
<file path=[Content_Types].xml><?xml version="1.0" encoding="utf-8"?>
<Types xmlns="http://schemas.openxmlformats.org/package/2006/content-types">
  <Default Extension="bin" ContentType="application/vnd.openxmlformats-officedocument.spreadsheetml.printerSettings"/>
  <Default Extension="emf" ContentType="image/x-emf"/>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charts/chart2.xml" ContentType="application/vnd.openxmlformats-officedocument.drawingml.chart+xml"/>
  <Override PartName="/xl/charts/style2.xml" ContentType="application/vnd.ms-office.chartstyle+xml"/>
  <Override PartName="/xl/charts/colors2.xml" ContentType="application/vnd.ms-office.chartcolorstyle+xml"/>
  <Override PartName="/xl/drawings/drawing7.xml" ContentType="application/vnd.openxmlformats-officedocument.drawing+xml"/>
  <Override PartName="/xl/drawings/drawing8.xml" ContentType="application/vnd.openxmlformats-officedocument.drawing+xml"/>
  <Override PartName="/xl/activeX/activeX3.xml" ContentType="application/vnd.ms-office.activeX+xml"/>
  <Override PartName="/xl/activeX/activeX38.xml" ContentType="application/vnd.ms-office.activeX+xml"/>
  <Override PartName="/xl/activeX/activeX38.bin" ContentType="application/vnd.ms-office.activeX"/>
  <Override PartName="/xl/activeX/activeX12.xml" ContentType="application/vnd.ms-office.activeX+xml"/>
  <Override PartName="/xl/activeX/activeX39.xml" ContentType="application/vnd.ms-office.activeX+xml"/>
  <Override PartName="/xl/activeX/activeX39.bin" ContentType="application/vnd.ms-office.activeX"/>
  <Override PartName="/xl/activeX/activeX12.bin" ContentType="application/vnd.ms-office.activeX"/>
  <Override PartName="/xl/activeX/activeX40.xml" ContentType="application/vnd.ms-office.activeX+xml"/>
  <Override PartName="/xl/activeX/activeX40.bin" ContentType="application/vnd.ms-office.activeX"/>
  <Override PartName="/xl/activeX/activeX3.bin" ContentType="application/vnd.ms-office.activeX"/>
  <Override PartName="/xl/activeX/activeX41.xml" ContentType="application/vnd.ms-office.activeX+xml"/>
  <Override PartName="/xl/activeX/activeX41.bin" ContentType="application/vnd.ms-office.activeX"/>
  <Override PartName="/xl/activeX/activeX13.xml" ContentType="application/vnd.ms-office.activeX+xml"/>
  <Override PartName="/xl/activeX/activeX42.xml" ContentType="application/vnd.ms-office.activeX+xml"/>
  <Override PartName="/xl/activeX/activeX42.bin" ContentType="application/vnd.ms-office.activeX"/>
  <Override PartName="/xl/activeX/activeX43.xml" ContentType="application/vnd.ms-office.activeX+xml"/>
  <Override PartName="/xl/activeX/activeX43.bin" ContentType="application/vnd.ms-office.activeX"/>
  <Override PartName="/xl/activeX/activeX44.xml" ContentType="application/vnd.ms-office.activeX+xml"/>
  <Override PartName="/xl/activeX/activeX44.bin" ContentType="application/vnd.ms-office.activeX"/>
  <Override PartName="/xl/comments3.xml" ContentType="application/vnd.openxmlformats-officedocument.spreadsheetml.comments+xml"/>
  <Override PartName="/xl/activeX/activeX13.bin" ContentType="application/vnd.ms-office.activeX"/>
  <Override PartName="/xl/activeX/activeX14.xml" ContentType="application/vnd.ms-office.activeX+xml"/>
  <Override PartName="/xl/activeX/activeX45.xml" ContentType="application/vnd.ms-office.activeX+xml"/>
  <Override PartName="/xl/activeX/activeX45.bin" ContentType="application/vnd.ms-office.activeX"/>
  <Override PartName="/xl/activeX/activeX14.bin" ContentType="application/vnd.ms-office.activeX"/>
  <Override PartName="/xl/activeX/activeX46.xml" ContentType="application/vnd.ms-office.activeX+xml"/>
  <Override PartName="/xl/activeX/activeX46.bin" ContentType="application/vnd.ms-office.activeX"/>
  <Override PartName="/xl/activeX/activeX15.xml" ContentType="application/vnd.ms-office.activeX+xml"/>
  <Override PartName="/xl/activeX/activeX47.xml" ContentType="application/vnd.ms-office.activeX+xml"/>
  <Override PartName="/xl/activeX/activeX47.bin" ContentType="application/vnd.ms-office.activeX"/>
  <Override PartName="/xl/activeX/activeX15.bin" ContentType="application/vnd.ms-office.activeX"/>
  <Override PartName="/xl/activeX/activeX48.xml" ContentType="application/vnd.ms-office.activeX+xml"/>
  <Override PartName="/xl/activeX/activeX48.bin" ContentType="application/vnd.ms-office.activeX"/>
  <Override PartName="/xl/richData/rdrichvalue.xml" ContentType="application/vnd.ms-excel.rdrichvalue+xml"/>
  <Override PartName="/xl/activeX/activeX49.xml" ContentType="application/vnd.ms-office.activeX+xml"/>
  <Override PartName="/xl/activeX/activeX49.bin" ContentType="application/vnd.ms-office.activeX"/>
  <Override PartName="/xl/activeX/activeX50.xml" ContentType="application/vnd.ms-office.activeX+xml"/>
  <Override PartName="/xl/activeX/activeX50.bin" ContentType="application/vnd.ms-office.activeX"/>
  <Override PartName="/xl/activeX/activeX16.xml" ContentType="application/vnd.ms-office.activeX+xml"/>
  <Override PartName="/xl/activeX/activeX51.xml" ContentType="application/vnd.ms-office.activeX+xml"/>
  <Override PartName="/xl/activeX/activeX51.bin" ContentType="application/vnd.ms-office.activeX"/>
  <Override PartName="/xl/activeX/activeX52.xml" ContentType="application/vnd.ms-office.activeX+xml"/>
  <Override PartName="/xl/activeX/activeX52.bin" ContentType="application/vnd.ms-office.activeX"/>
  <Override PartName="/xl/activeX/activeX53.xml" ContentType="application/vnd.ms-office.activeX+xml"/>
  <Override PartName="/xl/activeX/activeX53.bin" ContentType="application/vnd.ms-office.activeX"/>
  <Override PartName="/xl/activeX/activeX54.xml" ContentType="application/vnd.ms-office.activeX+xml"/>
  <Override PartName="/xl/activeX/activeX54.bin" ContentType="application/vnd.ms-office.activeX"/>
  <Override PartName="/xl/activeX/activeX55.xml" ContentType="application/vnd.ms-office.activeX+xml"/>
  <Override PartName="/xl/activeX/activeX55.bin" ContentType="application/vnd.ms-office.activeX"/>
  <Override PartName="/xl/activeX/activeX56.xml" ContentType="application/vnd.ms-office.activeX+xml"/>
  <Override PartName="/xl/activeX/activeX56.bin" ContentType="application/vnd.ms-office.activeX"/>
  <Override PartName="/xl/activeX/activeX57.xml" ContentType="application/vnd.ms-office.activeX+xml"/>
  <Override PartName="/xl/activeX/activeX57.bin" ContentType="application/vnd.ms-office.activeX"/>
  <Override PartName="/xl/activeX/activeX16.bin" ContentType="application/vnd.ms-office.activeX"/>
  <Override PartName="/xl/activeX/activeX58.xml" ContentType="application/vnd.ms-office.activeX+xml"/>
  <Override PartName="/xl/activeX/activeX58.bin" ContentType="application/vnd.ms-office.activeX"/>
  <Override PartName="/xl/activeX/activeX4.xml" ContentType="application/vnd.ms-office.activeX+xml"/>
  <Override PartName="/xl/activeX/activeX59.xml" ContentType="application/vnd.ms-office.activeX+xml"/>
  <Override PartName="/xl/activeX/activeX59.bin" ContentType="application/vnd.ms-office.activeX"/>
  <Override PartName="/xl/activeX/activeX17.xml" ContentType="application/vnd.ms-office.activeX+xml"/>
  <Override PartName="/xl/activeX/activeX60.xml" ContentType="application/vnd.ms-office.activeX+xml"/>
  <Override PartName="/xl/activeX/activeX60.bin" ContentType="application/vnd.ms-office.activeX"/>
  <Override PartName="/xl/activeX/activeX17.bin" ContentType="application/vnd.ms-office.activeX"/>
  <Override PartName="/xl/activeX/activeX61.xml" ContentType="application/vnd.ms-office.activeX+xml"/>
  <Override PartName="/xl/activeX/activeX61.bin" ContentType="application/vnd.ms-office.activeX"/>
  <Override PartName="/xl/activeX/activeX62.xml" ContentType="application/vnd.ms-office.activeX+xml"/>
  <Override PartName="/xl/activeX/activeX62.bin" ContentType="application/vnd.ms-office.activeX"/>
  <Override PartName="/xl/activeX/activeX63.xml" ContentType="application/vnd.ms-office.activeX+xml"/>
  <Override PartName="/xl/activeX/activeX63.bin" ContentType="application/vnd.ms-office.activeX"/>
  <Override PartName="/xl/activeX/activeX64.xml" ContentType="application/vnd.ms-office.activeX+xml"/>
  <Override PartName="/xl/activeX/activeX64.bin" ContentType="application/vnd.ms-office.activeX"/>
  <Override PartName="/xl/activeX/activeX65.xml" ContentType="application/vnd.ms-office.activeX+xml"/>
  <Override PartName="/xl/activeX/activeX65.bin" ContentType="application/vnd.ms-office.activeX"/>
  <Override PartName="/xl/activeX/activeX4.bin" ContentType="application/vnd.ms-office.activeX"/>
  <Override PartName="/xl/activeX/activeX66.xml" ContentType="application/vnd.ms-office.activeX+xml"/>
  <Override PartName="/xl/activeX/activeX66.bin" ContentType="application/vnd.ms-office.activeX"/>
  <Override PartName="/xl/richData/richValueRel.xml" ContentType="application/vnd.ms-excel.richvaluerel+xml"/>
  <Override PartName="/xl/activeX/activeX67.xml" ContentType="application/vnd.ms-office.activeX+xml"/>
  <Override PartName="/xl/activeX/activeX67.bin" ContentType="application/vnd.ms-office.activeX"/>
  <Override PartName="/xl/activeX/activeX68.xml" ContentType="application/vnd.ms-office.activeX+xml"/>
  <Override PartName="/xl/activeX/activeX68.bin" ContentType="application/vnd.ms-office.activeX"/>
  <Override PartName="/xl/activeX/activeX69.xml" ContentType="application/vnd.ms-office.activeX+xml"/>
  <Override PartName="/xl/activeX/activeX69.bin" ContentType="application/vnd.ms-office.activeX"/>
  <Override PartName="/xl/richData/rdrichvaluestructure.xml" ContentType="application/vnd.ms-excel.rdrichvaluestructure+xml"/>
  <Override PartName="/xl/activeX/activeX70.xml" ContentType="application/vnd.ms-office.activeX+xml"/>
  <Override PartName="/xl/activeX/activeX70.bin" ContentType="application/vnd.ms-office.activeX"/>
  <Override PartName="/xl/activeX/activeX5.xml" ContentType="application/vnd.ms-office.activeX+xml"/>
  <Override PartName="/xl/activeX/activeX71.xml" ContentType="application/vnd.ms-office.activeX+xml"/>
  <Override PartName="/xl/activeX/activeX71.bin" ContentType="application/vnd.ms-office.activeX"/>
  <Override PartName="/xl/activeX/activeX18.xml" ContentType="application/vnd.ms-office.activeX+xml"/>
  <Override PartName="/xl/activeX/activeX72.xml" ContentType="application/vnd.ms-office.activeX+xml"/>
  <Override PartName="/xl/activeX/activeX72.bin" ContentType="application/vnd.ms-office.activeX"/>
  <Override PartName="/xl/activeX/activeX18.bin" ContentType="application/vnd.ms-office.activeX"/>
  <Override PartName="/xl/activeX/activeX73.xml" ContentType="application/vnd.ms-office.activeX+xml"/>
  <Override PartName="/xl/activeX/activeX73.bin" ContentType="application/vnd.ms-office.activeX"/>
  <Override PartName="/xl/activeX/activeX5.bin" ContentType="application/vnd.ms-office.activeX"/>
  <Override PartName="/xl/activeX/activeX74.xml" ContentType="application/vnd.ms-office.activeX+xml"/>
  <Override PartName="/xl/activeX/activeX74.bin" ContentType="application/vnd.ms-office.activeX"/>
  <Override PartName="/xl/activeX/activeX19.xml" ContentType="application/vnd.ms-office.activeX+xml"/>
  <Override PartName="/xl/comments4.xml" ContentType="application/vnd.openxmlformats-officedocument.spreadsheetml.comments+xml"/>
  <Override PartName="/xl/activeX/activeX19.bin" ContentType="application/vnd.ms-office.activeX"/>
  <Override PartName="/xl/activeX/activeX1.xml" ContentType="application/vnd.ms-office.activeX+xml"/>
  <Override PartName="/xl/activeX/activeX75.xml" ContentType="application/vnd.ms-office.activeX+xml"/>
  <Override PartName="/xl/activeX/activeX75.bin" ContentType="application/vnd.ms-office.activeX"/>
  <Override PartName="/xl/activeX/activeX20.xml" ContentType="application/vnd.ms-office.activeX+xml"/>
  <Override PartName="/xl/activeX/activeX76.xml" ContentType="application/vnd.ms-office.activeX+xml"/>
  <Override PartName="/xl/activeX/activeX76.bin" ContentType="application/vnd.ms-office.activeX"/>
  <Override PartName="/xl/activeX/activeX20.bin" ContentType="application/vnd.ms-office.activeX"/>
  <Override PartName="/xl/activeX/activeX77.xml" ContentType="application/vnd.ms-office.activeX+xml"/>
  <Override PartName="/xl/activeX/activeX77.bin" ContentType="application/vnd.ms-office.activeX"/>
  <Override PartName="/xl/activeX/activeX21.xml" ContentType="application/vnd.ms-office.activeX+xml"/>
  <Override PartName="/xl/activeX/activeX78.xml" ContentType="application/vnd.ms-office.activeX+xml"/>
  <Override PartName="/xl/activeX/activeX78.bin" ContentType="application/vnd.ms-office.activeX"/>
  <Override PartName="/xl/activeX/activeX21.bin" ContentType="application/vnd.ms-office.activeX"/>
  <Override PartName="/xl/activeX/activeX79.xml" ContentType="application/vnd.ms-office.activeX+xml"/>
  <Override PartName="/xl/activeX/activeX79.bin" ContentType="application/vnd.ms-office.activeX"/>
  <Override PartName="/xl/activeX/activeX6.xml" ContentType="application/vnd.ms-office.activeX+xml"/>
  <Override PartName="/xl/activeX/activeX80.xml" ContentType="application/vnd.ms-office.activeX+xml"/>
  <Override PartName="/xl/activeX/activeX80.bin" ContentType="application/vnd.ms-office.activeX"/>
  <Override PartName="/xl/activeX/activeX22.xml" ContentType="application/vnd.ms-office.activeX+xml"/>
  <Override PartName="/xl/comments5.xml" ContentType="application/vnd.openxmlformats-officedocument.spreadsheetml.comments+xml"/>
  <Override PartName="/xl/activeX/activeX22.bin" ContentType="application/vnd.ms-office.activeX"/>
  <Override PartName="/xl/activeX/activeX6.bin" ContentType="application/vnd.ms-office.activeX"/>
  <Override PartName="/xl/activeX/activeX81.xml" ContentType="application/vnd.ms-office.activeX+xml"/>
  <Override PartName="/xl/comments1.xml" ContentType="application/vnd.openxmlformats-officedocument.spreadsheetml.comments+xml"/>
  <Override PartName="/xl/activeX/activeX23.xml" ContentType="application/vnd.ms-office.activeX+xml"/>
  <Override PartName="/xl/activeX/activeX82.xml" ContentType="application/vnd.ms-office.activeX+xml"/>
  <Override PartName="/xl/activeX/activeX82.bin" ContentType="application/vnd.ms-office.activeX"/>
  <Override PartName="/xl/activeX/activeX23.bin" ContentType="application/vnd.ms-office.activeX"/>
  <Override PartName="/xl/activeX/activeX83.xml" ContentType="application/vnd.ms-office.activeX+xml"/>
  <Override PartName="/xl/activeX/activeX83.bin" ContentType="application/vnd.ms-office.activeX"/>
  <Override PartName="/xl/activeX/activeX1.bin" ContentType="application/vnd.ms-office.activeX"/>
  <Override PartName="/xl/activeX/activeX84.xml" ContentType="application/vnd.ms-office.activeX+xml"/>
  <Override PartName="/xl/activeX/activeX84.bin" ContentType="application/vnd.ms-office.activeX"/>
  <Override PartName="/xl/activeX/activeX24.xml" ContentType="application/vnd.ms-office.activeX+xml"/>
  <Override PartName="/xl/activeX/activeX85.xml" ContentType="application/vnd.ms-office.activeX+xml"/>
  <Override PartName="/xl/activeX/activeX85.bin" ContentType="application/vnd.ms-office.activeX"/>
  <Override PartName="/xl/activeX/activeX24.bin" ContentType="application/vnd.ms-office.activeX"/>
  <Override PartName="/xl/activeX/activeX86.xml" ContentType="application/vnd.ms-office.activeX+xml"/>
  <Override PartName="/xl/activeX/activeX86.bin" ContentType="application/vnd.ms-office.activeX"/>
  <Override PartName="/xl/activeX/activeX25.xml" ContentType="application/vnd.ms-office.activeX+xml"/>
  <Override PartName="/xl/activeX/activeX87.xml" ContentType="application/vnd.ms-office.activeX+xml"/>
  <Override PartName="/xl/activeX/activeX87.bin" ContentType="application/vnd.ms-office.activeX"/>
  <Override PartName="/xl/activeX/activeX88.xml" ContentType="application/vnd.ms-office.activeX+xml"/>
  <Override PartName="/xl/activeX/activeX88.bin" ContentType="application/vnd.ms-office.activeX"/>
  <Override PartName="/xl/activeX/activeX25.bin" ContentType="application/vnd.ms-office.activeX"/>
  <Override PartName="/xl/comments6.xml" ContentType="application/vnd.openxmlformats-officedocument.spreadsheetml.comments+xml"/>
  <Override PartName="/xl/activeX/activeX7.xml" ContentType="application/vnd.ms-office.activeX+xml"/>
  <Override PartName="/xl/activeX/activeX26.xml" ContentType="application/vnd.ms-office.activeX+xml"/>
  <Override PartName="/xl/activeX/activeX26.bin" ContentType="application/vnd.ms-office.activeX"/>
  <Override PartName="/xl/activeX/activeX27.xml" ContentType="application/vnd.ms-office.activeX+xml"/>
  <Override PartName="/xl/activeX/activeX27.bin" ContentType="application/vnd.ms-office.activeX"/>
  <Override PartName="/xl/activeX/activeX89.xml" ContentType="application/vnd.ms-office.activeX+xml"/>
  <Override PartName="/xl/activeX/activeX89.bin" ContentType="application/vnd.ms-office.activeX"/>
  <Override PartName="/xl/activeX/activeX28.xml" ContentType="application/vnd.ms-office.activeX+xml"/>
  <Override PartName="/xl/activeX/activeX90.xml" ContentType="application/vnd.ms-office.activeX+xml"/>
  <Override PartName="/xl/activeX/activeX90.bin" ContentType="application/vnd.ms-office.activeX"/>
  <Override PartName="/xl/activeX/activeX28.bin" ContentType="application/vnd.ms-office.activeX"/>
  <Override PartName="/xl/activeX/activeX91.xml" ContentType="application/vnd.ms-office.activeX+xml"/>
  <Override PartName="/xl/activeX/activeX91.bin" ContentType="application/vnd.ms-office.activeX"/>
  <Override PartName="/xl/activeX/activeX29.xml" ContentType="application/vnd.ms-office.activeX+xml"/>
  <Override PartName="/xl/activeX/activeX92.xml" ContentType="application/vnd.ms-office.activeX+xml"/>
  <Override PartName="/xl/activeX/activeX92.bin" ContentType="application/vnd.ms-office.activeX"/>
  <Override PartName="/xl/activeX/activeX29.bin" ContentType="application/vnd.ms-office.activeX"/>
  <Override PartName="/xl/comments7.xml" ContentType="application/vnd.openxmlformats-officedocument.spreadsheetml.comments+xml"/>
  <Override PartName="/xl/activeX/activeX7.bin" ContentType="application/vnd.ms-office.activeX"/>
  <Override PartName="/xl/activeX/activeX30.xml" ContentType="application/vnd.ms-office.activeX+xml"/>
  <Override PartName="/xl/activeX/activeX30.bin" ContentType="application/vnd.ms-office.activeX"/>
  <Override PartName="/xl/comments8.xml" ContentType="application/vnd.openxmlformats-officedocument.spreadsheetml.comments+xml"/>
  <Override PartName="/xl/richData/rdRichValueTypes.xml" ContentType="application/vnd.ms-excel.rdrichvaluetypes+xml"/>
  <Override PartName="/xl/activeX/activeX31.xml" ContentType="application/vnd.ms-office.activeX+xml"/>
  <Override PartName="/xl/ctrlProps/ctrlProp1.xml" ContentType="application/vnd.ms-excel.controlproperties+xml"/>
  <Override PartName="/xl/ctrlProps/ctrlProp2.xml" ContentType="application/vnd.ms-excel.controlproperties+xml"/>
  <Override PartName="/xl/featurePropertyBag/featurePropertyBag.xml" ContentType="application/vnd.ms-excel.featurepropertyba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richData/rdRichValueWebImage.xml" ContentType="application/vnd.ms-excel.rdrichvaluewebimage+xml"/>
  <Override PartName="/xl/metadata.xml" ContentType="application/vnd.openxmlformats-officedocument.spreadsheetml.sheetMetadata+xml"/>
  <Override PartName="/xl/activeX/activeX31.bin" ContentType="application/vnd.ms-office.activeX"/>
  <Override PartName="/xl/activeX/activeX8.xml" ContentType="application/vnd.ms-office.activeX+xml"/>
  <Override PartName="/xl/activeX/activeX32.xml" ContentType="application/vnd.ms-office.activeX+xml"/>
  <Override PartName="/xl/activeX/activeX32.bin" ContentType="application/vnd.ms-office.activeX"/>
  <Override PartName="/xl/comments2.xml" ContentType="application/vnd.openxmlformats-officedocument.spreadsheetml.comments+xml"/>
  <Override PartName="/xl/activeX/activeX8.bin" ContentType="application/vnd.ms-office.activeX"/>
  <Override PartName="/xl/activeX/activeX2.xml" ContentType="application/vnd.ms-office.activeX+xml"/>
  <Override PartName="/xl/activeX/activeX9.xml" ContentType="application/vnd.ms-office.activeX+xml"/>
  <Override PartName="/xl/activeX/activeX9.bin" ContentType="application/vnd.ms-office.activeX"/>
  <Override PartName="/xl/activeX/activeX2.bin" ContentType="application/vnd.ms-office.activeX"/>
  <Override PartName="/xl/activeX/activeX10.xml" ContentType="application/vnd.ms-office.activeX+xml"/>
  <Override PartName="/xl/activeX/activeX33.xml" ContentType="application/vnd.ms-office.activeX+xml"/>
  <Override PartName="/xl/activeX/activeX33.bin" ContentType="application/vnd.ms-office.activeX"/>
  <Override PartName="/xl/activeX/activeX10.bin" ContentType="application/vnd.ms-office.activeX"/>
  <Override PartName="/xl/activeX/activeX34.xml" ContentType="application/vnd.ms-office.activeX+xml"/>
  <Override PartName="/xl/activeX/activeX34.bin" ContentType="application/vnd.ms-office.activeX"/>
  <Override PartName="/xl/activeX/activeX35.xml" ContentType="application/vnd.ms-office.activeX+xml"/>
  <Override PartName="/xl/activeX/activeX35.bin" ContentType="application/vnd.ms-office.activeX"/>
  <Override PartName="/xl/activeX/activeX11.xml" ContentType="application/vnd.ms-office.activeX+xml"/>
  <Override PartName="/xl/activeX/activeX36.xml" ContentType="application/vnd.ms-office.activeX+xml"/>
  <Override PartName="/xl/activeX/activeX36.bin" ContentType="application/vnd.ms-office.activeX"/>
  <Override PartName="/xl/activeX/activeX11.bin" ContentType="application/vnd.ms-office.activeX"/>
  <Override PartName="/xl/activeX/activeX37.xml" ContentType="application/vnd.ms-office.activeX+xml"/>
  <Override PartName="/xl/activeX/activeX37.bin" ContentType="application/vnd.ms-office.activeX"/>
  <Override PartName="/xl/activeX/activeX81.bin" ContentType="application/vnd.ms-office.activeX"/>
  <Override PartName="/customXml/itemProps4.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328"/>
  <workbookPr codeName="ThisWorkbook" defaultThemeVersion="166925"/>
  <mc:AlternateContent xmlns:mc="http://schemas.openxmlformats.org/markup-compatibility/2006">
    <mc:Choice Requires="x15">
      <x15ac:absPath xmlns:x15ac="http://schemas.microsoft.com/office/spreadsheetml/2010/11/ac" url="https://branzltd-my.sharepoint.com/personal/ian_cox-smith_branz_co_nz/Documents/Generate HIG versions/"/>
    </mc:Choice>
  </mc:AlternateContent>
  <xr:revisionPtr revIDLastSave="0" documentId="8_{3B837098-03C5-4746-804B-E9F8F8C97F55}" xr6:coauthVersionLast="47" xr6:coauthVersionMax="47" xr10:uidLastSave="{00000000-0000-0000-0000-000000000000}"/>
  <bookViews>
    <workbookView xWindow="-120" yWindow="-120" windowWidth="51840" windowHeight="21120" tabRatio="490" xr2:uid="{7E2F0A43-8449-4FB1-B118-E58BB63DD393}"/>
  </bookViews>
  <sheets>
    <sheet name="Roof spaces" sheetId="33" r:id="rId1"/>
    <sheet name="Roof edge insulation" sheetId="43" r:id="rId2"/>
    <sheet name="Roofs" sheetId="16" r:id="rId3"/>
    <sheet name="Walls" sheetId="17" r:id="rId4"/>
    <sheet name="Timber floors" sheetId="45" r:id="rId5"/>
    <sheet name="Slab floors" sheetId="19" r:id="rId6"/>
    <sheet name="Doors" sheetId="36" r:id="rId7"/>
    <sheet name="Summary" sheetId="40" r:id="rId8"/>
    <sheet name="Insulation product group" sheetId="38" r:id="rId9"/>
    <sheet name="Adjust conductivity with temp." sheetId="39" r:id="rId10"/>
    <sheet name="equivalences for steel frames" sheetId="44" r:id="rId11"/>
    <sheet name="diagrams" sheetId="10" state="hidden" r:id="rId12"/>
    <sheet name="diagrams2" sheetId="23" state="hidden" r:id="rId13"/>
    <sheet name="diagrams3" sheetId="21" state="hidden" r:id="rId14"/>
  </sheets>
  <definedNames>
    <definedName name="_90mm">'Slab floors'!$AY$9</definedName>
    <definedName name="_xlnm._FilterDatabase" localSheetId="8" hidden="1">'Insulation product group'!#REF!</definedName>
    <definedName name="A_P" localSheetId="5">'Slab floors'!$BE$15</definedName>
    <definedName name="aa" localSheetId="0">'Roof spaces'!$AI$47</definedName>
    <definedName name="aa" localSheetId="3">Walls!$W$3</definedName>
    <definedName name="ab" localSheetId="0">'Roof spaces'!$AI$48</definedName>
    <definedName name="ab" localSheetId="3">Walls!$X$3</definedName>
    <definedName name="ac" localSheetId="0">'Roof spaces'!$AI$49</definedName>
    <definedName name="ac" localSheetId="3">Walls!$Y$3</definedName>
    <definedName name="angle" localSheetId="1">'Roof edge insulation'!$AE$25</definedName>
    <definedName name="around_footing">'Slab floors'!$AO$13</definedName>
    <definedName name="ba" localSheetId="0">'Roof spaces'!$AI$50</definedName>
    <definedName name="ba" localSheetId="3">Walls!$Z$3</definedName>
    <definedName name="bb" localSheetId="0">'Roof spaces'!$AI$51</definedName>
    <definedName name="bb" localSheetId="3">Walls!$AA$3</definedName>
    <definedName name="bc" localSheetId="0">'Roof spaces'!$AI$52</definedName>
    <definedName name="bc" localSheetId="3">Walls!$AB$3</definedName>
    <definedName name="Both_layers" localSheetId="0">'Roof spaces'!$AY$79</definedName>
    <definedName name="ca" localSheetId="0">'Roof spaces'!$AI$53</definedName>
    <definedName name="ca" localSheetId="3">Walls!$AC$3</definedName>
    <definedName name="cb" localSheetId="0">'Roof spaces'!$AI$54</definedName>
    <definedName name="cb" localSheetId="3">Walls!$AD$3</definedName>
    <definedName name="cc" localSheetId="0">'Roof spaces'!$AI$55</definedName>
    <definedName name="cc" localSheetId="3">Walls!$AE$3</definedName>
    <definedName name="ccf" localSheetId="1">'Roof edge insulation'!$DP$1</definedName>
    <definedName name="Cntrl1" localSheetId="6">Doors!$C$10</definedName>
    <definedName name="Cntrl1" localSheetId="1">'Roof edge insulation'!$AG$25</definedName>
    <definedName name="Cntrl1" localSheetId="0">'Roof spaces'!$AS$9</definedName>
    <definedName name="Cntrl1" localSheetId="2">Roofs!$BA$21</definedName>
    <definedName name="Cntrl1" localSheetId="5">'Slab floors'!$AU$15</definedName>
    <definedName name="Cntrl1" localSheetId="4">'Timber floors'!$AT$18</definedName>
    <definedName name="Cntrl1" localSheetId="3">Walls!$AS$23</definedName>
    <definedName name="Cntrl10" localSheetId="1">'Roof edge insulation'!$BH$25</definedName>
    <definedName name="Cntrl10" localSheetId="0">'Roof spaces'!$BD$9</definedName>
    <definedName name="Cntrl10" localSheetId="2">Roofs!$BM$21</definedName>
    <definedName name="Cntrl10" localSheetId="3">Walls!$CL$23</definedName>
    <definedName name="Cntrl11" localSheetId="1">'Roof edge insulation'!$BE$25</definedName>
    <definedName name="Cntrl11" localSheetId="0">'Roof spaces'!$BN$9</definedName>
    <definedName name="Cntrl11" localSheetId="2">Roofs!$BJ$21</definedName>
    <definedName name="Cntrl11" localSheetId="3">Walls!$DJ$23</definedName>
    <definedName name="Cntrl12" localSheetId="1">'Roof edge insulation'!$BK$25</definedName>
    <definedName name="Cntrl12" localSheetId="0">'Roof spaces'!$BW$9</definedName>
    <definedName name="Cntrl12" localSheetId="2">Roofs!$BD$21</definedName>
    <definedName name="Cntrl12" localSheetId="3">Walls!$CX$23</definedName>
    <definedName name="Cntrl13" localSheetId="1">'Roof edge insulation'!$U$25</definedName>
    <definedName name="Cntrl13" localSheetId="0">'Roof spaces'!$BT$9</definedName>
    <definedName name="Cntrl13" localSheetId="3">Walls!$DG$23</definedName>
    <definedName name="Cntrl14" localSheetId="1">'Roof edge insulation'!$X$25</definedName>
    <definedName name="Cntrl14" localSheetId="0">'Roof spaces'!$BQ$9</definedName>
    <definedName name="Cntrl14" localSheetId="3">Walls!$DD$23</definedName>
    <definedName name="Cntrl15" localSheetId="1">'Roof edge insulation'!$AA$25</definedName>
    <definedName name="Cntrl15" localSheetId="0">'Roof spaces'!$BH$9</definedName>
    <definedName name="Cntrl15" localSheetId="3">Walls!$DA$23</definedName>
    <definedName name="Cntrl16" localSheetId="1">'Roof edge insulation'!$Z$36</definedName>
    <definedName name="Cntrl16" localSheetId="0">'Roof spaces'!$AG$9</definedName>
    <definedName name="Cntrl16" localSheetId="3">Walls!$CU$23</definedName>
    <definedName name="Cntrl17" localSheetId="0">'Roof spaces'!$AD$9</definedName>
    <definedName name="Cntrl17" localSheetId="3">Walls!$CR$23</definedName>
    <definedName name="Cntrl18" localSheetId="3">Walls!$CH$23</definedName>
    <definedName name="Cntrl19" localSheetId="3">Walls!$BN$23</definedName>
    <definedName name="Cntrl2" localSheetId="6">Doors!$F$10</definedName>
    <definedName name="Cntrl2" localSheetId="1">'Roof edge insulation'!$AM$25</definedName>
    <definedName name="Cntrl2" localSheetId="0">'Roof spaces'!$AO$9</definedName>
    <definedName name="Cntrl2" localSheetId="2">Roofs!$AL$21</definedName>
    <definedName name="Cntrl2" localSheetId="5">'Slab floors'!$AR$15</definedName>
    <definedName name="Cntrl2" localSheetId="4">'Timber floors'!$AQ$18</definedName>
    <definedName name="Cntrl2" localSheetId="3">Walls!$BJ$23</definedName>
    <definedName name="Cntrl20" localSheetId="3">Walls!$BZ$23</definedName>
    <definedName name="Cntrl21" localSheetId="3">Walls!$CD$23</definedName>
    <definedName name="Cntrl22" localSheetId="3">Walls!$EX$23</definedName>
    <definedName name="Cntrl23" localSheetId="3">Walls!$FA$23</definedName>
    <definedName name="Cntrl24" localSheetId="3">Walls!$FD$23</definedName>
    <definedName name="Cntrl25" localSheetId="3">Walls!$FG$23</definedName>
    <definedName name="Cntrl26" localSheetId="3">Walls!$FJ$23</definedName>
    <definedName name="Cntrl27" localSheetId="3">Walls!$FM$23</definedName>
    <definedName name="Cntrl28" localSheetId="3">Walls!$FP$23</definedName>
    <definedName name="Cntrl29" localSheetId="3">Walls!$FS$23</definedName>
    <definedName name="Cntrl3" localSheetId="6">Doors!$I$10</definedName>
    <definedName name="Cntrl3" localSheetId="1">'Roof edge insulation'!$AJ$25</definedName>
    <definedName name="Cntrl3" localSheetId="0">'Roof spaces'!$AW$9</definedName>
    <definedName name="Cntrl3" localSheetId="2">Roofs!$AU$21</definedName>
    <definedName name="Cntrl3" localSheetId="5">'Slab floors'!$AO$15</definedName>
    <definedName name="Cntrl3" localSheetId="4">'Timber floors'!$AW$18</definedName>
    <definedName name="Cntrl3" localSheetId="3">Walls!$BC$23</definedName>
    <definedName name="Cntrl30" localSheetId="3">Walls!$FV$23</definedName>
    <definedName name="Cntrl4" localSheetId="6">Doors!$L$10</definedName>
    <definedName name="Cntrl4" localSheetId="1">'Roof edge insulation'!$AP$25</definedName>
    <definedName name="Cntrl4" localSheetId="0">'Roof spaces'!$AJ$9</definedName>
    <definedName name="Cntrl4" localSheetId="2">Roofs!$AO$21</definedName>
    <definedName name="Cntrl4" localSheetId="5">'Slab floors'!$BA$15</definedName>
    <definedName name="Cntrl4" localSheetId="4">'Timber floors'!$AZ$18</definedName>
    <definedName name="Cntrl4" localSheetId="3">Walls!$BT$23</definedName>
    <definedName name="Cntrl5" localSheetId="6">Doors!$O$10</definedName>
    <definedName name="Cntrl5" localSheetId="1">'Roof edge insulation'!$AS$25</definedName>
    <definedName name="Cntrl5" localSheetId="0">'Roof spaces'!$BA$9</definedName>
    <definedName name="Cntrl5" localSheetId="2">Roofs!$AX$21</definedName>
    <definedName name="Cntrl5" localSheetId="5">'Slab floors'!$BG$15</definedName>
    <definedName name="Cntrl5" localSheetId="4">'Timber floors'!$BI$18</definedName>
    <definedName name="Cntrl5" localSheetId="3">Walls!$BF$23</definedName>
    <definedName name="Cntrl6" localSheetId="1">'Roof edge insulation'!$AD$25</definedName>
    <definedName name="Cntrl6" localSheetId="0">'Roof spaces'!$BZ$9</definedName>
    <definedName name="Cntrl6" localSheetId="2">Roofs!$AR$21</definedName>
    <definedName name="Cntrl6" localSheetId="5">'Slab floors'!$AX$15</definedName>
    <definedName name="Cntrl6" localSheetId="4">'Timber floors'!$BF$18</definedName>
    <definedName name="Cntrl6" localSheetId="3">Walls!$BW$23</definedName>
    <definedName name="Cntrl7" localSheetId="1">'Roof edge insulation'!$AY$25</definedName>
    <definedName name="Cntrl7" localSheetId="0">'Roof spaces'!$CG$9</definedName>
    <definedName name="Cntrl7" localSheetId="2">Roofs!$BG$21</definedName>
    <definedName name="Cntrl7" localSheetId="5">'Slab floors'!$BD$15</definedName>
    <definedName name="Cntrl7" localSheetId="3">Walls!$AX$23</definedName>
    <definedName name="Cntrl8" localSheetId="1">'Roof edge insulation'!$AV$25</definedName>
    <definedName name="Cntrl8" localSheetId="0">'Roof spaces'!$CD$9</definedName>
    <definedName name="Cntrl8" localSheetId="2">Roofs!$BS$21</definedName>
    <definedName name="Cntrl8" localSheetId="5">'Slab floors'!$BJ$15</definedName>
    <definedName name="Cntrl8" localSheetId="3">Walls!$CO$23</definedName>
    <definedName name="Cntrl9" localSheetId="1">'Roof edge insulation'!$BB$25</definedName>
    <definedName name="Cntrl9" localSheetId="0">'Roof spaces'!$BK$9</definedName>
    <definedName name="Cntrl9" localSheetId="2">Roofs!$BV$21</definedName>
    <definedName name="Cntrl9" localSheetId="5">'Slab floors'!$BE$15</definedName>
    <definedName name="Cntrl9" localSheetId="3">Walls!$BQ$23</definedName>
    <definedName name="CntrlType" localSheetId="9">'Adjust conductivity with temp.'!$U$1</definedName>
    <definedName name="CntrlType" localSheetId="6">Doors!$AX$1</definedName>
    <definedName name="CntrlType" localSheetId="10">'equivalences for steel frames'!$U$2</definedName>
    <definedName name="CntrlType" localSheetId="8">'Insulation product group'!$AC$1</definedName>
    <definedName name="CntrlType" localSheetId="1">'Roof edge insulation'!$CS$1</definedName>
    <definedName name="CntrlType" localSheetId="0">'Roof spaces'!$DL$1</definedName>
    <definedName name="CntrlType" localSheetId="2">Roofs!$CQ$1</definedName>
    <definedName name="CntrlType" localSheetId="5">'Slab floors'!$CK$1</definedName>
    <definedName name="CntrlType" localSheetId="4">'Timber floors'!$CM$1</definedName>
    <definedName name="CntrlType" localSheetId="3">Walls!$EN$1</definedName>
    <definedName name="coef_c1" localSheetId="5">'Slab floors'!$AZ$123</definedName>
    <definedName name="coef_c2" localSheetId="5">'Slab floors'!$BB$123</definedName>
    <definedName name="coef_c3" localSheetId="5">'Slab floors'!$BD$123</definedName>
    <definedName name="coef_c4">'Slab floors'!$BF$149</definedName>
    <definedName name="coef_c4_np">'Slab floors'!$BJ$149</definedName>
    <definedName name="coef_c5">'Slab floors'!$AZ$171</definedName>
    <definedName name="coef_d4">'Slab floors'!$BF$159</definedName>
    <definedName name="coef_d4_np">'Slab floors'!$BJ$159</definedName>
    <definedName name="coef_m1" localSheetId="5">'Slab floors'!$AY$123</definedName>
    <definedName name="coef_m2" localSheetId="5">'Slab floors'!$BA$123</definedName>
    <definedName name="coef_m3" localSheetId="5">'Slab floors'!$BC$123</definedName>
    <definedName name="coef_m4">'Slab floors'!$BE$149</definedName>
    <definedName name="coef_m4_np">'Slab floors'!$BI$149</definedName>
    <definedName name="coef_m5">'Slab floors'!$AY$171</definedName>
    <definedName name="core_k" localSheetId="1">'Roof edge insulation'!$BI$25</definedName>
    <definedName name="core_thick" localSheetId="1">'Roof edge insulation'!$BC$25</definedName>
    <definedName name="core_width" localSheetId="1">'Roof edge insulation'!$BF$25</definedName>
    <definedName name="datetag" localSheetId="9">'Adjust conductivity with temp.'!$W$1</definedName>
    <definedName name="datetag" localSheetId="6">Doors!$AZ$1</definedName>
    <definedName name="datetag" localSheetId="10">'equivalences for steel frames'!$V$1</definedName>
    <definedName name="datetag" localSheetId="8">'Insulation product group'!$AE$1</definedName>
    <definedName name="datetag" localSheetId="1">'Roof edge insulation'!$CU$1</definedName>
    <definedName name="datetag" localSheetId="0">'Roof spaces'!$DN$1</definedName>
    <definedName name="datetag" localSheetId="2">Roofs!$CS$1</definedName>
    <definedName name="datetag" localSheetId="5">'Slab floors'!$CM$1</definedName>
    <definedName name="datetag" localSheetId="7">Summary!$C$4</definedName>
    <definedName name="datetag" localSheetId="4">'Timber floors'!$CO$1</definedName>
    <definedName name="datetag" localSheetId="3">Walls!$EP$1</definedName>
    <definedName name="ea" localSheetId="0">'Roof spaces'!$AI$74</definedName>
    <definedName name="eb" localSheetId="0">'Roof spaces'!$AI$75</definedName>
    <definedName name="ec" localSheetId="0">'Roof spaces'!$AI$76</definedName>
    <definedName name="edge_k" localSheetId="1">'Roof edge insulation'!$AQ$25</definedName>
    <definedName name="edge_thick" localSheetId="1">'Roof edge insulation'!$AK$25</definedName>
    <definedName name="edge_width" localSheetId="1">'Roof edge insulation'!$AN$25</definedName>
    <definedName name="fa" localSheetId="0">'Roof spaces'!$AI$77</definedName>
    <definedName name="fb" localSheetId="0">'Roof spaces'!$AI$78</definedName>
    <definedName name="fc" localSheetId="0">'Roof spaces'!$AI$79</definedName>
    <definedName name="full">'Slab floors'!$AK$4</definedName>
    <definedName name="Full_thick" localSheetId="0">'Roof spaces'!$AY$75</definedName>
    <definedName name="ga" localSheetId="0">'Roof spaces'!$AI$80</definedName>
    <definedName name="gb" localSheetId="0">'Roof spaces'!$AI$81</definedName>
    <definedName name="gc" localSheetId="0">'Roof spaces'!$AI$82</definedName>
    <definedName name="input1" localSheetId="1">'Roof edge insulation'!$R$12</definedName>
    <definedName name="input1" localSheetId="0">'Roof spaces'!$R$13</definedName>
    <definedName name="input1" localSheetId="2">Roofs!$R$7</definedName>
    <definedName name="input1" localSheetId="5">'Slab floors'!$R$6</definedName>
    <definedName name="input1" localSheetId="4">'Timber floors'!$R$5</definedName>
    <definedName name="input1" localSheetId="3">Walls!$R$21</definedName>
    <definedName name="input10" localSheetId="1">'Roof edge insulation'!$R$3</definedName>
    <definedName name="input10" localSheetId="0">'Roof spaces'!$R$10</definedName>
    <definedName name="input10" localSheetId="2">Roofs!$R$3</definedName>
    <definedName name="input10" localSheetId="3">Walls!$R$9</definedName>
    <definedName name="input11" localSheetId="1">'Roof edge insulation'!$R$4</definedName>
    <definedName name="input11" localSheetId="0">'Roof spaces'!$R$7</definedName>
    <definedName name="input11" localSheetId="2">Roofs!$R$4</definedName>
    <definedName name="input12" localSheetId="1">'Roof edge insulation'!$R$2</definedName>
    <definedName name="input12" localSheetId="0">'Roof spaces'!$R$4</definedName>
    <definedName name="input12" localSheetId="2">Roofs!$R$6</definedName>
    <definedName name="input12" localSheetId="3">Walls!$R$5</definedName>
    <definedName name="input13" localSheetId="1">'Roof edge insulation'!$R$16</definedName>
    <definedName name="input13" localSheetId="0">'Roof spaces'!$R$5</definedName>
    <definedName name="input13" localSheetId="3">Walls!$R$2</definedName>
    <definedName name="input14" localSheetId="1">'Roof edge insulation'!$R$15</definedName>
    <definedName name="input14" localSheetId="0">'Roof spaces'!$R$6</definedName>
    <definedName name="input14" localSheetId="3">Walls!$R$3</definedName>
    <definedName name="input15" localSheetId="1">'Roof edge insulation'!$R$14</definedName>
    <definedName name="input15" localSheetId="0">'Roof spaces'!$R$9</definedName>
    <definedName name="input15" localSheetId="3">Walls!$R$4</definedName>
    <definedName name="input16" localSheetId="0">'Roof spaces'!$R$16</definedName>
    <definedName name="input16" localSheetId="3">Walls!$R$6</definedName>
    <definedName name="input17" localSheetId="0">'Roof spaces'!$R$17</definedName>
    <definedName name="input17" localSheetId="3">Walls!$R$7</definedName>
    <definedName name="input18" localSheetId="3">Walls!$R$10</definedName>
    <definedName name="input19" localSheetId="3">Walls!$R$16</definedName>
    <definedName name="input2" localSheetId="1">'Roof edge insulation'!$R$10</definedName>
    <definedName name="input2" localSheetId="0">'Roof spaces'!$R$14</definedName>
    <definedName name="input2" localSheetId="2">Roofs!$R$12</definedName>
    <definedName name="input2" localSheetId="5">'Slab floors'!$R$7</definedName>
    <definedName name="input2" localSheetId="4">'Timber floors'!$R$6</definedName>
    <definedName name="input2" localSheetId="3">Walls!$R$17</definedName>
    <definedName name="input20" localSheetId="3">Walls!$R$12</definedName>
    <definedName name="input21" localSheetId="3">Walls!$R$11</definedName>
    <definedName name="input22" localSheetId="3">Walls!$R$22</definedName>
    <definedName name="input23" localSheetId="3">Walls!$R$23</definedName>
    <definedName name="input24" localSheetId="3">Walls!$R$37</definedName>
    <definedName name="input25" localSheetId="3">Walls!$R$34</definedName>
    <definedName name="input26" localSheetId="3">Walls!$R$35</definedName>
    <definedName name="input27" localSheetId="3">Walls!$R$39</definedName>
    <definedName name="input28" localSheetId="3">Walls!$R$38</definedName>
    <definedName name="input29" localSheetId="3">Walls!$R$33</definedName>
    <definedName name="input3" localSheetId="1">'Roof edge insulation'!$R$11</definedName>
    <definedName name="input3" localSheetId="0">'Roof spaces'!$R$12</definedName>
    <definedName name="input3" localSheetId="2">Roofs!$R$9</definedName>
    <definedName name="input3" localSheetId="5">'Slab floors'!$R$8</definedName>
    <definedName name="input3" localSheetId="4">'Timber floors'!$R$4</definedName>
    <definedName name="input3" localSheetId="3">Walls!$R$19</definedName>
    <definedName name="input30" localSheetId="3">Walls!$R$36</definedName>
    <definedName name="input4" localSheetId="1">'Roof edge insulation'!$R$9</definedName>
    <definedName name="input4" localSheetId="0">'Roof spaces'!$R$15</definedName>
    <definedName name="input4" localSheetId="2">Roofs!$R$11</definedName>
    <definedName name="input4" localSheetId="5">'Slab floors'!$R$4</definedName>
    <definedName name="input4" localSheetId="4">'Timber floors'!$R$3</definedName>
    <definedName name="input4" localSheetId="3">Walls!$R$14</definedName>
    <definedName name="input5" localSheetId="1">'Roof edge insulation'!$R$8</definedName>
    <definedName name="input5" localSheetId="0">'Roof spaces'!$R$11</definedName>
    <definedName name="input5" localSheetId="2">Roofs!$R$8</definedName>
    <definedName name="input5" localSheetId="5">'Slab floors'!$R$2</definedName>
    <definedName name="input5" localSheetId="4">'Timber floors'!$R$2</definedName>
    <definedName name="input5" localSheetId="3">Walls!$R$18</definedName>
    <definedName name="input6" localSheetId="1">'Roof edge insulation'!$R$13</definedName>
    <definedName name="input6" localSheetId="0">'Roof spaces'!$R$3</definedName>
    <definedName name="input6" localSheetId="2">Roofs!$R$10</definedName>
    <definedName name="input6" localSheetId="5">'Slab floors'!$R$5</definedName>
    <definedName name="input6" localSheetId="3">Walls!$R$13</definedName>
    <definedName name="input7" localSheetId="1">'Roof edge insulation'!$R$6</definedName>
    <definedName name="input7" localSheetId="2">Roofs!$R$5</definedName>
    <definedName name="input7" localSheetId="5">'Slab floors'!$R$3</definedName>
    <definedName name="input7" localSheetId="3">Walls!$R$20</definedName>
    <definedName name="input8" localSheetId="1">'Roof edge insulation'!$R$7</definedName>
    <definedName name="input8" localSheetId="0">'Roof spaces'!$R$2</definedName>
    <definedName name="input8" localSheetId="2">Roofs!$R$2</definedName>
    <definedName name="input8" localSheetId="3">Walls!$R$8</definedName>
    <definedName name="input9" localSheetId="1">'Roof edge insulation'!$R$5</definedName>
    <definedName name="input9" localSheetId="0">'Roof spaces'!$R$8</definedName>
    <definedName name="input9" localSheetId="3">Walls!$R$15</definedName>
    <definedName name="l_c">'Slab floors'!$AM$53</definedName>
    <definedName name="l_x">'Slab floors'!$AL$53</definedName>
    <definedName name="l_x2">'Slab floors'!$AK$53</definedName>
    <definedName name="Layer_two" localSheetId="0">'Roof spaces'!$AY$77</definedName>
    <definedName name="mid_width" localSheetId="1">'Roof edge insulation'!$V$37</definedName>
    <definedName name="mult1" localSheetId="1">'Roof edge insulation'!$CY$8</definedName>
    <definedName name="mult2" localSheetId="1">'Roof edge insulation'!$CY$9</definedName>
    <definedName name="mult3" localSheetId="1">'Roof edge insulation'!$CY$10</definedName>
    <definedName name="mv">'Slab floors'!$AG$4</definedName>
    <definedName name="no_insul">'Slab floors'!$AW$26</definedName>
    <definedName name="no_perim_or_footing">'Slab floors'!$AN$14</definedName>
    <definedName name="One_layer" localSheetId="0">'Roof spaces'!$AY$73</definedName>
    <definedName name="otbv">'Slab floors'!$AG$4</definedName>
    <definedName name="P_blank">diagrams!$M$2</definedName>
    <definedName name="P_blank2">diagrams!$M$3</definedName>
    <definedName name="P_blank3">diagrams!$M$4</definedName>
    <definedName name="P_FR_M">diagrams!$K$3</definedName>
    <definedName name="P_FR_O">diagrams!$K$2</definedName>
    <definedName name="P_FS_M_E">diagrams!$K$5</definedName>
    <definedName name="P_FS_M_F">diagrams!$K$6</definedName>
    <definedName name="P_FS_M_N">diagrams!$K$4</definedName>
    <definedName name="P_PS_O_a">diagrams!$M$7</definedName>
    <definedName name="P_PS_O_b">diagrams!$M$8</definedName>
    <definedName name="P_PS_O_c">diagrams!$M$9</definedName>
    <definedName name="P_PS_O_E">diagrams!$K$8</definedName>
    <definedName name="P_PS_O_F">diagrams!$K$9</definedName>
    <definedName name="P_PS_O_N">diagrams!$K$7</definedName>
    <definedName name="P_PS_O_T">diagrams!$M$10</definedName>
    <definedName name="P_RL_S_B">diagrams!$E$4</definedName>
    <definedName name="P_RL_S_D">diagrams!$E$5</definedName>
    <definedName name="P_RP_C_B">diagrams!$C$4</definedName>
    <definedName name="P_RP_C_D">diagrams!$C$3</definedName>
    <definedName name="P_RP_reducedperim" localSheetId="0">diagrams!$C$8</definedName>
    <definedName name="P_RP_reducedperim">diagrams!$C$8</definedName>
    <definedName name="P_RP_S_B">diagrams!$C$2</definedName>
    <definedName name="P_RP_S_B_RH" localSheetId="0">diagrams!$C$7</definedName>
    <definedName name="P_RP_S_B_RH">diagrams!$C$7</definedName>
    <definedName name="P_RP_S_D">diagrams!$C$5</definedName>
    <definedName name="P_RP_SIL" localSheetId="0">diagrams!$C$6</definedName>
    <definedName name="P_RP_SIL">diagrams!$C$6</definedName>
    <definedName name="P_RP_SIL2">diagrams!$M$5</definedName>
    <definedName name="P_RS_C_B">diagrams!$E$12</definedName>
    <definedName name="P_RS_C_D">diagrams!$E$13</definedName>
    <definedName name="P_RS_C_DR">diagrams!$E$11</definedName>
    <definedName name="P_RS_M_B">diagrams!$E$2</definedName>
    <definedName name="P_RS_M_D">diagrams!$E$3</definedName>
    <definedName name="P_RS_S_B_DR">diagrams!$E$7</definedName>
    <definedName name="P_RS_S_B_SR">diagrams!$E$9</definedName>
    <definedName name="P_RS_S_D">diagrams!$E$10</definedName>
    <definedName name="P_RS_S_DR">diagrams!$E$8</definedName>
    <definedName name="P_RS_S_I">diagrams!$E$14</definedName>
    <definedName name="P_RS_S_SIL">diagrams!$M$6</definedName>
    <definedName name="P_ST_I">diagrams!$G$4</definedName>
    <definedName name="P_ST_O_D">diagrams!$G$3</definedName>
    <definedName name="P_ST_O_S">diagrams!$G$2</definedName>
    <definedName name="P_warmroof">diagrams!$E$15</definedName>
    <definedName name="perim">'Slab floors'!$AL$4</definedName>
    <definedName name="PIC_Roofs" localSheetId="2">INDEX(diagrams!$E$2:$E$15,Roofs!$AG$1)</definedName>
    <definedName name="PIC_Roofs2" localSheetId="2">INDEX(diagrams!$M$2:$M$16,Roofs!$AI$1)</definedName>
    <definedName name="PIC_roofspace" localSheetId="0">INDEX(diagrams!$C$2:$C$8,'Roof spaces'!$AM$30)</definedName>
    <definedName name="PIC_roofspace2" localSheetId="0">INDEX(diagrams!$M$2:$M$16,'Roof spaces'!$AK$30)</definedName>
    <definedName name="PIC_SF" localSheetId="5">INDEX(diagrams!$K$2:$K$13,'Slab floors'!#REF!)</definedName>
    <definedName name="PIC_SF2" localSheetId="5">INDEX(diagrams!$M$2:$M$16,'Slab floors'!#REF!)</definedName>
    <definedName name="PIC_SF3" localSheetId="5">INDEX(diagrams!$M$2:$M$16,'Slab floors'!#REF!)</definedName>
    <definedName name="PIC_walls" localSheetId="3">INDEX(diagrams!$I$2:$I$49,Walls!$AM$1)</definedName>
    <definedName name="PIC_walls2" localSheetId="3">INDEX(diagrams!$M$2:$M$16,Walls!$AM$2)</definedName>
    <definedName name="PIC_walls3" localSheetId="3">INDEX(diagrams!$M$2:$M$16,Walls!$AM$3)</definedName>
    <definedName name="PIC_walls4" localSheetId="3">INDEX(diagrams!$M$2:$M$16,Walls!$AM$4)</definedName>
    <definedName name="R_diag1" localSheetId="2">Roofs!$CN$7</definedName>
    <definedName name="R_diag2" localSheetId="2">Roofs!$CN$24</definedName>
    <definedName name="R_max" localSheetId="3">Walls!$CM$25</definedName>
    <definedName name="R_min" localSheetId="3">Walls!$CM$35</definedName>
    <definedName name="radix64" localSheetId="1">'Roof edge insulation'!$CK$1</definedName>
    <definedName name="radix64" localSheetId="0">'Roof spaces'!$CV$1</definedName>
    <definedName name="radix64" localSheetId="2">Roofs!$CH$1</definedName>
    <definedName name="radix64" localSheetId="5">'Slab floors'!$BV$1</definedName>
    <definedName name="radix64" localSheetId="7">Summary!$BV$1</definedName>
    <definedName name="radix64" localSheetId="4">'Timber floors'!$BV$1</definedName>
    <definedName name="radix64" localSheetId="3">Walls!$DX$1</definedName>
    <definedName name="radix64b" localSheetId="3">Walls!$ED$1</definedName>
    <definedName name="raft">'Slab floors'!$BB$14</definedName>
    <definedName name="raft_">'Slab floors'!$AH$4</definedName>
    <definedName name="RS_diag1" localSheetId="0">'Roof spaces'!$DC$9</definedName>
    <definedName name="RS_diag2" localSheetId="0">'Roof spaces'!$DJ$3</definedName>
    <definedName name="s_c">'Slab floors'!$AI$53</definedName>
    <definedName name="s_x">'Slab floors'!$AH$53</definedName>
    <definedName name="s_x2">'Slab floors'!$AG$53</definedName>
    <definedName name="s_x3">'Slab floors'!$AF$53</definedName>
    <definedName name="second_k" localSheetId="1">'Roof edge insulation'!$AZ$25</definedName>
    <definedName name="second_thick" localSheetId="1">'Roof edge insulation'!$AT$25</definedName>
    <definedName name="second_width" localSheetId="1">'Roof edge insulation'!$AW$25</definedName>
    <definedName name="select_width" localSheetId="1">'Roof edge insulation'!$BL$25</definedName>
    <definedName name="slab">'Slab floors'!$BA$11</definedName>
    <definedName name="start" localSheetId="1">'Roof edge insulation'!$AH$25</definedName>
    <definedName name="std">'Slab floors'!$AH$4</definedName>
    <definedName name="STF_lined">diagrams!$M$14</definedName>
    <definedName name="tanO" localSheetId="1">'Roof edge insulation'!$W$35</definedName>
    <definedName name="thick">'Slab floors'!$AJ$4</definedName>
    <definedName name="thick_mult">'Slab floors'!$AX$11</definedName>
    <definedName name="topper">'Slab floors'!$AS$14</definedName>
    <definedName name="tot_width" localSheetId="1">'Roof edge insulation'!$V$38</definedName>
    <definedName name="Two_layers" localSheetId="0">'Roof spaces'!$AY$71</definedName>
    <definedName name="under">'Slab floors'!$AI$4</definedName>
    <definedName name="version" localSheetId="9">'Adjust conductivity with temp.'!$T$1</definedName>
    <definedName name="version" localSheetId="6">Doors!$AW$1</definedName>
    <definedName name="version" localSheetId="10">'equivalences for steel frames'!$U$1</definedName>
    <definedName name="version" localSheetId="8">'Insulation product group'!$AB$1</definedName>
    <definedName name="version" localSheetId="1">'Roof edge insulation'!$CR$1</definedName>
    <definedName name="version" localSheetId="0">'Roof spaces'!$DK$1</definedName>
    <definedName name="version" localSheetId="2">Roofs!$CP$1</definedName>
    <definedName name="version" localSheetId="5">'Slab floors'!$CJ$1</definedName>
    <definedName name="version" localSheetId="7">Summary!$C$3</definedName>
    <definedName name="version" localSheetId="4">'Timber floors'!$CL$1</definedName>
    <definedName name="version" localSheetId="3">Walls!$EM$1</definedName>
    <definedName name="W_BBWB_C_140S">diagrams!$I$38</definedName>
    <definedName name="W_BBWB_C_140T">diagrams!$I$14</definedName>
    <definedName name="W_BBWB_C_90S">diagrams!$I$26</definedName>
    <definedName name="W_BBWB_C_90T">diagrams!$I$2</definedName>
    <definedName name="W_BBWB_D140S">diagrams!$I$39</definedName>
    <definedName name="W_BBWB_D140T">diagrams!$I$15</definedName>
    <definedName name="W_BBWB_D90S">diagrams!$I$27</definedName>
    <definedName name="W_BBWB_D90T">diagrams!$I$3</definedName>
    <definedName name="W_BV_140S">diagrams!$I$48</definedName>
    <definedName name="W_BV_140T">diagrams!$I$24</definedName>
    <definedName name="W_BV_90S">diagrams!$I$36</definedName>
    <definedName name="W_BV_90T">diagrams!$I$12</definedName>
    <definedName name="W_diag1" localSheetId="3">Walls!$EB$13</definedName>
    <definedName name="W_diag2" localSheetId="3">Walls!$EB$30</definedName>
    <definedName name="W_diag3" localSheetId="3">Walls!$EB$39</definedName>
    <definedName name="W_diag4" localSheetId="3">Walls!$EE$30</definedName>
    <definedName name="W_EPS_140S">diagrams!$I$49</definedName>
    <definedName name="W_EPS_140T">diagrams!$I$25</definedName>
    <definedName name="W_EPS_90S">diagrams!$I$37</definedName>
    <definedName name="W_EPS_90T">diagrams!$I$13</definedName>
    <definedName name="W_FSS_C_140S">diagrams!$I$44</definedName>
    <definedName name="W_FSS_C_140T">diagrams!$I$20</definedName>
    <definedName name="W_FSS_C_90S">diagrams!$I$32</definedName>
    <definedName name="W_FSS_C_90T">diagrams!$I$8</definedName>
    <definedName name="W_FSS_D140S">diagrams!$I$45</definedName>
    <definedName name="W_FSS_D140T">diagrams!$I$21</definedName>
    <definedName name="W_FSS_D90S">diagrams!$I$33</definedName>
    <definedName name="W_FSS_D90T">diagrams!$I$9</definedName>
    <definedName name="W_FSWB_C_140S">diagrams!$I$42</definedName>
    <definedName name="W_FSWB_C_140T">diagrams!$I$18</definedName>
    <definedName name="W_FSWB_C_90S">diagrams!$I$30</definedName>
    <definedName name="W_FSWB_C_90T">diagrams!$I$6</definedName>
    <definedName name="W_FSWB_D140S">diagrams!$I$43</definedName>
    <definedName name="W_FSWB_D140T">diagrams!$I$19</definedName>
    <definedName name="W_FSWB_D90S">diagrams!$I$31</definedName>
    <definedName name="W_FSWB_D90T">diagrams!$I$7</definedName>
    <definedName name="W_ISIL_M">diagrams!$M$12</definedName>
    <definedName name="W_ISIL_PW">diagrams!$M$15</definedName>
    <definedName name="W_PM_C_140S">diagrams!$I$46</definedName>
    <definedName name="W_PM_C_140T">diagrams!$I$22</definedName>
    <definedName name="W_PM_C_90S">diagrams!$I$34</definedName>
    <definedName name="W_PM_C_90T">diagrams!$I$10</definedName>
    <definedName name="W_PM_D140S">diagrams!$I$47</definedName>
    <definedName name="W_PM_D140T">diagrams!$I$23</definedName>
    <definedName name="W_PM_D90S">diagrams!$I$35</definedName>
    <definedName name="W_PM_D90T">diagrams!$I$11</definedName>
    <definedName name="W_RWB_C_140S">diagrams!$I$40</definedName>
    <definedName name="W_RWB_C_140T">diagrams!$I$16</definedName>
    <definedName name="W_RWB_C_90S">diagrams!$I$28</definedName>
    <definedName name="W_RWB_C_90T">diagrams!$I$4</definedName>
    <definedName name="W_RWB_D140S">diagrams!$I$41</definedName>
    <definedName name="W_RWB_D140T">diagrams!$I$17</definedName>
    <definedName name="W_RWB_D90S">diagrams!$I$29</definedName>
    <definedName name="W_RWB_D90T">diagrams!$I$5</definedName>
    <definedName name="W_S_RAB">diagrams!$M$16</definedName>
    <definedName name="W_staggered">diagrams!$M$11</definedName>
    <definedName name="W_T_RAB">diagrams!$M$13</definedName>
    <definedName name="WebCntrl1" localSheetId="6">Doors!$AM$20</definedName>
    <definedName name="WebCntrl1" localSheetId="1">'Roof edge insulation'!$BT$12</definedName>
    <definedName name="WebCntrl1" localSheetId="0">'Roof spaces'!$CP$16</definedName>
    <definedName name="WebCntrl1" localSheetId="2">Roofs!$CE$8</definedName>
    <definedName name="WebCntrl1" localSheetId="5">'Slab floors'!$BQ$3</definedName>
    <definedName name="WebCntrl1" localSheetId="4">'Timber floors'!$BR$8</definedName>
    <definedName name="WebCntrl1" localSheetId="3">Walls!$DN$3</definedName>
    <definedName name="WebCntrl10" localSheetId="1">'Roof edge insulation'!$BX$34</definedName>
    <definedName name="WebCntrl10" localSheetId="0">'Roof spaces'!$DL$34</definedName>
    <definedName name="WebCntrl10" localSheetId="2">Roofs!$CF$17</definedName>
    <definedName name="WebCntrl10" localSheetId="3">Walls!$EK$14</definedName>
    <definedName name="WebCntrl11" localSheetId="1">'Roof edge insulation'!$BT$38</definedName>
    <definedName name="WebCntrl11" localSheetId="0">'Roof spaces'!$DM$41</definedName>
    <definedName name="WebCntrl11" localSheetId="2">Roofs!$CF$18</definedName>
    <definedName name="WebCntrl11" localSheetId="3">Walls!$DV$11</definedName>
    <definedName name="WebCntrl12" localSheetId="1">'Roof edge insulation'!$CC$4</definedName>
    <definedName name="WebCntrl12" localSheetId="0">'Roof spaces'!$CQ$17</definedName>
    <definedName name="WebCntrl12" localSheetId="2">Roofs!$CF$19</definedName>
    <definedName name="WebCntrl12" localSheetId="3">Walls!$EK$5</definedName>
    <definedName name="WebCntrl13" localSheetId="1">'Roof edge insulation'!$BS$16</definedName>
    <definedName name="WebCntrl13" localSheetId="0">'Roof spaces'!$CQ$18</definedName>
    <definedName name="WebCntrl13" localSheetId="3">Walls!$DT$5</definedName>
    <definedName name="WebCntrl14" localSheetId="1">'Roof edge insulation'!$BS$25</definedName>
    <definedName name="WebCntrl14" localSheetId="0">'Roof spaces'!$CQ$19</definedName>
    <definedName name="WebCntrl14" localSheetId="3">Walls!$DT$6</definedName>
    <definedName name="WebCntrl15" localSheetId="1">'Roof edge insulation'!$BS$34</definedName>
    <definedName name="WebCntrl15" localSheetId="0">'Roof spaces'!$CP$13</definedName>
    <definedName name="WebCntrl15" localSheetId="3">Walls!$DT$7</definedName>
    <definedName name="WebCntrl16" localSheetId="1">'Roof edge insulation'!$BX$5</definedName>
    <definedName name="WebCntrl16" localSheetId="0">'Roof spaces'!$CK$4</definedName>
    <definedName name="WebCntrl16" localSheetId="3">Walls!$DT$8</definedName>
    <definedName name="WebCntrl17" localSheetId="0">'Roof spaces'!$DK$39</definedName>
    <definedName name="WebCntrl17" localSheetId="3">Walls!$EK$6</definedName>
    <definedName name="WebCntrl18" localSheetId="3">Walls!$EK$7</definedName>
    <definedName name="WebCntrl19" localSheetId="3">Walls!$EK$8</definedName>
    <definedName name="WebCntrl2" localSheetId="6">Doors!$AL$15</definedName>
    <definedName name="WebCntrl2" localSheetId="1">'Roof edge insulation'!$BT$20</definedName>
    <definedName name="WebCntrl2" localSheetId="0">'Roof spaces'!$CP$6</definedName>
    <definedName name="WebCntrl2" localSheetId="2">Roofs!$CD$22</definedName>
    <definedName name="WebCntrl2" localSheetId="5">'Slab floors'!$BQ$5</definedName>
    <definedName name="WebCntrl2" localSheetId="4">'Timber floors'!$BR$12</definedName>
    <definedName name="WebCntrl2" localSheetId="3">Walls!$DV$3</definedName>
    <definedName name="WebCntrl20" localSheetId="3">Walls!$DN$6</definedName>
    <definedName name="WebCntrl21" localSheetId="3">Walls!$DR$3</definedName>
    <definedName name="WebCntrl22" localSheetId="3">Walls!$EJ$19</definedName>
    <definedName name="WebCntrl23" localSheetId="3">Walls!$EJ$21</definedName>
    <definedName name="WebCntrl24" localSheetId="3">Walls!$EK$25</definedName>
    <definedName name="WebCntrl25" localSheetId="3">Walls!$EK$26</definedName>
    <definedName name="WebCntrl26" localSheetId="3">Walls!$EK$27</definedName>
    <definedName name="WebCntrl27" localSheetId="3">Walls!$EK$28</definedName>
    <definedName name="WebCntrl28" localSheetId="3">Walls!$EK$29</definedName>
    <definedName name="WebCntrl29" localSheetId="3">Walls!$EK$32</definedName>
    <definedName name="WebCntrl3" localSheetId="6">Doors!$AM$9</definedName>
    <definedName name="WebCntrl3" localSheetId="1">'Roof edge insulation'!$BT$18</definedName>
    <definedName name="WebCntrl3" localSheetId="0">'Roof spaces'!$CP$8</definedName>
    <definedName name="WebCntrl3" localSheetId="2">Roofs!$CE$12</definedName>
    <definedName name="WebCntrl3" localSheetId="5">'Slab floors'!$BQ$7</definedName>
    <definedName name="WebCntrl3" localSheetId="4">'Timber floors'!$BX$8</definedName>
    <definedName name="WebCntrl3" localSheetId="3">Walls!$DZ$3</definedName>
    <definedName name="WebCntrl30" localSheetId="3">Walls!$EK$35</definedName>
    <definedName name="WebCntrl4" localSheetId="6">Doors!$AM$12</definedName>
    <definedName name="WebCntrl4" localSheetId="1">'Roof edge insulation'!$BX$16</definedName>
    <definedName name="WebCntrl4" localSheetId="0">'Roof spaces'!$CO$22</definedName>
    <definedName name="WebCntrl4" localSheetId="2">Roofs!$CE$10</definedName>
    <definedName name="WebCntrl4" localSheetId="5">'Slab floors'!$BQ$9</definedName>
    <definedName name="WebCntrl4" localSheetId="4">'Timber floors'!$BR$10</definedName>
    <definedName name="WebCntrl4" localSheetId="3">Walls!$EC$6</definedName>
    <definedName name="WebCntrl5" localSheetId="6">Doors!$AA$4</definedName>
    <definedName name="WebCntrl5" localSheetId="1">'Roof edge insulation'!$BT$27</definedName>
    <definedName name="WebCntrl5" localSheetId="0">'Roof spaces'!$CW$10</definedName>
    <definedName name="WebCntrl5" localSheetId="2">Roofs!$CE$16</definedName>
    <definedName name="WebCntrl5" localSheetId="5">'Slab floors'!$CG$25</definedName>
    <definedName name="WebCntrl5" localSheetId="4">'Timber floors'!$BX$10</definedName>
    <definedName name="WebCntrl5" localSheetId="3">Walls!$EE$3</definedName>
    <definedName name="WebCntrl6" localSheetId="1">'Roof edge insulation'!$BT$10</definedName>
    <definedName name="WebCntrl6" localSheetId="0">'Roof spaces'!$CP$10</definedName>
    <definedName name="WebCntrl6" localSheetId="2">Roofs!$CK$9</definedName>
    <definedName name="WebCntrl6" localSheetId="5">'Slab floors'!$BY$3</definedName>
    <definedName name="WebCntrl6" localSheetId="4">'Timber floors'!$BM$11</definedName>
    <definedName name="WebCntrl6" localSheetId="3">Walls!$EI$3</definedName>
    <definedName name="WebCntrl7" localSheetId="1">'Roof edge insulation'!$BX$25</definedName>
    <definedName name="WebCntrl7" localSheetId="0">'Roof spaces'!$CK$13</definedName>
    <definedName name="WebCntrl7" localSheetId="2">Roofs!$CE$14</definedName>
    <definedName name="WebCntrl7" localSheetId="5">'Slab floors'!$BY$5</definedName>
    <definedName name="WebCntrl7" localSheetId="3">Walls!$EM$3</definedName>
    <definedName name="WebCntrl8" localSheetId="6">Doors!$AM$7</definedName>
    <definedName name="WebCntrl8" localSheetId="1">'Roof edge insulation'!$BT$29</definedName>
    <definedName name="WebCntrl8" localSheetId="0">'Roof spaces'!$CW$13</definedName>
    <definedName name="WebCntrl8" localSheetId="2">Roofs!$CK$13</definedName>
    <definedName name="WebCntrl8" localSheetId="5">'Slab floors'!$BN$16</definedName>
    <definedName name="WebCntrl8" localSheetId="3">Walls!$EK$17</definedName>
    <definedName name="WebCntrl9" localSheetId="1">'Roof edge insulation'!$BT$36</definedName>
    <definedName name="WebCntrl9" localSheetId="0">'Roof spaces'!$DL$32</definedName>
    <definedName name="WebCntrl9" localSheetId="2">Roofs!$BZ$14</definedName>
    <definedName name="WebCntrl9" localSheetId="3">Walls!$EC$5</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CY10" i="43" l="1" a="1"/>
  <c r="CY10" i="43" s="1"/>
  <c r="CY9" i="43" a="1"/>
  <c r="CY9" i="43" s="1"/>
  <c r="P33" i="17"/>
  <c r="AR23" i="17" l="1"/>
  <c r="AE71" i="19"/>
  <c r="AE47" i="19"/>
  <c r="AJ4" i="19"/>
  <c r="AH4" i="19"/>
  <c r="AH5" i="19" s="1"/>
  <c r="AG4" i="19"/>
  <c r="AG5" i="19" s="1"/>
  <c r="AH6" i="19" l="1"/>
  <c r="AG10" i="19" s="1"/>
  <c r="AK72" i="19" s="1"/>
  <c r="AJ5" i="19"/>
  <c r="AU159" i="19"/>
  <c r="AJ73" i="19" l="1"/>
  <c r="AJ74" i="19"/>
  <c r="AK75" i="19"/>
  <c r="AJ72" i="19"/>
  <c r="AL76" i="19"/>
  <c r="AF73" i="19"/>
  <c r="AJ75" i="19"/>
  <c r="AF74" i="19"/>
  <c r="AM74" i="19"/>
  <c r="AM75" i="19"/>
  <c r="AI73" i="19"/>
  <c r="AI75" i="19"/>
  <c r="AM72" i="19"/>
  <c r="AM77" i="19" s="1" a="1"/>
  <c r="AM77" i="19" s="1"/>
  <c r="AH76" i="19"/>
  <c r="AG76" i="19"/>
  <c r="AM73" i="19"/>
  <c r="AI10" i="19" a="1"/>
  <c r="AI10" i="19" s="1"/>
  <c r="AF69" i="19" s="1"/>
  <c r="AH73" i="19"/>
  <c r="AK76" i="19"/>
  <c r="AK77" i="19" s="1" a="1"/>
  <c r="AK77" i="19" s="1"/>
  <c r="AH74" i="19"/>
  <c r="AK74" i="19"/>
  <c r="AH10" i="19" a="1"/>
  <c r="AH10" i="19" s="1"/>
  <c r="AE69" i="19" s="1"/>
  <c r="AL73" i="19"/>
  <c r="AG73" i="19"/>
  <c r="AI76" i="19"/>
  <c r="AI74" i="19"/>
  <c r="AH75" i="19"/>
  <c r="AL75" i="19"/>
  <c r="AG75" i="19"/>
  <c r="AH72" i="19"/>
  <c r="AF75" i="19"/>
  <c r="AF76" i="19"/>
  <c r="AG74" i="19"/>
  <c r="AK73" i="19"/>
  <c r="AL74" i="19"/>
  <c r="AG72" i="19"/>
  <c r="AJ76" i="19"/>
  <c r="AL72" i="19"/>
  <c r="AL77" i="19" s="1" a="1"/>
  <c r="AL77" i="19" s="1"/>
  <c r="AI72" i="19"/>
  <c r="AM76" i="19"/>
  <c r="AF72" i="19"/>
  <c r="AF77" i="19" s="1" a="1"/>
  <c r="AF77" i="19" s="1"/>
  <c r="AH77" i="19" l="1" a="1"/>
  <c r="AH77" i="19" s="1"/>
  <c r="AJ77" i="19" a="1"/>
  <c r="AJ77" i="19" s="1"/>
  <c r="AI77" i="19" a="1"/>
  <c r="AI77" i="19" s="1"/>
  <c r="AG77" i="19" a="1"/>
  <c r="AG77" i="19" s="1"/>
  <c r="AU171" i="19"/>
  <c r="AE59" i="19" l="1"/>
  <c r="AW121" i="19" l="1" a="1"/>
  <c r="AW121" i="19" s="1"/>
  <c r="F10" i="44"/>
  <c r="J13" i="44" s="1"/>
  <c r="F5" i="44"/>
  <c r="F16" i="44" s="1"/>
  <c r="F3" i="44"/>
  <c r="AH69" i="45"/>
  <c r="AG69" i="45"/>
  <c r="AF69" i="45"/>
  <c r="AE69" i="45"/>
  <c r="AD69" i="45"/>
  <c r="AC69" i="45"/>
  <c r="AB69" i="45"/>
  <c r="AA69" i="45"/>
  <c r="Z69" i="45"/>
  <c r="Y69" i="45"/>
  <c r="X69" i="45"/>
  <c r="W69" i="45"/>
  <c r="V69" i="45"/>
  <c r="U69" i="45"/>
  <c r="T69" i="45"/>
  <c r="AB67" i="45"/>
  <c r="Y67" i="45"/>
  <c r="W67" i="45"/>
  <c r="AB66" i="45"/>
  <c r="Y66" i="45"/>
  <c r="W66" i="45"/>
  <c r="AB65" i="45"/>
  <c r="Y65" i="45"/>
  <c r="W65" i="45"/>
  <c r="AB64" i="45"/>
  <c r="Y64" i="45"/>
  <c r="W64" i="45"/>
  <c r="AB63" i="45"/>
  <c r="Y63" i="45"/>
  <c r="W63" i="45"/>
  <c r="AB62" i="45"/>
  <c r="Y62" i="45"/>
  <c r="W62" i="45"/>
  <c r="AB61" i="45"/>
  <c r="Y61" i="45"/>
  <c r="W61" i="45"/>
  <c r="AB60" i="45"/>
  <c r="Y60" i="45"/>
  <c r="W60" i="45"/>
  <c r="AB59" i="45"/>
  <c r="Y59" i="45"/>
  <c r="W59" i="45"/>
  <c r="AB58" i="45"/>
  <c r="Y58" i="45"/>
  <c r="W58" i="45"/>
  <c r="AB57" i="45"/>
  <c r="Y57" i="45"/>
  <c r="W57" i="45"/>
  <c r="AB56" i="45"/>
  <c r="Y56" i="45"/>
  <c r="W56" i="45"/>
  <c r="AB55" i="45"/>
  <c r="Y55" i="45"/>
  <c r="W55" i="45"/>
  <c r="AB54" i="45"/>
  <c r="Y54" i="45"/>
  <c r="W54" i="45"/>
  <c r="AB53" i="45"/>
  <c r="Y53" i="45"/>
  <c r="W53" i="45"/>
  <c r="AB52" i="45"/>
  <c r="Y52" i="45"/>
  <c r="W52" i="45"/>
  <c r="AB51" i="45"/>
  <c r="Y51" i="45"/>
  <c r="W51" i="45"/>
  <c r="AB50" i="45"/>
  <c r="Y50" i="45"/>
  <c r="W50" i="45"/>
  <c r="AB49" i="45"/>
  <c r="Y49" i="45"/>
  <c r="W49" i="45"/>
  <c r="AB48" i="45"/>
  <c r="Y48" i="45"/>
  <c r="W48" i="45"/>
  <c r="AB47" i="45"/>
  <c r="Y47" i="45"/>
  <c r="W47" i="45"/>
  <c r="AB46" i="45"/>
  <c r="Y46" i="45"/>
  <c r="W46" i="45"/>
  <c r="AB45" i="45"/>
  <c r="Y45" i="45"/>
  <c r="W45" i="45"/>
  <c r="AB44" i="45"/>
  <c r="Y44" i="45"/>
  <c r="W44" i="45"/>
  <c r="AB43" i="45"/>
  <c r="Y43" i="45"/>
  <c r="W43" i="45"/>
  <c r="AB42" i="45"/>
  <c r="Y42" i="45"/>
  <c r="W42" i="45"/>
  <c r="F42" i="45"/>
  <c r="F41" i="45"/>
  <c r="F40" i="45"/>
  <c r="F39" i="45"/>
  <c r="F38" i="45"/>
  <c r="F37" i="45"/>
  <c r="J27" i="45"/>
  <c r="Q27" i="45" s="1"/>
  <c r="R27" i="45" s="1"/>
  <c r="E27" i="45"/>
  <c r="Q26" i="45"/>
  <c r="R26" i="45" s="1"/>
  <c r="P26" i="45"/>
  <c r="J26" i="45"/>
  <c r="E26" i="45"/>
  <c r="Q25" i="45"/>
  <c r="R25" i="45" s="1"/>
  <c r="P25" i="45"/>
  <c r="J25" i="45"/>
  <c r="E25" i="45"/>
  <c r="P24" i="45"/>
  <c r="J24" i="45"/>
  <c r="Q24" i="45" s="1"/>
  <c r="R24" i="45" s="1"/>
  <c r="E24" i="45"/>
  <c r="P23" i="45"/>
  <c r="J23" i="45"/>
  <c r="Q23" i="45" s="1"/>
  <c r="R23" i="45" s="1"/>
  <c r="E23" i="45"/>
  <c r="J22" i="45"/>
  <c r="P22" i="45" s="1"/>
  <c r="E22" i="45"/>
  <c r="J21" i="45"/>
  <c r="Q21" i="45" s="1"/>
  <c r="R21" i="45" s="1"/>
  <c r="E21" i="45"/>
  <c r="Q20" i="45"/>
  <c r="R20" i="45" s="1"/>
  <c r="P20" i="45"/>
  <c r="J20" i="45"/>
  <c r="E20" i="45"/>
  <c r="J19" i="45"/>
  <c r="P19" i="45" s="1"/>
  <c r="E19" i="45"/>
  <c r="BH18" i="45"/>
  <c r="BE18" i="45"/>
  <c r="BA18" i="45" a="1"/>
  <c r="BA18" i="45" s="1"/>
  <c r="AY18" i="45"/>
  <c r="AX18" i="45" a="1"/>
  <c r="AX18" i="45" s="1"/>
  <c r="G40" i="45" s="1"/>
  <c r="AV18" i="45"/>
  <c r="AU18" i="45" a="1"/>
  <c r="AU18" i="45" s="1"/>
  <c r="AS18" i="45"/>
  <c r="AR18" i="45" a="1"/>
  <c r="AR18" i="45" s="1"/>
  <c r="AP18" i="45"/>
  <c r="P18" i="45"/>
  <c r="J18" i="45"/>
  <c r="Q18" i="45" s="1"/>
  <c r="R18" i="45" s="1"/>
  <c r="E18" i="45"/>
  <c r="AV17" i="45"/>
  <c r="AU17" i="45"/>
  <c r="AR17" i="45"/>
  <c r="AH1" i="45" s="1"/>
  <c r="AF51" i="45" s="1"/>
  <c r="AD51" i="45" s="1"/>
  <c r="J17" i="45"/>
  <c r="Q17" i="45" s="1"/>
  <c r="R17" i="45" s="1"/>
  <c r="E17" i="45"/>
  <c r="J16" i="45"/>
  <c r="Q16" i="45" s="1"/>
  <c r="R16" i="45" s="1"/>
  <c r="E16" i="45"/>
  <c r="P15" i="45"/>
  <c r="J15" i="45"/>
  <c r="Q15" i="45" s="1"/>
  <c r="R15" i="45" s="1"/>
  <c r="E15" i="45"/>
  <c r="P14" i="45"/>
  <c r="J14" i="45"/>
  <c r="Q14" i="45" s="1"/>
  <c r="R14" i="45" s="1"/>
  <c r="E14" i="45"/>
  <c r="J13" i="45"/>
  <c r="Q13" i="45" s="1"/>
  <c r="R13" i="45" s="1"/>
  <c r="E13" i="45"/>
  <c r="BK12" i="45"/>
  <c r="P12" i="45"/>
  <c r="J12" i="45"/>
  <c r="Q12" i="45" s="1"/>
  <c r="R12" i="45" s="1"/>
  <c r="E12" i="45"/>
  <c r="BK11" i="45"/>
  <c r="Q11" i="45"/>
  <c r="R11" i="45" s="1"/>
  <c r="P11" i="45"/>
  <c r="J11" i="45"/>
  <c r="E11" i="45"/>
  <c r="BK10" i="45"/>
  <c r="Q10" i="45"/>
  <c r="R10" i="45" s="1"/>
  <c r="P10" i="45"/>
  <c r="J10" i="45"/>
  <c r="E10" i="45"/>
  <c r="BK9" i="45"/>
  <c r="Q9" i="45"/>
  <c r="R9" i="45" s="1"/>
  <c r="P9" i="45"/>
  <c r="J9" i="45"/>
  <c r="E9" i="45"/>
  <c r="BK8" i="45"/>
  <c r="Q8" i="45"/>
  <c r="R8" i="45" s="1"/>
  <c r="P8" i="45"/>
  <c r="J8" i="45"/>
  <c r="E8" i="45"/>
  <c r="J7" i="45"/>
  <c r="E7" i="45"/>
  <c r="C6" i="45"/>
  <c r="C5" i="45"/>
  <c r="BT4" i="45"/>
  <c r="C4" i="45"/>
  <c r="E4" i="45" s="1"/>
  <c r="D3" i="45"/>
  <c r="J3" i="45" s="1"/>
  <c r="C3" i="45"/>
  <c r="BK2" i="45"/>
  <c r="BI2" i="45"/>
  <c r="AZ2" i="45"/>
  <c r="AW2" i="45"/>
  <c r="D4" i="45" s="1"/>
  <c r="J4" i="45" s="1"/>
  <c r="AT2" i="45"/>
  <c r="D5" i="45" s="1"/>
  <c r="J5" i="45" s="1"/>
  <c r="AQ2" i="45"/>
  <c r="D6" i="45" s="1"/>
  <c r="J6" i="45" s="1"/>
  <c r="AM2" i="45"/>
  <c r="AM2" i="45" a="1"/>
  <c r="J2" i="45"/>
  <c r="D2" i="45"/>
  <c r="C2" i="45"/>
  <c r="BK1" i="45"/>
  <c r="BI1" i="45"/>
  <c r="AZ1" i="45"/>
  <c r="AW1" i="45"/>
  <c r="AT1" i="45"/>
  <c r="AQ1" i="45"/>
  <c r="AL1" i="45"/>
  <c r="AI1" i="45"/>
  <c r="S56" i="44" l="1"/>
  <c r="M59" i="44"/>
  <c r="R59" i="44"/>
  <c r="J14" i="44"/>
  <c r="M14" i="44" s="1"/>
  <c r="I23" i="44"/>
  <c r="J12" i="44"/>
  <c r="Q12" i="44" s="1"/>
  <c r="M23" i="44"/>
  <c r="F41" i="44"/>
  <c r="M42" i="44"/>
  <c r="F14" i="44"/>
  <c r="Q13" i="44"/>
  <c r="M13" i="44"/>
  <c r="F43" i="44"/>
  <c r="I27" i="44"/>
  <c r="F46" i="44"/>
  <c r="F15" i="44"/>
  <c r="M27" i="44"/>
  <c r="F49" i="44"/>
  <c r="J15" i="44"/>
  <c r="R27" i="44"/>
  <c r="F52" i="44"/>
  <c r="F37" i="44"/>
  <c r="F55" i="44"/>
  <c r="F39" i="44"/>
  <c r="I56" i="44"/>
  <c r="F13" i="44"/>
  <c r="I39" i="44"/>
  <c r="N56" i="44"/>
  <c r="M19" i="44"/>
  <c r="N39" i="44"/>
  <c r="R56" i="44"/>
  <c r="R23" i="44"/>
  <c r="M56" i="44"/>
  <c r="I19" i="44"/>
  <c r="M39" i="44"/>
  <c r="R19" i="44"/>
  <c r="R39" i="44"/>
  <c r="BA17" i="45"/>
  <c r="BS10" i="45"/>
  <c r="BB18" i="45"/>
  <c r="AF3" i="45"/>
  <c r="AF39" i="45" s="1"/>
  <c r="AI12" i="45" s="1"/>
  <c r="BJ15" i="45"/>
  <c r="E5" i="45"/>
  <c r="P7" i="45"/>
  <c r="Q7" i="45"/>
  <c r="R7" i="45" s="1"/>
  <c r="C1" i="45"/>
  <c r="G37" i="45"/>
  <c r="BS8" i="45"/>
  <c r="D1" i="45"/>
  <c r="E2" i="45"/>
  <c r="E3" i="45"/>
  <c r="E6" i="45"/>
  <c r="G39" i="45"/>
  <c r="BS12" i="45"/>
  <c r="Q19" i="45"/>
  <c r="R19" i="45" s="1"/>
  <c r="Q22" i="45"/>
  <c r="R22" i="45" s="1"/>
  <c r="P13" i="45"/>
  <c r="P21" i="45"/>
  <c r="BY8" i="45"/>
  <c r="AL70" i="45"/>
  <c r="AK70" i="45"/>
  <c r="AJ70" i="45"/>
  <c r="AI70" i="45"/>
  <c r="AM70" i="45"/>
  <c r="G38" i="45"/>
  <c r="AX17" i="45"/>
  <c r="P16" i="45"/>
  <c r="P17" i="45"/>
  <c r="BB17" i="45"/>
  <c r="P27" i="45"/>
  <c r="Q14" i="44" l="1"/>
  <c r="M12" i="44"/>
  <c r="Q15" i="44"/>
  <c r="M15" i="44"/>
  <c r="AF18" i="45"/>
  <c r="AG9" i="45" s="1"/>
  <c r="AF22" i="45"/>
  <c r="AG13" i="45" s="1"/>
  <c r="AF27" i="45"/>
  <c r="AH9" i="45" s="1"/>
  <c r="AF15" i="45"/>
  <c r="AG6" i="45" s="1"/>
  <c r="AF17" i="45"/>
  <c r="AG8" i="45" s="1"/>
  <c r="AF28" i="45"/>
  <c r="AH10" i="45" s="1"/>
  <c r="AF32" i="45"/>
  <c r="AI5" i="45" s="1"/>
  <c r="AF31" i="45"/>
  <c r="AH13" i="45" s="1"/>
  <c r="AF24" i="45"/>
  <c r="AH6" i="45" s="1"/>
  <c r="AF30" i="45"/>
  <c r="AH12" i="45" s="1"/>
  <c r="AF37" i="45"/>
  <c r="AI10" i="45" s="1"/>
  <c r="AF23" i="45"/>
  <c r="AH5" i="45" s="1"/>
  <c r="AF34" i="45"/>
  <c r="AI7" i="45" s="1"/>
  <c r="AH2" i="45" a="1"/>
  <c r="AH2" i="45" s="1"/>
  <c r="BE75" i="45" s="1"/>
  <c r="AF35" i="45"/>
  <c r="AI8" i="45" s="1"/>
  <c r="AF29" i="45"/>
  <c r="AH11" i="45" s="1"/>
  <c r="AF16" i="45"/>
  <c r="AG7" i="45" s="1"/>
  <c r="AF2" i="45" a="1"/>
  <c r="AF2" i="45" s="1"/>
  <c r="AM51" i="45" s="1"/>
  <c r="AL51" i="45" s="1"/>
  <c r="AF1" i="45" s="1"/>
  <c r="AF36" i="45"/>
  <c r="AI9" i="45" s="1"/>
  <c r="AF26" i="45"/>
  <c r="AH8" i="45" s="1"/>
  <c r="AF38" i="45"/>
  <c r="AI11" i="45" s="1"/>
  <c r="AF20" i="45"/>
  <c r="AG11" i="45" s="1"/>
  <c r="AF21" i="45"/>
  <c r="AG12" i="45" s="1"/>
  <c r="AF33" i="45"/>
  <c r="AI6" i="45" s="1"/>
  <c r="AF40" i="45"/>
  <c r="AI13" i="45" s="1"/>
  <c r="AF19" i="45"/>
  <c r="AG10" i="45" s="1"/>
  <c r="AF14" i="45"/>
  <c r="AG5" i="45" s="1"/>
  <c r="AF25" i="45"/>
  <c r="AH7" i="45" s="1"/>
  <c r="BH34" i="45"/>
  <c r="BE45" i="45"/>
  <c r="BH38" i="45"/>
  <c r="BE58" i="45"/>
  <c r="BH80" i="45"/>
  <c r="BH65" i="45"/>
  <c r="BE31" i="45"/>
  <c r="BE46" i="45"/>
  <c r="BH71" i="45"/>
  <c r="BH59" i="45"/>
  <c r="BE81" i="45"/>
  <c r="BE23" i="45"/>
  <c r="BE39" i="45"/>
  <c r="BE51" i="45"/>
  <c r="BE54" i="45"/>
  <c r="BE68" i="45"/>
  <c r="BH63" i="45"/>
  <c r="BH60" i="45"/>
  <c r="BE33" i="45"/>
  <c r="BE47" i="45"/>
  <c r="BH46" i="45"/>
  <c r="BH82" i="45"/>
  <c r="BH62" i="45"/>
  <c r="BE76" i="45"/>
  <c r="BH52" i="45"/>
  <c r="BE69" i="45"/>
  <c r="BE49" i="45"/>
  <c r="BE26" i="45"/>
  <c r="BH66" i="45"/>
  <c r="BE74" i="45"/>
  <c r="BE25" i="45"/>
  <c r="BE62" i="45"/>
  <c r="BE42" i="45"/>
  <c r="BH49" i="45"/>
  <c r="BH81" i="45"/>
  <c r="F1" i="45"/>
  <c r="F2" i="45" s="1"/>
  <c r="BE21" i="45"/>
  <c r="BE22" i="45"/>
  <c r="BH25" i="45"/>
  <c r="BH42" i="45"/>
  <c r="BH75" i="45"/>
  <c r="BE52" i="45"/>
  <c r="U111" i="45" l="1"/>
  <c r="W92" i="45"/>
  <c r="AB131" i="45"/>
  <c r="U103" i="45"/>
  <c r="AA81" i="45"/>
  <c r="X100" i="45"/>
  <c r="U122" i="45"/>
  <c r="AF129" i="45"/>
  <c r="T130" i="45"/>
  <c r="BE56" i="45"/>
  <c r="BN24" i="45" s="1"/>
  <c r="BH54" i="45"/>
  <c r="BH67" i="45"/>
  <c r="BH74" i="45"/>
  <c r="AA92" i="45"/>
  <c r="X120" i="45"/>
  <c r="U119" i="45"/>
  <c r="BE48" i="45"/>
  <c r="BT47" i="45" s="1"/>
  <c r="BH40" i="45"/>
  <c r="BE73" i="45"/>
  <c r="BM41" i="45" s="1"/>
  <c r="T94" i="45"/>
  <c r="BH56" i="45"/>
  <c r="BH30" i="45"/>
  <c r="BH28" i="45"/>
  <c r="AC94" i="45"/>
  <c r="Y133" i="45"/>
  <c r="AA106" i="45"/>
  <c r="AA76" i="45"/>
  <c r="AD116" i="45"/>
  <c r="AF76" i="45"/>
  <c r="BH61" i="45"/>
  <c r="BE67" i="45"/>
  <c r="BM35" i="45" s="1"/>
  <c r="X121" i="45"/>
  <c r="AD129" i="45"/>
  <c r="AD101" i="45"/>
  <c r="BE61" i="45"/>
  <c r="BM29" i="45" s="1"/>
  <c r="BE38" i="45"/>
  <c r="BT37" i="45" s="1"/>
  <c r="BE36" i="45"/>
  <c r="BH47" i="45"/>
  <c r="T74" i="45"/>
  <c r="BE59" i="45"/>
  <c r="BM27" i="45" s="1"/>
  <c r="BH70" i="45"/>
  <c r="BH23" i="45"/>
  <c r="X94" i="45"/>
  <c r="X85" i="45"/>
  <c r="X126" i="45"/>
  <c r="AC78" i="45"/>
  <c r="BE28" i="45"/>
  <c r="BT27" i="45" s="1"/>
  <c r="BH35" i="45"/>
  <c r="U75" i="45"/>
  <c r="U90" i="45"/>
  <c r="BH69" i="45"/>
  <c r="BE57" i="45"/>
  <c r="BN25" i="45" s="1"/>
  <c r="BH21" i="45"/>
  <c r="BE35" i="45"/>
  <c r="BH39" i="45"/>
  <c r="BH58" i="45"/>
  <c r="W102" i="45"/>
  <c r="AA80" i="45"/>
  <c r="AD123" i="45"/>
  <c r="U130" i="45"/>
  <c r="AA83" i="45"/>
  <c r="AD105" i="45"/>
  <c r="Z115" i="45"/>
  <c r="AA125" i="45"/>
  <c r="BE50" i="45"/>
  <c r="BT49" i="45" s="1"/>
  <c r="BE20" i="45"/>
  <c r="BU19" i="45" s="1"/>
  <c r="BE72" i="45"/>
  <c r="BM40" i="45" s="1"/>
  <c r="BH20" i="45"/>
  <c r="AD100" i="45"/>
  <c r="AG93" i="45"/>
  <c r="AD126" i="45"/>
  <c r="U114" i="45"/>
  <c r="U127" i="45"/>
  <c r="BE34" i="45"/>
  <c r="BU33" i="45" s="1"/>
  <c r="BH50" i="45"/>
  <c r="BE30" i="45"/>
  <c r="BT29" i="45" s="1"/>
  <c r="BH22" i="45"/>
  <c r="BE63" i="45"/>
  <c r="BE40" i="45"/>
  <c r="BT39" i="45" s="1"/>
  <c r="W85" i="45"/>
  <c r="Z104" i="45"/>
  <c r="W72" i="45"/>
  <c r="AF105" i="45"/>
  <c r="AC96" i="45"/>
  <c r="W88" i="45"/>
  <c r="Z129" i="45"/>
  <c r="BE70" i="45"/>
  <c r="BH33" i="45"/>
  <c r="BH68" i="45"/>
  <c r="BE32" i="45"/>
  <c r="BU31" i="45" s="1"/>
  <c r="Y117" i="45"/>
  <c r="AG126" i="45"/>
  <c r="Y91" i="45"/>
  <c r="AC108" i="45"/>
  <c r="AC106" i="45"/>
  <c r="T96" i="45"/>
  <c r="W80" i="45"/>
  <c r="T92" i="45"/>
  <c r="AF106" i="45"/>
  <c r="BE65" i="45"/>
  <c r="BM33" i="45" s="1"/>
  <c r="BH36" i="45"/>
  <c r="BH76" i="45"/>
  <c r="BE53" i="45"/>
  <c r="BN21" i="45" s="1"/>
  <c r="AG72" i="45"/>
  <c r="AD122" i="45"/>
  <c r="AD124" i="45"/>
  <c r="U91" i="45"/>
  <c r="AA109" i="45"/>
  <c r="BE64" i="45"/>
  <c r="BH41" i="45"/>
  <c r="BE60" i="45"/>
  <c r="BM28" i="45" s="1"/>
  <c r="BH32" i="45"/>
  <c r="BH31" i="45"/>
  <c r="BE24" i="45"/>
  <c r="BU23" i="45" s="1"/>
  <c r="AF118" i="45"/>
  <c r="AF113" i="45"/>
  <c r="AC80" i="45"/>
  <c r="AC90" i="45"/>
  <c r="AF96" i="45"/>
  <c r="T124" i="45"/>
  <c r="AC124" i="45"/>
  <c r="BH45" i="45"/>
  <c r="BH24" i="45"/>
  <c r="BH44" i="45"/>
  <c r="BH51" i="45"/>
  <c r="BH73" i="45"/>
  <c r="BE43" i="45"/>
  <c r="BU42" i="45" s="1"/>
  <c r="BH64" i="45"/>
  <c r="BE79" i="45"/>
  <c r="BJ80" i="45" s="1"/>
  <c r="AA72" i="45"/>
  <c r="X84" i="45"/>
  <c r="U79" i="45"/>
  <c r="U99" i="45"/>
  <c r="BH77" i="45"/>
  <c r="BH57" i="45"/>
  <c r="BH72" i="45"/>
  <c r="BE41" i="45"/>
  <c r="BU40" i="45" s="1"/>
  <c r="BH78" i="45"/>
  <c r="BH48" i="45"/>
  <c r="Z72" i="45"/>
  <c r="AF120" i="45"/>
  <c r="T76" i="45"/>
  <c r="T85" i="45"/>
  <c r="Z110" i="45"/>
  <c r="Z127" i="45"/>
  <c r="AF126" i="45"/>
  <c r="BH27" i="45"/>
  <c r="BH79" i="45"/>
  <c r="AG82" i="45"/>
  <c r="AG130" i="45"/>
  <c r="W100" i="45"/>
  <c r="AJ100" i="45" s="1"/>
  <c r="T116" i="45"/>
  <c r="W73" i="45"/>
  <c r="Z119" i="45"/>
  <c r="AF122" i="45"/>
  <c r="T132" i="45"/>
  <c r="Z99" i="45"/>
  <c r="AC93" i="45"/>
  <c r="W124" i="45"/>
  <c r="W123" i="45"/>
  <c r="Z90" i="45"/>
  <c r="AC74" i="45"/>
  <c r="W89" i="45"/>
  <c r="T79" i="45"/>
  <c r="Z103" i="45"/>
  <c r="T112" i="45"/>
  <c r="AC113" i="45"/>
  <c r="AL113" i="45" s="1"/>
  <c r="Z82" i="45"/>
  <c r="T100" i="45"/>
  <c r="Z88" i="45"/>
  <c r="AF93" i="45"/>
  <c r="Z116" i="45"/>
  <c r="AF114" i="45"/>
  <c r="AD91" i="45"/>
  <c r="AA79" i="45"/>
  <c r="X73" i="45"/>
  <c r="AJ73" i="45" s="1"/>
  <c r="AA126" i="45"/>
  <c r="AD95" i="45"/>
  <c r="AG76" i="45"/>
  <c r="X114" i="45"/>
  <c r="U82" i="45"/>
  <c r="AA87" i="45"/>
  <c r="X130" i="45"/>
  <c r="AG89" i="45"/>
  <c r="X82" i="45"/>
  <c r="X96" i="45"/>
  <c r="X77" i="45"/>
  <c r="AA94" i="45"/>
  <c r="AA74" i="45"/>
  <c r="X87" i="45"/>
  <c r="AA128" i="45"/>
  <c r="AG83" i="45"/>
  <c r="X95" i="45"/>
  <c r="AD88" i="45"/>
  <c r="AD106" i="45"/>
  <c r="AA130" i="45"/>
  <c r="AA102" i="45"/>
  <c r="AD121" i="45"/>
  <c r="AG92" i="45"/>
  <c r="AA100" i="45"/>
  <c r="AA120" i="45"/>
  <c r="AD102" i="45"/>
  <c r="AD127" i="45"/>
  <c r="AG115" i="45"/>
  <c r="AG123" i="45"/>
  <c r="AG131" i="45"/>
  <c r="AA111" i="45"/>
  <c r="AA127" i="45"/>
  <c r="AK127" i="45" s="1"/>
  <c r="AG104" i="45"/>
  <c r="AG112" i="45"/>
  <c r="AG120" i="45"/>
  <c r="AG128" i="45"/>
  <c r="AB95" i="45"/>
  <c r="V127" i="45"/>
  <c r="AE114" i="45"/>
  <c r="AF99" i="45"/>
  <c r="Z78" i="45"/>
  <c r="AF79" i="45"/>
  <c r="T77" i="45"/>
  <c r="W99" i="45"/>
  <c r="AF97" i="45"/>
  <c r="W125" i="45"/>
  <c r="AJ125" i="45" s="1"/>
  <c r="T110" i="45"/>
  <c r="W91" i="45"/>
  <c r="AF83" i="45"/>
  <c r="AF78" i="45"/>
  <c r="AF128" i="45"/>
  <c r="T122" i="45"/>
  <c r="W107" i="45"/>
  <c r="AC95" i="45"/>
  <c r="AF130" i="45"/>
  <c r="Z131" i="45"/>
  <c r="W106" i="45"/>
  <c r="AD113" i="45"/>
  <c r="AA84" i="45"/>
  <c r="X74" i="45"/>
  <c r="AD131" i="45"/>
  <c r="U100" i="45"/>
  <c r="AD78" i="45"/>
  <c r="AG71" i="45"/>
  <c r="AD86" i="45"/>
  <c r="AA88" i="45"/>
  <c r="AK88" i="45" s="1"/>
  <c r="AA71" i="45"/>
  <c r="U96" i="45"/>
  <c r="U83" i="45"/>
  <c r="AD103" i="45"/>
  <c r="U78" i="45"/>
  <c r="AA96" i="45"/>
  <c r="X75" i="45"/>
  <c r="X93" i="45"/>
  <c r="X132" i="45"/>
  <c r="U84" i="45"/>
  <c r="X98" i="45"/>
  <c r="AD90" i="45"/>
  <c r="AL90" i="45" s="1"/>
  <c r="X109" i="45"/>
  <c r="AA89" i="45"/>
  <c r="U106" i="45"/>
  <c r="X127" i="45"/>
  <c r="U93" i="45"/>
  <c r="U104" i="45"/>
  <c r="X124" i="45"/>
  <c r="X105" i="45"/>
  <c r="X133" i="45"/>
  <c r="U116" i="45"/>
  <c r="AI116" i="45" s="1"/>
  <c r="U124" i="45"/>
  <c r="U132" i="45"/>
  <c r="AI132" i="45" s="1"/>
  <c r="AA113" i="45"/>
  <c r="AA129" i="45"/>
  <c r="U105" i="45"/>
  <c r="U113" i="45"/>
  <c r="U121" i="45"/>
  <c r="U129" i="45"/>
  <c r="AB72" i="45"/>
  <c r="Y87" i="45"/>
  <c r="AE130" i="45"/>
  <c r="T108" i="45"/>
  <c r="W121" i="45"/>
  <c r="Z81" i="45"/>
  <c r="AK81" i="45" s="1"/>
  <c r="AC81" i="45"/>
  <c r="T101" i="45"/>
  <c r="Z105" i="45"/>
  <c r="Z130" i="45"/>
  <c r="Z111" i="45"/>
  <c r="AK111" i="45" s="1"/>
  <c r="T95" i="45"/>
  <c r="T84" i="45"/>
  <c r="AC79" i="45"/>
  <c r="W131" i="45"/>
  <c r="Z123" i="45"/>
  <c r="Z109" i="45"/>
  <c r="AK109" i="45" s="1"/>
  <c r="AC97" i="45"/>
  <c r="W133" i="45"/>
  <c r="AJ133" i="45" s="1"/>
  <c r="AF132" i="45"/>
  <c r="W120" i="45"/>
  <c r="AD73" i="45"/>
  <c r="AD115" i="45"/>
  <c r="AA78" i="45"/>
  <c r="AK78" i="45" s="1"/>
  <c r="AG73" i="45"/>
  <c r="X102" i="45"/>
  <c r="X80" i="45"/>
  <c r="AD72" i="45"/>
  <c r="U92" i="45"/>
  <c r="AI92" i="45" s="1"/>
  <c r="X92" i="45"/>
  <c r="AJ92" i="45" s="1"/>
  <c r="X72" i="45"/>
  <c r="AJ72" i="45" s="1"/>
  <c r="AG97" i="45"/>
  <c r="AG84" i="45"/>
  <c r="AD104" i="45"/>
  <c r="AG103" i="45"/>
  <c r="U76" i="45"/>
  <c r="U98" i="45"/>
  <c r="AD133" i="45"/>
  <c r="AG85" i="45"/>
  <c r="X107" i="45"/>
  <c r="AD92" i="45"/>
  <c r="AD110" i="45"/>
  <c r="AA91" i="45"/>
  <c r="AG107" i="45"/>
  <c r="AD128" i="45"/>
  <c r="AG94" i="45"/>
  <c r="AM94" i="45" s="1"/>
  <c r="BB43" i="45" s="1" a="1"/>
  <c r="BB43" i="45" s="1"/>
  <c r="AG105" i="45"/>
  <c r="AD125" i="45"/>
  <c r="X110" i="45"/>
  <c r="AG109" i="45"/>
  <c r="AG117" i="45"/>
  <c r="AG125" i="45"/>
  <c r="AG133" i="45"/>
  <c r="AA115" i="45"/>
  <c r="AK115" i="45" s="1"/>
  <c r="AA131" i="45"/>
  <c r="AG106" i="45"/>
  <c r="AM106" i="45" s="1"/>
  <c r="BB55" i="45" s="1" a="1"/>
  <c r="BB55" i="45" s="1"/>
  <c r="AG114" i="45"/>
  <c r="AG122" i="45"/>
  <c r="AB73" i="45"/>
  <c r="AE133" i="45"/>
  <c r="AC75" i="45"/>
  <c r="Z85" i="45"/>
  <c r="T89" i="45"/>
  <c r="AC98" i="45"/>
  <c r="AF111" i="45"/>
  <c r="Z71" i="45"/>
  <c r="W77" i="45"/>
  <c r="AC88" i="45"/>
  <c r="AF77" i="45"/>
  <c r="T109" i="45"/>
  <c r="AF92" i="45"/>
  <c r="AM92" i="45" s="1"/>
  <c r="BB41" i="45" s="1" a="1"/>
  <c r="BB41" i="45" s="1"/>
  <c r="AC86" i="45"/>
  <c r="Z97" i="45"/>
  <c r="Z132" i="45"/>
  <c r="Z118" i="45"/>
  <c r="W105" i="45"/>
  <c r="Z106" i="45"/>
  <c r="AK106" i="45" s="1"/>
  <c r="AC118" i="45"/>
  <c r="AE125" i="45"/>
  <c r="U81" i="45"/>
  <c r="AD84" i="45"/>
  <c r="AA110" i="45"/>
  <c r="AK110" i="45" s="1"/>
  <c r="AD82" i="45"/>
  <c r="AD77" i="45"/>
  <c r="AA104" i="45"/>
  <c r="AA86" i="45"/>
  <c r="AA73" i="45"/>
  <c r="X112" i="45"/>
  <c r="AD93" i="45"/>
  <c r="AL93" i="45" s="1"/>
  <c r="U73" i="45"/>
  <c r="AA112" i="45"/>
  <c r="U85" i="45"/>
  <c r="X129" i="45"/>
  <c r="AD83" i="45"/>
  <c r="X119" i="45"/>
  <c r="AG80" i="45"/>
  <c r="AG99" i="45"/>
  <c r="AG75" i="45"/>
  <c r="U86" i="45"/>
  <c r="X113" i="45"/>
  <c r="AD94" i="45"/>
  <c r="AL94" i="45" s="1"/>
  <c r="AA114" i="45"/>
  <c r="AA93" i="45"/>
  <c r="X108" i="45"/>
  <c r="AA132" i="45"/>
  <c r="U95" i="45"/>
  <c r="X106" i="45"/>
  <c r="AJ106" i="45" s="1"/>
  <c r="X131" i="45"/>
  <c r="AJ131" i="45" s="1"/>
  <c r="AD111" i="45"/>
  <c r="U110" i="45"/>
  <c r="AI110" i="45" s="1"/>
  <c r="U118" i="45"/>
  <c r="U126" i="45"/>
  <c r="AA101" i="45"/>
  <c r="AA117" i="45"/>
  <c r="AA133" i="45"/>
  <c r="U107" i="45"/>
  <c r="U115" i="45"/>
  <c r="U123" i="45"/>
  <c r="U131" i="45"/>
  <c r="AB117" i="45"/>
  <c r="AB103" i="45"/>
  <c r="Z107" i="45"/>
  <c r="AC120" i="45"/>
  <c r="AC115" i="45"/>
  <c r="X104" i="45"/>
  <c r="AA98" i="45"/>
  <c r="X90" i="45"/>
  <c r="AA85" i="45"/>
  <c r="U80" i="45"/>
  <c r="X116" i="45"/>
  <c r="U88" i="45"/>
  <c r="U77" i="45"/>
  <c r="AD74" i="45"/>
  <c r="AL74" i="45" s="1"/>
  <c r="X99" i="45"/>
  <c r="AJ99" i="45" s="1"/>
  <c r="U74" i="45"/>
  <c r="AD117" i="45"/>
  <c r="AG86" i="45"/>
  <c r="AD130" i="45"/>
  <c r="AD85" i="45"/>
  <c r="AD120" i="45"/>
  <c r="AD81" i="45"/>
  <c r="AG101" i="45"/>
  <c r="AD76" i="45"/>
  <c r="AG87" i="45"/>
  <c r="AD114" i="45"/>
  <c r="AD96" i="45"/>
  <c r="AL96" i="45" s="1"/>
  <c r="X118" i="45"/>
  <c r="AA95" i="45"/>
  <c r="X111" i="45"/>
  <c r="AG88" i="45"/>
  <c r="AG96" i="45"/>
  <c r="AA108" i="45"/>
  <c r="AD132" i="45"/>
  <c r="X117" i="45"/>
  <c r="AG111" i="45"/>
  <c r="AM111" i="45" s="1"/>
  <c r="BB60" i="45" s="1" a="1"/>
  <c r="BB60" i="45" s="1"/>
  <c r="AG119" i="45"/>
  <c r="AG127" i="45"/>
  <c r="AA103" i="45"/>
  <c r="AA119" i="45"/>
  <c r="AK119" i="45" s="1"/>
  <c r="AG100" i="45"/>
  <c r="AG108" i="45"/>
  <c r="AG116" i="45"/>
  <c r="AG124" i="45"/>
  <c r="AG132" i="45"/>
  <c r="AM132" i="45" s="1"/>
  <c r="BB81" i="45" s="1" a="1"/>
  <c r="BB81" i="45" s="1"/>
  <c r="AB88" i="45"/>
  <c r="AH124" i="45"/>
  <c r="AF108" i="45"/>
  <c r="T127" i="45"/>
  <c r="AI127" i="45" s="1"/>
  <c r="T73" i="45"/>
  <c r="W82" i="45"/>
  <c r="T93" i="45"/>
  <c r="Z79" i="45"/>
  <c r="AF125" i="45"/>
  <c r="W95" i="45"/>
  <c r="AF94" i="45"/>
  <c r="Z102" i="45"/>
  <c r="W90" i="45"/>
  <c r="Z125" i="45"/>
  <c r="AK125" i="45" s="1"/>
  <c r="Z113" i="45"/>
  <c r="T114" i="45"/>
  <c r="AI114" i="45" s="1"/>
  <c r="AC122" i="45"/>
  <c r="AC129" i="45"/>
  <c r="AH123" i="45"/>
  <c r="X81" i="45"/>
  <c r="U71" i="45"/>
  <c r="U102" i="45"/>
  <c r="U94" i="45"/>
  <c r="AI94" i="45" s="1"/>
  <c r="X86" i="45"/>
  <c r="X71" i="45"/>
  <c r="AG95" i="45"/>
  <c r="AM95" i="45" s="1"/>
  <c r="BB44" i="45" s="1" a="1"/>
  <c r="BB44" i="45" s="1"/>
  <c r="AG77" i="45"/>
  <c r="X76" i="45"/>
  <c r="X103" i="45"/>
  <c r="AA75" i="45"/>
  <c r="AG79" i="45"/>
  <c r="AM79" i="45" s="1"/>
  <c r="BB28" i="45" s="1" a="1"/>
  <c r="BB28" i="45" s="1"/>
  <c r="U87" i="45"/>
  <c r="AG74" i="45"/>
  <c r="AD87" i="45"/>
  <c r="AA124" i="45"/>
  <c r="AA82" i="45"/>
  <c r="AK82" i="45" s="1"/>
  <c r="U108" i="45"/>
  <c r="AA77" i="45"/>
  <c r="X88" i="45"/>
  <c r="AJ88" i="45" s="1"/>
  <c r="AA118" i="45"/>
  <c r="AD98" i="45"/>
  <c r="AD119" i="45"/>
  <c r="AA97" i="45"/>
  <c r="AK97" i="45" s="1"/>
  <c r="AD112" i="45"/>
  <c r="U89" i="45"/>
  <c r="U97" i="45"/>
  <c r="AD109" i="45"/>
  <c r="AD97" i="45"/>
  <c r="AL97" i="45" s="1"/>
  <c r="AD118" i="45"/>
  <c r="U112" i="45"/>
  <c r="AI112" i="45" s="1"/>
  <c r="U120" i="45"/>
  <c r="U128" i="45"/>
  <c r="AA105" i="45"/>
  <c r="AK105" i="45" s="1"/>
  <c r="AA121" i="45"/>
  <c r="U101" i="45"/>
  <c r="U109" i="45"/>
  <c r="U117" i="45"/>
  <c r="U125" i="45"/>
  <c r="U133" i="45"/>
  <c r="V80" i="45"/>
  <c r="Y96" i="45"/>
  <c r="X91" i="45"/>
  <c r="AD79" i="45"/>
  <c r="AD71" i="45"/>
  <c r="AD108" i="45"/>
  <c r="AA90" i="45"/>
  <c r="U72" i="45"/>
  <c r="X97" i="45"/>
  <c r="AG78" i="45"/>
  <c r="AG81" i="45"/>
  <c r="AD107" i="45"/>
  <c r="X79" i="45"/>
  <c r="AD80" i="45"/>
  <c r="AG91" i="45"/>
  <c r="AD75" i="45"/>
  <c r="AL75" i="45" s="1"/>
  <c r="X89" i="45"/>
  <c r="AJ89" i="45" s="1"/>
  <c r="X128" i="45"/>
  <c r="X83" i="45"/>
  <c r="X123" i="45"/>
  <c r="AJ123" i="45" s="1"/>
  <c r="X78" i="45"/>
  <c r="AD89" i="45"/>
  <c r="X122" i="45"/>
  <c r="X101" i="45"/>
  <c r="X125" i="45"/>
  <c r="AA99" i="45"/>
  <c r="AK99" i="45" s="1"/>
  <c r="AA116" i="45"/>
  <c r="AK116" i="45" s="1"/>
  <c r="AG90" i="45"/>
  <c r="AG98" i="45"/>
  <c r="X115" i="45"/>
  <c r="AD99" i="45"/>
  <c r="AA122" i="45"/>
  <c r="AG113" i="45"/>
  <c r="AM113" i="45" s="1"/>
  <c r="BB62" i="45" s="1" a="1"/>
  <c r="BB62" i="45" s="1"/>
  <c r="AG121" i="45"/>
  <c r="AG129" i="45"/>
  <c r="AM129" i="45" s="1"/>
  <c r="BB78" i="45" s="1" a="1"/>
  <c r="BB78" i="45" s="1"/>
  <c r="AA107" i="45"/>
  <c r="AA123" i="45"/>
  <c r="AG102" i="45"/>
  <c r="AG110" i="45"/>
  <c r="AM110" i="45" s="1"/>
  <c r="BB59" i="45" s="1" a="1"/>
  <c r="BB59" i="45" s="1"/>
  <c r="AG118" i="45"/>
  <c r="AM118" i="45" s="1"/>
  <c r="BB67" i="45" s="1" a="1"/>
  <c r="BB67" i="45" s="1"/>
  <c r="AH88" i="45"/>
  <c r="AB79" i="45"/>
  <c r="T75" i="45"/>
  <c r="Z73" i="45"/>
  <c r="Z87" i="45"/>
  <c r="AF89" i="45"/>
  <c r="T120" i="45"/>
  <c r="Z101" i="45"/>
  <c r="AF88" i="45"/>
  <c r="W78" i="45"/>
  <c r="Z114" i="45"/>
  <c r="T126" i="45"/>
  <c r="AF115" i="45"/>
  <c r="AM115" i="45" s="1"/>
  <c r="BB64" i="45" s="1" a="1"/>
  <c r="BB64" i="45" s="1"/>
  <c r="T105" i="45"/>
  <c r="AC91" i="45"/>
  <c r="T128" i="45"/>
  <c r="Z124" i="45"/>
  <c r="AK72" i="45"/>
  <c r="AJ121" i="45"/>
  <c r="AM93" i="45"/>
  <c r="BB42" i="45" s="1" a="1"/>
  <c r="BB42" i="45" s="1"/>
  <c r="AJ85" i="45"/>
  <c r="AB126" i="45"/>
  <c r="AH106" i="45"/>
  <c r="AH110" i="45"/>
  <c r="AB118" i="45"/>
  <c r="Y112" i="45"/>
  <c r="T71" i="45"/>
  <c r="AI71" i="45" s="1"/>
  <c r="T118" i="45"/>
  <c r="AI118" i="45" s="1"/>
  <c r="AF74" i="45"/>
  <c r="AM74" i="45" s="1"/>
  <c r="BB23" i="45" s="1" a="1"/>
  <c r="BB23" i="45" s="1"/>
  <c r="AF73" i="45"/>
  <c r="AM73" i="45" s="1"/>
  <c r="BB22" i="45" s="1" a="1"/>
  <c r="BB22" i="45" s="1"/>
  <c r="T111" i="45"/>
  <c r="AI111" i="45" s="1"/>
  <c r="T83" i="45"/>
  <c r="AI83" i="45" s="1"/>
  <c r="Z121" i="45"/>
  <c r="W83" i="45"/>
  <c r="W75" i="45"/>
  <c r="W103" i="45"/>
  <c r="AJ103" i="45" s="1"/>
  <c r="Z75" i="45"/>
  <c r="Z112" i="45"/>
  <c r="AF86" i="45"/>
  <c r="AF82" i="45"/>
  <c r="Z94" i="45"/>
  <c r="AK94" i="45" s="1"/>
  <c r="AF112" i="45"/>
  <c r="AM112" i="45" s="1"/>
  <c r="BB61" i="45" s="1" a="1"/>
  <c r="BB61" i="45" s="1"/>
  <c r="T81" i="45"/>
  <c r="AF95" i="45"/>
  <c r="Z133" i="45"/>
  <c r="AF85" i="45"/>
  <c r="AM85" i="45" s="1"/>
  <c r="BB34" i="45" s="1" a="1"/>
  <c r="BB34" i="45" s="1"/>
  <c r="AF100" i="45"/>
  <c r="Z80" i="45"/>
  <c r="AK80" i="45" s="1"/>
  <c r="T99" i="45"/>
  <c r="AI99" i="45" s="1"/>
  <c r="Z89" i="45"/>
  <c r="T106" i="45"/>
  <c r="AI106" i="45" s="1"/>
  <c r="AF124" i="45"/>
  <c r="W94" i="45"/>
  <c r="AJ94" i="45" s="1"/>
  <c r="AF110" i="45"/>
  <c r="W129" i="45"/>
  <c r="AC99" i="45"/>
  <c r="W117" i="45"/>
  <c r="Z96" i="45"/>
  <c r="AF116" i="45"/>
  <c r="AC110" i="45"/>
  <c r="AL110" i="45" s="1"/>
  <c r="AC126" i="45"/>
  <c r="W108" i="45"/>
  <c r="W128" i="45"/>
  <c r="AC119" i="45"/>
  <c r="AK130" i="45"/>
  <c r="AB94" i="45"/>
  <c r="V133" i="45"/>
  <c r="AH93" i="45"/>
  <c r="V97" i="45"/>
  <c r="Y128" i="45"/>
  <c r="Z126" i="45"/>
  <c r="AK126" i="45" s="1"/>
  <c r="Z128" i="45"/>
  <c r="AK128" i="45" s="1"/>
  <c r="Z76" i="45"/>
  <c r="AK76" i="45" s="1"/>
  <c r="AC77" i="45"/>
  <c r="AL77" i="45" s="1"/>
  <c r="W71" i="45"/>
  <c r="AF84" i="45"/>
  <c r="AM84" i="45" s="1"/>
  <c r="BB33" i="45" s="1" a="1"/>
  <c r="BB33" i="45" s="1"/>
  <c r="T129" i="45"/>
  <c r="W87" i="45"/>
  <c r="AJ87" i="45" s="1"/>
  <c r="W76" i="45"/>
  <c r="AF109" i="45"/>
  <c r="AM109" i="45" s="1"/>
  <c r="BB58" i="45" s="1" a="1"/>
  <c r="BB58" i="45" s="1"/>
  <c r="T78" i="45"/>
  <c r="AI78" i="45" s="1"/>
  <c r="AF127" i="45"/>
  <c r="T91" i="45"/>
  <c r="AI91" i="45" s="1"/>
  <c r="AC83" i="45"/>
  <c r="T97" i="45"/>
  <c r="W115" i="45"/>
  <c r="Z84" i="45"/>
  <c r="AK84" i="45" s="1"/>
  <c r="W97" i="45"/>
  <c r="AF75" i="45"/>
  <c r="T86" i="45"/>
  <c r="T107" i="45"/>
  <c r="W81" i="45"/>
  <c r="T104" i="45"/>
  <c r="AI104" i="45" s="1"/>
  <c r="Z91" i="45"/>
  <c r="AF107" i="45"/>
  <c r="W127" i="45"/>
  <c r="AJ127" i="45" s="1"/>
  <c r="W96" i="45"/>
  <c r="AJ96" i="45" s="1"/>
  <c r="W113" i="45"/>
  <c r="T133" i="45"/>
  <c r="AI133" i="45" s="1"/>
  <c r="AC102" i="45"/>
  <c r="AL102" i="45" s="1"/>
  <c r="T121" i="45"/>
  <c r="AI121" i="45" s="1"/>
  <c r="Z98" i="45"/>
  <c r="AK98" i="45" s="1"/>
  <c r="W119" i="45"/>
  <c r="AJ119" i="45" s="1"/>
  <c r="AC112" i="45"/>
  <c r="AC128" i="45"/>
  <c r="W110" i="45"/>
  <c r="AJ110" i="45" s="1"/>
  <c r="W130" i="45"/>
  <c r="AJ130" i="45" s="1"/>
  <c r="AC121" i="45"/>
  <c r="AJ74" i="45"/>
  <c r="AJ75" i="45"/>
  <c r="AK129" i="45"/>
  <c r="AH87" i="45"/>
  <c r="AH76" i="45"/>
  <c r="AH84" i="45"/>
  <c r="AH100" i="45"/>
  <c r="AB108" i="45"/>
  <c r="AC92" i="45"/>
  <c r="AL92" i="45" s="1"/>
  <c r="W74" i="45"/>
  <c r="AF80" i="45"/>
  <c r="T80" i="45"/>
  <c r="AI80" i="45" s="1"/>
  <c r="T72" i="45"/>
  <c r="AI72" i="45" s="1"/>
  <c r="T87" i="45"/>
  <c r="AF71" i="45"/>
  <c r="AF90" i="45"/>
  <c r="AM90" i="45" s="1"/>
  <c r="BB39" i="45" s="1" a="1"/>
  <c r="BB39" i="45" s="1"/>
  <c r="AF81" i="45"/>
  <c r="Z117" i="45"/>
  <c r="W79" i="45"/>
  <c r="AF72" i="45"/>
  <c r="AM72" i="45" s="1"/>
  <c r="BB21" i="45" s="1" a="1"/>
  <c r="BB21" i="45" s="1"/>
  <c r="Z92" i="45"/>
  <c r="AK92" i="45" s="1"/>
  <c r="AC85" i="45"/>
  <c r="AF98" i="45"/>
  <c r="T119" i="45"/>
  <c r="AI119" i="45" s="1"/>
  <c r="Z86" i="45"/>
  <c r="AK86" i="45" s="1"/>
  <c r="AC100" i="45"/>
  <c r="AL100" i="45" s="1"/>
  <c r="AC76" i="45"/>
  <c r="AL76" i="45" s="1"/>
  <c r="AF87" i="45"/>
  <c r="W109" i="45"/>
  <c r="AJ109" i="45" s="1"/>
  <c r="T82" i="45"/>
  <c r="AI82" i="45" s="1"/>
  <c r="Z108" i="45"/>
  <c r="Z93" i="45"/>
  <c r="AK93" i="45" s="1"/>
  <c r="W111" i="45"/>
  <c r="AJ111" i="45" s="1"/>
  <c r="T131" i="45"/>
  <c r="W98" i="45"/>
  <c r="AJ98" i="45" s="1"/>
  <c r="T117" i="45"/>
  <c r="AI117" i="45" s="1"/>
  <c r="AF133" i="45"/>
  <c r="AM133" i="45" s="1"/>
  <c r="BB82" i="45" s="1" a="1"/>
  <c r="BB82" i="45" s="1"/>
  <c r="BC82" i="45" s="1"/>
  <c r="T103" i="45"/>
  <c r="AI103" i="45" s="1"/>
  <c r="AF121" i="45"/>
  <c r="AM121" i="45" s="1"/>
  <c r="BB70" i="45" s="1" a="1"/>
  <c r="BB70" i="45" s="1"/>
  <c r="T102" i="45"/>
  <c r="T123" i="45"/>
  <c r="AI123" i="45" s="1"/>
  <c r="AC114" i="45"/>
  <c r="AL114" i="45" s="1"/>
  <c r="AC130" i="45"/>
  <c r="W112" i="45"/>
  <c r="W132" i="45"/>
  <c r="AJ132" i="45" s="1"/>
  <c r="AC127" i="45"/>
  <c r="AC125" i="45"/>
  <c r="AM82" i="45"/>
  <c r="BB31" i="45" s="1" a="1"/>
  <c r="BB31" i="45" s="1"/>
  <c r="AI76" i="45"/>
  <c r="AL128" i="45"/>
  <c r="AM105" i="45"/>
  <c r="BB54" i="45" s="1" a="1"/>
  <c r="BB54" i="45" s="1"/>
  <c r="AM114" i="45"/>
  <c r="BB63" i="45" s="1" a="1"/>
  <c r="BB63" i="45" s="1"/>
  <c r="AM122" i="45"/>
  <c r="BB71" i="45" s="1" a="1"/>
  <c r="BB71" i="45" s="1"/>
  <c r="Y105" i="45"/>
  <c r="AE111" i="45"/>
  <c r="AH113" i="45"/>
  <c r="AC71" i="45"/>
  <c r="T98" i="45"/>
  <c r="AI98" i="45" s="1"/>
  <c r="AC82" i="45"/>
  <c r="AF101" i="45"/>
  <c r="W86" i="45"/>
  <c r="AJ86" i="45" s="1"/>
  <c r="Z74" i="45"/>
  <c r="AK74" i="45" s="1"/>
  <c r="AF91" i="45"/>
  <c r="AM91" i="45" s="1"/>
  <c r="BB40" i="45" s="1" a="1"/>
  <c r="BB40" i="45" s="1"/>
  <c r="AC72" i="45"/>
  <c r="AL72" i="45" s="1"/>
  <c r="W93" i="45"/>
  <c r="AJ93" i="45" s="1"/>
  <c r="Z83" i="45"/>
  <c r="AK83" i="45" s="1"/>
  <c r="T125" i="45"/>
  <c r="W84" i="45"/>
  <c r="AJ84" i="45" s="1"/>
  <c r="AC73" i="45"/>
  <c r="W101" i="45"/>
  <c r="AJ101" i="45" s="1"/>
  <c r="AC87" i="45"/>
  <c r="AL87" i="45" s="1"/>
  <c r="Z100" i="45"/>
  <c r="Z120" i="45"/>
  <c r="AK120" i="45" s="1"/>
  <c r="T88" i="45"/>
  <c r="AF102" i="45"/>
  <c r="AM102" i="45" s="1"/>
  <c r="BB51" i="45" s="1" a="1"/>
  <c r="BB51" i="45" s="1"/>
  <c r="Z77" i="45"/>
  <c r="T90" i="45"/>
  <c r="AI90" i="45" s="1"/>
  <c r="T113" i="45"/>
  <c r="AC84" i="45"/>
  <c r="AL84" i="45" s="1"/>
  <c r="AF119" i="45"/>
  <c r="Z95" i="45"/>
  <c r="T115" i="45"/>
  <c r="AI115" i="45" s="1"/>
  <c r="AF131" i="45"/>
  <c r="AC104" i="45"/>
  <c r="AL104" i="45" s="1"/>
  <c r="AF117" i="45"/>
  <c r="AC89" i="45"/>
  <c r="AL89" i="45" s="1"/>
  <c r="AF104" i="45"/>
  <c r="AM104" i="45" s="1"/>
  <c r="BB53" i="45" s="1" a="1"/>
  <c r="BB53" i="45" s="1"/>
  <c r="Z122" i="45"/>
  <c r="AF103" i="45"/>
  <c r="AF123" i="45"/>
  <c r="AM123" i="45" s="1"/>
  <c r="BB72" i="45" s="1" a="1"/>
  <c r="BB72" i="45" s="1"/>
  <c r="AC116" i="45"/>
  <c r="AL116" i="45" s="1"/>
  <c r="AC132" i="45"/>
  <c r="AL132" i="45" s="1"/>
  <c r="W114" i="45"/>
  <c r="AJ114" i="45" s="1"/>
  <c r="AC103" i="45"/>
  <c r="AJ129" i="45"/>
  <c r="AI131" i="45"/>
  <c r="W116" i="45"/>
  <c r="AJ116" i="45" s="1"/>
  <c r="AC105" i="45"/>
  <c r="AL105" i="45" s="1"/>
  <c r="AC131" i="45"/>
  <c r="AL131" i="45" s="1"/>
  <c r="Y124" i="45"/>
  <c r="AM86" i="45"/>
  <c r="BB35" i="45" s="1" a="1"/>
  <c r="BB35" i="45" s="1"/>
  <c r="AM127" i="45"/>
  <c r="BB76" i="45" s="1" a="1"/>
  <c r="BB76" i="45" s="1"/>
  <c r="AC111" i="45"/>
  <c r="AL111" i="45" s="1"/>
  <c r="AJ71" i="45"/>
  <c r="AL122" i="45"/>
  <c r="W104" i="45"/>
  <c r="AJ104" i="45" s="1"/>
  <c r="W122" i="45"/>
  <c r="AJ128" i="45"/>
  <c r="AE73" i="45"/>
  <c r="V74" i="45"/>
  <c r="Y95" i="45"/>
  <c r="AE91" i="45"/>
  <c r="AE71" i="45"/>
  <c r="V111" i="45"/>
  <c r="Y89" i="45"/>
  <c r="V72" i="45"/>
  <c r="AE97" i="45"/>
  <c r="AE72" i="45"/>
  <c r="AH109" i="45"/>
  <c r="AB87" i="45"/>
  <c r="Y79" i="45"/>
  <c r="AB102" i="45"/>
  <c r="AH126" i="45"/>
  <c r="V83" i="45"/>
  <c r="AE101" i="45"/>
  <c r="AE78" i="45"/>
  <c r="AH90" i="45"/>
  <c r="AH120" i="45"/>
  <c r="Y85" i="45"/>
  <c r="AB109" i="45"/>
  <c r="V92" i="45"/>
  <c r="V100" i="45"/>
  <c r="V113" i="45"/>
  <c r="AH129" i="45"/>
  <c r="Y101" i="45"/>
  <c r="AB123" i="45"/>
  <c r="Y94" i="45"/>
  <c r="AH112" i="45"/>
  <c r="AH96" i="45"/>
  <c r="AH105" i="45"/>
  <c r="AH121" i="45"/>
  <c r="Y115" i="45"/>
  <c r="Y131" i="45"/>
  <c r="AE112" i="45"/>
  <c r="AE128" i="45"/>
  <c r="Y110" i="45"/>
  <c r="Y126" i="45"/>
  <c r="AI96" i="45"/>
  <c r="AL80" i="45"/>
  <c r="AL78" i="45"/>
  <c r="AI79" i="45"/>
  <c r="AI124" i="45"/>
  <c r="AI130" i="45"/>
  <c r="W118" i="45"/>
  <c r="AC101" i="45"/>
  <c r="AL101" i="45" s="1"/>
  <c r="AC117" i="45"/>
  <c r="AC133" i="45"/>
  <c r="BE82" i="45"/>
  <c r="BM50" i="45" s="1"/>
  <c r="BH55" i="45"/>
  <c r="BE27" i="45"/>
  <c r="BE78" i="45"/>
  <c r="BH29" i="45"/>
  <c r="BH53" i="45"/>
  <c r="BE77" i="45"/>
  <c r="BE66" i="45"/>
  <c r="BE71" i="45"/>
  <c r="BE44" i="45"/>
  <c r="BE55" i="45"/>
  <c r="BH26" i="45"/>
  <c r="BE29" i="45"/>
  <c r="BE80" i="45"/>
  <c r="BC81" i="45" s="1"/>
  <c r="BH43" i="45"/>
  <c r="BE37" i="45"/>
  <c r="BH37" i="45"/>
  <c r="Y72" i="45"/>
  <c r="AH103" i="45"/>
  <c r="V73" i="45"/>
  <c r="V71" i="45"/>
  <c r="AB98" i="45"/>
  <c r="Y73" i="45"/>
  <c r="AE131" i="45"/>
  <c r="AH102" i="45"/>
  <c r="V79" i="45"/>
  <c r="AB107" i="45"/>
  <c r="V77" i="45"/>
  <c r="V125" i="45"/>
  <c r="AE93" i="45"/>
  <c r="Y84" i="45"/>
  <c r="AH107" i="45"/>
  <c r="Y74" i="45"/>
  <c r="V85" i="45"/>
  <c r="V114" i="45"/>
  <c r="Y80" i="45"/>
  <c r="Y97" i="45"/>
  <c r="Y75" i="45"/>
  <c r="AB91" i="45"/>
  <c r="V117" i="45"/>
  <c r="V94" i="45"/>
  <c r="AH101" i="45"/>
  <c r="AE117" i="45"/>
  <c r="AE88" i="45"/>
  <c r="AE105" i="45"/>
  <c r="AB130" i="45"/>
  <c r="Y98" i="45"/>
  <c r="V119" i="45"/>
  <c r="AH98" i="45"/>
  <c r="AE109" i="45"/>
  <c r="V128" i="45"/>
  <c r="Y119" i="45"/>
  <c r="AE100" i="45"/>
  <c r="AE116" i="45"/>
  <c r="AE132" i="45"/>
  <c r="Y114" i="45"/>
  <c r="Y130" i="45"/>
  <c r="AJ107" i="45"/>
  <c r="AM125" i="45"/>
  <c r="BB74" i="45" s="1" a="1"/>
  <c r="BB74" i="45" s="1"/>
  <c r="AM130" i="45"/>
  <c r="BB79" i="45" s="1" a="1"/>
  <c r="BB79" i="45" s="1"/>
  <c r="AH72" i="45"/>
  <c r="AB71" i="45"/>
  <c r="Y78" i="45"/>
  <c r="AE75" i="45"/>
  <c r="V102" i="45"/>
  <c r="AH75" i="45"/>
  <c r="AH73" i="45"/>
  <c r="V109" i="45"/>
  <c r="V84" i="45"/>
  <c r="AB122" i="45"/>
  <c r="AH78" i="45"/>
  <c r="AE74" i="45"/>
  <c r="Y99" i="45"/>
  <c r="Y86" i="45"/>
  <c r="AB116" i="45"/>
  <c r="V75" i="45"/>
  <c r="AH86" i="45"/>
  <c r="AB115" i="45"/>
  <c r="V81" i="45"/>
  <c r="AB110" i="45"/>
  <c r="V76" i="45"/>
  <c r="AH92" i="45"/>
  <c r="AB132" i="45"/>
  <c r="AH95" i="45"/>
  <c r="AB104" i="45"/>
  <c r="V120" i="45"/>
  <c r="AE90" i="45"/>
  <c r="AB114" i="45"/>
  <c r="V131" i="45"/>
  <c r="AB101" i="45"/>
  <c r="AH119" i="45"/>
  <c r="V99" i="45"/>
  <c r="V112" i="45"/>
  <c r="AB129" i="45"/>
  <c r="Y121" i="45"/>
  <c r="AE102" i="45"/>
  <c r="AE118" i="45"/>
  <c r="Y100" i="45"/>
  <c r="Y116" i="45"/>
  <c r="Y132" i="45"/>
  <c r="AC107" i="45"/>
  <c r="AC123" i="45"/>
  <c r="AL123" i="45" s="1"/>
  <c r="AE83" i="45"/>
  <c r="AB75" i="45"/>
  <c r="V95" i="45"/>
  <c r="AE76" i="45"/>
  <c r="AB106" i="45"/>
  <c r="AB78" i="45"/>
  <c r="AB74" i="45"/>
  <c r="AB124" i="45"/>
  <c r="AH85" i="45"/>
  <c r="AE127" i="45"/>
  <c r="AB80" i="45"/>
  <c r="Y76" i="45"/>
  <c r="Y103" i="45"/>
  <c r="AB90" i="45"/>
  <c r="AH117" i="45"/>
  <c r="AH79" i="45"/>
  <c r="V87" i="45"/>
  <c r="AH116" i="45"/>
  <c r="AB84" i="45"/>
  <c r="AH111" i="45"/>
  <c r="AH80" i="45"/>
  <c r="Y93" i="45"/>
  <c r="AH133" i="45"/>
  <c r="V96" i="45"/>
  <c r="V107" i="45"/>
  <c r="AB121" i="45"/>
  <c r="AE92" i="45"/>
  <c r="V115" i="45"/>
  <c r="AH131" i="45"/>
  <c r="AE103" i="45"/>
  <c r="AE123" i="45"/>
  <c r="AB100" i="45"/>
  <c r="AB113" i="45"/>
  <c r="AH130" i="45"/>
  <c r="Y123" i="45"/>
  <c r="AE104" i="45"/>
  <c r="AE120" i="45"/>
  <c r="Y102" i="45"/>
  <c r="Y118" i="45"/>
  <c r="W126" i="45"/>
  <c r="AJ126" i="45" s="1"/>
  <c r="AC109" i="45"/>
  <c r="AJ90" i="45"/>
  <c r="AM108" i="45"/>
  <c r="BB57" i="45" s="1" a="1"/>
  <c r="BB57" i="45" s="1"/>
  <c r="AB77" i="45"/>
  <c r="Y77" i="45"/>
  <c r="AH74" i="45"/>
  <c r="AE79" i="45"/>
  <c r="AE113" i="45"/>
  <c r="AE82" i="45"/>
  <c r="AE77" i="45"/>
  <c r="AE129" i="45"/>
  <c r="AE89" i="45"/>
  <c r="V130" i="45"/>
  <c r="V82" i="45"/>
  <c r="V78" i="45"/>
  <c r="AB105" i="45"/>
  <c r="V91" i="45"/>
  <c r="AE121" i="45"/>
  <c r="AE80" i="45"/>
  <c r="AB92" i="45"/>
  <c r="V123" i="45"/>
  <c r="AB86" i="45"/>
  <c r="AE115" i="45"/>
  <c r="AE81" i="45"/>
  <c r="AB97" i="45"/>
  <c r="AH89" i="45"/>
  <c r="AH97" i="45"/>
  <c r="V108" i="45"/>
  <c r="AH122" i="45"/>
  <c r="AE94" i="45"/>
  <c r="AH115" i="45"/>
  <c r="Y88" i="45"/>
  <c r="Y107" i="45"/>
  <c r="V126" i="45"/>
  <c r="V103" i="45"/>
  <c r="AH114" i="45"/>
  <c r="Y109" i="45"/>
  <c r="Y125" i="45"/>
  <c r="AE106" i="45"/>
  <c r="AE122" i="45"/>
  <c r="Y104" i="45"/>
  <c r="Y120" i="45"/>
  <c r="AH83" i="45"/>
  <c r="AE87" i="45"/>
  <c r="AB76" i="45"/>
  <c r="Y81" i="45"/>
  <c r="V116" i="45"/>
  <c r="AB85" i="45"/>
  <c r="AH82" i="45"/>
  <c r="V132" i="45"/>
  <c r="AB93" i="45"/>
  <c r="AH132" i="45"/>
  <c r="AE86" i="45"/>
  <c r="AH81" i="45"/>
  <c r="AE107" i="45"/>
  <c r="AE95" i="45"/>
  <c r="V124" i="45"/>
  <c r="AB81" i="45"/>
  <c r="V93" i="45"/>
  <c r="AB133" i="45"/>
  <c r="V88" i="45"/>
  <c r="V118" i="45"/>
  <c r="AB82" i="45"/>
  <c r="V105" i="45"/>
  <c r="V90" i="45"/>
  <c r="V98" i="45"/>
  <c r="AH108" i="45"/>
  <c r="AB128" i="45"/>
  <c r="AE96" i="45"/>
  <c r="AE119" i="45"/>
  <c r="Y90" i="45"/>
  <c r="V110" i="45"/>
  <c r="AB127" i="45"/>
  <c r="V104" i="45"/>
  <c r="AB120" i="45"/>
  <c r="Y111" i="45"/>
  <c r="Y127" i="45"/>
  <c r="AE108" i="45"/>
  <c r="AE124" i="45"/>
  <c r="Y106" i="45"/>
  <c r="Y122" i="45"/>
  <c r="AL108" i="45"/>
  <c r="AM78" i="45"/>
  <c r="BB27" i="45" s="1" a="1"/>
  <c r="BB27" i="45" s="1"/>
  <c r="AB96" i="45"/>
  <c r="AH125" i="45"/>
  <c r="V86" i="45"/>
  <c r="AE84" i="45"/>
  <c r="AH118" i="45"/>
  <c r="V89" i="45"/>
  <c r="AE85" i="45"/>
  <c r="Y71" i="45"/>
  <c r="AH94" i="45"/>
  <c r="AH71" i="45"/>
  <c r="V101" i="45"/>
  <c r="AB83" i="45"/>
  <c r="AH127" i="45"/>
  <c r="AB99" i="45"/>
  <c r="AB125" i="45"/>
  <c r="Y82" i="45"/>
  <c r="AE99" i="45"/>
  <c r="AH77" i="45"/>
  <c r="AB89" i="45"/>
  <c r="AB119" i="45"/>
  <c r="Y83" i="45"/>
  <c r="V106" i="45"/>
  <c r="AH91" i="45"/>
  <c r="AH99" i="45"/>
  <c r="AB112" i="45"/>
  <c r="V129" i="45"/>
  <c r="AE98" i="45"/>
  <c r="V122" i="45"/>
  <c r="Y92" i="45"/>
  <c r="AB111" i="45"/>
  <c r="AH128" i="45"/>
  <c r="AH104" i="45"/>
  <c r="V121" i="45"/>
  <c r="Y113" i="45"/>
  <c r="Y129" i="45"/>
  <c r="AE110" i="45"/>
  <c r="AE126" i="45"/>
  <c r="Y108" i="45"/>
  <c r="G2" i="45"/>
  <c r="H2" i="45" s="1"/>
  <c r="I2" i="45" s="1" a="1"/>
  <c r="I2" i="45" s="1"/>
  <c r="F3" i="45"/>
  <c r="BU38" i="45"/>
  <c r="BT38" i="45"/>
  <c r="BT44" i="45"/>
  <c r="BU44" i="45"/>
  <c r="BU25" i="45"/>
  <c r="BT25" i="45"/>
  <c r="BT45" i="45"/>
  <c r="BU45" i="45"/>
  <c r="BU41" i="45"/>
  <c r="BT41" i="45"/>
  <c r="BM44" i="45"/>
  <c r="BU30" i="45"/>
  <c r="BT30" i="45"/>
  <c r="BU22" i="45"/>
  <c r="BT22" i="45"/>
  <c r="BN20" i="45"/>
  <c r="BM20" i="45"/>
  <c r="BM30" i="45"/>
  <c r="BM42" i="45"/>
  <c r="BU48" i="45"/>
  <c r="BT48" i="45"/>
  <c r="BT46" i="45"/>
  <c r="BU46" i="45"/>
  <c r="BN22" i="45"/>
  <c r="BM22" i="45"/>
  <c r="BM36" i="45"/>
  <c r="BU24" i="45"/>
  <c r="BT24" i="45"/>
  <c r="BM37" i="45"/>
  <c r="BU34" i="45"/>
  <c r="BT34" i="45"/>
  <c r="BM26" i="45"/>
  <c r="BG82" i="45"/>
  <c r="BJ82" i="45"/>
  <c r="BM49" i="45"/>
  <c r="BU21" i="45"/>
  <c r="BT21" i="45"/>
  <c r="BM32" i="45"/>
  <c r="BT50" i="45"/>
  <c r="BU50" i="45"/>
  <c r="BN19" i="45"/>
  <c r="BM19" i="45"/>
  <c r="BT20" i="45"/>
  <c r="BU20" i="45"/>
  <c r="BU32" i="45"/>
  <c r="BT32" i="45"/>
  <c r="BT35" i="45"/>
  <c r="BU35" i="45"/>
  <c r="BM31" i="45"/>
  <c r="BM43" i="45"/>
  <c r="BM25" i="45" l="1"/>
  <c r="BQ25" i="45" s="1"/>
  <c r="BU37" i="45"/>
  <c r="BU39" i="45"/>
  <c r="BT42" i="45"/>
  <c r="BW42" i="45" s="1"/>
  <c r="AM96" i="45"/>
  <c r="BB45" i="45" s="1" a="1"/>
  <c r="BB45" i="45" s="1"/>
  <c r="AI74" i="45"/>
  <c r="AL103" i="45"/>
  <c r="AI113" i="45"/>
  <c r="AL126" i="45"/>
  <c r="AJ120" i="45"/>
  <c r="BP37" i="45" s="1"/>
  <c r="AL73" i="45"/>
  <c r="AL121" i="45"/>
  <c r="AL83" i="45"/>
  <c r="AM98" i="45"/>
  <c r="BB47" i="45" s="1" a="1"/>
  <c r="BB47" i="45" s="1"/>
  <c r="AI109" i="45"/>
  <c r="AM119" i="45"/>
  <c r="BB68" i="45" s="1" a="1"/>
  <c r="BB68" i="45" s="1"/>
  <c r="AK95" i="45"/>
  <c r="AJ113" i="45"/>
  <c r="AI85" i="45"/>
  <c r="AI122" i="45"/>
  <c r="AJ122" i="45"/>
  <c r="AM101" i="45"/>
  <c r="BB50" i="45" s="1" a="1"/>
  <c r="BB50" i="45" s="1"/>
  <c r="AL79" i="45"/>
  <c r="AM131" i="45"/>
  <c r="BB80" i="45" s="1" a="1"/>
  <c r="BB80" i="45" s="1"/>
  <c r="AI125" i="45"/>
  <c r="AJ117" i="45"/>
  <c r="AI73" i="45"/>
  <c r="AL133" i="45"/>
  <c r="AL119" i="45"/>
  <c r="BU29" i="45"/>
  <c r="BT23" i="45"/>
  <c r="BZ23" i="45" s="1"/>
  <c r="BM24" i="45"/>
  <c r="BP24" i="45" s="1"/>
  <c r="BT31" i="45"/>
  <c r="BW31" i="45" s="1"/>
  <c r="AK121" i="45"/>
  <c r="AI108" i="45"/>
  <c r="AL71" i="45"/>
  <c r="AL130" i="45"/>
  <c r="AJ97" i="45"/>
  <c r="AJ81" i="45"/>
  <c r="AJ108" i="45"/>
  <c r="AM80" i="45"/>
  <c r="BB29" i="45" s="1" a="1"/>
  <c r="BB29" i="45" s="1"/>
  <c r="AI81" i="45"/>
  <c r="AL125" i="45"/>
  <c r="BR42" i="45" s="1"/>
  <c r="AM97" i="45"/>
  <c r="BB46" i="45" s="1" a="1"/>
  <c r="BB46" i="45" s="1"/>
  <c r="AK131" i="45"/>
  <c r="AJ91" i="45"/>
  <c r="AM99" i="45"/>
  <c r="BB48" i="45" s="1" a="1"/>
  <c r="BB48" i="45" s="1"/>
  <c r="AI100" i="45"/>
  <c r="AM107" i="45"/>
  <c r="BB56" i="45" s="1" a="1"/>
  <c r="BB56" i="45" s="1"/>
  <c r="AM77" i="45"/>
  <c r="BB26" i="45" s="1" a="1"/>
  <c r="BB26" i="45" s="1"/>
  <c r="AM81" i="45"/>
  <c r="BB30" i="45" s="1" a="1"/>
  <c r="BB30" i="45" s="1"/>
  <c r="AJ115" i="45"/>
  <c r="AK103" i="45"/>
  <c r="AI97" i="45"/>
  <c r="AK77" i="45"/>
  <c r="AI87" i="45"/>
  <c r="AI107" i="45"/>
  <c r="AM116" i="45"/>
  <c r="BB65" i="45" s="1" a="1"/>
  <c r="BB65" i="45" s="1"/>
  <c r="AK107" i="45"/>
  <c r="AM120" i="45"/>
  <c r="BB69" i="45" s="1" a="1"/>
  <c r="BB69" i="45" s="1"/>
  <c r="AM76" i="45"/>
  <c r="BB25" i="45" s="1" a="1"/>
  <c r="BB25" i="45" s="1"/>
  <c r="BT19" i="45"/>
  <c r="BV19" i="45" s="1"/>
  <c r="BM38" i="45"/>
  <c r="BM21" i="45"/>
  <c r="BQ21" i="45" s="1"/>
  <c r="BU27" i="45"/>
  <c r="BT33" i="45"/>
  <c r="BZ33" i="45" s="1"/>
  <c r="BM47" i="45"/>
  <c r="BS47" i="45" s="1"/>
  <c r="BU49" i="45"/>
  <c r="AJ76" i="45"/>
  <c r="AL124" i="45"/>
  <c r="BR41" i="45" s="1"/>
  <c r="BG80" i="45"/>
  <c r="BN48" i="45" s="1"/>
  <c r="AI129" i="45"/>
  <c r="AM100" i="45"/>
  <c r="BB49" i="45" s="1" a="1"/>
  <c r="BB49" i="45" s="1"/>
  <c r="BU47" i="45"/>
  <c r="BC80" i="45"/>
  <c r="BC79" i="45" s="1"/>
  <c r="BC78" i="45" s="1"/>
  <c r="AK108" i="45"/>
  <c r="AM71" i="45"/>
  <c r="BB20" i="45" s="1" a="1"/>
  <c r="BB20" i="45" s="1"/>
  <c r="AK90" i="45"/>
  <c r="AL129" i="45"/>
  <c r="AL98" i="45"/>
  <c r="AK104" i="45"/>
  <c r="AK123" i="45"/>
  <c r="BQ40" i="45" s="1"/>
  <c r="AJ78" i="45"/>
  <c r="AI84" i="45"/>
  <c r="BT40" i="45"/>
  <c r="BY40" i="45" s="1"/>
  <c r="AK100" i="45"/>
  <c r="AJ112" i="45"/>
  <c r="BP29" i="45" s="1"/>
  <c r="AM87" i="45"/>
  <c r="BB36" i="45" s="1" a="1"/>
  <c r="BB36" i="45" s="1"/>
  <c r="AI101" i="45"/>
  <c r="AJ80" i="45"/>
  <c r="AK71" i="45"/>
  <c r="AL117" i="45"/>
  <c r="AL112" i="45"/>
  <c r="AK96" i="45"/>
  <c r="AK89" i="45"/>
  <c r="AI75" i="45"/>
  <c r="AJ102" i="45"/>
  <c r="AJ124" i="45"/>
  <c r="AJ79" i="45"/>
  <c r="AM124" i="45"/>
  <c r="BB73" i="45" s="1" a="1"/>
  <c r="BB73" i="45" s="1"/>
  <c r="AJ118" i="45"/>
  <c r="AK133" i="45"/>
  <c r="BQ50" i="45" s="1"/>
  <c r="AK112" i="45"/>
  <c r="AM103" i="45"/>
  <c r="BB52" i="45" s="1" a="1"/>
  <c r="BB52" i="45" s="1"/>
  <c r="BP50" i="45"/>
  <c r="AK113" i="45"/>
  <c r="AI93" i="45"/>
  <c r="AM128" i="45"/>
  <c r="BB77" i="45" s="1" a="1"/>
  <c r="BB77" i="45" s="1"/>
  <c r="AI77" i="45"/>
  <c r="AL106" i="45"/>
  <c r="AJ77" i="45"/>
  <c r="AJ83" i="45"/>
  <c r="AK75" i="45"/>
  <c r="AI102" i="45"/>
  <c r="AI95" i="45"/>
  <c r="AL95" i="45"/>
  <c r="AL86" i="45"/>
  <c r="AM126" i="45"/>
  <c r="BB75" i="45" s="1" a="1"/>
  <c r="BB75" i="45" s="1"/>
  <c r="AI120" i="45"/>
  <c r="AK124" i="45"/>
  <c r="BQ41" i="45" s="1"/>
  <c r="AL99" i="45"/>
  <c r="AM88" i="45"/>
  <c r="BB37" i="45" s="1" a="1"/>
  <c r="BB37" i="45" s="1"/>
  <c r="AL82" i="45"/>
  <c r="AK117" i="45"/>
  <c r="AI128" i="45"/>
  <c r="AK85" i="45"/>
  <c r="AI126" i="45"/>
  <c r="BO43" i="45" s="1"/>
  <c r="AM83" i="45"/>
  <c r="BB32" i="45" s="1" a="1"/>
  <c r="BB32" i="45" s="1"/>
  <c r="AM89" i="45"/>
  <c r="BB38" i="45" s="1" a="1"/>
  <c r="BB38" i="45" s="1"/>
  <c r="AL109" i="45"/>
  <c r="AI88" i="45"/>
  <c r="AK73" i="45"/>
  <c r="AL115" i="45"/>
  <c r="AK79" i="45"/>
  <c r="AI86" i="45"/>
  <c r="AK114" i="45"/>
  <c r="BQ31" i="45" s="1"/>
  <c r="AJ105" i="45"/>
  <c r="AK87" i="45"/>
  <c r="AL91" i="45"/>
  <c r="AK122" i="45"/>
  <c r="AM75" i="45"/>
  <c r="BB24" i="45" s="1" a="1"/>
  <c r="BB24" i="45" s="1"/>
  <c r="AL118" i="45"/>
  <c r="BR35" i="45" s="1"/>
  <c r="AL81" i="45"/>
  <c r="AI105" i="45"/>
  <c r="AK102" i="45"/>
  <c r="AL127" i="45"/>
  <c r="BR44" i="45" s="1"/>
  <c r="AL85" i="45"/>
  <c r="AK118" i="45"/>
  <c r="AL120" i="45"/>
  <c r="BR37" i="45" s="1"/>
  <c r="AL107" i="45"/>
  <c r="AM117" i="45"/>
  <c r="BB66" i="45" s="1" a="1"/>
  <c r="BB66" i="45" s="1"/>
  <c r="AK91" i="45"/>
  <c r="AL88" i="45"/>
  <c r="AI89" i="45"/>
  <c r="AK101" i="45"/>
  <c r="AK132" i="45"/>
  <c r="BQ49" i="45" s="1"/>
  <c r="AJ95" i="45"/>
  <c r="AJ82" i="45"/>
  <c r="BO50" i="45"/>
  <c r="BN50" i="45"/>
  <c r="BS50" i="45"/>
  <c r="BR50" i="45"/>
  <c r="BU36" i="45"/>
  <c r="BT36" i="45"/>
  <c r="BM45" i="45"/>
  <c r="BG81" i="45"/>
  <c r="BN49" i="45" s="1"/>
  <c r="BM48" i="45"/>
  <c r="BJ81" i="45"/>
  <c r="BU28" i="45"/>
  <c r="BT28" i="45"/>
  <c r="BJ79" i="45"/>
  <c r="BJ78" i="45" s="1"/>
  <c r="BJ77" i="45" s="1"/>
  <c r="BJ76" i="45" s="1"/>
  <c r="BJ75" i="45" s="1"/>
  <c r="BJ74" i="45" s="1"/>
  <c r="BJ73" i="45" s="1"/>
  <c r="BM46" i="45"/>
  <c r="BM23" i="45"/>
  <c r="BN23" i="45"/>
  <c r="BU26" i="45"/>
  <c r="BT26" i="45"/>
  <c r="BM34" i="45"/>
  <c r="BT43" i="45"/>
  <c r="BU43" i="45"/>
  <c r="BM39" i="45"/>
  <c r="BQ19" i="45"/>
  <c r="BP19" i="45"/>
  <c r="BO19" i="45"/>
  <c r="BS19" i="45"/>
  <c r="BR19" i="45"/>
  <c r="BS36" i="45"/>
  <c r="BR36" i="45"/>
  <c r="BP36" i="45"/>
  <c r="BQ36" i="45"/>
  <c r="BO36" i="45"/>
  <c r="BS25" i="45"/>
  <c r="BR25" i="45"/>
  <c r="BP25" i="45"/>
  <c r="BO25" i="45"/>
  <c r="BZ22" i="45"/>
  <c r="BY22" i="45"/>
  <c r="BX22" i="45"/>
  <c r="BW22" i="45"/>
  <c r="BV22" i="45"/>
  <c r="BR43" i="45"/>
  <c r="BQ43" i="45"/>
  <c r="BP43" i="45"/>
  <c r="BS31" i="45"/>
  <c r="BR31" i="45"/>
  <c r="BO31" i="45"/>
  <c r="BP31" i="45"/>
  <c r="BZ35" i="45"/>
  <c r="BY35" i="45"/>
  <c r="BW35" i="45"/>
  <c r="BX35" i="45"/>
  <c r="BV35" i="45"/>
  <c r="BZ20" i="45"/>
  <c r="BY20" i="45"/>
  <c r="BX20" i="45"/>
  <c r="BW20" i="45"/>
  <c r="BV20" i="45"/>
  <c r="BS32" i="45"/>
  <c r="BQ32" i="45"/>
  <c r="BO32" i="45"/>
  <c r="BR32" i="45"/>
  <c r="BP32" i="45"/>
  <c r="BZ34" i="45"/>
  <c r="BY34" i="45"/>
  <c r="BX34" i="45"/>
  <c r="BW34" i="45"/>
  <c r="BV34" i="45"/>
  <c r="BO29" i="45"/>
  <c r="BS29" i="45"/>
  <c r="BQ29" i="45"/>
  <c r="BR29" i="45"/>
  <c r="BS42" i="45"/>
  <c r="BQ42" i="45"/>
  <c r="BO42" i="45"/>
  <c r="BP42" i="45"/>
  <c r="BY25" i="45"/>
  <c r="BV25" i="45"/>
  <c r="BZ25" i="45"/>
  <c r="BX25" i="45"/>
  <c r="BW25" i="45"/>
  <c r="BS41" i="45"/>
  <c r="BP41" i="45"/>
  <c r="BO41" i="45"/>
  <c r="BP49" i="45"/>
  <c r="BS49" i="45"/>
  <c r="BR49" i="45"/>
  <c r="BO49" i="45"/>
  <c r="BS27" i="45"/>
  <c r="BR27" i="45"/>
  <c r="BQ27" i="45"/>
  <c r="BO27" i="45"/>
  <c r="BP27" i="45"/>
  <c r="BS35" i="45"/>
  <c r="BQ35" i="45"/>
  <c r="BO35" i="45"/>
  <c r="BP35" i="45"/>
  <c r="BQ26" i="45"/>
  <c r="BP26" i="45"/>
  <c r="BO26" i="45"/>
  <c r="BS26" i="45"/>
  <c r="BR26" i="45"/>
  <c r="BX24" i="45"/>
  <c r="BW24" i="45"/>
  <c r="BV24" i="45"/>
  <c r="BZ24" i="45"/>
  <c r="BY24" i="45"/>
  <c r="BR47" i="45"/>
  <c r="BZ47" i="45"/>
  <c r="BY47" i="45"/>
  <c r="BW47" i="45"/>
  <c r="BX47" i="45"/>
  <c r="BV47" i="45"/>
  <c r="BX50" i="45"/>
  <c r="BV50" i="45"/>
  <c r="BZ50" i="45"/>
  <c r="BY50" i="45"/>
  <c r="BW50" i="45"/>
  <c r="BW21" i="45"/>
  <c r="BV21" i="45"/>
  <c r="BZ21" i="45"/>
  <c r="BY21" i="45"/>
  <c r="BX21" i="45"/>
  <c r="BQ37" i="45"/>
  <c r="BO37" i="45"/>
  <c r="BW19" i="45"/>
  <c r="BS20" i="45"/>
  <c r="BR20" i="45"/>
  <c r="BQ20" i="45"/>
  <c r="BP20" i="45"/>
  <c r="BO20" i="45"/>
  <c r="BS44" i="45"/>
  <c r="BQ44" i="45"/>
  <c r="BO44" i="45"/>
  <c r="BP44" i="45"/>
  <c r="BW23" i="45"/>
  <c r="BZ38" i="45"/>
  <c r="BX38" i="45"/>
  <c r="BV38" i="45"/>
  <c r="BY38" i="45"/>
  <c r="BW38" i="45"/>
  <c r="BV32" i="45"/>
  <c r="BY32" i="45"/>
  <c r="BZ32" i="45"/>
  <c r="BX32" i="45"/>
  <c r="BW32" i="45"/>
  <c r="BR22" i="45"/>
  <c r="BQ22" i="45"/>
  <c r="BP22" i="45"/>
  <c r="BO22" i="45"/>
  <c r="BS22" i="45"/>
  <c r="BZ46" i="45"/>
  <c r="BY46" i="45"/>
  <c r="BW46" i="45"/>
  <c r="BX46" i="45"/>
  <c r="BV46" i="45"/>
  <c r="BX48" i="45"/>
  <c r="BV48" i="45"/>
  <c r="BY48" i="45"/>
  <c r="BW48" i="45"/>
  <c r="BZ48" i="45"/>
  <c r="BV42" i="45"/>
  <c r="BZ37" i="45"/>
  <c r="BX37" i="45"/>
  <c r="BY37" i="45"/>
  <c r="BW37" i="45"/>
  <c r="BV37" i="45"/>
  <c r="BZ39" i="45"/>
  <c r="BX39" i="45"/>
  <c r="BY39" i="45"/>
  <c r="BW39" i="45"/>
  <c r="BV39" i="45"/>
  <c r="BZ40" i="45"/>
  <c r="BX40" i="45"/>
  <c r="BV41" i="45"/>
  <c r="BY41" i="45"/>
  <c r="BZ41" i="45"/>
  <c r="BX41" i="45"/>
  <c r="BW41" i="45"/>
  <c r="BX29" i="45"/>
  <c r="BW29" i="45"/>
  <c r="BV29" i="45"/>
  <c r="BZ29" i="45"/>
  <c r="BY29" i="45"/>
  <c r="F4" i="45"/>
  <c r="G3" i="45"/>
  <c r="H3" i="45" s="1"/>
  <c r="I3" i="45" s="1" a="1"/>
  <c r="I3" i="45" s="1"/>
  <c r="BX49" i="45"/>
  <c r="BV49" i="45"/>
  <c r="BZ49" i="45"/>
  <c r="BY49" i="45"/>
  <c r="BW49" i="45"/>
  <c r="BS40" i="45"/>
  <c r="BR40" i="45"/>
  <c r="BP40" i="45"/>
  <c r="BO40" i="45"/>
  <c r="BS28" i="45"/>
  <c r="BQ28" i="45"/>
  <c r="BP28" i="45"/>
  <c r="BO28" i="45"/>
  <c r="BR28" i="45"/>
  <c r="BZ27" i="45"/>
  <c r="BY27" i="45"/>
  <c r="BW27" i="45"/>
  <c r="BX27" i="45"/>
  <c r="BV27" i="45"/>
  <c r="BR30" i="45"/>
  <c r="BQ30" i="45"/>
  <c r="BP30" i="45"/>
  <c r="BO30" i="45"/>
  <c r="BS30" i="45"/>
  <c r="BZ30" i="45"/>
  <c r="BY30" i="45"/>
  <c r="BX30" i="45"/>
  <c r="BW30" i="45"/>
  <c r="BV30" i="45"/>
  <c r="BZ45" i="45"/>
  <c r="BY45" i="45"/>
  <c r="BW45" i="45"/>
  <c r="BX45" i="45"/>
  <c r="BV45" i="45"/>
  <c r="BP33" i="45"/>
  <c r="BO33" i="45"/>
  <c r="BR33" i="45"/>
  <c r="BQ33" i="45"/>
  <c r="BZ44" i="45"/>
  <c r="BY44" i="45"/>
  <c r="BW44" i="45"/>
  <c r="BX44" i="45"/>
  <c r="BV44" i="45"/>
  <c r="BZ19" i="45" l="1"/>
  <c r="BQ47" i="45"/>
  <c r="BW33" i="45"/>
  <c r="BV40" i="45"/>
  <c r="BY42" i="45"/>
  <c r="BX19" i="45"/>
  <c r="BX33" i="45"/>
  <c r="BW40" i="45"/>
  <c r="BZ42" i="45"/>
  <c r="BY19" i="45"/>
  <c r="BV23" i="45"/>
  <c r="BR38" i="45"/>
  <c r="BS33" i="45"/>
  <c r="BX42" i="45"/>
  <c r="BO24" i="45"/>
  <c r="BS37" i="45"/>
  <c r="BO47" i="45"/>
  <c r="BY33" i="45"/>
  <c r="BV33" i="45"/>
  <c r="BY23" i="45"/>
  <c r="BS38" i="45"/>
  <c r="BZ31" i="45"/>
  <c r="BY31" i="45"/>
  <c r="BP21" i="45"/>
  <c r="BP47" i="45"/>
  <c r="BX23" i="45"/>
  <c r="BR21" i="45"/>
  <c r="BO38" i="45"/>
  <c r="BV31" i="45"/>
  <c r="BS21" i="45"/>
  <c r="BQ38" i="45"/>
  <c r="BQ24" i="45"/>
  <c r="BG79" i="45"/>
  <c r="BN47" i="45" s="1"/>
  <c r="BX31" i="45"/>
  <c r="BO21" i="45"/>
  <c r="BP38" i="45"/>
  <c r="BR24" i="45"/>
  <c r="BS24" i="45"/>
  <c r="BJ18" i="45" a="1"/>
  <c r="BJ18" i="45" s="1"/>
  <c r="BJ72" i="45"/>
  <c r="BJ71" i="45" s="1"/>
  <c r="BJ70" i="45" s="1"/>
  <c r="BJ69" i="45" s="1"/>
  <c r="BJ68" i="45" s="1"/>
  <c r="BJ67" i="45" s="1"/>
  <c r="BJ66" i="45" s="1"/>
  <c r="BJ65" i="45" s="1"/>
  <c r="BJ64" i="45" s="1"/>
  <c r="BJ63" i="45" s="1"/>
  <c r="BJ62" i="45" s="1"/>
  <c r="BJ61" i="45" s="1"/>
  <c r="BJ60" i="45" s="1"/>
  <c r="BJ59" i="45" s="1"/>
  <c r="BJ58" i="45" s="1"/>
  <c r="BJ57" i="45" s="1"/>
  <c r="BJ56" i="45" s="1"/>
  <c r="BJ55" i="45" s="1"/>
  <c r="BJ54" i="45" s="1"/>
  <c r="BJ53" i="45" s="1"/>
  <c r="BJ52" i="45" s="1"/>
  <c r="BJ51" i="45" s="1"/>
  <c r="BJ50" i="45" s="1"/>
  <c r="BJ49" i="45" s="1"/>
  <c r="BJ48" i="45" s="1"/>
  <c r="BJ47" i="45" s="1"/>
  <c r="BJ46" i="45" s="1"/>
  <c r="BJ45" i="45" s="1"/>
  <c r="BJ44" i="45" s="1"/>
  <c r="BJ43" i="45" s="1"/>
  <c r="BJ42" i="45" s="1"/>
  <c r="BJ41" i="45" s="1"/>
  <c r="BJ40" i="45" s="1"/>
  <c r="BJ39" i="45" s="1"/>
  <c r="BJ38" i="45" s="1"/>
  <c r="BJ37" i="45" s="1"/>
  <c r="BJ36" i="45" s="1"/>
  <c r="BJ35" i="45" s="1"/>
  <c r="BJ34" i="45" s="1"/>
  <c r="BJ33" i="45" s="1"/>
  <c r="BJ32" i="45" s="1"/>
  <c r="BJ31" i="45" s="1"/>
  <c r="BJ30" i="45" s="1"/>
  <c r="BJ29" i="45" s="1"/>
  <c r="BJ28" i="45" s="1"/>
  <c r="BJ27" i="45" s="1"/>
  <c r="BJ26" i="45" s="1"/>
  <c r="BJ25" i="45" s="1"/>
  <c r="BJ24" i="45" s="1"/>
  <c r="BJ23" i="45" s="1"/>
  <c r="BJ22" i="45" s="1"/>
  <c r="BJ21" i="45" s="1"/>
  <c r="BJ20" i="45" s="1"/>
  <c r="BC77" i="45"/>
  <c r="BC76" i="45" s="1"/>
  <c r="BC75" i="45" s="1"/>
  <c r="BC74" i="45" s="1"/>
  <c r="BC73" i="45" s="1"/>
  <c r="BC72" i="45" s="1"/>
  <c r="BC71" i="45" s="1"/>
  <c r="BC70" i="45" s="1"/>
  <c r="BC69" i="45" s="1"/>
  <c r="BC68" i="45" s="1"/>
  <c r="BC67" i="45" s="1"/>
  <c r="BC66" i="45" s="1"/>
  <c r="BC65" i="45" s="1"/>
  <c r="BC64" i="45" s="1"/>
  <c r="BC63" i="45" s="1"/>
  <c r="BC62" i="45" s="1"/>
  <c r="BC61" i="45" s="1"/>
  <c r="BC60" i="45" s="1"/>
  <c r="BC59" i="45" s="1"/>
  <c r="BC58" i="45" s="1"/>
  <c r="BC57" i="45" s="1"/>
  <c r="BC56" i="45" s="1"/>
  <c r="BC55" i="45" s="1"/>
  <c r="BC54" i="45" s="1"/>
  <c r="BC53" i="45" s="1"/>
  <c r="BC52" i="45" s="1"/>
  <c r="BC51" i="45" s="1"/>
  <c r="BC50" i="45" s="1"/>
  <c r="BC49" i="45" s="1"/>
  <c r="BC48" i="45" s="1"/>
  <c r="BC47" i="45" s="1"/>
  <c r="BC46" i="45" s="1"/>
  <c r="BC45" i="45" s="1"/>
  <c r="BC44" i="45" s="1"/>
  <c r="BC43" i="45" s="1"/>
  <c r="BC42" i="45" s="1"/>
  <c r="BC41" i="45" s="1"/>
  <c r="BC40" i="45" s="1"/>
  <c r="BC39" i="45" s="1"/>
  <c r="BC38" i="45" s="1"/>
  <c r="BC37" i="45" s="1"/>
  <c r="BC36" i="45" s="1"/>
  <c r="BC35" i="45" s="1"/>
  <c r="BC34" i="45" s="1"/>
  <c r="BC33" i="45" s="1"/>
  <c r="BC32" i="45" s="1"/>
  <c r="BC31" i="45" s="1"/>
  <c r="BC30" i="45" s="1"/>
  <c r="BC29" i="45" s="1"/>
  <c r="BC28" i="45" s="1"/>
  <c r="BC27" i="45" s="1"/>
  <c r="BC26" i="45" s="1"/>
  <c r="BC25" i="45" s="1"/>
  <c r="BC24" i="45" s="1"/>
  <c r="BC23" i="45" s="1"/>
  <c r="BC22" i="45" s="1"/>
  <c r="BC21" i="45" s="1"/>
  <c r="BC20" i="45" s="1"/>
  <c r="BG78" i="45"/>
  <c r="BS43" i="45"/>
  <c r="BS46" i="45"/>
  <c r="BR46" i="45"/>
  <c r="BQ46" i="45"/>
  <c r="BO46" i="45"/>
  <c r="BP46" i="45"/>
  <c r="BQ39" i="45"/>
  <c r="BS39" i="45"/>
  <c r="BR39" i="45"/>
  <c r="BP39" i="45"/>
  <c r="BO39" i="45"/>
  <c r="BY26" i="45"/>
  <c r="BX26" i="45"/>
  <c r="BW26" i="45"/>
  <c r="BV26" i="45"/>
  <c r="BZ26" i="45"/>
  <c r="BS45" i="45"/>
  <c r="BR45" i="45"/>
  <c r="BQ45" i="45"/>
  <c r="BO45" i="45"/>
  <c r="BP45" i="45"/>
  <c r="BR34" i="45"/>
  <c r="BQ34" i="45"/>
  <c r="BP34" i="45"/>
  <c r="BO34" i="45"/>
  <c r="BS34" i="45"/>
  <c r="BV28" i="45"/>
  <c r="BY28" i="45"/>
  <c r="BZ28" i="45"/>
  <c r="BX28" i="45"/>
  <c r="BW28" i="45"/>
  <c r="BQ48" i="45"/>
  <c r="BO48" i="45"/>
  <c r="BS48" i="45"/>
  <c r="BP48" i="45"/>
  <c r="BR48" i="45"/>
  <c r="BS23" i="45"/>
  <c r="BR23" i="45"/>
  <c r="BQ23" i="45"/>
  <c r="BO23" i="45"/>
  <c r="BP23" i="45"/>
  <c r="BZ43" i="45"/>
  <c r="BY43" i="45"/>
  <c r="BW43" i="45"/>
  <c r="BX43" i="45"/>
  <c r="BV43" i="45"/>
  <c r="BX36" i="45"/>
  <c r="BZ36" i="45"/>
  <c r="BY36" i="45"/>
  <c r="BW36" i="45"/>
  <c r="BV36" i="45"/>
  <c r="F5" i="45"/>
  <c r="G4" i="45"/>
  <c r="H4" i="45" s="1"/>
  <c r="I4" i="45" s="1" a="1"/>
  <c r="I4" i="45" s="1"/>
  <c r="BN46" i="45" l="1"/>
  <c r="BG77" i="45"/>
  <c r="G41" i="45"/>
  <c r="BY10" i="45"/>
  <c r="BI15" i="45"/>
  <c r="BX12" i="45" a="1"/>
  <c r="BX12" i="45" s="1"/>
  <c r="G42" i="45" s="1"/>
  <c r="BN30" i="45"/>
  <c r="G5" i="45"/>
  <c r="H5" i="45" s="1"/>
  <c r="I5" i="45" s="1" a="1"/>
  <c r="I5" i="45" s="1"/>
  <c r="F6" i="45"/>
  <c r="CA7" i="45" a="1"/>
  <c r="CA7" i="45" l="1"/>
  <c r="BN45" i="45"/>
  <c r="BG76" i="45"/>
  <c r="BN44" i="45" s="1"/>
  <c r="BN29" i="45"/>
  <c r="F7" i="45"/>
  <c r="G6" i="45"/>
  <c r="H6" i="45" s="1"/>
  <c r="I6" i="45" s="1" a="1"/>
  <c r="I6" i="45" s="1"/>
  <c r="BG18" i="45" l="1" a="1"/>
  <c r="BG18" i="45" s="1"/>
  <c r="BN11" i="45" s="1"/>
  <c r="BG75" i="45"/>
  <c r="BN28" i="45"/>
  <c r="G7" i="45"/>
  <c r="H7" i="45" s="1"/>
  <c r="I7" i="45" s="1" a="1"/>
  <c r="I7" i="45" s="1"/>
  <c r="F8" i="45"/>
  <c r="BN43" i="45" l="1"/>
  <c r="BG74" i="45"/>
  <c r="BN27" i="45"/>
  <c r="F9" i="45"/>
  <c r="G8" i="45"/>
  <c r="H8" i="45" s="1"/>
  <c r="I8" i="45" s="1" a="1"/>
  <c r="I8" i="45" s="1"/>
  <c r="BN42" i="45" l="1"/>
  <c r="BG73" i="45"/>
  <c r="BN26" i="45"/>
  <c r="G9" i="45"/>
  <c r="H9" i="45" s="1"/>
  <c r="I9" i="45" s="1" a="1"/>
  <c r="I9" i="45" s="1"/>
  <c r="F10" i="45"/>
  <c r="BN41" i="45" l="1"/>
  <c r="BG72" i="45"/>
  <c r="F11" i="45"/>
  <c r="G10" i="45"/>
  <c r="H10" i="45" s="1"/>
  <c r="I10" i="45" s="1" a="1"/>
  <c r="I10" i="45" s="1"/>
  <c r="BN40" i="45" l="1"/>
  <c r="BG71" i="45"/>
  <c r="G11" i="45"/>
  <c r="H11" i="45" s="1"/>
  <c r="I11" i="45" s="1" a="1"/>
  <c r="I11" i="45" s="1"/>
  <c r="F12" i="45"/>
  <c r="BN39" i="45" l="1"/>
  <c r="BG70" i="45"/>
  <c r="F13" i="45"/>
  <c r="G12" i="45"/>
  <c r="H12" i="45" s="1"/>
  <c r="I12" i="45" s="1" a="1"/>
  <c r="I12" i="45" s="1"/>
  <c r="BG69" i="45" l="1"/>
  <c r="BN37" i="45" s="1"/>
  <c r="BN38" i="45"/>
  <c r="BG68" i="45"/>
  <c r="G13" i="45"/>
  <c r="H13" i="45" s="1"/>
  <c r="I13" i="45" s="1" a="1"/>
  <c r="I13" i="45" s="1"/>
  <c r="F14" i="45"/>
  <c r="BN36" i="45" l="1"/>
  <c r="BG67" i="45"/>
  <c r="G14" i="45"/>
  <c r="H14" i="45" s="1"/>
  <c r="I14" i="45" s="1" a="1"/>
  <c r="I14" i="45" s="1"/>
  <c r="F15" i="45"/>
  <c r="BN35" i="45" l="1"/>
  <c r="BG66" i="45"/>
  <c r="F16" i="45"/>
  <c r="G15" i="45"/>
  <c r="H15" i="45" s="1"/>
  <c r="I15" i="45" s="1" a="1"/>
  <c r="I15" i="45" s="1"/>
  <c r="BN34" i="45" l="1"/>
  <c r="BG65" i="45"/>
  <c r="G16" i="45"/>
  <c r="H16" i="45" s="1"/>
  <c r="I16" i="45" s="1" a="1"/>
  <c r="I16" i="45" s="1"/>
  <c r="F17" i="45"/>
  <c r="BN33" i="45" l="1"/>
  <c r="BG64" i="45"/>
  <c r="G17" i="45"/>
  <c r="H17" i="45" s="1"/>
  <c r="I17" i="45" s="1" a="1"/>
  <c r="I17" i="45" s="1"/>
  <c r="F18" i="45"/>
  <c r="BN32" i="45" l="1"/>
  <c r="BG63" i="45"/>
  <c r="F19" i="45"/>
  <c r="G18" i="45"/>
  <c r="H18" i="45" s="1"/>
  <c r="I18" i="45" s="1" a="1"/>
  <c r="I18" i="45" s="1"/>
  <c r="BG62" i="45" l="1"/>
  <c r="BG61" i="45" s="1"/>
  <c r="BG60" i="45" s="1"/>
  <c r="BG59" i="45" s="1"/>
  <c r="BG58" i="45" s="1"/>
  <c r="BG57" i="45" s="1"/>
  <c r="BG56" i="45" s="1"/>
  <c r="BG55" i="45" s="1"/>
  <c r="BG54" i="45" s="1"/>
  <c r="BG53" i="45" s="1"/>
  <c r="BG52" i="45" s="1"/>
  <c r="BG51" i="45" s="1"/>
  <c r="BG50" i="45" s="1"/>
  <c r="BG49" i="45" s="1"/>
  <c r="BG48" i="45" s="1"/>
  <c r="BG47" i="45" s="1"/>
  <c r="BG46" i="45" s="1"/>
  <c r="BG45" i="45" s="1"/>
  <c r="BG44" i="45" s="1"/>
  <c r="BG43" i="45" s="1"/>
  <c r="BG42" i="45" s="1"/>
  <c r="BG41" i="45" s="1"/>
  <c r="BG40" i="45" s="1"/>
  <c r="BG39" i="45" s="1"/>
  <c r="BG38" i="45" s="1"/>
  <c r="BG37" i="45" s="1"/>
  <c r="BG36" i="45" s="1"/>
  <c r="BG35" i="45" s="1"/>
  <c r="BG34" i="45" s="1"/>
  <c r="BG33" i="45" s="1"/>
  <c r="BG32" i="45" s="1"/>
  <c r="BG31" i="45" s="1"/>
  <c r="BG30" i="45" s="1"/>
  <c r="BG29" i="45" s="1"/>
  <c r="BG28" i="45" s="1"/>
  <c r="BG27" i="45" s="1"/>
  <c r="BG26" i="45" s="1"/>
  <c r="BG25" i="45" s="1"/>
  <c r="BG24" i="45" s="1"/>
  <c r="BG23" i="45" s="1"/>
  <c r="BG22" i="45" s="1"/>
  <c r="BG21" i="45" s="1"/>
  <c r="BG20" i="45" s="1"/>
  <c r="BN31" i="45"/>
  <c r="G19" i="45"/>
  <c r="H19" i="45" s="1"/>
  <c r="I19" i="45" s="1" a="1"/>
  <c r="I19" i="45" s="1"/>
  <c r="F20" i="45"/>
  <c r="F21" i="45" l="1"/>
  <c r="G20" i="45"/>
  <c r="H20" i="45" s="1"/>
  <c r="I20" i="45" s="1" a="1"/>
  <c r="I20" i="45" s="1"/>
  <c r="F22" i="45" l="1"/>
  <c r="G21" i="45"/>
  <c r="H21" i="45" s="1"/>
  <c r="I21" i="45" s="1" a="1"/>
  <c r="I21" i="45" s="1"/>
  <c r="G22" i="45" l="1"/>
  <c r="H22" i="45" s="1"/>
  <c r="I22" i="45" s="1" a="1"/>
  <c r="I22" i="45" s="1"/>
  <c r="F23" i="45"/>
  <c r="F24" i="45" l="1"/>
  <c r="G23" i="45"/>
  <c r="H23" i="45" s="1"/>
  <c r="I23" i="45" s="1" a="1"/>
  <c r="I23" i="45" s="1"/>
  <c r="G24" i="45" l="1"/>
  <c r="H24" i="45" s="1"/>
  <c r="I24" i="45" s="1" a="1"/>
  <c r="I24" i="45" s="1"/>
  <c r="F25" i="45"/>
  <c r="F26" i="45" l="1"/>
  <c r="G25" i="45"/>
  <c r="H25" i="45" s="1"/>
  <c r="I25" i="45" s="1" a="1"/>
  <c r="I25" i="45" s="1"/>
  <c r="G26" i="45" l="1"/>
  <c r="H26" i="45" s="1"/>
  <c r="I26" i="45" s="1" a="1"/>
  <c r="I26" i="45" s="1"/>
  <c r="F27" i="45"/>
  <c r="G27" i="45" s="1"/>
  <c r="H27" i="45" s="1"/>
  <c r="I27" i="45" s="1" a="1"/>
  <c r="I27" i="45" s="1"/>
  <c r="I1" i="45" s="1"/>
  <c r="BV1" i="45" s="1"/>
  <c r="J1" i="45" s="1"/>
  <c r="G36" i="45" l="1"/>
  <c r="K1" i="45"/>
  <c r="K2" i="45"/>
  <c r="K3" i="45" l="1"/>
  <c r="L2" i="45"/>
  <c r="M2" i="45" s="1"/>
  <c r="N2" i="45" s="1"/>
  <c r="O2" i="45" s="1"/>
  <c r="K4" i="45" l="1"/>
  <c r="L3" i="45"/>
  <c r="M3" i="45" s="1"/>
  <c r="N3" i="45" s="1"/>
  <c r="O3" i="45" s="1"/>
  <c r="K5" i="45" l="1"/>
  <c r="L4" i="45"/>
  <c r="M4" i="45" s="1"/>
  <c r="N4" i="45" s="1"/>
  <c r="O4" i="45" s="1"/>
  <c r="L5" i="45" l="1"/>
  <c r="M5" i="45" s="1"/>
  <c r="N5" i="45" s="1"/>
  <c r="O5" i="45" s="1"/>
  <c r="K6" i="45"/>
  <c r="K7" i="45" l="1"/>
  <c r="L6" i="45"/>
  <c r="M6" i="45" s="1"/>
  <c r="N6" i="45" s="1"/>
  <c r="O6" i="45" s="1"/>
  <c r="K8" i="45" l="1"/>
  <c r="L7" i="45"/>
  <c r="M7" i="45" s="1"/>
  <c r="N7" i="45" s="1"/>
  <c r="O7" i="45" s="1"/>
  <c r="L8" i="45" l="1"/>
  <c r="M8" i="45" s="1"/>
  <c r="N8" i="45" s="1"/>
  <c r="O8" i="45" s="1"/>
  <c r="K9" i="45"/>
  <c r="K10" i="45" l="1"/>
  <c r="L9" i="45"/>
  <c r="M9" i="45" s="1"/>
  <c r="N9" i="45" s="1"/>
  <c r="O9" i="45" s="1"/>
  <c r="L10" i="45" l="1"/>
  <c r="M10" i="45" s="1"/>
  <c r="N10" i="45" s="1"/>
  <c r="O10" i="45" s="1"/>
  <c r="K11" i="45"/>
  <c r="K12" i="45" l="1"/>
  <c r="L11" i="45"/>
  <c r="M11" i="45" s="1"/>
  <c r="N11" i="45" s="1"/>
  <c r="O11" i="45" s="1"/>
  <c r="K13" i="45" l="1"/>
  <c r="L12" i="45"/>
  <c r="M12" i="45" s="1"/>
  <c r="N12" i="45" s="1"/>
  <c r="O12" i="45" s="1"/>
  <c r="K14" i="45" l="1"/>
  <c r="L13" i="45"/>
  <c r="M13" i="45" s="1"/>
  <c r="N13" i="45" s="1"/>
  <c r="O13" i="45" s="1"/>
  <c r="K15" i="45" l="1"/>
  <c r="L14" i="45"/>
  <c r="M14" i="45" s="1"/>
  <c r="N14" i="45" s="1"/>
  <c r="O14" i="45" s="1"/>
  <c r="L15" i="45" l="1"/>
  <c r="M15" i="45" s="1"/>
  <c r="N15" i="45" s="1"/>
  <c r="O15" i="45" s="1"/>
  <c r="K16" i="45"/>
  <c r="L16" i="45" l="1"/>
  <c r="M16" i="45" s="1"/>
  <c r="N16" i="45" s="1"/>
  <c r="O16" i="45" s="1"/>
  <c r="K17" i="45"/>
  <c r="K18" i="45" l="1"/>
  <c r="L17" i="45"/>
  <c r="M17" i="45" s="1"/>
  <c r="N17" i="45" s="1"/>
  <c r="O17" i="45" s="1"/>
  <c r="K19" i="45" l="1"/>
  <c r="L18" i="45"/>
  <c r="M18" i="45" s="1"/>
  <c r="N18" i="45" s="1"/>
  <c r="O18" i="45" s="1"/>
  <c r="L19" i="45" l="1"/>
  <c r="M19" i="45" s="1"/>
  <c r="N19" i="45" s="1"/>
  <c r="O19" i="45" s="1"/>
  <c r="K20" i="45"/>
  <c r="K21" i="45" l="1"/>
  <c r="L20" i="45"/>
  <c r="M20" i="45" s="1"/>
  <c r="N20" i="45" s="1"/>
  <c r="O20" i="45" s="1"/>
  <c r="L21" i="45" l="1"/>
  <c r="M21" i="45" s="1"/>
  <c r="N21" i="45" s="1"/>
  <c r="O21" i="45" s="1"/>
  <c r="K22" i="45"/>
  <c r="K23" i="45" l="1"/>
  <c r="L22" i="45"/>
  <c r="M22" i="45" s="1"/>
  <c r="N22" i="45" s="1"/>
  <c r="O22" i="45" s="1"/>
  <c r="K24" i="45" l="1"/>
  <c r="L23" i="45"/>
  <c r="M23" i="45" s="1"/>
  <c r="N23" i="45" s="1"/>
  <c r="O23" i="45" s="1"/>
  <c r="K25" i="45" l="1"/>
  <c r="L24" i="45"/>
  <c r="M24" i="45" s="1"/>
  <c r="N24" i="45" s="1"/>
  <c r="O24" i="45" s="1"/>
  <c r="L25" i="45" l="1"/>
  <c r="M25" i="45" s="1"/>
  <c r="N25" i="45" s="1"/>
  <c r="O25" i="45" s="1"/>
  <c r="K26" i="45"/>
  <c r="L26" i="45" l="1"/>
  <c r="M26" i="45" s="1"/>
  <c r="N26" i="45" s="1"/>
  <c r="O26" i="45" s="1"/>
  <c r="K27" i="45"/>
  <c r="L27" i="45" s="1"/>
  <c r="M27" i="45" s="1"/>
  <c r="N27" i="45" s="1"/>
  <c r="O27" i="45" s="1"/>
  <c r="O1" i="45" l="1"/>
  <c r="P1" i="45" s="1"/>
  <c r="P2" i="45" s="1"/>
  <c r="P3" i="45" s="1"/>
  <c r="Q2" i="45" l="1"/>
  <c r="R2" i="45" s="1"/>
  <c r="P4" i="45"/>
  <c r="Q3" i="45"/>
  <c r="R3" i="45" s="1"/>
  <c r="P5" i="45" l="1"/>
  <c r="Q4" i="45"/>
  <c r="R4" i="45" s="1"/>
  <c r="P6" i="45" l="1"/>
  <c r="Q6" i="45" s="1"/>
  <c r="R6" i="45" s="1"/>
  <c r="Q5" i="45"/>
  <c r="R5" i="45" s="1"/>
  <c r="R1" i="45" l="1"/>
  <c r="BD23" i="17" l="1" a="1"/>
  <c r="BD23" i="17" s="1"/>
  <c r="BB23" i="17"/>
  <c r="BL9" i="33" a="1"/>
  <c r="BL9" i="33" s="1"/>
  <c r="BJ9" i="33"/>
  <c r="BI477" i="43"/>
  <c r="BC477" i="43"/>
  <c r="AZ477" i="43"/>
  <c r="AT477" i="43"/>
  <c r="AQ477" i="43"/>
  <c r="AK477" i="43"/>
  <c r="BI476" i="43"/>
  <c r="BC476" i="43"/>
  <c r="AZ476" i="43"/>
  <c r="AT476" i="43"/>
  <c r="AQ476" i="43"/>
  <c r="AK476" i="43"/>
  <c r="BI475" i="43"/>
  <c r="BC475" i="43"/>
  <c r="AZ475" i="43"/>
  <c r="AT475" i="43"/>
  <c r="AQ475" i="43"/>
  <c r="AK475" i="43"/>
  <c r="BI474" i="43"/>
  <c r="BC474" i="43"/>
  <c r="AZ474" i="43"/>
  <c r="AT474" i="43"/>
  <c r="AQ474" i="43"/>
  <c r="AK474" i="43"/>
  <c r="BI473" i="43"/>
  <c r="BC473" i="43"/>
  <c r="AZ473" i="43"/>
  <c r="AT473" i="43"/>
  <c r="AQ473" i="43"/>
  <c r="AK473" i="43"/>
  <c r="BI472" i="43"/>
  <c r="BC472" i="43"/>
  <c r="AZ472" i="43"/>
  <c r="AT472" i="43"/>
  <c r="AQ472" i="43"/>
  <c r="AK472" i="43"/>
  <c r="BI471" i="43"/>
  <c r="BC471" i="43"/>
  <c r="AZ471" i="43"/>
  <c r="AT471" i="43"/>
  <c r="AQ471" i="43"/>
  <c r="AK471" i="43"/>
  <c r="BI470" i="43"/>
  <c r="BC470" i="43"/>
  <c r="AZ470" i="43"/>
  <c r="AT470" i="43"/>
  <c r="AQ470" i="43"/>
  <c r="AK470" i="43"/>
  <c r="BI469" i="43"/>
  <c r="BC469" i="43"/>
  <c r="AZ469" i="43"/>
  <c r="AT469" i="43"/>
  <c r="AQ469" i="43"/>
  <c r="AK469" i="43"/>
  <c r="BI468" i="43"/>
  <c r="BC468" i="43"/>
  <c r="AZ468" i="43"/>
  <c r="AT468" i="43"/>
  <c r="AQ468" i="43"/>
  <c r="AK468" i="43"/>
  <c r="BI467" i="43"/>
  <c r="BC467" i="43"/>
  <c r="AZ467" i="43"/>
  <c r="AT467" i="43"/>
  <c r="AQ467" i="43"/>
  <c r="AK467" i="43"/>
  <c r="BI466" i="43"/>
  <c r="BC466" i="43"/>
  <c r="AZ466" i="43"/>
  <c r="AT466" i="43"/>
  <c r="AQ466" i="43"/>
  <c r="AK466" i="43"/>
  <c r="BI465" i="43"/>
  <c r="BC465" i="43"/>
  <c r="AZ465" i="43"/>
  <c r="AT465" i="43"/>
  <c r="AQ465" i="43"/>
  <c r="AK465" i="43"/>
  <c r="BI464" i="43"/>
  <c r="BC464" i="43"/>
  <c r="AZ464" i="43"/>
  <c r="AT464" i="43"/>
  <c r="AQ464" i="43"/>
  <c r="AK464" i="43"/>
  <c r="BI463" i="43"/>
  <c r="BC463" i="43"/>
  <c r="AZ463" i="43"/>
  <c r="AT463" i="43"/>
  <c r="AQ463" i="43"/>
  <c r="AK463" i="43"/>
  <c r="BI462" i="43"/>
  <c r="BC462" i="43"/>
  <c r="AZ462" i="43"/>
  <c r="AT462" i="43"/>
  <c r="AQ462" i="43"/>
  <c r="AK462" i="43"/>
  <c r="BI461" i="43"/>
  <c r="BC461" i="43"/>
  <c r="AZ461" i="43"/>
  <c r="AT461" i="43"/>
  <c r="AQ461" i="43"/>
  <c r="AK461" i="43"/>
  <c r="BI460" i="43"/>
  <c r="BC460" i="43"/>
  <c r="AZ460" i="43"/>
  <c r="AT460" i="43"/>
  <c r="AQ460" i="43"/>
  <c r="AK460" i="43"/>
  <c r="BI459" i="43"/>
  <c r="BC459" i="43"/>
  <c r="AZ459" i="43"/>
  <c r="AT459" i="43"/>
  <c r="AQ459" i="43"/>
  <c r="AK459" i="43"/>
  <c r="BI458" i="43"/>
  <c r="BC458" i="43"/>
  <c r="AZ458" i="43"/>
  <c r="AT458" i="43"/>
  <c r="AQ458" i="43"/>
  <c r="AK458" i="43"/>
  <c r="BI457" i="43"/>
  <c r="BC457" i="43"/>
  <c r="AZ457" i="43"/>
  <c r="AT457" i="43"/>
  <c r="AQ457" i="43"/>
  <c r="AK457" i="43"/>
  <c r="BI456" i="43"/>
  <c r="BC456" i="43"/>
  <c r="AZ456" i="43"/>
  <c r="AT456" i="43"/>
  <c r="AQ456" i="43"/>
  <c r="AK456" i="43"/>
  <c r="BI455" i="43"/>
  <c r="BC455" i="43"/>
  <c r="AZ455" i="43"/>
  <c r="AT455" i="43"/>
  <c r="AQ455" i="43"/>
  <c r="AK455" i="43"/>
  <c r="BI454" i="43"/>
  <c r="BC454" i="43"/>
  <c r="AZ454" i="43"/>
  <c r="AT454" i="43"/>
  <c r="AQ454" i="43"/>
  <c r="AK454" i="43"/>
  <c r="BI453" i="43"/>
  <c r="BC453" i="43"/>
  <c r="AZ453" i="43"/>
  <c r="AT453" i="43"/>
  <c r="AQ453" i="43"/>
  <c r="AK453" i="43"/>
  <c r="BI452" i="43"/>
  <c r="BC452" i="43"/>
  <c r="AZ452" i="43"/>
  <c r="AT452" i="43"/>
  <c r="AQ452" i="43"/>
  <c r="AK452" i="43"/>
  <c r="BI451" i="43"/>
  <c r="BC451" i="43"/>
  <c r="AZ451" i="43"/>
  <c r="AT451" i="43"/>
  <c r="AQ451" i="43"/>
  <c r="AK451" i="43"/>
  <c r="BI450" i="43"/>
  <c r="BC450" i="43"/>
  <c r="AZ450" i="43"/>
  <c r="AT450" i="43"/>
  <c r="AQ450" i="43"/>
  <c r="AK450" i="43"/>
  <c r="BI449" i="43"/>
  <c r="BC449" i="43"/>
  <c r="AZ449" i="43"/>
  <c r="AT449" i="43"/>
  <c r="AQ449" i="43"/>
  <c r="AK449" i="43"/>
  <c r="BI448" i="43"/>
  <c r="BC448" i="43"/>
  <c r="AZ448" i="43"/>
  <c r="AT448" i="43"/>
  <c r="AQ448" i="43"/>
  <c r="AK448" i="43"/>
  <c r="BI447" i="43"/>
  <c r="BC447" i="43"/>
  <c r="AZ447" i="43"/>
  <c r="AT447" i="43"/>
  <c r="AQ447" i="43"/>
  <c r="AK447" i="43"/>
  <c r="BI446" i="43"/>
  <c r="BC446" i="43"/>
  <c r="AZ446" i="43"/>
  <c r="AT446" i="43"/>
  <c r="AQ446" i="43"/>
  <c r="AK446" i="43"/>
  <c r="BI445" i="43"/>
  <c r="BC445" i="43"/>
  <c r="AZ445" i="43"/>
  <c r="AT445" i="43"/>
  <c r="AQ445" i="43"/>
  <c r="AK445" i="43"/>
  <c r="BI444" i="43"/>
  <c r="BC444" i="43"/>
  <c r="AZ444" i="43"/>
  <c r="AT444" i="43"/>
  <c r="AQ444" i="43"/>
  <c r="AK444" i="43"/>
  <c r="BI443" i="43"/>
  <c r="BC443" i="43"/>
  <c r="AZ443" i="43"/>
  <c r="AT443" i="43"/>
  <c r="AQ443" i="43"/>
  <c r="AK443" i="43"/>
  <c r="BI442" i="43"/>
  <c r="BC442" i="43"/>
  <c r="AZ442" i="43"/>
  <c r="AT442" i="43"/>
  <c r="AQ442" i="43"/>
  <c r="AK442" i="43"/>
  <c r="BI441" i="43"/>
  <c r="BC441" i="43"/>
  <c r="AZ441" i="43"/>
  <c r="AT441" i="43"/>
  <c r="AQ441" i="43"/>
  <c r="AK441" i="43"/>
  <c r="BI440" i="43"/>
  <c r="BC440" i="43"/>
  <c r="AZ440" i="43"/>
  <c r="AT440" i="43"/>
  <c r="AQ440" i="43"/>
  <c r="AK440" i="43"/>
  <c r="BI439" i="43"/>
  <c r="BC439" i="43"/>
  <c r="AZ439" i="43"/>
  <c r="AT439" i="43"/>
  <c r="AQ439" i="43"/>
  <c r="AK439" i="43"/>
  <c r="BI438" i="43"/>
  <c r="BC438" i="43"/>
  <c r="AZ438" i="43"/>
  <c r="AT438" i="43"/>
  <c r="AQ438" i="43"/>
  <c r="AK438" i="43"/>
  <c r="BI437" i="43"/>
  <c r="BC437" i="43"/>
  <c r="AZ437" i="43"/>
  <c r="AT437" i="43"/>
  <c r="AQ437" i="43"/>
  <c r="AK437" i="43"/>
  <c r="BI436" i="43"/>
  <c r="BC436" i="43"/>
  <c r="AZ436" i="43"/>
  <c r="AT436" i="43"/>
  <c r="AQ436" i="43"/>
  <c r="AK436" i="43"/>
  <c r="BI435" i="43"/>
  <c r="BC435" i="43"/>
  <c r="AZ435" i="43"/>
  <c r="AT435" i="43"/>
  <c r="AQ435" i="43"/>
  <c r="AK435" i="43"/>
  <c r="BI434" i="43"/>
  <c r="BC434" i="43"/>
  <c r="AZ434" i="43"/>
  <c r="AT434" i="43"/>
  <c r="AQ434" i="43"/>
  <c r="AK434" i="43"/>
  <c r="BI433" i="43"/>
  <c r="BC433" i="43"/>
  <c r="AZ433" i="43"/>
  <c r="AT433" i="43"/>
  <c r="AQ433" i="43"/>
  <c r="AK433" i="43"/>
  <c r="BI432" i="43"/>
  <c r="BC432" i="43"/>
  <c r="AZ432" i="43"/>
  <c r="AT432" i="43"/>
  <c r="AQ432" i="43"/>
  <c r="AK432" i="43"/>
  <c r="BI431" i="43"/>
  <c r="BC431" i="43"/>
  <c r="AZ431" i="43"/>
  <c r="AT431" i="43"/>
  <c r="AQ431" i="43"/>
  <c r="AK431" i="43"/>
  <c r="BI430" i="43"/>
  <c r="BC430" i="43"/>
  <c r="AZ430" i="43"/>
  <c r="AT430" i="43"/>
  <c r="AQ430" i="43"/>
  <c r="AK430" i="43"/>
  <c r="BI429" i="43"/>
  <c r="BC429" i="43"/>
  <c r="AZ429" i="43"/>
  <c r="AT429" i="43"/>
  <c r="AQ429" i="43"/>
  <c r="AK429" i="43"/>
  <c r="BI428" i="43"/>
  <c r="BC428" i="43"/>
  <c r="AZ428" i="43"/>
  <c r="AT428" i="43"/>
  <c r="AQ428" i="43"/>
  <c r="AK428" i="43"/>
  <c r="BI427" i="43"/>
  <c r="BC427" i="43"/>
  <c r="AZ427" i="43"/>
  <c r="AT427" i="43"/>
  <c r="AQ427" i="43"/>
  <c r="AK427" i="43"/>
  <c r="BI426" i="43"/>
  <c r="BC426" i="43"/>
  <c r="AZ426" i="43"/>
  <c r="AT426" i="43"/>
  <c r="AQ426" i="43"/>
  <c r="AK426" i="43"/>
  <c r="BI425" i="43"/>
  <c r="BC425" i="43"/>
  <c r="AZ425" i="43"/>
  <c r="AT425" i="43"/>
  <c r="AQ425" i="43"/>
  <c r="AK425" i="43"/>
  <c r="BI424" i="43"/>
  <c r="BC424" i="43"/>
  <c r="AZ424" i="43"/>
  <c r="AT424" i="43"/>
  <c r="AQ424" i="43"/>
  <c r="AK424" i="43"/>
  <c r="BI423" i="43"/>
  <c r="BC423" i="43"/>
  <c r="AZ423" i="43"/>
  <c r="AT423" i="43"/>
  <c r="AQ423" i="43"/>
  <c r="AK423" i="43"/>
  <c r="BI422" i="43"/>
  <c r="BC422" i="43"/>
  <c r="AZ422" i="43"/>
  <c r="AT422" i="43"/>
  <c r="AQ422" i="43"/>
  <c r="AK422" i="43"/>
  <c r="BI421" i="43"/>
  <c r="BC421" i="43"/>
  <c r="AZ421" i="43"/>
  <c r="AT421" i="43"/>
  <c r="AQ421" i="43"/>
  <c r="AK421" i="43"/>
  <c r="BI420" i="43"/>
  <c r="BC420" i="43"/>
  <c r="AZ420" i="43"/>
  <c r="AT420" i="43"/>
  <c r="AQ420" i="43"/>
  <c r="AK420" i="43"/>
  <c r="BI419" i="43"/>
  <c r="BC419" i="43"/>
  <c r="AZ419" i="43"/>
  <c r="AT419" i="43"/>
  <c r="AQ419" i="43"/>
  <c r="AK419" i="43"/>
  <c r="BI418" i="43"/>
  <c r="BC418" i="43"/>
  <c r="AZ418" i="43"/>
  <c r="AT418" i="43"/>
  <c r="AQ418" i="43"/>
  <c r="AK418" i="43"/>
  <c r="BI417" i="43"/>
  <c r="BC417" i="43"/>
  <c r="AZ417" i="43"/>
  <c r="AT417" i="43"/>
  <c r="AQ417" i="43"/>
  <c r="AK417" i="43"/>
  <c r="BI416" i="43"/>
  <c r="BC416" i="43"/>
  <c r="AZ416" i="43"/>
  <c r="AT416" i="43"/>
  <c r="AQ416" i="43"/>
  <c r="AK416" i="43"/>
  <c r="BI415" i="43"/>
  <c r="BC415" i="43"/>
  <c r="AZ415" i="43"/>
  <c r="AT415" i="43"/>
  <c r="AQ415" i="43"/>
  <c r="AK415" i="43"/>
  <c r="BI414" i="43"/>
  <c r="BC414" i="43"/>
  <c r="AZ414" i="43"/>
  <c r="AT414" i="43"/>
  <c r="AQ414" i="43"/>
  <c r="AK414" i="43"/>
  <c r="BI413" i="43"/>
  <c r="BC413" i="43"/>
  <c r="AZ413" i="43"/>
  <c r="AT413" i="43"/>
  <c r="AQ413" i="43"/>
  <c r="AK413" i="43"/>
  <c r="BI412" i="43"/>
  <c r="BC412" i="43"/>
  <c r="AZ412" i="43"/>
  <c r="AT412" i="43"/>
  <c r="AQ412" i="43"/>
  <c r="AK412" i="43"/>
  <c r="BI411" i="43"/>
  <c r="BC411" i="43"/>
  <c r="AZ411" i="43"/>
  <c r="AT411" i="43"/>
  <c r="AQ411" i="43"/>
  <c r="AK411" i="43"/>
  <c r="BI410" i="43"/>
  <c r="BC410" i="43"/>
  <c r="AZ410" i="43"/>
  <c r="AT410" i="43"/>
  <c r="AQ410" i="43"/>
  <c r="AK410" i="43"/>
  <c r="BI409" i="43"/>
  <c r="BC409" i="43"/>
  <c r="AZ409" i="43"/>
  <c r="AT409" i="43"/>
  <c r="AQ409" i="43"/>
  <c r="AK409" i="43"/>
  <c r="BI408" i="43"/>
  <c r="BC408" i="43"/>
  <c r="AZ408" i="43"/>
  <c r="AT408" i="43"/>
  <c r="AQ408" i="43"/>
  <c r="AK408" i="43"/>
  <c r="BI407" i="43"/>
  <c r="BC407" i="43"/>
  <c r="AZ407" i="43"/>
  <c r="AT407" i="43"/>
  <c r="AQ407" i="43"/>
  <c r="AK407" i="43"/>
  <c r="BI406" i="43"/>
  <c r="BC406" i="43"/>
  <c r="AZ406" i="43"/>
  <c r="AT406" i="43"/>
  <c r="AQ406" i="43"/>
  <c r="AK406" i="43"/>
  <c r="BI405" i="43"/>
  <c r="BC405" i="43"/>
  <c r="AZ405" i="43"/>
  <c r="AT405" i="43"/>
  <c r="AQ405" i="43"/>
  <c r="AK405" i="43"/>
  <c r="BI404" i="43"/>
  <c r="BC404" i="43"/>
  <c r="AZ404" i="43"/>
  <c r="AT404" i="43"/>
  <c r="AQ404" i="43"/>
  <c r="AK404" i="43"/>
  <c r="BI403" i="43"/>
  <c r="BC403" i="43"/>
  <c r="AZ403" i="43"/>
  <c r="AT403" i="43"/>
  <c r="AQ403" i="43"/>
  <c r="AK403" i="43"/>
  <c r="BI402" i="43"/>
  <c r="BC402" i="43"/>
  <c r="AZ402" i="43"/>
  <c r="AT402" i="43"/>
  <c r="AQ402" i="43"/>
  <c r="AK402" i="43"/>
  <c r="BI401" i="43"/>
  <c r="BC401" i="43"/>
  <c r="AZ401" i="43"/>
  <c r="AT401" i="43"/>
  <c r="AQ401" i="43"/>
  <c r="AK401" i="43"/>
  <c r="BI400" i="43"/>
  <c r="BC400" i="43"/>
  <c r="AZ400" i="43"/>
  <c r="AT400" i="43"/>
  <c r="AQ400" i="43"/>
  <c r="AK400" i="43"/>
  <c r="BI399" i="43"/>
  <c r="BC399" i="43"/>
  <c r="AZ399" i="43"/>
  <c r="AT399" i="43"/>
  <c r="AQ399" i="43"/>
  <c r="AK399" i="43"/>
  <c r="BI398" i="43"/>
  <c r="BC398" i="43"/>
  <c r="AZ398" i="43"/>
  <c r="AT398" i="43"/>
  <c r="AQ398" i="43"/>
  <c r="AK398" i="43"/>
  <c r="BI397" i="43"/>
  <c r="BC397" i="43"/>
  <c r="AZ397" i="43"/>
  <c r="AT397" i="43"/>
  <c r="AQ397" i="43"/>
  <c r="AK397" i="43"/>
  <c r="BI396" i="43"/>
  <c r="BC396" i="43"/>
  <c r="AZ396" i="43"/>
  <c r="AT396" i="43"/>
  <c r="AQ396" i="43"/>
  <c r="AK396" i="43"/>
  <c r="BI395" i="43"/>
  <c r="BC395" i="43"/>
  <c r="AZ395" i="43"/>
  <c r="AT395" i="43"/>
  <c r="AQ395" i="43"/>
  <c r="AK395" i="43"/>
  <c r="BI394" i="43"/>
  <c r="BC394" i="43"/>
  <c r="AZ394" i="43"/>
  <c r="AT394" i="43"/>
  <c r="AQ394" i="43"/>
  <c r="AK394" i="43"/>
  <c r="BI393" i="43"/>
  <c r="BC393" i="43"/>
  <c r="AZ393" i="43"/>
  <c r="AT393" i="43"/>
  <c r="AQ393" i="43"/>
  <c r="AK393" i="43"/>
  <c r="BI392" i="43"/>
  <c r="BC392" i="43"/>
  <c r="AZ392" i="43"/>
  <c r="AT392" i="43"/>
  <c r="AQ392" i="43"/>
  <c r="AK392" i="43"/>
  <c r="BI391" i="43"/>
  <c r="BC391" i="43"/>
  <c r="AZ391" i="43"/>
  <c r="AT391" i="43"/>
  <c r="AQ391" i="43"/>
  <c r="AK391" i="43"/>
  <c r="BI390" i="43"/>
  <c r="BC390" i="43"/>
  <c r="AZ390" i="43"/>
  <c r="AT390" i="43"/>
  <c r="AQ390" i="43"/>
  <c r="AK390" i="43"/>
  <c r="BI389" i="43"/>
  <c r="BC389" i="43"/>
  <c r="AZ389" i="43"/>
  <c r="AT389" i="43"/>
  <c r="AQ389" i="43"/>
  <c r="AK389" i="43"/>
  <c r="BI388" i="43"/>
  <c r="BC388" i="43"/>
  <c r="AZ388" i="43"/>
  <c r="AT388" i="43"/>
  <c r="AQ388" i="43"/>
  <c r="AK388" i="43"/>
  <c r="BI387" i="43"/>
  <c r="BC387" i="43"/>
  <c r="AZ387" i="43"/>
  <c r="AT387" i="43"/>
  <c r="AQ387" i="43"/>
  <c r="AK387" i="43"/>
  <c r="BI386" i="43"/>
  <c r="BC386" i="43"/>
  <c r="AZ386" i="43"/>
  <c r="AT386" i="43"/>
  <c r="AQ386" i="43"/>
  <c r="AK386" i="43"/>
  <c r="BI385" i="43"/>
  <c r="BC385" i="43"/>
  <c r="AZ385" i="43"/>
  <c r="AT385" i="43"/>
  <c r="AQ385" i="43"/>
  <c r="AK385" i="43"/>
  <c r="BI384" i="43"/>
  <c r="BC384" i="43"/>
  <c r="AZ384" i="43"/>
  <c r="AT384" i="43"/>
  <c r="AQ384" i="43"/>
  <c r="AK384" i="43"/>
  <c r="BI383" i="43"/>
  <c r="BC383" i="43"/>
  <c r="AZ383" i="43"/>
  <c r="AT383" i="43"/>
  <c r="AQ383" i="43"/>
  <c r="AK383" i="43"/>
  <c r="BI382" i="43"/>
  <c r="BC382" i="43"/>
  <c r="AZ382" i="43"/>
  <c r="AT382" i="43"/>
  <c r="AQ382" i="43"/>
  <c r="AK382" i="43"/>
  <c r="BI381" i="43"/>
  <c r="BC381" i="43"/>
  <c r="AZ381" i="43"/>
  <c r="AT381" i="43"/>
  <c r="AQ381" i="43"/>
  <c r="AK381" i="43"/>
  <c r="BI380" i="43"/>
  <c r="BC380" i="43"/>
  <c r="AZ380" i="43"/>
  <c r="AT380" i="43"/>
  <c r="AQ380" i="43"/>
  <c r="AK380" i="43"/>
  <c r="BI379" i="43"/>
  <c r="BC379" i="43"/>
  <c r="AZ379" i="43"/>
  <c r="AT379" i="43"/>
  <c r="AQ379" i="43"/>
  <c r="AK379" i="43"/>
  <c r="BI378" i="43"/>
  <c r="BC378" i="43"/>
  <c r="AZ378" i="43"/>
  <c r="AT378" i="43"/>
  <c r="AQ378" i="43"/>
  <c r="AK378" i="43"/>
  <c r="BI377" i="43"/>
  <c r="BC377" i="43"/>
  <c r="AZ377" i="43"/>
  <c r="AT377" i="43"/>
  <c r="AQ377" i="43"/>
  <c r="AK377" i="43"/>
  <c r="BI376" i="43"/>
  <c r="BC376" i="43"/>
  <c r="AZ376" i="43"/>
  <c r="AT376" i="43"/>
  <c r="AQ376" i="43"/>
  <c r="AK376" i="43"/>
  <c r="BI375" i="43"/>
  <c r="BC375" i="43"/>
  <c r="AZ375" i="43"/>
  <c r="AT375" i="43"/>
  <c r="AQ375" i="43"/>
  <c r="AK375" i="43"/>
  <c r="BI374" i="43"/>
  <c r="BC374" i="43"/>
  <c r="AZ374" i="43"/>
  <c r="AT374" i="43"/>
  <c r="AQ374" i="43"/>
  <c r="AK374" i="43"/>
  <c r="BI373" i="43"/>
  <c r="BC373" i="43"/>
  <c r="AZ373" i="43"/>
  <c r="AT373" i="43"/>
  <c r="AQ373" i="43"/>
  <c r="AK373" i="43"/>
  <c r="BI372" i="43"/>
  <c r="BC372" i="43"/>
  <c r="AZ372" i="43"/>
  <c r="AT372" i="43"/>
  <c r="AQ372" i="43"/>
  <c r="AK372" i="43"/>
  <c r="BI371" i="43"/>
  <c r="BC371" i="43"/>
  <c r="AZ371" i="43"/>
  <c r="AT371" i="43"/>
  <c r="AQ371" i="43"/>
  <c r="AK371" i="43"/>
  <c r="BI370" i="43"/>
  <c r="BC370" i="43"/>
  <c r="AZ370" i="43"/>
  <c r="AT370" i="43"/>
  <c r="AQ370" i="43"/>
  <c r="AK370" i="43"/>
  <c r="BI369" i="43"/>
  <c r="BC369" i="43"/>
  <c r="AZ369" i="43"/>
  <c r="AT369" i="43"/>
  <c r="AQ369" i="43"/>
  <c r="AK369" i="43"/>
  <c r="BI368" i="43"/>
  <c r="BC368" i="43"/>
  <c r="AZ368" i="43"/>
  <c r="AT368" i="43"/>
  <c r="AQ368" i="43"/>
  <c r="AK368" i="43"/>
  <c r="BI367" i="43"/>
  <c r="BC367" i="43"/>
  <c r="AZ367" i="43"/>
  <c r="AT367" i="43"/>
  <c r="AQ367" i="43"/>
  <c r="AK367" i="43"/>
  <c r="BI366" i="43"/>
  <c r="BC366" i="43"/>
  <c r="AZ366" i="43"/>
  <c r="AT366" i="43"/>
  <c r="AQ366" i="43"/>
  <c r="AK366" i="43"/>
  <c r="BI365" i="43"/>
  <c r="BC365" i="43"/>
  <c r="AZ365" i="43"/>
  <c r="AT365" i="43"/>
  <c r="AQ365" i="43"/>
  <c r="AK365" i="43"/>
  <c r="BI364" i="43"/>
  <c r="BC364" i="43"/>
  <c r="AZ364" i="43"/>
  <c r="AT364" i="43"/>
  <c r="AQ364" i="43"/>
  <c r="AK364" i="43"/>
  <c r="BI363" i="43"/>
  <c r="BC363" i="43"/>
  <c r="AZ363" i="43"/>
  <c r="AT363" i="43"/>
  <c r="AQ363" i="43"/>
  <c r="AK363" i="43"/>
  <c r="BI362" i="43"/>
  <c r="BC362" i="43"/>
  <c r="AZ362" i="43"/>
  <c r="AT362" i="43"/>
  <c r="AQ362" i="43"/>
  <c r="AK362" i="43"/>
  <c r="BI361" i="43"/>
  <c r="BC361" i="43"/>
  <c r="AZ361" i="43"/>
  <c r="AT361" i="43"/>
  <c r="AQ361" i="43"/>
  <c r="AK361" i="43"/>
  <c r="BI360" i="43"/>
  <c r="BC360" i="43"/>
  <c r="AZ360" i="43"/>
  <c r="AT360" i="43"/>
  <c r="AQ360" i="43"/>
  <c r="AK360" i="43"/>
  <c r="BI359" i="43"/>
  <c r="BC359" i="43"/>
  <c r="AZ359" i="43"/>
  <c r="AT359" i="43"/>
  <c r="AQ359" i="43"/>
  <c r="AK359" i="43"/>
  <c r="BI358" i="43"/>
  <c r="BC358" i="43"/>
  <c r="AZ358" i="43"/>
  <c r="AT358" i="43"/>
  <c r="AQ358" i="43"/>
  <c r="AK358" i="43"/>
  <c r="BI357" i="43"/>
  <c r="BC357" i="43"/>
  <c r="AZ357" i="43"/>
  <c r="AT357" i="43"/>
  <c r="AQ357" i="43"/>
  <c r="AK357" i="43"/>
  <c r="BI356" i="43"/>
  <c r="BC356" i="43"/>
  <c r="AZ356" i="43"/>
  <c r="AT356" i="43"/>
  <c r="AQ356" i="43"/>
  <c r="AK356" i="43"/>
  <c r="BI355" i="43"/>
  <c r="BC355" i="43"/>
  <c r="AZ355" i="43"/>
  <c r="AT355" i="43"/>
  <c r="AQ355" i="43"/>
  <c r="AK355" i="43"/>
  <c r="BI354" i="43"/>
  <c r="BC354" i="43"/>
  <c r="AZ354" i="43"/>
  <c r="AT354" i="43"/>
  <c r="AQ354" i="43"/>
  <c r="AK354" i="43"/>
  <c r="BI353" i="43"/>
  <c r="BC353" i="43"/>
  <c r="AZ353" i="43"/>
  <c r="AT353" i="43"/>
  <c r="AQ353" i="43"/>
  <c r="AK353" i="43"/>
  <c r="BI352" i="43"/>
  <c r="BC352" i="43"/>
  <c r="AZ352" i="43"/>
  <c r="AT352" i="43"/>
  <c r="AQ352" i="43"/>
  <c r="AK352" i="43"/>
  <c r="BI351" i="43"/>
  <c r="BC351" i="43"/>
  <c r="AZ351" i="43"/>
  <c r="AT351" i="43"/>
  <c r="AQ351" i="43"/>
  <c r="AK351" i="43"/>
  <c r="BI350" i="43"/>
  <c r="BC350" i="43"/>
  <c r="AZ350" i="43"/>
  <c r="AT350" i="43"/>
  <c r="AQ350" i="43"/>
  <c r="AK350" i="43"/>
  <c r="BI349" i="43"/>
  <c r="BC349" i="43"/>
  <c r="AZ349" i="43"/>
  <c r="AT349" i="43"/>
  <c r="AQ349" i="43"/>
  <c r="AK349" i="43"/>
  <c r="BI348" i="43"/>
  <c r="BC348" i="43"/>
  <c r="AZ348" i="43"/>
  <c r="AT348" i="43"/>
  <c r="AQ348" i="43"/>
  <c r="AK348" i="43"/>
  <c r="BI347" i="43"/>
  <c r="BC347" i="43"/>
  <c r="AZ347" i="43"/>
  <c r="AT347" i="43"/>
  <c r="AQ347" i="43"/>
  <c r="AK347" i="43"/>
  <c r="BI346" i="43"/>
  <c r="BC346" i="43"/>
  <c r="AZ346" i="43"/>
  <c r="AT346" i="43"/>
  <c r="AQ346" i="43"/>
  <c r="AK346" i="43"/>
  <c r="BI345" i="43"/>
  <c r="BC345" i="43"/>
  <c r="AZ345" i="43"/>
  <c r="AT345" i="43"/>
  <c r="AQ345" i="43"/>
  <c r="AK345" i="43"/>
  <c r="BI344" i="43"/>
  <c r="BC344" i="43"/>
  <c r="AZ344" i="43"/>
  <c r="AT344" i="43"/>
  <c r="AQ344" i="43"/>
  <c r="AK344" i="43"/>
  <c r="BI343" i="43"/>
  <c r="BC343" i="43"/>
  <c r="AZ343" i="43"/>
  <c r="AT343" i="43"/>
  <c r="AQ343" i="43"/>
  <c r="AK343" i="43"/>
  <c r="BI342" i="43"/>
  <c r="BC342" i="43"/>
  <c r="AZ342" i="43"/>
  <c r="AT342" i="43"/>
  <c r="AQ342" i="43"/>
  <c r="AK342" i="43"/>
  <c r="BI341" i="43"/>
  <c r="BC341" i="43"/>
  <c r="AZ341" i="43"/>
  <c r="AT341" i="43"/>
  <c r="AQ341" i="43"/>
  <c r="AK341" i="43"/>
  <c r="BI340" i="43"/>
  <c r="BC340" i="43"/>
  <c r="AZ340" i="43"/>
  <c r="AT340" i="43"/>
  <c r="AQ340" i="43"/>
  <c r="AK340" i="43"/>
  <c r="BI339" i="43"/>
  <c r="BC339" i="43"/>
  <c r="AZ339" i="43"/>
  <c r="AT339" i="43"/>
  <c r="AQ339" i="43"/>
  <c r="AK339" i="43"/>
  <c r="BI338" i="43"/>
  <c r="BC338" i="43"/>
  <c r="AZ338" i="43"/>
  <c r="AT338" i="43"/>
  <c r="AQ338" i="43"/>
  <c r="AK338" i="43"/>
  <c r="BI337" i="43"/>
  <c r="BC337" i="43"/>
  <c r="AZ337" i="43"/>
  <c r="AT337" i="43"/>
  <c r="AQ337" i="43"/>
  <c r="AK337" i="43"/>
  <c r="BI336" i="43"/>
  <c r="BC336" i="43"/>
  <c r="AZ336" i="43"/>
  <c r="AT336" i="43"/>
  <c r="AQ336" i="43"/>
  <c r="AK336" i="43"/>
  <c r="BI335" i="43"/>
  <c r="BC335" i="43"/>
  <c r="AZ335" i="43"/>
  <c r="AT335" i="43"/>
  <c r="AQ335" i="43"/>
  <c r="AK335" i="43"/>
  <c r="BI334" i="43"/>
  <c r="BC334" i="43"/>
  <c r="AZ334" i="43"/>
  <c r="AT334" i="43"/>
  <c r="AQ334" i="43"/>
  <c r="AK334" i="43"/>
  <c r="BI333" i="43"/>
  <c r="BC333" i="43"/>
  <c r="AZ333" i="43"/>
  <c r="AT333" i="43"/>
  <c r="AQ333" i="43"/>
  <c r="AK333" i="43"/>
  <c r="BI332" i="43"/>
  <c r="BC332" i="43"/>
  <c r="AZ332" i="43"/>
  <c r="AT332" i="43"/>
  <c r="AQ332" i="43"/>
  <c r="AK332" i="43"/>
  <c r="BI331" i="43"/>
  <c r="BC331" i="43"/>
  <c r="AZ331" i="43"/>
  <c r="AT331" i="43"/>
  <c r="AQ331" i="43"/>
  <c r="AK331" i="43"/>
  <c r="BI330" i="43"/>
  <c r="BC330" i="43"/>
  <c r="AZ330" i="43"/>
  <c r="AT330" i="43"/>
  <c r="AQ330" i="43"/>
  <c r="AK330" i="43"/>
  <c r="BI329" i="43"/>
  <c r="BC329" i="43"/>
  <c r="AZ329" i="43"/>
  <c r="AT329" i="43"/>
  <c r="AQ329" i="43"/>
  <c r="AK329" i="43"/>
  <c r="BI328" i="43"/>
  <c r="BC328" i="43"/>
  <c r="AZ328" i="43"/>
  <c r="AT328" i="43"/>
  <c r="AQ328" i="43"/>
  <c r="AK328" i="43"/>
  <c r="BI327" i="43"/>
  <c r="BC327" i="43"/>
  <c r="AZ327" i="43"/>
  <c r="AT327" i="43"/>
  <c r="AQ327" i="43"/>
  <c r="AK327" i="43"/>
  <c r="BI326" i="43"/>
  <c r="BC326" i="43"/>
  <c r="AZ326" i="43"/>
  <c r="AT326" i="43"/>
  <c r="AQ326" i="43"/>
  <c r="AK326" i="43"/>
  <c r="BI325" i="43"/>
  <c r="BC325" i="43"/>
  <c r="AZ325" i="43"/>
  <c r="AT325" i="43"/>
  <c r="AQ325" i="43"/>
  <c r="AK325" i="43"/>
  <c r="BI324" i="43"/>
  <c r="BC324" i="43"/>
  <c r="AZ324" i="43"/>
  <c r="AT324" i="43"/>
  <c r="AQ324" i="43"/>
  <c r="AK324" i="43"/>
  <c r="BI323" i="43"/>
  <c r="BC323" i="43"/>
  <c r="AZ323" i="43"/>
  <c r="AT323" i="43"/>
  <c r="AQ323" i="43"/>
  <c r="AK323" i="43"/>
  <c r="BI322" i="43"/>
  <c r="BC322" i="43"/>
  <c r="AZ322" i="43"/>
  <c r="AT322" i="43"/>
  <c r="AQ322" i="43"/>
  <c r="AK322" i="43"/>
  <c r="BI321" i="43"/>
  <c r="BC321" i="43"/>
  <c r="AZ321" i="43"/>
  <c r="AT321" i="43"/>
  <c r="AQ321" i="43"/>
  <c r="AK321" i="43"/>
  <c r="BI320" i="43"/>
  <c r="BC320" i="43"/>
  <c r="AZ320" i="43"/>
  <c r="AT320" i="43"/>
  <c r="AQ320" i="43"/>
  <c r="AK320" i="43"/>
  <c r="BI319" i="43"/>
  <c r="BC319" i="43"/>
  <c r="AZ319" i="43"/>
  <c r="AT319" i="43"/>
  <c r="AQ319" i="43"/>
  <c r="AK319" i="43"/>
  <c r="BI318" i="43"/>
  <c r="BC318" i="43"/>
  <c r="AZ318" i="43"/>
  <c r="AT318" i="43"/>
  <c r="AQ318" i="43"/>
  <c r="AK318" i="43"/>
  <c r="BI317" i="43"/>
  <c r="BC317" i="43"/>
  <c r="AZ317" i="43"/>
  <c r="AT317" i="43"/>
  <c r="AQ317" i="43"/>
  <c r="AK317" i="43"/>
  <c r="BI316" i="43"/>
  <c r="BC316" i="43"/>
  <c r="AZ316" i="43"/>
  <c r="AT316" i="43"/>
  <c r="AQ316" i="43"/>
  <c r="AK316" i="43"/>
  <c r="BI315" i="43"/>
  <c r="BC315" i="43"/>
  <c r="AZ315" i="43"/>
  <c r="AT315" i="43"/>
  <c r="AQ315" i="43"/>
  <c r="AK315" i="43"/>
  <c r="BI314" i="43"/>
  <c r="BC314" i="43"/>
  <c r="AZ314" i="43"/>
  <c r="AT314" i="43"/>
  <c r="AQ314" i="43"/>
  <c r="AK314" i="43"/>
  <c r="BI313" i="43"/>
  <c r="BC313" i="43"/>
  <c r="AZ313" i="43"/>
  <c r="AT313" i="43"/>
  <c r="AQ313" i="43"/>
  <c r="AK313" i="43"/>
  <c r="BI312" i="43"/>
  <c r="BC312" i="43"/>
  <c r="AZ312" i="43"/>
  <c r="AT312" i="43"/>
  <c r="AQ312" i="43"/>
  <c r="AK312" i="43"/>
  <c r="BI311" i="43"/>
  <c r="BC311" i="43"/>
  <c r="AZ311" i="43"/>
  <c r="AT311" i="43"/>
  <c r="AQ311" i="43"/>
  <c r="AK311" i="43"/>
  <c r="BI310" i="43"/>
  <c r="BC310" i="43"/>
  <c r="AZ310" i="43"/>
  <c r="AT310" i="43"/>
  <c r="AQ310" i="43"/>
  <c r="AK310" i="43"/>
  <c r="BI309" i="43"/>
  <c r="BC309" i="43"/>
  <c r="AZ309" i="43"/>
  <c r="AT309" i="43"/>
  <c r="AQ309" i="43"/>
  <c r="AK309" i="43"/>
  <c r="BI308" i="43"/>
  <c r="BC308" i="43"/>
  <c r="AZ308" i="43"/>
  <c r="AT308" i="43"/>
  <c r="AQ308" i="43"/>
  <c r="AK308" i="43"/>
  <c r="BI307" i="43"/>
  <c r="BC307" i="43"/>
  <c r="AZ307" i="43"/>
  <c r="AT307" i="43"/>
  <c r="AQ307" i="43"/>
  <c r="AK307" i="43"/>
  <c r="BI306" i="43"/>
  <c r="BC306" i="43"/>
  <c r="AZ306" i="43"/>
  <c r="AT306" i="43"/>
  <c r="AQ306" i="43"/>
  <c r="AK306" i="43"/>
  <c r="BI305" i="43"/>
  <c r="BC305" i="43"/>
  <c r="AZ305" i="43"/>
  <c r="AT305" i="43"/>
  <c r="AQ305" i="43"/>
  <c r="AK305" i="43"/>
  <c r="BI304" i="43"/>
  <c r="BC304" i="43"/>
  <c r="AZ304" i="43"/>
  <c r="AT304" i="43"/>
  <c r="AQ304" i="43"/>
  <c r="AK304" i="43"/>
  <c r="BI303" i="43"/>
  <c r="BC303" i="43"/>
  <c r="AZ303" i="43"/>
  <c r="AT303" i="43"/>
  <c r="AQ303" i="43"/>
  <c r="AK303" i="43"/>
  <c r="BI302" i="43"/>
  <c r="BC302" i="43"/>
  <c r="AZ302" i="43"/>
  <c r="AT302" i="43"/>
  <c r="AQ302" i="43"/>
  <c r="AK302" i="43"/>
  <c r="BI301" i="43"/>
  <c r="BC301" i="43"/>
  <c r="AZ301" i="43"/>
  <c r="AT301" i="43"/>
  <c r="AQ301" i="43"/>
  <c r="AK301" i="43"/>
  <c r="BI300" i="43"/>
  <c r="BC300" i="43"/>
  <c r="AZ300" i="43"/>
  <c r="AT300" i="43"/>
  <c r="AQ300" i="43"/>
  <c r="AK300" i="43"/>
  <c r="BI299" i="43"/>
  <c r="BC299" i="43"/>
  <c r="AZ299" i="43"/>
  <c r="AT299" i="43"/>
  <c r="AQ299" i="43"/>
  <c r="AK299" i="43"/>
  <c r="BI298" i="43"/>
  <c r="BC298" i="43"/>
  <c r="AZ298" i="43"/>
  <c r="AT298" i="43"/>
  <c r="AQ298" i="43"/>
  <c r="AK298" i="43"/>
  <c r="BI297" i="43"/>
  <c r="BC297" i="43"/>
  <c r="AZ297" i="43"/>
  <c r="AT297" i="43"/>
  <c r="AQ297" i="43"/>
  <c r="AK297" i="43"/>
  <c r="BI296" i="43"/>
  <c r="BC296" i="43"/>
  <c r="AZ296" i="43"/>
  <c r="AT296" i="43"/>
  <c r="AQ296" i="43"/>
  <c r="AK296" i="43"/>
  <c r="BI295" i="43"/>
  <c r="BC295" i="43"/>
  <c r="AZ295" i="43"/>
  <c r="AT295" i="43"/>
  <c r="AQ295" i="43"/>
  <c r="AK295" i="43"/>
  <c r="BI294" i="43"/>
  <c r="BC294" i="43"/>
  <c r="AZ294" i="43"/>
  <c r="AT294" i="43"/>
  <c r="AQ294" i="43"/>
  <c r="AK294" i="43"/>
  <c r="BI293" i="43"/>
  <c r="BC293" i="43"/>
  <c r="AZ293" i="43"/>
  <c r="AT293" i="43"/>
  <c r="AQ293" i="43"/>
  <c r="AK293" i="43"/>
  <c r="BI292" i="43"/>
  <c r="BC292" i="43"/>
  <c r="AZ292" i="43"/>
  <c r="AT292" i="43"/>
  <c r="AQ292" i="43"/>
  <c r="AK292" i="43"/>
  <c r="BI291" i="43"/>
  <c r="BC291" i="43"/>
  <c r="AZ291" i="43"/>
  <c r="AT291" i="43"/>
  <c r="AQ291" i="43"/>
  <c r="AK291" i="43"/>
  <c r="BI290" i="43"/>
  <c r="BC290" i="43"/>
  <c r="AZ290" i="43"/>
  <c r="AT290" i="43"/>
  <c r="AQ290" i="43"/>
  <c r="AK290" i="43"/>
  <c r="BI289" i="43"/>
  <c r="BC289" i="43"/>
  <c r="AZ289" i="43"/>
  <c r="AT289" i="43"/>
  <c r="AQ289" i="43"/>
  <c r="AK289" i="43"/>
  <c r="BI288" i="43"/>
  <c r="BC288" i="43"/>
  <c r="AZ288" i="43"/>
  <c r="AT288" i="43"/>
  <c r="AQ288" i="43"/>
  <c r="AK288" i="43"/>
  <c r="BI287" i="43"/>
  <c r="BC287" i="43"/>
  <c r="AZ287" i="43"/>
  <c r="AT287" i="43"/>
  <c r="AQ287" i="43"/>
  <c r="AK287" i="43"/>
  <c r="BI286" i="43"/>
  <c r="BC286" i="43"/>
  <c r="AZ286" i="43"/>
  <c r="AT286" i="43"/>
  <c r="AQ286" i="43"/>
  <c r="AK286" i="43"/>
  <c r="BI285" i="43"/>
  <c r="BC285" i="43"/>
  <c r="AZ285" i="43"/>
  <c r="AT285" i="43"/>
  <c r="AQ285" i="43"/>
  <c r="AK285" i="43"/>
  <c r="BI284" i="43"/>
  <c r="BC284" i="43"/>
  <c r="AZ284" i="43"/>
  <c r="AT284" i="43"/>
  <c r="AQ284" i="43"/>
  <c r="AK284" i="43"/>
  <c r="BI283" i="43"/>
  <c r="BC283" i="43"/>
  <c r="AZ283" i="43"/>
  <c r="AT283" i="43"/>
  <c r="AQ283" i="43"/>
  <c r="AK283" i="43"/>
  <c r="BI282" i="43"/>
  <c r="BC282" i="43"/>
  <c r="AZ282" i="43"/>
  <c r="AT282" i="43"/>
  <c r="AQ282" i="43"/>
  <c r="AK282" i="43"/>
  <c r="BI281" i="43"/>
  <c r="BC281" i="43"/>
  <c r="AZ281" i="43"/>
  <c r="AT281" i="43"/>
  <c r="AQ281" i="43"/>
  <c r="AK281" i="43"/>
  <c r="BI280" i="43"/>
  <c r="BC280" i="43"/>
  <c r="AZ280" i="43"/>
  <c r="AT280" i="43"/>
  <c r="AQ280" i="43"/>
  <c r="AK280" i="43"/>
  <c r="BI279" i="43"/>
  <c r="BC279" i="43"/>
  <c r="AZ279" i="43"/>
  <c r="AT279" i="43"/>
  <c r="AQ279" i="43"/>
  <c r="AK279" i="43"/>
  <c r="BI278" i="43"/>
  <c r="BC278" i="43"/>
  <c r="AZ278" i="43"/>
  <c r="AT278" i="43"/>
  <c r="AQ278" i="43"/>
  <c r="AK278" i="43"/>
  <c r="BI277" i="43"/>
  <c r="BC277" i="43"/>
  <c r="AZ277" i="43"/>
  <c r="AT277" i="43"/>
  <c r="AQ277" i="43"/>
  <c r="AK277" i="43"/>
  <c r="BI276" i="43"/>
  <c r="BC276" i="43"/>
  <c r="AZ276" i="43"/>
  <c r="AT276" i="43"/>
  <c r="AQ276" i="43"/>
  <c r="AK276" i="43"/>
  <c r="BI275" i="43"/>
  <c r="BC275" i="43"/>
  <c r="AZ275" i="43"/>
  <c r="AT275" i="43"/>
  <c r="AQ275" i="43"/>
  <c r="AK275" i="43"/>
  <c r="BI274" i="43"/>
  <c r="BC274" i="43"/>
  <c r="AZ274" i="43"/>
  <c r="AT274" i="43"/>
  <c r="AQ274" i="43"/>
  <c r="AK274" i="43"/>
  <c r="BI273" i="43"/>
  <c r="BC273" i="43"/>
  <c r="AZ273" i="43"/>
  <c r="AT273" i="43"/>
  <c r="AQ273" i="43"/>
  <c r="AK273" i="43"/>
  <c r="BI272" i="43"/>
  <c r="BC272" i="43"/>
  <c r="AZ272" i="43"/>
  <c r="AT272" i="43"/>
  <c r="AQ272" i="43"/>
  <c r="AK272" i="43"/>
  <c r="BI271" i="43"/>
  <c r="BC271" i="43"/>
  <c r="AZ271" i="43"/>
  <c r="AT271" i="43"/>
  <c r="AQ271" i="43"/>
  <c r="AK271" i="43"/>
  <c r="BI270" i="43"/>
  <c r="BC270" i="43"/>
  <c r="AZ270" i="43"/>
  <c r="AT270" i="43"/>
  <c r="AQ270" i="43"/>
  <c r="AK270" i="43"/>
  <c r="BI269" i="43"/>
  <c r="BC269" i="43"/>
  <c r="AZ269" i="43"/>
  <c r="AT269" i="43"/>
  <c r="AQ269" i="43"/>
  <c r="AK269" i="43"/>
  <c r="BI268" i="43"/>
  <c r="BC268" i="43"/>
  <c r="AZ268" i="43"/>
  <c r="AT268" i="43"/>
  <c r="AQ268" i="43"/>
  <c r="AK268" i="43"/>
  <c r="BI267" i="43"/>
  <c r="BC267" i="43"/>
  <c r="AZ267" i="43"/>
  <c r="AT267" i="43"/>
  <c r="AQ267" i="43"/>
  <c r="AK267" i="43"/>
  <c r="BI266" i="43"/>
  <c r="BC266" i="43"/>
  <c r="AZ266" i="43"/>
  <c r="AT266" i="43"/>
  <c r="AQ266" i="43"/>
  <c r="AK266" i="43"/>
  <c r="BI265" i="43"/>
  <c r="BC265" i="43"/>
  <c r="AZ265" i="43"/>
  <c r="AT265" i="43"/>
  <c r="AQ265" i="43"/>
  <c r="AK265" i="43"/>
  <c r="BI264" i="43"/>
  <c r="BC264" i="43"/>
  <c r="AZ264" i="43"/>
  <c r="AT264" i="43"/>
  <c r="AQ264" i="43"/>
  <c r="AK264" i="43"/>
  <c r="BI263" i="43"/>
  <c r="BC263" i="43"/>
  <c r="AZ263" i="43"/>
  <c r="AT263" i="43"/>
  <c r="AQ263" i="43"/>
  <c r="AK263" i="43"/>
  <c r="BI262" i="43"/>
  <c r="BC262" i="43"/>
  <c r="AZ262" i="43"/>
  <c r="AT262" i="43"/>
  <c r="AQ262" i="43"/>
  <c r="AK262" i="43"/>
  <c r="BI261" i="43"/>
  <c r="BC261" i="43"/>
  <c r="AZ261" i="43"/>
  <c r="AT261" i="43"/>
  <c r="AQ261" i="43"/>
  <c r="AK261" i="43"/>
  <c r="BI260" i="43"/>
  <c r="BC260" i="43"/>
  <c r="AZ260" i="43"/>
  <c r="AT260" i="43"/>
  <c r="AQ260" i="43"/>
  <c r="AK260" i="43"/>
  <c r="BI259" i="43"/>
  <c r="BC259" i="43"/>
  <c r="AZ259" i="43"/>
  <c r="AT259" i="43"/>
  <c r="AQ259" i="43"/>
  <c r="AK259" i="43"/>
  <c r="BI258" i="43"/>
  <c r="BC258" i="43"/>
  <c r="AZ258" i="43"/>
  <c r="AT258" i="43"/>
  <c r="AQ258" i="43"/>
  <c r="AK258" i="43"/>
  <c r="BI257" i="43"/>
  <c r="BC257" i="43"/>
  <c r="AZ257" i="43"/>
  <c r="AT257" i="43"/>
  <c r="AQ257" i="43"/>
  <c r="AK257" i="43"/>
  <c r="BI256" i="43"/>
  <c r="BC256" i="43"/>
  <c r="AZ256" i="43"/>
  <c r="AT256" i="43"/>
  <c r="AQ256" i="43"/>
  <c r="AK256" i="43"/>
  <c r="BI255" i="43"/>
  <c r="BC255" i="43"/>
  <c r="AZ255" i="43"/>
  <c r="AT255" i="43"/>
  <c r="AQ255" i="43"/>
  <c r="AK255" i="43"/>
  <c r="BI254" i="43"/>
  <c r="BC254" i="43"/>
  <c r="AZ254" i="43"/>
  <c r="AT254" i="43"/>
  <c r="AQ254" i="43"/>
  <c r="AK254" i="43"/>
  <c r="BI253" i="43"/>
  <c r="BC253" i="43"/>
  <c r="AZ253" i="43"/>
  <c r="AT253" i="43"/>
  <c r="AQ253" i="43"/>
  <c r="AK253" i="43"/>
  <c r="BI252" i="43"/>
  <c r="BC252" i="43"/>
  <c r="AZ252" i="43"/>
  <c r="AT252" i="43"/>
  <c r="AQ252" i="43"/>
  <c r="AK252" i="43"/>
  <c r="BI251" i="43"/>
  <c r="BC251" i="43"/>
  <c r="AZ251" i="43"/>
  <c r="AT251" i="43"/>
  <c r="AQ251" i="43"/>
  <c r="AK251" i="43"/>
  <c r="BI250" i="43"/>
  <c r="BC250" i="43"/>
  <c r="AZ250" i="43"/>
  <c r="AT250" i="43"/>
  <c r="AQ250" i="43"/>
  <c r="AK250" i="43"/>
  <c r="BI249" i="43"/>
  <c r="BC249" i="43"/>
  <c r="AZ249" i="43"/>
  <c r="AT249" i="43"/>
  <c r="AQ249" i="43"/>
  <c r="AK249" i="43"/>
  <c r="BI248" i="43"/>
  <c r="BC248" i="43"/>
  <c r="AZ248" i="43"/>
  <c r="AT248" i="43"/>
  <c r="AQ248" i="43"/>
  <c r="AK248" i="43"/>
  <c r="BI247" i="43"/>
  <c r="BC247" i="43"/>
  <c r="AZ247" i="43"/>
  <c r="AT247" i="43"/>
  <c r="AQ247" i="43"/>
  <c r="AK247" i="43"/>
  <c r="BI246" i="43"/>
  <c r="BC246" i="43"/>
  <c r="AZ246" i="43"/>
  <c r="AT246" i="43"/>
  <c r="AQ246" i="43"/>
  <c r="AK246" i="43"/>
  <c r="BI245" i="43"/>
  <c r="BC245" i="43"/>
  <c r="AZ245" i="43"/>
  <c r="AT245" i="43"/>
  <c r="AQ245" i="43"/>
  <c r="AK245" i="43"/>
  <c r="BI244" i="43"/>
  <c r="BC244" i="43"/>
  <c r="AZ244" i="43"/>
  <c r="AT244" i="43"/>
  <c r="AQ244" i="43"/>
  <c r="AK244" i="43"/>
  <c r="BI243" i="43"/>
  <c r="BC243" i="43"/>
  <c r="AZ243" i="43"/>
  <c r="AT243" i="43"/>
  <c r="AQ243" i="43"/>
  <c r="AK243" i="43"/>
  <c r="BI242" i="43"/>
  <c r="BC242" i="43"/>
  <c r="AZ242" i="43"/>
  <c r="AT242" i="43"/>
  <c r="AQ242" i="43"/>
  <c r="AK242" i="43"/>
  <c r="BI241" i="43"/>
  <c r="BC241" i="43"/>
  <c r="AZ241" i="43"/>
  <c r="AT241" i="43"/>
  <c r="AQ241" i="43"/>
  <c r="AK241" i="43"/>
  <c r="BI240" i="43"/>
  <c r="BC240" i="43"/>
  <c r="AZ240" i="43"/>
  <c r="AT240" i="43"/>
  <c r="AQ240" i="43"/>
  <c r="AK240" i="43"/>
  <c r="BI239" i="43"/>
  <c r="BC239" i="43"/>
  <c r="AZ239" i="43"/>
  <c r="AT239" i="43"/>
  <c r="AQ239" i="43"/>
  <c r="AK239" i="43"/>
  <c r="BI238" i="43"/>
  <c r="BC238" i="43"/>
  <c r="AZ238" i="43"/>
  <c r="AT238" i="43"/>
  <c r="AQ238" i="43"/>
  <c r="AK238" i="43"/>
  <c r="BI237" i="43"/>
  <c r="BC237" i="43"/>
  <c r="AZ237" i="43"/>
  <c r="AT237" i="43"/>
  <c r="AQ237" i="43"/>
  <c r="AK237" i="43"/>
  <c r="BI236" i="43"/>
  <c r="BC236" i="43"/>
  <c r="AZ236" i="43"/>
  <c r="AT236" i="43"/>
  <c r="AQ236" i="43"/>
  <c r="AK236" i="43"/>
  <c r="BI235" i="43"/>
  <c r="BC235" i="43"/>
  <c r="AZ235" i="43"/>
  <c r="AT235" i="43"/>
  <c r="AQ235" i="43"/>
  <c r="AK235" i="43"/>
  <c r="BI234" i="43"/>
  <c r="BC234" i="43"/>
  <c r="AZ234" i="43"/>
  <c r="AT234" i="43"/>
  <c r="AQ234" i="43"/>
  <c r="AK234" i="43"/>
  <c r="BI233" i="43"/>
  <c r="BC233" i="43"/>
  <c r="AZ233" i="43"/>
  <c r="AT233" i="43"/>
  <c r="AQ233" i="43"/>
  <c r="AK233" i="43"/>
  <c r="BI232" i="43"/>
  <c r="BC232" i="43"/>
  <c r="AZ232" i="43"/>
  <c r="AT232" i="43"/>
  <c r="AQ232" i="43"/>
  <c r="AK232" i="43"/>
  <c r="BI231" i="43"/>
  <c r="BC231" i="43"/>
  <c r="AZ231" i="43"/>
  <c r="AT231" i="43"/>
  <c r="AQ231" i="43"/>
  <c r="AK231" i="43"/>
  <c r="BI230" i="43"/>
  <c r="BC230" i="43"/>
  <c r="AZ230" i="43"/>
  <c r="AT230" i="43"/>
  <c r="AQ230" i="43"/>
  <c r="AK230" i="43"/>
  <c r="BI229" i="43"/>
  <c r="BC229" i="43"/>
  <c r="AZ229" i="43"/>
  <c r="AT229" i="43"/>
  <c r="AQ229" i="43"/>
  <c r="AK229" i="43"/>
  <c r="BI228" i="43"/>
  <c r="BC228" i="43"/>
  <c r="AZ228" i="43"/>
  <c r="AT228" i="43"/>
  <c r="AQ228" i="43"/>
  <c r="AK228" i="43"/>
  <c r="BI227" i="43"/>
  <c r="BC227" i="43"/>
  <c r="AZ227" i="43"/>
  <c r="AT227" i="43"/>
  <c r="AQ227" i="43"/>
  <c r="AK227" i="43"/>
  <c r="BI226" i="43"/>
  <c r="BC226" i="43"/>
  <c r="AZ226" i="43"/>
  <c r="AT226" i="43"/>
  <c r="AQ226" i="43"/>
  <c r="AK226" i="43"/>
  <c r="BI225" i="43"/>
  <c r="BC225" i="43"/>
  <c r="AZ225" i="43"/>
  <c r="AT225" i="43"/>
  <c r="AQ225" i="43"/>
  <c r="AK225" i="43"/>
  <c r="BI224" i="43"/>
  <c r="BC224" i="43"/>
  <c r="AZ224" i="43"/>
  <c r="AT224" i="43"/>
  <c r="AQ224" i="43"/>
  <c r="AK224" i="43"/>
  <c r="BI223" i="43"/>
  <c r="BC223" i="43"/>
  <c r="AZ223" i="43"/>
  <c r="AT223" i="43"/>
  <c r="AQ223" i="43"/>
  <c r="AK223" i="43"/>
  <c r="BI222" i="43"/>
  <c r="BC222" i="43"/>
  <c r="AZ222" i="43"/>
  <c r="AT222" i="43"/>
  <c r="AQ222" i="43"/>
  <c r="AK222" i="43"/>
  <c r="BI221" i="43"/>
  <c r="BC221" i="43"/>
  <c r="AZ221" i="43"/>
  <c r="AT221" i="43"/>
  <c r="AQ221" i="43"/>
  <c r="AK221" i="43"/>
  <c r="BI220" i="43"/>
  <c r="BC220" i="43"/>
  <c r="AZ220" i="43"/>
  <c r="AT220" i="43"/>
  <c r="AQ220" i="43"/>
  <c r="AK220" i="43"/>
  <c r="BI219" i="43"/>
  <c r="BC219" i="43"/>
  <c r="AZ219" i="43"/>
  <c r="AT219" i="43"/>
  <c r="AQ219" i="43"/>
  <c r="AK219" i="43"/>
  <c r="BI218" i="43"/>
  <c r="BC218" i="43"/>
  <c r="AZ218" i="43"/>
  <c r="AT218" i="43"/>
  <c r="AQ218" i="43"/>
  <c r="AK218" i="43"/>
  <c r="BI217" i="43"/>
  <c r="BC217" i="43"/>
  <c r="AZ217" i="43"/>
  <c r="AT217" i="43"/>
  <c r="AQ217" i="43"/>
  <c r="AK217" i="43"/>
  <c r="BI216" i="43"/>
  <c r="BC216" i="43"/>
  <c r="AZ216" i="43"/>
  <c r="AT216" i="43"/>
  <c r="AQ216" i="43"/>
  <c r="AK216" i="43"/>
  <c r="BI215" i="43"/>
  <c r="BC215" i="43"/>
  <c r="AZ215" i="43"/>
  <c r="AT215" i="43"/>
  <c r="AQ215" i="43"/>
  <c r="AK215" i="43"/>
  <c r="BI214" i="43"/>
  <c r="BC214" i="43"/>
  <c r="AZ214" i="43"/>
  <c r="AT214" i="43"/>
  <c r="AQ214" i="43"/>
  <c r="AK214" i="43"/>
  <c r="BI213" i="43"/>
  <c r="BC213" i="43"/>
  <c r="AZ213" i="43"/>
  <c r="AT213" i="43"/>
  <c r="AQ213" i="43"/>
  <c r="AK213" i="43"/>
  <c r="BI212" i="43"/>
  <c r="BC212" i="43"/>
  <c r="AZ212" i="43"/>
  <c r="AT212" i="43"/>
  <c r="AQ212" i="43"/>
  <c r="AK212" i="43"/>
  <c r="BI211" i="43"/>
  <c r="BC211" i="43"/>
  <c r="AZ211" i="43"/>
  <c r="AT211" i="43"/>
  <c r="AQ211" i="43"/>
  <c r="AK211" i="43"/>
  <c r="BI210" i="43"/>
  <c r="BC210" i="43"/>
  <c r="AZ210" i="43"/>
  <c r="AT210" i="43"/>
  <c r="AQ210" i="43"/>
  <c r="AK210" i="43"/>
  <c r="BI209" i="43"/>
  <c r="BC209" i="43"/>
  <c r="AZ209" i="43"/>
  <c r="AT209" i="43"/>
  <c r="AQ209" i="43"/>
  <c r="AK209" i="43"/>
  <c r="BI208" i="43"/>
  <c r="BC208" i="43"/>
  <c r="AZ208" i="43"/>
  <c r="AT208" i="43"/>
  <c r="AQ208" i="43"/>
  <c r="AK208" i="43"/>
  <c r="BI207" i="43"/>
  <c r="BC207" i="43"/>
  <c r="AZ207" i="43"/>
  <c r="AT207" i="43"/>
  <c r="AQ207" i="43"/>
  <c r="AK207" i="43"/>
  <c r="BI206" i="43"/>
  <c r="BC206" i="43"/>
  <c r="AZ206" i="43"/>
  <c r="AT206" i="43"/>
  <c r="AQ206" i="43"/>
  <c r="AK206" i="43"/>
  <c r="BI205" i="43"/>
  <c r="BC205" i="43"/>
  <c r="AZ205" i="43"/>
  <c r="AT205" i="43"/>
  <c r="AQ205" i="43"/>
  <c r="AK205" i="43"/>
  <c r="BI204" i="43"/>
  <c r="BC204" i="43"/>
  <c r="AZ204" i="43"/>
  <c r="AT204" i="43"/>
  <c r="AQ204" i="43"/>
  <c r="AK204" i="43"/>
  <c r="BI203" i="43"/>
  <c r="BC203" i="43"/>
  <c r="AZ203" i="43"/>
  <c r="AT203" i="43"/>
  <c r="AQ203" i="43"/>
  <c r="AK203" i="43"/>
  <c r="BI202" i="43"/>
  <c r="BC202" i="43"/>
  <c r="AZ202" i="43"/>
  <c r="AT202" i="43"/>
  <c r="AQ202" i="43"/>
  <c r="AK202" i="43"/>
  <c r="BI201" i="43"/>
  <c r="BC201" i="43"/>
  <c r="AZ201" i="43"/>
  <c r="AT201" i="43"/>
  <c r="AQ201" i="43"/>
  <c r="AK201" i="43"/>
  <c r="BI200" i="43"/>
  <c r="BC200" i="43"/>
  <c r="AZ200" i="43"/>
  <c r="AT200" i="43"/>
  <c r="AQ200" i="43"/>
  <c r="AK200" i="43"/>
  <c r="BI199" i="43"/>
  <c r="BC199" i="43"/>
  <c r="AZ199" i="43"/>
  <c r="AT199" i="43"/>
  <c r="AQ199" i="43"/>
  <c r="AK199" i="43"/>
  <c r="BI198" i="43"/>
  <c r="BC198" i="43"/>
  <c r="AZ198" i="43"/>
  <c r="AT198" i="43"/>
  <c r="AQ198" i="43"/>
  <c r="AK198" i="43"/>
  <c r="BI197" i="43"/>
  <c r="BC197" i="43"/>
  <c r="AZ197" i="43"/>
  <c r="AT197" i="43"/>
  <c r="AQ197" i="43"/>
  <c r="AK197" i="43"/>
  <c r="BI196" i="43"/>
  <c r="BC196" i="43"/>
  <c r="AZ196" i="43"/>
  <c r="AT196" i="43"/>
  <c r="AQ196" i="43"/>
  <c r="AK196" i="43"/>
  <c r="BI195" i="43"/>
  <c r="BC195" i="43"/>
  <c r="AZ195" i="43"/>
  <c r="AT195" i="43"/>
  <c r="AQ195" i="43"/>
  <c r="AK195" i="43"/>
  <c r="BI194" i="43"/>
  <c r="BC194" i="43"/>
  <c r="AZ194" i="43"/>
  <c r="AT194" i="43"/>
  <c r="AQ194" i="43"/>
  <c r="AK194" i="43"/>
  <c r="BI193" i="43"/>
  <c r="BC193" i="43"/>
  <c r="AZ193" i="43"/>
  <c r="AT193" i="43"/>
  <c r="AQ193" i="43"/>
  <c r="AK193" i="43"/>
  <c r="BI192" i="43"/>
  <c r="BC192" i="43"/>
  <c r="AZ192" i="43"/>
  <c r="AT192" i="43"/>
  <c r="AQ192" i="43"/>
  <c r="AK192" i="43"/>
  <c r="BI191" i="43"/>
  <c r="BC191" i="43"/>
  <c r="AZ191" i="43"/>
  <c r="AT191" i="43"/>
  <c r="AQ191" i="43"/>
  <c r="AK191" i="43"/>
  <c r="BI190" i="43"/>
  <c r="BC190" i="43"/>
  <c r="AZ190" i="43"/>
  <c r="AT190" i="43"/>
  <c r="AQ190" i="43"/>
  <c r="AK190" i="43"/>
  <c r="BI189" i="43"/>
  <c r="BC189" i="43"/>
  <c r="AZ189" i="43"/>
  <c r="AT189" i="43"/>
  <c r="AQ189" i="43"/>
  <c r="AK189" i="43"/>
  <c r="BI188" i="43"/>
  <c r="BC188" i="43"/>
  <c r="AZ188" i="43"/>
  <c r="AT188" i="43"/>
  <c r="AQ188" i="43"/>
  <c r="AK188" i="43"/>
  <c r="BI187" i="43"/>
  <c r="BC187" i="43"/>
  <c r="AZ187" i="43"/>
  <c r="AT187" i="43"/>
  <c r="AQ187" i="43"/>
  <c r="AK187" i="43"/>
  <c r="BI186" i="43"/>
  <c r="BC186" i="43"/>
  <c r="AZ186" i="43"/>
  <c r="AT186" i="43"/>
  <c r="AQ186" i="43"/>
  <c r="AK186" i="43"/>
  <c r="BI185" i="43"/>
  <c r="BC185" i="43"/>
  <c r="AZ185" i="43"/>
  <c r="AT185" i="43"/>
  <c r="AQ185" i="43"/>
  <c r="AK185" i="43"/>
  <c r="BI184" i="43"/>
  <c r="BC184" i="43"/>
  <c r="AZ184" i="43"/>
  <c r="AT184" i="43"/>
  <c r="AQ184" i="43"/>
  <c r="AK184" i="43"/>
  <c r="BI183" i="43"/>
  <c r="BC183" i="43"/>
  <c r="AZ183" i="43"/>
  <c r="AT183" i="43"/>
  <c r="AQ183" i="43"/>
  <c r="AK183" i="43"/>
  <c r="BI182" i="43"/>
  <c r="BC182" i="43"/>
  <c r="AZ182" i="43"/>
  <c r="AT182" i="43"/>
  <c r="AQ182" i="43"/>
  <c r="AK182" i="43"/>
  <c r="BI181" i="43"/>
  <c r="BC181" i="43"/>
  <c r="AZ181" i="43"/>
  <c r="AT181" i="43"/>
  <c r="AQ181" i="43"/>
  <c r="AK181" i="43"/>
  <c r="BI180" i="43"/>
  <c r="BC180" i="43"/>
  <c r="AZ180" i="43"/>
  <c r="AT180" i="43"/>
  <c r="AQ180" i="43"/>
  <c r="AK180" i="43"/>
  <c r="BI179" i="43"/>
  <c r="BC179" i="43"/>
  <c r="AZ179" i="43"/>
  <c r="AT179" i="43"/>
  <c r="AQ179" i="43"/>
  <c r="AK179" i="43"/>
  <c r="BI178" i="43"/>
  <c r="BC178" i="43"/>
  <c r="AZ178" i="43"/>
  <c r="AT178" i="43"/>
  <c r="AQ178" i="43"/>
  <c r="AK178" i="43"/>
  <c r="BI177" i="43"/>
  <c r="BC177" i="43"/>
  <c r="AZ177" i="43"/>
  <c r="AT177" i="43"/>
  <c r="AQ177" i="43"/>
  <c r="AK177" i="43"/>
  <c r="BI176" i="43"/>
  <c r="BC176" i="43"/>
  <c r="AZ176" i="43"/>
  <c r="AT176" i="43"/>
  <c r="AQ176" i="43"/>
  <c r="AK176" i="43"/>
  <c r="BI175" i="43"/>
  <c r="BC175" i="43"/>
  <c r="AZ175" i="43"/>
  <c r="AT175" i="43"/>
  <c r="AQ175" i="43"/>
  <c r="AK175" i="43"/>
  <c r="BI174" i="43"/>
  <c r="BC174" i="43"/>
  <c r="AZ174" i="43"/>
  <c r="AT174" i="43"/>
  <c r="AQ174" i="43"/>
  <c r="AK174" i="43"/>
  <c r="BI173" i="43"/>
  <c r="BC173" i="43"/>
  <c r="AZ173" i="43"/>
  <c r="AT173" i="43"/>
  <c r="AQ173" i="43"/>
  <c r="AK173" i="43"/>
  <c r="BI172" i="43"/>
  <c r="BC172" i="43"/>
  <c r="AZ172" i="43"/>
  <c r="AT172" i="43"/>
  <c r="AQ172" i="43"/>
  <c r="AK172" i="43"/>
  <c r="BI171" i="43"/>
  <c r="BC171" i="43"/>
  <c r="AZ171" i="43"/>
  <c r="AT171" i="43"/>
  <c r="AQ171" i="43"/>
  <c r="AK171" i="43"/>
  <c r="BI170" i="43"/>
  <c r="BC170" i="43"/>
  <c r="AZ170" i="43"/>
  <c r="AT170" i="43"/>
  <c r="AQ170" i="43"/>
  <c r="AK170" i="43"/>
  <c r="BI169" i="43"/>
  <c r="BC169" i="43"/>
  <c r="AZ169" i="43"/>
  <c r="AT169" i="43"/>
  <c r="AQ169" i="43"/>
  <c r="AK169" i="43"/>
  <c r="BI168" i="43"/>
  <c r="BC168" i="43"/>
  <c r="AZ168" i="43"/>
  <c r="AT168" i="43"/>
  <c r="AQ168" i="43"/>
  <c r="AK168" i="43"/>
  <c r="BI167" i="43"/>
  <c r="BC167" i="43"/>
  <c r="AZ167" i="43"/>
  <c r="AT167" i="43"/>
  <c r="AQ167" i="43"/>
  <c r="AK167" i="43"/>
  <c r="BI166" i="43"/>
  <c r="BC166" i="43"/>
  <c r="AZ166" i="43"/>
  <c r="AT166" i="43"/>
  <c r="AQ166" i="43"/>
  <c r="AK166" i="43"/>
  <c r="BI165" i="43"/>
  <c r="BC165" i="43"/>
  <c r="AZ165" i="43"/>
  <c r="AT165" i="43"/>
  <c r="AQ165" i="43"/>
  <c r="AK165" i="43"/>
  <c r="BI164" i="43"/>
  <c r="BC164" i="43"/>
  <c r="AZ164" i="43"/>
  <c r="AT164" i="43"/>
  <c r="AQ164" i="43"/>
  <c r="AK164" i="43"/>
  <c r="BI163" i="43"/>
  <c r="BC163" i="43"/>
  <c r="AZ163" i="43"/>
  <c r="AT163" i="43"/>
  <c r="AQ163" i="43"/>
  <c r="AK163" i="43"/>
  <c r="BI162" i="43"/>
  <c r="BC162" i="43"/>
  <c r="AZ162" i="43"/>
  <c r="AT162" i="43"/>
  <c r="AQ162" i="43"/>
  <c r="AK162" i="43"/>
  <c r="BI161" i="43"/>
  <c r="BC161" i="43"/>
  <c r="AZ161" i="43"/>
  <c r="AT161" i="43"/>
  <c r="AQ161" i="43"/>
  <c r="AK161" i="43"/>
  <c r="BI160" i="43"/>
  <c r="BC160" i="43"/>
  <c r="AZ160" i="43"/>
  <c r="AT160" i="43"/>
  <c r="AQ160" i="43"/>
  <c r="AK160" i="43"/>
  <c r="BI159" i="43"/>
  <c r="BC159" i="43"/>
  <c r="AZ159" i="43"/>
  <c r="AT159" i="43"/>
  <c r="AQ159" i="43"/>
  <c r="AK159" i="43"/>
  <c r="BI158" i="43"/>
  <c r="BC158" i="43"/>
  <c r="AZ158" i="43"/>
  <c r="AT158" i="43"/>
  <c r="AQ158" i="43"/>
  <c r="AK158" i="43"/>
  <c r="BI157" i="43"/>
  <c r="BC157" i="43"/>
  <c r="AZ157" i="43"/>
  <c r="AT157" i="43"/>
  <c r="AQ157" i="43"/>
  <c r="AK157" i="43"/>
  <c r="BI156" i="43"/>
  <c r="BC156" i="43"/>
  <c r="AZ156" i="43"/>
  <c r="AT156" i="43"/>
  <c r="AQ156" i="43"/>
  <c r="AK156" i="43"/>
  <c r="BI155" i="43"/>
  <c r="BC155" i="43"/>
  <c r="AZ155" i="43"/>
  <c r="AT155" i="43"/>
  <c r="AQ155" i="43"/>
  <c r="AK155" i="43"/>
  <c r="BI154" i="43"/>
  <c r="BC154" i="43"/>
  <c r="AZ154" i="43"/>
  <c r="AT154" i="43"/>
  <c r="AQ154" i="43"/>
  <c r="AK154" i="43"/>
  <c r="BI153" i="43"/>
  <c r="BC153" i="43"/>
  <c r="AZ153" i="43"/>
  <c r="AT153" i="43"/>
  <c r="AQ153" i="43"/>
  <c r="AK153" i="43"/>
  <c r="BI152" i="43"/>
  <c r="BC152" i="43"/>
  <c r="AZ152" i="43"/>
  <c r="AT152" i="43"/>
  <c r="AQ152" i="43"/>
  <c r="AK152" i="43"/>
  <c r="BI151" i="43"/>
  <c r="BC151" i="43"/>
  <c r="AZ151" i="43"/>
  <c r="AT151" i="43"/>
  <c r="AQ151" i="43"/>
  <c r="AK151" i="43"/>
  <c r="BI150" i="43"/>
  <c r="BC150" i="43"/>
  <c r="AZ150" i="43"/>
  <c r="AT150" i="43"/>
  <c r="AQ150" i="43"/>
  <c r="AK150" i="43"/>
  <c r="BI149" i="43"/>
  <c r="BC149" i="43"/>
  <c r="AZ149" i="43"/>
  <c r="AT149" i="43"/>
  <c r="AQ149" i="43"/>
  <c r="AK149" i="43"/>
  <c r="BI148" i="43"/>
  <c r="BC148" i="43"/>
  <c r="AZ148" i="43"/>
  <c r="AT148" i="43"/>
  <c r="AQ148" i="43"/>
  <c r="AK148" i="43"/>
  <c r="BI147" i="43"/>
  <c r="BC147" i="43"/>
  <c r="AZ147" i="43"/>
  <c r="AT147" i="43"/>
  <c r="AQ147" i="43"/>
  <c r="AK147" i="43"/>
  <c r="BI146" i="43"/>
  <c r="BC146" i="43"/>
  <c r="AZ146" i="43"/>
  <c r="AT146" i="43"/>
  <c r="AQ146" i="43"/>
  <c r="AK146" i="43"/>
  <c r="BI145" i="43"/>
  <c r="BC145" i="43"/>
  <c r="AZ145" i="43"/>
  <c r="AT145" i="43"/>
  <c r="AQ145" i="43"/>
  <c r="AK145" i="43"/>
  <c r="BI144" i="43"/>
  <c r="BC144" i="43"/>
  <c r="AZ144" i="43"/>
  <c r="AT144" i="43"/>
  <c r="AQ144" i="43"/>
  <c r="AK144" i="43"/>
  <c r="BI143" i="43"/>
  <c r="BC143" i="43"/>
  <c r="AZ143" i="43"/>
  <c r="AT143" i="43"/>
  <c r="AQ143" i="43"/>
  <c r="AK143" i="43"/>
  <c r="BI142" i="43"/>
  <c r="BC142" i="43"/>
  <c r="AZ142" i="43"/>
  <c r="AT142" i="43"/>
  <c r="AQ142" i="43"/>
  <c r="AK142" i="43"/>
  <c r="BI141" i="43"/>
  <c r="BC141" i="43"/>
  <c r="AZ141" i="43"/>
  <c r="AT141" i="43"/>
  <c r="AQ141" i="43"/>
  <c r="AK141" i="43"/>
  <c r="BI140" i="43"/>
  <c r="BC140" i="43"/>
  <c r="AZ140" i="43"/>
  <c r="AT140" i="43"/>
  <c r="AQ140" i="43"/>
  <c r="AK140" i="43"/>
  <c r="BI139" i="43"/>
  <c r="BC139" i="43"/>
  <c r="AZ139" i="43"/>
  <c r="AT139" i="43"/>
  <c r="AQ139" i="43"/>
  <c r="AK139" i="43"/>
  <c r="BI138" i="43"/>
  <c r="BC138" i="43"/>
  <c r="AZ138" i="43"/>
  <c r="AT138" i="43"/>
  <c r="AQ138" i="43"/>
  <c r="AK138" i="43"/>
  <c r="BI137" i="43"/>
  <c r="BC137" i="43"/>
  <c r="AZ137" i="43"/>
  <c r="AT137" i="43"/>
  <c r="AQ137" i="43"/>
  <c r="AK137" i="43"/>
  <c r="BI136" i="43"/>
  <c r="BC136" i="43"/>
  <c r="AZ136" i="43"/>
  <c r="AT136" i="43"/>
  <c r="AQ136" i="43"/>
  <c r="AK136" i="43"/>
  <c r="BI135" i="43"/>
  <c r="BC135" i="43"/>
  <c r="AZ135" i="43"/>
  <c r="AT135" i="43"/>
  <c r="AQ135" i="43"/>
  <c r="AK135" i="43"/>
  <c r="BI134" i="43"/>
  <c r="BC134" i="43"/>
  <c r="AZ134" i="43"/>
  <c r="AT134" i="43"/>
  <c r="AQ134" i="43"/>
  <c r="AK134" i="43"/>
  <c r="BI133" i="43"/>
  <c r="BC133" i="43"/>
  <c r="AZ133" i="43"/>
  <c r="AT133" i="43"/>
  <c r="AQ133" i="43"/>
  <c r="AK133" i="43"/>
  <c r="BI132" i="43"/>
  <c r="BC132" i="43"/>
  <c r="AZ132" i="43"/>
  <c r="AT132" i="43"/>
  <c r="AQ132" i="43"/>
  <c r="AK132" i="43"/>
  <c r="BI131" i="43"/>
  <c r="BC131" i="43"/>
  <c r="AZ131" i="43"/>
  <c r="AT131" i="43"/>
  <c r="AQ131" i="43"/>
  <c r="AK131" i="43"/>
  <c r="BI130" i="43"/>
  <c r="BC130" i="43"/>
  <c r="AZ130" i="43"/>
  <c r="AT130" i="43"/>
  <c r="AQ130" i="43"/>
  <c r="AK130" i="43"/>
  <c r="BI129" i="43"/>
  <c r="BC129" i="43"/>
  <c r="AZ129" i="43"/>
  <c r="AT129" i="43"/>
  <c r="AQ129" i="43"/>
  <c r="AK129" i="43"/>
  <c r="BI128" i="43"/>
  <c r="BC128" i="43"/>
  <c r="AZ128" i="43"/>
  <c r="AT128" i="43"/>
  <c r="AQ128" i="43"/>
  <c r="AK128" i="43"/>
  <c r="BI127" i="43"/>
  <c r="BC127" i="43"/>
  <c r="AZ127" i="43"/>
  <c r="AT127" i="43"/>
  <c r="AQ127" i="43"/>
  <c r="AK127" i="43"/>
  <c r="BI126" i="43"/>
  <c r="BC126" i="43"/>
  <c r="AZ126" i="43"/>
  <c r="AT126" i="43"/>
  <c r="AQ126" i="43"/>
  <c r="AK126" i="43"/>
  <c r="BI125" i="43"/>
  <c r="BC125" i="43"/>
  <c r="AZ125" i="43"/>
  <c r="AT125" i="43"/>
  <c r="AQ125" i="43"/>
  <c r="AK125" i="43"/>
  <c r="BI124" i="43"/>
  <c r="BC124" i="43"/>
  <c r="AZ124" i="43"/>
  <c r="AT124" i="43"/>
  <c r="AQ124" i="43"/>
  <c r="AK124" i="43"/>
  <c r="BI123" i="43"/>
  <c r="BC123" i="43"/>
  <c r="AZ123" i="43"/>
  <c r="AT123" i="43"/>
  <c r="AQ123" i="43"/>
  <c r="AK123" i="43"/>
  <c r="BI122" i="43"/>
  <c r="BC122" i="43"/>
  <c r="AZ122" i="43"/>
  <c r="AT122" i="43"/>
  <c r="AQ122" i="43"/>
  <c r="AK122" i="43"/>
  <c r="BI121" i="43"/>
  <c r="BC121" i="43"/>
  <c r="AZ121" i="43"/>
  <c r="AT121" i="43"/>
  <c r="AQ121" i="43"/>
  <c r="AK121" i="43"/>
  <c r="BI120" i="43"/>
  <c r="BC120" i="43"/>
  <c r="AZ120" i="43"/>
  <c r="AT120" i="43"/>
  <c r="AQ120" i="43"/>
  <c r="AK120" i="43"/>
  <c r="BI119" i="43"/>
  <c r="BC119" i="43"/>
  <c r="AZ119" i="43"/>
  <c r="AT119" i="43"/>
  <c r="AQ119" i="43"/>
  <c r="AK119" i="43"/>
  <c r="BI118" i="43"/>
  <c r="BC118" i="43"/>
  <c r="AZ118" i="43"/>
  <c r="AT118" i="43"/>
  <c r="AQ118" i="43"/>
  <c r="AK118" i="43"/>
  <c r="BI117" i="43"/>
  <c r="BC117" i="43"/>
  <c r="AZ117" i="43"/>
  <c r="AT117" i="43"/>
  <c r="AQ117" i="43"/>
  <c r="AK117" i="43"/>
  <c r="BI116" i="43"/>
  <c r="BC116" i="43"/>
  <c r="AZ116" i="43"/>
  <c r="AT116" i="43"/>
  <c r="AQ116" i="43"/>
  <c r="AK116" i="43"/>
  <c r="BI115" i="43"/>
  <c r="BC115" i="43"/>
  <c r="AZ115" i="43"/>
  <c r="AT115" i="43"/>
  <c r="AQ115" i="43"/>
  <c r="AK115" i="43"/>
  <c r="BI114" i="43"/>
  <c r="BC114" i="43"/>
  <c r="AZ114" i="43"/>
  <c r="AT114" i="43"/>
  <c r="AQ114" i="43"/>
  <c r="AK114" i="43"/>
  <c r="BI113" i="43"/>
  <c r="BC113" i="43"/>
  <c r="AZ113" i="43"/>
  <c r="AT113" i="43"/>
  <c r="AQ113" i="43"/>
  <c r="AK113" i="43"/>
  <c r="BI112" i="43"/>
  <c r="BC112" i="43"/>
  <c r="AZ112" i="43"/>
  <c r="AT112" i="43"/>
  <c r="AQ112" i="43"/>
  <c r="AK112" i="43"/>
  <c r="BI111" i="43"/>
  <c r="BC111" i="43"/>
  <c r="AZ111" i="43"/>
  <c r="AT111" i="43"/>
  <c r="AQ111" i="43"/>
  <c r="AK111" i="43"/>
  <c r="BI110" i="43"/>
  <c r="BC110" i="43"/>
  <c r="AZ110" i="43"/>
  <c r="AT110" i="43"/>
  <c r="AQ110" i="43"/>
  <c r="AK110" i="43"/>
  <c r="BI109" i="43"/>
  <c r="BC109" i="43"/>
  <c r="AZ109" i="43"/>
  <c r="AT109" i="43"/>
  <c r="AQ109" i="43"/>
  <c r="AK109" i="43"/>
  <c r="BI108" i="43"/>
  <c r="BC108" i="43"/>
  <c r="AZ108" i="43"/>
  <c r="AT108" i="43"/>
  <c r="AQ108" i="43"/>
  <c r="AK108" i="43"/>
  <c r="BI107" i="43"/>
  <c r="BC107" i="43"/>
  <c r="AZ107" i="43"/>
  <c r="AT107" i="43"/>
  <c r="AQ107" i="43"/>
  <c r="AK107" i="43"/>
  <c r="BI106" i="43"/>
  <c r="BC106" i="43"/>
  <c r="AZ106" i="43"/>
  <c r="AT106" i="43"/>
  <c r="AQ106" i="43"/>
  <c r="AK106" i="43"/>
  <c r="BI105" i="43"/>
  <c r="BC105" i="43"/>
  <c r="AZ105" i="43"/>
  <c r="AT105" i="43"/>
  <c r="AQ105" i="43"/>
  <c r="AK105" i="43"/>
  <c r="BI104" i="43"/>
  <c r="BC104" i="43"/>
  <c r="AZ104" i="43"/>
  <c r="AT104" i="43"/>
  <c r="AQ104" i="43"/>
  <c r="AK104" i="43"/>
  <c r="BI103" i="43"/>
  <c r="BC103" i="43"/>
  <c r="AZ103" i="43"/>
  <c r="AT103" i="43"/>
  <c r="AQ103" i="43"/>
  <c r="AK103" i="43"/>
  <c r="BI102" i="43"/>
  <c r="BC102" i="43"/>
  <c r="AZ102" i="43"/>
  <c r="AT102" i="43"/>
  <c r="AQ102" i="43"/>
  <c r="AK102" i="43"/>
  <c r="BI101" i="43"/>
  <c r="BC101" i="43"/>
  <c r="AZ101" i="43"/>
  <c r="AT101" i="43"/>
  <c r="AQ101" i="43"/>
  <c r="AK101" i="43"/>
  <c r="BI100" i="43"/>
  <c r="BC100" i="43"/>
  <c r="AZ100" i="43"/>
  <c r="AT100" i="43"/>
  <c r="AQ100" i="43"/>
  <c r="AK100" i="43"/>
  <c r="BI99" i="43"/>
  <c r="BC99" i="43"/>
  <c r="AZ99" i="43"/>
  <c r="AT99" i="43"/>
  <c r="AQ99" i="43"/>
  <c r="AK99" i="43"/>
  <c r="BI98" i="43"/>
  <c r="BC98" i="43"/>
  <c r="AZ98" i="43"/>
  <c r="AT98" i="43"/>
  <c r="AQ98" i="43"/>
  <c r="AK98" i="43"/>
  <c r="BI97" i="43"/>
  <c r="BC97" i="43"/>
  <c r="AZ97" i="43"/>
  <c r="AT97" i="43"/>
  <c r="AQ97" i="43"/>
  <c r="AK97" i="43"/>
  <c r="BI96" i="43"/>
  <c r="BC96" i="43"/>
  <c r="AZ96" i="43"/>
  <c r="AT96" i="43"/>
  <c r="AQ96" i="43"/>
  <c r="AK96" i="43"/>
  <c r="BI95" i="43"/>
  <c r="BC95" i="43"/>
  <c r="AZ95" i="43"/>
  <c r="AT95" i="43"/>
  <c r="AQ95" i="43"/>
  <c r="AK95" i="43"/>
  <c r="BI94" i="43"/>
  <c r="BC94" i="43"/>
  <c r="AZ94" i="43"/>
  <c r="AT94" i="43"/>
  <c r="AQ94" i="43"/>
  <c r="AK94" i="43"/>
  <c r="BI93" i="43"/>
  <c r="BC93" i="43"/>
  <c r="AZ93" i="43"/>
  <c r="AT93" i="43"/>
  <c r="AQ93" i="43"/>
  <c r="AK93" i="43"/>
  <c r="BI92" i="43"/>
  <c r="BC92" i="43"/>
  <c r="AZ92" i="43"/>
  <c r="AT92" i="43"/>
  <c r="AQ92" i="43"/>
  <c r="AK92" i="43"/>
  <c r="BI91" i="43"/>
  <c r="BC91" i="43"/>
  <c r="AZ91" i="43"/>
  <c r="AT91" i="43"/>
  <c r="AQ91" i="43"/>
  <c r="AK91" i="43"/>
  <c r="BI90" i="43"/>
  <c r="BC90" i="43"/>
  <c r="AZ90" i="43"/>
  <c r="AT90" i="43"/>
  <c r="AQ90" i="43"/>
  <c r="AK90" i="43"/>
  <c r="BI89" i="43"/>
  <c r="BC89" i="43"/>
  <c r="AZ89" i="43"/>
  <c r="AT89" i="43"/>
  <c r="AQ89" i="43"/>
  <c r="AK89" i="43"/>
  <c r="BI88" i="43"/>
  <c r="BC88" i="43"/>
  <c r="AZ88" i="43"/>
  <c r="AT88" i="43"/>
  <c r="AQ88" i="43"/>
  <c r="AK88" i="43"/>
  <c r="BI87" i="43"/>
  <c r="BC87" i="43"/>
  <c r="AZ87" i="43"/>
  <c r="AT87" i="43"/>
  <c r="AQ87" i="43"/>
  <c r="AK87" i="43"/>
  <c r="BI86" i="43"/>
  <c r="BC86" i="43"/>
  <c r="AZ86" i="43"/>
  <c r="AT86" i="43"/>
  <c r="AQ86" i="43"/>
  <c r="AK86" i="43"/>
  <c r="BI85" i="43"/>
  <c r="BC85" i="43"/>
  <c r="AZ85" i="43"/>
  <c r="AT85" i="43"/>
  <c r="AQ85" i="43"/>
  <c r="AK85" i="43"/>
  <c r="BI84" i="43"/>
  <c r="BC84" i="43"/>
  <c r="AZ84" i="43"/>
  <c r="AT84" i="43"/>
  <c r="AQ84" i="43"/>
  <c r="AK84" i="43"/>
  <c r="BI83" i="43"/>
  <c r="BC83" i="43"/>
  <c r="AZ83" i="43"/>
  <c r="AT83" i="43"/>
  <c r="AQ83" i="43"/>
  <c r="AK83" i="43"/>
  <c r="BI82" i="43"/>
  <c r="BC82" i="43"/>
  <c r="AZ82" i="43"/>
  <c r="AT82" i="43"/>
  <c r="AQ82" i="43"/>
  <c r="AK82" i="43"/>
  <c r="BI81" i="43"/>
  <c r="BC81" i="43"/>
  <c r="AZ81" i="43"/>
  <c r="AT81" i="43"/>
  <c r="AQ81" i="43"/>
  <c r="AK81" i="43"/>
  <c r="BI80" i="43"/>
  <c r="BC80" i="43"/>
  <c r="AZ80" i="43"/>
  <c r="AT80" i="43"/>
  <c r="AQ80" i="43"/>
  <c r="AK80" i="43"/>
  <c r="BI79" i="43"/>
  <c r="BC79" i="43"/>
  <c r="AZ79" i="43"/>
  <c r="AT79" i="43"/>
  <c r="AQ79" i="43"/>
  <c r="AK79" i="43"/>
  <c r="BI78" i="43"/>
  <c r="BC78" i="43"/>
  <c r="AZ78" i="43"/>
  <c r="AT78" i="43"/>
  <c r="AQ78" i="43"/>
  <c r="AK78" i="43"/>
  <c r="BI77" i="43"/>
  <c r="BC77" i="43"/>
  <c r="AZ77" i="43"/>
  <c r="AT77" i="43"/>
  <c r="AQ77" i="43"/>
  <c r="AK77" i="43"/>
  <c r="BI76" i="43"/>
  <c r="BC76" i="43"/>
  <c r="AZ76" i="43"/>
  <c r="AT76" i="43"/>
  <c r="AQ76" i="43"/>
  <c r="AK76" i="43"/>
  <c r="BI75" i="43"/>
  <c r="BC75" i="43"/>
  <c r="AZ75" i="43"/>
  <c r="AT75" i="43"/>
  <c r="AQ75" i="43"/>
  <c r="AK75" i="43"/>
  <c r="BI74" i="43"/>
  <c r="BC74" i="43"/>
  <c r="AZ74" i="43"/>
  <c r="AT74" i="43"/>
  <c r="AQ74" i="43"/>
  <c r="AK74" i="43"/>
  <c r="BI73" i="43"/>
  <c r="BC73" i="43"/>
  <c r="AZ73" i="43"/>
  <c r="AT73" i="43"/>
  <c r="AQ73" i="43"/>
  <c r="AK73" i="43"/>
  <c r="BI72" i="43"/>
  <c r="BC72" i="43"/>
  <c r="AZ72" i="43"/>
  <c r="AT72" i="43"/>
  <c r="AQ72" i="43"/>
  <c r="AK72" i="43"/>
  <c r="BI71" i="43"/>
  <c r="BC71" i="43"/>
  <c r="AZ71" i="43"/>
  <c r="AT71" i="43"/>
  <c r="AQ71" i="43"/>
  <c r="AK71" i="43"/>
  <c r="BI70" i="43"/>
  <c r="BC70" i="43"/>
  <c r="AZ70" i="43"/>
  <c r="AT70" i="43"/>
  <c r="AQ70" i="43"/>
  <c r="AK70" i="43"/>
  <c r="BI69" i="43"/>
  <c r="BC69" i="43"/>
  <c r="AZ69" i="43"/>
  <c r="AT69" i="43"/>
  <c r="AQ69" i="43"/>
  <c r="AK69" i="43"/>
  <c r="BI68" i="43"/>
  <c r="BC68" i="43"/>
  <c r="AZ68" i="43"/>
  <c r="AT68" i="43"/>
  <c r="AQ68" i="43"/>
  <c r="AK68" i="43"/>
  <c r="BI67" i="43"/>
  <c r="BC67" i="43"/>
  <c r="AZ67" i="43"/>
  <c r="AT67" i="43"/>
  <c r="AQ67" i="43"/>
  <c r="AK67" i="43"/>
  <c r="BI66" i="43"/>
  <c r="BC66" i="43"/>
  <c r="AZ66" i="43"/>
  <c r="AT66" i="43"/>
  <c r="AQ66" i="43"/>
  <c r="AK66" i="43"/>
  <c r="BI65" i="43"/>
  <c r="BC65" i="43"/>
  <c r="AZ65" i="43"/>
  <c r="AT65" i="43"/>
  <c r="AQ65" i="43"/>
  <c r="AK65" i="43"/>
  <c r="BI64" i="43"/>
  <c r="BC64" i="43"/>
  <c r="AZ64" i="43"/>
  <c r="AT64" i="43"/>
  <c r="AQ64" i="43"/>
  <c r="AK64" i="43"/>
  <c r="BI63" i="43"/>
  <c r="BC63" i="43"/>
  <c r="AZ63" i="43"/>
  <c r="AT63" i="43"/>
  <c r="AQ63" i="43"/>
  <c r="AK63" i="43"/>
  <c r="BI62" i="43"/>
  <c r="BC62" i="43"/>
  <c r="AZ62" i="43"/>
  <c r="AT62" i="43"/>
  <c r="AQ62" i="43"/>
  <c r="AK62" i="43"/>
  <c r="BI61" i="43"/>
  <c r="BC61" i="43"/>
  <c r="AZ61" i="43"/>
  <c r="AT61" i="43"/>
  <c r="AQ61" i="43"/>
  <c r="AK61" i="43"/>
  <c r="BI60" i="43"/>
  <c r="BC60" i="43"/>
  <c r="AZ60" i="43"/>
  <c r="AT60" i="43"/>
  <c r="AQ60" i="43"/>
  <c r="AK60" i="43"/>
  <c r="BI59" i="43"/>
  <c r="BC59" i="43"/>
  <c r="AZ59" i="43"/>
  <c r="AT59" i="43"/>
  <c r="AQ59" i="43"/>
  <c r="AK59" i="43"/>
  <c r="BI58" i="43"/>
  <c r="BC58" i="43"/>
  <c r="AZ58" i="43"/>
  <c r="AT58" i="43"/>
  <c r="AQ58" i="43"/>
  <c r="AK58" i="43"/>
  <c r="BI57" i="43"/>
  <c r="BC57" i="43"/>
  <c r="AZ57" i="43"/>
  <c r="AT57" i="43"/>
  <c r="AQ57" i="43"/>
  <c r="AK57" i="43"/>
  <c r="BI56" i="43"/>
  <c r="BC56" i="43"/>
  <c r="AZ56" i="43"/>
  <c r="AT56" i="43"/>
  <c r="AQ56" i="43"/>
  <c r="AK56" i="43"/>
  <c r="BI55" i="43"/>
  <c r="BC55" i="43"/>
  <c r="AZ55" i="43"/>
  <c r="AT55" i="43"/>
  <c r="AQ55" i="43"/>
  <c r="AK55" i="43"/>
  <c r="BI54" i="43"/>
  <c r="BC54" i="43"/>
  <c r="AZ54" i="43"/>
  <c r="AT54" i="43"/>
  <c r="AQ54" i="43"/>
  <c r="AK54" i="43"/>
  <c r="BI53" i="43"/>
  <c r="BC53" i="43"/>
  <c r="AZ53" i="43"/>
  <c r="AT53" i="43"/>
  <c r="AQ53" i="43"/>
  <c r="AK53" i="43"/>
  <c r="BI52" i="43"/>
  <c r="BC52" i="43"/>
  <c r="AZ52" i="43"/>
  <c r="AT52" i="43"/>
  <c r="AQ52" i="43"/>
  <c r="AK52" i="43"/>
  <c r="BI51" i="43"/>
  <c r="BC51" i="43"/>
  <c r="AZ51" i="43"/>
  <c r="AT51" i="43"/>
  <c r="AQ51" i="43"/>
  <c r="AK51" i="43"/>
  <c r="BI50" i="43"/>
  <c r="BC50" i="43"/>
  <c r="AZ50" i="43"/>
  <c r="AT50" i="43"/>
  <c r="AQ50" i="43"/>
  <c r="AK50" i="43"/>
  <c r="BI49" i="43"/>
  <c r="BC49" i="43"/>
  <c r="AZ49" i="43"/>
  <c r="AT49" i="43"/>
  <c r="AQ49" i="43"/>
  <c r="AK49" i="43"/>
  <c r="BI48" i="43"/>
  <c r="BC48" i="43"/>
  <c r="AZ48" i="43"/>
  <c r="AT48" i="43"/>
  <c r="AQ48" i="43"/>
  <c r="AK48" i="43"/>
  <c r="BI47" i="43"/>
  <c r="BC47" i="43"/>
  <c r="AZ47" i="43"/>
  <c r="AT47" i="43"/>
  <c r="AQ47" i="43"/>
  <c r="AK47" i="43"/>
  <c r="BI46" i="43"/>
  <c r="BC46" i="43"/>
  <c r="AZ46" i="43"/>
  <c r="AT46" i="43"/>
  <c r="AQ46" i="43"/>
  <c r="AK46" i="43"/>
  <c r="BI45" i="43"/>
  <c r="BC45" i="43"/>
  <c r="AZ45" i="43"/>
  <c r="AT45" i="43"/>
  <c r="AQ45" i="43"/>
  <c r="AK45" i="43"/>
  <c r="BI44" i="43"/>
  <c r="BC44" i="43"/>
  <c r="AZ44" i="43"/>
  <c r="AT44" i="43"/>
  <c r="AQ44" i="43"/>
  <c r="AK44" i="43"/>
  <c r="BI43" i="43"/>
  <c r="BC43" i="43"/>
  <c r="AZ43" i="43"/>
  <c r="AT43" i="43"/>
  <c r="AQ43" i="43"/>
  <c r="AK43" i="43"/>
  <c r="BI42" i="43"/>
  <c r="BC42" i="43"/>
  <c r="AZ42" i="43"/>
  <c r="AT42" i="43"/>
  <c r="AQ42" i="43"/>
  <c r="AK42" i="43"/>
  <c r="BI41" i="43"/>
  <c r="BC41" i="43"/>
  <c r="AZ41" i="43"/>
  <c r="AT41" i="43"/>
  <c r="AQ41" i="43"/>
  <c r="AK41" i="43"/>
  <c r="BI40" i="43"/>
  <c r="BC40" i="43"/>
  <c r="AZ40" i="43"/>
  <c r="AT40" i="43"/>
  <c r="AQ40" i="43"/>
  <c r="AK40" i="43"/>
  <c r="CX39" i="43"/>
  <c r="BI39" i="43"/>
  <c r="BC39" i="43"/>
  <c r="AZ39" i="43"/>
  <c r="AT39" i="43"/>
  <c r="AQ39" i="43"/>
  <c r="AK39" i="43"/>
  <c r="BU38" i="43"/>
  <c r="BI38" i="43"/>
  <c r="BC38" i="43"/>
  <c r="AZ38" i="43"/>
  <c r="AT38" i="43"/>
  <c r="AQ38" i="43"/>
  <c r="AK38" i="43"/>
  <c r="BI37" i="43"/>
  <c r="BC37" i="43"/>
  <c r="AZ37" i="43"/>
  <c r="AT37" i="43"/>
  <c r="AQ37" i="43"/>
  <c r="AK37" i="43"/>
  <c r="BU36" i="43"/>
  <c r="BI36" i="43"/>
  <c r="BC36" i="43"/>
  <c r="AZ36" i="43"/>
  <c r="AT36" i="43"/>
  <c r="AQ36" i="43"/>
  <c r="AK36" i="43"/>
  <c r="AA36" i="43" a="1"/>
  <c r="AA36" i="43" s="1"/>
  <c r="Y36" i="43"/>
  <c r="BI35" i="43"/>
  <c r="BC35" i="43"/>
  <c r="AZ35" i="43"/>
  <c r="AT35" i="43"/>
  <c r="AQ35" i="43"/>
  <c r="AK35" i="43"/>
  <c r="Z35" i="43"/>
  <c r="BY34" i="43"/>
  <c r="BT34" i="43"/>
  <c r="BI34" i="43"/>
  <c r="BC34" i="43"/>
  <c r="AZ34" i="43"/>
  <c r="AT34" i="43"/>
  <c r="AQ34" i="43"/>
  <c r="AK34" i="43"/>
  <c r="BI33" i="43"/>
  <c r="BC33" i="43"/>
  <c r="AZ33" i="43"/>
  <c r="AT33" i="43"/>
  <c r="AQ33" i="43"/>
  <c r="AK33" i="43"/>
  <c r="BI32" i="43"/>
  <c r="BC32" i="43"/>
  <c r="AZ32" i="43"/>
  <c r="AT32" i="43"/>
  <c r="AQ32" i="43"/>
  <c r="AK32" i="43"/>
  <c r="BI31" i="43"/>
  <c r="BC31" i="43"/>
  <c r="AZ31" i="43"/>
  <c r="AT31" i="43"/>
  <c r="AQ31" i="43"/>
  <c r="AK31" i="43"/>
  <c r="AB31" i="43"/>
  <c r="BI30" i="43"/>
  <c r="BC30" i="43"/>
  <c r="AZ30" i="43"/>
  <c r="AT30" i="43"/>
  <c r="AQ30" i="43"/>
  <c r="AK30" i="43"/>
  <c r="BU29" i="43"/>
  <c r="BI29" i="43"/>
  <c r="BC29" i="43"/>
  <c r="AZ29" i="43"/>
  <c r="AT29" i="43"/>
  <c r="AQ29" i="43"/>
  <c r="AK29" i="43"/>
  <c r="BI28" i="43"/>
  <c r="BC28" i="43"/>
  <c r="AZ28" i="43"/>
  <c r="AT28" i="43"/>
  <c r="AQ28" i="43"/>
  <c r="AK28" i="43"/>
  <c r="BU27" i="43"/>
  <c r="BI27" i="43"/>
  <c r="BC27" i="43"/>
  <c r="AZ27" i="43"/>
  <c r="AT27" i="43"/>
  <c r="AQ27" i="43"/>
  <c r="AK27" i="43"/>
  <c r="P27" i="43"/>
  <c r="J27" i="43"/>
  <c r="Q27" i="43" s="1"/>
  <c r="R27" i="43" s="1"/>
  <c r="S27" i="43" s="1"/>
  <c r="E27" i="43"/>
  <c r="P26" i="43"/>
  <c r="J26" i="43"/>
  <c r="Q26" i="43" s="1"/>
  <c r="R26" i="43" s="1"/>
  <c r="S26" i="43" s="1"/>
  <c r="E26" i="43"/>
  <c r="BY25" i="43"/>
  <c r="BT25" i="43"/>
  <c r="BI25" i="43" a="1"/>
  <c r="BI25" i="43" s="1"/>
  <c r="BG25" i="43"/>
  <c r="BF25" i="43" a="1"/>
  <c r="BF25" i="43" s="1"/>
  <c r="BD25" i="43"/>
  <c r="BC25" i="43" a="1"/>
  <c r="BC25" i="43" s="1"/>
  <c r="BA25" i="43"/>
  <c r="AZ25" i="43" a="1"/>
  <c r="AZ25" i="43" s="1"/>
  <c r="AX25" i="43"/>
  <c r="AW25" i="43" a="1"/>
  <c r="AW25" i="43" s="1"/>
  <c r="AU25" i="43"/>
  <c r="AT25" i="43" a="1"/>
  <c r="AT25" i="43" s="1"/>
  <c r="AR25" i="43"/>
  <c r="AQ25" i="43" a="1"/>
  <c r="AQ25" i="43" s="1"/>
  <c r="BY16" i="43" s="1"/>
  <c r="AN25" i="43" a="1"/>
  <c r="AN25" i="43" s="1"/>
  <c r="CX88" i="43" s="1"/>
  <c r="AK25" i="43" a="1"/>
  <c r="AK25" i="43" s="1"/>
  <c r="AH25" i="43" a="1"/>
  <c r="AH25" i="43" s="1"/>
  <c r="V36" i="43" s="1"/>
  <c r="AE25" i="43" a="1"/>
  <c r="AE25" i="43" s="1"/>
  <c r="AC25" i="43"/>
  <c r="AB25" i="43" a="1"/>
  <c r="AB25" i="43" s="1"/>
  <c r="Z25" i="43"/>
  <c r="Y25" i="43" a="1"/>
  <c r="Y25" i="43" s="1"/>
  <c r="W25" i="43"/>
  <c r="V25" i="43" a="1"/>
  <c r="V25" i="43" s="1"/>
  <c r="BT16" i="43" s="1"/>
  <c r="T25" i="43"/>
  <c r="P25" i="43"/>
  <c r="J25" i="43"/>
  <c r="Q25" i="43" s="1"/>
  <c r="R25" i="43" s="1"/>
  <c r="S25" i="43" s="1"/>
  <c r="E25" i="43"/>
  <c r="AE24" i="43"/>
  <c r="Q24" i="43"/>
  <c r="R24" i="43" s="1"/>
  <c r="S24" i="43" s="1"/>
  <c r="J24" i="43"/>
  <c r="P24" i="43" s="1"/>
  <c r="E24" i="43"/>
  <c r="BL23" i="43"/>
  <c r="BJ25" i="43" s="1"/>
  <c r="BI23" i="43"/>
  <c r="BF23" i="43"/>
  <c r="BC23" i="43"/>
  <c r="AZ23" i="43"/>
  <c r="AW23" i="43"/>
  <c r="AT23" i="43"/>
  <c r="AQ23" i="43"/>
  <c r="AO25" i="43" s="1"/>
  <c r="AN23" i="43"/>
  <c r="AL25" i="43" s="1"/>
  <c r="AK23" i="43"/>
  <c r="AI25" i="43" s="1"/>
  <c r="AH23" i="43"/>
  <c r="AF25" i="43" s="1"/>
  <c r="Q23" i="43"/>
  <c r="R23" i="43" s="1"/>
  <c r="S23" i="43" s="1"/>
  <c r="J23" i="43"/>
  <c r="P23" i="43" s="1"/>
  <c r="E23" i="43"/>
  <c r="BH22" i="43"/>
  <c r="BG22" i="43"/>
  <c r="J22" i="43"/>
  <c r="E22" i="43"/>
  <c r="Q21" i="43"/>
  <c r="R21" i="43" s="1"/>
  <c r="S21" i="43" s="1"/>
  <c r="J21" i="43"/>
  <c r="P21" i="43" s="1"/>
  <c r="E21" i="43"/>
  <c r="BN20" i="43"/>
  <c r="BH20" i="43"/>
  <c r="AY20" i="43"/>
  <c r="BY27" i="43" s="1"/>
  <c r="AP20" i="43"/>
  <c r="BY18" i="43" s="1"/>
  <c r="Q20" i="43"/>
  <c r="R20" i="43" s="1"/>
  <c r="S20" i="43" s="1"/>
  <c r="P20" i="43"/>
  <c r="J20" i="43"/>
  <c r="E20" i="43"/>
  <c r="BH19" i="43"/>
  <c r="AY19" i="43"/>
  <c r="AP19" i="43"/>
  <c r="BT22" i="43" s="1"/>
  <c r="AG19" i="43"/>
  <c r="Q19" i="43"/>
  <c r="R19" i="43" s="1"/>
  <c r="S19" i="43" s="1"/>
  <c r="P19" i="43"/>
  <c r="J19" i="43"/>
  <c r="E19" i="43"/>
  <c r="BN18" i="43"/>
  <c r="P18" i="43"/>
  <c r="J18" i="43"/>
  <c r="Q18" i="43" s="1"/>
  <c r="R18" i="43" s="1"/>
  <c r="S18" i="43" s="1"/>
  <c r="E18" i="43"/>
  <c r="BN17" i="43"/>
  <c r="P17" i="43"/>
  <c r="J17" i="43"/>
  <c r="Q17" i="43" s="1"/>
  <c r="R17" i="43" s="1"/>
  <c r="S17" i="43" s="1"/>
  <c r="E17" i="43"/>
  <c r="BN16" i="43"/>
  <c r="C16" i="43"/>
  <c r="C15" i="43"/>
  <c r="E15" i="43" s="1"/>
  <c r="C14" i="43"/>
  <c r="E14" i="43" s="1"/>
  <c r="C13" i="43"/>
  <c r="BN12" i="43"/>
  <c r="C12" i="43"/>
  <c r="C11" i="43"/>
  <c r="CX10" i="43"/>
  <c r="BN10" i="43"/>
  <c r="J10" i="43"/>
  <c r="C10" i="43"/>
  <c r="CX9" i="43"/>
  <c r="C9" i="43"/>
  <c r="E9" i="43" s="1"/>
  <c r="CX8" i="43"/>
  <c r="CY8" i="43" s="1" a="1"/>
  <c r="CY8" i="43" s="1"/>
  <c r="J8" i="43"/>
  <c r="D8" i="43"/>
  <c r="C8" i="43"/>
  <c r="E8" i="43" s="1"/>
  <c r="J7" i="43"/>
  <c r="D7" i="43"/>
  <c r="C7" i="43"/>
  <c r="E7" i="43" s="1"/>
  <c r="BW6" i="43"/>
  <c r="J6" i="43"/>
  <c r="D6" i="43"/>
  <c r="C6" i="43"/>
  <c r="E6" i="43" s="1"/>
  <c r="C5" i="43"/>
  <c r="E5" i="43" s="1"/>
  <c r="BN4" i="43"/>
  <c r="C4" i="43"/>
  <c r="C3" i="43"/>
  <c r="DF2" i="43"/>
  <c r="BK2" i="43"/>
  <c r="BH2" i="43"/>
  <c r="D3" i="43" s="1"/>
  <c r="D1" i="43" s="1"/>
  <c r="BE2" i="43"/>
  <c r="D4" i="43" s="1"/>
  <c r="J4" i="43" s="1"/>
  <c r="BB2" i="43"/>
  <c r="D5" i="43" s="1"/>
  <c r="J5" i="43" s="1"/>
  <c r="AY2" i="43"/>
  <c r="AV2" i="43"/>
  <c r="AS2" i="43"/>
  <c r="AP2" i="43"/>
  <c r="D9" i="43" s="1"/>
  <c r="J9" i="43" s="1"/>
  <c r="AM2" i="43"/>
  <c r="D10" i="43" s="1"/>
  <c r="AJ2" i="43"/>
  <c r="D11" i="43" s="1"/>
  <c r="J11" i="43" s="1"/>
  <c r="AG2" i="43"/>
  <c r="D12" i="43" s="1"/>
  <c r="J12" i="43" s="1"/>
  <c r="AD2" i="43"/>
  <c r="D13" i="43" s="1"/>
  <c r="J13" i="43" s="1"/>
  <c r="AA2" i="43"/>
  <c r="D14" i="43" s="1"/>
  <c r="J14" i="43" s="1"/>
  <c r="X2" i="43"/>
  <c r="D15" i="43" s="1"/>
  <c r="J15" i="43" s="1"/>
  <c r="U2" i="43"/>
  <c r="D16" i="43" s="1"/>
  <c r="J16" i="43" s="1"/>
  <c r="J2" i="43"/>
  <c r="D2" i="43"/>
  <c r="C2" i="43"/>
  <c r="BK1" i="43"/>
  <c r="BH1" i="43"/>
  <c r="BE1" i="43"/>
  <c r="BB1" i="43"/>
  <c r="AY1" i="43"/>
  <c r="AV1" i="43"/>
  <c r="AS1" i="43"/>
  <c r="AP1" i="43"/>
  <c r="AM1" i="43"/>
  <c r="AJ1" i="43"/>
  <c r="AG1" i="43"/>
  <c r="AD1" i="43"/>
  <c r="AA1" i="43"/>
  <c r="X1" i="43"/>
  <c r="U1" i="43"/>
  <c r="F79" i="17"/>
  <c r="F78" i="17"/>
  <c r="F75" i="17"/>
  <c r="F74" i="17"/>
  <c r="AY71" i="33"/>
  <c r="CT13" i="33" s="1"/>
  <c r="AH8" i="33"/>
  <c r="AE8" i="33"/>
  <c r="F51" i="33"/>
  <c r="F49" i="33"/>
  <c r="F47" i="33"/>
  <c r="F46" i="33"/>
  <c r="F42" i="33"/>
  <c r="F39" i="33"/>
  <c r="F38" i="33"/>
  <c r="F37" i="33"/>
  <c r="F87" i="17"/>
  <c r="F86" i="17"/>
  <c r="F85" i="17"/>
  <c r="F84" i="17"/>
  <c r="F69" i="17"/>
  <c r="F68" i="17"/>
  <c r="F67" i="17"/>
  <c r="F49" i="16"/>
  <c r="F48" i="16"/>
  <c r="F47" i="16"/>
  <c r="F46" i="16"/>
  <c r="F45" i="16"/>
  <c r="F41" i="16"/>
  <c r="F40" i="16"/>
  <c r="F39" i="16"/>
  <c r="F38" i="16"/>
  <c r="F37" i="16"/>
  <c r="F43" i="19"/>
  <c r="F42" i="19"/>
  <c r="F41" i="19"/>
  <c r="F40" i="19"/>
  <c r="F39" i="19"/>
  <c r="F38" i="19"/>
  <c r="F37" i="19"/>
  <c r="F5" i="40"/>
  <c r="E5" i="40"/>
  <c r="D5" i="40"/>
  <c r="G5" i="40"/>
  <c r="S44" i="39"/>
  <c r="S43" i="39"/>
  <c r="S42" i="39"/>
  <c r="S41" i="39"/>
  <c r="S40" i="39"/>
  <c r="N39" i="39"/>
  <c r="N38" i="39"/>
  <c r="N37" i="39"/>
  <c r="M33" i="39" a="1"/>
  <c r="M33" i="39" s="1"/>
  <c r="L33" i="39" a="1"/>
  <c r="L33" i="39" s="1"/>
  <c r="M32" i="39" a="1"/>
  <c r="M32" i="39" s="1"/>
  <c r="L32" i="39" a="1"/>
  <c r="L32" i="39" s="1"/>
  <c r="M31" i="39" a="1"/>
  <c r="M31" i="39" s="1"/>
  <c r="L31" i="39" a="1"/>
  <c r="L31" i="39" s="1"/>
  <c r="M30" i="39" a="1"/>
  <c r="M30" i="39" s="1"/>
  <c r="L30" i="39" a="1"/>
  <c r="L30" i="39" s="1"/>
  <c r="M29" i="39" a="1"/>
  <c r="M29" i="39" s="1"/>
  <c r="L29" i="39" a="1"/>
  <c r="L29" i="39" s="1"/>
  <c r="L28" i="39" a="1"/>
  <c r="L28" i="39" s="1"/>
  <c r="J17" i="39" a="1"/>
  <c r="J17" i="39" s="1"/>
  <c r="J16" i="39" a="1"/>
  <c r="J16" i="39" s="1"/>
  <c r="J15" i="39" a="1"/>
  <c r="J15" i="39" s="1"/>
  <c r="J14" i="39" a="1"/>
  <c r="J14" i="39" s="1"/>
  <c r="J12" i="39" s="1" a="1"/>
  <c r="J12" i="39" s="1"/>
  <c r="C12" i="39" a="1"/>
  <c r="C12" i="39" s="1"/>
  <c r="I11" i="39" a="1"/>
  <c r="I11" i="39" s="1"/>
  <c r="G9" i="39"/>
  <c r="C7" i="39"/>
  <c r="M5" i="39"/>
  <c r="N36" i="39" s="1"/>
  <c r="N35" i="39" s="1"/>
  <c r="G9" i="38"/>
  <c r="D12" i="38" s="1"/>
  <c r="AI4" i="19"/>
  <c r="AI5" i="19" s="1"/>
  <c r="BE147" i="19" a="1"/>
  <c r="BE147" i="19" s="1"/>
  <c r="BE157" i="19" s="1"/>
  <c r="C41" i="40" a="1"/>
  <c r="F15" i="40" a="1"/>
  <c r="B23" i="40" a="1"/>
  <c r="E6" i="40" a="1"/>
  <c r="B36" i="40" a="1"/>
  <c r="F6" i="40" a="1"/>
  <c r="B63" i="40" a="1"/>
  <c r="B28" i="40" a="1"/>
  <c r="B40" i="40" a="1"/>
  <c r="D89" i="40" a="1"/>
  <c r="F25" i="40" a="1"/>
  <c r="B38" i="40" a="1"/>
  <c r="B13" i="40" a="1"/>
  <c r="B32" i="40" a="1"/>
  <c r="G15" i="40" a="1"/>
  <c r="F41" i="40" a="1"/>
  <c r="B9" i="40" a="1"/>
  <c r="D25" i="40" a="1"/>
  <c r="E25" i="40" a="1"/>
  <c r="B39" i="40" a="1"/>
  <c r="B62" i="40" a="1"/>
  <c r="B22" i="40" a="1"/>
  <c r="B12" i="40" a="1"/>
  <c r="D65" i="40" a="1"/>
  <c r="B70" i="40" a="1"/>
  <c r="G65" i="40" a="1"/>
  <c r="B78" i="40" a="1"/>
  <c r="B69" i="40" a="1"/>
  <c r="E15" i="40" a="1"/>
  <c r="C89" i="40" a="1"/>
  <c r="B29" i="40" a="1"/>
  <c r="B19" i="40" a="1"/>
  <c r="C15" i="40" a="1"/>
  <c r="E41" i="40" a="1"/>
  <c r="B11" i="40" a="1"/>
  <c r="B61" i="40" a="1"/>
  <c r="C6" i="40" a="1"/>
  <c r="B45" i="40" a="1"/>
  <c r="G89" i="40" a="1"/>
  <c r="B55" i="40" a="1"/>
  <c r="B14" i="40" a="1"/>
  <c r="B37" i="40" a="1"/>
  <c r="C65" i="40" a="1"/>
  <c r="B64" i="40" a="1"/>
  <c r="D6" i="40" a="1"/>
  <c r="B18" i="40" a="1"/>
  <c r="B68" i="40" a="1"/>
  <c r="B52" i="40" a="1"/>
  <c r="B30" i="40" a="1"/>
  <c r="G6" i="40" a="1"/>
  <c r="F65" i="40" a="1"/>
  <c r="B46" i="40" a="1"/>
  <c r="B10" i="40" a="1"/>
  <c r="E89" i="40" a="1"/>
  <c r="B51" i="40" a="1"/>
  <c r="B56" i="40" a="1"/>
  <c r="G41" i="40" a="1"/>
  <c r="C25" i="40" a="1"/>
  <c r="B20" i="40" a="1"/>
  <c r="E65" i="40" a="1"/>
  <c r="F89" i="40" a="1"/>
  <c r="B31" i="40" a="1"/>
  <c r="B24" i="40" a="1"/>
  <c r="B44" i="40" a="1"/>
  <c r="B21" i="40" a="1"/>
  <c r="D41" i="40" a="1"/>
  <c r="D15" i="40" a="1"/>
  <c r="G25" i="40" a="1"/>
  <c r="G52" i="33" l="1"/>
  <c r="F52" i="33"/>
  <c r="G53" i="33"/>
  <c r="F53" i="33"/>
  <c r="G89" i="40"/>
  <c r="C89" i="40"/>
  <c r="D89" i="40"/>
  <c r="F89" i="40"/>
  <c r="E89" i="40"/>
  <c r="BX36" i="43"/>
  <c r="BX18" i="43"/>
  <c r="BV18" i="43"/>
  <c r="G39" i="43" s="1"/>
  <c r="CM4" i="43"/>
  <c r="CR5" i="43"/>
  <c r="BY36" i="43"/>
  <c r="BV22" i="43"/>
  <c r="BR22" i="43"/>
  <c r="CT4" i="43"/>
  <c r="CK5" i="43"/>
  <c r="BR31" i="43"/>
  <c r="Q22" i="43"/>
  <c r="R22" i="43" s="1"/>
  <c r="S22" i="43" s="1"/>
  <c r="P22" i="43"/>
  <c r="CY36" i="43"/>
  <c r="BU12" i="43"/>
  <c r="CY70" i="43"/>
  <c r="E12" i="43"/>
  <c r="BU18" i="43"/>
  <c r="J3" i="43"/>
  <c r="E2" i="43"/>
  <c r="C1" i="43"/>
  <c r="E10" i="43"/>
  <c r="E13" i="43"/>
  <c r="BU10" i="43"/>
  <c r="W35" i="43"/>
  <c r="DB1157" i="43" s="1"/>
  <c r="E3" i="43"/>
  <c r="E4" i="43"/>
  <c r="E16" i="43"/>
  <c r="BR40" i="43"/>
  <c r="BZ40" i="43"/>
  <c r="BW38" i="43"/>
  <c r="BV40" i="43"/>
  <c r="BT40" i="43"/>
  <c r="V37" i="43"/>
  <c r="DC77" i="43" s="1"/>
  <c r="DJ77" i="43" s="1"/>
  <c r="BU20" i="43"/>
  <c r="V38" i="43"/>
  <c r="DC29" i="43" s="1"/>
  <c r="CX19" i="43"/>
  <c r="CX20" i="43" s="1"/>
  <c r="E11" i="43"/>
  <c r="V35" i="43"/>
  <c r="BY38" i="43"/>
  <c r="BM19" i="43"/>
  <c r="BY20" i="43"/>
  <c r="BT31" i="43"/>
  <c r="BZ22" i="43"/>
  <c r="BV31" i="43"/>
  <c r="BV27" i="43"/>
  <c r="BW29" i="43"/>
  <c r="BV36" i="43"/>
  <c r="BX27" i="43"/>
  <c r="BZ31" i="43"/>
  <c r="BW20" i="43"/>
  <c r="BY29" i="43"/>
  <c r="CM13" i="33"/>
  <c r="B64" i="40"/>
  <c r="B63" i="40"/>
  <c r="B62" i="40"/>
  <c r="B61" i="40"/>
  <c r="B56" i="40"/>
  <c r="B55" i="40"/>
  <c r="B52" i="40"/>
  <c r="B51" i="40"/>
  <c r="B46" i="40"/>
  <c r="B45" i="40"/>
  <c r="B44" i="40"/>
  <c r="G41" i="40"/>
  <c r="D41" i="40"/>
  <c r="E41" i="40"/>
  <c r="F41" i="40"/>
  <c r="C41" i="40"/>
  <c r="B70" i="40"/>
  <c r="G65" i="40"/>
  <c r="F65" i="40"/>
  <c r="E65" i="40"/>
  <c r="D65" i="40"/>
  <c r="B68" i="40"/>
  <c r="C65" i="40"/>
  <c r="B78" i="40"/>
  <c r="B69" i="40"/>
  <c r="B28" i="40"/>
  <c r="B30" i="40"/>
  <c r="B38" i="40"/>
  <c r="D25" i="40"/>
  <c r="B36" i="40"/>
  <c r="E25" i="40"/>
  <c r="B31" i="40"/>
  <c r="B32" i="40"/>
  <c r="F25" i="40"/>
  <c r="B29" i="40"/>
  <c r="G25" i="40"/>
  <c r="B37" i="40"/>
  <c r="B39" i="40"/>
  <c r="B40" i="40"/>
  <c r="C25" i="40"/>
  <c r="B18" i="40"/>
  <c r="B19" i="40"/>
  <c r="B20" i="40"/>
  <c r="B21" i="40"/>
  <c r="B22" i="40"/>
  <c r="B23" i="40"/>
  <c r="B24" i="40"/>
  <c r="D15" i="40"/>
  <c r="E15" i="40"/>
  <c r="F15" i="40"/>
  <c r="G15" i="40"/>
  <c r="C15" i="40"/>
  <c r="C16" i="40" s="1"/>
  <c r="B14" i="40"/>
  <c r="B13" i="40"/>
  <c r="B12" i="40"/>
  <c r="B11" i="40"/>
  <c r="B10" i="40"/>
  <c r="B9" i="40"/>
  <c r="G6" i="40"/>
  <c r="F6" i="40"/>
  <c r="E6" i="40"/>
  <c r="D6" i="40"/>
  <c r="D7" i="40" s="1"/>
  <c r="C6" i="40"/>
  <c r="N29" i="39"/>
  <c r="L12" i="38"/>
  <c r="B84" i="40" a="1"/>
  <c r="B83" i="40" a="1"/>
  <c r="G43" i="43" l="1"/>
  <c r="G54" i="43"/>
  <c r="G53" i="43"/>
  <c r="F54" i="43"/>
  <c r="F53" i="43"/>
  <c r="B84" i="40"/>
  <c r="B83" i="40"/>
  <c r="DC27" i="43"/>
  <c r="DC48" i="43"/>
  <c r="DC30" i="43"/>
  <c r="DC56" i="43"/>
  <c r="DC34" i="43"/>
  <c r="DC62" i="43"/>
  <c r="DI62" i="43" s="1"/>
  <c r="DC21" i="43"/>
  <c r="DC44" i="43"/>
  <c r="DD44" i="43" s="1"/>
  <c r="DC37" i="43"/>
  <c r="DC98" i="43"/>
  <c r="DC180" i="43"/>
  <c r="DC158" i="43"/>
  <c r="DJ158" i="43" s="1"/>
  <c r="DC100" i="43"/>
  <c r="DC145" i="43"/>
  <c r="DE145" i="43" s="1"/>
  <c r="DC155" i="43"/>
  <c r="DC179" i="43"/>
  <c r="DD179" i="43" s="1"/>
  <c r="DC81" i="43"/>
  <c r="DC101" i="43"/>
  <c r="DC57" i="43"/>
  <c r="DD57" i="43" s="1"/>
  <c r="DC36" i="43"/>
  <c r="DC63" i="43"/>
  <c r="DC35" i="43"/>
  <c r="DD35" i="43" s="1"/>
  <c r="DC68" i="43"/>
  <c r="DC32" i="43"/>
  <c r="DE32" i="43" s="1"/>
  <c r="DC58" i="43"/>
  <c r="DC40" i="43"/>
  <c r="DC144" i="43"/>
  <c r="DC184" i="43"/>
  <c r="DC162" i="43"/>
  <c r="DC108" i="43"/>
  <c r="DE108" i="43" s="1"/>
  <c r="DC94" i="43"/>
  <c r="DC157" i="43"/>
  <c r="DD157" i="43" s="1"/>
  <c r="DC181" i="43"/>
  <c r="DC85" i="43"/>
  <c r="DC109" i="43"/>
  <c r="DC23" i="43"/>
  <c r="DI23" i="43" s="1"/>
  <c r="DC14" i="43"/>
  <c r="DC200" i="43"/>
  <c r="DJ200" i="43" s="1"/>
  <c r="DC147" i="43"/>
  <c r="DC42" i="43"/>
  <c r="DE42" i="43" s="1"/>
  <c r="DC46" i="43"/>
  <c r="DC66" i="43"/>
  <c r="DC45" i="43"/>
  <c r="DC71" i="43"/>
  <c r="DC51" i="43"/>
  <c r="DC61" i="43"/>
  <c r="DD61" i="43" s="1"/>
  <c r="DC47" i="43"/>
  <c r="DC198" i="43"/>
  <c r="DJ198" i="43" s="1"/>
  <c r="DC188" i="43"/>
  <c r="DC166" i="43"/>
  <c r="DC116" i="43"/>
  <c r="DC102" i="43"/>
  <c r="DC159" i="43"/>
  <c r="DC183" i="43"/>
  <c r="DD183" i="43" s="1"/>
  <c r="DC88" i="43"/>
  <c r="DC117" i="43"/>
  <c r="DI117" i="43" s="1"/>
  <c r="DC10" i="43"/>
  <c r="DD10" i="43" s="1"/>
  <c r="DC119" i="43"/>
  <c r="DC8" i="43"/>
  <c r="DC53" i="43"/>
  <c r="DI53" i="43" s="1"/>
  <c r="DC80" i="43"/>
  <c r="DC52" i="43"/>
  <c r="DD52" i="43" s="1"/>
  <c r="DC76" i="43"/>
  <c r="DC55" i="43"/>
  <c r="DD55" i="43" s="1"/>
  <c r="DC84" i="43"/>
  <c r="DC54" i="43"/>
  <c r="DC196" i="43"/>
  <c r="DC192" i="43"/>
  <c r="DC170" i="43"/>
  <c r="DC124" i="43"/>
  <c r="DE124" i="43" s="1"/>
  <c r="DC110" i="43"/>
  <c r="DC161" i="43"/>
  <c r="DD161" i="43" s="1"/>
  <c r="DC185" i="43"/>
  <c r="DC91" i="43"/>
  <c r="DC125" i="43"/>
  <c r="DC64" i="43"/>
  <c r="DI64" i="43" s="1"/>
  <c r="DC86" i="43"/>
  <c r="DC96" i="43"/>
  <c r="DE96" i="43" s="1"/>
  <c r="DC82" i="43"/>
  <c r="DC65" i="43"/>
  <c r="DE65" i="43" s="1"/>
  <c r="DC67" i="43"/>
  <c r="DC148" i="43"/>
  <c r="DC136" i="43"/>
  <c r="DC174" i="43"/>
  <c r="DJ174" i="43" s="1"/>
  <c r="DC132" i="43"/>
  <c r="DC118" i="43"/>
  <c r="DE118" i="43" s="1"/>
  <c r="DC163" i="43"/>
  <c r="DC187" i="43"/>
  <c r="DD187" i="43" s="1"/>
  <c r="DC99" i="43"/>
  <c r="DC133" i="43"/>
  <c r="DC50" i="43"/>
  <c r="DC171" i="43"/>
  <c r="DC59" i="43"/>
  <c r="DC43" i="43"/>
  <c r="DJ43" i="43" s="1"/>
  <c r="DC120" i="43"/>
  <c r="DC106" i="43"/>
  <c r="DJ106" i="43" s="1"/>
  <c r="DC152" i="43"/>
  <c r="DC178" i="43"/>
  <c r="DC126" i="43"/>
  <c r="DC165" i="43"/>
  <c r="DC189" i="43"/>
  <c r="DC141" i="43"/>
  <c r="DI141" i="43" s="1"/>
  <c r="DC190" i="43"/>
  <c r="DC69" i="43"/>
  <c r="DI69" i="43" s="1"/>
  <c r="DC4" i="43"/>
  <c r="DC182" i="43"/>
  <c r="DC138" i="43"/>
  <c r="DC2" i="43"/>
  <c r="DJ2" i="43" s="1"/>
  <c r="DC72" i="43"/>
  <c r="DC95" i="43"/>
  <c r="DI95" i="43" s="1"/>
  <c r="DC70" i="43"/>
  <c r="DC143" i="43"/>
  <c r="DI143" i="43" s="1"/>
  <c r="DC140" i="43"/>
  <c r="DC107" i="43"/>
  <c r="DC12" i="43"/>
  <c r="DC74" i="43"/>
  <c r="DC5" i="43"/>
  <c r="DC127" i="43"/>
  <c r="DI127" i="43" s="1"/>
  <c r="DC104" i="43"/>
  <c r="DC111" i="43"/>
  <c r="DI111" i="43" s="1"/>
  <c r="DC9" i="43"/>
  <c r="DC73" i="43"/>
  <c r="DC156" i="43"/>
  <c r="DC79" i="43"/>
  <c r="DC97" i="43"/>
  <c r="DC134" i="43"/>
  <c r="DD134" i="43" s="1"/>
  <c r="DC167" i="43"/>
  <c r="DC191" i="43"/>
  <c r="DD191" i="43" s="1"/>
  <c r="DC115" i="43"/>
  <c r="DC60" i="43"/>
  <c r="DC13" i="43"/>
  <c r="DC103" i="43"/>
  <c r="DD103" i="43" s="1"/>
  <c r="DC6" i="43"/>
  <c r="DC33" i="43"/>
  <c r="DE33" i="43" s="1"/>
  <c r="DC146" i="43"/>
  <c r="DC122" i="43"/>
  <c r="DD122" i="43" s="1"/>
  <c r="DC11" i="43"/>
  <c r="DC75" i="43"/>
  <c r="DC160" i="43"/>
  <c r="DC112" i="43"/>
  <c r="DC186" i="43"/>
  <c r="DC105" i="43"/>
  <c r="DE105" i="43" s="1"/>
  <c r="DC142" i="43"/>
  <c r="DC169" i="43"/>
  <c r="DE169" i="43" s="1"/>
  <c r="DC193" i="43"/>
  <c r="DC123" i="43"/>
  <c r="DC7" i="43"/>
  <c r="DC135" i="43"/>
  <c r="DC164" i="43"/>
  <c r="DC113" i="43"/>
  <c r="DE113" i="43" s="1"/>
  <c r="DC131" i="43"/>
  <c r="DC15" i="43"/>
  <c r="DI15" i="43" s="1"/>
  <c r="DC39" i="43"/>
  <c r="DC16" i="43"/>
  <c r="DC38" i="43"/>
  <c r="DC19" i="43"/>
  <c r="DE19" i="43" s="1"/>
  <c r="DC20" i="43"/>
  <c r="DC26" i="43"/>
  <c r="DJ26" i="43" s="1"/>
  <c r="DC90" i="43"/>
  <c r="DC168" i="43"/>
  <c r="DJ168" i="43" s="1"/>
  <c r="DC130" i="43"/>
  <c r="DC194" i="43"/>
  <c r="DC121" i="43"/>
  <c r="DC149" i="43"/>
  <c r="DC173" i="43"/>
  <c r="DC197" i="43"/>
  <c r="DE197" i="43" s="1"/>
  <c r="DC139" i="43"/>
  <c r="DC114" i="43"/>
  <c r="DJ114" i="43" s="1"/>
  <c r="DC24" i="43"/>
  <c r="DC17" i="43"/>
  <c r="DC41" i="43"/>
  <c r="DC22" i="43"/>
  <c r="DC28" i="43"/>
  <c r="DC128" i="43"/>
  <c r="DD128" i="43" s="1"/>
  <c r="DC172" i="43"/>
  <c r="DC150" i="43"/>
  <c r="DJ150" i="43" s="1"/>
  <c r="DC89" i="43"/>
  <c r="DC129" i="43"/>
  <c r="DC151" i="43"/>
  <c r="DC175" i="43"/>
  <c r="DD175" i="43" s="1"/>
  <c r="DC199" i="43"/>
  <c r="DC87" i="43"/>
  <c r="DJ87" i="43" s="1"/>
  <c r="DC25" i="43"/>
  <c r="DC195" i="43"/>
  <c r="DJ195" i="43" s="1"/>
  <c r="DC49" i="43"/>
  <c r="DC3" i="43"/>
  <c r="DC31" i="43"/>
  <c r="DC83" i="43"/>
  <c r="DC176" i="43"/>
  <c r="DC154" i="43"/>
  <c r="DJ154" i="43" s="1"/>
  <c r="DC92" i="43"/>
  <c r="DC137" i="43"/>
  <c r="DE137" i="43" s="1"/>
  <c r="DC153" i="43"/>
  <c r="DC177" i="43"/>
  <c r="DC78" i="43"/>
  <c r="DC93" i="43"/>
  <c r="DC18" i="43"/>
  <c r="DI18" i="43" s="1"/>
  <c r="F51" i="43"/>
  <c r="F41" i="43"/>
  <c r="F38" i="43"/>
  <c r="F37" i="43"/>
  <c r="G38" i="43"/>
  <c r="G37" i="43"/>
  <c r="G42" i="43"/>
  <c r="G41" i="43"/>
  <c r="G40" i="43"/>
  <c r="F39" i="43"/>
  <c r="F40" i="43"/>
  <c r="F42" i="43"/>
  <c r="DC589" i="43"/>
  <c r="DE10" i="43"/>
  <c r="G46" i="43"/>
  <c r="G45" i="43"/>
  <c r="G44" i="43"/>
  <c r="F46" i="43"/>
  <c r="F45" i="43"/>
  <c r="F43" i="43"/>
  <c r="F44" i="43"/>
  <c r="F47" i="43"/>
  <c r="F49" i="43"/>
  <c r="F48" i="43"/>
  <c r="G50" i="43"/>
  <c r="G49" i="43"/>
  <c r="G48" i="43"/>
  <c r="G47" i="43"/>
  <c r="F50" i="43"/>
  <c r="D90" i="40"/>
  <c r="D105" i="40" a="1"/>
  <c r="D105" i="40" s="1"/>
  <c r="D104" i="40" a="1"/>
  <c r="D104" i="40" s="1"/>
  <c r="D103" i="40" a="1"/>
  <c r="D103" i="40" s="1"/>
  <c r="D102" i="40" a="1"/>
  <c r="D102" i="40" s="1"/>
  <c r="D101" i="40" a="1"/>
  <c r="D101" i="40" s="1"/>
  <c r="D100" i="40" a="1"/>
  <c r="D100" i="40" s="1"/>
  <c r="D99" i="40" a="1"/>
  <c r="D99" i="40" s="1"/>
  <c r="D98" i="40" a="1"/>
  <c r="D98" i="40" s="1"/>
  <c r="D97" i="40" a="1"/>
  <c r="D97" i="40" s="1"/>
  <c r="D96" i="40" a="1"/>
  <c r="D96" i="40" s="1"/>
  <c r="D95" i="40" a="1"/>
  <c r="D95" i="40" s="1"/>
  <c r="D94" i="40" a="1"/>
  <c r="D94" i="40" s="1"/>
  <c r="D93" i="40" a="1"/>
  <c r="D93" i="40" s="1"/>
  <c r="D92" i="40" a="1"/>
  <c r="D92" i="40" s="1"/>
  <c r="D91" i="40" a="1"/>
  <c r="D91" i="40" s="1"/>
  <c r="C90" i="40"/>
  <c r="G90" i="40"/>
  <c r="G105" i="40" a="1"/>
  <c r="G105" i="40" s="1"/>
  <c r="G104" i="40" a="1"/>
  <c r="G104" i="40" s="1"/>
  <c r="G103" i="40" a="1"/>
  <c r="G103" i="40" s="1"/>
  <c r="G102" i="40" a="1"/>
  <c r="G102" i="40" s="1"/>
  <c r="G101" i="40" a="1"/>
  <c r="G101" i="40" s="1"/>
  <c r="G100" i="40" a="1"/>
  <c r="G100" i="40" s="1"/>
  <c r="G99" i="40" a="1"/>
  <c r="G99" i="40" s="1"/>
  <c r="G98" i="40" a="1"/>
  <c r="G98" i="40" s="1"/>
  <c r="G97" i="40" a="1"/>
  <c r="G97" i="40" s="1"/>
  <c r="G96" i="40" a="1"/>
  <c r="G96" i="40" s="1"/>
  <c r="G95" i="40" a="1"/>
  <c r="G95" i="40" s="1"/>
  <c r="G94" i="40" a="1"/>
  <c r="G94" i="40" s="1"/>
  <c r="G93" i="40" a="1"/>
  <c r="G93" i="40" s="1"/>
  <c r="G92" i="40" a="1"/>
  <c r="G92" i="40" s="1"/>
  <c r="G91" i="40" a="1"/>
  <c r="G91" i="40" s="1"/>
  <c r="E90" i="40"/>
  <c r="E105" i="40" a="1"/>
  <c r="E105" i="40" s="1"/>
  <c r="E104" i="40" a="1"/>
  <c r="E104" i="40" s="1"/>
  <c r="E103" i="40" a="1"/>
  <c r="E103" i="40" s="1"/>
  <c r="E102" i="40" a="1"/>
  <c r="E102" i="40" s="1"/>
  <c r="E101" i="40" a="1"/>
  <c r="E101" i="40" s="1"/>
  <c r="E100" i="40" a="1"/>
  <c r="E100" i="40" s="1"/>
  <c r="E99" i="40" a="1"/>
  <c r="E99" i="40" s="1"/>
  <c r="E98" i="40" a="1"/>
  <c r="E98" i="40" s="1"/>
  <c r="E97" i="40" a="1"/>
  <c r="E97" i="40" s="1"/>
  <c r="E96" i="40" a="1"/>
  <c r="E96" i="40" s="1"/>
  <c r="E95" i="40" a="1"/>
  <c r="E95" i="40" s="1"/>
  <c r="E94" i="40" a="1"/>
  <c r="E94" i="40" s="1"/>
  <c r="E93" i="40" a="1"/>
  <c r="E93" i="40" s="1"/>
  <c r="E92" i="40" a="1"/>
  <c r="E92" i="40" s="1"/>
  <c r="E91" i="40" a="1"/>
  <c r="E91" i="40" s="1"/>
  <c r="F90" i="40"/>
  <c r="F105" i="40" a="1"/>
  <c r="F105" i="40" s="1"/>
  <c r="F104" i="40" a="1"/>
  <c r="F104" i="40" s="1"/>
  <c r="F103" i="40" a="1"/>
  <c r="F103" i="40" s="1"/>
  <c r="F102" i="40" a="1"/>
  <c r="F102" i="40" s="1"/>
  <c r="F101" i="40" a="1"/>
  <c r="F101" i="40" s="1"/>
  <c r="F100" i="40" a="1"/>
  <c r="F100" i="40" s="1"/>
  <c r="F99" i="40" a="1"/>
  <c r="F99" i="40" s="1"/>
  <c r="F98" i="40" a="1"/>
  <c r="F98" i="40" s="1"/>
  <c r="F97" i="40" a="1"/>
  <c r="F97" i="40" s="1"/>
  <c r="F96" i="40" a="1"/>
  <c r="F96" i="40" s="1"/>
  <c r="F95" i="40" a="1"/>
  <c r="F95" i="40" s="1"/>
  <c r="F94" i="40" a="1"/>
  <c r="F94" i="40" s="1"/>
  <c r="F93" i="40" a="1"/>
  <c r="F93" i="40" s="1"/>
  <c r="F92" i="40" a="1"/>
  <c r="F92" i="40" s="1"/>
  <c r="F91" i="40" a="1"/>
  <c r="F91" i="40" s="1"/>
  <c r="DC451" i="43"/>
  <c r="DE451" i="43" s="1"/>
  <c r="DC371" i="43"/>
  <c r="DC390" i="43"/>
  <c r="DC599" i="43"/>
  <c r="DD599" i="43" s="1"/>
  <c r="DC204" i="43"/>
  <c r="DC542" i="43"/>
  <c r="DD542" i="43" s="1"/>
  <c r="DC467" i="43"/>
  <c r="DC406" i="43"/>
  <c r="DJ406" i="43" s="1"/>
  <c r="DC258" i="43"/>
  <c r="DD64" i="43"/>
  <c r="DC535" i="43"/>
  <c r="DC356" i="43"/>
  <c r="DJ356" i="43" s="1"/>
  <c r="DC227" i="43"/>
  <c r="DE227" i="43" s="1"/>
  <c r="DC243" i="43"/>
  <c r="DC355" i="43"/>
  <c r="CX17" i="43"/>
  <c r="CX18" i="43" s="1"/>
  <c r="CY18" i="43" s="1"/>
  <c r="DB103" i="43"/>
  <c r="DB69" i="43"/>
  <c r="DB30" i="43"/>
  <c r="DB79" i="43"/>
  <c r="DB2" i="43"/>
  <c r="DC290" i="43"/>
  <c r="DC334" i="43"/>
  <c r="DE334" i="43" s="1"/>
  <c r="DC256" i="43"/>
  <c r="DE256" i="43" s="1"/>
  <c r="DC259" i="43"/>
  <c r="DE259" i="43" s="1"/>
  <c r="DC564" i="43"/>
  <c r="DC489" i="43"/>
  <c r="DC422" i="43"/>
  <c r="DE422" i="43" s="1"/>
  <c r="DC574" i="43"/>
  <c r="DE64" i="43"/>
  <c r="DC222" i="43"/>
  <c r="DD222" i="43" s="1"/>
  <c r="DC580" i="43"/>
  <c r="DJ580" i="43" s="1"/>
  <c r="DC275" i="43"/>
  <c r="DE275" i="43" s="1"/>
  <c r="DC548" i="43"/>
  <c r="DE548" i="43" s="1"/>
  <c r="DC544" i="43"/>
  <c r="DE544" i="43" s="1"/>
  <c r="DC438" i="43"/>
  <c r="DJ438" i="43" s="1"/>
  <c r="DC561" i="43"/>
  <c r="DJ561" i="43" s="1"/>
  <c r="DJ64" i="43"/>
  <c r="DC324" i="43"/>
  <c r="DC328" i="43"/>
  <c r="DJ328" i="43" s="1"/>
  <c r="DC291" i="43"/>
  <c r="DE291" i="43" s="1"/>
  <c r="DC387" i="43"/>
  <c r="DE387" i="43" s="1"/>
  <c r="DC540" i="43"/>
  <c r="DC454" i="43"/>
  <c r="DJ454" i="43" s="1"/>
  <c r="DC593" i="43"/>
  <c r="DJ593" i="43" s="1"/>
  <c r="DD18" i="43"/>
  <c r="DC306" i="43"/>
  <c r="DE306" i="43" s="1"/>
  <c r="DC230" i="43"/>
  <c r="DC294" i="43"/>
  <c r="DC307" i="43"/>
  <c r="DC403" i="43"/>
  <c r="DC500" i="43"/>
  <c r="DE500" i="43" s="1"/>
  <c r="DC470" i="43"/>
  <c r="DJ18" i="43"/>
  <c r="DC322" i="43"/>
  <c r="DJ322" i="43" s="1"/>
  <c r="DC348" i="43"/>
  <c r="DJ348" i="43" s="1"/>
  <c r="DC498" i="43"/>
  <c r="DE498" i="43" s="1"/>
  <c r="DC323" i="43"/>
  <c r="DD323" i="43" s="1"/>
  <c r="DC419" i="43"/>
  <c r="DJ419" i="43" s="1"/>
  <c r="DC560" i="43"/>
  <c r="DD560" i="43" s="1"/>
  <c r="DC495" i="43"/>
  <c r="DJ495" i="43" s="1"/>
  <c r="DC270" i="43"/>
  <c r="DC242" i="43"/>
  <c r="DC211" i="43"/>
  <c r="DE211" i="43" s="1"/>
  <c r="DC339" i="43"/>
  <c r="DE339" i="43" s="1"/>
  <c r="DC435" i="43"/>
  <c r="DD435" i="43" s="1"/>
  <c r="DC374" i="43"/>
  <c r="DD374" i="43" s="1"/>
  <c r="DC549" i="43"/>
  <c r="DD549" i="43" s="1"/>
  <c r="DC232" i="43"/>
  <c r="DE232" i="43" s="1"/>
  <c r="DC248" i="43"/>
  <c r="DD248" i="43" s="1"/>
  <c r="DC338" i="43"/>
  <c r="DJ338" i="43" s="1"/>
  <c r="DC274" i="43"/>
  <c r="DD274" i="43" s="1"/>
  <c r="DC220" i="43"/>
  <c r="DC350" i="43"/>
  <c r="DC246" i="43"/>
  <c r="DC364" i="43"/>
  <c r="DE364" i="43" s="1"/>
  <c r="DC272" i="43"/>
  <c r="DC202" i="43"/>
  <c r="DC344" i="43"/>
  <c r="DJ344" i="43" s="1"/>
  <c r="DC310" i="43"/>
  <c r="DJ310" i="43" s="1"/>
  <c r="DC531" i="43"/>
  <c r="DE531" i="43" s="1"/>
  <c r="DC213" i="43"/>
  <c r="DE213" i="43" s="1"/>
  <c r="DC229" i="43"/>
  <c r="DD229" i="43" s="1"/>
  <c r="DC245" i="43"/>
  <c r="DE245" i="43" s="1"/>
  <c r="DC261" i="43"/>
  <c r="DE261" i="43" s="1"/>
  <c r="DC277" i="43"/>
  <c r="DC293" i="43"/>
  <c r="DC309" i="43"/>
  <c r="DD309" i="43" s="1"/>
  <c r="DC325" i="43"/>
  <c r="DE325" i="43" s="1"/>
  <c r="DC341" i="43"/>
  <c r="DE341" i="43" s="1"/>
  <c r="DC357" i="43"/>
  <c r="DD357" i="43" s="1"/>
  <c r="DC373" i="43"/>
  <c r="DE373" i="43" s="1"/>
  <c r="DC490" i="43"/>
  <c r="DD490" i="43" s="1"/>
  <c r="DC592" i="43"/>
  <c r="DE592" i="43" s="1"/>
  <c r="DC389" i="43"/>
  <c r="DD389" i="43" s="1"/>
  <c r="DC405" i="43"/>
  <c r="DE405" i="43" s="1"/>
  <c r="DC421" i="43"/>
  <c r="DE421" i="43" s="1"/>
  <c r="DC437" i="43"/>
  <c r="DC453" i="43"/>
  <c r="DE453" i="43" s="1"/>
  <c r="DC469" i="43"/>
  <c r="DE469" i="43" s="1"/>
  <c r="DC493" i="43"/>
  <c r="DC559" i="43"/>
  <c r="DE559" i="43" s="1"/>
  <c r="DC551" i="43"/>
  <c r="DE551" i="43" s="1"/>
  <c r="DC504" i="43"/>
  <c r="DE504" i="43" s="1"/>
  <c r="DC568" i="43"/>
  <c r="DE568" i="43" s="1"/>
  <c r="DC376" i="43"/>
  <c r="DD376" i="43" s="1"/>
  <c r="DC392" i="43"/>
  <c r="DJ392" i="43" s="1"/>
  <c r="DC408" i="43"/>
  <c r="DJ408" i="43" s="1"/>
  <c r="DC424" i="43"/>
  <c r="DJ424" i="43" s="1"/>
  <c r="DC440" i="43"/>
  <c r="DC456" i="43"/>
  <c r="DC472" i="43"/>
  <c r="DJ472" i="43" s="1"/>
  <c r="DC499" i="43"/>
  <c r="DJ499" i="43" s="1"/>
  <c r="DC555" i="43"/>
  <c r="DE555" i="43" s="1"/>
  <c r="DC514" i="43"/>
  <c r="DC546" i="43"/>
  <c r="DJ546" i="43" s="1"/>
  <c r="DC578" i="43"/>
  <c r="DE578" i="43" s="1"/>
  <c r="DC565" i="43"/>
  <c r="DJ565" i="43" s="1"/>
  <c r="DC597" i="43"/>
  <c r="DE597" i="43" s="1"/>
  <c r="CR4" i="43"/>
  <c r="DC372" i="43"/>
  <c r="DJ372" i="43" s="1"/>
  <c r="DC292" i="43"/>
  <c r="DC354" i="43"/>
  <c r="DE354" i="43" s="1"/>
  <c r="DC288" i="43"/>
  <c r="DC236" i="43"/>
  <c r="DC366" i="43"/>
  <c r="DJ366" i="43" s="1"/>
  <c r="DC262" i="43"/>
  <c r="DC282" i="43"/>
  <c r="DC218" i="43"/>
  <c r="DC360" i="43"/>
  <c r="DE360" i="43" s="1"/>
  <c r="DC326" i="43"/>
  <c r="DJ326" i="43" s="1"/>
  <c r="DC552" i="43"/>
  <c r="DE552" i="43" s="1"/>
  <c r="DC215" i="43"/>
  <c r="DE215" i="43" s="1"/>
  <c r="DC231" i="43"/>
  <c r="DC247" i="43"/>
  <c r="DC263" i="43"/>
  <c r="DE263" i="43" s="1"/>
  <c r="DC279" i="43"/>
  <c r="DE279" i="43" s="1"/>
  <c r="DC295" i="43"/>
  <c r="DE295" i="43" s="1"/>
  <c r="DC311" i="43"/>
  <c r="DD311" i="43" s="1"/>
  <c r="DC327" i="43"/>
  <c r="DE327" i="43" s="1"/>
  <c r="DC343" i="43"/>
  <c r="DE343" i="43" s="1"/>
  <c r="DC359" i="43"/>
  <c r="DJ359" i="43" s="1"/>
  <c r="DC513" i="43"/>
  <c r="DJ513" i="43" s="1"/>
  <c r="DC506" i="43"/>
  <c r="DD506" i="43" s="1"/>
  <c r="DC375" i="43"/>
  <c r="DE375" i="43" s="1"/>
  <c r="DC391" i="43"/>
  <c r="DC407" i="43"/>
  <c r="DE407" i="43" s="1"/>
  <c r="DC423" i="43"/>
  <c r="DE423" i="43" s="1"/>
  <c r="DC439" i="43"/>
  <c r="DC455" i="43"/>
  <c r="DE455" i="43" s="1"/>
  <c r="DC471" i="43"/>
  <c r="DE471" i="43" s="1"/>
  <c r="DC497" i="43"/>
  <c r="DE497" i="43" s="1"/>
  <c r="DC567" i="43"/>
  <c r="DE567" i="43" s="1"/>
  <c r="DC600" i="43"/>
  <c r="DE600" i="43" s="1"/>
  <c r="DC508" i="43"/>
  <c r="DE508" i="43" s="1"/>
  <c r="DC576" i="43"/>
  <c r="DE576" i="43" s="1"/>
  <c r="DC378" i="43"/>
  <c r="DJ378" i="43" s="1"/>
  <c r="DC394" i="43"/>
  <c r="DC410" i="43"/>
  <c r="DC426" i="43"/>
  <c r="DJ426" i="43" s="1"/>
  <c r="DC442" i="43"/>
  <c r="DJ442" i="43" s="1"/>
  <c r="DC458" i="43"/>
  <c r="DJ458" i="43" s="1"/>
  <c r="DC474" i="43"/>
  <c r="DD474" i="43" s="1"/>
  <c r="DC503" i="43"/>
  <c r="DJ503" i="43" s="1"/>
  <c r="DC563" i="43"/>
  <c r="DE563" i="43" s="1"/>
  <c r="DC518" i="43"/>
  <c r="DJ518" i="43" s="1"/>
  <c r="DC550" i="43"/>
  <c r="DE550" i="43" s="1"/>
  <c r="DC582" i="43"/>
  <c r="DE582" i="43" s="1"/>
  <c r="DC569" i="43"/>
  <c r="DJ569" i="43" s="1"/>
  <c r="DC340" i="43"/>
  <c r="DC370" i="43"/>
  <c r="DJ370" i="43" s="1"/>
  <c r="DC304" i="43"/>
  <c r="DE304" i="43" s="1"/>
  <c r="DC252" i="43"/>
  <c r="DC486" i="43"/>
  <c r="DE486" i="43" s="1"/>
  <c r="DC278" i="43"/>
  <c r="DC298" i="43"/>
  <c r="DC234" i="43"/>
  <c r="DC212" i="43"/>
  <c r="DD212" i="43" s="1"/>
  <c r="DC342" i="43"/>
  <c r="DD342" i="43" s="1"/>
  <c r="DC572" i="43"/>
  <c r="DE572" i="43" s="1"/>
  <c r="DC217" i="43"/>
  <c r="DE217" i="43" s="1"/>
  <c r="DC233" i="43"/>
  <c r="DC249" i="43"/>
  <c r="DC265" i="43"/>
  <c r="DE265" i="43" s="1"/>
  <c r="DC281" i="43"/>
  <c r="DE281" i="43" s="1"/>
  <c r="DC297" i="43"/>
  <c r="DE297" i="43" s="1"/>
  <c r="DC313" i="43"/>
  <c r="DE313" i="43" s="1"/>
  <c r="DC329" i="43"/>
  <c r="DE329" i="43" s="1"/>
  <c r="DC345" i="43"/>
  <c r="DE345" i="43" s="1"/>
  <c r="DC361" i="43"/>
  <c r="DE361" i="43" s="1"/>
  <c r="DC478" i="43"/>
  <c r="DD478" i="43" s="1"/>
  <c r="DC556" i="43"/>
  <c r="DJ556" i="43" s="1"/>
  <c r="DC377" i="43"/>
  <c r="DE377" i="43" s="1"/>
  <c r="DC393" i="43"/>
  <c r="DC409" i="43"/>
  <c r="DE409" i="43" s="1"/>
  <c r="DC425" i="43"/>
  <c r="DJ425" i="43" s="1"/>
  <c r="DC441" i="43"/>
  <c r="DC457" i="43"/>
  <c r="DJ457" i="43" s="1"/>
  <c r="DC473" i="43"/>
  <c r="DE473" i="43" s="1"/>
  <c r="DC501" i="43"/>
  <c r="DE501" i="43" s="1"/>
  <c r="DC575" i="43"/>
  <c r="DE575" i="43" s="1"/>
  <c r="DC480" i="43"/>
  <c r="DD480" i="43" s="1"/>
  <c r="DC512" i="43"/>
  <c r="DD512" i="43" s="1"/>
  <c r="DC584" i="43"/>
  <c r="DE584" i="43" s="1"/>
  <c r="DC380" i="43"/>
  <c r="DJ380" i="43" s="1"/>
  <c r="DC396" i="43"/>
  <c r="DC412" i="43"/>
  <c r="DC428" i="43"/>
  <c r="DJ428" i="43" s="1"/>
  <c r="DC444" i="43"/>
  <c r="DD444" i="43" s="1"/>
  <c r="DC460" i="43"/>
  <c r="DJ460" i="43" s="1"/>
  <c r="DC476" i="43"/>
  <c r="DJ476" i="43" s="1"/>
  <c r="DC507" i="43"/>
  <c r="DC571" i="43"/>
  <c r="DE571" i="43" s="1"/>
  <c r="DC522" i="43"/>
  <c r="DD522" i="43" s="1"/>
  <c r="DC554" i="43"/>
  <c r="DE554" i="43" s="1"/>
  <c r="DC586" i="43"/>
  <c r="DE586" i="43" s="1"/>
  <c r="DC573" i="43"/>
  <c r="DJ573" i="43" s="1"/>
  <c r="DC238" i="43"/>
  <c r="DC264" i="43"/>
  <c r="DE264" i="43" s="1"/>
  <c r="DC502" i="43"/>
  <c r="DE502" i="43" s="1"/>
  <c r="DC320" i="43"/>
  <c r="DC268" i="43"/>
  <c r="DC284" i="43"/>
  <c r="DC314" i="43"/>
  <c r="DJ314" i="43" s="1"/>
  <c r="DC250" i="43"/>
  <c r="DE250" i="43" s="1"/>
  <c r="DC228" i="43"/>
  <c r="DC358" i="43"/>
  <c r="DJ358" i="43" s="1"/>
  <c r="DC203" i="43"/>
  <c r="DE203" i="43" s="1"/>
  <c r="DC219" i="43"/>
  <c r="DE219" i="43" s="1"/>
  <c r="DC235" i="43"/>
  <c r="DC251" i="43"/>
  <c r="DC267" i="43"/>
  <c r="DE267" i="43" s="1"/>
  <c r="DC283" i="43"/>
  <c r="DE283" i="43" s="1"/>
  <c r="DC299" i="43"/>
  <c r="DE299" i="43" s="1"/>
  <c r="DC315" i="43"/>
  <c r="DJ315" i="43" s="1"/>
  <c r="DC331" i="43"/>
  <c r="DJ331" i="43" s="1"/>
  <c r="DC347" i="43"/>
  <c r="DE347" i="43" s="1"/>
  <c r="DC363" i="43"/>
  <c r="DD363" i="43" s="1"/>
  <c r="DC494" i="43"/>
  <c r="DJ494" i="43" s="1"/>
  <c r="DC588" i="43"/>
  <c r="DE588" i="43" s="1"/>
  <c r="DC379" i="43"/>
  <c r="DE379" i="43" s="1"/>
  <c r="DC395" i="43"/>
  <c r="DC411" i="43"/>
  <c r="DE411" i="43" s="1"/>
  <c r="DC427" i="43"/>
  <c r="DE427" i="43" s="1"/>
  <c r="DC443" i="43"/>
  <c r="DC459" i="43"/>
  <c r="DE459" i="43" s="1"/>
  <c r="DC475" i="43"/>
  <c r="DE475" i="43" s="1"/>
  <c r="DC505" i="43"/>
  <c r="DE505" i="43" s="1"/>
  <c r="DC583" i="43"/>
  <c r="DD583" i="43" s="1"/>
  <c r="DC484" i="43"/>
  <c r="DD484" i="43" s="1"/>
  <c r="DC515" i="43"/>
  <c r="DD515" i="43" s="1"/>
  <c r="DC521" i="43"/>
  <c r="DD521" i="43" s="1"/>
  <c r="DC382" i="43"/>
  <c r="DJ382" i="43" s="1"/>
  <c r="DC398" i="43"/>
  <c r="DC414" i="43"/>
  <c r="DC430" i="43"/>
  <c r="DJ430" i="43" s="1"/>
  <c r="DC446" i="43"/>
  <c r="DJ446" i="43" s="1"/>
  <c r="DC462" i="43"/>
  <c r="DJ462" i="43" s="1"/>
  <c r="DC479" i="43"/>
  <c r="DJ479" i="43" s="1"/>
  <c r="DC511" i="43"/>
  <c r="DJ511" i="43" s="1"/>
  <c r="DC579" i="43"/>
  <c r="DE579" i="43" s="1"/>
  <c r="DC526" i="43"/>
  <c r="DE526" i="43" s="1"/>
  <c r="DC558" i="43"/>
  <c r="DE558" i="43" s="1"/>
  <c r="DC590" i="43"/>
  <c r="DJ590" i="43" s="1"/>
  <c r="DC577" i="43"/>
  <c r="DJ577" i="43" s="1"/>
  <c r="DD77" i="43"/>
  <c r="DC308" i="43"/>
  <c r="DJ308" i="43" s="1"/>
  <c r="DC216" i="43"/>
  <c r="DE216" i="43" s="1"/>
  <c r="DC210" i="43"/>
  <c r="DC336" i="43"/>
  <c r="DJ336" i="43" s="1"/>
  <c r="DC286" i="43"/>
  <c r="DC300" i="43"/>
  <c r="DC208" i="43"/>
  <c r="DD208" i="43" s="1"/>
  <c r="DC330" i="43"/>
  <c r="DJ330" i="43" s="1"/>
  <c r="DC266" i="43"/>
  <c r="DC244" i="43"/>
  <c r="DC524" i="43"/>
  <c r="DE524" i="43" s="1"/>
  <c r="DC205" i="43"/>
  <c r="DC221" i="43"/>
  <c r="DC237" i="43"/>
  <c r="DE237" i="43" s="1"/>
  <c r="DC253" i="43"/>
  <c r="DE253" i="43" s="1"/>
  <c r="DC269" i="43"/>
  <c r="DD269" i="43" s="1"/>
  <c r="DC285" i="43"/>
  <c r="DE285" i="43" s="1"/>
  <c r="DC301" i="43"/>
  <c r="DC317" i="43"/>
  <c r="DJ317" i="43" s="1"/>
  <c r="DC333" i="43"/>
  <c r="DE333" i="43" s="1"/>
  <c r="DC349" i="43"/>
  <c r="DE349" i="43" s="1"/>
  <c r="DC365" i="43"/>
  <c r="DE365" i="43" s="1"/>
  <c r="DC510" i="43"/>
  <c r="DE510" i="43" s="1"/>
  <c r="DC516" i="43"/>
  <c r="DC381" i="43"/>
  <c r="DE381" i="43" s="1"/>
  <c r="DC397" i="43"/>
  <c r="DE397" i="43" s="1"/>
  <c r="DC413" i="43"/>
  <c r="DC429" i="43"/>
  <c r="DD429" i="43" s="1"/>
  <c r="DC445" i="43"/>
  <c r="DE445" i="43" s="1"/>
  <c r="DC461" i="43"/>
  <c r="DD461" i="43" s="1"/>
  <c r="DC477" i="43"/>
  <c r="DE477" i="43" s="1"/>
  <c r="DC509" i="43"/>
  <c r="DD509" i="43" s="1"/>
  <c r="DC596" i="43"/>
  <c r="DC488" i="43"/>
  <c r="DC525" i="43"/>
  <c r="DJ525" i="43" s="1"/>
  <c r="DC532" i="43"/>
  <c r="DC384" i="43"/>
  <c r="DC400" i="43"/>
  <c r="DJ400" i="43" s="1"/>
  <c r="DC416" i="43"/>
  <c r="DJ416" i="43" s="1"/>
  <c r="DC432" i="43"/>
  <c r="DJ432" i="43" s="1"/>
  <c r="DC448" i="43"/>
  <c r="DJ448" i="43" s="1"/>
  <c r="DC464" i="43"/>
  <c r="DE464" i="43" s="1"/>
  <c r="DC483" i="43"/>
  <c r="DJ483" i="43" s="1"/>
  <c r="DC517" i="43"/>
  <c r="DJ517" i="43" s="1"/>
  <c r="DC587" i="43"/>
  <c r="DD587" i="43" s="1"/>
  <c r="DC530" i="43"/>
  <c r="DD530" i="43" s="1"/>
  <c r="DC562" i="43"/>
  <c r="DE562" i="43" s="1"/>
  <c r="DC594" i="43"/>
  <c r="DC581" i="43"/>
  <c r="DE581" i="43" s="1"/>
  <c r="DC254" i="43"/>
  <c r="DD254" i="43" s="1"/>
  <c r="DC206" i="43"/>
  <c r="DC280" i="43"/>
  <c r="DC226" i="43"/>
  <c r="DC352" i="43"/>
  <c r="DJ352" i="43" s="1"/>
  <c r="DC302" i="43"/>
  <c r="DJ302" i="43" s="1"/>
  <c r="DC201" i="43"/>
  <c r="DE201" i="43" s="1"/>
  <c r="DC316" i="43"/>
  <c r="DJ316" i="43" s="1"/>
  <c r="DC224" i="43"/>
  <c r="DE224" i="43" s="1"/>
  <c r="DC346" i="43"/>
  <c r="DJ346" i="43" s="1"/>
  <c r="DC296" i="43"/>
  <c r="DC260" i="43"/>
  <c r="DC545" i="43"/>
  <c r="DJ545" i="43" s="1"/>
  <c r="DC207" i="43"/>
  <c r="DE207" i="43" s="1"/>
  <c r="DC223" i="43"/>
  <c r="DE223" i="43" s="1"/>
  <c r="DC239" i="43"/>
  <c r="DD239" i="43" s="1"/>
  <c r="DC255" i="43"/>
  <c r="DE255" i="43" s="1"/>
  <c r="DC271" i="43"/>
  <c r="DE271" i="43" s="1"/>
  <c r="DC287" i="43"/>
  <c r="DD287" i="43" s="1"/>
  <c r="DC303" i="43"/>
  <c r="DD303" i="43" s="1"/>
  <c r="DC319" i="43"/>
  <c r="DE319" i="43" s="1"/>
  <c r="DC335" i="43"/>
  <c r="DE335" i="43" s="1"/>
  <c r="DC351" i="43"/>
  <c r="DC367" i="43"/>
  <c r="DJ367" i="43" s="1"/>
  <c r="DC520" i="43"/>
  <c r="DJ520" i="43" s="1"/>
  <c r="DC527" i="43"/>
  <c r="DC383" i="43"/>
  <c r="DD383" i="43" s="1"/>
  <c r="DC399" i="43"/>
  <c r="DJ399" i="43" s="1"/>
  <c r="DC415" i="43"/>
  <c r="DE415" i="43" s="1"/>
  <c r="DC431" i="43"/>
  <c r="DE431" i="43" s="1"/>
  <c r="DC447" i="43"/>
  <c r="DD447" i="43" s="1"/>
  <c r="DC463" i="43"/>
  <c r="DJ463" i="43" s="1"/>
  <c r="DC481" i="43"/>
  <c r="DE481" i="43" s="1"/>
  <c r="DC523" i="43"/>
  <c r="DE523" i="43" s="1"/>
  <c r="DC519" i="43"/>
  <c r="DC492" i="43"/>
  <c r="DC536" i="43"/>
  <c r="DE536" i="43" s="1"/>
  <c r="DC543" i="43"/>
  <c r="DE543" i="43" s="1"/>
  <c r="DC386" i="43"/>
  <c r="DJ386" i="43" s="1"/>
  <c r="DC402" i="43"/>
  <c r="DJ402" i="43" s="1"/>
  <c r="DC418" i="43"/>
  <c r="DJ418" i="43" s="1"/>
  <c r="DC434" i="43"/>
  <c r="DJ434" i="43" s="1"/>
  <c r="DC450" i="43"/>
  <c r="DE450" i="43" s="1"/>
  <c r="DC466" i="43"/>
  <c r="DJ466" i="43" s="1"/>
  <c r="DC487" i="43"/>
  <c r="DJ487" i="43" s="1"/>
  <c r="DC528" i="43"/>
  <c r="DD528" i="43" s="1"/>
  <c r="DC591" i="43"/>
  <c r="DC534" i="43"/>
  <c r="DE534" i="43" s="1"/>
  <c r="DC566" i="43"/>
  <c r="DD566" i="43" s="1"/>
  <c r="DC598" i="43"/>
  <c r="DC585" i="43"/>
  <c r="DJ585" i="43" s="1"/>
  <c r="DC368" i="43"/>
  <c r="DC318" i="43"/>
  <c r="DJ318" i="43" s="1"/>
  <c r="DC214" i="43"/>
  <c r="DC332" i="43"/>
  <c r="DD332" i="43" s="1"/>
  <c r="DC240" i="43"/>
  <c r="DE240" i="43" s="1"/>
  <c r="DC362" i="43"/>
  <c r="DJ362" i="43" s="1"/>
  <c r="DC312" i="43"/>
  <c r="DD312" i="43" s="1"/>
  <c r="DC276" i="43"/>
  <c r="DC482" i="43"/>
  <c r="DC209" i="43"/>
  <c r="DE209" i="43" s="1"/>
  <c r="DC225" i="43"/>
  <c r="DE225" i="43" s="1"/>
  <c r="DC241" i="43"/>
  <c r="DC257" i="43"/>
  <c r="DE257" i="43" s="1"/>
  <c r="DC273" i="43"/>
  <c r="DE273" i="43" s="1"/>
  <c r="DC289" i="43"/>
  <c r="DE289" i="43" s="1"/>
  <c r="DC305" i="43"/>
  <c r="DJ305" i="43" s="1"/>
  <c r="DC321" i="43"/>
  <c r="DE321" i="43" s="1"/>
  <c r="DC337" i="43"/>
  <c r="DE337" i="43" s="1"/>
  <c r="DC353" i="43"/>
  <c r="DJ353" i="43" s="1"/>
  <c r="DC369" i="43"/>
  <c r="DC541" i="43"/>
  <c r="DJ541" i="43" s="1"/>
  <c r="DC537" i="43"/>
  <c r="DJ537" i="43" s="1"/>
  <c r="DC385" i="43"/>
  <c r="DC401" i="43"/>
  <c r="DE401" i="43" s="1"/>
  <c r="DC417" i="43"/>
  <c r="DE417" i="43" s="1"/>
  <c r="DC433" i="43"/>
  <c r="DE433" i="43" s="1"/>
  <c r="DC449" i="43"/>
  <c r="DJ449" i="43" s="1"/>
  <c r="DC465" i="43"/>
  <c r="DE465" i="43" s="1"/>
  <c r="DC485" i="43"/>
  <c r="DE485" i="43" s="1"/>
  <c r="DC533" i="43"/>
  <c r="DC529" i="43"/>
  <c r="DJ529" i="43" s="1"/>
  <c r="DC496" i="43"/>
  <c r="DC547" i="43"/>
  <c r="DC553" i="43"/>
  <c r="DJ553" i="43" s="1"/>
  <c r="DC388" i="43"/>
  <c r="DJ388" i="43" s="1"/>
  <c r="DC404" i="43"/>
  <c r="DJ404" i="43" s="1"/>
  <c r="DC420" i="43"/>
  <c r="DJ420" i="43" s="1"/>
  <c r="DC436" i="43"/>
  <c r="DE436" i="43" s="1"/>
  <c r="DC452" i="43"/>
  <c r="DE452" i="43" s="1"/>
  <c r="DC468" i="43"/>
  <c r="DJ468" i="43" s="1"/>
  <c r="DC491" i="43"/>
  <c r="DJ491" i="43" s="1"/>
  <c r="DC539" i="43"/>
  <c r="DE539" i="43" s="1"/>
  <c r="DC595" i="43"/>
  <c r="DD595" i="43" s="1"/>
  <c r="DC538" i="43"/>
  <c r="DC570" i="43"/>
  <c r="DJ570" i="43" s="1"/>
  <c r="DC557" i="43"/>
  <c r="DJ557" i="43" s="1"/>
  <c r="DE18" i="43"/>
  <c r="DI57" i="43"/>
  <c r="DE57" i="43"/>
  <c r="DJ57" i="43"/>
  <c r="DE77" i="43"/>
  <c r="DI77" i="43"/>
  <c r="DB8" i="43"/>
  <c r="DB111" i="43"/>
  <c r="DB116" i="43"/>
  <c r="DB620" i="43"/>
  <c r="DB195" i="43"/>
  <c r="DB120" i="43"/>
  <c r="DB160" i="43"/>
  <c r="DB498" i="43"/>
  <c r="DB335" i="43"/>
  <c r="DB819" i="43"/>
  <c r="DB242" i="43"/>
  <c r="DB306" i="43"/>
  <c r="DB370" i="43"/>
  <c r="DB447" i="43"/>
  <c r="DB623" i="43"/>
  <c r="DB536" i="43"/>
  <c r="DB390" i="43"/>
  <c r="DB454" i="43"/>
  <c r="DB671" i="43"/>
  <c r="DB578" i="43"/>
  <c r="DB706" i="43"/>
  <c r="DB581" i="43"/>
  <c r="DB709" i="43"/>
  <c r="DB734" i="43"/>
  <c r="DB961" i="43"/>
  <c r="DB736" i="43"/>
  <c r="DB908" i="43"/>
  <c r="DB868" i="43"/>
  <c r="DB906" i="43"/>
  <c r="DB909" i="43"/>
  <c r="DB956" i="43"/>
  <c r="DB1032" i="43"/>
  <c r="DB1034" i="43"/>
  <c r="DB1142" i="43"/>
  <c r="DB1127" i="43"/>
  <c r="DB1193" i="43"/>
  <c r="DB1178" i="43"/>
  <c r="DB27" i="43"/>
  <c r="DB59" i="43"/>
  <c r="DB44" i="43"/>
  <c r="DB4" i="43"/>
  <c r="DB127" i="43"/>
  <c r="DB94" i="43"/>
  <c r="DB197" i="43"/>
  <c r="DB128" i="43"/>
  <c r="DB162" i="43"/>
  <c r="DB531" i="43"/>
  <c r="DB337" i="43"/>
  <c r="DB375" i="43"/>
  <c r="DB244" i="43"/>
  <c r="DB308" i="43"/>
  <c r="DB372" i="43"/>
  <c r="DB449" i="43"/>
  <c r="DB628" i="43"/>
  <c r="DB547" i="43"/>
  <c r="DB392" i="43"/>
  <c r="DB456" i="43"/>
  <c r="DB676" i="43"/>
  <c r="DB582" i="43"/>
  <c r="DB710" i="43"/>
  <c r="DB585" i="43"/>
  <c r="DB713" i="43"/>
  <c r="DB738" i="43"/>
  <c r="DB733" i="43"/>
  <c r="DB740" i="43"/>
  <c r="DB935" i="43"/>
  <c r="DB876" i="43"/>
  <c r="DB910" i="43"/>
  <c r="DB913" i="43"/>
  <c r="DB960" i="43"/>
  <c r="DB1059" i="43"/>
  <c r="DB1038" i="43"/>
  <c r="DB1066" i="43"/>
  <c r="DB1137" i="43"/>
  <c r="DB1155" i="43"/>
  <c r="DB1182" i="43"/>
  <c r="CY62" i="43"/>
  <c r="CY64" i="43" s="1"/>
  <c r="DB58" i="43"/>
  <c r="DB249" i="43"/>
  <c r="DB147" i="43"/>
  <c r="DB279" i="43"/>
  <c r="DB267" i="43"/>
  <c r="DB176" i="43"/>
  <c r="DB287" i="43"/>
  <c r="DB351" i="43"/>
  <c r="DB506" i="43"/>
  <c r="DB258" i="43"/>
  <c r="DB322" i="43"/>
  <c r="DB399" i="43"/>
  <c r="DB463" i="43"/>
  <c r="DB551" i="43"/>
  <c r="DB631" i="43"/>
  <c r="DB406" i="43"/>
  <c r="DB470" i="43"/>
  <c r="DB648" i="43"/>
  <c r="DB610" i="43"/>
  <c r="DB767" i="43"/>
  <c r="DB613" i="43"/>
  <c r="DB763" i="43"/>
  <c r="DB766" i="43"/>
  <c r="DB761" i="43"/>
  <c r="DB768" i="43"/>
  <c r="DB907" i="43"/>
  <c r="DB841" i="43"/>
  <c r="DB938" i="43"/>
  <c r="DB941" i="43"/>
  <c r="DB997" i="43"/>
  <c r="DB992" i="43"/>
  <c r="DB1068" i="43"/>
  <c r="DB1123" i="43"/>
  <c r="DB1110" i="43"/>
  <c r="DB1151" i="43"/>
  <c r="DB1188" i="43"/>
  <c r="DB38" i="43"/>
  <c r="CY14" i="43"/>
  <c r="DB86" i="43"/>
  <c r="DB149" i="43"/>
  <c r="DB651" i="43"/>
  <c r="DB624" i="43"/>
  <c r="DB178" i="43"/>
  <c r="DB289" i="43"/>
  <c r="DB353" i="43"/>
  <c r="DB556" i="43"/>
  <c r="DB260" i="43"/>
  <c r="DB324" i="43"/>
  <c r="DB401" i="43"/>
  <c r="DB465" i="43"/>
  <c r="DB595" i="43"/>
  <c r="DB636" i="43"/>
  <c r="DB408" i="43"/>
  <c r="DB472" i="43"/>
  <c r="DB675" i="43"/>
  <c r="DB614" i="43"/>
  <c r="DB783" i="43"/>
  <c r="DB617" i="43"/>
  <c r="DB779" i="43"/>
  <c r="DB770" i="43"/>
  <c r="DB765" i="43"/>
  <c r="DB772" i="43"/>
  <c r="DB912" i="43"/>
  <c r="DB845" i="43"/>
  <c r="DB942" i="43"/>
  <c r="DB945" i="43"/>
  <c r="DB1005" i="43"/>
  <c r="DB996" i="43"/>
  <c r="DB1076" i="43"/>
  <c r="DB1084" i="43"/>
  <c r="DB1114" i="43"/>
  <c r="DB1159" i="43"/>
  <c r="DB1192" i="43"/>
  <c r="CY15" i="43"/>
  <c r="DB99" i="43"/>
  <c r="DB303" i="43"/>
  <c r="DB210" i="43"/>
  <c r="DB415" i="43"/>
  <c r="DB608" i="43"/>
  <c r="DB514" i="43"/>
  <c r="DB645" i="43"/>
  <c r="DB911" i="43"/>
  <c r="DB1191" i="43"/>
  <c r="DB93" i="43"/>
  <c r="DB26" i="43"/>
  <c r="DB211" i="43"/>
  <c r="DB165" i="43"/>
  <c r="DB107" i="43"/>
  <c r="DB84" i="43"/>
  <c r="DB194" i="43"/>
  <c r="DB305" i="43"/>
  <c r="DB369" i="43"/>
  <c r="DB212" i="43"/>
  <c r="DB276" i="43"/>
  <c r="DB340" i="43"/>
  <c r="DB417" i="43"/>
  <c r="DB485" i="43"/>
  <c r="DB703" i="43"/>
  <c r="DB635" i="43"/>
  <c r="DB424" i="43"/>
  <c r="DB499" i="43"/>
  <c r="DB518" i="43"/>
  <c r="DB646" i="43"/>
  <c r="DB521" i="43"/>
  <c r="DB649" i="43"/>
  <c r="DB712" i="43"/>
  <c r="DB802" i="43"/>
  <c r="DB797" i="43"/>
  <c r="DB804" i="43"/>
  <c r="DB916" i="43"/>
  <c r="DB1055" i="43"/>
  <c r="DB985" i="43"/>
  <c r="DB999" i="43"/>
  <c r="DB951" i="43"/>
  <c r="DB1063" i="43"/>
  <c r="DB1053" i="43"/>
  <c r="DB1146" i="43"/>
  <c r="DB1122" i="43"/>
  <c r="DB1162" i="43"/>
  <c r="DB1195" i="43"/>
  <c r="DB41" i="43"/>
  <c r="DB265" i="43"/>
  <c r="DB80" i="43"/>
  <c r="DB367" i="43"/>
  <c r="DB338" i="43"/>
  <c r="DB481" i="43"/>
  <c r="DB495" i="43"/>
  <c r="DB517" i="43"/>
  <c r="DB798" i="43"/>
  <c r="DB1015" i="43"/>
  <c r="DB993" i="43"/>
  <c r="DB1049" i="43"/>
  <c r="DB53" i="43"/>
  <c r="CY20" i="43"/>
  <c r="DB109" i="43"/>
  <c r="DB67" i="43"/>
  <c r="DB57" i="43"/>
  <c r="DB137" i="43"/>
  <c r="DB179" i="43"/>
  <c r="DB241" i="43"/>
  <c r="DB138" i="43"/>
  <c r="DB255" i="43"/>
  <c r="DB319" i="43"/>
  <c r="DB510" i="43"/>
  <c r="DB226" i="43"/>
  <c r="DB290" i="43"/>
  <c r="DB354" i="43"/>
  <c r="DB431" i="43"/>
  <c r="DB523" i="43"/>
  <c r="DB488" i="43"/>
  <c r="DB374" i="43"/>
  <c r="DB438" i="43"/>
  <c r="DB563" i="43"/>
  <c r="DB546" i="43"/>
  <c r="DB674" i="43"/>
  <c r="DB549" i="43"/>
  <c r="DB677" i="43"/>
  <c r="DB775" i="43"/>
  <c r="DB830" i="43"/>
  <c r="DB825" i="43"/>
  <c r="DB832" i="43"/>
  <c r="DB883" i="43"/>
  <c r="DB874" i="43"/>
  <c r="DB877" i="43"/>
  <c r="DB1002" i="43"/>
  <c r="DB979" i="43"/>
  <c r="DB1043" i="43"/>
  <c r="DB1115" i="43"/>
  <c r="DB1095" i="43"/>
  <c r="DB1129" i="43"/>
  <c r="DB1153" i="43"/>
  <c r="DB25" i="43"/>
  <c r="DB163" i="43"/>
  <c r="DB192" i="43"/>
  <c r="DB274" i="43"/>
  <c r="DB696" i="43"/>
  <c r="DB422" i="43"/>
  <c r="DB642" i="43"/>
  <c r="DB708" i="43"/>
  <c r="DB793" i="43"/>
  <c r="DB800" i="43"/>
  <c r="DB983" i="43"/>
  <c r="DB1052" i="43"/>
  <c r="DB1036" i="43"/>
  <c r="DB1112" i="43"/>
  <c r="DB1118" i="43"/>
  <c r="DB1154" i="43"/>
  <c r="CX32" i="43"/>
  <c r="CX33" i="43" s="1"/>
  <c r="CY33" i="43" s="1"/>
  <c r="DB66" i="43"/>
  <c r="DB100" i="43"/>
  <c r="DB70" i="43"/>
  <c r="DB60" i="43"/>
  <c r="DB145" i="43"/>
  <c r="DB181" i="43"/>
  <c r="DB257" i="43"/>
  <c r="DB146" i="43"/>
  <c r="DB271" i="43"/>
  <c r="DB321" i="43"/>
  <c r="DB520" i="43"/>
  <c r="DB228" i="43"/>
  <c r="DB292" i="43"/>
  <c r="DB356" i="43"/>
  <c r="DB433" i="43"/>
  <c r="DB544" i="43"/>
  <c r="DB492" i="43"/>
  <c r="DB376" i="43"/>
  <c r="DB440" i="43"/>
  <c r="DB571" i="43"/>
  <c r="DB550" i="43"/>
  <c r="DB678" i="43"/>
  <c r="DB553" i="43"/>
  <c r="DB681" i="43"/>
  <c r="DB791" i="43"/>
  <c r="DB834" i="43"/>
  <c r="DB829" i="43"/>
  <c r="DB836" i="43"/>
  <c r="DB888" i="43"/>
  <c r="DB878" i="43"/>
  <c r="DB881" i="43"/>
  <c r="DB1010" i="43"/>
  <c r="DB990" i="43"/>
  <c r="DB1048" i="43"/>
  <c r="DB1105" i="43"/>
  <c r="DB1099" i="43"/>
  <c r="DB1133" i="43"/>
  <c r="DC1189" i="43"/>
  <c r="BL143" i="43"/>
  <c r="BL135" i="43"/>
  <c r="BL127" i="43"/>
  <c r="BL119" i="43"/>
  <c r="BL111" i="43"/>
  <c r="BL103" i="43"/>
  <c r="BL95" i="43"/>
  <c r="CX76" i="43"/>
  <c r="CX77" i="43" s="1"/>
  <c r="BL141" i="43"/>
  <c r="BL133" i="43"/>
  <c r="BL125" i="43"/>
  <c r="BL117" i="43"/>
  <c r="BL109" i="43"/>
  <c r="BL101" i="43"/>
  <c r="BL93" i="43"/>
  <c r="BL90" i="43"/>
  <c r="BL87" i="43"/>
  <c r="BL77" i="43"/>
  <c r="BL144" i="43"/>
  <c r="BL136" i="43"/>
  <c r="BL128" i="43"/>
  <c r="BL120" i="43"/>
  <c r="BL112" i="43"/>
  <c r="BL104" i="43"/>
  <c r="BL96" i="43"/>
  <c r="BL139" i="43"/>
  <c r="BL131" i="43"/>
  <c r="BL123" i="43"/>
  <c r="BL115" i="43"/>
  <c r="BL107" i="43"/>
  <c r="BL99" i="43"/>
  <c r="BL142" i="43"/>
  <c r="BL134" i="43"/>
  <c r="BL126" i="43"/>
  <c r="BL118" i="43"/>
  <c r="BL110" i="43"/>
  <c r="BL102" i="43"/>
  <c r="BL94" i="43"/>
  <c r="BL88" i="43"/>
  <c r="BL146" i="43"/>
  <c r="BL124" i="43"/>
  <c r="BL106" i="43"/>
  <c r="BL83" i="43"/>
  <c r="BL137" i="43"/>
  <c r="BL138" i="43"/>
  <c r="BL121" i="43"/>
  <c r="CX82" i="43"/>
  <c r="CX83" i="43" s="1"/>
  <c r="BL89" i="43"/>
  <c r="BL79" i="43"/>
  <c r="BL74" i="43"/>
  <c r="BL72" i="43"/>
  <c r="BL69" i="43"/>
  <c r="BL63" i="43"/>
  <c r="BL49" i="43"/>
  <c r="BL42" i="43"/>
  <c r="BL39" i="43"/>
  <c r="BL34" i="43"/>
  <c r="BL108" i="43"/>
  <c r="BL86" i="43"/>
  <c r="BL85" i="43"/>
  <c r="BL60" i="43"/>
  <c r="CX57" i="43"/>
  <c r="BL53" i="43"/>
  <c r="BL46" i="43"/>
  <c r="BL30" i="43"/>
  <c r="BL140" i="43"/>
  <c r="BL97" i="43"/>
  <c r="BL91" i="43"/>
  <c r="BL84" i="43"/>
  <c r="BL75" i="43"/>
  <c r="BL67" i="43"/>
  <c r="BL64" i="43"/>
  <c r="BL57" i="43"/>
  <c r="CX54" i="43"/>
  <c r="BL50" i="43"/>
  <c r="BL43" i="43"/>
  <c r="BL40" i="43"/>
  <c r="BL37" i="43"/>
  <c r="BL31" i="43"/>
  <c r="CX25" i="43"/>
  <c r="CX26" i="43" s="1"/>
  <c r="CY26" i="43" s="1"/>
  <c r="BL129" i="43"/>
  <c r="BL122" i="43"/>
  <c r="BL113" i="43"/>
  <c r="BL92" i="43"/>
  <c r="BL78" i="43"/>
  <c r="BL73" i="43"/>
  <c r="BL70" i="43"/>
  <c r="CX58" i="43"/>
  <c r="BL54" i="43"/>
  <c r="BL47" i="43"/>
  <c r="BL28" i="43"/>
  <c r="BL145" i="43"/>
  <c r="BL100" i="43"/>
  <c r="BL65" i="43"/>
  <c r="BL61" i="43"/>
  <c r="BL58" i="43"/>
  <c r="CX55" i="43"/>
  <c r="BL51" i="43"/>
  <c r="BL44" i="43"/>
  <c r="BL38" i="43"/>
  <c r="BL132" i="43"/>
  <c r="BL82" i="43"/>
  <c r="BL81" i="43"/>
  <c r="BL71" i="43"/>
  <c r="BL68" i="43"/>
  <c r="BL55" i="43"/>
  <c r="BL48" i="43"/>
  <c r="BL41" i="43"/>
  <c r="BL36" i="43"/>
  <c r="BL32" i="43"/>
  <c r="BL29" i="43"/>
  <c r="BL27" i="43"/>
  <c r="BL116" i="43"/>
  <c r="BL105" i="43"/>
  <c r="BL98" i="43"/>
  <c r="BL80" i="43"/>
  <c r="BL76" i="43"/>
  <c r="BL62" i="43"/>
  <c r="BL59" i="43"/>
  <c r="BL45" i="43"/>
  <c r="BL35" i="43"/>
  <c r="BL130" i="43"/>
  <c r="BL52" i="43"/>
  <c r="CX79" i="43"/>
  <c r="BL66" i="43"/>
  <c r="BL114" i="43"/>
  <c r="BL33" i="43"/>
  <c r="BL56" i="43"/>
  <c r="CY76" i="43"/>
  <c r="DJ37" i="43"/>
  <c r="DI37" i="43"/>
  <c r="DE37" i="43"/>
  <c r="DD37" i="43"/>
  <c r="DE296" i="43"/>
  <c r="DD296" i="43"/>
  <c r="DE249" i="43"/>
  <c r="DD249" i="43"/>
  <c r="DE391" i="43"/>
  <c r="DD391" i="43"/>
  <c r="DJ391" i="43"/>
  <c r="DC612" i="43"/>
  <c r="DC764" i="43"/>
  <c r="DC650" i="43"/>
  <c r="DC613" i="43"/>
  <c r="DC739" i="43"/>
  <c r="DC766" i="43"/>
  <c r="DC801" i="43"/>
  <c r="DC920" i="43"/>
  <c r="DC870" i="43"/>
  <c r="DC909" i="43"/>
  <c r="DC1052" i="43"/>
  <c r="DC1031" i="43"/>
  <c r="DC1109" i="43"/>
  <c r="DC1098" i="43"/>
  <c r="DC1173" i="43"/>
  <c r="DI14" i="43"/>
  <c r="DE14" i="43"/>
  <c r="DD14" i="43"/>
  <c r="DJ14" i="43"/>
  <c r="DE38" i="43"/>
  <c r="DD38" i="43"/>
  <c r="DJ38" i="43"/>
  <c r="DI38" i="43"/>
  <c r="DJ90" i="43"/>
  <c r="DE90" i="43"/>
  <c r="DI90" i="43"/>
  <c r="DD90" i="43"/>
  <c r="DE292" i="43"/>
  <c r="DD292" i="43"/>
  <c r="DJ334" i="43"/>
  <c r="DE251" i="43"/>
  <c r="DD251" i="43"/>
  <c r="DE393" i="43"/>
  <c r="DD393" i="43"/>
  <c r="DJ393" i="43"/>
  <c r="DC788" i="43"/>
  <c r="DI27" i="43"/>
  <c r="DE27" i="43"/>
  <c r="DD27" i="43"/>
  <c r="DJ27" i="43"/>
  <c r="DE16" i="43"/>
  <c r="DD16" i="43"/>
  <c r="DJ16" i="43"/>
  <c r="DI16" i="43"/>
  <c r="DE68" i="43"/>
  <c r="DD68" i="43"/>
  <c r="DJ68" i="43"/>
  <c r="DI68" i="43"/>
  <c r="DJ70" i="43"/>
  <c r="DI70" i="43"/>
  <c r="DE70" i="43"/>
  <c r="DD70" i="43"/>
  <c r="DJ184" i="43"/>
  <c r="DE184" i="43"/>
  <c r="DI184" i="43"/>
  <c r="DD184" i="43"/>
  <c r="DJ170" i="43"/>
  <c r="DE170" i="43"/>
  <c r="DI170" i="43"/>
  <c r="DD170" i="43"/>
  <c r="DE92" i="43"/>
  <c r="DI92" i="43"/>
  <c r="DD92" i="43"/>
  <c r="DJ92" i="43"/>
  <c r="DE121" i="43"/>
  <c r="DD121" i="43"/>
  <c r="DJ121" i="43"/>
  <c r="DI121" i="43"/>
  <c r="DD163" i="43"/>
  <c r="DJ163" i="43"/>
  <c r="DI163" i="43"/>
  <c r="DE163" i="43"/>
  <c r="DI12" i="43"/>
  <c r="DE12" i="43"/>
  <c r="DD12" i="43"/>
  <c r="DJ12" i="43"/>
  <c r="DI36" i="43"/>
  <c r="DE36" i="43"/>
  <c r="DD36" i="43"/>
  <c r="DJ36" i="43"/>
  <c r="DE222" i="43"/>
  <c r="DJ80" i="43"/>
  <c r="DD80" i="43"/>
  <c r="DI80" i="43"/>
  <c r="DE80" i="43"/>
  <c r="DE29" i="43"/>
  <c r="DD29" i="43"/>
  <c r="DJ29" i="43"/>
  <c r="DI29" i="43"/>
  <c r="DE76" i="43"/>
  <c r="DI76" i="43"/>
  <c r="DD76" i="43"/>
  <c r="DJ76" i="43"/>
  <c r="DE122" i="43"/>
  <c r="DJ84" i="43"/>
  <c r="DD84" i="43"/>
  <c r="DE84" i="43"/>
  <c r="DI84" i="43"/>
  <c r="DJ31" i="43"/>
  <c r="DI31" i="43"/>
  <c r="DE31" i="43"/>
  <c r="DD31" i="43"/>
  <c r="DE75" i="43"/>
  <c r="DD75" i="43"/>
  <c r="DJ75" i="43"/>
  <c r="DI75" i="43"/>
  <c r="DJ160" i="43"/>
  <c r="DE160" i="43"/>
  <c r="DI160" i="43"/>
  <c r="DD160" i="43"/>
  <c r="DJ192" i="43"/>
  <c r="DE192" i="43"/>
  <c r="DI192" i="43"/>
  <c r="DD192" i="43"/>
  <c r="DE79" i="43"/>
  <c r="DD79" i="43"/>
  <c r="DJ79" i="43"/>
  <c r="DI79" i="43"/>
  <c r="DJ178" i="43"/>
  <c r="DE178" i="43"/>
  <c r="DI178" i="43"/>
  <c r="DD178" i="43"/>
  <c r="DE535" i="43"/>
  <c r="DD535" i="43"/>
  <c r="DJ535" i="43"/>
  <c r="DD102" i="43"/>
  <c r="DJ102" i="43"/>
  <c r="DI102" i="43"/>
  <c r="DE102" i="43"/>
  <c r="DD151" i="43"/>
  <c r="DJ151" i="43"/>
  <c r="DI151" i="43"/>
  <c r="DE151" i="43"/>
  <c r="DD167" i="43"/>
  <c r="DJ167" i="43"/>
  <c r="DI167" i="43"/>
  <c r="DE167" i="43"/>
  <c r="DE183" i="43"/>
  <c r="DE199" i="43"/>
  <c r="DD199" i="43"/>
  <c r="DJ199" i="43"/>
  <c r="DI199" i="43"/>
  <c r="DE88" i="43"/>
  <c r="DJ88" i="43"/>
  <c r="DI88" i="43"/>
  <c r="DD88" i="43"/>
  <c r="DI101" i="43"/>
  <c r="DJ101" i="43"/>
  <c r="DE101" i="43"/>
  <c r="DD101" i="43"/>
  <c r="DJ524" i="43"/>
  <c r="DE231" i="43"/>
  <c r="DD231" i="43"/>
  <c r="DE247" i="43"/>
  <c r="DD247" i="43"/>
  <c r="DC684" i="43"/>
  <c r="DC832" i="43"/>
  <c r="DJ389" i="43"/>
  <c r="DJ405" i="43"/>
  <c r="DE437" i="43"/>
  <c r="DD437" i="43"/>
  <c r="DJ437" i="43"/>
  <c r="DE493" i="43"/>
  <c r="DD493" i="43"/>
  <c r="DJ493" i="43"/>
  <c r="DE519" i="43"/>
  <c r="DD519" i="43"/>
  <c r="DJ519" i="43"/>
  <c r="DC712" i="43"/>
  <c r="DE496" i="43"/>
  <c r="DD496" i="43"/>
  <c r="DJ496" i="43"/>
  <c r="DE547" i="43"/>
  <c r="DD547" i="43"/>
  <c r="DJ547" i="43"/>
  <c r="DC724" i="43"/>
  <c r="DJ384" i="43"/>
  <c r="DE384" i="43"/>
  <c r="DD384" i="43"/>
  <c r="DD400" i="43"/>
  <c r="DJ587" i="43"/>
  <c r="DC607" i="43"/>
  <c r="DC639" i="43"/>
  <c r="DC671" i="43"/>
  <c r="DC703" i="43"/>
  <c r="DC748" i="43"/>
  <c r="DJ582" i="43"/>
  <c r="DC614" i="43"/>
  <c r="DC646" i="43"/>
  <c r="DC678" i="43"/>
  <c r="DC710" i="43"/>
  <c r="DC792" i="43"/>
  <c r="DC609" i="43"/>
  <c r="DC641" i="43"/>
  <c r="DC673" i="43"/>
  <c r="DC705" i="43"/>
  <c r="DC756" i="43"/>
  <c r="DC735" i="43"/>
  <c r="DC767" i="43"/>
  <c r="DC799" i="43"/>
  <c r="DC831" i="43"/>
  <c r="DC730" i="43"/>
  <c r="DC762" i="43"/>
  <c r="DC794" i="43"/>
  <c r="DC826" i="43"/>
  <c r="DC733" i="43"/>
  <c r="DC765" i="43"/>
  <c r="DC797" i="43"/>
  <c r="DC829" i="43"/>
  <c r="DC904" i="43"/>
  <c r="DC990" i="43"/>
  <c r="DC867" i="43"/>
  <c r="DC888" i="43"/>
  <c r="DC951" i="43"/>
  <c r="DC903" i="43"/>
  <c r="DC935" i="43"/>
  <c r="DC1022" i="43"/>
  <c r="DC866" i="43"/>
  <c r="DC898" i="43"/>
  <c r="DC930" i="43"/>
  <c r="DC974" i="43"/>
  <c r="DC873" i="43"/>
  <c r="DC905" i="43"/>
  <c r="DC937" i="43"/>
  <c r="DC953" i="43"/>
  <c r="DC986" i="43"/>
  <c r="DC952" i="43"/>
  <c r="DC1023" i="43"/>
  <c r="DC1009" i="43"/>
  <c r="DC1064" i="43"/>
  <c r="DC1004" i="43"/>
  <c r="DC991" i="43"/>
  <c r="DC1044" i="43"/>
  <c r="DC1059" i="43"/>
  <c r="DC1042" i="43"/>
  <c r="DC1066" i="43"/>
  <c r="DC1037" i="43"/>
  <c r="DC1092" i="43"/>
  <c r="DC1097" i="43"/>
  <c r="DC1113" i="43"/>
  <c r="DC1112" i="43"/>
  <c r="DC1099" i="43"/>
  <c r="DC1094" i="43"/>
  <c r="DC1126" i="43"/>
  <c r="DC1133" i="43"/>
  <c r="DC1159" i="43"/>
  <c r="DC1191" i="43"/>
  <c r="DC1194" i="43"/>
  <c r="DC1188" i="43"/>
  <c r="F1" i="43"/>
  <c r="F2" i="43" s="1"/>
  <c r="DJ138" i="43"/>
  <c r="DE138" i="43"/>
  <c r="DI138" i="43"/>
  <c r="DD138" i="43"/>
  <c r="DD112" i="43"/>
  <c r="DJ112" i="43"/>
  <c r="DI112" i="43"/>
  <c r="DE112" i="43"/>
  <c r="DE116" i="43"/>
  <c r="DD116" i="43"/>
  <c r="DJ116" i="43"/>
  <c r="DI116" i="43"/>
  <c r="DD153" i="43"/>
  <c r="DJ153" i="43"/>
  <c r="DI153" i="43"/>
  <c r="DE153" i="43"/>
  <c r="DC736" i="43"/>
  <c r="DE528" i="43"/>
  <c r="DC675" i="43"/>
  <c r="DC618" i="43"/>
  <c r="DC771" i="43"/>
  <c r="DC798" i="43"/>
  <c r="DC833" i="43"/>
  <c r="DC998" i="43"/>
  <c r="DC902" i="43"/>
  <c r="DC957" i="43"/>
  <c r="DC1078" i="43"/>
  <c r="DC1063" i="43"/>
  <c r="DC1085" i="43"/>
  <c r="DC1130" i="43"/>
  <c r="DC1192" i="43"/>
  <c r="DD20" i="43"/>
  <c r="DJ20" i="43"/>
  <c r="DI20" i="43"/>
  <c r="DE20" i="43"/>
  <c r="DE204" i="43"/>
  <c r="DD204" i="43"/>
  <c r="DC648" i="43"/>
  <c r="DD504" i="43"/>
  <c r="DC644" i="43"/>
  <c r="DC679" i="43"/>
  <c r="DC686" i="43"/>
  <c r="DC617" i="43"/>
  <c r="DC743" i="43"/>
  <c r="DC738" i="43"/>
  <c r="DC741" i="43"/>
  <c r="DC837" i="43"/>
  <c r="DC884" i="43"/>
  <c r="DC911" i="43"/>
  <c r="DC874" i="43"/>
  <c r="DC978" i="43"/>
  <c r="DC945" i="43"/>
  <c r="DC1002" i="43"/>
  <c r="DC960" i="43"/>
  <c r="DC1017" i="43"/>
  <c r="DC1012" i="43"/>
  <c r="DC1035" i="43"/>
  <c r="DC1093" i="43"/>
  <c r="DC1050" i="43"/>
  <c r="DC1082" i="43"/>
  <c r="DC1045" i="43"/>
  <c r="DC1069" i="43"/>
  <c r="DC1101" i="43"/>
  <c r="DC1123" i="43"/>
  <c r="DC1124" i="43"/>
  <c r="DC1111" i="43"/>
  <c r="DC1106" i="43"/>
  <c r="DC1199" i="43"/>
  <c r="DC1156" i="43"/>
  <c r="DC1171" i="43"/>
  <c r="DC1161" i="43"/>
  <c r="DC1177" i="43"/>
  <c r="DC1196" i="43"/>
  <c r="DJ69" i="43"/>
  <c r="DE5" i="43"/>
  <c r="DI5" i="43"/>
  <c r="DJ5" i="43"/>
  <c r="DD5" i="43"/>
  <c r="DE45" i="43"/>
  <c r="DD45" i="43"/>
  <c r="DJ45" i="43"/>
  <c r="DI45" i="43"/>
  <c r="DE41" i="43"/>
  <c r="DD41" i="43"/>
  <c r="DJ41" i="43"/>
  <c r="DI41" i="43"/>
  <c r="DD104" i="43"/>
  <c r="DJ104" i="43"/>
  <c r="DI104" i="43"/>
  <c r="DE104" i="43"/>
  <c r="DE51" i="43"/>
  <c r="DD51" i="43"/>
  <c r="DJ51" i="43"/>
  <c r="DI51" i="43"/>
  <c r="DD22" i="43"/>
  <c r="DJ22" i="43"/>
  <c r="DI22" i="43"/>
  <c r="DE22" i="43"/>
  <c r="DJ9" i="43"/>
  <c r="DI9" i="43"/>
  <c r="DE9" i="43"/>
  <c r="DD9" i="43"/>
  <c r="DJ47" i="43"/>
  <c r="DI47" i="43"/>
  <c r="DE47" i="43"/>
  <c r="DD47" i="43"/>
  <c r="DE128" i="43"/>
  <c r="DJ196" i="43"/>
  <c r="DI196" i="43"/>
  <c r="DE196" i="43"/>
  <c r="DD196" i="43"/>
  <c r="DJ172" i="43"/>
  <c r="DE172" i="43"/>
  <c r="DI172" i="43"/>
  <c r="DD172" i="43"/>
  <c r="DJ340" i="43"/>
  <c r="DE340" i="43"/>
  <c r="DD340" i="43"/>
  <c r="DJ130" i="43"/>
  <c r="DE130" i="43"/>
  <c r="DI130" i="43"/>
  <c r="DD130" i="43"/>
  <c r="DJ190" i="43"/>
  <c r="DE190" i="43"/>
  <c r="DI190" i="43"/>
  <c r="DD190" i="43"/>
  <c r="DD370" i="43"/>
  <c r="DE132" i="43"/>
  <c r="DD132" i="43"/>
  <c r="DI132" i="43"/>
  <c r="DJ132" i="43"/>
  <c r="DE97" i="43"/>
  <c r="DD97" i="43"/>
  <c r="DJ97" i="43"/>
  <c r="DI97" i="43"/>
  <c r="DJ350" i="43"/>
  <c r="DE350" i="43"/>
  <c r="DD350" i="43"/>
  <c r="DD126" i="43"/>
  <c r="DJ126" i="43"/>
  <c r="DI126" i="43"/>
  <c r="DE126" i="43"/>
  <c r="DD173" i="43"/>
  <c r="DJ173" i="43"/>
  <c r="DI173" i="43"/>
  <c r="DE173" i="43"/>
  <c r="DD189" i="43"/>
  <c r="DJ189" i="43"/>
  <c r="DI189" i="43"/>
  <c r="DE189" i="43"/>
  <c r="DD230" i="43"/>
  <c r="DE107" i="43"/>
  <c r="DJ107" i="43"/>
  <c r="DI107" i="43"/>
  <c r="DD107" i="43"/>
  <c r="DI125" i="43"/>
  <c r="DD125" i="43"/>
  <c r="DJ125" i="43"/>
  <c r="DE125" i="43"/>
  <c r="DC704" i="43"/>
  <c r="DE205" i="43"/>
  <c r="DD205" i="43"/>
  <c r="DE221" i="43"/>
  <c r="DD221" i="43"/>
  <c r="DD494" i="43"/>
  <c r="DD556" i="43"/>
  <c r="DC656" i="43"/>
  <c r="DE395" i="43"/>
  <c r="DD395" i="43"/>
  <c r="DJ395" i="43"/>
  <c r="DE443" i="43"/>
  <c r="DD443" i="43"/>
  <c r="DJ443" i="43"/>
  <c r="DC816" i="43"/>
  <c r="DJ374" i="43"/>
  <c r="DJ390" i="43"/>
  <c r="DD390" i="43"/>
  <c r="DE390" i="43"/>
  <c r="DJ470" i="43"/>
  <c r="DE470" i="43"/>
  <c r="DD470" i="43"/>
  <c r="DC676" i="43"/>
  <c r="DC619" i="43"/>
  <c r="DC651" i="43"/>
  <c r="DC683" i="43"/>
  <c r="DC715" i="43"/>
  <c r="DC796" i="43"/>
  <c r="DE594" i="43"/>
  <c r="DD594" i="43"/>
  <c r="DJ594" i="43"/>
  <c r="DC626" i="43"/>
  <c r="DC658" i="43"/>
  <c r="DC690" i="43"/>
  <c r="DC722" i="43"/>
  <c r="DJ589" i="43"/>
  <c r="DE589" i="43"/>
  <c r="DD589" i="43"/>
  <c r="DC621" i="43"/>
  <c r="DC653" i="43"/>
  <c r="DC685" i="43"/>
  <c r="DC717" i="43"/>
  <c r="DC804" i="43"/>
  <c r="DC747" i="43"/>
  <c r="DC779" i="43"/>
  <c r="DC811" i="43"/>
  <c r="DC896" i="43"/>
  <c r="DC742" i="43"/>
  <c r="DC774" i="43"/>
  <c r="DC806" i="43"/>
  <c r="DC849" i="43"/>
  <c r="DC745" i="43"/>
  <c r="DC777" i="43"/>
  <c r="DC809" i="43"/>
  <c r="DC845" i="43"/>
  <c r="DC864" i="43"/>
  <c r="DC847" i="43"/>
  <c r="DC916" i="43"/>
  <c r="DC860" i="43"/>
  <c r="DC883" i="43"/>
  <c r="DC915" i="43"/>
  <c r="DC947" i="43"/>
  <c r="DC1014" i="43"/>
  <c r="DC878" i="43"/>
  <c r="DC910" i="43"/>
  <c r="DC942" i="43"/>
  <c r="DC853" i="43"/>
  <c r="DC885" i="43"/>
  <c r="DC917" i="43"/>
  <c r="DC949" i="43"/>
  <c r="DC965" i="43"/>
  <c r="DC1010" i="43"/>
  <c r="DC964" i="43"/>
  <c r="DC989" i="43"/>
  <c r="DC1060" i="43"/>
  <c r="DC984" i="43"/>
  <c r="DC1016" i="43"/>
  <c r="DC1003" i="43"/>
  <c r="DC1039" i="43"/>
  <c r="DC1105" i="43"/>
  <c r="DC1054" i="43"/>
  <c r="DC1088" i="43"/>
  <c r="DC1049" i="43"/>
  <c r="DC1073" i="43"/>
  <c r="DC1067" i="43"/>
  <c r="DC1131" i="43"/>
  <c r="DC1132" i="43"/>
  <c r="DC1143" i="43"/>
  <c r="DC1110" i="43"/>
  <c r="DC1121" i="43"/>
  <c r="DC1164" i="43"/>
  <c r="DC1179" i="43"/>
  <c r="DC1165" i="43"/>
  <c r="DI13" i="43"/>
  <c r="DE13" i="43"/>
  <c r="DD13" i="43"/>
  <c r="DJ13" i="43"/>
  <c r="DE82" i="43"/>
  <c r="DD82" i="43"/>
  <c r="DJ82" i="43"/>
  <c r="DI82" i="43"/>
  <c r="DE274" i="43"/>
  <c r="DE260" i="43"/>
  <c r="DD260" i="43"/>
  <c r="DC680" i="43"/>
  <c r="DC643" i="43"/>
  <c r="DJ586" i="43"/>
  <c r="DC808" i="43"/>
  <c r="DC709" i="43"/>
  <c r="DC734" i="43"/>
  <c r="DC769" i="43"/>
  <c r="DC875" i="43"/>
  <c r="DC1048" i="43"/>
  <c r="DC877" i="43"/>
  <c r="DC956" i="43"/>
  <c r="DC995" i="43"/>
  <c r="DC1041" i="43"/>
  <c r="DC1107" i="43"/>
  <c r="DC1157" i="43"/>
  <c r="DD168" i="43"/>
  <c r="DC784" i="43"/>
  <c r="DE312" i="43"/>
  <c r="DE235" i="43"/>
  <c r="DD235" i="43"/>
  <c r="DC624" i="43"/>
  <c r="DE457" i="43"/>
  <c r="DC752" i="43"/>
  <c r="DC800" i="43"/>
  <c r="DC615" i="43"/>
  <c r="DC711" i="43"/>
  <c r="DC654" i="43"/>
  <c r="DC718" i="43"/>
  <c r="DC713" i="43"/>
  <c r="DC807" i="43"/>
  <c r="DC770" i="43"/>
  <c r="DC834" i="43"/>
  <c r="DC805" i="43"/>
  <c r="DC843" i="43"/>
  <c r="DC852" i="43"/>
  <c r="DC943" i="43"/>
  <c r="DC906" i="43"/>
  <c r="DC913" i="43"/>
  <c r="DC1080" i="43"/>
  <c r="CB10" i="43"/>
  <c r="CE5" i="43"/>
  <c r="F52" i="43" s="1"/>
  <c r="CG4" i="43"/>
  <c r="CG10" i="43"/>
  <c r="CI10" i="43"/>
  <c r="CE4" i="43"/>
  <c r="BP42" i="43"/>
  <c r="DI72" i="43"/>
  <c r="DE72" i="43"/>
  <c r="DD72" i="43"/>
  <c r="DJ72" i="43"/>
  <c r="DE49" i="43"/>
  <c r="DD49" i="43"/>
  <c r="DJ49" i="43"/>
  <c r="DI49" i="43"/>
  <c r="DE6" i="43"/>
  <c r="DI6" i="43"/>
  <c r="DJ6" i="43"/>
  <c r="DD6" i="43"/>
  <c r="DE52" i="43"/>
  <c r="DE48" i="43"/>
  <c r="DD48" i="43"/>
  <c r="DJ48" i="43"/>
  <c r="DI48" i="43"/>
  <c r="DJ146" i="43"/>
  <c r="DE146" i="43"/>
  <c r="DI146" i="43"/>
  <c r="DD146" i="43"/>
  <c r="DE55" i="43"/>
  <c r="CX90" i="43"/>
  <c r="CX21" i="43"/>
  <c r="CX22" i="43" s="1"/>
  <c r="CY22" i="43" s="1"/>
  <c r="DC1180" i="43"/>
  <c r="DC1181" i="43"/>
  <c r="DC1178" i="43"/>
  <c r="DC1149" i="43"/>
  <c r="DC1195" i="43"/>
  <c r="DC1148" i="43"/>
  <c r="DC1141" i="43"/>
  <c r="DC1129" i="43"/>
  <c r="DC1118" i="43"/>
  <c r="DC1102" i="43"/>
  <c r="DC1200" i="43"/>
  <c r="DC1201" i="43"/>
  <c r="DC1198" i="43"/>
  <c r="DC1169" i="43"/>
  <c r="DC1166" i="43"/>
  <c r="DC1167" i="43"/>
  <c r="DC1136" i="43"/>
  <c r="DC1146" i="43"/>
  <c r="DC1117" i="43"/>
  <c r="DC1168" i="43"/>
  <c r="DC1090" i="43"/>
  <c r="DC1103" i="43"/>
  <c r="DC1184" i="43"/>
  <c r="DC1185" i="43"/>
  <c r="DC1182" i="43"/>
  <c r="DC1153" i="43"/>
  <c r="DC1150" i="43"/>
  <c r="DC1151" i="43"/>
  <c r="DC1145" i="43"/>
  <c r="DC1152" i="43"/>
  <c r="DC1122" i="43"/>
  <c r="DJ11" i="43"/>
  <c r="DI11" i="43"/>
  <c r="DE11" i="43"/>
  <c r="DD11" i="43"/>
  <c r="DJ54" i="43"/>
  <c r="DI54" i="43"/>
  <c r="DE54" i="43"/>
  <c r="DD54" i="43"/>
  <c r="DC616" i="43"/>
  <c r="DE238" i="43"/>
  <c r="DD238" i="43"/>
  <c r="DJ176" i="43"/>
  <c r="DE176" i="43"/>
  <c r="DI176" i="43"/>
  <c r="DD176" i="43"/>
  <c r="DD136" i="43"/>
  <c r="DJ136" i="43"/>
  <c r="DI136" i="43"/>
  <c r="DE136" i="43"/>
  <c r="DJ162" i="43"/>
  <c r="DE162" i="43"/>
  <c r="DI162" i="43"/>
  <c r="DD162" i="43"/>
  <c r="DJ194" i="43"/>
  <c r="DE194" i="43"/>
  <c r="DI194" i="43"/>
  <c r="DD194" i="43"/>
  <c r="DE140" i="43"/>
  <c r="DD140" i="43"/>
  <c r="DJ140" i="43"/>
  <c r="DI140" i="43"/>
  <c r="DJ320" i="43"/>
  <c r="DE320" i="43"/>
  <c r="DD320" i="43"/>
  <c r="DE236" i="43"/>
  <c r="DD236" i="43"/>
  <c r="DD159" i="43"/>
  <c r="DJ159" i="43"/>
  <c r="DI159" i="43"/>
  <c r="DE159" i="43"/>
  <c r="DE191" i="43"/>
  <c r="DE115" i="43"/>
  <c r="DJ115" i="43"/>
  <c r="DI115" i="43"/>
  <c r="DD115" i="43"/>
  <c r="DE272" i="43"/>
  <c r="DD272" i="43"/>
  <c r="DI133" i="43"/>
  <c r="DJ133" i="43"/>
  <c r="DD133" i="43"/>
  <c r="DE133" i="43"/>
  <c r="DE310" i="43"/>
  <c r="DE482" i="43"/>
  <c r="DD482" i="43"/>
  <c r="DJ482" i="43"/>
  <c r="DE303" i="43"/>
  <c r="DJ319" i="43"/>
  <c r="DE351" i="43"/>
  <c r="DD351" i="43"/>
  <c r="DJ351" i="43"/>
  <c r="DD367" i="43"/>
  <c r="DC688" i="43"/>
  <c r="DE413" i="43"/>
  <c r="DD413" i="43"/>
  <c r="DJ413" i="43"/>
  <c r="DD445" i="43"/>
  <c r="DJ445" i="43"/>
  <c r="DC608" i="43"/>
  <c r="DJ376" i="43"/>
  <c r="DD424" i="43"/>
  <c r="DJ440" i="43"/>
  <c r="DE440" i="43"/>
  <c r="DD440" i="43"/>
  <c r="DJ456" i="43"/>
  <c r="DE456" i="43"/>
  <c r="DD456" i="43"/>
  <c r="DE591" i="43"/>
  <c r="DD591" i="43"/>
  <c r="DJ591" i="43"/>
  <c r="DC623" i="43"/>
  <c r="DC655" i="43"/>
  <c r="DC687" i="43"/>
  <c r="DC719" i="43"/>
  <c r="DC812" i="43"/>
  <c r="DE598" i="43"/>
  <c r="DD598" i="43"/>
  <c r="DJ598" i="43"/>
  <c r="DC630" i="43"/>
  <c r="DC662" i="43"/>
  <c r="DC694" i="43"/>
  <c r="DC726" i="43"/>
  <c r="DC625" i="43"/>
  <c r="DC657" i="43"/>
  <c r="DC689" i="43"/>
  <c r="DC721" i="43"/>
  <c r="DC820" i="43"/>
  <c r="DC751" i="43"/>
  <c r="DC783" i="43"/>
  <c r="DC815" i="43"/>
  <c r="DC959" i="43"/>
  <c r="DC746" i="43"/>
  <c r="DC778" i="43"/>
  <c r="DC810" i="43"/>
  <c r="DC928" i="43"/>
  <c r="DC749" i="43"/>
  <c r="DC781" i="43"/>
  <c r="DC813" i="43"/>
  <c r="DC879" i="43"/>
  <c r="DC872" i="43"/>
  <c r="DC851" i="43"/>
  <c r="DC948" i="43"/>
  <c r="DC868" i="43"/>
  <c r="DC887" i="43"/>
  <c r="DC919" i="43"/>
  <c r="DC954" i="43"/>
  <c r="DC1020" i="43"/>
  <c r="DC882" i="43"/>
  <c r="DC914" i="43"/>
  <c r="DC946" i="43"/>
  <c r="DC857" i="43"/>
  <c r="DC889" i="43"/>
  <c r="DC921" i="43"/>
  <c r="DC950" i="43"/>
  <c r="DC969" i="43"/>
  <c r="DC1018" i="43"/>
  <c r="DC968" i="43"/>
  <c r="DC993" i="43"/>
  <c r="DC1070" i="43"/>
  <c r="DC988" i="43"/>
  <c r="DC1036" i="43"/>
  <c r="DC1007" i="43"/>
  <c r="DC1043" i="43"/>
  <c r="DC1026" i="43"/>
  <c r="DC1058" i="43"/>
  <c r="DC1021" i="43"/>
  <c r="DC1053" i="43"/>
  <c r="DC1077" i="43"/>
  <c r="DC1071" i="43"/>
  <c r="DC1160" i="43"/>
  <c r="DC1083" i="43"/>
  <c r="DC1119" i="43"/>
  <c r="DC1114" i="43"/>
  <c r="DC1125" i="43"/>
  <c r="DC1183" i="43"/>
  <c r="DC1154" i="43"/>
  <c r="DC1187" i="43"/>
  <c r="DC1193" i="43"/>
  <c r="DJ324" i="43"/>
  <c r="DE324" i="43"/>
  <c r="DD324" i="43"/>
  <c r="DI135" i="43"/>
  <c r="DE135" i="43"/>
  <c r="DD135" i="43"/>
  <c r="DJ135" i="43"/>
  <c r="DJ164" i="43"/>
  <c r="DE164" i="43"/>
  <c r="DI164" i="43"/>
  <c r="DD164" i="43"/>
  <c r="DD110" i="43"/>
  <c r="DJ110" i="43"/>
  <c r="DI110" i="43"/>
  <c r="DE110" i="43"/>
  <c r="DE91" i="43"/>
  <c r="DJ91" i="43"/>
  <c r="DD91" i="43"/>
  <c r="DI91" i="43"/>
  <c r="DC652" i="43"/>
  <c r="DC707" i="43"/>
  <c r="DC682" i="43"/>
  <c r="DC677" i="43"/>
  <c r="DC835" i="43"/>
  <c r="DC830" i="43"/>
  <c r="DC936" i="43"/>
  <c r="DC907" i="43"/>
  <c r="DC979" i="43"/>
  <c r="DC994" i="43"/>
  <c r="DC1008" i="43"/>
  <c r="DC1074" i="43"/>
  <c r="DC1115" i="43"/>
  <c r="DC1137" i="43"/>
  <c r="DD155" i="43"/>
  <c r="DJ155" i="43"/>
  <c r="DI155" i="43"/>
  <c r="DE155" i="43"/>
  <c r="DE99" i="43"/>
  <c r="DJ99" i="43"/>
  <c r="DI99" i="43"/>
  <c r="DD99" i="43"/>
  <c r="DE276" i="43"/>
  <c r="DD276" i="43"/>
  <c r="DE540" i="43"/>
  <c r="DD540" i="43"/>
  <c r="DJ540" i="43"/>
  <c r="DC647" i="43"/>
  <c r="DC780" i="43"/>
  <c r="DC622" i="43"/>
  <c r="DC824" i="43"/>
  <c r="DC681" i="43"/>
  <c r="DC775" i="43"/>
  <c r="DC838" i="43"/>
  <c r="DC802" i="43"/>
  <c r="DC773" i="43"/>
  <c r="DC856" i="43"/>
  <c r="DC1089" i="43"/>
  <c r="DC975" i="43"/>
  <c r="DC938" i="43"/>
  <c r="DC881" i="43"/>
  <c r="DC961" i="43"/>
  <c r="DC985" i="43"/>
  <c r="DC999" i="43"/>
  <c r="DI96" i="43"/>
  <c r="DI24" i="43"/>
  <c r="DE24" i="43"/>
  <c r="DD24" i="43"/>
  <c r="DJ24" i="43"/>
  <c r="DD74" i="43"/>
  <c r="DJ74" i="43"/>
  <c r="DI74" i="43"/>
  <c r="DE74" i="43"/>
  <c r="DE56" i="43"/>
  <c r="DD56" i="43"/>
  <c r="DJ56" i="43"/>
  <c r="DI56" i="43"/>
  <c r="DE7" i="43"/>
  <c r="DI7" i="43"/>
  <c r="DJ7" i="43"/>
  <c r="DD7" i="43"/>
  <c r="DE59" i="43"/>
  <c r="DD59" i="43"/>
  <c r="DJ59" i="43"/>
  <c r="DI59" i="43"/>
  <c r="DJ62" i="43"/>
  <c r="DE44" i="43"/>
  <c r="DJ25" i="43"/>
  <c r="DI25" i="43"/>
  <c r="DE25" i="43"/>
  <c r="DD25" i="43"/>
  <c r="DJ67" i="43"/>
  <c r="DI67" i="43"/>
  <c r="DE67" i="43"/>
  <c r="DD67" i="43"/>
  <c r="DE83" i="43"/>
  <c r="DD83" i="43"/>
  <c r="DJ83" i="43"/>
  <c r="DI83" i="43"/>
  <c r="DJ148" i="43"/>
  <c r="DE148" i="43"/>
  <c r="DI148" i="43"/>
  <c r="DD148" i="43"/>
  <c r="DJ180" i="43"/>
  <c r="DE180" i="43"/>
  <c r="DI180" i="43"/>
  <c r="DD180" i="43"/>
  <c r="DJ143" i="43"/>
  <c r="DD308" i="43"/>
  <c r="DJ166" i="43"/>
  <c r="DE166" i="43"/>
  <c r="DI166" i="43"/>
  <c r="DD166" i="43"/>
  <c r="DE89" i="43"/>
  <c r="DJ89" i="43"/>
  <c r="DI89" i="43"/>
  <c r="DD89" i="43"/>
  <c r="DE210" i="43"/>
  <c r="DD210" i="43"/>
  <c r="DE252" i="43"/>
  <c r="DD252" i="43"/>
  <c r="DD142" i="43"/>
  <c r="DJ142" i="43"/>
  <c r="DI142" i="43"/>
  <c r="DE142" i="43"/>
  <c r="DD177" i="43"/>
  <c r="DJ177" i="43"/>
  <c r="DI177" i="43"/>
  <c r="DE177" i="43"/>
  <c r="DD193" i="43"/>
  <c r="DJ193" i="43"/>
  <c r="DI193" i="43"/>
  <c r="DE193" i="43"/>
  <c r="DE262" i="43"/>
  <c r="DD262" i="43"/>
  <c r="DE78" i="43"/>
  <c r="DJ78" i="43"/>
  <c r="DD78" i="43"/>
  <c r="DI78" i="43"/>
  <c r="DE123" i="43"/>
  <c r="DJ123" i="43"/>
  <c r="DI123" i="43"/>
  <c r="DD123" i="43"/>
  <c r="DE141" i="43"/>
  <c r="DD337" i="43"/>
  <c r="DJ337" i="43"/>
  <c r="DE369" i="43"/>
  <c r="DD369" i="43"/>
  <c r="DJ369" i="43"/>
  <c r="DJ516" i="43"/>
  <c r="DE516" i="43"/>
  <c r="DD516" i="43"/>
  <c r="DC700" i="43"/>
  <c r="DE399" i="43"/>
  <c r="DD399" i="43"/>
  <c r="DC628" i="43"/>
  <c r="DC632" i="43"/>
  <c r="DE515" i="43"/>
  <c r="DC604" i="43"/>
  <c r="DC640" i="43"/>
  <c r="DJ394" i="43"/>
  <c r="DD394" i="43"/>
  <c r="DE394" i="43"/>
  <c r="DJ410" i="43"/>
  <c r="DE410" i="43"/>
  <c r="DD410" i="43"/>
  <c r="DE474" i="43"/>
  <c r="DC627" i="43"/>
  <c r="DC659" i="43"/>
  <c r="DC691" i="43"/>
  <c r="DC723" i="43"/>
  <c r="DC828" i="43"/>
  <c r="DD538" i="43"/>
  <c r="DJ538" i="43"/>
  <c r="DE538" i="43"/>
  <c r="DD570" i="43"/>
  <c r="DC602" i="43"/>
  <c r="DC634" i="43"/>
  <c r="DC666" i="43"/>
  <c r="DC698" i="43"/>
  <c r="DC744" i="43"/>
  <c r="DC629" i="43"/>
  <c r="DC661" i="43"/>
  <c r="DC693" i="43"/>
  <c r="DC725" i="43"/>
  <c r="DC836" i="43"/>
  <c r="DC755" i="43"/>
  <c r="DC787" i="43"/>
  <c r="DC819" i="43"/>
  <c r="DC863" i="43"/>
  <c r="DC750" i="43"/>
  <c r="DC782" i="43"/>
  <c r="DC814" i="43"/>
  <c r="DC1028" i="43"/>
  <c r="DC753" i="43"/>
  <c r="DC785" i="43"/>
  <c r="DC817" i="43"/>
  <c r="DC840" i="43"/>
  <c r="DC880" i="43"/>
  <c r="DC912" i="43"/>
  <c r="DC842" i="43"/>
  <c r="DC876" i="43"/>
  <c r="DC891" i="43"/>
  <c r="DC923" i="43"/>
  <c r="DC962" i="43"/>
  <c r="DC854" i="43"/>
  <c r="DC886" i="43"/>
  <c r="DC918" i="43"/>
  <c r="DC955" i="43"/>
  <c r="DC861" i="43"/>
  <c r="DC893" i="43"/>
  <c r="DC925" i="43"/>
  <c r="DC958" i="43"/>
  <c r="DC973" i="43"/>
  <c r="DC1056" i="43"/>
  <c r="DC972" i="43"/>
  <c r="DC997" i="43"/>
  <c r="DC1072" i="43"/>
  <c r="DC992" i="43"/>
  <c r="DC1040" i="43"/>
  <c r="DC1011" i="43"/>
  <c r="DC1047" i="43"/>
  <c r="DC1030" i="43"/>
  <c r="DC1062" i="43"/>
  <c r="DC1025" i="43"/>
  <c r="DC1057" i="43"/>
  <c r="DC1081" i="43"/>
  <c r="DC1075" i="43"/>
  <c r="DC1100" i="43"/>
  <c r="DC1087" i="43"/>
  <c r="DC1127" i="43"/>
  <c r="DC1139" i="43"/>
  <c r="DC1134" i="43"/>
  <c r="DC1140" i="43"/>
  <c r="DC1158" i="43"/>
  <c r="DC1174" i="43"/>
  <c r="DC1197" i="43"/>
  <c r="DE34" i="43"/>
  <c r="DD34" i="43"/>
  <c r="DJ34" i="43"/>
  <c r="DI34" i="43"/>
  <c r="DE86" i="43"/>
  <c r="DI86" i="43"/>
  <c r="DJ86" i="43"/>
  <c r="DD86" i="43"/>
  <c r="DC720" i="43"/>
  <c r="DD532" i="43"/>
  <c r="DJ532" i="43"/>
  <c r="DE532" i="43"/>
  <c r="DC772" i="43"/>
  <c r="DE39" i="43"/>
  <c r="DD39" i="43"/>
  <c r="DJ39" i="43"/>
  <c r="DI39" i="43"/>
  <c r="DJ4" i="43"/>
  <c r="DI4" i="43"/>
  <c r="DE4" i="43"/>
  <c r="DD4" i="43"/>
  <c r="DJ186" i="43"/>
  <c r="DE186" i="43"/>
  <c r="DI186" i="43"/>
  <c r="DD186" i="43"/>
  <c r="DI118" i="43"/>
  <c r="DD590" i="43"/>
  <c r="DE103" i="43"/>
  <c r="DD120" i="43"/>
  <c r="DJ120" i="43"/>
  <c r="DI120" i="43"/>
  <c r="DE120" i="43"/>
  <c r="DD58" i="43"/>
  <c r="DJ58" i="43"/>
  <c r="DI58" i="43"/>
  <c r="DE58" i="43"/>
  <c r="DJ152" i="43"/>
  <c r="DE152" i="43"/>
  <c r="DI152" i="43"/>
  <c r="DD152" i="43"/>
  <c r="DE206" i="43"/>
  <c r="DD206" i="43"/>
  <c r="DD147" i="43"/>
  <c r="DJ147" i="43"/>
  <c r="DI147" i="43"/>
  <c r="DE147" i="43"/>
  <c r="DD195" i="43"/>
  <c r="DE131" i="43"/>
  <c r="DJ131" i="43"/>
  <c r="DI131" i="43"/>
  <c r="DD131" i="43"/>
  <c r="DE243" i="43"/>
  <c r="DD243" i="43"/>
  <c r="DE307" i="43"/>
  <c r="DD307" i="43"/>
  <c r="DJ307" i="43"/>
  <c r="DE371" i="43"/>
  <c r="DD371" i="43"/>
  <c r="DJ371" i="43"/>
  <c r="DE527" i="43"/>
  <c r="DD527" i="43"/>
  <c r="DJ527" i="43"/>
  <c r="DE385" i="43"/>
  <c r="DD385" i="43"/>
  <c r="DJ385" i="43"/>
  <c r="DC660" i="43"/>
  <c r="DC664" i="43"/>
  <c r="DD488" i="43"/>
  <c r="DC636" i="43"/>
  <c r="DC672" i="43"/>
  <c r="DJ396" i="43"/>
  <c r="DE396" i="43"/>
  <c r="DD396" i="43"/>
  <c r="DE444" i="43"/>
  <c r="DC631" i="43"/>
  <c r="DC663" i="43"/>
  <c r="DC695" i="43"/>
  <c r="DC727" i="43"/>
  <c r="DC871" i="43"/>
  <c r="DE574" i="43"/>
  <c r="DD574" i="43"/>
  <c r="DJ574" i="43"/>
  <c r="DC606" i="43"/>
  <c r="DC638" i="43"/>
  <c r="DC670" i="43"/>
  <c r="DC702" i="43"/>
  <c r="DC760" i="43"/>
  <c r="DC601" i="43"/>
  <c r="DC633" i="43"/>
  <c r="DC665" i="43"/>
  <c r="DC697" i="43"/>
  <c r="DC729" i="43"/>
  <c r="DC841" i="43"/>
  <c r="DC759" i="43"/>
  <c r="DC791" i="43"/>
  <c r="DC823" i="43"/>
  <c r="DC900" i="43"/>
  <c r="DC754" i="43"/>
  <c r="DC786" i="43"/>
  <c r="DC818" i="43"/>
  <c r="DC855" i="43"/>
  <c r="DC757" i="43"/>
  <c r="DC789" i="43"/>
  <c r="DC821" i="43"/>
  <c r="DC844" i="43"/>
  <c r="DC908" i="43"/>
  <c r="DC944" i="43"/>
  <c r="DC846" i="43"/>
  <c r="DC892" i="43"/>
  <c r="DC895" i="43"/>
  <c r="DC927" i="43"/>
  <c r="DC970" i="43"/>
  <c r="DC858" i="43"/>
  <c r="DC890" i="43"/>
  <c r="DC922" i="43"/>
  <c r="DC963" i="43"/>
  <c r="DC865" i="43"/>
  <c r="DC897" i="43"/>
  <c r="DC929" i="43"/>
  <c r="DC966" i="43"/>
  <c r="DC977" i="43"/>
  <c r="DC1024" i="43"/>
  <c r="DC976" i="43"/>
  <c r="DC1001" i="43"/>
  <c r="DC1027" i="43"/>
  <c r="DC996" i="43"/>
  <c r="DC983" i="43"/>
  <c r="DC1015" i="43"/>
  <c r="DC1051" i="43"/>
  <c r="DC1034" i="43"/>
  <c r="DC1068" i="43"/>
  <c r="DC1029" i="43"/>
  <c r="DC1061" i="43"/>
  <c r="DC1084" i="43"/>
  <c r="DC1079" i="43"/>
  <c r="DC1104" i="43"/>
  <c r="DC1091" i="43"/>
  <c r="DC1147" i="43"/>
  <c r="DC1135" i="43"/>
  <c r="DC1138" i="43"/>
  <c r="DC1144" i="43"/>
  <c r="DC1162" i="43"/>
  <c r="DC1186" i="43"/>
  <c r="DC1172" i="43"/>
  <c r="DI46" i="43"/>
  <c r="DE46" i="43"/>
  <c r="DD46" i="43"/>
  <c r="DJ46" i="43"/>
  <c r="DE21" i="43"/>
  <c r="DD21" i="43"/>
  <c r="DJ21" i="43"/>
  <c r="DI21" i="43"/>
  <c r="DJ182" i="43"/>
  <c r="DE182" i="43"/>
  <c r="DI182" i="43"/>
  <c r="DD182" i="43"/>
  <c r="DD185" i="43"/>
  <c r="DJ185" i="43"/>
  <c r="DI185" i="43"/>
  <c r="DE185" i="43"/>
  <c r="DI109" i="43"/>
  <c r="DJ109" i="43"/>
  <c r="DE109" i="43"/>
  <c r="DD109" i="43"/>
  <c r="DE233" i="43"/>
  <c r="DD233" i="43"/>
  <c r="DE439" i="43"/>
  <c r="DD439" i="43"/>
  <c r="DJ439" i="43"/>
  <c r="DC728" i="43"/>
  <c r="DC611" i="43"/>
  <c r="DC714" i="43"/>
  <c r="DC645" i="43"/>
  <c r="DC803" i="43"/>
  <c r="DC737" i="43"/>
  <c r="DC839" i="43"/>
  <c r="DC939" i="43"/>
  <c r="DC934" i="43"/>
  <c r="DC941" i="43"/>
  <c r="DC1013" i="43"/>
  <c r="DC1046" i="43"/>
  <c r="DC1116" i="43"/>
  <c r="DC1163" i="43"/>
  <c r="DJ40" i="43"/>
  <c r="DI40" i="43"/>
  <c r="DE40" i="43"/>
  <c r="DD40" i="43"/>
  <c r="DI119" i="43"/>
  <c r="DE119" i="43"/>
  <c r="DD119" i="43"/>
  <c r="DJ119" i="43"/>
  <c r="DD171" i="43"/>
  <c r="DJ171" i="43"/>
  <c r="DI171" i="43"/>
  <c r="DE171" i="43"/>
  <c r="DE506" i="43"/>
  <c r="DJ506" i="43"/>
  <c r="DE441" i="43"/>
  <c r="DD441" i="43"/>
  <c r="DJ441" i="43"/>
  <c r="DC649" i="43"/>
  <c r="DE63" i="43"/>
  <c r="DD63" i="43"/>
  <c r="DJ63" i="43"/>
  <c r="DI63" i="43"/>
  <c r="DJ98" i="43"/>
  <c r="DE98" i="43"/>
  <c r="DI98" i="43"/>
  <c r="DD98" i="43"/>
  <c r="DE280" i="43"/>
  <c r="DC620" i="43"/>
  <c r="DE278" i="43"/>
  <c r="DD278" i="43"/>
  <c r="DE81" i="43"/>
  <c r="DJ81" i="43"/>
  <c r="DD81" i="43"/>
  <c r="DI81" i="43"/>
  <c r="DD87" i="43"/>
  <c r="DD211" i="43"/>
  <c r="DE355" i="43"/>
  <c r="DD355" i="43"/>
  <c r="DJ355" i="43"/>
  <c r="DC716" i="43"/>
  <c r="DJ412" i="43"/>
  <c r="DE412" i="43"/>
  <c r="DD412" i="43"/>
  <c r="DD43" i="43"/>
  <c r="DI30" i="43"/>
  <c r="DE30" i="43"/>
  <c r="DD30" i="43"/>
  <c r="DJ30" i="43"/>
  <c r="DE66" i="43"/>
  <c r="DD66" i="43"/>
  <c r="DJ66" i="43"/>
  <c r="DI66" i="43"/>
  <c r="DE17" i="43"/>
  <c r="DD17" i="43"/>
  <c r="DJ17" i="43"/>
  <c r="DI17" i="43"/>
  <c r="DJ127" i="43"/>
  <c r="DE71" i="43"/>
  <c r="DD71" i="43"/>
  <c r="DJ71" i="43"/>
  <c r="DI71" i="43"/>
  <c r="DE8" i="43"/>
  <c r="DD8" i="43"/>
  <c r="DI8" i="43"/>
  <c r="DJ8" i="43"/>
  <c r="DJ28" i="43"/>
  <c r="DI28" i="43"/>
  <c r="DE28" i="43"/>
  <c r="DD28" i="43"/>
  <c r="DJ73" i="43"/>
  <c r="DI73" i="43"/>
  <c r="DE73" i="43"/>
  <c r="DD73" i="43"/>
  <c r="DD144" i="43"/>
  <c r="DJ144" i="43"/>
  <c r="DI144" i="43"/>
  <c r="DE144" i="43"/>
  <c r="DJ156" i="43"/>
  <c r="DE156" i="43"/>
  <c r="DI156" i="43"/>
  <c r="DD156" i="43"/>
  <c r="DJ188" i="43"/>
  <c r="DE188" i="43"/>
  <c r="DI188" i="43"/>
  <c r="DD188" i="43"/>
  <c r="DE270" i="43"/>
  <c r="DD270" i="43"/>
  <c r="DE100" i="43"/>
  <c r="DD100" i="43"/>
  <c r="DI100" i="43"/>
  <c r="DJ100" i="43"/>
  <c r="DE242" i="43"/>
  <c r="DD242" i="43"/>
  <c r="DJ368" i="43"/>
  <c r="DE368" i="43"/>
  <c r="DD368" i="43"/>
  <c r="DE129" i="43"/>
  <c r="DD129" i="43"/>
  <c r="DJ129" i="43"/>
  <c r="DI129" i="43"/>
  <c r="DE286" i="43"/>
  <c r="DD286" i="43"/>
  <c r="DD94" i="43"/>
  <c r="DJ94" i="43"/>
  <c r="DI94" i="43"/>
  <c r="DE94" i="43"/>
  <c r="DD149" i="43"/>
  <c r="DJ149" i="43"/>
  <c r="DI149" i="43"/>
  <c r="DE149" i="43"/>
  <c r="DD165" i="43"/>
  <c r="DJ165" i="43"/>
  <c r="DI165" i="43"/>
  <c r="DE165" i="43"/>
  <c r="DD181" i="43"/>
  <c r="DJ181" i="43"/>
  <c r="DI181" i="43"/>
  <c r="DE181" i="43"/>
  <c r="DE284" i="43"/>
  <c r="DD284" i="43"/>
  <c r="DE85" i="43"/>
  <c r="DJ85" i="43"/>
  <c r="DI85" i="43"/>
  <c r="DD85" i="43"/>
  <c r="DE139" i="43"/>
  <c r="DJ139" i="43"/>
  <c r="DI139" i="43"/>
  <c r="DD139" i="43"/>
  <c r="DE314" i="43"/>
  <c r="DI93" i="43"/>
  <c r="DD93" i="43"/>
  <c r="DJ93" i="43"/>
  <c r="DE93" i="43"/>
  <c r="DE277" i="43"/>
  <c r="DD277" i="43"/>
  <c r="DE293" i="43"/>
  <c r="DD293" i="43"/>
  <c r="DE309" i="43"/>
  <c r="DE357" i="43"/>
  <c r="DJ564" i="43"/>
  <c r="DE564" i="43"/>
  <c r="DD564" i="43"/>
  <c r="DC768" i="43"/>
  <c r="DE403" i="43"/>
  <c r="DD403" i="43"/>
  <c r="DJ403" i="43"/>
  <c r="DJ451" i="43"/>
  <c r="DE467" i="43"/>
  <c r="DD467" i="43"/>
  <c r="DJ467" i="43"/>
  <c r="DE489" i="43"/>
  <c r="DD489" i="43"/>
  <c r="DJ489" i="43"/>
  <c r="DJ544" i="43"/>
  <c r="DC692" i="43"/>
  <c r="DC696" i="43"/>
  <c r="DE492" i="43"/>
  <c r="DD492" i="43"/>
  <c r="DJ492" i="43"/>
  <c r="DC668" i="43"/>
  <c r="DC708" i="43"/>
  <c r="DJ398" i="43"/>
  <c r="DE398" i="43"/>
  <c r="DD398" i="43"/>
  <c r="DJ414" i="43"/>
  <c r="DE414" i="43"/>
  <c r="DD414" i="43"/>
  <c r="DD479" i="43"/>
  <c r="DC603" i="43"/>
  <c r="DC635" i="43"/>
  <c r="DC667" i="43"/>
  <c r="DC699" i="43"/>
  <c r="DC732" i="43"/>
  <c r="DE514" i="43"/>
  <c r="DC610" i="43"/>
  <c r="DC642" i="43"/>
  <c r="DC674" i="43"/>
  <c r="DC706" i="43"/>
  <c r="DC776" i="43"/>
  <c r="DC605" i="43"/>
  <c r="DC637" i="43"/>
  <c r="DC669" i="43"/>
  <c r="DC701" i="43"/>
  <c r="DC740" i="43"/>
  <c r="DC731" i="43"/>
  <c r="DC763" i="43"/>
  <c r="DC795" i="43"/>
  <c r="DC827" i="43"/>
  <c r="DC967" i="43"/>
  <c r="DC758" i="43"/>
  <c r="DC790" i="43"/>
  <c r="DC822" i="43"/>
  <c r="DC932" i="43"/>
  <c r="DC761" i="43"/>
  <c r="DC793" i="43"/>
  <c r="DC825" i="43"/>
  <c r="DC848" i="43"/>
  <c r="DC940" i="43"/>
  <c r="DC859" i="43"/>
  <c r="DC850" i="43"/>
  <c r="DC924" i="43"/>
  <c r="DC899" i="43"/>
  <c r="DC931" i="43"/>
  <c r="DC1006" i="43"/>
  <c r="DC862" i="43"/>
  <c r="DC894" i="43"/>
  <c r="DC926" i="43"/>
  <c r="DC971" i="43"/>
  <c r="DC869" i="43"/>
  <c r="DC901" i="43"/>
  <c r="DC933" i="43"/>
  <c r="DC982" i="43"/>
  <c r="DC981" i="43"/>
  <c r="DC1128" i="43"/>
  <c r="DC980" i="43"/>
  <c r="DC1005" i="43"/>
  <c r="DC1032" i="43"/>
  <c r="DC1000" i="43"/>
  <c r="DC987" i="43"/>
  <c r="DC1019" i="43"/>
  <c r="DC1055" i="43"/>
  <c r="DC1038" i="43"/>
  <c r="DC1076" i="43"/>
  <c r="DC1033" i="43"/>
  <c r="DC1065" i="43"/>
  <c r="DC1096" i="43"/>
  <c r="DC1120" i="43"/>
  <c r="DC1108" i="43"/>
  <c r="DC1095" i="43"/>
  <c r="DC1086" i="43"/>
  <c r="DC1175" i="43"/>
  <c r="DC1142" i="43"/>
  <c r="DC1155" i="43"/>
  <c r="DC1170" i="43"/>
  <c r="DC1190" i="43"/>
  <c r="DC1176" i="43"/>
  <c r="DB14" i="43"/>
  <c r="DB24" i="43"/>
  <c r="DB15" i="43"/>
  <c r="DB13" i="43"/>
  <c r="DB46" i="43"/>
  <c r="DB5" i="43"/>
  <c r="DB7" i="43"/>
  <c r="DB72" i="43"/>
  <c r="DJ60" i="43"/>
  <c r="DI60" i="43"/>
  <c r="DE60" i="43"/>
  <c r="DD60" i="43"/>
  <c r="DB63" i="43"/>
  <c r="DB52" i="43"/>
  <c r="DB33" i="43"/>
  <c r="DB82" i="43"/>
  <c r="DB65" i="43"/>
  <c r="DB54" i="43"/>
  <c r="DB217" i="43"/>
  <c r="CY13" i="43"/>
  <c r="DB50" i="43"/>
  <c r="DB89" i="43"/>
  <c r="DB243" i="43"/>
  <c r="DB141" i="43"/>
  <c r="DB129" i="43"/>
  <c r="DB486" i="43"/>
  <c r="DB142" i="43"/>
  <c r="DB161" i="43"/>
  <c r="DB177" i="43"/>
  <c r="DB193" i="43"/>
  <c r="DB263" i="43"/>
  <c r="DB91" i="43"/>
  <c r="DB225" i="43"/>
  <c r="DB112" i="43"/>
  <c r="DB251" i="43"/>
  <c r="DB77" i="43"/>
  <c r="DB130" i="43"/>
  <c r="DB158" i="43"/>
  <c r="DB174" i="43"/>
  <c r="DB190" i="43"/>
  <c r="DB239" i="43"/>
  <c r="DB482" i="43"/>
  <c r="DB285" i="43"/>
  <c r="DB301" i="43"/>
  <c r="DB317" i="43"/>
  <c r="DB333" i="43"/>
  <c r="DB349" i="43"/>
  <c r="DB365" i="43"/>
  <c r="DB494" i="43"/>
  <c r="DB723" i="43"/>
  <c r="DB490" i="43"/>
  <c r="DB208" i="43"/>
  <c r="DB224" i="43"/>
  <c r="DB240" i="43"/>
  <c r="DB256" i="43"/>
  <c r="DB272" i="43"/>
  <c r="DB288" i="43"/>
  <c r="DB304" i="43"/>
  <c r="DB320" i="43"/>
  <c r="DB336" i="43"/>
  <c r="DB352" i="43"/>
  <c r="DB368" i="43"/>
  <c r="DB397" i="43"/>
  <c r="DB413" i="43"/>
  <c r="DB429" i="43"/>
  <c r="DB445" i="43"/>
  <c r="DB461" i="43"/>
  <c r="DB477" i="43"/>
  <c r="DB509" i="43"/>
  <c r="DB596" i="43"/>
  <c r="DB540" i="43"/>
  <c r="DB691" i="43"/>
  <c r="DB484" i="43"/>
  <c r="DB515" i="43"/>
  <c r="DB604" i="43"/>
  <c r="DB603" i="43"/>
  <c r="DB787" i="43"/>
  <c r="DB388" i="43"/>
  <c r="DB404" i="43"/>
  <c r="DB420" i="43"/>
  <c r="DB436" i="43"/>
  <c r="DB452" i="43"/>
  <c r="DB468" i="43"/>
  <c r="DB491" i="43"/>
  <c r="DB555" i="43"/>
  <c r="DB644" i="43"/>
  <c r="DB643" i="43"/>
  <c r="DB871" i="43"/>
  <c r="DB542" i="43"/>
  <c r="DB574" i="43"/>
  <c r="DB606" i="43"/>
  <c r="DB638" i="43"/>
  <c r="DB670" i="43"/>
  <c r="DB702" i="43"/>
  <c r="DB751" i="43"/>
  <c r="DB513" i="43"/>
  <c r="DB545" i="43"/>
  <c r="DB577" i="43"/>
  <c r="DB609" i="43"/>
  <c r="DB641" i="43"/>
  <c r="DB673" i="43"/>
  <c r="DB705" i="43"/>
  <c r="DB747" i="43"/>
  <c r="DB704" i="43"/>
  <c r="DB759" i="43"/>
  <c r="DB730" i="43"/>
  <c r="DB762" i="43"/>
  <c r="DB794" i="43"/>
  <c r="DB826" i="43"/>
  <c r="DB932" i="43"/>
  <c r="DB757" i="43"/>
  <c r="DB789" i="43"/>
  <c r="DB821" i="43"/>
  <c r="DB732" i="43"/>
  <c r="DB764" i="43"/>
  <c r="DB796" i="43"/>
  <c r="DB828" i="43"/>
  <c r="DB903" i="43"/>
  <c r="DB851" i="43"/>
  <c r="DB884" i="43"/>
  <c r="DB850" i="43"/>
  <c r="DB860" i="43"/>
  <c r="DB1007" i="43"/>
  <c r="DB953" i="43"/>
  <c r="DB870" i="43"/>
  <c r="DB902" i="43"/>
  <c r="DB934" i="43"/>
  <c r="DB978" i="43"/>
  <c r="DB873" i="43"/>
  <c r="DB905" i="43"/>
  <c r="DB937" i="43"/>
  <c r="DB991" i="43"/>
  <c r="DB994" i="43"/>
  <c r="DB952" i="43"/>
  <c r="DB989" i="43"/>
  <c r="DB1019" i="43"/>
  <c r="DB975" i="43"/>
  <c r="DB1027" i="43"/>
  <c r="DB988" i="43"/>
  <c r="DB1031" i="43"/>
  <c r="DB1023" i="43"/>
  <c r="DB1030" i="43"/>
  <c r="DB1062" i="43"/>
  <c r="DB1045" i="43"/>
  <c r="DB1077" i="43"/>
  <c r="DB1113" i="43"/>
  <c r="DB1089" i="43"/>
  <c r="DB1108" i="43"/>
  <c r="DB1091" i="43"/>
  <c r="DB1119" i="43"/>
  <c r="DB1106" i="43"/>
  <c r="DB1158" i="43"/>
  <c r="DB1125" i="43"/>
  <c r="DB1177" i="43"/>
  <c r="DB1148" i="43"/>
  <c r="DB1147" i="43"/>
  <c r="DB1149" i="43"/>
  <c r="DB1174" i="43"/>
  <c r="DB1184" i="43"/>
  <c r="DB1187" i="43"/>
  <c r="DB29" i="43"/>
  <c r="DB48" i="43"/>
  <c r="DB132" i="43"/>
  <c r="DB61" i="43"/>
  <c r="DB28" i="43"/>
  <c r="DB73" i="43"/>
  <c r="DB11" i="43"/>
  <c r="DB18" i="43"/>
  <c r="DB64" i="43"/>
  <c r="DB133" i="43"/>
  <c r="DB95" i="43"/>
  <c r="DB275" i="43"/>
  <c r="DB205" i="43"/>
  <c r="DB102" i="43"/>
  <c r="DB151" i="43"/>
  <c r="DB167" i="43"/>
  <c r="DB183" i="43"/>
  <c r="DB199" i="43"/>
  <c r="DB115" i="43"/>
  <c r="DB273" i="43"/>
  <c r="DB136" i="43"/>
  <c r="DB213" i="43"/>
  <c r="DB90" i="43"/>
  <c r="DB148" i="43"/>
  <c r="DB164" i="43"/>
  <c r="DB180" i="43"/>
  <c r="DB196" i="43"/>
  <c r="DB377" i="43"/>
  <c r="DB552" i="43"/>
  <c r="DB291" i="43"/>
  <c r="DB307" i="43"/>
  <c r="DB323" i="43"/>
  <c r="DB339" i="43"/>
  <c r="DB355" i="43"/>
  <c r="DB371" i="43"/>
  <c r="DB564" i="43"/>
  <c r="DB379" i="43"/>
  <c r="DB588" i="43"/>
  <c r="DB214" i="43"/>
  <c r="DB230" i="43"/>
  <c r="DB246" i="43"/>
  <c r="DB262" i="43"/>
  <c r="DB278" i="43"/>
  <c r="DB294" i="43"/>
  <c r="DB310" i="43"/>
  <c r="DB326" i="43"/>
  <c r="DB342" i="43"/>
  <c r="DB358" i="43"/>
  <c r="DB516" i="43"/>
  <c r="DB403" i="43"/>
  <c r="DB419" i="43"/>
  <c r="DB435" i="43"/>
  <c r="DB451" i="43"/>
  <c r="DB467" i="43"/>
  <c r="DB489" i="43"/>
  <c r="DB559" i="43"/>
  <c r="DB655" i="43"/>
  <c r="DB600" i="43"/>
  <c r="DB719" i="43"/>
  <c r="DB496" i="43"/>
  <c r="DB560" i="43"/>
  <c r="DB663" i="43"/>
  <c r="DB640" i="43"/>
  <c r="DB378" i="43"/>
  <c r="DB394" i="43"/>
  <c r="DB410" i="43"/>
  <c r="DB426" i="43"/>
  <c r="DB442" i="43"/>
  <c r="DB458" i="43"/>
  <c r="DB474" i="43"/>
  <c r="DB503" i="43"/>
  <c r="DB579" i="43"/>
  <c r="DB895" i="43"/>
  <c r="DB680" i="43"/>
  <c r="DB522" i="43"/>
  <c r="DB554" i="43"/>
  <c r="DB586" i="43"/>
  <c r="DB618" i="43"/>
  <c r="DB650" i="43"/>
  <c r="DB682" i="43"/>
  <c r="DB714" i="43"/>
  <c r="DB799" i="43"/>
  <c r="DB525" i="43"/>
  <c r="DB557" i="43"/>
  <c r="DB589" i="43"/>
  <c r="DB621" i="43"/>
  <c r="DB653" i="43"/>
  <c r="DB685" i="43"/>
  <c r="DB717" i="43"/>
  <c r="DB795" i="43"/>
  <c r="DB716" i="43"/>
  <c r="DB807" i="43"/>
  <c r="DB742" i="43"/>
  <c r="DB774" i="43"/>
  <c r="DB806" i="43"/>
  <c r="DB840" i="43"/>
  <c r="DB737" i="43"/>
  <c r="DB769" i="43"/>
  <c r="DB801" i="43"/>
  <c r="DB833" i="43"/>
  <c r="DB744" i="43"/>
  <c r="DB776" i="43"/>
  <c r="DB808" i="43"/>
  <c r="DB848" i="43"/>
  <c r="DB940" i="43"/>
  <c r="DB939" i="43"/>
  <c r="DB943" i="43"/>
  <c r="DB915" i="43"/>
  <c r="DB887" i="43"/>
  <c r="DB849" i="43"/>
  <c r="DB1093" i="43"/>
  <c r="DB882" i="43"/>
  <c r="DB914" i="43"/>
  <c r="DB946" i="43"/>
  <c r="DB853" i="43"/>
  <c r="DB885" i="43"/>
  <c r="DB917" i="43"/>
  <c r="DB949" i="43"/>
  <c r="DB1001" i="43"/>
  <c r="DB1018" i="43"/>
  <c r="DB964" i="43"/>
  <c r="DB1013" i="43"/>
  <c r="DB955" i="43"/>
  <c r="DB998" i="43"/>
  <c r="DB1064" i="43"/>
  <c r="DB1000" i="43"/>
  <c r="DB1028" i="43"/>
  <c r="DB1073" i="43"/>
  <c r="DB1042" i="43"/>
  <c r="DB1025" i="43"/>
  <c r="DB1057" i="43"/>
  <c r="DB1067" i="43"/>
  <c r="DB1070" i="43"/>
  <c r="DB1088" i="43"/>
  <c r="DB1185" i="43"/>
  <c r="DB1103" i="43"/>
  <c r="DB1086" i="43"/>
  <c r="DB1140" i="43"/>
  <c r="DB1126" i="43"/>
  <c r="DB1141" i="43"/>
  <c r="DB1163" i="43"/>
  <c r="DB1167" i="43"/>
  <c r="DB1170" i="43"/>
  <c r="DB1161" i="43"/>
  <c r="DB1186" i="43"/>
  <c r="DB1196" i="43"/>
  <c r="DB1199" i="43"/>
  <c r="DB6" i="43"/>
  <c r="DB39" i="43"/>
  <c r="DB125" i="43"/>
  <c r="DB62" i="43"/>
  <c r="DB32" i="43"/>
  <c r="DB21" i="43"/>
  <c r="DB31" i="43"/>
  <c r="DB75" i="43"/>
  <c r="DB23" i="43"/>
  <c r="DB108" i="43"/>
  <c r="DB227" i="43"/>
  <c r="DB101" i="43"/>
  <c r="DB97" i="43"/>
  <c r="DB221" i="43"/>
  <c r="DB110" i="43"/>
  <c r="DB153" i="43"/>
  <c r="DB169" i="43"/>
  <c r="DB185" i="43"/>
  <c r="DB201" i="43"/>
  <c r="DB78" i="43"/>
  <c r="DB123" i="43"/>
  <c r="DB580" i="43"/>
  <c r="DB144" i="43"/>
  <c r="DB229" i="43"/>
  <c r="DB98" i="43"/>
  <c r="DB150" i="43"/>
  <c r="DB166" i="43"/>
  <c r="DB182" i="43"/>
  <c r="DB198" i="43"/>
  <c r="DB381" i="43"/>
  <c r="DB572" i="43"/>
  <c r="DB293" i="43"/>
  <c r="DB309" i="43"/>
  <c r="DB325" i="43"/>
  <c r="DB341" i="43"/>
  <c r="DB357" i="43"/>
  <c r="DB373" i="43"/>
  <c r="DB684" i="43"/>
  <c r="DB383" i="43"/>
  <c r="DB615" i="43"/>
  <c r="DB216" i="43"/>
  <c r="DB232" i="43"/>
  <c r="DB248" i="43"/>
  <c r="DB264" i="43"/>
  <c r="DB280" i="43"/>
  <c r="DB296" i="43"/>
  <c r="DB312" i="43"/>
  <c r="DB328" i="43"/>
  <c r="DB344" i="43"/>
  <c r="DB360" i="43"/>
  <c r="DB592" i="43"/>
  <c r="DB405" i="43"/>
  <c r="DB421" i="43"/>
  <c r="DB437" i="43"/>
  <c r="DB453" i="43"/>
  <c r="DB469" i="43"/>
  <c r="DB493" i="43"/>
  <c r="DB567" i="43"/>
  <c r="DB660" i="43"/>
  <c r="DB627" i="43"/>
  <c r="DB739" i="43"/>
  <c r="DB500" i="43"/>
  <c r="DB568" i="43"/>
  <c r="DB668" i="43"/>
  <c r="DB667" i="43"/>
  <c r="DB380" i="43"/>
  <c r="DB396" i="43"/>
  <c r="DB412" i="43"/>
  <c r="DB428" i="43"/>
  <c r="DB444" i="43"/>
  <c r="DB460" i="43"/>
  <c r="DB476" i="43"/>
  <c r="DB507" i="43"/>
  <c r="DB587" i="43"/>
  <c r="DB524" i="43"/>
  <c r="DB711" i="43"/>
  <c r="DB526" i="43"/>
  <c r="DB558" i="43"/>
  <c r="DB590" i="43"/>
  <c r="DB622" i="43"/>
  <c r="DB654" i="43"/>
  <c r="DB686" i="43"/>
  <c r="DB718" i="43"/>
  <c r="DB815" i="43"/>
  <c r="DB529" i="43"/>
  <c r="DB561" i="43"/>
  <c r="DB593" i="43"/>
  <c r="DB625" i="43"/>
  <c r="DB657" i="43"/>
  <c r="DB689" i="43"/>
  <c r="DB721" i="43"/>
  <c r="DB811" i="43"/>
  <c r="DB720" i="43"/>
  <c r="DB823" i="43"/>
  <c r="DB746" i="43"/>
  <c r="DB778" i="43"/>
  <c r="DB810" i="43"/>
  <c r="DB904" i="43"/>
  <c r="DB741" i="43"/>
  <c r="DB773" i="43"/>
  <c r="DB805" i="43"/>
  <c r="DB837" i="43"/>
  <c r="DB748" i="43"/>
  <c r="DB780" i="43"/>
  <c r="DB812" i="43"/>
  <c r="DB856" i="43"/>
  <c r="DB1060" i="43"/>
  <c r="DB944" i="43"/>
  <c r="DB948" i="43"/>
  <c r="DB920" i="43"/>
  <c r="DB892" i="43"/>
  <c r="DB891" i="43"/>
  <c r="DB854" i="43"/>
  <c r="DB886" i="43"/>
  <c r="DB918" i="43"/>
  <c r="DB957" i="43"/>
  <c r="DB857" i="43"/>
  <c r="DB889" i="43"/>
  <c r="DB921" i="43"/>
  <c r="DB950" i="43"/>
  <c r="DB1021" i="43"/>
  <c r="DB1056" i="43"/>
  <c r="DB968" i="43"/>
  <c r="DB987" i="43"/>
  <c r="DB959" i="43"/>
  <c r="DB1006" i="43"/>
  <c r="DB1080" i="43"/>
  <c r="DB1004" i="43"/>
  <c r="DB1035" i="43"/>
  <c r="DB1081" i="43"/>
  <c r="DB1046" i="43"/>
  <c r="DB1029" i="43"/>
  <c r="DB1061" i="43"/>
  <c r="DB1071" i="43"/>
  <c r="DB1074" i="43"/>
  <c r="DB1092" i="43"/>
  <c r="DB1116" i="43"/>
  <c r="DB1107" i="43"/>
  <c r="DB1090" i="43"/>
  <c r="DB1145" i="43"/>
  <c r="DB1130" i="43"/>
  <c r="DB1152" i="43"/>
  <c r="DB1171" i="43"/>
  <c r="DB1189" i="43"/>
  <c r="DB1176" i="43"/>
  <c r="DB1165" i="43"/>
  <c r="DB1190" i="43"/>
  <c r="DB1200" i="43"/>
  <c r="DB42" i="43"/>
  <c r="DB34" i="43"/>
  <c r="DB16" i="43"/>
  <c r="DB68" i="43"/>
  <c r="DB51" i="43"/>
  <c r="DB83" i="43"/>
  <c r="DB37" i="43"/>
  <c r="DB117" i="43"/>
  <c r="DB3" i="43"/>
  <c r="DB119" i="43"/>
  <c r="DB233" i="43"/>
  <c r="DB259" i="43"/>
  <c r="DB105" i="43"/>
  <c r="DB237" i="43"/>
  <c r="DB118" i="43"/>
  <c r="DB155" i="43"/>
  <c r="DB171" i="43"/>
  <c r="DB187" i="43"/>
  <c r="DB215" i="43"/>
  <c r="DB81" i="43"/>
  <c r="DB131" i="43"/>
  <c r="DB74" i="43"/>
  <c r="DB203" i="43"/>
  <c r="DB245" i="43"/>
  <c r="DB106" i="43"/>
  <c r="DB152" i="43"/>
  <c r="DB168" i="43"/>
  <c r="DB184" i="43"/>
  <c r="DB200" i="43"/>
  <c r="DB385" i="43"/>
  <c r="DB652" i="43"/>
  <c r="DB295" i="43"/>
  <c r="DB311" i="43"/>
  <c r="DB327" i="43"/>
  <c r="DB343" i="43"/>
  <c r="DB359" i="43"/>
  <c r="DB656" i="43"/>
  <c r="DB527" i="43"/>
  <c r="DB387" i="43"/>
  <c r="DB202" i="43"/>
  <c r="DB218" i="43"/>
  <c r="DB234" i="43"/>
  <c r="DB250" i="43"/>
  <c r="DB266" i="43"/>
  <c r="DB282" i="43"/>
  <c r="DB298" i="43"/>
  <c r="DB314" i="43"/>
  <c r="DB330" i="43"/>
  <c r="DB346" i="43"/>
  <c r="DB362" i="43"/>
  <c r="DB619" i="43"/>
  <c r="DB407" i="43"/>
  <c r="DB423" i="43"/>
  <c r="DB439" i="43"/>
  <c r="DB455" i="43"/>
  <c r="DB471" i="43"/>
  <c r="DB497" i="43"/>
  <c r="DB575" i="43"/>
  <c r="DB687" i="43"/>
  <c r="DB632" i="43"/>
  <c r="DB803" i="43"/>
  <c r="DB504" i="43"/>
  <c r="DB576" i="43"/>
  <c r="DB695" i="43"/>
  <c r="DB672" i="43"/>
  <c r="DB382" i="43"/>
  <c r="DB398" i="43"/>
  <c r="DB414" i="43"/>
  <c r="DB430" i="43"/>
  <c r="DB446" i="43"/>
  <c r="DB462" i="43"/>
  <c r="DB479" i="43"/>
  <c r="DB511" i="43"/>
  <c r="DB607" i="43"/>
  <c r="DB535" i="43"/>
  <c r="DB727" i="43"/>
  <c r="DB530" i="43"/>
  <c r="DB562" i="43"/>
  <c r="DB594" i="43"/>
  <c r="DB626" i="43"/>
  <c r="DB658" i="43"/>
  <c r="DB690" i="43"/>
  <c r="DB722" i="43"/>
  <c r="DB831" i="43"/>
  <c r="DB533" i="43"/>
  <c r="DB565" i="43"/>
  <c r="DB597" i="43"/>
  <c r="DB629" i="43"/>
  <c r="DB661" i="43"/>
  <c r="DB693" i="43"/>
  <c r="DB725" i="43"/>
  <c r="DB827" i="43"/>
  <c r="DB724" i="43"/>
  <c r="DB863" i="43"/>
  <c r="DB750" i="43"/>
  <c r="DB782" i="43"/>
  <c r="DB814" i="43"/>
  <c r="DB931" i="43"/>
  <c r="DB745" i="43"/>
  <c r="DB777" i="43"/>
  <c r="DB809" i="43"/>
  <c r="DB936" i="43"/>
  <c r="DB752" i="43"/>
  <c r="DB784" i="43"/>
  <c r="DB816" i="43"/>
  <c r="DB864" i="43"/>
  <c r="DB839" i="43"/>
  <c r="DB859" i="43"/>
  <c r="DB954" i="43"/>
  <c r="DB947" i="43"/>
  <c r="DB919" i="43"/>
  <c r="DB896" i="43"/>
  <c r="DB858" i="43"/>
  <c r="DB890" i="43"/>
  <c r="DB922" i="43"/>
  <c r="DB965" i="43"/>
  <c r="DB861" i="43"/>
  <c r="DB893" i="43"/>
  <c r="DB925" i="43"/>
  <c r="DB958" i="43"/>
  <c r="DB977" i="43"/>
  <c r="DB1072" i="43"/>
  <c r="DB972" i="43"/>
  <c r="DB995" i="43"/>
  <c r="DB963" i="43"/>
  <c r="DB1014" i="43"/>
  <c r="DB1085" i="43"/>
  <c r="DB1008" i="43"/>
  <c r="DB1040" i="43"/>
  <c r="DB1097" i="43"/>
  <c r="DB1050" i="43"/>
  <c r="DB1033" i="43"/>
  <c r="DB1065" i="43"/>
  <c r="DB1075" i="43"/>
  <c r="DB1078" i="43"/>
  <c r="DB1096" i="43"/>
  <c r="DB1124" i="43"/>
  <c r="DB1111" i="43"/>
  <c r="DB1094" i="43"/>
  <c r="DB1168" i="43"/>
  <c r="DB1138" i="43"/>
  <c r="DB1136" i="43"/>
  <c r="DB1156" i="43"/>
  <c r="DB1135" i="43"/>
  <c r="DB1201" i="43"/>
  <c r="DB1169" i="43"/>
  <c r="DB1194" i="43"/>
  <c r="DB1175" i="43"/>
  <c r="CX23" i="43"/>
  <c r="CX24" i="43" s="1"/>
  <c r="CY24" i="43" s="1"/>
  <c r="DJ50" i="43"/>
  <c r="DI50" i="43"/>
  <c r="DE50" i="43"/>
  <c r="DD50" i="43"/>
  <c r="DB49" i="43"/>
  <c r="DB35" i="43"/>
  <c r="DB17" i="43"/>
  <c r="DB71" i="43"/>
  <c r="DB55" i="43"/>
  <c r="DB20" i="43"/>
  <c r="DB92" i="43"/>
  <c r="DB40" i="43"/>
  <c r="DB124" i="43"/>
  <c r="DB10" i="43"/>
  <c r="DB281" i="43"/>
  <c r="DB647" i="43"/>
  <c r="DB502" i="43"/>
  <c r="DB113" i="43"/>
  <c r="DB253" i="43"/>
  <c r="DB126" i="43"/>
  <c r="DB157" i="43"/>
  <c r="DB173" i="43"/>
  <c r="DB189" i="43"/>
  <c r="DB231" i="43"/>
  <c r="DB85" i="43"/>
  <c r="DB139" i="43"/>
  <c r="DB96" i="43"/>
  <c r="DB219" i="43"/>
  <c r="DB261" i="43"/>
  <c r="DB114" i="43"/>
  <c r="DB154" i="43"/>
  <c r="DB170" i="43"/>
  <c r="DB186" i="43"/>
  <c r="DB207" i="43"/>
  <c r="DB389" i="43"/>
  <c r="DB679" i="43"/>
  <c r="DB297" i="43"/>
  <c r="DB313" i="43"/>
  <c r="DB329" i="43"/>
  <c r="DB345" i="43"/>
  <c r="DB361" i="43"/>
  <c r="DB683" i="43"/>
  <c r="DB548" i="43"/>
  <c r="DB391" i="43"/>
  <c r="DB204" i="43"/>
  <c r="DB220" i="43"/>
  <c r="DB236" i="43"/>
  <c r="DB252" i="43"/>
  <c r="DB268" i="43"/>
  <c r="DB284" i="43"/>
  <c r="DB300" i="43"/>
  <c r="DB316" i="43"/>
  <c r="DB332" i="43"/>
  <c r="DB348" i="43"/>
  <c r="DB364" i="43"/>
  <c r="DB707" i="43"/>
  <c r="DB409" i="43"/>
  <c r="DB425" i="43"/>
  <c r="DB441" i="43"/>
  <c r="DB457" i="43"/>
  <c r="DB473" i="43"/>
  <c r="DB501" i="43"/>
  <c r="DB583" i="43"/>
  <c r="DB692" i="43"/>
  <c r="DB659" i="43"/>
  <c r="DB838" i="43"/>
  <c r="DB508" i="43"/>
  <c r="DB584" i="43"/>
  <c r="DB532" i="43"/>
  <c r="DB699" i="43"/>
  <c r="DB384" i="43"/>
  <c r="DB400" i="43"/>
  <c r="DB416" i="43"/>
  <c r="DB432" i="43"/>
  <c r="DB448" i="43"/>
  <c r="DB464" i="43"/>
  <c r="DB483" i="43"/>
  <c r="DB528" i="43"/>
  <c r="DB612" i="43"/>
  <c r="DB611" i="43"/>
  <c r="DB771" i="43"/>
  <c r="DB534" i="43"/>
  <c r="DB566" i="43"/>
  <c r="DB598" i="43"/>
  <c r="DB630" i="43"/>
  <c r="DB662" i="43"/>
  <c r="DB694" i="43"/>
  <c r="DB726" i="43"/>
  <c r="DB844" i="43"/>
  <c r="DB537" i="43"/>
  <c r="DB569" i="43"/>
  <c r="DB601" i="43"/>
  <c r="DB633" i="43"/>
  <c r="DB665" i="43"/>
  <c r="DB697" i="43"/>
  <c r="DB729" i="43"/>
  <c r="DB1009" i="43"/>
  <c r="DB728" i="43"/>
  <c r="DB900" i="43"/>
  <c r="DB754" i="43"/>
  <c r="DB786" i="43"/>
  <c r="DB818" i="43"/>
  <c r="DB1017" i="43"/>
  <c r="DB749" i="43"/>
  <c r="DB781" i="43"/>
  <c r="DB813" i="43"/>
  <c r="DB969" i="43"/>
  <c r="DB756" i="43"/>
  <c r="DB788" i="43"/>
  <c r="DB820" i="43"/>
  <c r="DB872" i="43"/>
  <c r="DB843" i="43"/>
  <c r="DB867" i="43"/>
  <c r="DB842" i="43"/>
  <c r="DB962" i="43"/>
  <c r="DB924" i="43"/>
  <c r="DB923" i="43"/>
  <c r="DB862" i="43"/>
  <c r="DB894" i="43"/>
  <c r="DB926" i="43"/>
  <c r="DB973" i="43"/>
  <c r="DB865" i="43"/>
  <c r="DB897" i="43"/>
  <c r="DB929" i="43"/>
  <c r="DB966" i="43"/>
  <c r="DB981" i="43"/>
  <c r="DB1024" i="43"/>
  <c r="DB976" i="43"/>
  <c r="DB1003" i="43"/>
  <c r="DB967" i="43"/>
  <c r="DB1020" i="43"/>
  <c r="DB1101" i="43"/>
  <c r="DB1012" i="43"/>
  <c r="DB1039" i="43"/>
  <c r="DB1022" i="43"/>
  <c r="DB1054" i="43"/>
  <c r="DB1037" i="43"/>
  <c r="DB1109" i="43"/>
  <c r="DB1079" i="43"/>
  <c r="DB1082" i="43"/>
  <c r="DB1100" i="43"/>
  <c r="DB1132" i="43"/>
  <c r="DB1134" i="43"/>
  <c r="DB1098" i="43"/>
  <c r="DB1120" i="43"/>
  <c r="DB1117" i="43"/>
  <c r="DB1150" i="43"/>
  <c r="DB1164" i="43"/>
  <c r="DB1139" i="43"/>
  <c r="DB1172" i="43"/>
  <c r="DB1181" i="43"/>
  <c r="DB1198" i="43"/>
  <c r="DB1179" i="43"/>
  <c r="DB12" i="43"/>
  <c r="DB36" i="43"/>
  <c r="DB56" i="43"/>
  <c r="DB45" i="43"/>
  <c r="DB19" i="43"/>
  <c r="DB76" i="43"/>
  <c r="CY61" i="43"/>
  <c r="CY63" i="43" s="1"/>
  <c r="DB22" i="43"/>
  <c r="DB9" i="43"/>
  <c r="DB47" i="43"/>
  <c r="DB140" i="43"/>
  <c r="CY12" i="43"/>
  <c r="DB43" i="43"/>
  <c r="DB87" i="43"/>
  <c r="DB143" i="43"/>
  <c r="DB135" i="43"/>
  <c r="DB121" i="43"/>
  <c r="DB269" i="43"/>
  <c r="DB134" i="43"/>
  <c r="DB159" i="43"/>
  <c r="DB175" i="43"/>
  <c r="DB191" i="43"/>
  <c r="DB247" i="43"/>
  <c r="DB88" i="43"/>
  <c r="DB209" i="43"/>
  <c r="DB104" i="43"/>
  <c r="DB235" i="43"/>
  <c r="DB277" i="43"/>
  <c r="DB122" i="43"/>
  <c r="DB156" i="43"/>
  <c r="DB172" i="43"/>
  <c r="DB188" i="43"/>
  <c r="DB223" i="43"/>
  <c r="DB393" i="43"/>
  <c r="DB283" i="43"/>
  <c r="DB299" i="43"/>
  <c r="DB315" i="43"/>
  <c r="DB331" i="43"/>
  <c r="DB347" i="43"/>
  <c r="DB363" i="43"/>
  <c r="DB478" i="43"/>
  <c r="DB688" i="43"/>
  <c r="DB395" i="43"/>
  <c r="DB206" i="43"/>
  <c r="DB222" i="43"/>
  <c r="DB238" i="43"/>
  <c r="DB254" i="43"/>
  <c r="DB270" i="43"/>
  <c r="DB286" i="43"/>
  <c r="DB302" i="43"/>
  <c r="DB318" i="43"/>
  <c r="DB334" i="43"/>
  <c r="DB350" i="43"/>
  <c r="DB366" i="43"/>
  <c r="DB755" i="43"/>
  <c r="DB411" i="43"/>
  <c r="DB427" i="43"/>
  <c r="DB443" i="43"/>
  <c r="DB459" i="43"/>
  <c r="DB475" i="43"/>
  <c r="DB505" i="43"/>
  <c r="DB591" i="43"/>
  <c r="DB519" i="43"/>
  <c r="DB664" i="43"/>
  <c r="DB480" i="43"/>
  <c r="DB512" i="43"/>
  <c r="DB599" i="43"/>
  <c r="DB543" i="43"/>
  <c r="DB715" i="43"/>
  <c r="DB386" i="43"/>
  <c r="DB402" i="43"/>
  <c r="DB418" i="43"/>
  <c r="DB434" i="43"/>
  <c r="DB450" i="43"/>
  <c r="DB466" i="43"/>
  <c r="DB487" i="43"/>
  <c r="DB539" i="43"/>
  <c r="DB639" i="43"/>
  <c r="DB616" i="43"/>
  <c r="DB835" i="43"/>
  <c r="DB538" i="43"/>
  <c r="DB570" i="43"/>
  <c r="DB602" i="43"/>
  <c r="DB634" i="43"/>
  <c r="DB666" i="43"/>
  <c r="DB698" i="43"/>
  <c r="DB735" i="43"/>
  <c r="DB899" i="43"/>
  <c r="DB541" i="43"/>
  <c r="DB573" i="43"/>
  <c r="DB605" i="43"/>
  <c r="DB637" i="43"/>
  <c r="DB669" i="43"/>
  <c r="DB701" i="43"/>
  <c r="DB731" i="43"/>
  <c r="DB700" i="43"/>
  <c r="DB743" i="43"/>
  <c r="DB927" i="43"/>
  <c r="DB758" i="43"/>
  <c r="DB790" i="43"/>
  <c r="DB822" i="43"/>
  <c r="DB855" i="43"/>
  <c r="DB753" i="43"/>
  <c r="DB785" i="43"/>
  <c r="DB817" i="43"/>
  <c r="DB879" i="43"/>
  <c r="DB760" i="43"/>
  <c r="DB792" i="43"/>
  <c r="DB824" i="43"/>
  <c r="DB880" i="43"/>
  <c r="DB847" i="43"/>
  <c r="DB875" i="43"/>
  <c r="DB846" i="43"/>
  <c r="DB852" i="43"/>
  <c r="DB970" i="43"/>
  <c r="DB928" i="43"/>
  <c r="DB866" i="43"/>
  <c r="DB898" i="43"/>
  <c r="DB930" i="43"/>
  <c r="DB974" i="43"/>
  <c r="DB869" i="43"/>
  <c r="DB901" i="43"/>
  <c r="DB933" i="43"/>
  <c r="DB982" i="43"/>
  <c r="DB986" i="43"/>
  <c r="DB1051" i="43"/>
  <c r="DB980" i="43"/>
  <c r="DB1011" i="43"/>
  <c r="DB971" i="43"/>
  <c r="DB1047" i="43"/>
  <c r="DB984" i="43"/>
  <c r="DB1016" i="43"/>
  <c r="DB1044" i="43"/>
  <c r="DB1026" i="43"/>
  <c r="DB1058" i="43"/>
  <c r="DB1041" i="43"/>
  <c r="DB1069" i="43"/>
  <c r="DB1131" i="43"/>
  <c r="DB1083" i="43"/>
  <c r="DB1104" i="43"/>
  <c r="DB1087" i="43"/>
  <c r="DB1166" i="43"/>
  <c r="DB1102" i="43"/>
  <c r="DB1128" i="43"/>
  <c r="DB1121" i="43"/>
  <c r="DB1160" i="43"/>
  <c r="DB1144" i="43"/>
  <c r="DB1143" i="43"/>
  <c r="DB1173" i="43"/>
  <c r="DB1197" i="43"/>
  <c r="DB1180" i="43"/>
  <c r="DB1183" i="43"/>
  <c r="D42" i="40"/>
  <c r="G42" i="40"/>
  <c r="F42" i="40"/>
  <c r="C42" i="40"/>
  <c r="E42" i="40"/>
  <c r="E66" i="40"/>
  <c r="E68" i="40" a="1"/>
  <c r="E68" i="40" s="1"/>
  <c r="E72" i="40" a="1"/>
  <c r="E72" i="40" s="1"/>
  <c r="E75" i="40" a="1"/>
  <c r="E75" i="40" s="1"/>
  <c r="E77" i="40" a="1"/>
  <c r="E77" i="40" s="1"/>
  <c r="E80" i="40" a="1"/>
  <c r="E80" i="40" s="1"/>
  <c r="E71" i="40" a="1"/>
  <c r="E71" i="40" s="1"/>
  <c r="E79" i="40" a="1"/>
  <c r="E79" i="40" s="1"/>
  <c r="E67" i="40" a="1"/>
  <c r="E67" i="40" s="1"/>
  <c r="E69" i="40" a="1"/>
  <c r="E69" i="40" s="1"/>
  <c r="E70" i="40" a="1"/>
  <c r="E70" i="40" s="1"/>
  <c r="E74" i="40" a="1"/>
  <c r="E74" i="40" s="1"/>
  <c r="E76" i="40" a="1"/>
  <c r="E76" i="40" s="1"/>
  <c r="E78" i="40" a="1"/>
  <c r="E78" i="40" s="1"/>
  <c r="E81" i="40" a="1"/>
  <c r="E81" i="40" s="1"/>
  <c r="E73" i="40" a="1"/>
  <c r="E73" i="40" s="1"/>
  <c r="C66" i="40"/>
  <c r="D66" i="40"/>
  <c r="F66" i="40"/>
  <c r="F67" i="40" a="1"/>
  <c r="F67" i="40" s="1"/>
  <c r="F68" i="40" a="1"/>
  <c r="F68" i="40" s="1"/>
  <c r="F69" i="40" a="1"/>
  <c r="F69" i="40" s="1"/>
  <c r="F70" i="40" a="1"/>
  <c r="F70" i="40" s="1"/>
  <c r="F71" i="40" a="1"/>
  <c r="F71" i="40" s="1"/>
  <c r="F72" i="40" a="1"/>
  <c r="F72" i="40" s="1"/>
  <c r="F73" i="40" a="1"/>
  <c r="F73" i="40" s="1"/>
  <c r="F74" i="40" a="1"/>
  <c r="F74" i="40" s="1"/>
  <c r="F75" i="40" a="1"/>
  <c r="F75" i="40" s="1"/>
  <c r="F76" i="40" a="1"/>
  <c r="F76" i="40" s="1"/>
  <c r="F77" i="40" a="1"/>
  <c r="F77" i="40" s="1"/>
  <c r="F78" i="40" a="1"/>
  <c r="F78" i="40" s="1"/>
  <c r="F79" i="40" a="1"/>
  <c r="F79" i="40" s="1"/>
  <c r="F80" i="40" a="1"/>
  <c r="F80" i="40" s="1"/>
  <c r="F81" i="40" a="1"/>
  <c r="F81" i="40" s="1"/>
  <c r="G66" i="40"/>
  <c r="G81" i="40" a="1"/>
  <c r="G81" i="40" s="1"/>
  <c r="D16" i="40"/>
  <c r="D24" i="40" s="1" a="1"/>
  <c r="D24" i="40" s="1"/>
  <c r="G16" i="40"/>
  <c r="G24" i="40" s="1" a="1"/>
  <c r="G24" i="40" s="1"/>
  <c r="F16" i="40"/>
  <c r="F24" i="40" s="1" a="1"/>
  <c r="F24" i="40" s="1"/>
  <c r="E16" i="40"/>
  <c r="E24" i="40" s="1" a="1"/>
  <c r="E24" i="40" s="1"/>
  <c r="C26" i="40"/>
  <c r="D26" i="40"/>
  <c r="D40" i="40" s="1" a="1"/>
  <c r="D40" i="40" s="1"/>
  <c r="D39" i="40" a="1"/>
  <c r="D39" i="40" s="1"/>
  <c r="D38" i="40" a="1"/>
  <c r="D38" i="40" s="1"/>
  <c r="D37" i="40" a="1"/>
  <c r="D37" i="40" s="1"/>
  <c r="D36" i="40" a="1"/>
  <c r="D36" i="40" s="1"/>
  <c r="D35" i="40" a="1"/>
  <c r="D35" i="40" s="1"/>
  <c r="D34" i="40" a="1"/>
  <c r="D34" i="40" s="1"/>
  <c r="D33" i="40" a="1"/>
  <c r="D33" i="40" s="1"/>
  <c r="D32" i="40" a="1"/>
  <c r="D32" i="40" s="1"/>
  <c r="D31" i="40" a="1"/>
  <c r="D31" i="40" s="1"/>
  <c r="D30" i="40" a="1"/>
  <c r="D30" i="40" s="1"/>
  <c r="D29" i="40" a="1"/>
  <c r="D29" i="40" s="1"/>
  <c r="D28" i="40" a="1"/>
  <c r="D28" i="40" s="1"/>
  <c r="D27" i="40" a="1"/>
  <c r="D27" i="40" s="1"/>
  <c r="G26" i="40"/>
  <c r="F26" i="40"/>
  <c r="E26" i="40"/>
  <c r="E40" i="40" s="1" a="1"/>
  <c r="E40" i="40" s="1"/>
  <c r="E39" i="40" a="1"/>
  <c r="E39" i="40" s="1"/>
  <c r="E38" i="40" a="1"/>
  <c r="E38" i="40" s="1"/>
  <c r="E37" i="40" a="1"/>
  <c r="E37" i="40" s="1"/>
  <c r="E36" i="40" a="1"/>
  <c r="E36" i="40" s="1"/>
  <c r="E35" i="40" a="1"/>
  <c r="E35" i="40" s="1"/>
  <c r="E34" i="40" a="1"/>
  <c r="E34" i="40" s="1"/>
  <c r="E33" i="40" a="1"/>
  <c r="E33" i="40" s="1"/>
  <c r="E32" i="40" a="1"/>
  <c r="E32" i="40" s="1"/>
  <c r="E31" i="40" a="1"/>
  <c r="E31" i="40" s="1"/>
  <c r="E30" i="40" a="1"/>
  <c r="E30" i="40" s="1"/>
  <c r="E29" i="40" a="1"/>
  <c r="E29" i="40" s="1"/>
  <c r="E28" i="40" a="1"/>
  <c r="E28" i="40" s="1"/>
  <c r="E27" i="40" a="1"/>
  <c r="E27" i="40" s="1"/>
  <c r="G7" i="40"/>
  <c r="G14" i="40" s="1" a="1"/>
  <c r="G14" i="40" s="1"/>
  <c r="E7" i="40"/>
  <c r="E14" i="40" s="1" a="1"/>
  <c r="E14" i="40" s="1"/>
  <c r="F7" i="40"/>
  <c r="F14" i="40" s="1" a="1"/>
  <c r="F14" i="40" s="1"/>
  <c r="C7" i="40"/>
  <c r="E8" i="40" a="1"/>
  <c r="E8" i="40" s="1"/>
  <c r="F8" i="40" a="1"/>
  <c r="F8" i="40" s="1"/>
  <c r="G8" i="40" a="1"/>
  <c r="G8" i="40" s="1"/>
  <c r="G23" i="40" a="1"/>
  <c r="G23" i="40" s="1"/>
  <c r="G22" i="40" a="1"/>
  <c r="G22" i="40" s="1"/>
  <c r="G21" i="40" a="1"/>
  <c r="G21" i="40" s="1"/>
  <c r="G20" i="40" a="1"/>
  <c r="G20" i="40" s="1"/>
  <c r="G19" i="40" a="1"/>
  <c r="G19" i="40" s="1"/>
  <c r="G18" i="40" a="1"/>
  <c r="G18" i="40" s="1"/>
  <c r="G17" i="40" a="1"/>
  <c r="G17" i="40" s="1"/>
  <c r="F23" i="40" a="1"/>
  <c r="F23" i="40" s="1"/>
  <c r="F22" i="40" a="1"/>
  <c r="F22" i="40" s="1"/>
  <c r="F21" i="40" a="1"/>
  <c r="F21" i="40" s="1"/>
  <c r="F20" i="40" a="1"/>
  <c r="F20" i="40" s="1"/>
  <c r="F19" i="40" a="1"/>
  <c r="F19" i="40" s="1"/>
  <c r="F18" i="40" a="1"/>
  <c r="F18" i="40" s="1"/>
  <c r="F17" i="40" a="1"/>
  <c r="F17" i="40" s="1"/>
  <c r="E23" i="40" a="1"/>
  <c r="E23" i="40" s="1"/>
  <c r="E22" i="40" a="1"/>
  <c r="E22" i="40" s="1"/>
  <c r="E21" i="40" a="1"/>
  <c r="E21" i="40" s="1"/>
  <c r="E20" i="40" a="1"/>
  <c r="E20" i="40" s="1"/>
  <c r="E19" i="40" a="1"/>
  <c r="E19" i="40" s="1"/>
  <c r="E18" i="40" a="1"/>
  <c r="E18" i="40" s="1"/>
  <c r="E17" i="40" a="1"/>
  <c r="E17" i="40" s="1"/>
  <c r="F10" i="40" a="1"/>
  <c r="F10" i="40" s="1"/>
  <c r="F13" i="40" a="1"/>
  <c r="F13" i="40" s="1"/>
  <c r="F12" i="40" a="1"/>
  <c r="F12" i="40" s="1"/>
  <c r="F9" i="40" a="1"/>
  <c r="F9" i="40" s="1"/>
  <c r="F11" i="40" a="1"/>
  <c r="F11" i="40" s="1"/>
  <c r="G10" i="40" a="1"/>
  <c r="G10" i="40" s="1"/>
  <c r="G13" i="40" a="1"/>
  <c r="G13" i="40" s="1"/>
  <c r="G9" i="40" a="1"/>
  <c r="G9" i="40" s="1"/>
  <c r="G12" i="40" a="1"/>
  <c r="G12" i="40" s="1"/>
  <c r="G11" i="40" a="1"/>
  <c r="G11" i="40" s="1"/>
  <c r="E9" i="40" a="1"/>
  <c r="E9" i="40" s="1"/>
  <c r="E12" i="40" a="1"/>
  <c r="E12" i="40" s="1"/>
  <c r="E13" i="40" a="1"/>
  <c r="E13" i="40" s="1"/>
  <c r="E11" i="40" a="1"/>
  <c r="E11" i="40" s="1"/>
  <c r="E10" i="40" a="1"/>
  <c r="E10" i="40" s="1"/>
  <c r="N30" i="39"/>
  <c r="N31" i="39" s="1"/>
  <c r="N32" i="39" s="1"/>
  <c r="N33" i="39" s="1"/>
  <c r="K14" i="38"/>
  <c r="K15" i="38" s="1"/>
  <c r="C14" i="38"/>
  <c r="D21" i="40" a="1"/>
  <c r="D20" i="40" a="1"/>
  <c r="D19" i="40" a="1"/>
  <c r="D18" i="40" a="1"/>
  <c r="D9" i="40" a="1"/>
  <c r="D12" i="40" a="1"/>
  <c r="D11" i="40" a="1"/>
  <c r="D10" i="40" a="1"/>
  <c r="D46" i="40" a="1"/>
  <c r="B108" i="40" a="1"/>
  <c r="B101" i="40" a="1"/>
  <c r="B103" i="40" a="1"/>
  <c r="C99" i="40" a="1"/>
  <c r="B109" i="40" a="1"/>
  <c r="B99" i="40" a="1"/>
  <c r="B106" i="40" a="1"/>
  <c r="B95" i="40" a="1"/>
  <c r="B102" i="40" a="1"/>
  <c r="B105" i="40" a="1"/>
  <c r="B94" i="40" a="1"/>
  <c r="B98" i="40" a="1"/>
  <c r="B104" i="40" a="1"/>
  <c r="B92" i="40" a="1"/>
  <c r="B97" i="40" a="1"/>
  <c r="B100" i="40" a="1"/>
  <c r="B96" i="40" a="1"/>
  <c r="C98" i="40" a="1"/>
  <c r="B93" i="40" a="1"/>
  <c r="B107" i="40" a="1"/>
  <c r="B108" i="40" l="1"/>
  <c r="B109" i="40"/>
  <c r="DE599" i="43"/>
  <c r="DD143" i="43"/>
  <c r="DI44" i="43"/>
  <c r="DI191" i="43"/>
  <c r="DI168" i="43"/>
  <c r="DD69" i="43"/>
  <c r="DI169" i="43"/>
  <c r="DJ122" i="43"/>
  <c r="DJ117" i="43"/>
  <c r="DE143" i="43"/>
  <c r="DJ44" i="43"/>
  <c r="DD397" i="43"/>
  <c r="DJ191" i="43"/>
  <c r="DE168" i="43"/>
  <c r="DE69" i="43"/>
  <c r="DD117" i="43"/>
  <c r="DD150" i="43"/>
  <c r="DE187" i="43"/>
  <c r="DE117" i="43"/>
  <c r="DI150" i="43"/>
  <c r="DE179" i="43"/>
  <c r="DI65" i="43"/>
  <c r="DI187" i="43"/>
  <c r="DE157" i="43"/>
  <c r="DI42" i="43"/>
  <c r="DJ15" i="43"/>
  <c r="DE150" i="43"/>
  <c r="DI179" i="43"/>
  <c r="DE195" i="43"/>
  <c r="DJ65" i="43"/>
  <c r="DI55" i="43"/>
  <c r="DJ187" i="43"/>
  <c r="DI157" i="43"/>
  <c r="DJ42" i="43"/>
  <c r="DD15" i="43"/>
  <c r="DJ179" i="43"/>
  <c r="DI195" i="43"/>
  <c r="DD65" i="43"/>
  <c r="DJ55" i="43"/>
  <c r="DJ157" i="43"/>
  <c r="DD42" i="43"/>
  <c r="DE15" i="43"/>
  <c r="DI122" i="43"/>
  <c r="DE35" i="43"/>
  <c r="DD446" i="43"/>
  <c r="DD451" i="43"/>
  <c r="DD127" i="43"/>
  <c r="DE43" i="43"/>
  <c r="DI87" i="43"/>
  <c r="DJ444" i="43"/>
  <c r="DJ118" i="43"/>
  <c r="DD141" i="43"/>
  <c r="DD62" i="43"/>
  <c r="DJ96" i="43"/>
  <c r="DD253" i="43"/>
  <c r="DI128" i="43"/>
  <c r="DD416" i="43"/>
  <c r="DI183" i="43"/>
  <c r="DE446" i="43"/>
  <c r="DE127" i="43"/>
  <c r="DI43" i="43"/>
  <c r="DD26" i="43"/>
  <c r="DD118" i="43"/>
  <c r="DE595" i="43"/>
  <c r="DJ141" i="43"/>
  <c r="DE62" i="43"/>
  <c r="DD96" i="43"/>
  <c r="DD499" i="43"/>
  <c r="DI105" i="43"/>
  <c r="DJ128" i="43"/>
  <c r="DD388" i="43"/>
  <c r="DE416" i="43"/>
  <c r="DJ183" i="43"/>
  <c r="DJ325" i="43"/>
  <c r="DI197" i="43"/>
  <c r="DD291" i="43"/>
  <c r="DE26" i="43"/>
  <c r="DJ575" i="43"/>
  <c r="DJ339" i="43"/>
  <c r="DD353" i="43"/>
  <c r="DD200" i="43"/>
  <c r="DE499" i="43"/>
  <c r="DJ105" i="43"/>
  <c r="DJ95" i="43"/>
  <c r="DE388" i="43"/>
  <c r="DD154" i="43"/>
  <c r="DI108" i="43"/>
  <c r="DI33" i="43"/>
  <c r="DI145" i="43"/>
  <c r="DD325" i="43"/>
  <c r="DJ197" i="43"/>
  <c r="DE61" i="43"/>
  <c r="DI26" i="43"/>
  <c r="DD339" i="43"/>
  <c r="DD442" i="43"/>
  <c r="DI113" i="43"/>
  <c r="DE200" i="43"/>
  <c r="DJ543" i="43"/>
  <c r="DI124" i="43"/>
  <c r="DD207" i="43"/>
  <c r="DE134" i="43"/>
  <c r="DD105" i="43"/>
  <c r="DD95" i="43"/>
  <c r="DI154" i="43"/>
  <c r="DJ108" i="43"/>
  <c r="DJ33" i="43"/>
  <c r="DJ145" i="43"/>
  <c r="DD197" i="43"/>
  <c r="DI61" i="43"/>
  <c r="DI35" i="43"/>
  <c r="DE442" i="43"/>
  <c r="DJ113" i="43"/>
  <c r="DI200" i="43"/>
  <c r="DD543" i="43"/>
  <c r="DJ124" i="43"/>
  <c r="DD281" i="43"/>
  <c r="DJ510" i="43"/>
  <c r="DI134" i="43"/>
  <c r="DI52" i="43"/>
  <c r="DE95" i="43"/>
  <c r="DE154" i="43"/>
  <c r="DD279" i="43"/>
  <c r="DD108" i="43"/>
  <c r="DD33" i="43"/>
  <c r="DD145" i="43"/>
  <c r="DJ61" i="43"/>
  <c r="DE87" i="43"/>
  <c r="DJ35" i="43"/>
  <c r="DD225" i="43"/>
  <c r="DD113" i="43"/>
  <c r="DD124" i="43"/>
  <c r="DJ134" i="43"/>
  <c r="DJ52" i="43"/>
  <c r="DD283" i="43"/>
  <c r="DI103" i="43"/>
  <c r="DD426" i="43"/>
  <c r="DJ169" i="43"/>
  <c r="DJ111" i="43"/>
  <c r="DI19" i="43"/>
  <c r="DE426" i="43"/>
  <c r="DI32" i="43"/>
  <c r="DE553" i="43"/>
  <c r="DD328" i="43"/>
  <c r="DD169" i="43"/>
  <c r="DI137" i="43"/>
  <c r="DD106" i="43"/>
  <c r="DD111" i="43"/>
  <c r="DD114" i="43"/>
  <c r="DJ19" i="43"/>
  <c r="DE425" i="43"/>
  <c r="DJ32" i="43"/>
  <c r="DD237" i="43"/>
  <c r="DE328" i="43"/>
  <c r="DD2" i="43"/>
  <c r="DG2" i="43" s="1"/>
  <c r="DD263" i="43"/>
  <c r="DJ137" i="43"/>
  <c r="DI106" i="43"/>
  <c r="DD545" i="43"/>
  <c r="DJ10" i="43"/>
  <c r="DI10" i="43"/>
  <c r="DE111" i="43"/>
  <c r="DI114" i="43"/>
  <c r="DD19" i="43"/>
  <c r="DD428" i="43"/>
  <c r="DD32" i="43"/>
  <c r="DJ53" i="43"/>
  <c r="DE2" i="43"/>
  <c r="DD137" i="43"/>
  <c r="DE106" i="43"/>
  <c r="DE114" i="43"/>
  <c r="DE428" i="43"/>
  <c r="DD209" i="43"/>
  <c r="DE161" i="43"/>
  <c r="DE175" i="43"/>
  <c r="DD557" i="43"/>
  <c r="DD53" i="43"/>
  <c r="DI2" i="43"/>
  <c r="DD198" i="43"/>
  <c r="DJ23" i="43"/>
  <c r="DJ536" i="43"/>
  <c r="DI161" i="43"/>
  <c r="DI175" i="43"/>
  <c r="DD158" i="43"/>
  <c r="DE53" i="43"/>
  <c r="DE198" i="43"/>
  <c r="DE23" i="43"/>
  <c r="DI3" i="43"/>
  <c r="DF3" i="43"/>
  <c r="DF4" i="43" s="1"/>
  <c r="DF5" i="43" s="1"/>
  <c r="DF6" i="43" s="1"/>
  <c r="DF7" i="43" s="1"/>
  <c r="DF8" i="43" s="1"/>
  <c r="DF9" i="43" s="1"/>
  <c r="DF10" i="43" s="1"/>
  <c r="DF11" i="43" s="1"/>
  <c r="DF12" i="43" s="1"/>
  <c r="DF13" i="43" s="1"/>
  <c r="DF14" i="43" s="1"/>
  <c r="DF15" i="43" s="1"/>
  <c r="DF16" i="43" s="1"/>
  <c r="DF17" i="43" s="1"/>
  <c r="DF18" i="43" s="1"/>
  <c r="DF19" i="43" s="1"/>
  <c r="DF20" i="43" s="1"/>
  <c r="DF21" i="43" s="1"/>
  <c r="DF22" i="43" s="1"/>
  <c r="DF23" i="43" s="1"/>
  <c r="DF24" i="43" s="1"/>
  <c r="DF25" i="43" s="1"/>
  <c r="DF26" i="43" s="1"/>
  <c r="DF27" i="43" s="1"/>
  <c r="DF28" i="43" s="1"/>
  <c r="DF29" i="43" s="1"/>
  <c r="DF30" i="43" s="1"/>
  <c r="DF31" i="43" s="1"/>
  <c r="DF32" i="43" s="1"/>
  <c r="DF33" i="43" s="1"/>
  <c r="DF34" i="43" s="1"/>
  <c r="DF35" i="43" s="1"/>
  <c r="DF36" i="43" s="1"/>
  <c r="DF37" i="43" s="1"/>
  <c r="DF38" i="43" s="1"/>
  <c r="DF39" i="43" s="1"/>
  <c r="DF40" i="43" s="1"/>
  <c r="DF41" i="43" s="1"/>
  <c r="DF42" i="43" s="1"/>
  <c r="DF43" i="43" s="1"/>
  <c r="DF44" i="43" s="1"/>
  <c r="DF45" i="43" s="1"/>
  <c r="DF46" i="43" s="1"/>
  <c r="DF47" i="43" s="1"/>
  <c r="DF48" i="43" s="1"/>
  <c r="DF49" i="43" s="1"/>
  <c r="DF50" i="43" s="1"/>
  <c r="DF51" i="43" s="1"/>
  <c r="DF52" i="43" s="1"/>
  <c r="DF53" i="43" s="1"/>
  <c r="DF54" i="43" s="1"/>
  <c r="DF55" i="43" s="1"/>
  <c r="DF56" i="43" s="1"/>
  <c r="DF57" i="43" s="1"/>
  <c r="DF58" i="43" s="1"/>
  <c r="DF59" i="43" s="1"/>
  <c r="DF60" i="43" s="1"/>
  <c r="DF61" i="43" s="1"/>
  <c r="DF62" i="43" s="1"/>
  <c r="DF63" i="43" s="1"/>
  <c r="DF64" i="43" s="1"/>
  <c r="DF65" i="43" s="1"/>
  <c r="DF66" i="43" s="1"/>
  <c r="DF67" i="43" s="1"/>
  <c r="DF68" i="43" s="1"/>
  <c r="DF69" i="43" s="1"/>
  <c r="DF70" i="43" s="1"/>
  <c r="DF71" i="43" s="1"/>
  <c r="DF72" i="43" s="1"/>
  <c r="DF73" i="43" s="1"/>
  <c r="DF74" i="43" s="1"/>
  <c r="DF75" i="43" s="1"/>
  <c r="DF76" i="43" s="1"/>
  <c r="DF77" i="43" s="1"/>
  <c r="DF78" i="43" s="1"/>
  <c r="DF79" i="43" s="1"/>
  <c r="DF80" i="43" s="1"/>
  <c r="DF81" i="43" s="1"/>
  <c r="DF82" i="43" s="1"/>
  <c r="DF83" i="43" s="1"/>
  <c r="DF84" i="43" s="1"/>
  <c r="DF85" i="43" s="1"/>
  <c r="DF86" i="43" s="1"/>
  <c r="DF87" i="43" s="1"/>
  <c r="DF88" i="43" s="1"/>
  <c r="DF89" i="43" s="1"/>
  <c r="DF90" i="43" s="1"/>
  <c r="DF91" i="43" s="1"/>
  <c r="DF92" i="43" s="1"/>
  <c r="DF93" i="43" s="1"/>
  <c r="DF94" i="43" s="1"/>
  <c r="DF95" i="43" s="1"/>
  <c r="DF96" i="43" s="1"/>
  <c r="DF97" i="43" s="1"/>
  <c r="DF98" i="43" s="1"/>
  <c r="DF99" i="43" s="1"/>
  <c r="DF100" i="43" s="1"/>
  <c r="DF101" i="43" s="1"/>
  <c r="DF102" i="43" s="1"/>
  <c r="DF103" i="43" s="1"/>
  <c r="DF104" i="43" s="1"/>
  <c r="DF105" i="43" s="1"/>
  <c r="DF106" i="43" s="1"/>
  <c r="DF107" i="43" s="1"/>
  <c r="DF108" i="43" s="1"/>
  <c r="DF109" i="43" s="1"/>
  <c r="DF110" i="43" s="1"/>
  <c r="DF111" i="43" s="1"/>
  <c r="DF112" i="43" s="1"/>
  <c r="DF113" i="43" s="1"/>
  <c r="DF114" i="43" s="1"/>
  <c r="DF115" i="43" s="1"/>
  <c r="DF116" i="43" s="1"/>
  <c r="DF117" i="43" s="1"/>
  <c r="DF118" i="43" s="1"/>
  <c r="DF119" i="43" s="1"/>
  <c r="DF120" i="43" s="1"/>
  <c r="DF121" i="43" s="1"/>
  <c r="DF122" i="43" s="1"/>
  <c r="DF123" i="43" s="1"/>
  <c r="DF124" i="43" s="1"/>
  <c r="DF125" i="43" s="1"/>
  <c r="DF126" i="43" s="1"/>
  <c r="DF127" i="43" s="1"/>
  <c r="DF128" i="43" s="1"/>
  <c r="DF129" i="43" s="1"/>
  <c r="DF130" i="43" s="1"/>
  <c r="DF131" i="43" s="1"/>
  <c r="DF132" i="43" s="1"/>
  <c r="DF133" i="43" s="1"/>
  <c r="DF134" i="43" s="1"/>
  <c r="DF135" i="43" s="1"/>
  <c r="DF136" i="43" s="1"/>
  <c r="DF137" i="43" s="1"/>
  <c r="DF138" i="43" s="1"/>
  <c r="DF139" i="43" s="1"/>
  <c r="DF140" i="43" s="1"/>
  <c r="DF141" i="43" s="1"/>
  <c r="DF142" i="43" s="1"/>
  <c r="DF143" i="43" s="1"/>
  <c r="DF144" i="43" s="1"/>
  <c r="DF145" i="43" s="1"/>
  <c r="DF146" i="43" s="1"/>
  <c r="DF147" i="43" s="1"/>
  <c r="DF148" i="43" s="1"/>
  <c r="DF149" i="43" s="1"/>
  <c r="DF150" i="43" s="1"/>
  <c r="DF151" i="43" s="1"/>
  <c r="DF152" i="43" s="1"/>
  <c r="DF153" i="43" s="1"/>
  <c r="DF154" i="43" s="1"/>
  <c r="DF155" i="43" s="1"/>
  <c r="DF156" i="43" s="1"/>
  <c r="DF157" i="43" s="1"/>
  <c r="DF158" i="43" s="1"/>
  <c r="DF159" i="43" s="1"/>
  <c r="DF160" i="43" s="1"/>
  <c r="DF161" i="43" s="1"/>
  <c r="DF162" i="43" s="1"/>
  <c r="DF163" i="43" s="1"/>
  <c r="DF164" i="43" s="1"/>
  <c r="DF165" i="43" s="1"/>
  <c r="DF166" i="43" s="1"/>
  <c r="DF167" i="43" s="1"/>
  <c r="DF168" i="43" s="1"/>
  <c r="DF169" i="43" s="1"/>
  <c r="DF170" i="43" s="1"/>
  <c r="DF171" i="43" s="1"/>
  <c r="DF172" i="43" s="1"/>
  <c r="DF173" i="43" s="1"/>
  <c r="DF174" i="43" s="1"/>
  <c r="DF175" i="43" s="1"/>
  <c r="DF176" i="43" s="1"/>
  <c r="DF177" i="43" s="1"/>
  <c r="DF178" i="43" s="1"/>
  <c r="DF179" i="43" s="1"/>
  <c r="DF180" i="43" s="1"/>
  <c r="DF181" i="43" s="1"/>
  <c r="DF182" i="43" s="1"/>
  <c r="DF183" i="43" s="1"/>
  <c r="DF184" i="43" s="1"/>
  <c r="DF185" i="43" s="1"/>
  <c r="DF186" i="43" s="1"/>
  <c r="DF187" i="43" s="1"/>
  <c r="DF188" i="43" s="1"/>
  <c r="DF189" i="43" s="1"/>
  <c r="DF190" i="43" s="1"/>
  <c r="DF191" i="43" s="1"/>
  <c r="DF192" i="43" s="1"/>
  <c r="DF193" i="43" s="1"/>
  <c r="DF194" i="43" s="1"/>
  <c r="DF195" i="43" s="1"/>
  <c r="DF196" i="43" s="1"/>
  <c r="DF197" i="43" s="1"/>
  <c r="DF198" i="43" s="1"/>
  <c r="DF199" i="43" s="1"/>
  <c r="DF200" i="43" s="1"/>
  <c r="DF201" i="43" s="1"/>
  <c r="DF202" i="43" s="1"/>
  <c r="DF203" i="43" s="1"/>
  <c r="DF204" i="43" s="1"/>
  <c r="DF205" i="43" s="1"/>
  <c r="DF206" i="43" s="1"/>
  <c r="DF207" i="43" s="1"/>
  <c r="DF208" i="43" s="1"/>
  <c r="DF209" i="43" s="1"/>
  <c r="DF210" i="43" s="1"/>
  <c r="DF211" i="43" s="1"/>
  <c r="DF212" i="43" s="1"/>
  <c r="DF213" i="43" s="1"/>
  <c r="DF214" i="43" s="1"/>
  <c r="DF215" i="43" s="1"/>
  <c r="DF216" i="43" s="1"/>
  <c r="DF217" i="43" s="1"/>
  <c r="DF218" i="43" s="1"/>
  <c r="DF219" i="43" s="1"/>
  <c r="DF220" i="43" s="1"/>
  <c r="DF221" i="43" s="1"/>
  <c r="DF222" i="43" s="1"/>
  <c r="DF223" i="43" s="1"/>
  <c r="DF224" i="43" s="1"/>
  <c r="DF225" i="43" s="1"/>
  <c r="DF226" i="43" s="1"/>
  <c r="DF227" i="43" s="1"/>
  <c r="DF228" i="43" s="1"/>
  <c r="DF229" i="43" s="1"/>
  <c r="DF230" i="43" s="1"/>
  <c r="DF231" i="43" s="1"/>
  <c r="DF232" i="43" s="1"/>
  <c r="DF233" i="43" s="1"/>
  <c r="DF234" i="43" s="1"/>
  <c r="DF235" i="43" s="1"/>
  <c r="DF236" i="43" s="1"/>
  <c r="DF237" i="43" s="1"/>
  <c r="DF238" i="43" s="1"/>
  <c r="DF239" i="43" s="1"/>
  <c r="DF240" i="43" s="1"/>
  <c r="DF241" i="43" s="1"/>
  <c r="DF242" i="43" s="1"/>
  <c r="DF243" i="43" s="1"/>
  <c r="DF244" i="43" s="1"/>
  <c r="DF245" i="43" s="1"/>
  <c r="DF246" i="43" s="1"/>
  <c r="DF247" i="43" s="1"/>
  <c r="DF248" i="43" s="1"/>
  <c r="DF249" i="43" s="1"/>
  <c r="DF250" i="43" s="1"/>
  <c r="DF251" i="43" s="1"/>
  <c r="DF252" i="43" s="1"/>
  <c r="DF253" i="43" s="1"/>
  <c r="DF254" i="43" s="1"/>
  <c r="DF255" i="43" s="1"/>
  <c r="DF256" i="43" s="1"/>
  <c r="DF257" i="43" s="1"/>
  <c r="DF258" i="43" s="1"/>
  <c r="DF259" i="43" s="1"/>
  <c r="DF260" i="43" s="1"/>
  <c r="DF261" i="43" s="1"/>
  <c r="DF262" i="43" s="1"/>
  <c r="DF263" i="43" s="1"/>
  <c r="DF264" i="43" s="1"/>
  <c r="DF265" i="43" s="1"/>
  <c r="DF266" i="43" s="1"/>
  <c r="DF267" i="43" s="1"/>
  <c r="DF268" i="43" s="1"/>
  <c r="DF269" i="43" s="1"/>
  <c r="DF270" i="43" s="1"/>
  <c r="DF271" i="43" s="1"/>
  <c r="DF272" i="43" s="1"/>
  <c r="DF273" i="43" s="1"/>
  <c r="DF274" i="43" s="1"/>
  <c r="DF275" i="43" s="1"/>
  <c r="DF276" i="43" s="1"/>
  <c r="DF277" i="43" s="1"/>
  <c r="DF278" i="43" s="1"/>
  <c r="DF279" i="43" s="1"/>
  <c r="DF280" i="43" s="1"/>
  <c r="DF281" i="43" s="1"/>
  <c r="DF282" i="43" s="1"/>
  <c r="DF283" i="43" s="1"/>
  <c r="DF284" i="43" s="1"/>
  <c r="DF285" i="43" s="1"/>
  <c r="DF286" i="43" s="1"/>
  <c r="DF287" i="43" s="1"/>
  <c r="DF288" i="43" s="1"/>
  <c r="DF289" i="43" s="1"/>
  <c r="DF290" i="43" s="1"/>
  <c r="DF291" i="43" s="1"/>
  <c r="DF292" i="43" s="1"/>
  <c r="DF293" i="43" s="1"/>
  <c r="DF294" i="43" s="1"/>
  <c r="DF295" i="43" s="1"/>
  <c r="DF296" i="43" s="1"/>
  <c r="DF297" i="43" s="1"/>
  <c r="DF298" i="43" s="1"/>
  <c r="DF299" i="43" s="1"/>
  <c r="DF300" i="43" s="1"/>
  <c r="DF301" i="43" s="1"/>
  <c r="DF302" i="43" s="1"/>
  <c r="DF303" i="43" s="1"/>
  <c r="DF304" i="43" s="1"/>
  <c r="DF305" i="43" s="1"/>
  <c r="DF306" i="43" s="1"/>
  <c r="DF307" i="43" s="1"/>
  <c r="DF308" i="43" s="1"/>
  <c r="DF309" i="43" s="1"/>
  <c r="DF310" i="43" s="1"/>
  <c r="DF311" i="43" s="1"/>
  <c r="DF312" i="43" s="1"/>
  <c r="DF313" i="43" s="1"/>
  <c r="DF314" i="43" s="1"/>
  <c r="DF315" i="43" s="1"/>
  <c r="DF316" i="43" s="1"/>
  <c r="DF317" i="43" s="1"/>
  <c r="DF318" i="43" s="1"/>
  <c r="DF319" i="43" s="1"/>
  <c r="DF320" i="43" s="1"/>
  <c r="DF321" i="43" s="1"/>
  <c r="DF322" i="43" s="1"/>
  <c r="DF323" i="43" s="1"/>
  <c r="DF324" i="43" s="1"/>
  <c r="DF325" i="43" s="1"/>
  <c r="DF326" i="43" s="1"/>
  <c r="DF327" i="43" s="1"/>
  <c r="DF328" i="43" s="1"/>
  <c r="DF329" i="43" s="1"/>
  <c r="DF330" i="43" s="1"/>
  <c r="DF331" i="43" s="1"/>
  <c r="DF332" i="43" s="1"/>
  <c r="DF333" i="43" s="1"/>
  <c r="DF334" i="43" s="1"/>
  <c r="DF335" i="43" s="1"/>
  <c r="DF336" i="43" s="1"/>
  <c r="DF337" i="43" s="1"/>
  <c r="DF338" i="43" s="1"/>
  <c r="DF339" i="43" s="1"/>
  <c r="DF340" i="43" s="1"/>
  <c r="DF341" i="43" s="1"/>
  <c r="DF342" i="43" s="1"/>
  <c r="DF343" i="43" s="1"/>
  <c r="DF344" i="43" s="1"/>
  <c r="DF345" i="43" s="1"/>
  <c r="DF346" i="43" s="1"/>
  <c r="DF347" i="43" s="1"/>
  <c r="DF348" i="43" s="1"/>
  <c r="DF349" i="43" s="1"/>
  <c r="DF350" i="43" s="1"/>
  <c r="DF351" i="43" s="1"/>
  <c r="DF352" i="43" s="1"/>
  <c r="DF353" i="43" s="1"/>
  <c r="DF354" i="43" s="1"/>
  <c r="DF355" i="43" s="1"/>
  <c r="DF356" i="43" s="1"/>
  <c r="DF357" i="43" s="1"/>
  <c r="DF358" i="43" s="1"/>
  <c r="DF359" i="43" s="1"/>
  <c r="DF360" i="43" s="1"/>
  <c r="DF361" i="43" s="1"/>
  <c r="DF362" i="43" s="1"/>
  <c r="DF363" i="43" s="1"/>
  <c r="DF364" i="43" s="1"/>
  <c r="DF365" i="43" s="1"/>
  <c r="DF366" i="43" s="1"/>
  <c r="DF367" i="43" s="1"/>
  <c r="DF368" i="43" s="1"/>
  <c r="DF369" i="43" s="1"/>
  <c r="DF370" i="43" s="1"/>
  <c r="DF371" i="43" s="1"/>
  <c r="DF372" i="43" s="1"/>
  <c r="DF373" i="43" s="1"/>
  <c r="DF374" i="43" s="1"/>
  <c r="DF375" i="43" s="1"/>
  <c r="DF376" i="43" s="1"/>
  <c r="DF377" i="43" s="1"/>
  <c r="DF378" i="43" s="1"/>
  <c r="DF379" i="43" s="1"/>
  <c r="DF380" i="43" s="1"/>
  <c r="DF381" i="43" s="1"/>
  <c r="DF382" i="43" s="1"/>
  <c r="DF383" i="43" s="1"/>
  <c r="DF384" i="43" s="1"/>
  <c r="DF385" i="43" s="1"/>
  <c r="DF386" i="43" s="1"/>
  <c r="DF387" i="43" s="1"/>
  <c r="DF388" i="43" s="1"/>
  <c r="DF389" i="43" s="1"/>
  <c r="DF390" i="43" s="1"/>
  <c r="DF391" i="43" s="1"/>
  <c r="DF392" i="43" s="1"/>
  <c r="DF393" i="43" s="1"/>
  <c r="DF394" i="43" s="1"/>
  <c r="DF395" i="43" s="1"/>
  <c r="DF396" i="43" s="1"/>
  <c r="DF397" i="43" s="1"/>
  <c r="DF398" i="43" s="1"/>
  <c r="DF399" i="43" s="1"/>
  <c r="DF400" i="43" s="1"/>
  <c r="DF401" i="43" s="1"/>
  <c r="DF402" i="43" s="1"/>
  <c r="DF403" i="43" s="1"/>
  <c r="DF404" i="43" s="1"/>
  <c r="DF405" i="43" s="1"/>
  <c r="DF406" i="43" s="1"/>
  <c r="DF407" i="43" s="1"/>
  <c r="DF408" i="43" s="1"/>
  <c r="DF409" i="43" s="1"/>
  <c r="DF410" i="43" s="1"/>
  <c r="DF411" i="43" s="1"/>
  <c r="DF412" i="43" s="1"/>
  <c r="DF413" i="43" s="1"/>
  <c r="DF414" i="43" s="1"/>
  <c r="DF415" i="43" s="1"/>
  <c r="DF416" i="43" s="1"/>
  <c r="DF417" i="43" s="1"/>
  <c r="DF418" i="43" s="1"/>
  <c r="DF419" i="43" s="1"/>
  <c r="DF420" i="43" s="1"/>
  <c r="DF421" i="43" s="1"/>
  <c r="DF422" i="43" s="1"/>
  <c r="DF423" i="43" s="1"/>
  <c r="DF424" i="43" s="1"/>
  <c r="DF425" i="43" s="1"/>
  <c r="DF426" i="43" s="1"/>
  <c r="DF427" i="43" s="1"/>
  <c r="DF428" i="43" s="1"/>
  <c r="DF429" i="43" s="1"/>
  <c r="DF430" i="43" s="1"/>
  <c r="DF431" i="43" s="1"/>
  <c r="DF432" i="43" s="1"/>
  <c r="DF433" i="43" s="1"/>
  <c r="DF434" i="43" s="1"/>
  <c r="DF435" i="43" s="1"/>
  <c r="DF436" i="43" s="1"/>
  <c r="DF437" i="43" s="1"/>
  <c r="DF438" i="43" s="1"/>
  <c r="DF439" i="43" s="1"/>
  <c r="DF440" i="43" s="1"/>
  <c r="DF441" i="43" s="1"/>
  <c r="DF442" i="43" s="1"/>
  <c r="DF443" i="43" s="1"/>
  <c r="DF444" i="43" s="1"/>
  <c r="DF445" i="43" s="1"/>
  <c r="DF446" i="43" s="1"/>
  <c r="DF447" i="43" s="1"/>
  <c r="DF448" i="43" s="1"/>
  <c r="DF449" i="43" s="1"/>
  <c r="DF450" i="43" s="1"/>
  <c r="DF451" i="43" s="1"/>
  <c r="DF452" i="43" s="1"/>
  <c r="DF453" i="43" s="1"/>
  <c r="DF454" i="43" s="1"/>
  <c r="DF455" i="43" s="1"/>
  <c r="DF456" i="43" s="1"/>
  <c r="DF457" i="43" s="1"/>
  <c r="DF458" i="43" s="1"/>
  <c r="DF459" i="43" s="1"/>
  <c r="DF460" i="43" s="1"/>
  <c r="DF461" i="43" s="1"/>
  <c r="DF462" i="43" s="1"/>
  <c r="DF463" i="43" s="1"/>
  <c r="DF464" i="43" s="1"/>
  <c r="DF465" i="43" s="1"/>
  <c r="DF466" i="43" s="1"/>
  <c r="DF467" i="43" s="1"/>
  <c r="DF468" i="43" s="1"/>
  <c r="DF469" i="43" s="1"/>
  <c r="DF470" i="43" s="1"/>
  <c r="DF471" i="43" s="1"/>
  <c r="DF472" i="43" s="1"/>
  <c r="DF473" i="43" s="1"/>
  <c r="DF474" i="43" s="1"/>
  <c r="DF475" i="43" s="1"/>
  <c r="DF476" i="43" s="1"/>
  <c r="DF477" i="43" s="1"/>
  <c r="DF478" i="43" s="1"/>
  <c r="DF479" i="43" s="1"/>
  <c r="DF480" i="43" s="1"/>
  <c r="DF481" i="43" s="1"/>
  <c r="DF482" i="43" s="1"/>
  <c r="DF483" i="43" s="1"/>
  <c r="DF484" i="43" s="1"/>
  <c r="DF485" i="43" s="1"/>
  <c r="DF486" i="43" s="1"/>
  <c r="DF487" i="43" s="1"/>
  <c r="DF488" i="43" s="1"/>
  <c r="DF489" i="43" s="1"/>
  <c r="DF490" i="43" s="1"/>
  <c r="DF491" i="43" s="1"/>
  <c r="DF492" i="43" s="1"/>
  <c r="DF493" i="43" s="1"/>
  <c r="DF494" i="43" s="1"/>
  <c r="DF495" i="43" s="1"/>
  <c r="DF496" i="43" s="1"/>
  <c r="DF497" i="43" s="1"/>
  <c r="DF498" i="43" s="1"/>
  <c r="DF499" i="43" s="1"/>
  <c r="DF500" i="43" s="1"/>
  <c r="DF501" i="43" s="1"/>
  <c r="DF502" i="43" s="1"/>
  <c r="DF503" i="43" s="1"/>
  <c r="DF504" i="43" s="1"/>
  <c r="DF505" i="43" s="1"/>
  <c r="DF506" i="43" s="1"/>
  <c r="DF507" i="43" s="1"/>
  <c r="DF508" i="43" s="1"/>
  <c r="DF509" i="43" s="1"/>
  <c r="DF510" i="43" s="1"/>
  <c r="DF511" i="43" s="1"/>
  <c r="DF512" i="43" s="1"/>
  <c r="DF513" i="43" s="1"/>
  <c r="DF514" i="43" s="1"/>
  <c r="DF515" i="43" s="1"/>
  <c r="DF516" i="43" s="1"/>
  <c r="DF517" i="43" s="1"/>
  <c r="DF518" i="43" s="1"/>
  <c r="DF519" i="43" s="1"/>
  <c r="DF520" i="43" s="1"/>
  <c r="DF521" i="43" s="1"/>
  <c r="DF522" i="43" s="1"/>
  <c r="DF523" i="43" s="1"/>
  <c r="DF524" i="43" s="1"/>
  <c r="DF525" i="43" s="1"/>
  <c r="DF526" i="43" s="1"/>
  <c r="DF527" i="43" s="1"/>
  <c r="DF528" i="43" s="1"/>
  <c r="DF529" i="43" s="1"/>
  <c r="DF530" i="43" s="1"/>
  <c r="DF531" i="43" s="1"/>
  <c r="DF532" i="43" s="1"/>
  <c r="DF533" i="43" s="1"/>
  <c r="DF534" i="43" s="1"/>
  <c r="DF535" i="43" s="1"/>
  <c r="DF536" i="43" s="1"/>
  <c r="DF537" i="43" s="1"/>
  <c r="DF538" i="43" s="1"/>
  <c r="DF539" i="43" s="1"/>
  <c r="DF540" i="43" s="1"/>
  <c r="DF541" i="43" s="1"/>
  <c r="DF542" i="43" s="1"/>
  <c r="DF543" i="43" s="1"/>
  <c r="DF544" i="43" s="1"/>
  <c r="DF545" i="43" s="1"/>
  <c r="DF546" i="43" s="1"/>
  <c r="DF547" i="43" s="1"/>
  <c r="DF548" i="43" s="1"/>
  <c r="DF549" i="43" s="1"/>
  <c r="DF550" i="43" s="1"/>
  <c r="DF551" i="43" s="1"/>
  <c r="DF552" i="43" s="1"/>
  <c r="DF553" i="43" s="1"/>
  <c r="DF554" i="43" s="1"/>
  <c r="DF555" i="43" s="1"/>
  <c r="DF556" i="43" s="1"/>
  <c r="DF557" i="43" s="1"/>
  <c r="DF558" i="43" s="1"/>
  <c r="DF559" i="43" s="1"/>
  <c r="DF560" i="43" s="1"/>
  <c r="DF561" i="43" s="1"/>
  <c r="DF562" i="43" s="1"/>
  <c r="DF563" i="43" s="1"/>
  <c r="DF564" i="43" s="1"/>
  <c r="DF565" i="43" s="1"/>
  <c r="DF566" i="43" s="1"/>
  <c r="DF567" i="43" s="1"/>
  <c r="DF568" i="43" s="1"/>
  <c r="DF569" i="43" s="1"/>
  <c r="DF570" i="43" s="1"/>
  <c r="DF571" i="43" s="1"/>
  <c r="DF572" i="43" s="1"/>
  <c r="DF573" i="43" s="1"/>
  <c r="DF574" i="43" s="1"/>
  <c r="DF575" i="43" s="1"/>
  <c r="DF576" i="43" s="1"/>
  <c r="DF577" i="43" s="1"/>
  <c r="DF578" i="43" s="1"/>
  <c r="DF579" i="43" s="1"/>
  <c r="DF580" i="43" s="1"/>
  <c r="DF581" i="43" s="1"/>
  <c r="DF582" i="43" s="1"/>
  <c r="DF583" i="43" s="1"/>
  <c r="DF584" i="43" s="1"/>
  <c r="DF585" i="43" s="1"/>
  <c r="DF586" i="43" s="1"/>
  <c r="DF587" i="43" s="1"/>
  <c r="DF588" i="43" s="1"/>
  <c r="DF589" i="43" s="1"/>
  <c r="DF590" i="43" s="1"/>
  <c r="DF591" i="43" s="1"/>
  <c r="DF592" i="43" s="1"/>
  <c r="DF593" i="43" s="1"/>
  <c r="DF594" i="43" s="1"/>
  <c r="DF595" i="43" s="1"/>
  <c r="DF596" i="43" s="1"/>
  <c r="DF597" i="43" s="1"/>
  <c r="DF598" i="43" s="1"/>
  <c r="DF599" i="43" s="1"/>
  <c r="DF600" i="43" s="1"/>
  <c r="DF601" i="43" s="1"/>
  <c r="DF602" i="43" s="1"/>
  <c r="DF603" i="43" s="1"/>
  <c r="DF604" i="43" s="1"/>
  <c r="DF605" i="43" s="1"/>
  <c r="DF606" i="43" s="1"/>
  <c r="DF607" i="43" s="1"/>
  <c r="DF608" i="43" s="1"/>
  <c r="DF609" i="43" s="1"/>
  <c r="DF610" i="43" s="1"/>
  <c r="DF611" i="43" s="1"/>
  <c r="DF612" i="43" s="1"/>
  <c r="DF613" i="43" s="1"/>
  <c r="DF614" i="43" s="1"/>
  <c r="DF615" i="43" s="1"/>
  <c r="DF616" i="43" s="1"/>
  <c r="DF617" i="43" s="1"/>
  <c r="DF618" i="43" s="1"/>
  <c r="DF619" i="43" s="1"/>
  <c r="DF620" i="43" s="1"/>
  <c r="DF621" i="43" s="1"/>
  <c r="DF622" i="43" s="1"/>
  <c r="DF623" i="43" s="1"/>
  <c r="DF624" i="43" s="1"/>
  <c r="DF625" i="43" s="1"/>
  <c r="DF626" i="43" s="1"/>
  <c r="DF627" i="43" s="1"/>
  <c r="DF628" i="43" s="1"/>
  <c r="DF629" i="43" s="1"/>
  <c r="DF630" i="43" s="1"/>
  <c r="DF631" i="43" s="1"/>
  <c r="DF632" i="43" s="1"/>
  <c r="DF633" i="43" s="1"/>
  <c r="DF634" i="43" s="1"/>
  <c r="DF635" i="43" s="1"/>
  <c r="DF636" i="43" s="1"/>
  <c r="DF637" i="43" s="1"/>
  <c r="DF638" i="43" s="1"/>
  <c r="DF639" i="43" s="1"/>
  <c r="DF640" i="43" s="1"/>
  <c r="DF641" i="43" s="1"/>
  <c r="DF642" i="43" s="1"/>
  <c r="DF643" i="43" s="1"/>
  <c r="DF644" i="43" s="1"/>
  <c r="DF645" i="43" s="1"/>
  <c r="DF646" i="43" s="1"/>
  <c r="DF647" i="43" s="1"/>
  <c r="DF648" i="43" s="1"/>
  <c r="DF649" i="43" s="1"/>
  <c r="DF650" i="43" s="1"/>
  <c r="DF651" i="43" s="1"/>
  <c r="DF652" i="43" s="1"/>
  <c r="DF653" i="43" s="1"/>
  <c r="DF654" i="43" s="1"/>
  <c r="DF655" i="43" s="1"/>
  <c r="DF656" i="43" s="1"/>
  <c r="DF657" i="43" s="1"/>
  <c r="DF658" i="43" s="1"/>
  <c r="DF659" i="43" s="1"/>
  <c r="DF660" i="43" s="1"/>
  <c r="DF661" i="43" s="1"/>
  <c r="DF662" i="43" s="1"/>
  <c r="DF663" i="43" s="1"/>
  <c r="DF664" i="43" s="1"/>
  <c r="DF665" i="43" s="1"/>
  <c r="DF666" i="43" s="1"/>
  <c r="DF667" i="43" s="1"/>
  <c r="DF668" i="43" s="1"/>
  <c r="DF669" i="43" s="1"/>
  <c r="DF670" i="43" s="1"/>
  <c r="DF671" i="43" s="1"/>
  <c r="DF672" i="43" s="1"/>
  <c r="DF673" i="43" s="1"/>
  <c r="DF674" i="43" s="1"/>
  <c r="DF675" i="43" s="1"/>
  <c r="DF676" i="43" s="1"/>
  <c r="DF677" i="43" s="1"/>
  <c r="DF678" i="43" s="1"/>
  <c r="DF679" i="43" s="1"/>
  <c r="DF680" i="43" s="1"/>
  <c r="DF681" i="43" s="1"/>
  <c r="DF682" i="43" s="1"/>
  <c r="DF683" i="43" s="1"/>
  <c r="DF684" i="43" s="1"/>
  <c r="DF685" i="43" s="1"/>
  <c r="DF686" i="43" s="1"/>
  <c r="DF687" i="43" s="1"/>
  <c r="DF688" i="43" s="1"/>
  <c r="DF689" i="43" s="1"/>
  <c r="DF690" i="43" s="1"/>
  <c r="DF691" i="43" s="1"/>
  <c r="DF692" i="43" s="1"/>
  <c r="DF693" i="43" s="1"/>
  <c r="DF694" i="43" s="1"/>
  <c r="DF695" i="43" s="1"/>
  <c r="DF696" i="43" s="1"/>
  <c r="DF697" i="43" s="1"/>
  <c r="DF698" i="43" s="1"/>
  <c r="DF699" i="43" s="1"/>
  <c r="DF700" i="43" s="1"/>
  <c r="DF701" i="43" s="1"/>
  <c r="DF702" i="43" s="1"/>
  <c r="DF703" i="43" s="1"/>
  <c r="DF704" i="43" s="1"/>
  <c r="DF705" i="43" s="1"/>
  <c r="DF706" i="43" s="1"/>
  <c r="DF707" i="43" s="1"/>
  <c r="DF708" i="43" s="1"/>
  <c r="DF709" i="43" s="1"/>
  <c r="DF710" i="43" s="1"/>
  <c r="DF711" i="43" s="1"/>
  <c r="DF712" i="43" s="1"/>
  <c r="DF713" i="43" s="1"/>
  <c r="DF714" i="43" s="1"/>
  <c r="DF715" i="43" s="1"/>
  <c r="DF716" i="43" s="1"/>
  <c r="DF717" i="43" s="1"/>
  <c r="DF718" i="43" s="1"/>
  <c r="DF719" i="43" s="1"/>
  <c r="DF720" i="43" s="1"/>
  <c r="DF721" i="43" s="1"/>
  <c r="DF722" i="43" s="1"/>
  <c r="DF723" i="43" s="1"/>
  <c r="DF724" i="43" s="1"/>
  <c r="DF725" i="43" s="1"/>
  <c r="DF726" i="43" s="1"/>
  <c r="DF727" i="43" s="1"/>
  <c r="DF728" i="43" s="1"/>
  <c r="DF729" i="43" s="1"/>
  <c r="DF730" i="43" s="1"/>
  <c r="DF731" i="43" s="1"/>
  <c r="DF732" i="43" s="1"/>
  <c r="DF733" i="43" s="1"/>
  <c r="DF734" i="43" s="1"/>
  <c r="DF735" i="43" s="1"/>
  <c r="DF736" i="43" s="1"/>
  <c r="DF737" i="43" s="1"/>
  <c r="DF738" i="43" s="1"/>
  <c r="DF739" i="43" s="1"/>
  <c r="DF740" i="43" s="1"/>
  <c r="DF741" i="43" s="1"/>
  <c r="DF742" i="43" s="1"/>
  <c r="DF743" i="43" s="1"/>
  <c r="DF744" i="43" s="1"/>
  <c r="DF745" i="43" s="1"/>
  <c r="DF746" i="43" s="1"/>
  <c r="DF747" i="43" s="1"/>
  <c r="DF748" i="43" s="1"/>
  <c r="DF749" i="43" s="1"/>
  <c r="DF750" i="43" s="1"/>
  <c r="DF751" i="43" s="1"/>
  <c r="DF752" i="43" s="1"/>
  <c r="DF753" i="43" s="1"/>
  <c r="DF754" i="43" s="1"/>
  <c r="DF755" i="43" s="1"/>
  <c r="DF756" i="43" s="1"/>
  <c r="DF757" i="43" s="1"/>
  <c r="DF758" i="43" s="1"/>
  <c r="DF759" i="43" s="1"/>
  <c r="DF760" i="43" s="1"/>
  <c r="DF761" i="43" s="1"/>
  <c r="DF762" i="43" s="1"/>
  <c r="DF763" i="43" s="1"/>
  <c r="DF764" i="43" s="1"/>
  <c r="DF765" i="43" s="1"/>
  <c r="DF766" i="43" s="1"/>
  <c r="DF767" i="43" s="1"/>
  <c r="DF768" i="43" s="1"/>
  <c r="DF769" i="43" s="1"/>
  <c r="DF770" i="43" s="1"/>
  <c r="DF771" i="43" s="1"/>
  <c r="DF772" i="43" s="1"/>
  <c r="DF773" i="43" s="1"/>
  <c r="DF774" i="43" s="1"/>
  <c r="DF775" i="43" s="1"/>
  <c r="DF776" i="43" s="1"/>
  <c r="DF777" i="43" s="1"/>
  <c r="DF778" i="43" s="1"/>
  <c r="DF779" i="43" s="1"/>
  <c r="DF780" i="43" s="1"/>
  <c r="DF781" i="43" s="1"/>
  <c r="DF782" i="43" s="1"/>
  <c r="DF783" i="43" s="1"/>
  <c r="DF784" i="43" s="1"/>
  <c r="DF785" i="43" s="1"/>
  <c r="DF786" i="43" s="1"/>
  <c r="DF787" i="43" s="1"/>
  <c r="DF788" i="43" s="1"/>
  <c r="DF789" i="43" s="1"/>
  <c r="DF790" i="43" s="1"/>
  <c r="DF791" i="43" s="1"/>
  <c r="DF792" i="43" s="1"/>
  <c r="DF793" i="43" s="1"/>
  <c r="DF794" i="43" s="1"/>
  <c r="DF795" i="43" s="1"/>
  <c r="DF796" i="43" s="1"/>
  <c r="DF797" i="43" s="1"/>
  <c r="DF798" i="43" s="1"/>
  <c r="DF799" i="43" s="1"/>
  <c r="DF800" i="43" s="1"/>
  <c r="DF801" i="43" s="1"/>
  <c r="DF802" i="43" s="1"/>
  <c r="DF803" i="43" s="1"/>
  <c r="DF804" i="43" s="1"/>
  <c r="DF805" i="43" s="1"/>
  <c r="DF806" i="43" s="1"/>
  <c r="DF807" i="43" s="1"/>
  <c r="DF808" i="43" s="1"/>
  <c r="DF809" i="43" s="1"/>
  <c r="DF810" i="43" s="1"/>
  <c r="DF811" i="43" s="1"/>
  <c r="DF812" i="43" s="1"/>
  <c r="DF813" i="43" s="1"/>
  <c r="DF814" i="43" s="1"/>
  <c r="DF815" i="43" s="1"/>
  <c r="DF816" i="43" s="1"/>
  <c r="DF817" i="43" s="1"/>
  <c r="DF818" i="43" s="1"/>
  <c r="DF819" i="43" s="1"/>
  <c r="DF820" i="43" s="1"/>
  <c r="DF821" i="43" s="1"/>
  <c r="DF822" i="43" s="1"/>
  <c r="DF823" i="43" s="1"/>
  <c r="DF824" i="43" s="1"/>
  <c r="DF825" i="43" s="1"/>
  <c r="DF826" i="43" s="1"/>
  <c r="DF827" i="43" s="1"/>
  <c r="DF828" i="43" s="1"/>
  <c r="DF829" i="43" s="1"/>
  <c r="DF830" i="43" s="1"/>
  <c r="DF831" i="43" s="1"/>
  <c r="DF832" i="43" s="1"/>
  <c r="DF833" i="43" s="1"/>
  <c r="DF834" i="43" s="1"/>
  <c r="DF835" i="43" s="1"/>
  <c r="DF836" i="43" s="1"/>
  <c r="DF837" i="43" s="1"/>
  <c r="DF838" i="43" s="1"/>
  <c r="DF839" i="43" s="1"/>
  <c r="DF840" i="43" s="1"/>
  <c r="DF841" i="43" s="1"/>
  <c r="DF842" i="43" s="1"/>
  <c r="DF843" i="43" s="1"/>
  <c r="DF844" i="43" s="1"/>
  <c r="DF845" i="43" s="1"/>
  <c r="DF846" i="43" s="1"/>
  <c r="DF847" i="43" s="1"/>
  <c r="DF848" i="43" s="1"/>
  <c r="DF849" i="43" s="1"/>
  <c r="DF850" i="43" s="1"/>
  <c r="DF851" i="43" s="1"/>
  <c r="DF852" i="43" s="1"/>
  <c r="DF853" i="43" s="1"/>
  <c r="DF854" i="43" s="1"/>
  <c r="DF855" i="43" s="1"/>
  <c r="DF856" i="43" s="1"/>
  <c r="DF857" i="43" s="1"/>
  <c r="DF858" i="43" s="1"/>
  <c r="DF859" i="43" s="1"/>
  <c r="DF860" i="43" s="1"/>
  <c r="DF861" i="43" s="1"/>
  <c r="DF862" i="43" s="1"/>
  <c r="DF863" i="43" s="1"/>
  <c r="DF864" i="43" s="1"/>
  <c r="DF865" i="43" s="1"/>
  <c r="DF866" i="43" s="1"/>
  <c r="DF867" i="43" s="1"/>
  <c r="DF868" i="43" s="1"/>
  <c r="DF869" i="43" s="1"/>
  <c r="DF870" i="43" s="1"/>
  <c r="DF871" i="43" s="1"/>
  <c r="DF872" i="43" s="1"/>
  <c r="DF873" i="43" s="1"/>
  <c r="DF874" i="43" s="1"/>
  <c r="DF875" i="43" s="1"/>
  <c r="DF876" i="43" s="1"/>
  <c r="DF877" i="43" s="1"/>
  <c r="DF878" i="43" s="1"/>
  <c r="DF879" i="43" s="1"/>
  <c r="DF880" i="43" s="1"/>
  <c r="DF881" i="43" s="1"/>
  <c r="DF882" i="43" s="1"/>
  <c r="DF883" i="43" s="1"/>
  <c r="DF884" i="43" s="1"/>
  <c r="DF885" i="43" s="1"/>
  <c r="DF886" i="43" s="1"/>
  <c r="DF887" i="43" s="1"/>
  <c r="DF888" i="43" s="1"/>
  <c r="DF889" i="43" s="1"/>
  <c r="DF890" i="43" s="1"/>
  <c r="DF891" i="43" s="1"/>
  <c r="DF892" i="43" s="1"/>
  <c r="DF893" i="43" s="1"/>
  <c r="DF894" i="43" s="1"/>
  <c r="DF895" i="43" s="1"/>
  <c r="DF896" i="43" s="1"/>
  <c r="DF897" i="43" s="1"/>
  <c r="DF898" i="43" s="1"/>
  <c r="DF899" i="43" s="1"/>
  <c r="DF900" i="43" s="1"/>
  <c r="DF901" i="43" s="1"/>
  <c r="DF902" i="43" s="1"/>
  <c r="DF903" i="43" s="1"/>
  <c r="DF904" i="43" s="1"/>
  <c r="DF905" i="43" s="1"/>
  <c r="DF906" i="43" s="1"/>
  <c r="DF907" i="43" s="1"/>
  <c r="DF908" i="43" s="1"/>
  <c r="DF909" i="43" s="1"/>
  <c r="DF910" i="43" s="1"/>
  <c r="DF911" i="43" s="1"/>
  <c r="DF912" i="43" s="1"/>
  <c r="DF913" i="43" s="1"/>
  <c r="DF914" i="43" s="1"/>
  <c r="DF915" i="43" s="1"/>
  <c r="DF916" i="43" s="1"/>
  <c r="DF917" i="43" s="1"/>
  <c r="DF918" i="43" s="1"/>
  <c r="DF919" i="43" s="1"/>
  <c r="DF920" i="43" s="1"/>
  <c r="DF921" i="43" s="1"/>
  <c r="DF922" i="43" s="1"/>
  <c r="DF923" i="43" s="1"/>
  <c r="DF924" i="43" s="1"/>
  <c r="DF925" i="43" s="1"/>
  <c r="DF926" i="43" s="1"/>
  <c r="DF927" i="43" s="1"/>
  <c r="DF928" i="43" s="1"/>
  <c r="DF929" i="43" s="1"/>
  <c r="DF930" i="43" s="1"/>
  <c r="DF931" i="43" s="1"/>
  <c r="DF932" i="43" s="1"/>
  <c r="DF933" i="43" s="1"/>
  <c r="DF934" i="43" s="1"/>
  <c r="DF935" i="43" s="1"/>
  <c r="DF936" i="43" s="1"/>
  <c r="DF937" i="43" s="1"/>
  <c r="DF938" i="43" s="1"/>
  <c r="DF939" i="43" s="1"/>
  <c r="DF940" i="43" s="1"/>
  <c r="DF941" i="43" s="1"/>
  <c r="DF942" i="43" s="1"/>
  <c r="DF943" i="43" s="1"/>
  <c r="DF944" i="43" s="1"/>
  <c r="DF945" i="43" s="1"/>
  <c r="DF946" i="43" s="1"/>
  <c r="DF947" i="43" s="1"/>
  <c r="DF948" i="43" s="1"/>
  <c r="DF949" i="43" s="1"/>
  <c r="DF950" i="43" s="1"/>
  <c r="DF951" i="43" s="1"/>
  <c r="DF952" i="43" s="1"/>
  <c r="DF953" i="43" s="1"/>
  <c r="DF954" i="43" s="1"/>
  <c r="DF955" i="43" s="1"/>
  <c r="DF956" i="43" s="1"/>
  <c r="DF957" i="43" s="1"/>
  <c r="DF958" i="43" s="1"/>
  <c r="DF959" i="43" s="1"/>
  <c r="DF960" i="43" s="1"/>
  <c r="DF961" i="43" s="1"/>
  <c r="DF962" i="43" s="1"/>
  <c r="DF963" i="43" s="1"/>
  <c r="DF964" i="43" s="1"/>
  <c r="DF965" i="43" s="1"/>
  <c r="DF966" i="43" s="1"/>
  <c r="DF967" i="43" s="1"/>
  <c r="DF968" i="43" s="1"/>
  <c r="DF969" i="43" s="1"/>
  <c r="DF970" i="43" s="1"/>
  <c r="DF971" i="43" s="1"/>
  <c r="DF972" i="43" s="1"/>
  <c r="DF973" i="43" s="1"/>
  <c r="DF974" i="43" s="1"/>
  <c r="DF975" i="43" s="1"/>
  <c r="DF976" i="43" s="1"/>
  <c r="DF977" i="43" s="1"/>
  <c r="DF978" i="43" s="1"/>
  <c r="DF979" i="43" s="1"/>
  <c r="DF980" i="43" s="1"/>
  <c r="DF981" i="43" s="1"/>
  <c r="DF982" i="43" s="1"/>
  <c r="DF983" i="43" s="1"/>
  <c r="DF984" i="43" s="1"/>
  <c r="DF985" i="43" s="1"/>
  <c r="DF986" i="43" s="1"/>
  <c r="DF987" i="43" s="1"/>
  <c r="DF988" i="43" s="1"/>
  <c r="DF989" i="43" s="1"/>
  <c r="DF990" i="43" s="1"/>
  <c r="DF991" i="43" s="1"/>
  <c r="DF992" i="43" s="1"/>
  <c r="DF993" i="43" s="1"/>
  <c r="DF994" i="43" s="1"/>
  <c r="DF995" i="43" s="1"/>
  <c r="DF996" i="43" s="1"/>
  <c r="DF997" i="43" s="1"/>
  <c r="DF998" i="43" s="1"/>
  <c r="DF999" i="43" s="1"/>
  <c r="DF1000" i="43" s="1"/>
  <c r="DF1001" i="43" s="1"/>
  <c r="DF1002" i="43" s="1"/>
  <c r="DF1003" i="43" s="1"/>
  <c r="DF1004" i="43" s="1"/>
  <c r="DF1005" i="43" s="1"/>
  <c r="DF1006" i="43" s="1"/>
  <c r="DF1007" i="43" s="1"/>
  <c r="DF1008" i="43" s="1"/>
  <c r="DF1009" i="43" s="1"/>
  <c r="DF1010" i="43" s="1"/>
  <c r="DF1011" i="43" s="1"/>
  <c r="DF1012" i="43" s="1"/>
  <c r="DF1013" i="43" s="1"/>
  <c r="DF1014" i="43" s="1"/>
  <c r="DF1015" i="43" s="1"/>
  <c r="DF1016" i="43" s="1"/>
  <c r="DF1017" i="43" s="1"/>
  <c r="DF1018" i="43" s="1"/>
  <c r="DF1019" i="43" s="1"/>
  <c r="DF1020" i="43" s="1"/>
  <c r="DF1021" i="43" s="1"/>
  <c r="DF1022" i="43" s="1"/>
  <c r="DF1023" i="43" s="1"/>
  <c r="DF1024" i="43" s="1"/>
  <c r="DF1025" i="43" s="1"/>
  <c r="DF1026" i="43" s="1"/>
  <c r="DF1027" i="43" s="1"/>
  <c r="DF1028" i="43" s="1"/>
  <c r="DF1029" i="43" s="1"/>
  <c r="DF1030" i="43" s="1"/>
  <c r="DF1031" i="43" s="1"/>
  <c r="DF1032" i="43" s="1"/>
  <c r="DF1033" i="43" s="1"/>
  <c r="DF1034" i="43" s="1"/>
  <c r="DF1035" i="43" s="1"/>
  <c r="DF1036" i="43" s="1"/>
  <c r="DF1037" i="43" s="1"/>
  <c r="DF1038" i="43" s="1"/>
  <c r="DF1039" i="43" s="1"/>
  <c r="DF1040" i="43" s="1"/>
  <c r="DF1041" i="43" s="1"/>
  <c r="DF1042" i="43" s="1"/>
  <c r="DF1043" i="43" s="1"/>
  <c r="DF1044" i="43" s="1"/>
  <c r="DF1045" i="43" s="1"/>
  <c r="DF1046" i="43" s="1"/>
  <c r="DF1047" i="43" s="1"/>
  <c r="DF1048" i="43" s="1"/>
  <c r="DF1049" i="43" s="1"/>
  <c r="DF1050" i="43" s="1"/>
  <c r="DF1051" i="43" s="1"/>
  <c r="DF1052" i="43" s="1"/>
  <c r="DF1053" i="43" s="1"/>
  <c r="DF1054" i="43" s="1"/>
  <c r="DF1055" i="43" s="1"/>
  <c r="DF1056" i="43" s="1"/>
  <c r="DF1057" i="43" s="1"/>
  <c r="DF1058" i="43" s="1"/>
  <c r="DF1059" i="43" s="1"/>
  <c r="DF1060" i="43" s="1"/>
  <c r="DF1061" i="43" s="1"/>
  <c r="DF1062" i="43" s="1"/>
  <c r="DF1063" i="43" s="1"/>
  <c r="DF1064" i="43" s="1"/>
  <c r="DF1065" i="43" s="1"/>
  <c r="DF1066" i="43" s="1"/>
  <c r="DF1067" i="43" s="1"/>
  <c r="DF1068" i="43" s="1"/>
  <c r="DF1069" i="43" s="1"/>
  <c r="DF1070" i="43" s="1"/>
  <c r="DF1071" i="43" s="1"/>
  <c r="DF1072" i="43" s="1"/>
  <c r="DF1073" i="43" s="1"/>
  <c r="DF1074" i="43" s="1"/>
  <c r="DF1075" i="43" s="1"/>
  <c r="DF1076" i="43" s="1"/>
  <c r="DF1077" i="43" s="1"/>
  <c r="DF1078" i="43" s="1"/>
  <c r="DF1079" i="43" s="1"/>
  <c r="DF1080" i="43" s="1"/>
  <c r="DF1081" i="43" s="1"/>
  <c r="DF1082" i="43" s="1"/>
  <c r="DF1083" i="43" s="1"/>
  <c r="DF1084" i="43" s="1"/>
  <c r="DF1085" i="43" s="1"/>
  <c r="DF1086" i="43" s="1"/>
  <c r="DF1087" i="43" s="1"/>
  <c r="DF1088" i="43" s="1"/>
  <c r="DF1089" i="43" s="1"/>
  <c r="DF1090" i="43" s="1"/>
  <c r="DF1091" i="43" s="1"/>
  <c r="DF1092" i="43" s="1"/>
  <c r="DF1093" i="43" s="1"/>
  <c r="DF1094" i="43" s="1"/>
  <c r="DF1095" i="43" s="1"/>
  <c r="DF1096" i="43" s="1"/>
  <c r="DF1097" i="43" s="1"/>
  <c r="DF1098" i="43" s="1"/>
  <c r="DF1099" i="43" s="1"/>
  <c r="DF1100" i="43" s="1"/>
  <c r="DF1101" i="43" s="1"/>
  <c r="DF1102" i="43" s="1"/>
  <c r="DF1103" i="43" s="1"/>
  <c r="DF1104" i="43" s="1"/>
  <c r="DF1105" i="43" s="1"/>
  <c r="DF1106" i="43" s="1"/>
  <c r="DF1107" i="43" s="1"/>
  <c r="DF1108" i="43" s="1"/>
  <c r="DF1109" i="43" s="1"/>
  <c r="DF1110" i="43" s="1"/>
  <c r="DF1111" i="43" s="1"/>
  <c r="DF1112" i="43" s="1"/>
  <c r="DF1113" i="43" s="1"/>
  <c r="DF1114" i="43" s="1"/>
  <c r="DF1115" i="43" s="1"/>
  <c r="DF1116" i="43" s="1"/>
  <c r="DF1117" i="43" s="1"/>
  <c r="DF1118" i="43" s="1"/>
  <c r="DF1119" i="43" s="1"/>
  <c r="DF1120" i="43" s="1"/>
  <c r="DF1121" i="43" s="1"/>
  <c r="DF1122" i="43" s="1"/>
  <c r="DF1123" i="43" s="1"/>
  <c r="DF1124" i="43" s="1"/>
  <c r="DF1125" i="43" s="1"/>
  <c r="DF1126" i="43" s="1"/>
  <c r="DF1127" i="43" s="1"/>
  <c r="DF1128" i="43" s="1"/>
  <c r="DF1129" i="43" s="1"/>
  <c r="DF1130" i="43" s="1"/>
  <c r="DF1131" i="43" s="1"/>
  <c r="DF1132" i="43" s="1"/>
  <c r="DF1133" i="43" s="1"/>
  <c r="DF1134" i="43" s="1"/>
  <c r="DF1135" i="43" s="1"/>
  <c r="DF1136" i="43" s="1"/>
  <c r="DF1137" i="43" s="1"/>
  <c r="DF1138" i="43" s="1"/>
  <c r="DF1139" i="43" s="1"/>
  <c r="DF1140" i="43" s="1"/>
  <c r="DF1141" i="43" s="1"/>
  <c r="DF1142" i="43" s="1"/>
  <c r="DF1143" i="43" s="1"/>
  <c r="DF1144" i="43" s="1"/>
  <c r="DF1145" i="43" s="1"/>
  <c r="DF1146" i="43" s="1"/>
  <c r="DF1147" i="43" s="1"/>
  <c r="DF1148" i="43" s="1"/>
  <c r="DF1149" i="43" s="1"/>
  <c r="DF1150" i="43" s="1"/>
  <c r="DF1151" i="43" s="1"/>
  <c r="DF1152" i="43" s="1"/>
  <c r="DF1153" i="43" s="1"/>
  <c r="DF1154" i="43" s="1"/>
  <c r="DF1155" i="43" s="1"/>
  <c r="DF1156" i="43" s="1"/>
  <c r="DF1157" i="43" s="1"/>
  <c r="DF1158" i="43" s="1"/>
  <c r="DF1159" i="43" s="1"/>
  <c r="DF1160" i="43" s="1"/>
  <c r="DF1161" i="43" s="1"/>
  <c r="DF1162" i="43" s="1"/>
  <c r="DF1163" i="43" s="1"/>
  <c r="DF1164" i="43" s="1"/>
  <c r="DF1165" i="43" s="1"/>
  <c r="DF1166" i="43" s="1"/>
  <c r="DF1167" i="43" s="1"/>
  <c r="DF1168" i="43" s="1"/>
  <c r="DF1169" i="43" s="1"/>
  <c r="DF1170" i="43" s="1"/>
  <c r="DF1171" i="43" s="1"/>
  <c r="DF1172" i="43" s="1"/>
  <c r="DF1173" i="43" s="1"/>
  <c r="DF1174" i="43" s="1"/>
  <c r="DF1175" i="43" s="1"/>
  <c r="DF1176" i="43" s="1"/>
  <c r="DF1177" i="43" s="1"/>
  <c r="DF1178" i="43" s="1"/>
  <c r="DF1179" i="43" s="1"/>
  <c r="DF1180" i="43" s="1"/>
  <c r="DF1181" i="43" s="1"/>
  <c r="DF1182" i="43" s="1"/>
  <c r="DF1183" i="43" s="1"/>
  <c r="DF1184" i="43" s="1"/>
  <c r="DF1185" i="43" s="1"/>
  <c r="DF1186" i="43" s="1"/>
  <c r="DF1187" i="43" s="1"/>
  <c r="DF1188" i="43" s="1"/>
  <c r="DF1189" i="43" s="1"/>
  <c r="DF1190" i="43" s="1"/>
  <c r="DF1191" i="43" s="1"/>
  <c r="DF1192" i="43" s="1"/>
  <c r="DF1193" i="43" s="1"/>
  <c r="DF1194" i="43" s="1"/>
  <c r="DF1195" i="43" s="1"/>
  <c r="DF1196" i="43" s="1"/>
  <c r="DF1197" i="43" s="1"/>
  <c r="DF1198" i="43" s="1"/>
  <c r="DF1199" i="43" s="1"/>
  <c r="DF1200" i="43" s="1"/>
  <c r="DF1201" i="43" s="1"/>
  <c r="DD3" i="43"/>
  <c r="DE3" i="43"/>
  <c r="DJ3" i="43"/>
  <c r="DD430" i="43"/>
  <c r="DD536" i="43"/>
  <c r="DJ161" i="43"/>
  <c r="DD472" i="43"/>
  <c r="DJ175" i="43"/>
  <c r="DD265" i="43"/>
  <c r="DI158" i="43"/>
  <c r="DI198" i="43"/>
  <c r="DD23" i="43"/>
  <c r="DE430" i="43"/>
  <c r="DD174" i="43"/>
  <c r="DE472" i="43"/>
  <c r="DE158" i="43"/>
  <c r="DI174" i="43"/>
  <c r="DJ309" i="43"/>
  <c r="DE174" i="43"/>
  <c r="DJ599" i="43"/>
  <c r="DJ103" i="43"/>
  <c r="DD267" i="43"/>
  <c r="B95" i="40"/>
  <c r="B94" i="40"/>
  <c r="B92" i="40"/>
  <c r="B93" i="40"/>
  <c r="B96" i="40"/>
  <c r="B97" i="40"/>
  <c r="B106" i="40"/>
  <c r="B107" i="40"/>
  <c r="DE509" i="43"/>
  <c r="DE363" i="43"/>
  <c r="DD477" i="43"/>
  <c r="DJ450" i="43"/>
  <c r="DJ484" i="43"/>
  <c r="DD359" i="43"/>
  <c r="DE359" i="43"/>
  <c r="DD213" i="43"/>
  <c r="DJ345" i="43"/>
  <c r="DE447" i="43"/>
  <c r="DD201" i="43"/>
  <c r="DE332" i="43"/>
  <c r="DJ526" i="43"/>
  <c r="DE212" i="43"/>
  <c r="DD526" i="43"/>
  <c r="DJ323" i="43"/>
  <c r="DE376" i="43"/>
  <c r="DD314" i="43"/>
  <c r="DE461" i="43"/>
  <c r="DD310" i="43"/>
  <c r="DJ504" i="43"/>
  <c r="DJ373" i="43"/>
  <c r="DD348" i="43"/>
  <c r="DJ473" i="43"/>
  <c r="DJ497" i="43"/>
  <c r="DE454" i="43"/>
  <c r="DJ551" i="43"/>
  <c r="DE348" i="43"/>
  <c r="DJ501" i="43"/>
  <c r="DJ433" i="43"/>
  <c r="DD473" i="43"/>
  <c r="DD497" i="43"/>
  <c r="DD406" i="43"/>
  <c r="DD551" i="43"/>
  <c r="DD501" i="43"/>
  <c r="DD298" i="43"/>
  <c r="DD433" i="43"/>
  <c r="DJ238" i="43"/>
  <c r="DE406" i="43"/>
  <c r="DD322" i="43"/>
  <c r="DE298" i="43"/>
  <c r="DD226" i="43"/>
  <c r="DD315" i="43"/>
  <c r="DE331" i="43"/>
  <c r="DJ505" i="43"/>
  <c r="DD580" i="43"/>
  <c r="DE322" i="43"/>
  <c r="DJ417" i="43"/>
  <c r="DE226" i="43"/>
  <c r="DD344" i="43"/>
  <c r="DD505" i="43"/>
  <c r="DJ205" i="43"/>
  <c r="DE580" i="43"/>
  <c r="DD300" i="43"/>
  <c r="DD352" i="43"/>
  <c r="DD417" i="43"/>
  <c r="DJ415" i="43"/>
  <c r="DE344" i="43"/>
  <c r="DE300" i="43"/>
  <c r="DE352" i="43"/>
  <c r="DD318" i="43"/>
  <c r="DD415" i="43"/>
  <c r="DD282" i="43"/>
  <c r="DJ475" i="43"/>
  <c r="DE301" i="43"/>
  <c r="DD327" i="43"/>
  <c r="DJ471" i="43"/>
  <c r="DE318" i="43"/>
  <c r="DE282" i="43"/>
  <c r="DJ461" i="43"/>
  <c r="DE374" i="43"/>
  <c r="DD475" i="43"/>
  <c r="DE311" i="43"/>
  <c r="DD471" i="43"/>
  <c r="DJ236" i="43"/>
  <c r="DJ549" i="43"/>
  <c r="B99" i="40"/>
  <c r="B98" i="40"/>
  <c r="B100" i="40"/>
  <c r="B101" i="40"/>
  <c r="DD280" i="43"/>
  <c r="DD268" i="43"/>
  <c r="DD457" i="43"/>
  <c r="DD486" i="43"/>
  <c r="DD366" i="43"/>
  <c r="DD341" i="43"/>
  <c r="DE435" i="43"/>
  <c r="DJ455" i="43"/>
  <c r="DE269" i="43"/>
  <c r="DE458" i="43"/>
  <c r="DD455" i="43"/>
  <c r="DD555" i="43"/>
  <c r="DE542" i="43"/>
  <c r="DD241" i="43"/>
  <c r="DE429" i="43"/>
  <c r="DJ542" i="43"/>
  <c r="DE383" i="43"/>
  <c r="DE241" i="43"/>
  <c r="DD336" i="43"/>
  <c r="B105" i="40"/>
  <c r="B103" i="40"/>
  <c r="B104" i="40"/>
  <c r="B102" i="40"/>
  <c r="C99" i="40"/>
  <c r="C98" i="40"/>
  <c r="DD575" i="43"/>
  <c r="DD232" i="43"/>
  <c r="DE590" i="43"/>
  <c r="DD319" i="43"/>
  <c r="DE556" i="43"/>
  <c r="DJ477" i="43"/>
  <c r="DD588" i="43"/>
  <c r="DD586" i="43"/>
  <c r="DE530" i="43"/>
  <c r="DD553" i="43"/>
  <c r="DJ365" i="43"/>
  <c r="DD582" i="43"/>
  <c r="DE400" i="43"/>
  <c r="DD405" i="43"/>
  <c r="DD345" i="43"/>
  <c r="DJ578" i="43"/>
  <c r="DJ588" i="43"/>
  <c r="DJ530" i="43"/>
  <c r="DD365" i="43"/>
  <c r="DJ539" i="43"/>
  <c r="BL25" i="43" a="1"/>
  <c r="BL25" i="43" s="1"/>
  <c r="G51" i="43" s="1"/>
  <c r="DE449" i="43"/>
  <c r="DD539" i="43"/>
  <c r="DD487" i="43"/>
  <c r="DD317" i="43"/>
  <c r="DE208" i="43"/>
  <c r="DD258" i="43"/>
  <c r="DE487" i="43"/>
  <c r="DE258" i="43"/>
  <c r="DD449" i="43"/>
  <c r="DE317" i="43"/>
  <c r="DJ563" i="43"/>
  <c r="DJ431" i="43"/>
  <c r="DE230" i="43"/>
  <c r="DD356" i="43"/>
  <c r="DE545" i="43"/>
  <c r="DD563" i="43"/>
  <c r="DD431" i="43"/>
  <c r="DE583" i="43"/>
  <c r="DD256" i="43"/>
  <c r="DJ567" i="43"/>
  <c r="DJ521" i="43"/>
  <c r="DE356" i="43"/>
  <c r="DJ579" i="43"/>
  <c r="DD234" i="43"/>
  <c r="DD567" i="43"/>
  <c r="DJ343" i="43"/>
  <c r="DD219" i="43"/>
  <c r="DE353" i="43"/>
  <c r="DD529" i="43"/>
  <c r="DE424" i="43"/>
  <c r="DD510" i="43"/>
  <c r="DJ312" i="43"/>
  <c r="DJ528" i="43"/>
  <c r="DD573" i="43"/>
  <c r="DD569" i="43"/>
  <c r="DD525" i="43"/>
  <c r="DE529" i="43"/>
  <c r="DE573" i="43"/>
  <c r="DD259" i="43"/>
  <c r="DE569" i="43"/>
  <c r="DE525" i="43"/>
  <c r="DJ523" i="43"/>
  <c r="DD523" i="43"/>
  <c r="DJ562" i="43"/>
  <c r="DD372" i="43"/>
  <c r="DD561" i="43"/>
  <c r="DD562" i="43"/>
  <c r="DD495" i="43"/>
  <c r="DJ379" i="43"/>
  <c r="DJ421" i="43"/>
  <c r="DD261" i="43"/>
  <c r="DE378" i="43"/>
  <c r="DE372" i="43"/>
  <c r="DE561" i="43"/>
  <c r="DE495" i="43"/>
  <c r="DD379" i="43"/>
  <c r="DD220" i="43"/>
  <c r="DD217" i="43"/>
  <c r="DD421" i="43"/>
  <c r="DE382" i="43"/>
  <c r="DD378" i="43"/>
  <c r="DJ377" i="43"/>
  <c r="DJ375" i="43"/>
  <c r="DJ335" i="43"/>
  <c r="DE220" i="43"/>
  <c r="DD382" i="43"/>
  <c r="DD377" i="43"/>
  <c r="DD375" i="43"/>
  <c r="DD335" i="43"/>
  <c r="DD346" i="43"/>
  <c r="DD215" i="43"/>
  <c r="DD380" i="43"/>
  <c r="DD294" i="43"/>
  <c r="DE346" i="43"/>
  <c r="DD577" i="43"/>
  <c r="DJ227" i="43"/>
  <c r="DE380" i="43"/>
  <c r="DJ595" i="43"/>
  <c r="DE294" i="43"/>
  <c r="DE577" i="43"/>
  <c r="DD524" i="43"/>
  <c r="DD227" i="43"/>
  <c r="DD597" i="43"/>
  <c r="DJ558" i="43"/>
  <c r="DE587" i="43"/>
  <c r="DD579" i="43"/>
  <c r="DE419" i="43"/>
  <c r="DD228" i="43"/>
  <c r="DE290" i="43"/>
  <c r="DE323" i="43"/>
  <c r="DD592" i="43"/>
  <c r="DD275" i="43"/>
  <c r="DE234" i="43"/>
  <c r="DJ597" i="43"/>
  <c r="DE484" i="43"/>
  <c r="DD321" i="43"/>
  <c r="DE336" i="43"/>
  <c r="DD466" i="43"/>
  <c r="DE512" i="43"/>
  <c r="DE287" i="43"/>
  <c r="DD202" i="43"/>
  <c r="DD558" i="43"/>
  <c r="DJ554" i="43"/>
  <c r="DD550" i="43"/>
  <c r="DD517" i="43"/>
  <c r="DD343" i="43"/>
  <c r="DJ568" i="43"/>
  <c r="DE342" i="43"/>
  <c r="DD290" i="43"/>
  <c r="DJ321" i="43"/>
  <c r="DJ550" i="43"/>
  <c r="DE389" i="43"/>
  <c r="DJ341" i="43"/>
  <c r="DE228" i="43"/>
  <c r="DD306" i="43"/>
  <c r="DJ592" i="43"/>
  <c r="DD565" i="43"/>
  <c r="DD458" i="43"/>
  <c r="DD360" i="43"/>
  <c r="DJ486" i="43"/>
  <c r="DE466" i="43"/>
  <c r="DJ555" i="43"/>
  <c r="DJ480" i="43"/>
  <c r="DE202" i="43"/>
  <c r="DD554" i="43"/>
  <c r="DD452" i="43"/>
  <c r="DJ478" i="43"/>
  <c r="DJ490" i="43"/>
  <c r="DE518" i="43"/>
  <c r="DE517" i="43"/>
  <c r="DD548" i="43"/>
  <c r="DD568" i="43"/>
  <c r="DD419" i="43"/>
  <c r="DE565" i="43"/>
  <c r="DD271" i="43"/>
  <c r="DJ349" i="43"/>
  <c r="DD302" i="43"/>
  <c r="DD578" i="43"/>
  <c r="DD462" i="43"/>
  <c r="DJ306" i="43"/>
  <c r="DJ571" i="43"/>
  <c r="DE268" i="43"/>
  <c r="DD305" i="43"/>
  <c r="DJ360" i="43"/>
  <c r="DD468" i="43"/>
  <c r="DE386" i="43"/>
  <c r="DJ361" i="43"/>
  <c r="DE480" i="43"/>
  <c r="DE366" i="43"/>
  <c r="DE248" i="43"/>
  <c r="DD349" i="43"/>
  <c r="DJ452" i="43"/>
  <c r="DE478" i="43"/>
  <c r="DE490" i="43"/>
  <c r="DD518" i="43"/>
  <c r="DD483" i="43"/>
  <c r="DJ548" i="43"/>
  <c r="DE302" i="43"/>
  <c r="DE462" i="43"/>
  <c r="DJ387" i="43"/>
  <c r="DE522" i="43"/>
  <c r="DD571" i="43"/>
  <c r="DE305" i="43"/>
  <c r="DD218" i="43"/>
  <c r="DE468" i="43"/>
  <c r="DD386" i="43"/>
  <c r="DD361" i="43"/>
  <c r="DD593" i="43"/>
  <c r="DD600" i="43"/>
  <c r="DD491" i="43"/>
  <c r="DJ459" i="43"/>
  <c r="DJ297" i="43"/>
  <c r="DE483" i="43"/>
  <c r="DD214" i="43"/>
  <c r="DD387" i="43"/>
  <c r="DJ522" i="43"/>
  <c r="DJ465" i="43"/>
  <c r="DJ401" i="43"/>
  <c r="DJ531" i="43"/>
  <c r="DJ498" i="43"/>
  <c r="DE218" i="43"/>
  <c r="DE593" i="43"/>
  <c r="DJ600" i="43"/>
  <c r="DJ223" i="43"/>
  <c r="DE491" i="43"/>
  <c r="DD459" i="43"/>
  <c r="DJ333" i="43"/>
  <c r="DD297" i="43"/>
  <c r="DD513" i="43"/>
  <c r="DD295" i="43"/>
  <c r="DD330" i="43"/>
  <c r="DE214" i="43"/>
  <c r="DD404" i="43"/>
  <c r="DD460" i="43"/>
  <c r="DD465" i="43"/>
  <c r="DD401" i="43"/>
  <c r="DD531" i="43"/>
  <c r="DD289" i="43"/>
  <c r="DD498" i="43"/>
  <c r="DD338" i="43"/>
  <c r="DD223" i="43"/>
  <c r="DD585" i="43"/>
  <c r="DD333" i="43"/>
  <c r="DD434" i="43"/>
  <c r="DD432" i="43"/>
  <c r="DJ559" i="43"/>
  <c r="DE513" i="43"/>
  <c r="DE330" i="43"/>
  <c r="DJ347" i="43"/>
  <c r="DJ332" i="43"/>
  <c r="DD544" i="43"/>
  <c r="DJ435" i="43"/>
  <c r="DD250" i="43"/>
  <c r="DE404" i="43"/>
  <c r="DD299" i="43"/>
  <c r="DE460" i="43"/>
  <c r="DJ447" i="43"/>
  <c r="DJ383" i="43"/>
  <c r="DJ363" i="43"/>
  <c r="DE338" i="43"/>
  <c r="DD392" i="43"/>
  <c r="DJ509" i="43"/>
  <c r="DJ429" i="43"/>
  <c r="DJ303" i="43"/>
  <c r="DE585" i="43"/>
  <c r="DD450" i="43"/>
  <c r="DJ583" i="43"/>
  <c r="DE434" i="43"/>
  <c r="DE432" i="43"/>
  <c r="DD559" i="43"/>
  <c r="DD347" i="43"/>
  <c r="DD334" i="43"/>
  <c r="DE494" i="43"/>
  <c r="DE229" i="43"/>
  <c r="DD326" i="43"/>
  <c r="DD546" i="43"/>
  <c r="DD245" i="43"/>
  <c r="DJ552" i="43"/>
  <c r="DE254" i="43"/>
  <c r="DJ507" i="43"/>
  <c r="DJ488" i="43"/>
  <c r="DJ533" i="43"/>
  <c r="DD425" i="43"/>
  <c r="DD216" i="43"/>
  <c r="DE566" i="43"/>
  <c r="DJ397" i="43"/>
  <c r="DJ364" i="43"/>
  <c r="DJ436" i="43"/>
  <c r="DD331" i="43"/>
  <c r="DE560" i="43"/>
  <c r="DE549" i="43"/>
  <c r="DD454" i="43"/>
  <c r="DJ422" i="43"/>
  <c r="DD301" i="43"/>
  <c r="DJ304" i="43"/>
  <c r="DJ464" i="43"/>
  <c r="DJ327" i="43"/>
  <c r="DJ572" i="43"/>
  <c r="DD511" i="43"/>
  <c r="DD373" i="43"/>
  <c r="DE488" i="43"/>
  <c r="DJ502" i="43"/>
  <c r="DE557" i="43"/>
  <c r="DJ500" i="43"/>
  <c r="DE511" i="43"/>
  <c r="DD537" i="43"/>
  <c r="DD418" i="43"/>
  <c r="DJ329" i="43"/>
  <c r="DD502" i="43"/>
  <c r="DD438" i="43"/>
  <c r="DJ427" i="43"/>
  <c r="DJ469" i="43"/>
  <c r="DD500" i="43"/>
  <c r="DE537" i="43"/>
  <c r="DD288" i="43"/>
  <c r="DE418" i="43"/>
  <c r="DD203" i="43"/>
  <c r="DD329" i="43"/>
  <c r="DD503" i="43"/>
  <c r="DD520" i="43"/>
  <c r="DJ273" i="43"/>
  <c r="DD408" i="43"/>
  <c r="DJ584" i="43"/>
  <c r="DJ423" i="43"/>
  <c r="DE438" i="43"/>
  <c r="DD427" i="43"/>
  <c r="DD469" i="43"/>
  <c r="DD244" i="43"/>
  <c r="DD362" i="43"/>
  <c r="DE288" i="43"/>
  <c r="DD507" i="43"/>
  <c r="DD533" i="43"/>
  <c r="DE503" i="43"/>
  <c r="DJ481" i="43"/>
  <c r="DE520" i="43"/>
  <c r="DD273" i="43"/>
  <c r="DE408" i="43"/>
  <c r="DD584" i="43"/>
  <c r="DJ255" i="43"/>
  <c r="DD423" i="43"/>
  <c r="DJ576" i="43"/>
  <c r="DE244" i="43"/>
  <c r="DE546" i="43"/>
  <c r="DD552" i="43"/>
  <c r="DE362" i="43"/>
  <c r="DE507" i="43"/>
  <c r="DE533" i="43"/>
  <c r="DD224" i="43"/>
  <c r="DD481" i="43"/>
  <c r="DJ566" i="43"/>
  <c r="DD255" i="43"/>
  <c r="DD364" i="43"/>
  <c r="DD436" i="43"/>
  <c r="DJ560" i="43"/>
  <c r="DD422" i="43"/>
  <c r="DD576" i="43"/>
  <c r="DD304" i="43"/>
  <c r="DD464" i="43"/>
  <c r="DE521" i="43"/>
  <c r="DD572" i="43"/>
  <c r="DJ514" i="43"/>
  <c r="DE479" i="43"/>
  <c r="DD358" i="43"/>
  <c r="DE315" i="43"/>
  <c r="DE570" i="43"/>
  <c r="DD463" i="43"/>
  <c r="DE326" i="43"/>
  <c r="DE308" i="43"/>
  <c r="DJ534" i="43"/>
  <c r="DE392" i="43"/>
  <c r="DD596" i="43"/>
  <c r="DE367" i="43"/>
  <c r="DE239" i="43"/>
  <c r="DE370" i="43"/>
  <c r="DJ581" i="43"/>
  <c r="DD448" i="43"/>
  <c r="DD266" i="43"/>
  <c r="DJ354" i="43"/>
  <c r="DD402" i="43"/>
  <c r="DD316" i="43"/>
  <c r="DD514" i="43"/>
  <c r="DE358" i="43"/>
  <c r="DJ342" i="43"/>
  <c r="DD476" i="43"/>
  <c r="DD541" i="43"/>
  <c r="DJ474" i="43"/>
  <c r="DE463" i="43"/>
  <c r="DD534" i="43"/>
  <c r="DJ596" i="43"/>
  <c r="DJ381" i="43"/>
  <c r="DD246" i="43"/>
  <c r="DJ508" i="43"/>
  <c r="DI504" i="43"/>
  <c r="DJ407" i="43"/>
  <c r="DE448" i="43"/>
  <c r="DE266" i="43"/>
  <c r="DE402" i="43"/>
  <c r="DE316" i="43"/>
  <c r="DE476" i="43"/>
  <c r="DJ485" i="43"/>
  <c r="DE541" i="43"/>
  <c r="DE596" i="43"/>
  <c r="DD381" i="43"/>
  <c r="DE246" i="43"/>
  <c r="DD508" i="43"/>
  <c r="DJ411" i="43"/>
  <c r="DJ409" i="43"/>
  <c r="DD407" i="43"/>
  <c r="DJ313" i="43"/>
  <c r="DI396" i="43"/>
  <c r="DD485" i="43"/>
  <c r="DD411" i="43"/>
  <c r="DJ285" i="43"/>
  <c r="DD409" i="43"/>
  <c r="DJ453" i="43"/>
  <c r="DD313" i="43"/>
  <c r="DD420" i="43"/>
  <c r="DD285" i="43"/>
  <c r="DD453" i="43"/>
  <c r="DJ357" i="43"/>
  <c r="DD240" i="43"/>
  <c r="DJ515" i="43"/>
  <c r="DD257" i="43"/>
  <c r="DE420" i="43"/>
  <c r="DJ512" i="43"/>
  <c r="DD264" i="43"/>
  <c r="DD581" i="43"/>
  <c r="DJ311" i="43"/>
  <c r="DD354" i="43"/>
  <c r="DH1189" i="43"/>
  <c r="DD1189" i="43"/>
  <c r="DJ1189" i="43"/>
  <c r="DE1189" i="43"/>
  <c r="DE758" i="43"/>
  <c r="DD758" i="43"/>
  <c r="DJ758" i="43"/>
  <c r="DH758" i="43"/>
  <c r="DJ1175" i="43"/>
  <c r="DE1175" i="43"/>
  <c r="DD1175" i="43"/>
  <c r="DH1175" i="43"/>
  <c r="DE1076" i="43"/>
  <c r="DD1076" i="43"/>
  <c r="DH1076" i="43"/>
  <c r="DJ1076" i="43"/>
  <c r="DD980" i="43"/>
  <c r="DJ980" i="43"/>
  <c r="DH980" i="43"/>
  <c r="DE980" i="43"/>
  <c r="DE926" i="43"/>
  <c r="DD926" i="43"/>
  <c r="DJ926" i="43"/>
  <c r="DH926" i="43"/>
  <c r="DE859" i="43"/>
  <c r="DD859" i="43"/>
  <c r="DH859" i="43"/>
  <c r="DJ859" i="43"/>
  <c r="DE790" i="43"/>
  <c r="DD790" i="43"/>
  <c r="DJ790" i="43"/>
  <c r="DH790" i="43"/>
  <c r="DD701" i="43"/>
  <c r="DJ701" i="43"/>
  <c r="DH701" i="43"/>
  <c r="DE701" i="43"/>
  <c r="DE674" i="43"/>
  <c r="DD674" i="43"/>
  <c r="DJ674" i="43"/>
  <c r="DH674" i="43"/>
  <c r="DJ708" i="43"/>
  <c r="DH708" i="43"/>
  <c r="DE708" i="43"/>
  <c r="DD708" i="43"/>
  <c r="DJ768" i="43"/>
  <c r="DH768" i="43"/>
  <c r="DE768" i="43"/>
  <c r="DD768" i="43"/>
  <c r="DE1137" i="43"/>
  <c r="DJ1137" i="43"/>
  <c r="DH1137" i="43"/>
  <c r="DD1137" i="43"/>
  <c r="DE830" i="43"/>
  <c r="DD830" i="43"/>
  <c r="DJ830" i="43"/>
  <c r="DH830" i="43"/>
  <c r="DJ1041" i="43"/>
  <c r="DH1041" i="43"/>
  <c r="DE1041" i="43"/>
  <c r="DD1041" i="43"/>
  <c r="DD709" i="43"/>
  <c r="DJ709" i="43"/>
  <c r="DH709" i="43"/>
  <c r="DE709" i="43"/>
  <c r="DH940" i="43"/>
  <c r="DE940" i="43"/>
  <c r="DJ940" i="43"/>
  <c r="DD940" i="43"/>
  <c r="DE1163" i="43"/>
  <c r="DJ1163" i="43"/>
  <c r="DH1163" i="43"/>
  <c r="DD1163" i="43"/>
  <c r="DE1095" i="43"/>
  <c r="DD1095" i="43"/>
  <c r="DJ1095" i="43"/>
  <c r="DH1095" i="43"/>
  <c r="DE1055" i="43"/>
  <c r="DD1055" i="43"/>
  <c r="DJ1055" i="43"/>
  <c r="DH1055" i="43"/>
  <c r="DE981" i="43"/>
  <c r="DD981" i="43"/>
  <c r="DJ981" i="43"/>
  <c r="DH981" i="43"/>
  <c r="DE862" i="43"/>
  <c r="DD862" i="43"/>
  <c r="DJ862" i="43"/>
  <c r="DH862" i="43"/>
  <c r="DH848" i="43"/>
  <c r="DE848" i="43"/>
  <c r="DD848" i="43"/>
  <c r="DJ848" i="43"/>
  <c r="DJ967" i="43"/>
  <c r="DH967" i="43"/>
  <c r="DE967" i="43"/>
  <c r="DD967" i="43"/>
  <c r="DJ637" i="43"/>
  <c r="DH637" i="43"/>
  <c r="DE637" i="43"/>
  <c r="DD637" i="43"/>
  <c r="DE610" i="43"/>
  <c r="DD610" i="43"/>
  <c r="DJ610" i="43"/>
  <c r="DH610" i="43"/>
  <c r="DH699" i="43"/>
  <c r="DE699" i="43"/>
  <c r="DD699" i="43"/>
  <c r="DJ699" i="43"/>
  <c r="DJ716" i="43"/>
  <c r="DH716" i="43"/>
  <c r="DE716" i="43"/>
  <c r="DD716" i="43"/>
  <c r="DJ1139" i="43"/>
  <c r="DE1139" i="43"/>
  <c r="DH1139" i="43"/>
  <c r="DD1139" i="43"/>
  <c r="DE1062" i="43"/>
  <c r="DD1062" i="43"/>
  <c r="DJ1062" i="43"/>
  <c r="DH1062" i="43"/>
  <c r="DD972" i="43"/>
  <c r="DJ972" i="43"/>
  <c r="DH972" i="43"/>
  <c r="DE972" i="43"/>
  <c r="DE918" i="43"/>
  <c r="DD918" i="43"/>
  <c r="DJ918" i="43"/>
  <c r="DH918" i="43"/>
  <c r="DH912" i="43"/>
  <c r="DE912" i="43"/>
  <c r="DJ912" i="43"/>
  <c r="DD912" i="43"/>
  <c r="DE782" i="43"/>
  <c r="DD782" i="43"/>
  <c r="DJ782" i="43"/>
  <c r="DH782" i="43"/>
  <c r="DJ693" i="43"/>
  <c r="DH693" i="43"/>
  <c r="DE693" i="43"/>
  <c r="DD693" i="43"/>
  <c r="DE698" i="43"/>
  <c r="DD698" i="43"/>
  <c r="DJ698" i="43"/>
  <c r="DH698" i="43"/>
  <c r="DH1178" i="43"/>
  <c r="DE1178" i="43"/>
  <c r="DJ1178" i="43"/>
  <c r="DD1178" i="43"/>
  <c r="DJ1086" i="43"/>
  <c r="DH1086" i="43"/>
  <c r="DD1086" i="43"/>
  <c r="DE1086" i="43"/>
  <c r="DH620" i="43"/>
  <c r="DE620" i="43"/>
  <c r="DJ620" i="43"/>
  <c r="DD620" i="43"/>
  <c r="DE1034" i="43"/>
  <c r="DD1034" i="43"/>
  <c r="DJ1034" i="43"/>
  <c r="DH1034" i="43"/>
  <c r="DD1176" i="43"/>
  <c r="DJ1176" i="43"/>
  <c r="DH1176" i="43"/>
  <c r="DE1176" i="43"/>
  <c r="DE1108" i="43"/>
  <c r="DD1108" i="43"/>
  <c r="DJ1108" i="43"/>
  <c r="DH1108" i="43"/>
  <c r="DH1019" i="43"/>
  <c r="DD1019" i="43"/>
  <c r="DJ1019" i="43"/>
  <c r="DE1019" i="43"/>
  <c r="DH982" i="43"/>
  <c r="DE982" i="43"/>
  <c r="DD982" i="43"/>
  <c r="DJ982" i="43"/>
  <c r="DE1006" i="43"/>
  <c r="DJ1006" i="43"/>
  <c r="DH1006" i="43"/>
  <c r="DD1006" i="43"/>
  <c r="DD825" i="43"/>
  <c r="DJ825" i="43"/>
  <c r="DH825" i="43"/>
  <c r="DE825" i="43"/>
  <c r="DH827" i="43"/>
  <c r="DE827" i="43"/>
  <c r="DD827" i="43"/>
  <c r="DJ827" i="43"/>
  <c r="DJ605" i="43"/>
  <c r="DH605" i="43"/>
  <c r="DE605" i="43"/>
  <c r="DD605" i="43"/>
  <c r="DE667" i="43"/>
  <c r="DD667" i="43"/>
  <c r="DH667" i="43"/>
  <c r="DJ667" i="43"/>
  <c r="DD1172" i="43"/>
  <c r="DJ1172" i="43"/>
  <c r="DH1172" i="43"/>
  <c r="DE1172" i="43"/>
  <c r="DE1104" i="43"/>
  <c r="DD1104" i="43"/>
  <c r="DJ1104" i="43"/>
  <c r="DH1104" i="43"/>
  <c r="DH1015" i="43"/>
  <c r="DJ1015" i="43"/>
  <c r="DE1015" i="43"/>
  <c r="DD1015" i="43"/>
  <c r="DH966" i="43"/>
  <c r="DE966" i="43"/>
  <c r="DJ966" i="43"/>
  <c r="DD966" i="43"/>
  <c r="DH970" i="43"/>
  <c r="DE970" i="43"/>
  <c r="DJ970" i="43"/>
  <c r="DD970" i="43"/>
  <c r="DD821" i="43"/>
  <c r="DJ821" i="43"/>
  <c r="DH821" i="43"/>
  <c r="DE821" i="43"/>
  <c r="DH823" i="43"/>
  <c r="DE823" i="43"/>
  <c r="DD823" i="43"/>
  <c r="DJ823" i="43"/>
  <c r="DH601" i="43"/>
  <c r="DE601" i="43"/>
  <c r="DD601" i="43"/>
  <c r="DE1119" i="43"/>
  <c r="DD1119" i="43"/>
  <c r="DH1119" i="43"/>
  <c r="DJ1119" i="43"/>
  <c r="DE1026" i="43"/>
  <c r="DD1026" i="43"/>
  <c r="DJ1026" i="43"/>
  <c r="DH1026" i="43"/>
  <c r="DE1018" i="43"/>
  <c r="DJ1018" i="43"/>
  <c r="DH1018" i="43"/>
  <c r="DD1018" i="43"/>
  <c r="DE882" i="43"/>
  <c r="DD882" i="43"/>
  <c r="DJ882" i="43"/>
  <c r="DH882" i="43"/>
  <c r="DH872" i="43"/>
  <c r="DJ872" i="43"/>
  <c r="DE872" i="43"/>
  <c r="DD872" i="43"/>
  <c r="DE746" i="43"/>
  <c r="DD746" i="43"/>
  <c r="DJ746" i="43"/>
  <c r="DH746" i="43"/>
  <c r="DJ657" i="43"/>
  <c r="DH657" i="43"/>
  <c r="DE657" i="43"/>
  <c r="DD657" i="43"/>
  <c r="DJ784" i="43"/>
  <c r="DH784" i="43"/>
  <c r="DE784" i="43"/>
  <c r="DD784" i="43"/>
  <c r="DJ669" i="43"/>
  <c r="DH669" i="43"/>
  <c r="DE669" i="43"/>
  <c r="DD669" i="43"/>
  <c r="DJ1147" i="43"/>
  <c r="DH1147" i="43"/>
  <c r="DE1147" i="43"/>
  <c r="DD1147" i="43"/>
  <c r="DH1190" i="43"/>
  <c r="DE1190" i="43"/>
  <c r="DJ1190" i="43"/>
  <c r="DD1190" i="43"/>
  <c r="DH1120" i="43"/>
  <c r="DJ1120" i="43"/>
  <c r="DE1120" i="43"/>
  <c r="DD1120" i="43"/>
  <c r="DH987" i="43"/>
  <c r="DD987" i="43"/>
  <c r="DJ987" i="43"/>
  <c r="DE987" i="43"/>
  <c r="DJ933" i="43"/>
  <c r="DH933" i="43"/>
  <c r="DE933" i="43"/>
  <c r="DD933" i="43"/>
  <c r="DE931" i="43"/>
  <c r="DD931" i="43"/>
  <c r="DJ931" i="43"/>
  <c r="DH931" i="43"/>
  <c r="DD793" i="43"/>
  <c r="DJ793" i="43"/>
  <c r="DH793" i="43"/>
  <c r="DE793" i="43"/>
  <c r="DH795" i="43"/>
  <c r="DE795" i="43"/>
  <c r="DD795" i="43"/>
  <c r="DJ795" i="43"/>
  <c r="DE635" i="43"/>
  <c r="DD635" i="43"/>
  <c r="DH635" i="43"/>
  <c r="DJ635" i="43"/>
  <c r="DJ748" i="43"/>
  <c r="DH748" i="43"/>
  <c r="DE748" i="43"/>
  <c r="DD748" i="43"/>
  <c r="DH1128" i="43"/>
  <c r="DJ1128" i="43"/>
  <c r="DE1128" i="43"/>
  <c r="DD1128" i="43"/>
  <c r="DE642" i="43"/>
  <c r="DD642" i="43"/>
  <c r="DJ642" i="43"/>
  <c r="DH642" i="43"/>
  <c r="DH668" i="43"/>
  <c r="DE668" i="43"/>
  <c r="DJ668" i="43"/>
  <c r="DD668" i="43"/>
  <c r="DE890" i="43"/>
  <c r="DD890" i="43"/>
  <c r="DJ890" i="43"/>
  <c r="DH890" i="43"/>
  <c r="DE662" i="43"/>
  <c r="DD662" i="43"/>
  <c r="DJ662" i="43"/>
  <c r="DH662" i="43"/>
  <c r="DE1170" i="43"/>
  <c r="DD1170" i="43"/>
  <c r="DH1170" i="43"/>
  <c r="DJ1170" i="43"/>
  <c r="DE1096" i="43"/>
  <c r="DD1096" i="43"/>
  <c r="DJ1096" i="43"/>
  <c r="DH1096" i="43"/>
  <c r="DE1000" i="43"/>
  <c r="DJ1000" i="43"/>
  <c r="DD1000" i="43"/>
  <c r="DH1000" i="43"/>
  <c r="DJ901" i="43"/>
  <c r="DH901" i="43"/>
  <c r="DE901" i="43"/>
  <c r="DD901" i="43"/>
  <c r="DE899" i="43"/>
  <c r="DD899" i="43"/>
  <c r="DJ899" i="43"/>
  <c r="DH899" i="43"/>
  <c r="DD761" i="43"/>
  <c r="DJ761" i="43"/>
  <c r="DH761" i="43"/>
  <c r="DE761" i="43"/>
  <c r="DH763" i="43"/>
  <c r="DE763" i="43"/>
  <c r="DD763" i="43"/>
  <c r="DJ763" i="43"/>
  <c r="DE603" i="43"/>
  <c r="DD603" i="43"/>
  <c r="DH603" i="43"/>
  <c r="DJ603" i="43"/>
  <c r="DE611" i="43"/>
  <c r="DD611" i="43"/>
  <c r="DJ611" i="43"/>
  <c r="DH611" i="43"/>
  <c r="DH852" i="43"/>
  <c r="DJ852" i="43"/>
  <c r="DE852" i="43"/>
  <c r="DD852" i="43"/>
  <c r="DJ1165" i="43"/>
  <c r="DH1165" i="43"/>
  <c r="DE1165" i="43"/>
  <c r="DD1165" i="43"/>
  <c r="DD1067" i="43"/>
  <c r="DJ1067" i="43"/>
  <c r="DH1067" i="43"/>
  <c r="DE1067" i="43"/>
  <c r="DE1016" i="43"/>
  <c r="DJ1016" i="43"/>
  <c r="DD1016" i="43"/>
  <c r="DH1016" i="43"/>
  <c r="DJ917" i="43"/>
  <c r="DH917" i="43"/>
  <c r="DE917" i="43"/>
  <c r="DD917" i="43"/>
  <c r="DE915" i="43"/>
  <c r="DD915" i="43"/>
  <c r="DH915" i="43"/>
  <c r="DJ915" i="43"/>
  <c r="DD777" i="43"/>
  <c r="DJ777" i="43"/>
  <c r="DH777" i="43"/>
  <c r="DE777" i="43"/>
  <c r="DH779" i="43"/>
  <c r="DE779" i="43"/>
  <c r="DD779" i="43"/>
  <c r="DJ779" i="43"/>
  <c r="DE1038" i="43"/>
  <c r="DD1038" i="43"/>
  <c r="DJ1038" i="43"/>
  <c r="DH1038" i="43"/>
  <c r="DJ732" i="43"/>
  <c r="DH732" i="43"/>
  <c r="DE732" i="43"/>
  <c r="DD732" i="43"/>
  <c r="DE651" i="43"/>
  <c r="DD651" i="43"/>
  <c r="DJ651" i="43"/>
  <c r="DH651" i="43"/>
  <c r="DE1155" i="43"/>
  <c r="DJ1155" i="43"/>
  <c r="DH1155" i="43"/>
  <c r="DD1155" i="43"/>
  <c r="DJ1065" i="43"/>
  <c r="DH1065" i="43"/>
  <c r="DE1065" i="43"/>
  <c r="DD1065" i="43"/>
  <c r="DH1032" i="43"/>
  <c r="DE1032" i="43"/>
  <c r="DD1032" i="43"/>
  <c r="DJ1032" i="43"/>
  <c r="DJ869" i="43"/>
  <c r="DH869" i="43"/>
  <c r="DE869" i="43"/>
  <c r="DD869" i="43"/>
  <c r="DH924" i="43"/>
  <c r="DE924" i="43"/>
  <c r="DJ924" i="43"/>
  <c r="DD924" i="43"/>
  <c r="DH932" i="43"/>
  <c r="DE932" i="43"/>
  <c r="DJ932" i="43"/>
  <c r="DD932" i="43"/>
  <c r="DH731" i="43"/>
  <c r="DE731" i="43"/>
  <c r="DD731" i="43"/>
  <c r="DJ731" i="43"/>
  <c r="DJ776" i="43"/>
  <c r="DH776" i="43"/>
  <c r="DE776" i="43"/>
  <c r="DD776" i="43"/>
  <c r="DH696" i="43"/>
  <c r="DE696" i="43"/>
  <c r="DJ696" i="43"/>
  <c r="DD696" i="43"/>
  <c r="DE631" i="43"/>
  <c r="DD631" i="43"/>
  <c r="DJ631" i="43"/>
  <c r="DH631" i="43"/>
  <c r="DH999" i="43"/>
  <c r="DJ999" i="43"/>
  <c r="DE999" i="43"/>
  <c r="DD999" i="43"/>
  <c r="DD773" i="43"/>
  <c r="DJ773" i="43"/>
  <c r="DH773" i="43"/>
  <c r="DE773" i="43"/>
  <c r="DE647" i="43"/>
  <c r="DD647" i="43"/>
  <c r="DJ647" i="43"/>
  <c r="DH647" i="43"/>
  <c r="DH1156" i="43"/>
  <c r="DE1156" i="43"/>
  <c r="DD1156" i="43"/>
  <c r="DJ1156" i="43"/>
  <c r="DJ1045" i="43"/>
  <c r="DH1045" i="43"/>
  <c r="DD1045" i="43"/>
  <c r="DE1045" i="43"/>
  <c r="DE1002" i="43"/>
  <c r="DJ1002" i="43"/>
  <c r="DH1002" i="43"/>
  <c r="DD1002" i="43"/>
  <c r="DE738" i="43"/>
  <c r="DD738" i="43"/>
  <c r="DJ738" i="43"/>
  <c r="DH738" i="43"/>
  <c r="DE894" i="43"/>
  <c r="DD894" i="43"/>
  <c r="DJ894" i="43"/>
  <c r="DH894" i="43"/>
  <c r="DD737" i="43"/>
  <c r="DJ737" i="43"/>
  <c r="DH737" i="43"/>
  <c r="DE737" i="43"/>
  <c r="DH1024" i="43"/>
  <c r="DJ1024" i="43"/>
  <c r="DE1024" i="43"/>
  <c r="DD1024" i="43"/>
  <c r="DJ828" i="43"/>
  <c r="DH828" i="43"/>
  <c r="DE828" i="43"/>
  <c r="DD828" i="43"/>
  <c r="DJ812" i="43"/>
  <c r="DH812" i="43"/>
  <c r="DE812" i="43"/>
  <c r="DD812" i="43"/>
  <c r="DH1142" i="43"/>
  <c r="DE1142" i="43"/>
  <c r="DJ1142" i="43"/>
  <c r="DD1142" i="43"/>
  <c r="DJ1033" i="43"/>
  <c r="DH1033" i="43"/>
  <c r="DE1033" i="43"/>
  <c r="DD1033" i="43"/>
  <c r="DE1005" i="43"/>
  <c r="DD1005" i="43"/>
  <c r="DH1005" i="43"/>
  <c r="DJ1005" i="43"/>
  <c r="DJ971" i="43"/>
  <c r="DH971" i="43"/>
  <c r="DE971" i="43"/>
  <c r="DD971" i="43"/>
  <c r="DD850" i="43"/>
  <c r="DJ850" i="43"/>
  <c r="DH850" i="43"/>
  <c r="DE850" i="43"/>
  <c r="DE822" i="43"/>
  <c r="DD822" i="43"/>
  <c r="DJ822" i="43"/>
  <c r="DH822" i="43"/>
  <c r="DJ740" i="43"/>
  <c r="DH740" i="43"/>
  <c r="DE740" i="43"/>
  <c r="DD740" i="43"/>
  <c r="DE706" i="43"/>
  <c r="DD706" i="43"/>
  <c r="DJ706" i="43"/>
  <c r="DH706" i="43"/>
  <c r="DH692" i="43"/>
  <c r="DE692" i="43"/>
  <c r="DJ692" i="43"/>
  <c r="DD692" i="43"/>
  <c r="DE939" i="43"/>
  <c r="DD939" i="43"/>
  <c r="DJ939" i="43"/>
  <c r="DH939" i="43"/>
  <c r="DH628" i="43"/>
  <c r="DE628" i="43"/>
  <c r="DJ628" i="43"/>
  <c r="DD628" i="43"/>
  <c r="DE1145" i="43"/>
  <c r="DD1145" i="43"/>
  <c r="DJ1145" i="43"/>
  <c r="DH1145" i="43"/>
  <c r="DJ1090" i="43"/>
  <c r="DH1090" i="43"/>
  <c r="DE1090" i="43"/>
  <c r="DD1090" i="43"/>
  <c r="DH1198" i="43"/>
  <c r="DE1198" i="43"/>
  <c r="DJ1198" i="43"/>
  <c r="DD1198" i="43"/>
  <c r="DH656" i="43"/>
  <c r="DE656" i="43"/>
  <c r="DJ656" i="43"/>
  <c r="DD656" i="43"/>
  <c r="DH1116" i="43"/>
  <c r="DJ1116" i="43"/>
  <c r="DE1116" i="43"/>
  <c r="DD1116" i="43"/>
  <c r="DH803" i="43"/>
  <c r="DE803" i="43"/>
  <c r="DD803" i="43"/>
  <c r="DJ803" i="43"/>
  <c r="DJ728" i="43"/>
  <c r="DH728" i="43"/>
  <c r="DE728" i="43"/>
  <c r="DD728" i="43"/>
  <c r="DH1186" i="43"/>
  <c r="DE1186" i="43"/>
  <c r="DJ1186" i="43"/>
  <c r="DD1186" i="43"/>
  <c r="DD1079" i="43"/>
  <c r="DJ1079" i="43"/>
  <c r="DE1079" i="43"/>
  <c r="DH1079" i="43"/>
  <c r="DH983" i="43"/>
  <c r="DJ983" i="43"/>
  <c r="DE983" i="43"/>
  <c r="DD983" i="43"/>
  <c r="DJ929" i="43"/>
  <c r="DH929" i="43"/>
  <c r="DE929" i="43"/>
  <c r="DD929" i="43"/>
  <c r="DE927" i="43"/>
  <c r="DD927" i="43"/>
  <c r="DJ927" i="43"/>
  <c r="DH927" i="43"/>
  <c r="DD789" i="43"/>
  <c r="DJ789" i="43"/>
  <c r="DH789" i="43"/>
  <c r="DE789" i="43"/>
  <c r="DH791" i="43"/>
  <c r="DE791" i="43"/>
  <c r="DD791" i="43"/>
  <c r="DJ791" i="43"/>
  <c r="DH664" i="43"/>
  <c r="DE664" i="43"/>
  <c r="DJ664" i="43"/>
  <c r="DD664" i="43"/>
  <c r="DE1127" i="43"/>
  <c r="DD1127" i="43"/>
  <c r="DH1127" i="43"/>
  <c r="DJ1127" i="43"/>
  <c r="DE1030" i="43"/>
  <c r="DD1030" i="43"/>
  <c r="DJ1030" i="43"/>
  <c r="DH1030" i="43"/>
  <c r="DH1056" i="43"/>
  <c r="DE1056" i="43"/>
  <c r="DJ1056" i="43"/>
  <c r="DD1056" i="43"/>
  <c r="DE886" i="43"/>
  <c r="DD886" i="43"/>
  <c r="DJ886" i="43"/>
  <c r="DH886" i="43"/>
  <c r="DH880" i="43"/>
  <c r="DJ880" i="43"/>
  <c r="DE880" i="43"/>
  <c r="DD880" i="43"/>
  <c r="DE750" i="43"/>
  <c r="DD750" i="43"/>
  <c r="DJ750" i="43"/>
  <c r="DH750" i="43"/>
  <c r="DJ661" i="43"/>
  <c r="DH661" i="43"/>
  <c r="DE661" i="43"/>
  <c r="DD661" i="43"/>
  <c r="DE666" i="43"/>
  <c r="DD666" i="43"/>
  <c r="DJ666" i="43"/>
  <c r="DH666" i="43"/>
  <c r="DH723" i="43"/>
  <c r="DE723" i="43"/>
  <c r="DD723" i="43"/>
  <c r="DJ723" i="43"/>
  <c r="DH640" i="43"/>
  <c r="DE640" i="43"/>
  <c r="DD640" i="43"/>
  <c r="DJ640" i="43"/>
  <c r="DJ700" i="43"/>
  <c r="DH700" i="43"/>
  <c r="DE700" i="43"/>
  <c r="DD700" i="43"/>
  <c r="DE985" i="43"/>
  <c r="DD985" i="43"/>
  <c r="DJ985" i="43"/>
  <c r="DH985" i="43"/>
  <c r="DE802" i="43"/>
  <c r="DD802" i="43"/>
  <c r="DJ802" i="43"/>
  <c r="DH802" i="43"/>
  <c r="DE1115" i="43"/>
  <c r="DD1115" i="43"/>
  <c r="DJ1115" i="43"/>
  <c r="DH1115" i="43"/>
  <c r="DH835" i="43"/>
  <c r="DE835" i="43"/>
  <c r="DD835" i="43"/>
  <c r="DJ835" i="43"/>
  <c r="DE1083" i="43"/>
  <c r="DD1083" i="43"/>
  <c r="DH1083" i="43"/>
  <c r="DJ1083" i="43"/>
  <c r="DE1043" i="43"/>
  <c r="DD1043" i="43"/>
  <c r="DJ1043" i="43"/>
  <c r="DH1043" i="43"/>
  <c r="DE969" i="43"/>
  <c r="DD969" i="43"/>
  <c r="DJ969" i="43"/>
  <c r="DH969" i="43"/>
  <c r="DH1020" i="43"/>
  <c r="DE1020" i="43"/>
  <c r="DJ1020" i="43"/>
  <c r="DD1020" i="43"/>
  <c r="DE879" i="43"/>
  <c r="DD879" i="43"/>
  <c r="DJ879" i="43"/>
  <c r="DH879" i="43"/>
  <c r="DJ959" i="43"/>
  <c r="DH959" i="43"/>
  <c r="DE959" i="43"/>
  <c r="DD959" i="43"/>
  <c r="DJ625" i="43"/>
  <c r="DH625" i="43"/>
  <c r="DE625" i="43"/>
  <c r="DD625" i="43"/>
  <c r="DE630" i="43"/>
  <c r="DD630" i="43"/>
  <c r="DJ630" i="43"/>
  <c r="DH630" i="43"/>
  <c r="DH719" i="43"/>
  <c r="DE719" i="43"/>
  <c r="DD719" i="43"/>
  <c r="DJ719" i="43"/>
  <c r="DH608" i="43"/>
  <c r="DE608" i="43"/>
  <c r="DD608" i="43"/>
  <c r="DJ608" i="43"/>
  <c r="DH616" i="43"/>
  <c r="DE616" i="43"/>
  <c r="DJ616" i="43"/>
  <c r="DD616" i="43"/>
  <c r="DE1151" i="43"/>
  <c r="DD1151" i="43"/>
  <c r="DJ1151" i="43"/>
  <c r="DH1151" i="43"/>
  <c r="DH1168" i="43"/>
  <c r="DE1168" i="43"/>
  <c r="DJ1168" i="43"/>
  <c r="DD1168" i="43"/>
  <c r="DW1201" i="43"/>
  <c r="DE1201" i="43"/>
  <c r="DD1201" i="43"/>
  <c r="DI1201" i="43"/>
  <c r="DH1201" i="43"/>
  <c r="DJ1102" i="43"/>
  <c r="DH1102" i="43"/>
  <c r="DD1102" i="43"/>
  <c r="DE1102" i="43"/>
  <c r="DE1181" i="43"/>
  <c r="DD1181" i="43"/>
  <c r="DH1181" i="43"/>
  <c r="DJ1181" i="43"/>
  <c r="DE843" i="43"/>
  <c r="DD843" i="43"/>
  <c r="DJ843" i="43"/>
  <c r="DH843" i="43"/>
  <c r="DE718" i="43"/>
  <c r="DD718" i="43"/>
  <c r="DJ718" i="43"/>
  <c r="DH718" i="43"/>
  <c r="DH995" i="43"/>
  <c r="DD995" i="43"/>
  <c r="DE995" i="43"/>
  <c r="DJ995" i="43"/>
  <c r="DJ808" i="43"/>
  <c r="DH808" i="43"/>
  <c r="DE808" i="43"/>
  <c r="DD808" i="43"/>
  <c r="DH680" i="43"/>
  <c r="DE680" i="43"/>
  <c r="DJ680" i="43"/>
  <c r="DD680" i="43"/>
  <c r="DJ1179" i="43"/>
  <c r="DH1179" i="43"/>
  <c r="DE1179" i="43"/>
  <c r="DD1179" i="43"/>
  <c r="DH1073" i="43"/>
  <c r="DJ1073" i="43"/>
  <c r="DE1073" i="43"/>
  <c r="DD1073" i="43"/>
  <c r="DE984" i="43"/>
  <c r="DJ984" i="43"/>
  <c r="DD984" i="43"/>
  <c r="DH984" i="43"/>
  <c r="DJ885" i="43"/>
  <c r="DH885" i="43"/>
  <c r="DE885" i="43"/>
  <c r="DD885" i="43"/>
  <c r="DE883" i="43"/>
  <c r="DD883" i="43"/>
  <c r="DH883" i="43"/>
  <c r="DJ883" i="43"/>
  <c r="DD745" i="43"/>
  <c r="DJ745" i="43"/>
  <c r="DH745" i="43"/>
  <c r="DE745" i="43"/>
  <c r="DH747" i="43"/>
  <c r="DE747" i="43"/>
  <c r="DD747" i="43"/>
  <c r="DJ747" i="43"/>
  <c r="DE619" i="43"/>
  <c r="DD619" i="43"/>
  <c r="DJ619" i="43"/>
  <c r="DH619" i="43"/>
  <c r="DE902" i="43"/>
  <c r="DD902" i="43"/>
  <c r="DJ902" i="43"/>
  <c r="DH902" i="43"/>
  <c r="DE1046" i="43"/>
  <c r="DD1046" i="43"/>
  <c r="DJ1046" i="43"/>
  <c r="DH1046" i="43"/>
  <c r="DJ645" i="43"/>
  <c r="DH645" i="43"/>
  <c r="DD645" i="43"/>
  <c r="DE645" i="43"/>
  <c r="DE1162" i="43"/>
  <c r="DD1162" i="43"/>
  <c r="DH1162" i="43"/>
  <c r="DJ1162" i="43"/>
  <c r="DE1084" i="43"/>
  <c r="DJ1084" i="43"/>
  <c r="DH1084" i="43"/>
  <c r="DD1084" i="43"/>
  <c r="DE996" i="43"/>
  <c r="DJ996" i="43"/>
  <c r="DH996" i="43"/>
  <c r="DD996" i="43"/>
  <c r="DJ897" i="43"/>
  <c r="DH897" i="43"/>
  <c r="DE897" i="43"/>
  <c r="DD897" i="43"/>
  <c r="DE895" i="43"/>
  <c r="DD895" i="43"/>
  <c r="DJ895" i="43"/>
  <c r="DH895" i="43"/>
  <c r="DD757" i="43"/>
  <c r="DJ757" i="43"/>
  <c r="DH757" i="43"/>
  <c r="DE757" i="43"/>
  <c r="DH759" i="43"/>
  <c r="DE759" i="43"/>
  <c r="DD759" i="43"/>
  <c r="DJ759" i="43"/>
  <c r="DH660" i="43"/>
  <c r="DE660" i="43"/>
  <c r="DJ660" i="43"/>
  <c r="DD660" i="43"/>
  <c r="DE1087" i="43"/>
  <c r="DD1087" i="43"/>
  <c r="DJ1087" i="43"/>
  <c r="DH1087" i="43"/>
  <c r="DE1047" i="43"/>
  <c r="DD1047" i="43"/>
  <c r="DJ1047" i="43"/>
  <c r="DH1047" i="43"/>
  <c r="DE973" i="43"/>
  <c r="DD973" i="43"/>
  <c r="DJ973" i="43"/>
  <c r="DH973" i="43"/>
  <c r="DE854" i="43"/>
  <c r="DD854" i="43"/>
  <c r="DJ854" i="43"/>
  <c r="DH854" i="43"/>
  <c r="DH840" i="43"/>
  <c r="DE840" i="43"/>
  <c r="DD840" i="43"/>
  <c r="DJ840" i="43"/>
  <c r="DE863" i="43"/>
  <c r="DD863" i="43"/>
  <c r="DJ863" i="43"/>
  <c r="DH863" i="43"/>
  <c r="DJ629" i="43"/>
  <c r="DH629" i="43"/>
  <c r="DE629" i="43"/>
  <c r="DD629" i="43"/>
  <c r="DE634" i="43"/>
  <c r="DD634" i="43"/>
  <c r="DJ634" i="43"/>
  <c r="DH634" i="43"/>
  <c r="DE691" i="43"/>
  <c r="DD691" i="43"/>
  <c r="DJ691" i="43"/>
  <c r="DH691" i="43"/>
  <c r="DH604" i="43"/>
  <c r="DE604" i="43"/>
  <c r="DJ604" i="43"/>
  <c r="DD604" i="43"/>
  <c r="DE961" i="43"/>
  <c r="DD961" i="43"/>
  <c r="DJ961" i="43"/>
  <c r="DH961" i="43"/>
  <c r="DH838" i="43"/>
  <c r="DJ838" i="43"/>
  <c r="DE838" i="43"/>
  <c r="DD838" i="43"/>
  <c r="DJ1074" i="43"/>
  <c r="DH1074" i="43"/>
  <c r="DE1074" i="43"/>
  <c r="DD1074" i="43"/>
  <c r="DJ677" i="43"/>
  <c r="DH677" i="43"/>
  <c r="DD677" i="43"/>
  <c r="DE677" i="43"/>
  <c r="DE1193" i="43"/>
  <c r="DD1193" i="43"/>
  <c r="DH1193" i="43"/>
  <c r="DJ1193" i="43"/>
  <c r="DH1160" i="43"/>
  <c r="DE1160" i="43"/>
  <c r="DJ1160" i="43"/>
  <c r="DD1160" i="43"/>
  <c r="DH1007" i="43"/>
  <c r="DJ1007" i="43"/>
  <c r="DE1007" i="43"/>
  <c r="DD1007" i="43"/>
  <c r="DH950" i="43"/>
  <c r="DE950" i="43"/>
  <c r="DJ950" i="43"/>
  <c r="DD950" i="43"/>
  <c r="DH954" i="43"/>
  <c r="DE954" i="43"/>
  <c r="DJ954" i="43"/>
  <c r="DD954" i="43"/>
  <c r="DD813" i="43"/>
  <c r="DJ813" i="43"/>
  <c r="DH813" i="43"/>
  <c r="DE813" i="43"/>
  <c r="DH815" i="43"/>
  <c r="DE815" i="43"/>
  <c r="DD815" i="43"/>
  <c r="DJ815" i="43"/>
  <c r="DE687" i="43"/>
  <c r="DD687" i="43"/>
  <c r="DJ687" i="43"/>
  <c r="DH687" i="43"/>
  <c r="DE1150" i="43"/>
  <c r="DD1150" i="43"/>
  <c r="DJ1150" i="43"/>
  <c r="DH1150" i="43"/>
  <c r="DJ1117" i="43"/>
  <c r="DH1117" i="43"/>
  <c r="DD1117" i="43"/>
  <c r="DE1117" i="43"/>
  <c r="DD1200" i="43"/>
  <c r="DJ1200" i="43"/>
  <c r="DE1200" i="43"/>
  <c r="DH1200" i="43"/>
  <c r="DE1118" i="43"/>
  <c r="DD1118" i="43"/>
  <c r="DJ1118" i="43"/>
  <c r="DH1118" i="43"/>
  <c r="DD1180" i="43"/>
  <c r="DJ1180" i="43"/>
  <c r="DH1180" i="43"/>
  <c r="DE1180" i="43"/>
  <c r="DD805" i="43"/>
  <c r="DJ805" i="43"/>
  <c r="DH805" i="43"/>
  <c r="DE805" i="43"/>
  <c r="DE654" i="43"/>
  <c r="DD654" i="43"/>
  <c r="DJ654" i="43"/>
  <c r="DH654" i="43"/>
  <c r="DD956" i="43"/>
  <c r="DJ956" i="43"/>
  <c r="DH956" i="43"/>
  <c r="DE956" i="43"/>
  <c r="DH1164" i="43"/>
  <c r="DE1164" i="43"/>
  <c r="DD1164" i="43"/>
  <c r="DJ1164" i="43"/>
  <c r="DJ1049" i="43"/>
  <c r="DH1049" i="43"/>
  <c r="DE1049" i="43"/>
  <c r="DD1049" i="43"/>
  <c r="DH1060" i="43"/>
  <c r="DE1060" i="43"/>
  <c r="DJ1060" i="43"/>
  <c r="DD1060" i="43"/>
  <c r="DJ853" i="43"/>
  <c r="DH853" i="43"/>
  <c r="DE853" i="43"/>
  <c r="DD853" i="43"/>
  <c r="DH860" i="43"/>
  <c r="DJ860" i="43"/>
  <c r="DE860" i="43"/>
  <c r="DD860" i="43"/>
  <c r="DJ849" i="43"/>
  <c r="DH849" i="43"/>
  <c r="DE849" i="43"/>
  <c r="DD849" i="43"/>
  <c r="DJ804" i="43"/>
  <c r="DH804" i="43"/>
  <c r="DE804" i="43"/>
  <c r="DD804" i="43"/>
  <c r="DH676" i="43"/>
  <c r="DE676" i="43"/>
  <c r="DJ676" i="43"/>
  <c r="DD676" i="43"/>
  <c r="DE646" i="43"/>
  <c r="DD646" i="43"/>
  <c r="DJ646" i="43"/>
  <c r="DH646" i="43"/>
  <c r="DE1013" i="43"/>
  <c r="DD1013" i="43"/>
  <c r="DH1013" i="43"/>
  <c r="DJ1013" i="43"/>
  <c r="DE714" i="43"/>
  <c r="DD714" i="43"/>
  <c r="DJ714" i="43"/>
  <c r="DH714" i="43"/>
  <c r="DD1144" i="43"/>
  <c r="DJ1144" i="43"/>
  <c r="DH1144" i="43"/>
  <c r="DE1144" i="43"/>
  <c r="DJ1061" i="43"/>
  <c r="DH1061" i="43"/>
  <c r="DE1061" i="43"/>
  <c r="DD1061" i="43"/>
  <c r="DE1027" i="43"/>
  <c r="DD1027" i="43"/>
  <c r="DJ1027" i="43"/>
  <c r="DH1027" i="43"/>
  <c r="DJ865" i="43"/>
  <c r="DH865" i="43"/>
  <c r="DE865" i="43"/>
  <c r="DD865" i="43"/>
  <c r="DH892" i="43"/>
  <c r="DE892" i="43"/>
  <c r="DJ892" i="43"/>
  <c r="DD892" i="43"/>
  <c r="DE855" i="43"/>
  <c r="DD855" i="43"/>
  <c r="DJ855" i="43"/>
  <c r="DH855" i="43"/>
  <c r="DJ841" i="43"/>
  <c r="DH841" i="43"/>
  <c r="DE841" i="43"/>
  <c r="DD841" i="43"/>
  <c r="DJ760" i="43"/>
  <c r="DH760" i="43"/>
  <c r="DE760" i="43"/>
  <c r="DD760" i="43"/>
  <c r="DH672" i="43"/>
  <c r="DE672" i="43"/>
  <c r="DD672" i="43"/>
  <c r="DJ672" i="43"/>
  <c r="DE1197" i="43"/>
  <c r="DD1197" i="43"/>
  <c r="DH1197" i="43"/>
  <c r="DJ1197" i="43"/>
  <c r="DE1100" i="43"/>
  <c r="DD1100" i="43"/>
  <c r="DJ1100" i="43"/>
  <c r="DH1100" i="43"/>
  <c r="DH1011" i="43"/>
  <c r="DD1011" i="43"/>
  <c r="DJ1011" i="43"/>
  <c r="DE1011" i="43"/>
  <c r="DH958" i="43"/>
  <c r="DE958" i="43"/>
  <c r="DJ958" i="43"/>
  <c r="DD958" i="43"/>
  <c r="DH962" i="43"/>
  <c r="DE962" i="43"/>
  <c r="DJ962" i="43"/>
  <c r="DD962" i="43"/>
  <c r="DD817" i="43"/>
  <c r="DJ817" i="43"/>
  <c r="DH817" i="43"/>
  <c r="DE817" i="43"/>
  <c r="DH819" i="43"/>
  <c r="DE819" i="43"/>
  <c r="DD819" i="43"/>
  <c r="DJ819" i="43"/>
  <c r="DE602" i="43"/>
  <c r="DD602" i="43"/>
  <c r="DJ602" i="43"/>
  <c r="DH602" i="43"/>
  <c r="DE659" i="43"/>
  <c r="DD659" i="43"/>
  <c r="DJ659" i="43"/>
  <c r="DH659" i="43"/>
  <c r="DJ881" i="43"/>
  <c r="DH881" i="43"/>
  <c r="DE881" i="43"/>
  <c r="DD881" i="43"/>
  <c r="DH775" i="43"/>
  <c r="DE775" i="43"/>
  <c r="DD775" i="43"/>
  <c r="DJ775" i="43"/>
  <c r="DE1008" i="43"/>
  <c r="DJ1008" i="43"/>
  <c r="DD1008" i="43"/>
  <c r="DH1008" i="43"/>
  <c r="DE682" i="43"/>
  <c r="DD682" i="43"/>
  <c r="DJ682" i="43"/>
  <c r="DH682" i="43"/>
  <c r="DH652" i="43"/>
  <c r="DE652" i="43"/>
  <c r="DJ652" i="43"/>
  <c r="DD652" i="43"/>
  <c r="DJ1187" i="43"/>
  <c r="DH1187" i="43"/>
  <c r="DE1187" i="43"/>
  <c r="DD1187" i="43"/>
  <c r="DD1071" i="43"/>
  <c r="DJ1071" i="43"/>
  <c r="DE1071" i="43"/>
  <c r="DH1071" i="43"/>
  <c r="DH1036" i="43"/>
  <c r="DE1036" i="43"/>
  <c r="DJ1036" i="43"/>
  <c r="DD1036" i="43"/>
  <c r="DJ921" i="43"/>
  <c r="DH921" i="43"/>
  <c r="DE921" i="43"/>
  <c r="DD921" i="43"/>
  <c r="DE919" i="43"/>
  <c r="DD919" i="43"/>
  <c r="DH919" i="43"/>
  <c r="DJ919" i="43"/>
  <c r="DD781" i="43"/>
  <c r="DJ781" i="43"/>
  <c r="DH781" i="43"/>
  <c r="DE781" i="43"/>
  <c r="DH783" i="43"/>
  <c r="DE783" i="43"/>
  <c r="DD783" i="43"/>
  <c r="DJ783" i="43"/>
  <c r="DE655" i="43"/>
  <c r="DD655" i="43"/>
  <c r="DJ655" i="43"/>
  <c r="DH655" i="43"/>
  <c r="DJ1153" i="43"/>
  <c r="DH1153" i="43"/>
  <c r="DE1153" i="43"/>
  <c r="DD1153" i="43"/>
  <c r="DH1146" i="43"/>
  <c r="DE1146" i="43"/>
  <c r="DJ1146" i="43"/>
  <c r="DD1146" i="43"/>
  <c r="DJ1129" i="43"/>
  <c r="DH1129" i="43"/>
  <c r="DE1129" i="43"/>
  <c r="DD1129" i="43"/>
  <c r="DE834" i="43"/>
  <c r="DD834" i="43"/>
  <c r="DJ834" i="43"/>
  <c r="DH834" i="43"/>
  <c r="DJ800" i="43"/>
  <c r="DH800" i="43"/>
  <c r="DE800" i="43"/>
  <c r="DD800" i="43"/>
  <c r="DJ877" i="43"/>
  <c r="DH877" i="43"/>
  <c r="DE877" i="43"/>
  <c r="DD877" i="43"/>
  <c r="DJ1121" i="43"/>
  <c r="DH1121" i="43"/>
  <c r="DE1121" i="43"/>
  <c r="DD1121" i="43"/>
  <c r="DE1088" i="43"/>
  <c r="DD1088" i="43"/>
  <c r="DJ1088" i="43"/>
  <c r="DH1088" i="43"/>
  <c r="DE989" i="43"/>
  <c r="DD989" i="43"/>
  <c r="DH989" i="43"/>
  <c r="DJ989" i="43"/>
  <c r="DE942" i="43"/>
  <c r="DD942" i="43"/>
  <c r="DJ942" i="43"/>
  <c r="DH942" i="43"/>
  <c r="DH916" i="43"/>
  <c r="DE916" i="43"/>
  <c r="DJ916" i="43"/>
  <c r="DD916" i="43"/>
  <c r="DE806" i="43"/>
  <c r="DD806" i="43"/>
  <c r="DJ806" i="43"/>
  <c r="DH806" i="43"/>
  <c r="DD717" i="43"/>
  <c r="DJ717" i="43"/>
  <c r="DH717" i="43"/>
  <c r="DE717" i="43"/>
  <c r="DE722" i="43"/>
  <c r="DD722" i="43"/>
  <c r="DJ722" i="43"/>
  <c r="DH722" i="43"/>
  <c r="DJ816" i="43"/>
  <c r="DH816" i="43"/>
  <c r="DE816" i="43"/>
  <c r="DD816" i="43"/>
  <c r="DJ941" i="43"/>
  <c r="DH941" i="43"/>
  <c r="DE941" i="43"/>
  <c r="DD941" i="43"/>
  <c r="DH1138" i="43"/>
  <c r="DE1138" i="43"/>
  <c r="DD1138" i="43"/>
  <c r="DJ1138" i="43"/>
  <c r="DJ1029" i="43"/>
  <c r="DH1029" i="43"/>
  <c r="DE1029" i="43"/>
  <c r="DD1029" i="43"/>
  <c r="DE1001" i="43"/>
  <c r="DD1001" i="43"/>
  <c r="DJ1001" i="43"/>
  <c r="DH1001" i="43"/>
  <c r="DJ963" i="43"/>
  <c r="DH963" i="43"/>
  <c r="DE963" i="43"/>
  <c r="DD963" i="43"/>
  <c r="DD846" i="43"/>
  <c r="DJ846" i="43"/>
  <c r="DH846" i="43"/>
  <c r="DE846" i="43"/>
  <c r="DE818" i="43"/>
  <c r="DD818" i="43"/>
  <c r="DJ818" i="43"/>
  <c r="DH818" i="43"/>
  <c r="DJ729" i="43"/>
  <c r="DD729" i="43"/>
  <c r="DH729" i="43"/>
  <c r="DE729" i="43"/>
  <c r="DE702" i="43"/>
  <c r="DD702" i="43"/>
  <c r="DJ702" i="43"/>
  <c r="DH702" i="43"/>
  <c r="DE871" i="43"/>
  <c r="DD871" i="43"/>
  <c r="DJ871" i="43"/>
  <c r="DH871" i="43"/>
  <c r="DH636" i="43"/>
  <c r="DE636" i="43"/>
  <c r="DJ636" i="43"/>
  <c r="DD636" i="43"/>
  <c r="DJ720" i="43"/>
  <c r="DH720" i="43"/>
  <c r="DE720" i="43"/>
  <c r="DD720" i="43"/>
  <c r="DH1174" i="43"/>
  <c r="DE1174" i="43"/>
  <c r="DJ1174" i="43"/>
  <c r="DD1174" i="43"/>
  <c r="DD1075" i="43"/>
  <c r="DJ1075" i="43"/>
  <c r="DH1075" i="43"/>
  <c r="DE1075" i="43"/>
  <c r="DH1040" i="43"/>
  <c r="DE1040" i="43"/>
  <c r="DD1040" i="43"/>
  <c r="DJ1040" i="43"/>
  <c r="DJ925" i="43"/>
  <c r="DH925" i="43"/>
  <c r="DD925" i="43"/>
  <c r="DE925" i="43"/>
  <c r="DE923" i="43"/>
  <c r="DD923" i="43"/>
  <c r="DJ923" i="43"/>
  <c r="DH923" i="43"/>
  <c r="DD785" i="43"/>
  <c r="DJ785" i="43"/>
  <c r="DH785" i="43"/>
  <c r="DE785" i="43"/>
  <c r="DH787" i="43"/>
  <c r="DE787" i="43"/>
  <c r="DD787" i="43"/>
  <c r="DJ787" i="43"/>
  <c r="DE627" i="43"/>
  <c r="DD627" i="43"/>
  <c r="DJ627" i="43"/>
  <c r="DH627" i="43"/>
  <c r="DE938" i="43"/>
  <c r="DD938" i="43"/>
  <c r="DJ938" i="43"/>
  <c r="DH938" i="43"/>
  <c r="DJ681" i="43"/>
  <c r="DH681" i="43"/>
  <c r="DE681" i="43"/>
  <c r="DD681" i="43"/>
  <c r="DE994" i="43"/>
  <c r="DJ994" i="43"/>
  <c r="DH994" i="43"/>
  <c r="DD994" i="43"/>
  <c r="DH707" i="43"/>
  <c r="DE707" i="43"/>
  <c r="DD707" i="43"/>
  <c r="DJ707" i="43"/>
  <c r="DE1154" i="43"/>
  <c r="DD1154" i="43"/>
  <c r="DH1154" i="43"/>
  <c r="DJ1154" i="43"/>
  <c r="DH1077" i="43"/>
  <c r="DJ1077" i="43"/>
  <c r="DD1077" i="43"/>
  <c r="DE1077" i="43"/>
  <c r="DE988" i="43"/>
  <c r="DJ988" i="43"/>
  <c r="DH988" i="43"/>
  <c r="DD988" i="43"/>
  <c r="DJ889" i="43"/>
  <c r="DH889" i="43"/>
  <c r="DE889" i="43"/>
  <c r="DD889" i="43"/>
  <c r="DE887" i="43"/>
  <c r="DD887" i="43"/>
  <c r="DH887" i="43"/>
  <c r="DJ887" i="43"/>
  <c r="DD749" i="43"/>
  <c r="DJ749" i="43"/>
  <c r="DH749" i="43"/>
  <c r="DE749" i="43"/>
  <c r="DH751" i="43"/>
  <c r="DE751" i="43"/>
  <c r="DD751" i="43"/>
  <c r="DJ751" i="43"/>
  <c r="DE623" i="43"/>
  <c r="DD623" i="43"/>
  <c r="DJ623" i="43"/>
  <c r="DH623" i="43"/>
  <c r="DH688" i="43"/>
  <c r="DE688" i="43"/>
  <c r="DJ688" i="43"/>
  <c r="DD688" i="43"/>
  <c r="DH1182" i="43"/>
  <c r="DE1182" i="43"/>
  <c r="DJ1182" i="43"/>
  <c r="DD1182" i="43"/>
  <c r="DD1136" i="43"/>
  <c r="DE1136" i="43"/>
  <c r="DJ1136" i="43"/>
  <c r="DH1136" i="43"/>
  <c r="DE1141" i="43"/>
  <c r="DD1141" i="43"/>
  <c r="DJ1141" i="43"/>
  <c r="DH1141" i="43"/>
  <c r="DE1080" i="43"/>
  <c r="DD1080" i="43"/>
  <c r="DJ1080" i="43"/>
  <c r="DH1080" i="43"/>
  <c r="DE770" i="43"/>
  <c r="DD770" i="43"/>
  <c r="DJ770" i="43"/>
  <c r="DH770" i="43"/>
  <c r="DJ752" i="43"/>
  <c r="DH752" i="43"/>
  <c r="DE752" i="43"/>
  <c r="DD752" i="43"/>
  <c r="DH1048" i="43"/>
  <c r="DE1048" i="43"/>
  <c r="DJ1048" i="43"/>
  <c r="DD1048" i="43"/>
  <c r="DJ1110" i="43"/>
  <c r="DH1110" i="43"/>
  <c r="DE1110" i="43"/>
  <c r="DD1110" i="43"/>
  <c r="DE1054" i="43"/>
  <c r="DD1054" i="43"/>
  <c r="DJ1054" i="43"/>
  <c r="DH1054" i="43"/>
  <c r="DD964" i="43"/>
  <c r="DJ964" i="43"/>
  <c r="DH964" i="43"/>
  <c r="DE964" i="43"/>
  <c r="DE910" i="43"/>
  <c r="DD910" i="43"/>
  <c r="DJ910" i="43"/>
  <c r="DH910" i="43"/>
  <c r="DE847" i="43"/>
  <c r="DD847" i="43"/>
  <c r="DJ847" i="43"/>
  <c r="DH847" i="43"/>
  <c r="DE774" i="43"/>
  <c r="DD774" i="43"/>
  <c r="DJ774" i="43"/>
  <c r="DH774" i="43"/>
  <c r="DJ685" i="43"/>
  <c r="DH685" i="43"/>
  <c r="DE685" i="43"/>
  <c r="DD685" i="43"/>
  <c r="DE690" i="43"/>
  <c r="DD690" i="43"/>
  <c r="DJ690" i="43"/>
  <c r="DH690" i="43"/>
  <c r="DJ1098" i="43"/>
  <c r="DH1098" i="43"/>
  <c r="DD1098" i="43"/>
  <c r="DE1098" i="43"/>
  <c r="DE766" i="43"/>
  <c r="DD766" i="43"/>
  <c r="DJ766" i="43"/>
  <c r="DH766" i="43"/>
  <c r="DE934" i="43"/>
  <c r="DD934" i="43"/>
  <c r="DJ934" i="43"/>
  <c r="DH934" i="43"/>
  <c r="DJ1135" i="43"/>
  <c r="DE1135" i="43"/>
  <c r="DH1135" i="43"/>
  <c r="DD1135" i="43"/>
  <c r="DE1068" i="43"/>
  <c r="DD1068" i="43"/>
  <c r="DH1068" i="43"/>
  <c r="DJ1068" i="43"/>
  <c r="DD976" i="43"/>
  <c r="DJ976" i="43"/>
  <c r="DH976" i="43"/>
  <c r="DE976" i="43"/>
  <c r="DE922" i="43"/>
  <c r="DD922" i="43"/>
  <c r="DJ922" i="43"/>
  <c r="DH922" i="43"/>
  <c r="DH944" i="43"/>
  <c r="DE944" i="43"/>
  <c r="DJ944" i="43"/>
  <c r="DD944" i="43"/>
  <c r="DE786" i="43"/>
  <c r="DD786" i="43"/>
  <c r="DJ786" i="43"/>
  <c r="DH786" i="43"/>
  <c r="DJ697" i="43"/>
  <c r="DH697" i="43"/>
  <c r="DE697" i="43"/>
  <c r="DD697" i="43"/>
  <c r="DE670" i="43"/>
  <c r="DD670" i="43"/>
  <c r="DJ670" i="43"/>
  <c r="DH670" i="43"/>
  <c r="DH727" i="43"/>
  <c r="DE727" i="43"/>
  <c r="DD727" i="43"/>
  <c r="DJ727" i="43"/>
  <c r="DJ772" i="43"/>
  <c r="DH772" i="43"/>
  <c r="DE772" i="43"/>
  <c r="DD772" i="43"/>
  <c r="DE1158" i="43"/>
  <c r="DD1158" i="43"/>
  <c r="DJ1158" i="43"/>
  <c r="DH1158" i="43"/>
  <c r="DH1081" i="43"/>
  <c r="DJ1081" i="43"/>
  <c r="DE1081" i="43"/>
  <c r="DD1081" i="43"/>
  <c r="DE992" i="43"/>
  <c r="DJ992" i="43"/>
  <c r="DD992" i="43"/>
  <c r="DH992" i="43"/>
  <c r="DJ893" i="43"/>
  <c r="DH893" i="43"/>
  <c r="DD893" i="43"/>
  <c r="DE893" i="43"/>
  <c r="DE891" i="43"/>
  <c r="DD891" i="43"/>
  <c r="DJ891" i="43"/>
  <c r="DH891" i="43"/>
  <c r="DD753" i="43"/>
  <c r="DJ753" i="43"/>
  <c r="DH753" i="43"/>
  <c r="DE753" i="43"/>
  <c r="DH755" i="43"/>
  <c r="DE755" i="43"/>
  <c r="DD755" i="43"/>
  <c r="DJ755" i="43"/>
  <c r="DJ975" i="43"/>
  <c r="DH975" i="43"/>
  <c r="DE975" i="43"/>
  <c r="DD975" i="43"/>
  <c r="DJ824" i="43"/>
  <c r="DH824" i="43"/>
  <c r="DE824" i="43"/>
  <c r="DD824" i="43"/>
  <c r="DJ979" i="43"/>
  <c r="DH979" i="43"/>
  <c r="DE979" i="43"/>
  <c r="DD979" i="43"/>
  <c r="DJ1183" i="43"/>
  <c r="DH1183" i="43"/>
  <c r="DE1183" i="43"/>
  <c r="DD1183" i="43"/>
  <c r="DJ1053" i="43"/>
  <c r="DH1053" i="43"/>
  <c r="DE1053" i="43"/>
  <c r="DD1053" i="43"/>
  <c r="DJ1070" i="43"/>
  <c r="DH1070" i="43"/>
  <c r="DE1070" i="43"/>
  <c r="DD1070" i="43"/>
  <c r="DJ857" i="43"/>
  <c r="DH857" i="43"/>
  <c r="DE857" i="43"/>
  <c r="DD857" i="43"/>
  <c r="DH868" i="43"/>
  <c r="DJ868" i="43"/>
  <c r="DE868" i="43"/>
  <c r="DD868" i="43"/>
  <c r="DH928" i="43"/>
  <c r="DE928" i="43"/>
  <c r="DJ928" i="43"/>
  <c r="DD928" i="43"/>
  <c r="DJ820" i="43"/>
  <c r="DH820" i="43"/>
  <c r="DE820" i="43"/>
  <c r="DD820" i="43"/>
  <c r="DE1185" i="43"/>
  <c r="DD1185" i="43"/>
  <c r="DH1185" i="43"/>
  <c r="DJ1185" i="43"/>
  <c r="DE1167" i="43"/>
  <c r="DD1167" i="43"/>
  <c r="DJ1167" i="43"/>
  <c r="DH1167" i="43"/>
  <c r="DD1148" i="43"/>
  <c r="DJ1148" i="43"/>
  <c r="DH1148" i="43"/>
  <c r="DE1148" i="43"/>
  <c r="DJ913" i="43"/>
  <c r="DH913" i="43"/>
  <c r="DE913" i="43"/>
  <c r="DD913" i="43"/>
  <c r="DH807" i="43"/>
  <c r="DE807" i="43"/>
  <c r="DD807" i="43"/>
  <c r="DJ807" i="43"/>
  <c r="DH711" i="43"/>
  <c r="DE711" i="43"/>
  <c r="DD711" i="43"/>
  <c r="DJ711" i="43"/>
  <c r="DE875" i="43"/>
  <c r="DD875" i="43"/>
  <c r="DH875" i="43"/>
  <c r="DJ875" i="43"/>
  <c r="DJ1143" i="43"/>
  <c r="DH1143" i="43"/>
  <c r="DE1143" i="43"/>
  <c r="DD1143" i="43"/>
  <c r="DH1105" i="43"/>
  <c r="DE1105" i="43"/>
  <c r="DD1105" i="43"/>
  <c r="DJ1105" i="43"/>
  <c r="DE1010" i="43"/>
  <c r="DJ1010" i="43"/>
  <c r="DH1010" i="43"/>
  <c r="DD1010" i="43"/>
  <c r="DE878" i="43"/>
  <c r="DD878" i="43"/>
  <c r="DJ878" i="43"/>
  <c r="DH878" i="43"/>
  <c r="DH864" i="43"/>
  <c r="DJ864" i="43"/>
  <c r="DE864" i="43"/>
  <c r="DD864" i="43"/>
  <c r="DE742" i="43"/>
  <c r="DD742" i="43"/>
  <c r="DJ742" i="43"/>
  <c r="DH742" i="43"/>
  <c r="DJ653" i="43"/>
  <c r="DH653" i="43"/>
  <c r="DE653" i="43"/>
  <c r="DD653" i="43"/>
  <c r="DE658" i="43"/>
  <c r="DD658" i="43"/>
  <c r="DJ658" i="43"/>
  <c r="DH658" i="43"/>
  <c r="DJ796" i="43"/>
  <c r="DH796" i="43"/>
  <c r="DE796" i="43"/>
  <c r="DD796" i="43"/>
  <c r="DH908" i="43"/>
  <c r="DE908" i="43"/>
  <c r="DJ908" i="43"/>
  <c r="DD908" i="43"/>
  <c r="DE754" i="43"/>
  <c r="DD754" i="43"/>
  <c r="DJ754" i="43"/>
  <c r="DH754" i="43"/>
  <c r="DJ665" i="43"/>
  <c r="DH665" i="43"/>
  <c r="DE665" i="43"/>
  <c r="DD665" i="43"/>
  <c r="DE638" i="43"/>
  <c r="DD638" i="43"/>
  <c r="DJ638" i="43"/>
  <c r="DH638" i="43"/>
  <c r="DE695" i="43"/>
  <c r="DD695" i="43"/>
  <c r="DJ695" i="43"/>
  <c r="DH695" i="43"/>
  <c r="DD1140" i="43"/>
  <c r="DJ1140" i="43"/>
  <c r="DH1140" i="43"/>
  <c r="DE1140" i="43"/>
  <c r="DJ1057" i="43"/>
  <c r="DH1057" i="43"/>
  <c r="DE1057" i="43"/>
  <c r="DD1057" i="43"/>
  <c r="DE1072" i="43"/>
  <c r="DD1072" i="43"/>
  <c r="DJ1072" i="43"/>
  <c r="DH1072" i="43"/>
  <c r="DJ861" i="43"/>
  <c r="DH861" i="43"/>
  <c r="DE861" i="43"/>
  <c r="DD861" i="43"/>
  <c r="DH876" i="43"/>
  <c r="DJ876" i="43"/>
  <c r="DE876" i="43"/>
  <c r="DD876" i="43"/>
  <c r="DH1028" i="43"/>
  <c r="DD1028" i="43"/>
  <c r="DJ1028" i="43"/>
  <c r="DE1028" i="43"/>
  <c r="DJ836" i="43"/>
  <c r="DH836" i="43"/>
  <c r="DE836" i="43"/>
  <c r="DD836" i="43"/>
  <c r="DH1089" i="43"/>
  <c r="DD1089" i="43"/>
  <c r="DJ1089" i="43"/>
  <c r="DE1089" i="43"/>
  <c r="DE622" i="43"/>
  <c r="DD622" i="43"/>
  <c r="DJ622" i="43"/>
  <c r="DH622" i="43"/>
  <c r="DE907" i="43"/>
  <c r="DD907" i="43"/>
  <c r="DJ907" i="43"/>
  <c r="DH907" i="43"/>
  <c r="DJ1125" i="43"/>
  <c r="DH1125" i="43"/>
  <c r="DD1125" i="43"/>
  <c r="DE1125" i="43"/>
  <c r="DH1021" i="43"/>
  <c r="DJ1021" i="43"/>
  <c r="DE1021" i="43"/>
  <c r="DD1021" i="43"/>
  <c r="DE993" i="43"/>
  <c r="DD993" i="43"/>
  <c r="DJ993" i="43"/>
  <c r="DH993" i="43"/>
  <c r="DE946" i="43"/>
  <c r="DD946" i="43"/>
  <c r="DJ946" i="43"/>
  <c r="DH946" i="43"/>
  <c r="DH948" i="43"/>
  <c r="DE948" i="43"/>
  <c r="DJ948" i="43"/>
  <c r="DD948" i="43"/>
  <c r="DE810" i="43"/>
  <c r="DD810" i="43"/>
  <c r="DJ810" i="43"/>
  <c r="DH810" i="43"/>
  <c r="DD721" i="43"/>
  <c r="DJ721" i="43"/>
  <c r="DH721" i="43"/>
  <c r="DE721" i="43"/>
  <c r="DE726" i="43"/>
  <c r="DD726" i="43"/>
  <c r="DJ726" i="43"/>
  <c r="DH726" i="43"/>
  <c r="DE1122" i="43"/>
  <c r="DD1122" i="43"/>
  <c r="DJ1122" i="43"/>
  <c r="DH1122" i="43"/>
  <c r="DD1184" i="43"/>
  <c r="DJ1184" i="43"/>
  <c r="DE1184" i="43"/>
  <c r="DH1184" i="43"/>
  <c r="DE1166" i="43"/>
  <c r="DD1166" i="43"/>
  <c r="DJ1166" i="43"/>
  <c r="DH1166" i="43"/>
  <c r="DJ1195" i="43"/>
  <c r="DH1195" i="43"/>
  <c r="DE1195" i="43"/>
  <c r="DD1195" i="43"/>
  <c r="DE906" i="43"/>
  <c r="DD906" i="43"/>
  <c r="DJ906" i="43"/>
  <c r="DH906" i="43"/>
  <c r="DD713" i="43"/>
  <c r="DJ713" i="43"/>
  <c r="DH713" i="43"/>
  <c r="DE713" i="43"/>
  <c r="DE615" i="43"/>
  <c r="DD615" i="43"/>
  <c r="DJ615" i="43"/>
  <c r="DH615" i="43"/>
  <c r="DJ1157" i="43"/>
  <c r="DH1157" i="43"/>
  <c r="DE1157" i="43"/>
  <c r="DD1157" i="43"/>
  <c r="DD769" i="43"/>
  <c r="DJ769" i="43"/>
  <c r="DH769" i="43"/>
  <c r="DE769" i="43"/>
  <c r="DE643" i="43"/>
  <c r="DD643" i="43"/>
  <c r="DJ643" i="43"/>
  <c r="DH643" i="43"/>
  <c r="DH1132" i="43"/>
  <c r="DJ1132" i="43"/>
  <c r="DE1132" i="43"/>
  <c r="DD1132" i="43"/>
  <c r="DE1039" i="43"/>
  <c r="DD1039" i="43"/>
  <c r="DH1039" i="43"/>
  <c r="DJ1039" i="43"/>
  <c r="DE965" i="43"/>
  <c r="DD965" i="43"/>
  <c r="DH965" i="43"/>
  <c r="DJ965" i="43"/>
  <c r="DE1014" i="43"/>
  <c r="DJ1014" i="43"/>
  <c r="DH1014" i="43"/>
  <c r="DD1014" i="43"/>
  <c r="DJ845" i="43"/>
  <c r="DH845" i="43"/>
  <c r="DE845" i="43"/>
  <c r="DD845" i="43"/>
  <c r="DH896" i="43"/>
  <c r="DE896" i="43"/>
  <c r="DJ896" i="43"/>
  <c r="DD896" i="43"/>
  <c r="DJ621" i="43"/>
  <c r="DH621" i="43"/>
  <c r="DE621" i="43"/>
  <c r="DD621" i="43"/>
  <c r="DE626" i="43"/>
  <c r="DD626" i="43"/>
  <c r="DJ626" i="43"/>
  <c r="DH626" i="43"/>
  <c r="DH715" i="43"/>
  <c r="DE715" i="43"/>
  <c r="DD715" i="43"/>
  <c r="DJ715" i="43"/>
  <c r="DE675" i="43"/>
  <c r="DD675" i="43"/>
  <c r="DJ675" i="43"/>
  <c r="DH675" i="43"/>
  <c r="DJ1094" i="43"/>
  <c r="DH1094" i="43"/>
  <c r="DE1094" i="43"/>
  <c r="DD1094" i="43"/>
  <c r="DE1042" i="43"/>
  <c r="DD1042" i="43"/>
  <c r="DJ1042" i="43"/>
  <c r="DH1042" i="43"/>
  <c r="DD952" i="43"/>
  <c r="DJ952" i="43"/>
  <c r="DE952" i="43"/>
  <c r="DH952" i="43"/>
  <c r="DE898" i="43"/>
  <c r="DD898" i="43"/>
  <c r="DJ898" i="43"/>
  <c r="DH898" i="43"/>
  <c r="DE990" i="43"/>
  <c r="DJ990" i="43"/>
  <c r="DH990" i="43"/>
  <c r="DD990" i="43"/>
  <c r="DE762" i="43"/>
  <c r="DD762" i="43"/>
  <c r="DJ762" i="43"/>
  <c r="DH762" i="43"/>
  <c r="DJ673" i="43"/>
  <c r="DH673" i="43"/>
  <c r="DE673" i="43"/>
  <c r="DD673" i="43"/>
  <c r="DJ649" i="43"/>
  <c r="DH649" i="43"/>
  <c r="DE649" i="43"/>
  <c r="DD649" i="43"/>
  <c r="DE839" i="43"/>
  <c r="DD839" i="43"/>
  <c r="DJ839" i="43"/>
  <c r="DH839" i="43"/>
  <c r="DE1091" i="43"/>
  <c r="DD1091" i="43"/>
  <c r="DJ1091" i="43"/>
  <c r="DH1091" i="43"/>
  <c r="DE1051" i="43"/>
  <c r="DD1051" i="43"/>
  <c r="DJ1051" i="43"/>
  <c r="DH1051" i="43"/>
  <c r="DE977" i="43"/>
  <c r="DD977" i="43"/>
  <c r="DJ977" i="43"/>
  <c r="DH977" i="43"/>
  <c r="DE858" i="43"/>
  <c r="DD858" i="43"/>
  <c r="DJ858" i="43"/>
  <c r="DH858" i="43"/>
  <c r="DH844" i="43"/>
  <c r="DE844" i="43"/>
  <c r="DD844" i="43"/>
  <c r="DJ844" i="43"/>
  <c r="DH900" i="43"/>
  <c r="DE900" i="43"/>
  <c r="DJ900" i="43"/>
  <c r="DD900" i="43"/>
  <c r="DJ633" i="43"/>
  <c r="DH633" i="43"/>
  <c r="DE633" i="43"/>
  <c r="DD633" i="43"/>
  <c r="DE606" i="43"/>
  <c r="DD606" i="43"/>
  <c r="DJ606" i="43"/>
  <c r="DH606" i="43"/>
  <c r="DE663" i="43"/>
  <c r="DD663" i="43"/>
  <c r="DJ663" i="43"/>
  <c r="DH663" i="43"/>
  <c r="DH1134" i="43"/>
  <c r="DE1134" i="43"/>
  <c r="DJ1134" i="43"/>
  <c r="DD1134" i="43"/>
  <c r="DJ1025" i="43"/>
  <c r="DH1025" i="43"/>
  <c r="DD1025" i="43"/>
  <c r="DE1025" i="43"/>
  <c r="DE997" i="43"/>
  <c r="DD997" i="43"/>
  <c r="DH997" i="43"/>
  <c r="DJ997" i="43"/>
  <c r="DJ955" i="43"/>
  <c r="DH955" i="43"/>
  <c r="DE955" i="43"/>
  <c r="DD955" i="43"/>
  <c r="DD842" i="43"/>
  <c r="DJ842" i="43"/>
  <c r="DH842" i="43"/>
  <c r="DE842" i="43"/>
  <c r="DE814" i="43"/>
  <c r="DD814" i="43"/>
  <c r="DJ814" i="43"/>
  <c r="DH814" i="43"/>
  <c r="DD725" i="43"/>
  <c r="DJ725" i="43"/>
  <c r="DH725" i="43"/>
  <c r="DE725" i="43"/>
  <c r="DJ744" i="43"/>
  <c r="DH744" i="43"/>
  <c r="DE744" i="43"/>
  <c r="DD744" i="43"/>
  <c r="DH632" i="43"/>
  <c r="DE632" i="43"/>
  <c r="DJ632" i="43"/>
  <c r="DD632" i="43"/>
  <c r="DH856" i="43"/>
  <c r="DJ856" i="43"/>
  <c r="DE856" i="43"/>
  <c r="DD856" i="43"/>
  <c r="DJ780" i="43"/>
  <c r="DH780" i="43"/>
  <c r="DE780" i="43"/>
  <c r="DD780" i="43"/>
  <c r="DH936" i="43"/>
  <c r="DE936" i="43"/>
  <c r="DJ936" i="43"/>
  <c r="DD936" i="43"/>
  <c r="DJ1114" i="43"/>
  <c r="DH1114" i="43"/>
  <c r="DE1114" i="43"/>
  <c r="DD1114" i="43"/>
  <c r="DE1058" i="43"/>
  <c r="DD1058" i="43"/>
  <c r="DJ1058" i="43"/>
  <c r="DH1058" i="43"/>
  <c r="DD968" i="43"/>
  <c r="DJ968" i="43"/>
  <c r="DE968" i="43"/>
  <c r="DH968" i="43"/>
  <c r="DE914" i="43"/>
  <c r="DD914" i="43"/>
  <c r="DJ914" i="43"/>
  <c r="DH914" i="43"/>
  <c r="DE851" i="43"/>
  <c r="DD851" i="43"/>
  <c r="DJ851" i="43"/>
  <c r="DH851" i="43"/>
  <c r="DE778" i="43"/>
  <c r="DD778" i="43"/>
  <c r="DJ778" i="43"/>
  <c r="DH778" i="43"/>
  <c r="DJ689" i="43"/>
  <c r="DH689" i="43"/>
  <c r="DE689" i="43"/>
  <c r="DD689" i="43"/>
  <c r="DE694" i="43"/>
  <c r="DD694" i="43"/>
  <c r="DJ694" i="43"/>
  <c r="DH694" i="43"/>
  <c r="DH1152" i="43"/>
  <c r="DE1152" i="43"/>
  <c r="DJ1152" i="43"/>
  <c r="DD1152" i="43"/>
  <c r="DE1103" i="43"/>
  <c r="DD1103" i="43"/>
  <c r="DJ1103" i="43"/>
  <c r="DH1103" i="43"/>
  <c r="DJ1169" i="43"/>
  <c r="DH1169" i="43"/>
  <c r="DE1169" i="43"/>
  <c r="DD1169" i="43"/>
  <c r="DJ1149" i="43"/>
  <c r="DH1149" i="43"/>
  <c r="DE1149" i="43"/>
  <c r="DD1149" i="43"/>
  <c r="DE943" i="43"/>
  <c r="DD943" i="43"/>
  <c r="DJ943" i="43"/>
  <c r="DH943" i="43"/>
  <c r="DH624" i="43"/>
  <c r="DE624" i="43"/>
  <c r="DJ624" i="43"/>
  <c r="DD624" i="43"/>
  <c r="DE1107" i="43"/>
  <c r="DD1107" i="43"/>
  <c r="DJ1107" i="43"/>
  <c r="DH1107" i="43"/>
  <c r="DE734" i="43"/>
  <c r="DD734" i="43"/>
  <c r="DJ734" i="43"/>
  <c r="DH734" i="43"/>
  <c r="DE1131" i="43"/>
  <c r="DD1131" i="43"/>
  <c r="DJ1131" i="43"/>
  <c r="DH1131" i="43"/>
  <c r="DH1003" i="43"/>
  <c r="DD1003" i="43"/>
  <c r="DE1003" i="43"/>
  <c r="DJ1003" i="43"/>
  <c r="DJ949" i="43"/>
  <c r="DH949" i="43"/>
  <c r="DE949" i="43"/>
  <c r="DD949" i="43"/>
  <c r="DE947" i="43"/>
  <c r="DD947" i="43"/>
  <c r="DH947" i="43"/>
  <c r="DJ947" i="43"/>
  <c r="DD809" i="43"/>
  <c r="DJ809" i="43"/>
  <c r="DH809" i="43"/>
  <c r="DE809" i="43"/>
  <c r="DH811" i="43"/>
  <c r="DE811" i="43"/>
  <c r="DD811" i="43"/>
  <c r="DJ811" i="43"/>
  <c r="DE683" i="43"/>
  <c r="DD683" i="43"/>
  <c r="DJ683" i="43"/>
  <c r="DH683" i="43"/>
  <c r="F3" i="43"/>
  <c r="G2" i="43"/>
  <c r="H2" i="43" s="1"/>
  <c r="I2" i="43" s="1" a="1"/>
  <c r="I2" i="43" s="1"/>
  <c r="DJ1171" i="43"/>
  <c r="DE1171" i="43"/>
  <c r="DD1171" i="43"/>
  <c r="DH1171" i="43"/>
  <c r="DH1069" i="43"/>
  <c r="DJ1069" i="43"/>
  <c r="DE1069" i="43"/>
  <c r="DD1069" i="43"/>
  <c r="DD960" i="43"/>
  <c r="DJ960" i="43"/>
  <c r="DE960" i="43"/>
  <c r="DH960" i="43"/>
  <c r="DD741" i="43"/>
  <c r="DJ741" i="43"/>
  <c r="DH741" i="43"/>
  <c r="DE741" i="43"/>
  <c r="DH644" i="43"/>
  <c r="DE644" i="43"/>
  <c r="DJ644" i="43"/>
  <c r="DD644" i="43"/>
  <c r="DE957" i="43"/>
  <c r="DD957" i="43"/>
  <c r="DH957" i="43"/>
  <c r="DJ957" i="43"/>
  <c r="DE618" i="43"/>
  <c r="DD618" i="43"/>
  <c r="DJ618" i="43"/>
  <c r="DH618" i="43"/>
  <c r="DE1126" i="43"/>
  <c r="DD1126" i="43"/>
  <c r="DJ1126" i="43"/>
  <c r="DH1126" i="43"/>
  <c r="DJ1066" i="43"/>
  <c r="DH1066" i="43"/>
  <c r="DE1066" i="43"/>
  <c r="DD1066" i="43"/>
  <c r="DE1023" i="43"/>
  <c r="DD1023" i="43"/>
  <c r="DJ1023" i="43"/>
  <c r="DH1023" i="43"/>
  <c r="DE930" i="43"/>
  <c r="DD930" i="43"/>
  <c r="DJ930" i="43"/>
  <c r="DH930" i="43"/>
  <c r="DE867" i="43"/>
  <c r="DD867" i="43"/>
  <c r="DH867" i="43"/>
  <c r="DJ867" i="43"/>
  <c r="DE794" i="43"/>
  <c r="DD794" i="43"/>
  <c r="DJ794" i="43"/>
  <c r="DH794" i="43"/>
  <c r="DD705" i="43"/>
  <c r="DJ705" i="43"/>
  <c r="DH705" i="43"/>
  <c r="DE705" i="43"/>
  <c r="DE678" i="43"/>
  <c r="DD678" i="43"/>
  <c r="DJ678" i="43"/>
  <c r="DH678" i="43"/>
  <c r="DJ724" i="43"/>
  <c r="DH724" i="43"/>
  <c r="DE724" i="43"/>
  <c r="DD724" i="43"/>
  <c r="DE1173" i="43"/>
  <c r="DH1173" i="43"/>
  <c r="DJ1173" i="43"/>
  <c r="DD1173" i="43"/>
  <c r="DD801" i="43"/>
  <c r="DH801" i="43"/>
  <c r="DE801" i="43"/>
  <c r="DJ704" i="43"/>
  <c r="DH704" i="43"/>
  <c r="DE704" i="43"/>
  <c r="DD704" i="43"/>
  <c r="DJ1199" i="43"/>
  <c r="DH1199" i="43"/>
  <c r="DE1199" i="43"/>
  <c r="DD1199" i="43"/>
  <c r="DJ1082" i="43"/>
  <c r="DH1082" i="43"/>
  <c r="DE1082" i="43"/>
  <c r="DD1082" i="43"/>
  <c r="DJ945" i="43"/>
  <c r="DH945" i="43"/>
  <c r="DE945" i="43"/>
  <c r="DD945" i="43"/>
  <c r="DH743" i="43"/>
  <c r="DE743" i="43"/>
  <c r="DD743" i="43"/>
  <c r="DJ743" i="43"/>
  <c r="DE998" i="43"/>
  <c r="DJ998" i="43"/>
  <c r="DH998" i="43"/>
  <c r="DD998" i="43"/>
  <c r="DE1099" i="43"/>
  <c r="DD1099" i="43"/>
  <c r="DJ1099" i="43"/>
  <c r="DH1099" i="43"/>
  <c r="DE1059" i="43"/>
  <c r="DD1059" i="43"/>
  <c r="DJ1059" i="43"/>
  <c r="DH1059" i="43"/>
  <c r="DE986" i="43"/>
  <c r="DJ986" i="43"/>
  <c r="DH986" i="43"/>
  <c r="DD986" i="43"/>
  <c r="DE866" i="43"/>
  <c r="DD866" i="43"/>
  <c r="DJ866" i="43"/>
  <c r="DH866" i="43"/>
  <c r="DH904" i="43"/>
  <c r="DE904" i="43"/>
  <c r="DJ904" i="43"/>
  <c r="DD904" i="43"/>
  <c r="DE730" i="43"/>
  <c r="DD730" i="43"/>
  <c r="DJ730" i="43"/>
  <c r="DH730" i="43"/>
  <c r="DJ641" i="43"/>
  <c r="DH641" i="43"/>
  <c r="DE641" i="43"/>
  <c r="DD641" i="43"/>
  <c r="DE614" i="43"/>
  <c r="DD614" i="43"/>
  <c r="DJ614" i="43"/>
  <c r="DH614" i="43"/>
  <c r="DH703" i="43"/>
  <c r="DE703" i="43"/>
  <c r="DD703" i="43"/>
  <c r="DJ703" i="43"/>
  <c r="DJ832" i="43"/>
  <c r="DH832" i="43"/>
  <c r="DE832" i="43"/>
  <c r="DD832" i="43"/>
  <c r="DH1109" i="43"/>
  <c r="DE1109" i="43"/>
  <c r="DD1109" i="43"/>
  <c r="DJ1109" i="43"/>
  <c r="DH739" i="43"/>
  <c r="DE739" i="43"/>
  <c r="DD739" i="43"/>
  <c r="DJ739" i="43"/>
  <c r="DJ1106" i="43"/>
  <c r="DH1106" i="43"/>
  <c r="DE1106" i="43"/>
  <c r="DD1106" i="43"/>
  <c r="DE1050" i="43"/>
  <c r="DD1050" i="43"/>
  <c r="DJ1050" i="43"/>
  <c r="DH1050" i="43"/>
  <c r="DH978" i="43"/>
  <c r="DE978" i="43"/>
  <c r="DD978" i="43"/>
  <c r="DJ978" i="43"/>
  <c r="DJ617" i="43"/>
  <c r="DH617" i="43"/>
  <c r="DE617" i="43"/>
  <c r="DD617" i="43"/>
  <c r="DD1192" i="43"/>
  <c r="DJ1192" i="43"/>
  <c r="DE1192" i="43"/>
  <c r="DH1192" i="43"/>
  <c r="DD833" i="43"/>
  <c r="DJ833" i="43"/>
  <c r="DH833" i="43"/>
  <c r="DE833" i="43"/>
  <c r="DD1188" i="43"/>
  <c r="DJ1188" i="43"/>
  <c r="DH1188" i="43"/>
  <c r="DE1188" i="43"/>
  <c r="DE1112" i="43"/>
  <c r="DD1112" i="43"/>
  <c r="DJ1112" i="43"/>
  <c r="DH1112" i="43"/>
  <c r="DH1044" i="43"/>
  <c r="DE1044" i="43"/>
  <c r="DJ1044" i="43"/>
  <c r="DD1044" i="43"/>
  <c r="DE953" i="43"/>
  <c r="DD953" i="43"/>
  <c r="DJ953" i="43"/>
  <c r="DH953" i="43"/>
  <c r="DE1022" i="43"/>
  <c r="DJ1022" i="43"/>
  <c r="DD1022" i="43"/>
  <c r="DH1022" i="43"/>
  <c r="DD829" i="43"/>
  <c r="DJ829" i="43"/>
  <c r="DH829" i="43"/>
  <c r="DE829" i="43"/>
  <c r="DH831" i="43"/>
  <c r="DE831" i="43"/>
  <c r="DD831" i="43"/>
  <c r="DJ831" i="43"/>
  <c r="DJ609" i="43"/>
  <c r="DH609" i="43"/>
  <c r="DE609" i="43"/>
  <c r="DD609" i="43"/>
  <c r="DE671" i="43"/>
  <c r="DD671" i="43"/>
  <c r="DH671" i="43"/>
  <c r="DJ671" i="43"/>
  <c r="DE1031" i="43"/>
  <c r="DD1031" i="43"/>
  <c r="DJ1031" i="43"/>
  <c r="DH1031" i="43"/>
  <c r="DJ613" i="43"/>
  <c r="DH613" i="43"/>
  <c r="DD613" i="43"/>
  <c r="DE613" i="43"/>
  <c r="DE1111" i="43"/>
  <c r="DD1111" i="43"/>
  <c r="DJ1111" i="43"/>
  <c r="DH1111" i="43"/>
  <c r="DH1093" i="43"/>
  <c r="DD1093" i="43"/>
  <c r="DE1093" i="43"/>
  <c r="DJ1093" i="43"/>
  <c r="DE874" i="43"/>
  <c r="DD874" i="43"/>
  <c r="DJ874" i="43"/>
  <c r="DH874" i="43"/>
  <c r="DE686" i="43"/>
  <c r="DD686" i="43"/>
  <c r="DJ686" i="43"/>
  <c r="DH686" i="43"/>
  <c r="DE1130" i="43"/>
  <c r="DD1130" i="43"/>
  <c r="DJ1130" i="43"/>
  <c r="DH1130" i="43"/>
  <c r="DE798" i="43"/>
  <c r="DD798" i="43"/>
  <c r="DJ798" i="43"/>
  <c r="DH798" i="43"/>
  <c r="DH1194" i="43"/>
  <c r="DE1194" i="43"/>
  <c r="DJ1194" i="43"/>
  <c r="DD1194" i="43"/>
  <c r="DH1113" i="43"/>
  <c r="DE1113" i="43"/>
  <c r="DD1113" i="43"/>
  <c r="DJ1113" i="43"/>
  <c r="DH991" i="43"/>
  <c r="DJ991" i="43"/>
  <c r="DE991" i="43"/>
  <c r="DD991" i="43"/>
  <c r="DJ937" i="43"/>
  <c r="DH937" i="43"/>
  <c r="DE937" i="43"/>
  <c r="DD937" i="43"/>
  <c r="DE935" i="43"/>
  <c r="DD935" i="43"/>
  <c r="DJ935" i="43"/>
  <c r="DH935" i="43"/>
  <c r="DD797" i="43"/>
  <c r="DJ797" i="43"/>
  <c r="DH797" i="43"/>
  <c r="DE797" i="43"/>
  <c r="DH799" i="43"/>
  <c r="DE799" i="43"/>
  <c r="DD799" i="43"/>
  <c r="DJ799" i="43"/>
  <c r="DE639" i="43"/>
  <c r="DD639" i="43"/>
  <c r="DH639" i="43"/>
  <c r="DJ639" i="43"/>
  <c r="DH1052" i="43"/>
  <c r="DE1052" i="43"/>
  <c r="DJ1052" i="43"/>
  <c r="DD1052" i="43"/>
  <c r="DE650" i="43"/>
  <c r="DD650" i="43"/>
  <c r="DJ650" i="43"/>
  <c r="DH650" i="43"/>
  <c r="DD1196" i="43"/>
  <c r="DJ1196" i="43"/>
  <c r="DH1196" i="43"/>
  <c r="DE1196" i="43"/>
  <c r="DH1124" i="43"/>
  <c r="DJ1124" i="43"/>
  <c r="DE1124" i="43"/>
  <c r="DD1124" i="43"/>
  <c r="DE1035" i="43"/>
  <c r="DD1035" i="43"/>
  <c r="DJ1035" i="43"/>
  <c r="DH1035" i="43"/>
  <c r="DE911" i="43"/>
  <c r="DD911" i="43"/>
  <c r="DJ911" i="43"/>
  <c r="DH911" i="43"/>
  <c r="DH1085" i="43"/>
  <c r="DD1085" i="43"/>
  <c r="DE1085" i="43"/>
  <c r="DJ1085" i="43"/>
  <c r="DH771" i="43"/>
  <c r="DE771" i="43"/>
  <c r="DD771" i="43"/>
  <c r="DJ771" i="43"/>
  <c r="DJ1191" i="43"/>
  <c r="DH1191" i="43"/>
  <c r="DE1191" i="43"/>
  <c r="DD1191" i="43"/>
  <c r="DH1097" i="43"/>
  <c r="DD1097" i="43"/>
  <c r="DJ1097" i="43"/>
  <c r="DE1097" i="43"/>
  <c r="DE1004" i="43"/>
  <c r="DJ1004" i="43"/>
  <c r="DH1004" i="43"/>
  <c r="DD1004" i="43"/>
  <c r="DJ905" i="43"/>
  <c r="DH905" i="43"/>
  <c r="DE905" i="43"/>
  <c r="DD905" i="43"/>
  <c r="DE903" i="43"/>
  <c r="DD903" i="43"/>
  <c r="DJ903" i="43"/>
  <c r="DH903" i="43"/>
  <c r="DD765" i="43"/>
  <c r="DJ765" i="43"/>
  <c r="DH765" i="43"/>
  <c r="DE765" i="43"/>
  <c r="DH767" i="43"/>
  <c r="DE767" i="43"/>
  <c r="DD767" i="43"/>
  <c r="DJ767" i="43"/>
  <c r="DE607" i="43"/>
  <c r="DD607" i="43"/>
  <c r="DH607" i="43"/>
  <c r="DJ607" i="43"/>
  <c r="DH684" i="43"/>
  <c r="DE684" i="43"/>
  <c r="DJ684" i="43"/>
  <c r="DD684" i="43"/>
  <c r="DJ788" i="43"/>
  <c r="DH788" i="43"/>
  <c r="DE788" i="43"/>
  <c r="DD788" i="43"/>
  <c r="DJ909" i="43"/>
  <c r="DH909" i="43"/>
  <c r="DE909" i="43"/>
  <c r="DD909" i="43"/>
  <c r="DJ764" i="43"/>
  <c r="DH764" i="43"/>
  <c r="DE764" i="43"/>
  <c r="DD764" i="43"/>
  <c r="DE1177" i="43"/>
  <c r="DH1177" i="43"/>
  <c r="DJ1177" i="43"/>
  <c r="DD1177" i="43"/>
  <c r="DE1123" i="43"/>
  <c r="DD1123" i="43"/>
  <c r="DJ1123" i="43"/>
  <c r="DH1123" i="43"/>
  <c r="DE1012" i="43"/>
  <c r="DJ1012" i="43"/>
  <c r="DH1012" i="43"/>
  <c r="DD1012" i="43"/>
  <c r="DH884" i="43"/>
  <c r="DE884" i="43"/>
  <c r="DJ884" i="43"/>
  <c r="DD884" i="43"/>
  <c r="DE1063" i="43"/>
  <c r="DD1063" i="43"/>
  <c r="DJ1063" i="43"/>
  <c r="DH1063" i="43"/>
  <c r="DJ736" i="43"/>
  <c r="DH736" i="43"/>
  <c r="DE736" i="43"/>
  <c r="DD736" i="43"/>
  <c r="DE1159" i="43"/>
  <c r="DD1159" i="43"/>
  <c r="DJ1159" i="43"/>
  <c r="DH1159" i="43"/>
  <c r="DE1092" i="43"/>
  <c r="DD1092" i="43"/>
  <c r="DJ1092" i="43"/>
  <c r="DH1092" i="43"/>
  <c r="DH1064" i="43"/>
  <c r="DE1064" i="43"/>
  <c r="DJ1064" i="43"/>
  <c r="DD1064" i="43"/>
  <c r="DJ873" i="43"/>
  <c r="DH873" i="43"/>
  <c r="DE873" i="43"/>
  <c r="DD873" i="43"/>
  <c r="DJ951" i="43"/>
  <c r="DH951" i="43"/>
  <c r="DE951" i="43"/>
  <c r="DD951" i="43"/>
  <c r="DD733" i="43"/>
  <c r="DJ733" i="43"/>
  <c r="DH733" i="43"/>
  <c r="DE733" i="43"/>
  <c r="DH735" i="43"/>
  <c r="DE735" i="43"/>
  <c r="DD735" i="43"/>
  <c r="DJ735" i="43"/>
  <c r="DJ792" i="43"/>
  <c r="DH792" i="43"/>
  <c r="DE792" i="43"/>
  <c r="DD792" i="43"/>
  <c r="DE870" i="43"/>
  <c r="DD870" i="43"/>
  <c r="DJ870" i="43"/>
  <c r="DH870" i="43"/>
  <c r="DH612" i="43"/>
  <c r="DE612" i="43"/>
  <c r="DJ612" i="43"/>
  <c r="DD612" i="43"/>
  <c r="DJ1161" i="43"/>
  <c r="DH1161" i="43"/>
  <c r="DE1161" i="43"/>
  <c r="DD1161" i="43"/>
  <c r="DH1101" i="43"/>
  <c r="DE1101" i="43"/>
  <c r="DD1101" i="43"/>
  <c r="DJ1101" i="43"/>
  <c r="DE1017" i="43"/>
  <c r="DD1017" i="43"/>
  <c r="DJ1017" i="43"/>
  <c r="DH1017" i="43"/>
  <c r="DD837" i="43"/>
  <c r="DJ837" i="43"/>
  <c r="DH837" i="43"/>
  <c r="DE837" i="43"/>
  <c r="DE679" i="43"/>
  <c r="DD679" i="43"/>
  <c r="DJ679" i="43"/>
  <c r="DH679" i="43"/>
  <c r="DH648" i="43"/>
  <c r="DE648" i="43"/>
  <c r="DJ648" i="43"/>
  <c r="DD648" i="43"/>
  <c r="DJ1078" i="43"/>
  <c r="DH1078" i="43"/>
  <c r="DE1078" i="43"/>
  <c r="DD1078" i="43"/>
  <c r="DE1133" i="43"/>
  <c r="DD1133" i="43"/>
  <c r="DH1133" i="43"/>
  <c r="DJ1133" i="43"/>
  <c r="DJ1037" i="43"/>
  <c r="DH1037" i="43"/>
  <c r="DE1037" i="43"/>
  <c r="DD1037" i="43"/>
  <c r="DE1009" i="43"/>
  <c r="DD1009" i="43"/>
  <c r="DJ1009" i="43"/>
  <c r="DH1009" i="43"/>
  <c r="DH974" i="43"/>
  <c r="DE974" i="43"/>
  <c r="DD974" i="43"/>
  <c r="DJ974" i="43"/>
  <c r="DH888" i="43"/>
  <c r="DE888" i="43"/>
  <c r="DD888" i="43"/>
  <c r="DJ888" i="43"/>
  <c r="DE826" i="43"/>
  <c r="DD826" i="43"/>
  <c r="DJ826" i="43"/>
  <c r="DH826" i="43"/>
  <c r="DJ756" i="43"/>
  <c r="DH756" i="43"/>
  <c r="DE756" i="43"/>
  <c r="DD756" i="43"/>
  <c r="DE710" i="43"/>
  <c r="DD710" i="43"/>
  <c r="DJ710" i="43"/>
  <c r="DH710" i="43"/>
  <c r="DJ712" i="43"/>
  <c r="DH712" i="43"/>
  <c r="DE712" i="43"/>
  <c r="DD712" i="43"/>
  <c r="DH920" i="43"/>
  <c r="DE920" i="43"/>
  <c r="DD920" i="43"/>
  <c r="DJ920" i="43"/>
  <c r="F40" i="40" a="1"/>
  <c r="F40" i="40" s="1"/>
  <c r="F39" i="40" a="1"/>
  <c r="F39" i="40" s="1"/>
  <c r="F38" i="40" a="1"/>
  <c r="F38" i="40" s="1"/>
  <c r="F37" i="40" a="1"/>
  <c r="F37" i="40" s="1"/>
  <c r="F36" i="40" a="1"/>
  <c r="F36" i="40" s="1"/>
  <c r="F35" i="40" a="1"/>
  <c r="F35" i="40" s="1"/>
  <c r="F34" i="40" a="1"/>
  <c r="F34" i="40" s="1"/>
  <c r="F33" i="40" a="1"/>
  <c r="F33" i="40" s="1"/>
  <c r="F32" i="40" a="1"/>
  <c r="F32" i="40" s="1"/>
  <c r="F31" i="40" a="1"/>
  <c r="F31" i="40" s="1"/>
  <c r="F30" i="40" a="1"/>
  <c r="F30" i="40" s="1"/>
  <c r="F29" i="40" a="1"/>
  <c r="F29" i="40" s="1"/>
  <c r="F28" i="40" a="1"/>
  <c r="F28" i="40" s="1"/>
  <c r="F27" i="40" a="1"/>
  <c r="F27" i="40" s="1"/>
  <c r="G40" i="40" a="1"/>
  <c r="G40" i="40" s="1"/>
  <c r="G39" i="40" a="1"/>
  <c r="G39" i="40" s="1"/>
  <c r="G38" i="40" a="1"/>
  <c r="G38" i="40" s="1"/>
  <c r="G37" i="40" a="1"/>
  <c r="G37" i="40" s="1"/>
  <c r="G36" i="40" a="1"/>
  <c r="G36" i="40" s="1"/>
  <c r="G35" i="40" a="1"/>
  <c r="G35" i="40" s="1"/>
  <c r="G34" i="40" a="1"/>
  <c r="G34" i="40" s="1"/>
  <c r="G33" i="40" a="1"/>
  <c r="G33" i="40" s="1"/>
  <c r="G32" i="40" a="1"/>
  <c r="G32" i="40" s="1"/>
  <c r="G31" i="40" a="1"/>
  <c r="G31" i="40" s="1"/>
  <c r="G30" i="40" a="1"/>
  <c r="G30" i="40" s="1"/>
  <c r="G29" i="40" a="1"/>
  <c r="G29" i="40" s="1"/>
  <c r="G28" i="40" a="1"/>
  <c r="G28" i="40" s="1"/>
  <c r="G27" i="40" a="1"/>
  <c r="G27" i="40" s="1"/>
  <c r="G67" i="40" a="1"/>
  <c r="G67" i="40" s="1"/>
  <c r="G68" i="40" a="1"/>
  <c r="G68" i="40" s="1"/>
  <c r="G69" i="40" a="1"/>
  <c r="G69" i="40" s="1"/>
  <c r="G70" i="40" a="1"/>
  <c r="G70" i="40" s="1"/>
  <c r="G71" i="40" a="1"/>
  <c r="G71" i="40" s="1"/>
  <c r="G72" i="40" a="1"/>
  <c r="G72" i="40" s="1"/>
  <c r="G73" i="40" a="1"/>
  <c r="G73" i="40" s="1"/>
  <c r="G74" i="40" a="1"/>
  <c r="G74" i="40" s="1"/>
  <c r="G75" i="40" a="1"/>
  <c r="G75" i="40" s="1"/>
  <c r="G76" i="40" a="1"/>
  <c r="G76" i="40" s="1"/>
  <c r="G77" i="40" a="1"/>
  <c r="G77" i="40" s="1"/>
  <c r="G78" i="40" a="1"/>
  <c r="G78" i="40" s="1"/>
  <c r="G79" i="40" a="1"/>
  <c r="G79" i="40" s="1"/>
  <c r="G80" i="40" a="1"/>
  <c r="G80" i="40" s="1"/>
  <c r="D79" i="40" a="1"/>
  <c r="D79" i="40" s="1"/>
  <c r="D67" i="40" a="1"/>
  <c r="D67" i="40" s="1"/>
  <c r="D68" i="40" a="1"/>
  <c r="D68" i="40" s="1"/>
  <c r="D69" i="40" a="1"/>
  <c r="D69" i="40" s="1"/>
  <c r="D70" i="40" a="1"/>
  <c r="D70" i="40" s="1"/>
  <c r="D71" i="40" a="1"/>
  <c r="D71" i="40" s="1"/>
  <c r="D72" i="40" a="1"/>
  <c r="D72" i="40" s="1"/>
  <c r="D73" i="40" a="1"/>
  <c r="D73" i="40" s="1"/>
  <c r="D74" i="40" a="1"/>
  <c r="D74" i="40" s="1"/>
  <c r="D75" i="40" a="1"/>
  <c r="D75" i="40" s="1"/>
  <c r="D76" i="40" a="1"/>
  <c r="D76" i="40" s="1"/>
  <c r="D77" i="40" a="1"/>
  <c r="D77" i="40" s="1"/>
  <c r="D78" i="40" a="1"/>
  <c r="D78" i="40" s="1"/>
  <c r="D80" i="40" a="1"/>
  <c r="D80" i="40" s="1"/>
  <c r="D81" i="40" a="1"/>
  <c r="D81" i="40" s="1"/>
  <c r="E54" i="40" a="1"/>
  <c r="E54" i="40" s="1"/>
  <c r="E63" i="40" a="1"/>
  <c r="E63" i="40" s="1"/>
  <c r="E50" i="40" a="1"/>
  <c r="E50" i="40" s="1"/>
  <c r="E48" i="40" a="1"/>
  <c r="E48" i="40" s="1"/>
  <c r="E43" i="40" a="1"/>
  <c r="E43" i="40" s="1"/>
  <c r="E46" i="40" a="1"/>
  <c r="E46" i="40" s="1"/>
  <c r="E49" i="40" a="1"/>
  <c r="E49" i="40" s="1"/>
  <c r="E52" i="40" a="1"/>
  <c r="E52" i="40" s="1"/>
  <c r="E55" i="40" a="1"/>
  <c r="E55" i="40" s="1"/>
  <c r="E58" i="40" a="1"/>
  <c r="E58" i="40" s="1"/>
  <c r="E61" i="40" a="1"/>
  <c r="E61" i="40" s="1"/>
  <c r="E64" i="40" a="1"/>
  <c r="E64" i="40" s="1"/>
  <c r="E51" i="40" a="1"/>
  <c r="E51" i="40" s="1"/>
  <c r="E60" i="40" a="1"/>
  <c r="E60" i="40" s="1"/>
  <c r="E44" i="40" a="1"/>
  <c r="E44" i="40" s="1"/>
  <c r="E62" i="40" a="1"/>
  <c r="E62" i="40" s="1"/>
  <c r="E45" i="40" a="1"/>
  <c r="E45" i="40" s="1"/>
  <c r="E57" i="40" a="1"/>
  <c r="E57" i="40" s="1"/>
  <c r="E53" i="40" a="1"/>
  <c r="E53" i="40" s="1"/>
  <c r="E59" i="40" a="1"/>
  <c r="E59" i="40" s="1"/>
  <c r="E47" i="40" a="1"/>
  <c r="E47" i="40" s="1"/>
  <c r="E56" i="40" a="1"/>
  <c r="E56" i="40" s="1"/>
  <c r="F44" i="40" a="1"/>
  <c r="F44" i="40" s="1"/>
  <c r="F47" i="40" a="1"/>
  <c r="F47" i="40" s="1"/>
  <c r="F50" i="40" a="1"/>
  <c r="F50" i="40" s="1"/>
  <c r="F53" i="40" a="1"/>
  <c r="F53" i="40" s="1"/>
  <c r="F56" i="40" a="1"/>
  <c r="F56" i="40" s="1"/>
  <c r="F59" i="40" a="1"/>
  <c r="F59" i="40" s="1"/>
  <c r="F62" i="40" a="1"/>
  <c r="F62" i="40" s="1"/>
  <c r="F51" i="40" a="1"/>
  <c r="F51" i="40" s="1"/>
  <c r="F57" i="40" a="1"/>
  <c r="F57" i="40" s="1"/>
  <c r="F63" i="40" a="1"/>
  <c r="F63" i="40" s="1"/>
  <c r="F54" i="40" a="1"/>
  <c r="F54" i="40" s="1"/>
  <c r="F43" i="40" a="1"/>
  <c r="F43" i="40" s="1"/>
  <c r="F46" i="40" a="1"/>
  <c r="F46" i="40" s="1"/>
  <c r="F49" i="40" a="1"/>
  <c r="F49" i="40" s="1"/>
  <c r="F52" i="40" a="1"/>
  <c r="F52" i="40" s="1"/>
  <c r="F55" i="40" a="1"/>
  <c r="F55" i="40" s="1"/>
  <c r="F58" i="40" a="1"/>
  <c r="F58" i="40" s="1"/>
  <c r="F61" i="40" a="1"/>
  <c r="F61" i="40" s="1"/>
  <c r="F64" i="40" a="1"/>
  <c r="F64" i="40" s="1"/>
  <c r="F45" i="40" a="1"/>
  <c r="F45" i="40" s="1"/>
  <c r="F48" i="40" a="1"/>
  <c r="F48" i="40" s="1"/>
  <c r="F60" i="40" a="1"/>
  <c r="F60" i="40" s="1"/>
  <c r="G52" i="40" a="1"/>
  <c r="G52" i="40" s="1"/>
  <c r="G58" i="40" a="1"/>
  <c r="G58" i="40" s="1"/>
  <c r="G61" i="40" a="1"/>
  <c r="G61" i="40" s="1"/>
  <c r="G48" i="40" a="1"/>
  <c r="G48" i="40" s="1"/>
  <c r="G44" i="40" a="1"/>
  <c r="G44" i="40" s="1"/>
  <c r="G47" i="40" a="1"/>
  <c r="G47" i="40" s="1"/>
  <c r="G50" i="40" a="1"/>
  <c r="G50" i="40" s="1"/>
  <c r="G53" i="40" a="1"/>
  <c r="G53" i="40" s="1"/>
  <c r="G56" i="40" a="1"/>
  <c r="G56" i="40" s="1"/>
  <c r="G59" i="40" a="1"/>
  <c r="G59" i="40" s="1"/>
  <c r="G62" i="40" a="1"/>
  <c r="G62" i="40" s="1"/>
  <c r="G45" i="40" a="1"/>
  <c r="G45" i="40" s="1"/>
  <c r="G49" i="40" a="1"/>
  <c r="G49" i="40" s="1"/>
  <c r="G46" i="40" a="1"/>
  <c r="G46" i="40" s="1"/>
  <c r="G55" i="40" a="1"/>
  <c r="G55" i="40" s="1"/>
  <c r="G64" i="40" a="1"/>
  <c r="G64" i="40" s="1"/>
  <c r="G51" i="40" a="1"/>
  <c r="G51" i="40" s="1"/>
  <c r="G57" i="40" a="1"/>
  <c r="G57" i="40" s="1"/>
  <c r="G43" i="40" a="1"/>
  <c r="G43" i="40" s="1"/>
  <c r="G63" i="40" a="1"/>
  <c r="G63" i="40" s="1"/>
  <c r="G60" i="40" a="1"/>
  <c r="G60" i="40" s="1"/>
  <c r="G54" i="40" a="1"/>
  <c r="G54" i="40" s="1"/>
  <c r="D46" i="40"/>
  <c r="D18" i="40"/>
  <c r="D19" i="40"/>
  <c r="D20" i="40"/>
  <c r="D21" i="40"/>
  <c r="D10" i="40"/>
  <c r="D11" i="40"/>
  <c r="D12" i="40"/>
  <c r="D9" i="40"/>
  <c r="N28" i="39"/>
  <c r="E12" i="38"/>
  <c r="F12" i="38" s="1"/>
  <c r="G12" i="38" s="1"/>
  <c r="H12" i="38" s="1"/>
  <c r="H14" i="38" s="1"/>
  <c r="P14" i="38" s="1"/>
  <c r="M12" i="38"/>
  <c r="M13" i="38" s="1"/>
  <c r="K16" i="38"/>
  <c r="C15" i="38"/>
  <c r="D58" i="40" a="1"/>
  <c r="D56" i="40" a="1"/>
  <c r="D45" i="40" a="1"/>
  <c r="D52" i="40" a="1"/>
  <c r="D49" i="40" a="1"/>
  <c r="D54" i="40" a="1"/>
  <c r="D51" i="40" a="1"/>
  <c r="D50" i="40" a="1"/>
  <c r="D57" i="40" a="1"/>
  <c r="D59" i="40" a="1"/>
  <c r="D48" i="40" a="1"/>
  <c r="D63" i="40" a="1"/>
  <c r="D53" i="40" a="1"/>
  <c r="D55" i="40" a="1"/>
  <c r="D60" i="40" a="1"/>
  <c r="D61" i="40" a="1"/>
  <c r="D47" i="40" a="1"/>
  <c r="D44" i="40" a="1"/>
  <c r="C101" i="40" a="1"/>
  <c r="C93" i="40" a="1"/>
  <c r="C103" i="40" a="1"/>
  <c r="C102" i="40" a="1"/>
  <c r="C94" i="40" a="1"/>
  <c r="C10" i="40" a="1"/>
  <c r="C95" i="40" a="1"/>
  <c r="C92" i="40" a="1"/>
  <c r="C97" i="40" a="1"/>
  <c r="C96" i="40" a="1"/>
  <c r="C104" i="40" a="1"/>
  <c r="C105" i="40" a="1"/>
  <c r="C100" i="40" a="1"/>
  <c r="C96" i="40" l="1"/>
  <c r="C101" i="40"/>
  <c r="CX50" i="43"/>
  <c r="CX49" i="43"/>
  <c r="CX27" i="43"/>
  <c r="DK2" i="43"/>
  <c r="DH2" i="43"/>
  <c r="CY74" i="43"/>
  <c r="CD4" i="43"/>
  <c r="CX52" i="43"/>
  <c r="CX30" i="43"/>
  <c r="CX44" i="43"/>
  <c r="CX46" i="43"/>
  <c r="CX47" i="43" s="1"/>
  <c r="CX28" i="43"/>
  <c r="CX53" i="43"/>
  <c r="DO2" i="43"/>
  <c r="DP2" i="43" s="1"/>
  <c r="DQ2" i="43" s="1"/>
  <c r="CX73" i="43"/>
  <c r="CX74" i="43" s="1"/>
  <c r="CX43" i="43"/>
  <c r="DG3" i="43"/>
  <c r="DH3" i="43" s="1"/>
  <c r="DJ245" i="43"/>
  <c r="DJ228" i="43"/>
  <c r="DJ263" i="43"/>
  <c r="DI226" i="43"/>
  <c r="DJ226" i="43"/>
  <c r="DJ229" i="43"/>
  <c r="DI270" i="43"/>
  <c r="DJ270" i="43"/>
  <c r="DJ216" i="43"/>
  <c r="DI252" i="43"/>
  <c r="DJ252" i="43"/>
  <c r="DI212" i="43"/>
  <c r="DJ212" i="43"/>
  <c r="DJ293" i="43"/>
  <c r="DI281" i="43"/>
  <c r="DJ281" i="43"/>
  <c r="DJ239" i="43"/>
  <c r="DI210" i="43"/>
  <c r="DJ210" i="43"/>
  <c r="DJ271" i="43"/>
  <c r="DI296" i="43"/>
  <c r="DJ296" i="43"/>
  <c r="DI242" i="43"/>
  <c r="DJ242" i="43"/>
  <c r="DJ261" i="43"/>
  <c r="DJ287" i="43"/>
  <c r="DI277" i="43"/>
  <c r="DJ277" i="43"/>
  <c r="DJ257" i="43"/>
  <c r="DJ208" i="43"/>
  <c r="DI237" i="43"/>
  <c r="DJ237" i="43"/>
  <c r="DI292" i="43"/>
  <c r="DJ292" i="43"/>
  <c r="DI233" i="43"/>
  <c r="DJ233" i="43"/>
  <c r="DJ275" i="43"/>
  <c r="DJ262" i="43"/>
  <c r="DI267" i="43"/>
  <c r="DJ267" i="43"/>
  <c r="DI225" i="43"/>
  <c r="DJ225" i="43"/>
  <c r="DI243" i="43"/>
  <c r="DJ243" i="43"/>
  <c r="DI207" i="43"/>
  <c r="DJ207" i="43"/>
  <c r="DI231" i="43"/>
  <c r="DJ231" i="43"/>
  <c r="DJ289" i="43"/>
  <c r="DI204" i="43"/>
  <c r="DJ204" i="43"/>
  <c r="DJ248" i="43"/>
  <c r="DI283" i="43"/>
  <c r="DJ283" i="43"/>
  <c r="DJ301" i="43"/>
  <c r="DJ218" i="43"/>
  <c r="DI251" i="43"/>
  <c r="DJ251" i="43"/>
  <c r="DJ279" i="43"/>
  <c r="DI221" i="43"/>
  <c r="DJ221" i="43"/>
  <c r="DJ230" i="43"/>
  <c r="DJ220" i="43"/>
  <c r="DJ288" i="43"/>
  <c r="DJ300" i="43"/>
  <c r="DI259" i="43"/>
  <c r="DI575" i="43"/>
  <c r="C97" i="40"/>
  <c r="C95" i="40"/>
  <c r="C94" i="40"/>
  <c r="C105" i="40"/>
  <c r="C93" i="40"/>
  <c r="C104" i="40"/>
  <c r="C100" i="40"/>
  <c r="C92" i="40"/>
  <c r="C103" i="40"/>
  <c r="C102" i="40"/>
  <c r="DI380" i="43"/>
  <c r="DI256" i="43"/>
  <c r="DI588" i="43"/>
  <c r="CK4" i="43"/>
  <c r="DI294" i="43"/>
  <c r="DI460" i="43"/>
  <c r="DI495" i="43"/>
  <c r="DI562" i="43"/>
  <c r="DI550" i="43"/>
  <c r="DI333" i="43"/>
  <c r="DI568" i="43"/>
  <c r="DI450" i="43"/>
  <c r="DI319" i="43"/>
  <c r="DI586" i="43"/>
  <c r="DI287" i="43"/>
  <c r="DI531" i="43"/>
  <c r="DI508" i="43"/>
  <c r="DI351" i="43"/>
  <c r="DI578" i="43"/>
  <c r="DI585" i="43"/>
  <c r="DI303" i="43"/>
  <c r="DI321" i="43"/>
  <c r="DI518" i="43"/>
  <c r="DI279" i="43"/>
  <c r="DI456" i="43"/>
  <c r="DI353" i="43"/>
  <c r="DI582" i="43"/>
  <c r="DI521" i="43"/>
  <c r="DI418" i="43"/>
  <c r="DI315" i="43"/>
  <c r="DI308" i="43"/>
  <c r="DI492" i="43"/>
  <c r="DI224" i="43"/>
  <c r="DI584" i="43"/>
  <c r="DI362" i="43"/>
  <c r="DI203" i="43"/>
  <c r="DI425" i="43"/>
  <c r="DI246" i="43"/>
  <c r="DI502" i="43"/>
  <c r="DI357" i="43"/>
  <c r="DI229" i="43"/>
  <c r="DI520" i="43"/>
  <c r="DI533" i="43"/>
  <c r="DI316" i="43"/>
  <c r="DI507" i="43"/>
  <c r="DI409" i="43"/>
  <c r="DI354" i="43"/>
  <c r="DI313" i="43"/>
  <c r="DI407" i="43"/>
  <c r="DI476" i="43"/>
  <c r="DI266" i="43"/>
  <c r="DI453" i="43"/>
  <c r="DI358" i="43"/>
  <c r="DI264" i="43"/>
  <c r="DI534" i="43"/>
  <c r="DI399" i="43"/>
  <c r="DI241" i="43"/>
  <c r="DI467" i="43"/>
  <c r="DI234" i="43"/>
  <c r="DI414" i="43"/>
  <c r="DI329" i="43"/>
  <c r="DI400" i="43"/>
  <c r="DI209" i="43"/>
  <c r="DI318" i="43"/>
  <c r="DI307" i="43"/>
  <c r="DI378" i="43"/>
  <c r="DI542" i="43"/>
  <c r="DI487" i="43"/>
  <c r="DI312" i="43"/>
  <c r="DI222" i="43"/>
  <c r="DI282" i="43"/>
  <c r="DI217" i="43"/>
  <c r="DI567" i="43"/>
  <c r="DI395" i="43"/>
  <c r="DI505" i="43"/>
  <c r="DI285" i="43"/>
  <c r="DI338" i="43"/>
  <c r="DI286" i="43"/>
  <c r="DI532" i="43"/>
  <c r="DI383" i="43"/>
  <c r="DI240" i="43"/>
  <c r="DI258" i="43"/>
  <c r="DI519" i="43"/>
  <c r="DI581" i="43"/>
  <c r="DI214" i="43"/>
  <c r="DI269" i="43"/>
  <c r="DI235" i="43"/>
  <c r="DI545" i="43"/>
  <c r="DI490" i="43"/>
  <c r="DI590" i="43"/>
  <c r="DI539" i="43"/>
  <c r="DI423" i="43"/>
  <c r="DI417" i="43"/>
  <c r="DI374" i="43"/>
  <c r="DI435" i="43"/>
  <c r="DI600" i="43"/>
  <c r="DI206" i="43"/>
  <c r="DI250" i="43"/>
  <c r="DI213" i="43"/>
  <c r="DI489" i="43"/>
  <c r="DI574" i="43"/>
  <c r="DI366" i="43"/>
  <c r="DI201" i="43"/>
  <c r="DI421" i="43"/>
  <c r="DI451" i="43"/>
  <c r="DI265" i="43"/>
  <c r="DI302" i="43"/>
  <c r="DI599" i="43"/>
  <c r="DI215" i="43"/>
  <c r="DI247" i="43"/>
  <c r="DI326" i="43"/>
  <c r="DI355" i="43"/>
  <c r="DI465" i="43"/>
  <c r="DI595" i="43"/>
  <c r="DI244" i="43"/>
  <c r="DI211" i="43"/>
  <c r="DI477" i="43"/>
  <c r="DI360" i="43"/>
  <c r="DI573" i="43"/>
  <c r="DI410" i="43"/>
  <c r="DI325" i="43"/>
  <c r="DI344" i="43"/>
  <c r="DI317" i="43"/>
  <c r="DI524" i="43"/>
  <c r="DI511" i="43"/>
  <c r="DI405" i="43"/>
  <c r="DI466" i="43"/>
  <c r="DI516" i="43"/>
  <c r="DI577" i="43"/>
  <c r="DI343" i="43"/>
  <c r="DI301" i="43"/>
  <c r="DI254" i="43"/>
  <c r="DI257" i="43"/>
  <c r="DI474" i="43"/>
  <c r="DI349" i="43"/>
  <c r="DI390" i="43"/>
  <c r="DI260" i="43"/>
  <c r="DI491" i="43"/>
  <c r="DI361" i="43"/>
  <c r="DI255" i="43"/>
  <c r="DI446" i="43"/>
  <c r="DI493" i="43"/>
  <c r="DI310" i="43"/>
  <c r="DI576" i="43"/>
  <c r="DI330" i="43"/>
  <c r="DI219" i="43"/>
  <c r="DI284" i="43"/>
  <c r="DI293" i="43"/>
  <c r="DI515" i="43"/>
  <c r="DI479" i="43"/>
  <c r="DI381" i="43"/>
  <c r="DI413" i="43"/>
  <c r="DI364" i="43"/>
  <c r="DI276" i="43"/>
  <c r="DI274" i="43"/>
  <c r="DI415" i="43"/>
  <c r="DI544" i="43"/>
  <c r="DI268" i="43"/>
  <c r="DI445" i="43"/>
  <c r="DI444" i="43"/>
  <c r="DI373" i="43"/>
  <c r="DI564" i="43"/>
  <c r="DI430" i="43"/>
  <c r="DI232" i="43"/>
  <c r="DI462" i="43"/>
  <c r="DI253" i="43"/>
  <c r="DI457" i="43"/>
  <c r="DI397" i="43"/>
  <c r="DI441" i="43"/>
  <c r="DI514" i="43"/>
  <c r="DI481" i="43"/>
  <c r="DI306" i="43"/>
  <c r="DI579" i="43"/>
  <c r="DI442" i="43"/>
  <c r="DI368" i="43"/>
  <c r="DI280" i="43"/>
  <c r="DI522" i="43"/>
  <c r="DI278" i="43"/>
  <c r="DI552" i="43"/>
  <c r="DI530" i="43"/>
  <c r="DI464" i="43"/>
  <c r="DI540" i="43"/>
  <c r="DI392" i="43"/>
  <c r="DI596" i="43"/>
  <c r="DI563" i="43"/>
  <c r="DI549" i="43"/>
  <c r="DI419" i="43"/>
  <c r="DI291" i="43"/>
  <c r="DI529" i="43"/>
  <c r="DI525" i="43"/>
  <c r="DI398" i="43"/>
  <c r="DI249" i="43"/>
  <c r="DI468" i="43"/>
  <c r="DI432" i="43"/>
  <c r="DI272" i="43"/>
  <c r="DI598" i="43"/>
  <c r="DI382" i="43"/>
  <c r="DI422" i="43"/>
  <c r="DI569" i="43"/>
  <c r="DI559" i="43"/>
  <c r="DI391" i="43"/>
  <c r="DI436" i="43"/>
  <c r="DI561" i="43"/>
  <c r="DI299" i="43"/>
  <c r="DI572" i="43"/>
  <c r="DI298" i="43"/>
  <c r="DI589" i="43"/>
  <c r="DI501" i="43"/>
  <c r="DI485" i="43"/>
  <c r="DI342" i="43"/>
  <c r="F4" i="43"/>
  <c r="G3" i="43"/>
  <c r="H3" i="43" s="1"/>
  <c r="I3" i="43" s="1" a="1"/>
  <c r="I3" i="43" s="1"/>
  <c r="C10" i="40"/>
  <c r="D58" i="40"/>
  <c r="D50" i="40"/>
  <c r="D57" i="40"/>
  <c r="D56" i="40"/>
  <c r="D52" i="40"/>
  <c r="D53" i="40"/>
  <c r="D51" i="40"/>
  <c r="D61" i="40"/>
  <c r="D44" i="40"/>
  <c r="D60" i="40"/>
  <c r="D55" i="40"/>
  <c r="D48" i="40"/>
  <c r="D45" i="40"/>
  <c r="D59" i="40"/>
  <c r="D54" i="40"/>
  <c r="D49" i="40"/>
  <c r="D47" i="40"/>
  <c r="D63" i="40"/>
  <c r="K7" i="39"/>
  <c r="M7" i="39" s="1"/>
  <c r="K9" i="39"/>
  <c r="F14" i="38"/>
  <c r="N14" i="38" s="1"/>
  <c r="E14" i="38"/>
  <c r="M14" i="38" s="1"/>
  <c r="D14" i="38"/>
  <c r="L14" i="38" s="1"/>
  <c r="G14" i="38"/>
  <c r="O14" i="38" s="1"/>
  <c r="N12" i="38"/>
  <c r="O12" i="38" s="1"/>
  <c r="L13" i="38"/>
  <c r="K17" i="38"/>
  <c r="H15" i="38"/>
  <c r="P15" i="38" s="1"/>
  <c r="E15" i="38"/>
  <c r="M15" i="38" s="1"/>
  <c r="D15" i="38"/>
  <c r="L15" i="38" s="1"/>
  <c r="F15" i="38"/>
  <c r="N15" i="38" s="1"/>
  <c r="C16" i="38"/>
  <c r="G15" i="38"/>
  <c r="O15" i="38" s="1"/>
  <c r="C106" i="40" a="1"/>
  <c r="DM2" i="43" l="1"/>
  <c r="DN2" i="43" s="1"/>
  <c r="BZ20" i="43"/>
  <c r="DR2" i="43"/>
  <c r="DS2" i="43" s="1"/>
  <c r="DT2" i="43"/>
  <c r="DU2" i="43" s="1"/>
  <c r="BY22" i="43" s="1"/>
  <c r="DK3" i="43"/>
  <c r="DO3" i="43"/>
  <c r="DP3" i="43" s="1"/>
  <c r="DQ3" i="43" s="1"/>
  <c r="DG4" i="43"/>
  <c r="DH4" i="43" s="1"/>
  <c r="DJ203" i="43"/>
  <c r="DI202" i="43"/>
  <c r="DJ202" i="43"/>
  <c r="DI295" i="43"/>
  <c r="DJ295" i="43"/>
  <c r="DI290" i="43"/>
  <c r="DJ290" i="43"/>
  <c r="C106" i="40"/>
  <c r="DI597" i="43"/>
  <c r="DI601" i="43"/>
  <c r="DO601" i="43"/>
  <c r="F5" i="43"/>
  <c r="G4" i="43"/>
  <c r="H4" i="43" s="1"/>
  <c r="I4" i="43" s="1" a="1"/>
  <c r="I4" i="43" s="1"/>
  <c r="N13" i="38"/>
  <c r="K18" i="38"/>
  <c r="O13" i="38"/>
  <c r="P12" i="38"/>
  <c r="P13" i="38" s="1"/>
  <c r="D16" i="38"/>
  <c r="L16" i="38" s="1"/>
  <c r="H16" i="38"/>
  <c r="P16" i="38" s="1"/>
  <c r="F16" i="38"/>
  <c r="N16" i="38" s="1"/>
  <c r="G16" i="38"/>
  <c r="O16" i="38" s="1"/>
  <c r="E16" i="38"/>
  <c r="M16" i="38" s="1"/>
  <c r="C17" i="38"/>
  <c r="DR3" i="43" l="1"/>
  <c r="DS3" i="43" s="1"/>
  <c r="DT3" i="43"/>
  <c r="DU3" i="43" s="1"/>
  <c r="DK4" i="43"/>
  <c r="DM3" i="43"/>
  <c r="DN3" i="43" s="1"/>
  <c r="DO4" i="43"/>
  <c r="DP4" i="43" s="1"/>
  <c r="DQ4" i="43" s="1"/>
  <c r="DG5" i="43"/>
  <c r="DI205" i="43"/>
  <c r="DI304" i="43"/>
  <c r="DP601" i="43"/>
  <c r="DI602" i="43"/>
  <c r="DO602" i="43"/>
  <c r="F6" i="43"/>
  <c r="G5" i="43"/>
  <c r="H5" i="43" s="1"/>
  <c r="I5" i="43" s="1" a="1"/>
  <c r="I5" i="43" s="1"/>
  <c r="K19" i="38"/>
  <c r="H17" i="38"/>
  <c r="P17" i="38" s="1"/>
  <c r="E17" i="38"/>
  <c r="M17" i="38" s="1"/>
  <c r="D17" i="38"/>
  <c r="L17" i="38" s="1"/>
  <c r="G17" i="38"/>
  <c r="O17" i="38" s="1"/>
  <c r="F17" i="38"/>
  <c r="N17" i="38" s="1"/>
  <c r="C18" i="38"/>
  <c r="D14" i="40" a="1"/>
  <c r="D23" i="40" a="1"/>
  <c r="D22" i="40" a="1"/>
  <c r="D13" i="40" a="1"/>
  <c r="DT4" i="43" l="1"/>
  <c r="DU4" i="43" s="1"/>
  <c r="DR4" i="43"/>
  <c r="DS4" i="43" s="1"/>
  <c r="DM4" i="43"/>
  <c r="DN4" i="43" s="1"/>
  <c r="DH5" i="43"/>
  <c r="DO5" i="43"/>
  <c r="DP5" i="43" s="1"/>
  <c r="DQ5" i="43" s="1"/>
  <c r="DK5" i="43"/>
  <c r="DG6" i="43"/>
  <c r="DO6" i="43" s="1"/>
  <c r="DP6" i="43" s="1"/>
  <c r="DJ206" i="43"/>
  <c r="DI305" i="43"/>
  <c r="DP602" i="43"/>
  <c r="DI603" i="43"/>
  <c r="DO603" i="43"/>
  <c r="F7" i="43"/>
  <c r="G6" i="43"/>
  <c r="H6" i="43" s="1"/>
  <c r="I6" i="43" s="1" a="1"/>
  <c r="I6" i="43" s="1"/>
  <c r="D14" i="40"/>
  <c r="D22" i="40"/>
  <c r="D23" i="40"/>
  <c r="D13" i="40"/>
  <c r="D18" i="38"/>
  <c r="L18" i="38" s="1"/>
  <c r="H18" i="38"/>
  <c r="P18" i="38" s="1"/>
  <c r="G18" i="38"/>
  <c r="O18" i="38" s="1"/>
  <c r="F18" i="38"/>
  <c r="N18" i="38" s="1"/>
  <c r="E18" i="38"/>
  <c r="M18" i="38" s="1"/>
  <c r="C19" i="38"/>
  <c r="K20" i="38"/>
  <c r="DR5" i="43" l="1"/>
  <c r="DS5" i="43" s="1"/>
  <c r="DT5" i="43"/>
  <c r="DU5" i="43" s="1"/>
  <c r="DK6" i="43"/>
  <c r="DM5" i="43"/>
  <c r="DN5" i="43" s="1"/>
  <c r="DH6" i="43"/>
  <c r="DG7" i="43"/>
  <c r="DO7" i="43" s="1"/>
  <c r="DP7" i="43" s="1"/>
  <c r="DQ6" i="43"/>
  <c r="DT6" i="43" s="1"/>
  <c r="DU6" i="43" s="1"/>
  <c r="DI604" i="43"/>
  <c r="DO604" i="43"/>
  <c r="DK604" i="43"/>
  <c r="DP603" i="43"/>
  <c r="F8" i="43"/>
  <c r="G7" i="43"/>
  <c r="H7" i="43" s="1"/>
  <c r="I7" i="43" s="1" a="1"/>
  <c r="I7" i="43" s="1"/>
  <c r="H19" i="38"/>
  <c r="P19" i="38" s="1"/>
  <c r="E19" i="38"/>
  <c r="M19" i="38" s="1"/>
  <c r="D19" i="38"/>
  <c r="L19" i="38" s="1"/>
  <c r="G19" i="38"/>
  <c r="O19" i="38" s="1"/>
  <c r="C20" i="38"/>
  <c r="F19" i="38"/>
  <c r="N19" i="38" s="1"/>
  <c r="K21" i="38"/>
  <c r="DR6" i="43" l="1"/>
  <c r="DS6" i="43" s="1"/>
  <c r="DM6" i="43"/>
  <c r="DN6" i="43" s="1"/>
  <c r="DK7" i="43"/>
  <c r="DH7" i="43"/>
  <c r="DG8" i="43"/>
  <c r="DO8" i="43" s="1"/>
  <c r="DP8" i="43" s="1"/>
  <c r="DQ7" i="43"/>
  <c r="DT7" i="43" s="1"/>
  <c r="DU7" i="43" s="1"/>
  <c r="DI208" i="43"/>
  <c r="DI605" i="43"/>
  <c r="DO605" i="43"/>
  <c r="DP604" i="43"/>
  <c r="DK605" i="43"/>
  <c r="F9" i="43"/>
  <c r="G8" i="43"/>
  <c r="H8" i="43" s="1"/>
  <c r="I8" i="43" s="1" a="1"/>
  <c r="I8" i="43" s="1"/>
  <c r="D20" i="38"/>
  <c r="L20" i="38" s="1"/>
  <c r="H20" i="38"/>
  <c r="P20" i="38" s="1"/>
  <c r="G20" i="38"/>
  <c r="O20" i="38" s="1"/>
  <c r="F20" i="38"/>
  <c r="N20" i="38" s="1"/>
  <c r="E20" i="38"/>
  <c r="M20" i="38" s="1"/>
  <c r="C21" i="38"/>
  <c r="K22" i="38"/>
  <c r="DM7" i="43" l="1"/>
  <c r="DN7" i="43" s="1"/>
  <c r="DR7" i="43"/>
  <c r="DS7" i="43" s="1"/>
  <c r="DK8" i="43"/>
  <c r="DH8" i="43"/>
  <c r="DG9" i="43"/>
  <c r="DQ8" i="43"/>
  <c r="DT8" i="43" s="1"/>
  <c r="DU8" i="43" s="1"/>
  <c r="DJ209" i="43"/>
  <c r="DK606" i="43"/>
  <c r="DI606" i="43"/>
  <c r="DO606" i="43"/>
  <c r="DP605" i="43"/>
  <c r="F10" i="43"/>
  <c r="G9" i="43"/>
  <c r="H9" i="43" s="1"/>
  <c r="I9" i="43" s="1" a="1"/>
  <c r="I9" i="43" s="1"/>
  <c r="H21" i="38"/>
  <c r="P21" i="38" s="1"/>
  <c r="E21" i="38"/>
  <c r="M21" i="38" s="1"/>
  <c r="D21" i="38"/>
  <c r="L21" i="38" s="1"/>
  <c r="G21" i="38"/>
  <c r="O21" i="38" s="1"/>
  <c r="F21" i="38"/>
  <c r="N21" i="38" s="1"/>
  <c r="C22" i="38"/>
  <c r="K23" i="38"/>
  <c r="DM8" i="43" l="1"/>
  <c r="DN8" i="43" s="1"/>
  <c r="DR8" i="43"/>
  <c r="DH9" i="43"/>
  <c r="DO9" i="43"/>
  <c r="DP9" i="43" s="1"/>
  <c r="DQ9" i="43" s="1"/>
  <c r="DT9" i="43" s="1"/>
  <c r="DU9" i="43" s="1"/>
  <c r="DK9" i="43"/>
  <c r="DG10" i="43"/>
  <c r="DH10" i="43" s="1"/>
  <c r="DI309" i="43"/>
  <c r="DI607" i="43"/>
  <c r="DO607" i="43"/>
  <c r="DP606" i="43"/>
  <c r="DK607" i="43"/>
  <c r="G10" i="43"/>
  <c r="H10" i="43" s="1"/>
  <c r="I10" i="43" s="1" a="1"/>
  <c r="I10" i="43" s="1"/>
  <c r="F11" i="43"/>
  <c r="DS8" i="43"/>
  <c r="D22" i="38"/>
  <c r="L22" i="38" s="1"/>
  <c r="H22" i="38"/>
  <c r="P22" i="38" s="1"/>
  <c r="E22" i="38"/>
  <c r="M22" i="38" s="1"/>
  <c r="C23" i="38"/>
  <c r="G22" i="38"/>
  <c r="O22" i="38" s="1"/>
  <c r="F22" i="38"/>
  <c r="N22" i="38" s="1"/>
  <c r="K24" i="38"/>
  <c r="DM9" i="43" l="1"/>
  <c r="DN9" i="43" s="1"/>
  <c r="DR9" i="43"/>
  <c r="DS9" i="43" s="1"/>
  <c r="DK10" i="43"/>
  <c r="DO10" i="43"/>
  <c r="DG11" i="43"/>
  <c r="DH11" i="43" s="1"/>
  <c r="DJ211" i="43"/>
  <c r="DK608" i="43"/>
  <c r="DI608" i="43"/>
  <c r="DO608" i="43"/>
  <c r="DP607" i="43"/>
  <c r="F12" i="43"/>
  <c r="G11" i="43"/>
  <c r="H11" i="43" s="1"/>
  <c r="I11" i="43" s="1" a="1"/>
  <c r="I11" i="43" s="1"/>
  <c r="H23" i="38"/>
  <c r="P23" i="38" s="1"/>
  <c r="E23" i="38"/>
  <c r="M23" i="38" s="1"/>
  <c r="D23" i="38"/>
  <c r="L23" i="38" s="1"/>
  <c r="F23" i="38"/>
  <c r="N23" i="38" s="1"/>
  <c r="G23" i="38"/>
  <c r="O23" i="38" s="1"/>
  <c r="C24" i="38"/>
  <c r="K25" i="38"/>
  <c r="DM10" i="43" l="1"/>
  <c r="DN10" i="43" s="1"/>
  <c r="DK11" i="43"/>
  <c r="DO11" i="43"/>
  <c r="DP11" i="43" s="1"/>
  <c r="DQ11" i="43" s="1"/>
  <c r="DG12" i="43"/>
  <c r="DP10" i="43"/>
  <c r="DQ10" i="43" s="1"/>
  <c r="DI311" i="43"/>
  <c r="DI609" i="43"/>
  <c r="DO609" i="43"/>
  <c r="DP608" i="43"/>
  <c r="DK609" i="43"/>
  <c r="F13" i="43"/>
  <c r="G12" i="43"/>
  <c r="H12" i="43" s="1"/>
  <c r="I12" i="43" s="1" a="1"/>
  <c r="I12" i="43" s="1"/>
  <c r="D24" i="38"/>
  <c r="L24" i="38" s="1"/>
  <c r="H24" i="38"/>
  <c r="P24" i="38" s="1"/>
  <c r="E24" i="38"/>
  <c r="M24" i="38" s="1"/>
  <c r="G24" i="38"/>
  <c r="O24" i="38" s="1"/>
  <c r="F24" i="38"/>
  <c r="N24" i="38" s="1"/>
  <c r="C25" i="38"/>
  <c r="K26" i="38"/>
  <c r="DM11" i="43" l="1"/>
  <c r="DN11" i="43" s="1"/>
  <c r="DT10" i="43"/>
  <c r="DU10" i="43" s="1"/>
  <c r="DR10" i="43"/>
  <c r="DH12" i="43"/>
  <c r="DO12" i="43"/>
  <c r="DP12" i="43" s="1"/>
  <c r="DQ12" i="43" s="1"/>
  <c r="DK12" i="43"/>
  <c r="DG13" i="43"/>
  <c r="DH13" i="43" s="1"/>
  <c r="DJ213" i="43"/>
  <c r="DI610" i="43"/>
  <c r="DO610" i="43"/>
  <c r="DK610" i="43"/>
  <c r="DP609" i="43"/>
  <c r="G13" i="43"/>
  <c r="H13" i="43" s="1"/>
  <c r="I13" i="43" s="1" a="1"/>
  <c r="I13" i="43" s="1"/>
  <c r="F14" i="43"/>
  <c r="K27" i="38"/>
  <c r="H25" i="38"/>
  <c r="P25" i="38" s="1"/>
  <c r="E25" i="38"/>
  <c r="M25" i="38" s="1"/>
  <c r="D25" i="38"/>
  <c r="L25" i="38" s="1"/>
  <c r="G25" i="38"/>
  <c r="O25" i="38" s="1"/>
  <c r="F25" i="38"/>
  <c r="N25" i="38" s="1"/>
  <c r="C26" i="38"/>
  <c r="DT11" i="43" l="1"/>
  <c r="DU11" i="43" s="1"/>
  <c r="DK13" i="43"/>
  <c r="DM12" i="43"/>
  <c r="DN12" i="43" s="1"/>
  <c r="DR11" i="43"/>
  <c r="DS10" i="43"/>
  <c r="DO13" i="43"/>
  <c r="DG14" i="43"/>
  <c r="DO14" i="43" s="1"/>
  <c r="DP14" i="43" s="1"/>
  <c r="DJ214" i="43"/>
  <c r="DI611" i="43"/>
  <c r="DO611" i="43"/>
  <c r="DP610" i="43"/>
  <c r="DK611" i="43"/>
  <c r="G14" i="43"/>
  <c r="H14" i="43" s="1"/>
  <c r="I14" i="43" s="1" a="1"/>
  <c r="I14" i="43" s="1"/>
  <c r="F15" i="43"/>
  <c r="K28" i="38"/>
  <c r="D26" i="38"/>
  <c r="L26" i="38" s="1"/>
  <c r="H26" i="38"/>
  <c r="P26" i="38" s="1"/>
  <c r="F26" i="38"/>
  <c r="N26" i="38" s="1"/>
  <c r="G26" i="38"/>
  <c r="O26" i="38" s="1"/>
  <c r="C27" i="38"/>
  <c r="E26" i="38"/>
  <c r="M26" i="38" s="1"/>
  <c r="D62" i="40" a="1"/>
  <c r="DT12" i="43" l="1"/>
  <c r="DU12" i="43" s="1"/>
  <c r="DK14" i="43"/>
  <c r="DR12" i="43"/>
  <c r="DS11" i="43"/>
  <c r="DM13" i="43"/>
  <c r="DN13" i="43" s="1"/>
  <c r="DH14" i="43"/>
  <c r="DG15" i="43"/>
  <c r="DO15" i="43" s="1"/>
  <c r="DP15" i="43" s="1"/>
  <c r="DQ14" i="43"/>
  <c r="DP13" i="43"/>
  <c r="DQ13" i="43" s="1"/>
  <c r="DJ215" i="43"/>
  <c r="DI314" i="43"/>
  <c r="DK612" i="43"/>
  <c r="DI612" i="43"/>
  <c r="DO612" i="43"/>
  <c r="DP611" i="43"/>
  <c r="G15" i="43"/>
  <c r="H15" i="43" s="1"/>
  <c r="I15" i="43" s="1" a="1"/>
  <c r="I15" i="43" s="1"/>
  <c r="F16" i="43"/>
  <c r="D62" i="40"/>
  <c r="H27" i="38"/>
  <c r="P27" i="38" s="1"/>
  <c r="E27" i="38"/>
  <c r="M27" i="38" s="1"/>
  <c r="D27" i="38"/>
  <c r="L27" i="38" s="1"/>
  <c r="G27" i="38"/>
  <c r="O27" i="38" s="1"/>
  <c r="C28" i="38"/>
  <c r="F27" i="38"/>
  <c r="N27" i="38" s="1"/>
  <c r="K29" i="38"/>
  <c r="D64" i="40" a="1"/>
  <c r="DM14" i="43" l="1"/>
  <c r="DN14" i="43" s="1"/>
  <c r="DT13" i="43"/>
  <c r="DU13" i="43" s="1"/>
  <c r="DR13" i="43"/>
  <c r="DS12" i="43"/>
  <c r="DK15" i="43"/>
  <c r="DH15" i="43"/>
  <c r="DG16" i="43"/>
  <c r="DQ15" i="43"/>
  <c r="DI216" i="43"/>
  <c r="DI613" i="43"/>
  <c r="DO613" i="43"/>
  <c r="DP612" i="43"/>
  <c r="DK613" i="43"/>
  <c r="G16" i="43"/>
  <c r="H16" i="43" s="1"/>
  <c r="I16" i="43" s="1" a="1"/>
  <c r="I16" i="43" s="1"/>
  <c r="F17" i="43"/>
  <c r="D64" i="40"/>
  <c r="F28" i="38"/>
  <c r="N28" i="38" s="1"/>
  <c r="D28" i="38"/>
  <c r="L28" i="38" s="1"/>
  <c r="H28" i="38"/>
  <c r="P28" i="38" s="1"/>
  <c r="G28" i="38"/>
  <c r="O28" i="38" s="1"/>
  <c r="E28" i="38"/>
  <c r="M28" i="38" s="1"/>
  <c r="C29" i="38"/>
  <c r="K30" i="38"/>
  <c r="DT14" i="43" l="1"/>
  <c r="DU14" i="43" s="1"/>
  <c r="DM15" i="43"/>
  <c r="DN15" i="43" s="1"/>
  <c r="DH16" i="43"/>
  <c r="DO16" i="43"/>
  <c r="DK16" i="43"/>
  <c r="DR14" i="43"/>
  <c r="DS13" i="43"/>
  <c r="DG17" i="43"/>
  <c r="DO17" i="43" s="1"/>
  <c r="DP17" i="43" s="1"/>
  <c r="DJ217" i="43"/>
  <c r="DI614" i="43"/>
  <c r="DO614" i="43"/>
  <c r="DK614" i="43"/>
  <c r="DP613" i="43"/>
  <c r="G17" i="43"/>
  <c r="H17" i="43" s="1"/>
  <c r="I17" i="43" s="1" a="1"/>
  <c r="I17" i="43" s="1"/>
  <c r="F18" i="43"/>
  <c r="H29" i="38"/>
  <c r="P29" i="38" s="1"/>
  <c r="F29" i="38"/>
  <c r="N29" i="38" s="1"/>
  <c r="E29" i="38"/>
  <c r="M29" i="38" s="1"/>
  <c r="D29" i="38"/>
  <c r="L29" i="38" s="1"/>
  <c r="C30" i="38"/>
  <c r="G29" i="38"/>
  <c r="O29" i="38" s="1"/>
  <c r="K31" i="38"/>
  <c r="DT15" i="43" l="1"/>
  <c r="DU15" i="43" s="1"/>
  <c r="DR15" i="43"/>
  <c r="DS14" i="43"/>
  <c r="DK17" i="43"/>
  <c r="DP16" i="43"/>
  <c r="DQ16" i="43" s="1"/>
  <c r="DM16" i="43"/>
  <c r="DH17" i="43"/>
  <c r="DG18" i="43"/>
  <c r="DO18" i="43" s="1"/>
  <c r="DP18" i="43" s="1"/>
  <c r="DQ17" i="43"/>
  <c r="DI218" i="43"/>
  <c r="DI615" i="43"/>
  <c r="DO615" i="43"/>
  <c r="DP614" i="43"/>
  <c r="DK615" i="43"/>
  <c r="F19" i="43"/>
  <c r="G18" i="43"/>
  <c r="H18" i="43" s="1"/>
  <c r="I18" i="43" s="1" a="1"/>
  <c r="I18" i="43" s="1"/>
  <c r="F30" i="38"/>
  <c r="N30" i="38" s="1"/>
  <c r="D30" i="38"/>
  <c r="L30" i="38" s="1"/>
  <c r="H30" i="38"/>
  <c r="P30" i="38" s="1"/>
  <c r="E30" i="38"/>
  <c r="M30" i="38" s="1"/>
  <c r="C31" i="38"/>
  <c r="G30" i="38"/>
  <c r="O30" i="38" s="1"/>
  <c r="K32" i="38"/>
  <c r="DT16" i="43" l="1"/>
  <c r="DU16" i="43" s="1"/>
  <c r="DM17" i="43"/>
  <c r="DN16" i="43"/>
  <c r="DK18" i="43"/>
  <c r="DR16" i="43"/>
  <c r="DS15" i="43"/>
  <c r="DH18" i="43"/>
  <c r="DG19" i="43"/>
  <c r="DO19" i="43" s="1"/>
  <c r="DP19" i="43" s="1"/>
  <c r="DQ18" i="43"/>
  <c r="DJ219" i="43"/>
  <c r="DP615" i="43"/>
  <c r="DI616" i="43"/>
  <c r="DO616" i="43"/>
  <c r="DK616" i="43"/>
  <c r="G19" i="43"/>
  <c r="H19" i="43" s="1"/>
  <c r="I19" i="43" s="1" a="1"/>
  <c r="I19" i="43" s="1"/>
  <c r="F20" i="43"/>
  <c r="H31" i="38"/>
  <c r="P31" i="38" s="1"/>
  <c r="F31" i="38"/>
  <c r="N31" i="38" s="1"/>
  <c r="E31" i="38"/>
  <c r="M31" i="38" s="1"/>
  <c r="D31" i="38"/>
  <c r="L31" i="38" s="1"/>
  <c r="C32" i="38"/>
  <c r="G31" i="38"/>
  <c r="O31" i="38" s="1"/>
  <c r="K33" i="38"/>
  <c r="DT17" i="43" l="1"/>
  <c r="DU17" i="43" s="1"/>
  <c r="DN17" i="43"/>
  <c r="DM18" i="43"/>
  <c r="DN18" i="43" s="1"/>
  <c r="DR17" i="43"/>
  <c r="DS16" i="43"/>
  <c r="DK19" i="43"/>
  <c r="DH19" i="43"/>
  <c r="DG20" i="43"/>
  <c r="DO20" i="43" s="1"/>
  <c r="DP20" i="43" s="1"/>
  <c r="DQ19" i="43"/>
  <c r="DI220" i="43"/>
  <c r="DI617" i="43"/>
  <c r="DO617" i="43"/>
  <c r="DK617" i="43"/>
  <c r="DP616" i="43"/>
  <c r="F21" i="43"/>
  <c r="G20" i="43"/>
  <c r="H20" i="43" s="1"/>
  <c r="I20" i="43" s="1" a="1"/>
  <c r="I20" i="43" s="1"/>
  <c r="F32" i="38"/>
  <c r="N32" i="38" s="1"/>
  <c r="D32" i="38"/>
  <c r="L32" i="38" s="1"/>
  <c r="H32" i="38"/>
  <c r="P32" i="38" s="1"/>
  <c r="E32" i="38"/>
  <c r="M32" i="38" s="1"/>
  <c r="C33" i="38"/>
  <c r="G32" i="38"/>
  <c r="O32" i="38" s="1"/>
  <c r="K34" i="38"/>
  <c r="DT18" i="43" l="1"/>
  <c r="DU18" i="43" s="1"/>
  <c r="DM19" i="43"/>
  <c r="DN19" i="43" s="1"/>
  <c r="DK20" i="43"/>
  <c r="DR18" i="43"/>
  <c r="DS17" i="43"/>
  <c r="DH20" i="43"/>
  <c r="DG21" i="43"/>
  <c r="DO21" i="43" s="1"/>
  <c r="DP21" i="43" s="1"/>
  <c r="DQ20" i="43"/>
  <c r="DI320" i="43"/>
  <c r="DI618" i="43"/>
  <c r="DO618" i="43"/>
  <c r="DK618" i="43"/>
  <c r="DP617" i="43"/>
  <c r="G21" i="43"/>
  <c r="H21" i="43" s="1"/>
  <c r="I21" i="43" s="1" a="1"/>
  <c r="I21" i="43" s="1"/>
  <c r="F22" i="43"/>
  <c r="H33" i="38"/>
  <c r="P33" i="38" s="1"/>
  <c r="F33" i="38"/>
  <c r="N33" i="38" s="1"/>
  <c r="E33" i="38"/>
  <c r="M33" i="38" s="1"/>
  <c r="D33" i="38"/>
  <c r="L33" i="38" s="1"/>
  <c r="G33" i="38"/>
  <c r="O33" i="38" s="1"/>
  <c r="C34" i="38"/>
  <c r="K35" i="38"/>
  <c r="DT19" i="43" l="1"/>
  <c r="DU19" i="43" s="1"/>
  <c r="DM20" i="43"/>
  <c r="DN20" i="43" s="1"/>
  <c r="DS18" i="43"/>
  <c r="DR19" i="43"/>
  <c r="DK21" i="43"/>
  <c r="DH21" i="43"/>
  <c r="DG22" i="43"/>
  <c r="DQ21" i="43"/>
  <c r="DJ222" i="43"/>
  <c r="DI619" i="43"/>
  <c r="DO619" i="43"/>
  <c r="DP618" i="43"/>
  <c r="DK619" i="43"/>
  <c r="F23" i="43"/>
  <c r="G22" i="43"/>
  <c r="H22" i="43" s="1"/>
  <c r="I22" i="43" s="1" a="1"/>
  <c r="I22" i="43" s="1"/>
  <c r="F34" i="38"/>
  <c r="N34" i="38" s="1"/>
  <c r="D34" i="38"/>
  <c r="L34" i="38" s="1"/>
  <c r="H34" i="38"/>
  <c r="P34" i="38" s="1"/>
  <c r="G34" i="38"/>
  <c r="O34" i="38" s="1"/>
  <c r="C35" i="38"/>
  <c r="E34" i="38"/>
  <c r="M34" i="38" s="1"/>
  <c r="K36" i="38"/>
  <c r="DT20" i="43" l="1"/>
  <c r="DU20" i="43" s="1"/>
  <c r="DM21" i="43"/>
  <c r="DN21" i="43" s="1"/>
  <c r="DO22" i="43"/>
  <c r="DH22" i="43"/>
  <c r="DS19" i="43"/>
  <c r="DR20" i="43"/>
  <c r="DK22" i="43"/>
  <c r="DG23" i="43"/>
  <c r="DO23" i="43" s="1"/>
  <c r="DP23" i="43" s="1"/>
  <c r="DI223" i="43"/>
  <c r="DI322" i="43"/>
  <c r="DK620" i="43"/>
  <c r="DI620" i="43"/>
  <c r="DO620" i="43"/>
  <c r="DP619" i="43"/>
  <c r="F24" i="43"/>
  <c r="G23" i="43"/>
  <c r="H23" i="43" s="1"/>
  <c r="I23" i="43" s="1" a="1"/>
  <c r="I23" i="43" s="1"/>
  <c r="K37" i="38"/>
  <c r="H35" i="38"/>
  <c r="P35" i="38" s="1"/>
  <c r="F35" i="38"/>
  <c r="N35" i="38" s="1"/>
  <c r="E35" i="38"/>
  <c r="M35" i="38" s="1"/>
  <c r="D35" i="38"/>
  <c r="L35" i="38" s="1"/>
  <c r="G35" i="38"/>
  <c r="O35" i="38" s="1"/>
  <c r="C36" i="38"/>
  <c r="DT21" i="43" l="1"/>
  <c r="DU21" i="43" s="1"/>
  <c r="DK23" i="43"/>
  <c r="DR21" i="43"/>
  <c r="DS20" i="43"/>
  <c r="DP22" i="43"/>
  <c r="DQ22" i="43" s="1"/>
  <c r="DM22" i="43"/>
  <c r="DH23" i="43"/>
  <c r="DG24" i="43"/>
  <c r="DO24" i="43" s="1"/>
  <c r="DP24" i="43" s="1"/>
  <c r="DQ23" i="43"/>
  <c r="DJ224" i="43"/>
  <c r="DI323" i="43"/>
  <c r="DI621" i="43"/>
  <c r="DO621" i="43"/>
  <c r="DP620" i="43"/>
  <c r="DK621" i="43"/>
  <c r="F25" i="43"/>
  <c r="G24" i="43"/>
  <c r="H24" i="43" s="1"/>
  <c r="I24" i="43" s="1" a="1"/>
  <c r="I24" i="43" s="1"/>
  <c r="F36" i="38"/>
  <c r="N36" i="38" s="1"/>
  <c r="D36" i="38"/>
  <c r="L36" i="38" s="1"/>
  <c r="H36" i="38"/>
  <c r="P36" i="38" s="1"/>
  <c r="C37" i="38"/>
  <c r="G36" i="38"/>
  <c r="O36" i="38" s="1"/>
  <c r="E36" i="38"/>
  <c r="M36" i="38" s="1"/>
  <c r="K38" i="38"/>
  <c r="DT22" i="43" l="1"/>
  <c r="DU22" i="43" s="1"/>
  <c r="DN22" i="43"/>
  <c r="DM23" i="43"/>
  <c r="DN23" i="43" s="1"/>
  <c r="DS21" i="43"/>
  <c r="DR22" i="43"/>
  <c r="DK24" i="43"/>
  <c r="DH24" i="43"/>
  <c r="DG25" i="43"/>
  <c r="DQ24" i="43"/>
  <c r="DI324" i="43"/>
  <c r="DI622" i="43"/>
  <c r="DO622" i="43"/>
  <c r="DK622" i="43"/>
  <c r="DP621" i="43"/>
  <c r="F26" i="43"/>
  <c r="G25" i="43"/>
  <c r="H25" i="43" s="1"/>
  <c r="I25" i="43" s="1" a="1"/>
  <c r="I25" i="43" s="1"/>
  <c r="H37" i="38"/>
  <c r="P37" i="38" s="1"/>
  <c r="F37" i="38"/>
  <c r="N37" i="38" s="1"/>
  <c r="E37" i="38"/>
  <c r="M37" i="38" s="1"/>
  <c r="D37" i="38"/>
  <c r="L37" i="38" s="1"/>
  <c r="C38" i="38"/>
  <c r="G37" i="38"/>
  <c r="O37" i="38" s="1"/>
  <c r="K39" i="38"/>
  <c r="DT23" i="43" l="1"/>
  <c r="DU23" i="43" s="1"/>
  <c r="DM24" i="43"/>
  <c r="DN24" i="43" s="1"/>
  <c r="DH25" i="43"/>
  <c r="DO25" i="43"/>
  <c r="DK25" i="43"/>
  <c r="DR23" i="43"/>
  <c r="DS22" i="43"/>
  <c r="DG26" i="43"/>
  <c r="DH26" i="43" s="1"/>
  <c r="DI623" i="43"/>
  <c r="DO623" i="43"/>
  <c r="DK623" i="43"/>
  <c r="DP622" i="43"/>
  <c r="G26" i="43"/>
  <c r="H26" i="43" s="1"/>
  <c r="I26" i="43" s="1" a="1"/>
  <c r="I26" i="43" s="1"/>
  <c r="F27" i="43"/>
  <c r="G27" i="43" s="1"/>
  <c r="H27" i="43" s="1"/>
  <c r="I27" i="43" s="1" a="1"/>
  <c r="I27" i="43" s="1"/>
  <c r="F38" i="38"/>
  <c r="N38" i="38" s="1"/>
  <c r="D38" i="38"/>
  <c r="L38" i="38" s="1"/>
  <c r="H38" i="38"/>
  <c r="P38" i="38" s="1"/>
  <c r="C39" i="38"/>
  <c r="G38" i="38"/>
  <c r="O38" i="38" s="1"/>
  <c r="E38" i="38"/>
  <c r="M38" i="38" s="1"/>
  <c r="K40" i="38"/>
  <c r="D17" i="40" a="1"/>
  <c r="D8" i="40" a="1"/>
  <c r="DT24" i="43" l="1"/>
  <c r="DU24" i="43" s="1"/>
  <c r="DK26" i="43"/>
  <c r="DS23" i="43"/>
  <c r="DR24" i="43"/>
  <c r="DP25" i="43"/>
  <c r="DQ25" i="43" s="1"/>
  <c r="DM25" i="43"/>
  <c r="DN25" i="43" s="1"/>
  <c r="DO26" i="43"/>
  <c r="DG27" i="43"/>
  <c r="DO27" i="43" s="1"/>
  <c r="DP27" i="43" s="1"/>
  <c r="DI227" i="43"/>
  <c r="DI624" i="43"/>
  <c r="DO624" i="43"/>
  <c r="DK624" i="43"/>
  <c r="DP623" i="43"/>
  <c r="I1" i="43"/>
  <c r="CK1" i="43" s="1"/>
  <c r="J1" i="43" s="1"/>
  <c r="G36" i="43" s="1"/>
  <c r="D17" i="40"/>
  <c r="D8" i="40"/>
  <c r="H39" i="38"/>
  <c r="P39" i="38" s="1"/>
  <c r="F39" i="38"/>
  <c r="N39" i="38" s="1"/>
  <c r="E39" i="38"/>
  <c r="M39" i="38" s="1"/>
  <c r="D39" i="38"/>
  <c r="L39" i="38" s="1"/>
  <c r="G39" i="38"/>
  <c r="O39" i="38" s="1"/>
  <c r="C40" i="38"/>
  <c r="K41" i="38"/>
  <c r="DT25" i="43" l="1"/>
  <c r="DU25" i="43" s="1"/>
  <c r="DM26" i="43"/>
  <c r="DN26" i="43" s="1"/>
  <c r="DS24" i="43"/>
  <c r="DR25" i="43"/>
  <c r="DK27" i="43"/>
  <c r="DH27" i="43"/>
  <c r="DG28" i="43"/>
  <c r="DH28" i="43" s="1"/>
  <c r="DQ27" i="43"/>
  <c r="DP26" i="43"/>
  <c r="DQ26" i="43" s="1"/>
  <c r="DI228" i="43"/>
  <c r="DI327" i="43"/>
  <c r="K1" i="43"/>
  <c r="DI625" i="43"/>
  <c r="DO625" i="43"/>
  <c r="K2" i="43"/>
  <c r="L2" i="43" s="1"/>
  <c r="M2" i="43" s="1"/>
  <c r="N2" i="43" s="1"/>
  <c r="O2" i="43" s="1"/>
  <c r="DK625" i="43"/>
  <c r="DP624" i="43"/>
  <c r="K42" i="38"/>
  <c r="F40" i="38"/>
  <c r="N40" i="38" s="1"/>
  <c r="D40" i="38"/>
  <c r="L40" i="38" s="1"/>
  <c r="H40" i="38"/>
  <c r="P40" i="38" s="1"/>
  <c r="C41" i="38"/>
  <c r="G40" i="38"/>
  <c r="O40" i="38" s="1"/>
  <c r="E40" i="38"/>
  <c r="M40" i="38" s="1"/>
  <c r="D43" i="40" a="1"/>
  <c r="C91" i="40" a="1"/>
  <c r="DT26" i="43" l="1"/>
  <c r="DU26" i="43" s="1"/>
  <c r="DM27" i="43"/>
  <c r="DN27" i="43" s="1"/>
  <c r="DS25" i="43"/>
  <c r="DR26" i="43"/>
  <c r="DK28" i="43"/>
  <c r="DO28" i="43"/>
  <c r="DG29" i="43"/>
  <c r="DH29" i="43" s="1"/>
  <c r="DI328" i="43"/>
  <c r="C91" i="40"/>
  <c r="K3" i="43"/>
  <c r="L3" i="43" s="1"/>
  <c r="M3" i="43" s="1"/>
  <c r="N3" i="43" s="1"/>
  <c r="O3" i="43" s="1"/>
  <c r="DI626" i="43"/>
  <c r="DO626" i="43"/>
  <c r="DP625" i="43"/>
  <c r="DK626" i="43"/>
  <c r="D43" i="40"/>
  <c r="P42" i="38"/>
  <c r="N42" i="38"/>
  <c r="L42" i="38"/>
  <c r="O42" i="38"/>
  <c r="M42" i="38"/>
  <c r="K43" i="38"/>
  <c r="H41" i="38"/>
  <c r="P41" i="38" s="1"/>
  <c r="F41" i="38"/>
  <c r="N41" i="38" s="1"/>
  <c r="E41" i="38"/>
  <c r="M41" i="38" s="1"/>
  <c r="D41" i="38"/>
  <c r="L41" i="38" s="1"/>
  <c r="C42" i="38"/>
  <c r="G41" i="38"/>
  <c r="O41" i="38" s="1"/>
  <c r="DT27" i="43" l="1"/>
  <c r="DU27" i="43" s="1"/>
  <c r="DM28" i="43"/>
  <c r="DN28" i="43" s="1"/>
  <c r="DK29" i="43"/>
  <c r="DR27" i="43"/>
  <c r="DS26" i="43"/>
  <c r="DO29" i="43"/>
  <c r="DG30" i="43"/>
  <c r="DP28" i="43"/>
  <c r="DQ28" i="43" s="1"/>
  <c r="DT28" i="43" s="1"/>
  <c r="DU28" i="43" s="1"/>
  <c r="DI230" i="43"/>
  <c r="K4" i="43"/>
  <c r="K5" i="43" s="1"/>
  <c r="DK627" i="43"/>
  <c r="DP626" i="43"/>
  <c r="DI627" i="43"/>
  <c r="DO627" i="43"/>
  <c r="L43" i="38"/>
  <c r="P43" i="38"/>
  <c r="K44" i="38"/>
  <c r="O43" i="38"/>
  <c r="N43" i="38"/>
  <c r="M43" i="38"/>
  <c r="F42" i="38"/>
  <c r="D42" i="38"/>
  <c r="H42" i="38"/>
  <c r="C43" i="38"/>
  <c r="G42" i="38"/>
  <c r="E42" i="38"/>
  <c r="DO30" i="43" l="1"/>
  <c r="DH30" i="43"/>
  <c r="DP29" i="43"/>
  <c r="DQ29" i="43" s="1"/>
  <c r="DT29" i="43" s="1"/>
  <c r="DU29" i="43" s="1"/>
  <c r="DM29" i="43"/>
  <c r="DN29" i="43" s="1"/>
  <c r="DS27" i="43"/>
  <c r="DR28" i="43"/>
  <c r="DK30" i="43"/>
  <c r="DG31" i="43"/>
  <c r="DH31" i="43" s="1"/>
  <c r="L4" i="43"/>
  <c r="M4" i="43" s="1"/>
  <c r="N4" i="43" s="1"/>
  <c r="O4" i="43" s="1"/>
  <c r="DI628" i="43"/>
  <c r="DO628" i="43"/>
  <c r="DP627" i="43"/>
  <c r="DK628" i="43"/>
  <c r="L5" i="43"/>
  <c r="M5" i="43" s="1"/>
  <c r="N5" i="43" s="1"/>
  <c r="O5" i="43" s="1"/>
  <c r="K6" i="43"/>
  <c r="P44" i="38"/>
  <c r="N44" i="38"/>
  <c r="M44" i="38"/>
  <c r="L44" i="38"/>
  <c r="O44" i="38"/>
  <c r="K45" i="38"/>
  <c r="H43" i="38"/>
  <c r="F43" i="38"/>
  <c r="E43" i="38"/>
  <c r="D43" i="38"/>
  <c r="G43" i="38"/>
  <c r="C44" i="38"/>
  <c r="DR29" i="43" l="1"/>
  <c r="DS28" i="43"/>
  <c r="DK31" i="43"/>
  <c r="DP30" i="43"/>
  <c r="DQ30" i="43" s="1"/>
  <c r="DT30" i="43" s="1"/>
  <c r="DU30" i="43" s="1"/>
  <c r="DM30" i="43"/>
  <c r="DN30" i="43" s="1"/>
  <c r="DO31" i="43"/>
  <c r="DG32" i="43"/>
  <c r="DO32" i="43" s="1"/>
  <c r="DP32" i="43" s="1"/>
  <c r="DJ232" i="43"/>
  <c r="DI331" i="43"/>
  <c r="DI629" i="43"/>
  <c r="DO629" i="43"/>
  <c r="DP628" i="43"/>
  <c r="DK629" i="43"/>
  <c r="K7" i="43"/>
  <c r="L6" i="43"/>
  <c r="M6" i="43" s="1"/>
  <c r="N6" i="43" s="1"/>
  <c r="O6" i="43" s="1"/>
  <c r="L45" i="38"/>
  <c r="P45" i="38"/>
  <c r="K46" i="38"/>
  <c r="O45" i="38"/>
  <c r="N45" i="38"/>
  <c r="M45" i="38"/>
  <c r="F44" i="38"/>
  <c r="D44" i="38"/>
  <c r="H44" i="38"/>
  <c r="C45" i="38"/>
  <c r="G44" i="38"/>
  <c r="E44" i="38"/>
  <c r="DM31" i="43" l="1"/>
  <c r="DN31" i="43" s="1"/>
  <c r="DK32" i="43"/>
  <c r="DR30" i="43"/>
  <c r="DS29" i="43"/>
  <c r="DH32" i="43"/>
  <c r="DG33" i="43"/>
  <c r="DH33" i="43" s="1"/>
  <c r="DQ32" i="43"/>
  <c r="DP31" i="43"/>
  <c r="DQ31" i="43" s="1"/>
  <c r="DT31" i="43" s="1"/>
  <c r="DU31" i="43" s="1"/>
  <c r="DI332" i="43"/>
  <c r="DI630" i="43"/>
  <c r="DO630" i="43"/>
  <c r="DK630" i="43"/>
  <c r="DP629" i="43"/>
  <c r="K8" i="43"/>
  <c r="L7" i="43"/>
  <c r="M7" i="43" s="1"/>
  <c r="N7" i="43" s="1"/>
  <c r="O7" i="43" s="1"/>
  <c r="P46" i="38"/>
  <c r="N46" i="38"/>
  <c r="M46" i="38"/>
  <c r="L46" i="38"/>
  <c r="K47" i="38"/>
  <c r="O46" i="38"/>
  <c r="H45" i="38"/>
  <c r="C46" i="38"/>
  <c r="G45" i="38"/>
  <c r="F45" i="38"/>
  <c r="E45" i="38"/>
  <c r="D45" i="38"/>
  <c r="DM32" i="43" l="1"/>
  <c r="DN32" i="43" s="1"/>
  <c r="DT32" i="43"/>
  <c r="DU32" i="43" s="1"/>
  <c r="DS30" i="43"/>
  <c r="DR31" i="43"/>
  <c r="DK33" i="43"/>
  <c r="DO33" i="43"/>
  <c r="DG34" i="43"/>
  <c r="DH34" i="43" s="1"/>
  <c r="DJ234" i="43"/>
  <c r="DI631" i="43"/>
  <c r="DO631" i="43"/>
  <c r="DK631" i="43"/>
  <c r="DP630" i="43"/>
  <c r="K9" i="43"/>
  <c r="L8" i="43"/>
  <c r="M8" i="43" s="1"/>
  <c r="N8" i="43" s="1"/>
  <c r="O8" i="43" s="1"/>
  <c r="F46" i="38"/>
  <c r="D46" i="38"/>
  <c r="H46" i="38"/>
  <c r="C47" i="38"/>
  <c r="G46" i="38"/>
  <c r="E46" i="38"/>
  <c r="L47" i="38"/>
  <c r="P47" i="38"/>
  <c r="K48" i="38"/>
  <c r="O47" i="38"/>
  <c r="N47" i="38"/>
  <c r="M47" i="38"/>
  <c r="DM33" i="43" l="1"/>
  <c r="DN33" i="43" s="1"/>
  <c r="DS31" i="43"/>
  <c r="DR32" i="43"/>
  <c r="DK34" i="43"/>
  <c r="DO34" i="43"/>
  <c r="DG35" i="43"/>
  <c r="DO35" i="43" s="1"/>
  <c r="DP35" i="43" s="1"/>
  <c r="DP33" i="43"/>
  <c r="DQ33" i="43" s="1"/>
  <c r="DT33" i="43" s="1"/>
  <c r="DU33" i="43" s="1"/>
  <c r="DJ235" i="43"/>
  <c r="DI334" i="43"/>
  <c r="DK632" i="43"/>
  <c r="DP631" i="43"/>
  <c r="DI632" i="43"/>
  <c r="DO632" i="43"/>
  <c r="K10" i="43"/>
  <c r="L9" i="43"/>
  <c r="M9" i="43" s="1"/>
  <c r="N9" i="43" s="1"/>
  <c r="O9" i="43" s="1"/>
  <c r="H47" i="38"/>
  <c r="C48" i="38"/>
  <c r="G47" i="38"/>
  <c r="F47" i="38"/>
  <c r="E47" i="38"/>
  <c r="D47" i="38"/>
  <c r="P48" i="38"/>
  <c r="K49" i="38"/>
  <c r="O48" i="38"/>
  <c r="N48" i="38"/>
  <c r="M48" i="38"/>
  <c r="L48" i="38"/>
  <c r="DK35" i="43" l="1"/>
  <c r="DP34" i="43"/>
  <c r="DQ34" i="43" s="1"/>
  <c r="DT34" i="43" s="1"/>
  <c r="DU34" i="43" s="1"/>
  <c r="DM34" i="43"/>
  <c r="DN34" i="43" s="1"/>
  <c r="DR33" i="43"/>
  <c r="DS32" i="43"/>
  <c r="DH35" i="43"/>
  <c r="DG36" i="43"/>
  <c r="DH36" i="43" s="1"/>
  <c r="DQ35" i="43"/>
  <c r="DI236" i="43"/>
  <c r="DI335" i="43"/>
  <c r="DP632" i="43"/>
  <c r="DI633" i="43"/>
  <c r="DO633" i="43"/>
  <c r="DK633" i="43"/>
  <c r="K11" i="43"/>
  <c r="L10" i="43"/>
  <c r="M10" i="43" s="1"/>
  <c r="N10" i="43" s="1"/>
  <c r="O10" i="43" s="1"/>
  <c r="L49" i="38"/>
  <c r="P49" i="38"/>
  <c r="K50" i="38"/>
  <c r="O49" i="38"/>
  <c r="N49" i="38"/>
  <c r="M49" i="38"/>
  <c r="F48" i="38"/>
  <c r="D48" i="38"/>
  <c r="H48" i="38"/>
  <c r="C49" i="38"/>
  <c r="G48" i="38"/>
  <c r="E48" i="38"/>
  <c r="DM35" i="43" l="1"/>
  <c r="DN35" i="43" s="1"/>
  <c r="DS33" i="43"/>
  <c r="DR34" i="43"/>
  <c r="DT35" i="43"/>
  <c r="DU35" i="43" s="1"/>
  <c r="DK36" i="43"/>
  <c r="DO36" i="43"/>
  <c r="DM36" i="43" s="1"/>
  <c r="DN36" i="43" s="1"/>
  <c r="DG37" i="43"/>
  <c r="DI336" i="43"/>
  <c r="DI634" i="43"/>
  <c r="DO634" i="43"/>
  <c r="DK634" i="43"/>
  <c r="DP633" i="43"/>
  <c r="L11" i="43"/>
  <c r="M11" i="43" s="1"/>
  <c r="N11" i="43" s="1"/>
  <c r="O11" i="43" s="1"/>
  <c r="K12" i="43"/>
  <c r="P50" i="38"/>
  <c r="K51" i="38"/>
  <c r="O50" i="38"/>
  <c r="N50" i="38"/>
  <c r="M50" i="38"/>
  <c r="L50" i="38"/>
  <c r="H49" i="38"/>
  <c r="C50" i="38"/>
  <c r="G49" i="38"/>
  <c r="F49" i="38"/>
  <c r="E49" i="38"/>
  <c r="D49" i="38"/>
  <c r="DH37" i="43" l="1"/>
  <c r="DO37" i="43"/>
  <c r="DK37" i="43"/>
  <c r="DR35" i="43"/>
  <c r="DS34" i="43"/>
  <c r="DG38" i="43"/>
  <c r="DO38" i="43" s="1"/>
  <c r="DP38" i="43" s="1"/>
  <c r="DP36" i="43"/>
  <c r="DQ36" i="43" s="1"/>
  <c r="DT36" i="43" s="1"/>
  <c r="DU36" i="43" s="1"/>
  <c r="DI238" i="43"/>
  <c r="DI337" i="43"/>
  <c r="DI635" i="43"/>
  <c r="DO635" i="43"/>
  <c r="DP634" i="43"/>
  <c r="DK635" i="43"/>
  <c r="K13" i="43"/>
  <c r="L12" i="43"/>
  <c r="M12" i="43" s="1"/>
  <c r="N12" i="43" s="1"/>
  <c r="O12" i="43" s="1"/>
  <c r="F50" i="38"/>
  <c r="E50" i="38"/>
  <c r="D50" i="38"/>
  <c r="H50" i="38"/>
  <c r="C51" i="38"/>
  <c r="G50" i="38"/>
  <c r="L51" i="38"/>
  <c r="P51" i="38"/>
  <c r="K52" i="38"/>
  <c r="O51" i="38"/>
  <c r="N51" i="38"/>
  <c r="M51" i="38"/>
  <c r="DK38" i="43" l="1"/>
  <c r="DS35" i="43"/>
  <c r="DR36" i="43"/>
  <c r="DP37" i="43"/>
  <c r="DQ37" i="43" s="1"/>
  <c r="DT37" i="43" s="1"/>
  <c r="DU37" i="43" s="1"/>
  <c r="DM37" i="43"/>
  <c r="DN37" i="43" s="1"/>
  <c r="DH38" i="43"/>
  <c r="DG39" i="43"/>
  <c r="DH39" i="43" s="1"/>
  <c r="DQ38" i="43"/>
  <c r="DI239" i="43"/>
  <c r="DI636" i="43"/>
  <c r="DO636" i="43"/>
  <c r="DK636" i="43"/>
  <c r="DP635" i="43"/>
  <c r="K14" i="43"/>
  <c r="L13" i="43"/>
  <c r="M13" i="43" s="1"/>
  <c r="N13" i="43" s="1"/>
  <c r="O13" i="43" s="1"/>
  <c r="H51" i="38"/>
  <c r="C52" i="38"/>
  <c r="G51" i="38"/>
  <c r="F51" i="38"/>
  <c r="E51" i="38"/>
  <c r="D51" i="38"/>
  <c r="P52" i="38"/>
  <c r="O52" i="38"/>
  <c r="N52" i="38"/>
  <c r="M52" i="38"/>
  <c r="L52" i="38"/>
  <c r="DM38" i="43" l="1"/>
  <c r="DN38" i="43" s="1"/>
  <c r="DS36" i="43"/>
  <c r="DR37" i="43"/>
  <c r="DT38" i="43"/>
  <c r="DU38" i="43" s="1"/>
  <c r="DK39" i="43"/>
  <c r="DO39" i="43"/>
  <c r="DM39" i="43" s="1"/>
  <c r="DN39" i="43" s="1"/>
  <c r="DG40" i="43"/>
  <c r="DJ240" i="43"/>
  <c r="DI339" i="43"/>
  <c r="DK637" i="43"/>
  <c r="DP636" i="43"/>
  <c r="DI637" i="43"/>
  <c r="DO637" i="43"/>
  <c r="K15" i="43"/>
  <c r="L14" i="43"/>
  <c r="M14" i="43" s="1"/>
  <c r="N14" i="43" s="1"/>
  <c r="O14" i="43" s="1"/>
  <c r="F52" i="38"/>
  <c r="E52" i="38"/>
  <c r="D52" i="38"/>
  <c r="H52" i="38"/>
  <c r="G52" i="38"/>
  <c r="AW23" i="17"/>
  <c r="AI9" i="33"/>
  <c r="AK21" i="16"/>
  <c r="AM9" i="33" a="1"/>
  <c r="AM9" i="33" s="1"/>
  <c r="AL9" i="33" a="1"/>
  <c r="AL9" i="33" s="1"/>
  <c r="AK9" i="33" a="1"/>
  <c r="AK9" i="33" s="1"/>
  <c r="G46" i="33" s="1"/>
  <c r="AL23" i="17" a="1"/>
  <c r="AL23" i="17" s="1"/>
  <c r="AJ23" i="17" a="1"/>
  <c r="AJ23" i="17" s="1"/>
  <c r="BG23" i="17" a="1"/>
  <c r="BG23" i="17" s="1"/>
  <c r="G78" i="17" s="1"/>
  <c r="AY23" i="17" a="1"/>
  <c r="AY23" i="17" s="1"/>
  <c r="G84" i="17" s="1"/>
  <c r="AM30" i="16" a="1"/>
  <c r="AM30" i="16" s="1"/>
  <c r="AL30" i="16" a="1"/>
  <c r="AL30" i="16" s="1"/>
  <c r="AM21" i="16" a="1"/>
  <c r="AM21" i="16" s="1"/>
  <c r="G45" i="16" s="1"/>
  <c r="CI15" i="17"/>
  <c r="BX15" i="17"/>
  <c r="BX19" i="17"/>
  <c r="CA16" i="17"/>
  <c r="CK17" i="17"/>
  <c r="AW123" i="19"/>
  <c r="AX121" i="19" a="1"/>
  <c r="AX121" i="19" s="1"/>
  <c r="AX123" i="19" s="1"/>
  <c r="AW138" i="19"/>
  <c r="AU149" i="19" a="1"/>
  <c r="AU149" i="19" s="1"/>
  <c r="AT121" i="19" a="1"/>
  <c r="AT121" i="19" s="1"/>
  <c r="AU121" i="19" a="1"/>
  <c r="AU121" i="19" s="1"/>
  <c r="AW156" i="19"/>
  <c r="AW169" i="19"/>
  <c r="AX11" i="19"/>
  <c r="AY9" i="19"/>
  <c r="AX9" i="19" s="1"/>
  <c r="AN14" i="19"/>
  <c r="CS60" i="19"/>
  <c r="CS56" i="19"/>
  <c r="CS57" i="19"/>
  <c r="CS58" i="19"/>
  <c r="CS59" i="19"/>
  <c r="CS53" i="19"/>
  <c r="CS54" i="19"/>
  <c r="CS55" i="19"/>
  <c r="CS50" i="19"/>
  <c r="CS51" i="19"/>
  <c r="CS52" i="19"/>
  <c r="CS35" i="19"/>
  <c r="CS36" i="19"/>
  <c r="CS37" i="19"/>
  <c r="CS38" i="19"/>
  <c r="CS39" i="19"/>
  <c r="CS40" i="19"/>
  <c r="CS41" i="19"/>
  <c r="CS42" i="19"/>
  <c r="CS43" i="19"/>
  <c r="CS44" i="19"/>
  <c r="CS45" i="19"/>
  <c r="CS46" i="19"/>
  <c r="CS47" i="19"/>
  <c r="CS48" i="19"/>
  <c r="CS49" i="19"/>
  <c r="CS34" i="19"/>
  <c r="CS28" i="19"/>
  <c r="CS29" i="19"/>
  <c r="CS30" i="19"/>
  <c r="CS31" i="19"/>
  <c r="CS32" i="19"/>
  <c r="CS33" i="19"/>
  <c r="CS7" i="19"/>
  <c r="CS8" i="19"/>
  <c r="CS9" i="19"/>
  <c r="CS10" i="19"/>
  <c r="CS11" i="19"/>
  <c r="CS12" i="19"/>
  <c r="CS13" i="19"/>
  <c r="CS14" i="19"/>
  <c r="CS15" i="19"/>
  <c r="CS16" i="19"/>
  <c r="CS17" i="19"/>
  <c r="CS18" i="19"/>
  <c r="CS19" i="19"/>
  <c r="CS20" i="19"/>
  <c r="CS21" i="19"/>
  <c r="CS22" i="19"/>
  <c r="CS23" i="19"/>
  <c r="CS24" i="19"/>
  <c r="CS25" i="19"/>
  <c r="CS26" i="19"/>
  <c r="CS27" i="19"/>
  <c r="CS6" i="19"/>
  <c r="BK15" i="19" a="1"/>
  <c r="BK15" i="19" s="1"/>
  <c r="BI15" i="19"/>
  <c r="BC15" i="19"/>
  <c r="BE15" i="19" a="1"/>
  <c r="BE15" i="19" s="1"/>
  <c r="AF78" i="19" s="1"/>
  <c r="C36" i="40" a="1"/>
  <c r="C61" i="40" a="1"/>
  <c r="C55" i="40" a="1"/>
  <c r="G42" i="19" l="1"/>
  <c r="DK40" i="43"/>
  <c r="DH40" i="43"/>
  <c r="DO40" i="43"/>
  <c r="DS37" i="43"/>
  <c r="DR38" i="43"/>
  <c r="C61" i="40"/>
  <c r="C55" i="40"/>
  <c r="C36" i="40"/>
  <c r="DG41" i="43"/>
  <c r="DH41" i="43" s="1"/>
  <c r="DP39" i="43"/>
  <c r="DQ39" i="43" s="1"/>
  <c r="DT39" i="43" s="1"/>
  <c r="DU39" i="43" s="1"/>
  <c r="DJ241" i="43"/>
  <c r="DI340" i="43"/>
  <c r="DI638" i="43"/>
  <c r="DO638" i="43"/>
  <c r="DP637" i="43"/>
  <c r="DK638" i="43"/>
  <c r="K16" i="43"/>
  <c r="L15" i="43"/>
  <c r="M15" i="43" s="1"/>
  <c r="N15" i="43" s="1"/>
  <c r="O15" i="43" s="1"/>
  <c r="AK4" i="19"/>
  <c r="AK5" i="19" s="1"/>
  <c r="AK6" i="19" s="1"/>
  <c r="AL4" i="19"/>
  <c r="AL5" i="19" s="1"/>
  <c r="AY9" i="33"/>
  <c r="AU9" i="33"/>
  <c r="AL23" i="33"/>
  <c r="AL22" i="33"/>
  <c r="AL21" i="33"/>
  <c r="AL20" i="33"/>
  <c r="AL19" i="33"/>
  <c r="AS14" i="19"/>
  <c r="BA12" i="19"/>
  <c r="AP13" i="19" s="1"/>
  <c r="AL6" i="19" l="1"/>
  <c r="AG8" i="19" s="1"/>
  <c r="AG9" i="19"/>
  <c r="DP40" i="43"/>
  <c r="DQ40" i="43" s="1"/>
  <c r="DT40" i="43" s="1"/>
  <c r="DU40" i="43" s="1"/>
  <c r="DM40" i="43"/>
  <c r="DN40" i="43" s="1"/>
  <c r="DR39" i="43"/>
  <c r="DS38" i="43"/>
  <c r="DK41" i="43"/>
  <c r="DO41" i="43"/>
  <c r="DM41" i="43" s="1"/>
  <c r="DN41" i="43" s="1"/>
  <c r="DG42" i="43"/>
  <c r="DI341" i="43"/>
  <c r="DK639" i="43"/>
  <c r="DI639" i="43"/>
  <c r="DO639" i="43"/>
  <c r="DP638" i="43"/>
  <c r="K17" i="43"/>
  <c r="L16" i="43"/>
  <c r="M16" i="43" s="1"/>
  <c r="N16" i="43" s="1"/>
  <c r="O16" i="43" s="1"/>
  <c r="D10" i="36" a="1"/>
  <c r="D10" i="36" s="1"/>
  <c r="B10" i="36"/>
  <c r="D964" i="36"/>
  <c r="D965" i="36"/>
  <c r="D966" i="36"/>
  <c r="D967" i="36"/>
  <c r="D968" i="36"/>
  <c r="D969" i="36"/>
  <c r="D970" i="36"/>
  <c r="D971" i="36"/>
  <c r="D972" i="36"/>
  <c r="D973" i="36"/>
  <c r="D974" i="36"/>
  <c r="D975" i="36"/>
  <c r="D976" i="36"/>
  <c r="D977" i="36"/>
  <c r="D978" i="36"/>
  <c r="D979" i="36"/>
  <c r="D980" i="36"/>
  <c r="D981" i="36"/>
  <c r="D982" i="36"/>
  <c r="D983" i="36"/>
  <c r="D984" i="36"/>
  <c r="D985" i="36"/>
  <c r="D986" i="36"/>
  <c r="D987" i="36"/>
  <c r="D988" i="36"/>
  <c r="D989" i="36"/>
  <c r="D990" i="36"/>
  <c r="D991" i="36"/>
  <c r="D992" i="36"/>
  <c r="D993" i="36"/>
  <c r="D994" i="36"/>
  <c r="D995" i="36"/>
  <c r="D996" i="36"/>
  <c r="D997" i="36"/>
  <c r="D998" i="36"/>
  <c r="D999" i="36"/>
  <c r="D1000" i="36"/>
  <c r="D1001" i="36"/>
  <c r="D1002" i="36"/>
  <c r="D1003" i="36"/>
  <c r="D1004" i="36"/>
  <c r="D1005" i="36"/>
  <c r="D1006" i="36"/>
  <c r="D1007" i="36"/>
  <c r="D1008" i="36"/>
  <c r="D1009" i="36"/>
  <c r="D1010" i="36"/>
  <c r="D1011" i="36"/>
  <c r="D1012" i="36"/>
  <c r="D1013" i="36"/>
  <c r="D1014" i="36"/>
  <c r="D1015" i="36"/>
  <c r="D1016" i="36"/>
  <c r="D1017" i="36"/>
  <c r="D1018" i="36"/>
  <c r="D1019" i="36"/>
  <c r="D1020" i="36"/>
  <c r="D1021" i="36"/>
  <c r="D1022" i="36"/>
  <c r="D1023" i="36"/>
  <c r="D1024" i="36"/>
  <c r="D1025" i="36"/>
  <c r="D1026" i="36"/>
  <c r="D1027" i="36"/>
  <c r="D1028" i="36"/>
  <c r="D1029" i="36"/>
  <c r="D1030" i="36"/>
  <c r="D1031" i="36"/>
  <c r="D1032" i="36"/>
  <c r="D1033" i="36"/>
  <c r="D1034" i="36"/>
  <c r="D1035" i="36"/>
  <c r="D1036" i="36"/>
  <c r="D1037" i="36"/>
  <c r="D1038" i="36"/>
  <c r="D1039" i="36"/>
  <c r="D1040" i="36"/>
  <c r="D1041" i="36"/>
  <c r="D1042" i="36"/>
  <c r="D1043" i="36"/>
  <c r="D1044" i="36"/>
  <c r="D1045" i="36"/>
  <c r="D1046" i="36"/>
  <c r="D1047" i="36"/>
  <c r="D1048" i="36"/>
  <c r="D1049" i="36"/>
  <c r="D1050" i="36"/>
  <c r="D1051" i="36"/>
  <c r="D1052" i="36"/>
  <c r="D1053" i="36"/>
  <c r="D1054" i="36"/>
  <c r="D1055" i="36"/>
  <c r="D1056" i="36"/>
  <c r="D1057" i="36"/>
  <c r="D1058" i="36"/>
  <c r="D1059" i="36"/>
  <c r="D1060" i="36"/>
  <c r="D1061" i="36"/>
  <c r="D1062" i="36"/>
  <c r="D1063" i="36"/>
  <c r="D1064" i="36"/>
  <c r="D1065" i="36"/>
  <c r="D1066" i="36"/>
  <c r="D1067" i="36"/>
  <c r="D1068" i="36"/>
  <c r="D1069" i="36"/>
  <c r="D1070" i="36"/>
  <c r="D1071" i="36"/>
  <c r="D1072" i="36"/>
  <c r="D1073" i="36"/>
  <c r="D1074" i="36"/>
  <c r="D1075" i="36"/>
  <c r="D1076" i="36"/>
  <c r="D1077" i="36"/>
  <c r="D1078" i="36"/>
  <c r="D1079" i="36"/>
  <c r="D1080" i="36"/>
  <c r="D1081" i="36"/>
  <c r="D1082" i="36"/>
  <c r="D1083" i="36"/>
  <c r="D1084" i="36"/>
  <c r="D1085" i="36"/>
  <c r="D1086" i="36"/>
  <c r="D1087" i="36"/>
  <c r="D1088" i="36"/>
  <c r="D1089" i="36"/>
  <c r="D1090" i="36"/>
  <c r="D1091" i="36"/>
  <c r="D1092" i="36"/>
  <c r="D1093" i="36"/>
  <c r="D1094" i="36"/>
  <c r="D1095" i="36"/>
  <c r="D1096" i="36"/>
  <c r="D1097" i="36"/>
  <c r="D1098" i="36"/>
  <c r="D1099" i="36"/>
  <c r="D1100" i="36"/>
  <c r="D1101" i="36"/>
  <c r="D1102" i="36"/>
  <c r="D1103" i="36"/>
  <c r="D1104" i="36"/>
  <c r="D1105" i="36"/>
  <c r="D1106" i="36"/>
  <c r="D1107" i="36"/>
  <c r="D1108" i="36"/>
  <c r="D1109" i="36"/>
  <c r="D1110" i="36"/>
  <c r="D1111" i="36"/>
  <c r="D1112" i="36"/>
  <c r="D1113" i="36"/>
  <c r="D1114" i="36"/>
  <c r="D1115" i="36"/>
  <c r="D1116" i="36"/>
  <c r="D1117" i="36"/>
  <c r="D1118" i="36"/>
  <c r="D1119" i="36"/>
  <c r="D1120" i="36"/>
  <c r="D1121" i="36"/>
  <c r="D1122" i="36"/>
  <c r="D1123" i="36"/>
  <c r="D1124" i="36"/>
  <c r="D1125" i="36"/>
  <c r="D1126" i="36"/>
  <c r="D1127" i="36"/>
  <c r="D1128" i="36"/>
  <c r="D1129" i="36"/>
  <c r="D1130" i="36"/>
  <c r="D1131" i="36"/>
  <c r="D1132" i="36"/>
  <c r="D1133" i="36"/>
  <c r="D1134" i="36"/>
  <c r="D1135" i="36"/>
  <c r="D1136" i="36"/>
  <c r="D1137" i="36"/>
  <c r="D1138" i="36"/>
  <c r="D1139" i="36"/>
  <c r="D1140" i="36"/>
  <c r="D1141" i="36"/>
  <c r="D1142" i="36"/>
  <c r="D1143" i="36"/>
  <c r="D1144" i="36"/>
  <c r="D1145" i="36"/>
  <c r="D1146" i="36"/>
  <c r="D1147" i="36"/>
  <c r="D1148" i="36"/>
  <c r="D1149" i="36"/>
  <c r="D1150" i="36"/>
  <c r="D1151" i="36"/>
  <c r="D1152" i="36"/>
  <c r="D1153" i="36"/>
  <c r="D1154" i="36"/>
  <c r="D1155" i="36"/>
  <c r="D1156" i="36"/>
  <c r="D1157" i="36"/>
  <c r="D1158" i="36"/>
  <c r="D1159" i="36"/>
  <c r="D1160" i="36"/>
  <c r="D1161" i="36"/>
  <c r="D1162" i="36"/>
  <c r="D963" i="36"/>
  <c r="BD17" i="17"/>
  <c r="DF9" i="17" s="1"/>
  <c r="CL17" i="17"/>
  <c r="CL16" i="17"/>
  <c r="CK16" i="17"/>
  <c r="CA17" i="17"/>
  <c r="BZ17" i="17"/>
  <c r="BZ16" i="17"/>
  <c r="CA28" i="17"/>
  <c r="CA27" i="17"/>
  <c r="CA26" i="17"/>
  <c r="CA25" i="17"/>
  <c r="CE25" i="17"/>
  <c r="DS8" i="17"/>
  <c r="F73" i="17" s="1"/>
  <c r="DH8" i="17"/>
  <c r="DD8" i="17"/>
  <c r="B50" i="40" a="1"/>
  <c r="AF61" i="19" l="1"/>
  <c r="AJ62" i="19"/>
  <c r="AF64" i="19"/>
  <c r="AK60" i="19"/>
  <c r="AG61" i="19"/>
  <c r="AK62" i="19"/>
  <c r="AG64" i="19"/>
  <c r="AL60" i="19"/>
  <c r="AL65" i="19" s="1" a="1"/>
  <c r="AL65" i="19" s="1"/>
  <c r="AJ60" i="19"/>
  <c r="AH61" i="19"/>
  <c r="AL62" i="19"/>
  <c r="AH64" i="19"/>
  <c r="AM60" i="19"/>
  <c r="AI61" i="19"/>
  <c r="AM62" i="19"/>
  <c r="AI64" i="19"/>
  <c r="AF60" i="19"/>
  <c r="AJ61" i="19"/>
  <c r="AF63" i="19"/>
  <c r="AJ64" i="19"/>
  <c r="AK61" i="19"/>
  <c r="AG63" i="19"/>
  <c r="AK64" i="19"/>
  <c r="AL61" i="19"/>
  <c r="AH63" i="19"/>
  <c r="AL64" i="19"/>
  <c r="AM61" i="19"/>
  <c r="AI63" i="19"/>
  <c r="AM64" i="19"/>
  <c r="AF62" i="19"/>
  <c r="AJ63" i="19"/>
  <c r="AG60" i="19"/>
  <c r="AG65" i="19" s="1" a="1"/>
  <c r="AG65" i="19" s="1"/>
  <c r="AG62" i="19"/>
  <c r="AK63" i="19"/>
  <c r="AH60" i="19"/>
  <c r="AM63" i="19"/>
  <c r="AH62" i="19"/>
  <c r="AL63" i="19"/>
  <c r="AI60" i="19"/>
  <c r="AI62" i="19"/>
  <c r="AH49" i="19"/>
  <c r="AM50" i="19"/>
  <c r="AK52" i="19"/>
  <c r="AJ52" i="19"/>
  <c r="AI49" i="19"/>
  <c r="AG51" i="19"/>
  <c r="AL52" i="19"/>
  <c r="AJ49" i="19"/>
  <c r="AH51" i="19"/>
  <c r="AM52" i="19"/>
  <c r="AG49" i="19"/>
  <c r="AK49" i="19"/>
  <c r="AI51" i="19"/>
  <c r="AH48" i="19"/>
  <c r="AL49" i="19"/>
  <c r="AJ51" i="19"/>
  <c r="AI48" i="19"/>
  <c r="AI53" i="19" s="1" a="1"/>
  <c r="AI53" i="19" s="1"/>
  <c r="AF48" i="19"/>
  <c r="AM49" i="19"/>
  <c r="AK51" i="19"/>
  <c r="AJ48" i="19"/>
  <c r="AL50" i="19"/>
  <c r="AG50" i="19"/>
  <c r="AL51" i="19"/>
  <c r="AK48" i="19"/>
  <c r="AF49" i="19"/>
  <c r="AH50" i="19"/>
  <c r="AM51" i="19"/>
  <c r="AL48" i="19"/>
  <c r="AF50" i="19"/>
  <c r="AI50" i="19"/>
  <c r="AG52" i="19"/>
  <c r="AM48" i="19"/>
  <c r="AF51" i="19"/>
  <c r="AJ50" i="19"/>
  <c r="AH52" i="19"/>
  <c r="AG48" i="19"/>
  <c r="AF52" i="19"/>
  <c r="AK50" i="19"/>
  <c r="AI52" i="19"/>
  <c r="AH9" i="19" a="1"/>
  <c r="AH9" i="19" s="1"/>
  <c r="AE57" i="19" s="1"/>
  <c r="AI9" i="19" a="1"/>
  <c r="AI9" i="19" s="1"/>
  <c r="AF57" i="19" s="1"/>
  <c r="AH8" i="19" a="1"/>
  <c r="AH8" i="19" s="1"/>
  <c r="AE45" i="19" s="1"/>
  <c r="AI8" i="19" a="1"/>
  <c r="AI8" i="19" s="1"/>
  <c r="AF45" i="19" s="1"/>
  <c r="DH42" i="43"/>
  <c r="DO42" i="43"/>
  <c r="DK42" i="43"/>
  <c r="DR40" i="43"/>
  <c r="DS39" i="43"/>
  <c r="DG43" i="43"/>
  <c r="DO43" i="43" s="1"/>
  <c r="DP43" i="43" s="1"/>
  <c r="DP41" i="43"/>
  <c r="DQ41" i="43" s="1"/>
  <c r="DT41" i="43" s="1"/>
  <c r="DU41" i="43" s="1"/>
  <c r="DI640" i="43"/>
  <c r="DO640" i="43"/>
  <c r="DP639" i="43"/>
  <c r="DK640" i="43"/>
  <c r="K18" i="43"/>
  <c r="L17" i="43"/>
  <c r="M17" i="43" s="1"/>
  <c r="N17" i="43" s="1"/>
  <c r="O17" i="43" s="1"/>
  <c r="B50" i="40"/>
  <c r="DH10" i="17"/>
  <c r="DD10" i="17"/>
  <c r="DH9" i="17"/>
  <c r="DD9" i="17"/>
  <c r="DK10" i="17"/>
  <c r="DK9" i="17"/>
  <c r="DK8" i="17"/>
  <c r="DK7" i="17"/>
  <c r="DF8" i="17"/>
  <c r="DC8" i="17"/>
  <c r="DI7" i="17"/>
  <c r="DH7" i="17"/>
  <c r="DG7" i="17"/>
  <c r="DF7" i="17"/>
  <c r="DE7" i="17"/>
  <c r="DD7" i="17"/>
  <c r="DC7" i="17"/>
  <c r="AH20" i="36"/>
  <c r="AH15" i="36"/>
  <c r="AH12" i="36"/>
  <c r="AH9" i="36"/>
  <c r="BL9" i="19"/>
  <c r="BL7" i="19"/>
  <c r="BL6" i="19"/>
  <c r="BL5" i="19"/>
  <c r="BL4" i="19"/>
  <c r="BL3" i="19"/>
  <c r="CI22" i="33"/>
  <c r="CI18" i="33"/>
  <c r="CI17" i="33"/>
  <c r="CI16" i="33"/>
  <c r="CI14" i="33"/>
  <c r="CI13" i="33"/>
  <c r="CI11" i="33"/>
  <c r="CI10" i="33"/>
  <c r="CI8" i="33"/>
  <c r="CI6" i="33"/>
  <c r="CI4" i="33"/>
  <c r="BX17" i="16"/>
  <c r="BW17" i="16" s="1"/>
  <c r="AH65" i="19" l="1" a="1"/>
  <c r="AH65" i="19" s="1"/>
  <c r="AK65" i="19" a="1"/>
  <c r="AK65" i="19" s="1"/>
  <c r="AI65" i="19" a="1"/>
  <c r="AI65" i="19" s="1"/>
  <c r="AM65" i="19" a="1"/>
  <c r="AM65" i="19" s="1"/>
  <c r="AF65" i="19" a="1"/>
  <c r="AF65" i="19" s="1"/>
  <c r="AJ65" i="19" a="1"/>
  <c r="AJ65" i="19" s="1"/>
  <c r="AL53" i="19" a="1"/>
  <c r="AL53" i="19" s="1"/>
  <c r="AF53" i="19" a="1"/>
  <c r="AF53" i="19" s="1"/>
  <c r="AG53" i="19" a="1"/>
  <c r="AG53" i="19" s="1"/>
  <c r="AM53" i="19" a="1"/>
  <c r="AM53" i="19" s="1"/>
  <c r="AK53" i="19" a="1"/>
  <c r="AK53" i="19" s="1"/>
  <c r="AJ53" i="19" a="1"/>
  <c r="AJ53" i="19" s="1"/>
  <c r="AH53" i="19" a="1"/>
  <c r="AH53" i="19" s="1"/>
  <c r="DS40" i="43"/>
  <c r="DR41" i="43"/>
  <c r="DK43" i="43"/>
  <c r="DP42" i="43"/>
  <c r="DQ42" i="43" s="1"/>
  <c r="DT42" i="43" s="1"/>
  <c r="DU42" i="43" s="1"/>
  <c r="DM42" i="43"/>
  <c r="DH43" i="43"/>
  <c r="DG44" i="43"/>
  <c r="DH44" i="43" s="1"/>
  <c r="DQ43" i="43"/>
  <c r="DJ244" i="43"/>
  <c r="DI641" i="43"/>
  <c r="DO641" i="43"/>
  <c r="DK641" i="43"/>
  <c r="DP640" i="43"/>
  <c r="K19" i="43"/>
  <c r="L18" i="43"/>
  <c r="M18" i="43" s="1"/>
  <c r="N18" i="43" s="1"/>
  <c r="O18" i="43" s="1"/>
  <c r="BX14" i="16"/>
  <c r="BX13" i="16"/>
  <c r="BX12" i="16"/>
  <c r="BX10" i="16"/>
  <c r="BX9" i="16"/>
  <c r="BX8" i="16"/>
  <c r="BX19" i="16"/>
  <c r="BX18" i="16"/>
  <c r="BX16" i="16"/>
  <c r="BX22" i="16"/>
  <c r="AN20" i="36"/>
  <c r="DT43" i="43" l="1"/>
  <c r="DU43" i="43" s="1"/>
  <c r="DM43" i="43"/>
  <c r="DN43" i="43" s="1"/>
  <c r="DN42" i="43"/>
  <c r="DK44" i="43"/>
  <c r="DR42" i="43"/>
  <c r="DS41" i="43"/>
  <c r="DO44" i="43"/>
  <c r="DM44" i="43" s="1"/>
  <c r="DN44" i="43" s="1"/>
  <c r="DG45" i="43"/>
  <c r="DO45" i="43" s="1"/>
  <c r="DP45" i="43" s="1"/>
  <c r="DI245" i="43"/>
  <c r="DK642" i="43"/>
  <c r="DI642" i="43"/>
  <c r="DO642" i="43"/>
  <c r="DP641" i="43"/>
  <c r="L19" i="43"/>
  <c r="M19" i="43" s="1"/>
  <c r="N19" i="43" s="1"/>
  <c r="O19" i="43" s="1"/>
  <c r="K20" i="43"/>
  <c r="BW18" i="16"/>
  <c r="CN23" i="17" a="1"/>
  <c r="CN23" i="17" s="1"/>
  <c r="CN67" i="17" a="1"/>
  <c r="CN67" i="17" s="1"/>
  <c r="CN68" i="17" a="1"/>
  <c r="CN68" i="17"/>
  <c r="CN69" i="17" a="1"/>
  <c r="CN69" i="17" s="1"/>
  <c r="CN70" i="17" a="1"/>
  <c r="CN70" i="17"/>
  <c r="CN71" i="17" a="1"/>
  <c r="CN71" i="17" s="1"/>
  <c r="CN72" i="17" a="1"/>
  <c r="CN72" i="17"/>
  <c r="CN73" i="17" a="1"/>
  <c r="CN73" i="17" s="1"/>
  <c r="CN74" i="17" a="1"/>
  <c r="CN74" i="17"/>
  <c r="CN75" i="17" a="1"/>
  <c r="CN75" i="17" s="1"/>
  <c r="CN76" i="17" a="1"/>
  <c r="CN76" i="17"/>
  <c r="CN77" i="17" a="1"/>
  <c r="CN77" i="17" s="1"/>
  <c r="CN78" i="17" a="1"/>
  <c r="CN78" i="17"/>
  <c r="CN79" i="17" a="1"/>
  <c r="CN79" i="17" s="1"/>
  <c r="CN80" i="17" a="1"/>
  <c r="CN80" i="17"/>
  <c r="CN81" i="17" a="1"/>
  <c r="CN81" i="17" s="1"/>
  <c r="CN82" i="17" a="1"/>
  <c r="CN82" i="17"/>
  <c r="CN83" i="17" a="1"/>
  <c r="CN83" i="17" s="1"/>
  <c r="CN84" i="17" a="1"/>
  <c r="CN84" i="17"/>
  <c r="CN85" i="17" a="1"/>
  <c r="CN85" i="17" s="1"/>
  <c r="CN86" i="17" a="1"/>
  <c r="CN86" i="17"/>
  <c r="CN87" i="17" a="1"/>
  <c r="CN87" i="17" s="1"/>
  <c r="CN88" i="17" a="1"/>
  <c r="CN88" i="17"/>
  <c r="CN89" i="17" a="1"/>
  <c r="CN89" i="17" s="1"/>
  <c r="CN90" i="17" a="1"/>
  <c r="CN90" i="17"/>
  <c r="CN91" i="17" a="1"/>
  <c r="CN91" i="17" s="1"/>
  <c r="CN92" i="17" a="1"/>
  <c r="CN92" i="17"/>
  <c r="CN93" i="17" a="1"/>
  <c r="CN93" i="17" s="1"/>
  <c r="CN94" i="17" a="1"/>
  <c r="CN94" i="17"/>
  <c r="CN95" i="17" a="1"/>
  <c r="CN95" i="17" s="1"/>
  <c r="CN96" i="17" a="1"/>
  <c r="CN96" i="17"/>
  <c r="CN97" i="17" a="1"/>
  <c r="CN97" i="17" s="1"/>
  <c r="CN98" i="17" a="1"/>
  <c r="CN98" i="17"/>
  <c r="CN99" i="17" a="1"/>
  <c r="CN99" i="17" s="1"/>
  <c r="CN100" i="17" a="1"/>
  <c r="CN100" i="17"/>
  <c r="CN101" i="17" a="1"/>
  <c r="CN101" i="17" s="1"/>
  <c r="CN102" i="17" a="1"/>
  <c r="CN102" i="17"/>
  <c r="CN103" i="17" a="1"/>
  <c r="CN103" i="17" s="1"/>
  <c r="CN104" i="17" a="1"/>
  <c r="CN104" i="17"/>
  <c r="CN105" i="17" a="1"/>
  <c r="CN105" i="17" s="1"/>
  <c r="CN106" i="17" a="1"/>
  <c r="CN106" i="17"/>
  <c r="CN107" i="17" a="1"/>
  <c r="CN107" i="17" s="1"/>
  <c r="CN108" i="17" a="1"/>
  <c r="CN108" i="17"/>
  <c r="CN109" i="17" a="1"/>
  <c r="CN109" i="17" s="1"/>
  <c r="CN110" i="17" a="1"/>
  <c r="CN110" i="17"/>
  <c r="CN111" i="17" a="1"/>
  <c r="CN111" i="17" s="1"/>
  <c r="CN112" i="17" a="1"/>
  <c r="CN112" i="17"/>
  <c r="CN113" i="17" a="1"/>
  <c r="CN113" i="17" s="1"/>
  <c r="CN114" i="17" a="1"/>
  <c r="CN114" i="17"/>
  <c r="CN115" i="17" a="1"/>
  <c r="CN115" i="17" s="1"/>
  <c r="CN60" i="17" a="1"/>
  <c r="CN60" i="17" s="1"/>
  <c r="CN61" i="17" a="1"/>
  <c r="CN61" i="17"/>
  <c r="CN62" i="17" a="1"/>
  <c r="CN62" i="17" s="1"/>
  <c r="CN63" i="17" a="1"/>
  <c r="CN63" i="17"/>
  <c r="CN64" i="17" a="1"/>
  <c r="CN64" i="17" s="1"/>
  <c r="CN65" i="17" a="1"/>
  <c r="CN65" i="17"/>
  <c r="CN66" i="17" a="1"/>
  <c r="CN66" i="17" s="1"/>
  <c r="CN59" i="17" a="1"/>
  <c r="CN59" i="17" s="1"/>
  <c r="DS42" i="43" l="1"/>
  <c r="DR43" i="43"/>
  <c r="DK45" i="43"/>
  <c r="DM45" i="43"/>
  <c r="DN45" i="43" s="1"/>
  <c r="DH45" i="43"/>
  <c r="DG46" i="43"/>
  <c r="DQ45" i="43"/>
  <c r="DP44" i="43"/>
  <c r="DQ44" i="43" s="1"/>
  <c r="DT44" i="43" s="1"/>
  <c r="DU44" i="43" s="1"/>
  <c r="DJ246" i="43"/>
  <c r="DI345" i="43"/>
  <c r="DP642" i="43"/>
  <c r="DI643" i="43"/>
  <c r="DO643" i="43"/>
  <c r="DK643" i="43"/>
  <c r="K21" i="43"/>
  <c r="L20" i="43"/>
  <c r="M20" i="43" s="1"/>
  <c r="N20" i="43" s="1"/>
  <c r="O20" i="43" s="1"/>
  <c r="DT45" i="43" l="1"/>
  <c r="DU45" i="43" s="1"/>
  <c r="DH46" i="43"/>
  <c r="DO46" i="43"/>
  <c r="DK46" i="43"/>
  <c r="DR44" i="43"/>
  <c r="DS43" i="43"/>
  <c r="DG47" i="43"/>
  <c r="DH47" i="43" s="1"/>
  <c r="DJ247" i="43"/>
  <c r="DI346" i="43"/>
  <c r="DP643" i="43"/>
  <c r="DI644" i="43"/>
  <c r="DO644" i="43"/>
  <c r="DK644" i="43"/>
  <c r="L21" i="43"/>
  <c r="M21" i="43" s="1"/>
  <c r="N21" i="43" s="1"/>
  <c r="O21" i="43" s="1"/>
  <c r="K22" i="43"/>
  <c r="AH32" i="33"/>
  <c r="BG12" i="33"/>
  <c r="BG13" i="33"/>
  <c r="BG14" i="33"/>
  <c r="BG15" i="33"/>
  <c r="BG16" i="33"/>
  <c r="BG17" i="33"/>
  <c r="BG18" i="33"/>
  <c r="BG19" i="33"/>
  <c r="BG20" i="33"/>
  <c r="BG21" i="33"/>
  <c r="BG22" i="33"/>
  <c r="BG23" i="33"/>
  <c r="BG24" i="33"/>
  <c r="BG25" i="33"/>
  <c r="BG26" i="33"/>
  <c r="BG27" i="33"/>
  <c r="BG28" i="33"/>
  <c r="BG29" i="33"/>
  <c r="BG30" i="33"/>
  <c r="BG31" i="33"/>
  <c r="BG32" i="33"/>
  <c r="BG33" i="33"/>
  <c r="BG34" i="33"/>
  <c r="BG35" i="33"/>
  <c r="BG36" i="33"/>
  <c r="BG37" i="33"/>
  <c r="BG38" i="33"/>
  <c r="BG39" i="33"/>
  <c r="BG11" i="33"/>
  <c r="DR45" i="43" l="1"/>
  <c r="DS44" i="43"/>
  <c r="DK47" i="43"/>
  <c r="DP46" i="43"/>
  <c r="DQ46" i="43" s="1"/>
  <c r="DT46" i="43" s="1"/>
  <c r="DU46" i="43" s="1"/>
  <c r="DM46" i="43"/>
  <c r="DN46" i="43" s="1"/>
  <c r="DO47" i="43"/>
  <c r="DG48" i="43"/>
  <c r="DO48" i="43" s="1"/>
  <c r="DP48" i="43" s="1"/>
  <c r="DI248" i="43"/>
  <c r="DI347" i="43"/>
  <c r="DI645" i="43"/>
  <c r="DO645" i="43"/>
  <c r="DK645" i="43"/>
  <c r="DP644" i="43"/>
  <c r="L22" i="43"/>
  <c r="M22" i="43" s="1"/>
  <c r="N22" i="43" s="1"/>
  <c r="O22" i="43" s="1"/>
  <c r="K23" i="43"/>
  <c r="I4" i="21" a="1"/>
  <c r="I4" i="21" s="1"/>
  <c r="H4" i="21" a="1"/>
  <c r="H4" i="21" s="1"/>
  <c r="G4" i="21" a="1"/>
  <c r="G4" i="21" s="1"/>
  <c r="F4" i="21" a="1"/>
  <c r="F4" i="21" s="1"/>
  <c r="E4" i="21" a="1"/>
  <c r="E4" i="21" s="1"/>
  <c r="D4" i="21" a="1"/>
  <c r="D4" i="21" s="1"/>
  <c r="C4" i="21" a="1"/>
  <c r="C4" i="21" s="1"/>
  <c r="B4" i="21" a="1"/>
  <c r="B4" i="21" s="1"/>
  <c r="H4" i="23" a="1"/>
  <c r="H4" i="23" s="1"/>
  <c r="G4" i="23" a="1"/>
  <c r="G4" i="23" s="1"/>
  <c r="F4" i="23" a="1"/>
  <c r="F4" i="23" s="1"/>
  <c r="E4" i="23" a="1"/>
  <c r="E4" i="23" s="1"/>
  <c r="DI23" i="17"/>
  <c r="DF23" i="17"/>
  <c r="DC23" i="17"/>
  <c r="CZ23" i="17"/>
  <c r="CW23" i="17"/>
  <c r="CT23" i="17"/>
  <c r="CQ23" i="17"/>
  <c r="CG23" i="17"/>
  <c r="CC23" i="17"/>
  <c r="BY23" i="17"/>
  <c r="BV23" i="17"/>
  <c r="BS23" i="17"/>
  <c r="BP23" i="17"/>
  <c r="BM23" i="17"/>
  <c r="BI23" i="17"/>
  <c r="BE23" i="17"/>
  <c r="FU23" i="17"/>
  <c r="FR23" i="17"/>
  <c r="FO23" i="17"/>
  <c r="FL23" i="17"/>
  <c r="FI23" i="17"/>
  <c r="FF23" i="17"/>
  <c r="FC23" i="17"/>
  <c r="EZ23" i="17"/>
  <c r="EW23" i="17"/>
  <c r="AU22" i="17" a="1"/>
  <c r="AU22" i="17" s="1"/>
  <c r="Y81" i="17" a="1"/>
  <c r="Y81" i="17" s="1"/>
  <c r="DM47" i="43" l="1"/>
  <c r="DN47" i="43" s="1"/>
  <c r="DK48" i="43"/>
  <c r="DR46" i="43"/>
  <c r="DS45" i="43"/>
  <c r="DH48" i="43"/>
  <c r="DG49" i="43"/>
  <c r="DO49" i="43" s="1"/>
  <c r="DP49" i="43" s="1"/>
  <c r="DQ48" i="43"/>
  <c r="DP47" i="43"/>
  <c r="DQ47" i="43" s="1"/>
  <c r="DT47" i="43" s="1"/>
  <c r="DU47" i="43" s="1"/>
  <c r="DJ249" i="43"/>
  <c r="DI348" i="43"/>
  <c r="DK646" i="43"/>
  <c r="DP645" i="43"/>
  <c r="DI646" i="43"/>
  <c r="DO646" i="43"/>
  <c r="K24" i="43"/>
  <c r="L23" i="43"/>
  <c r="M23" i="43" s="1"/>
  <c r="N23" i="43" s="1"/>
  <c r="O23" i="43" s="1"/>
  <c r="BG9" i="33"/>
  <c r="ET1" i="17"/>
  <c r="EU1" i="17"/>
  <c r="ES1" i="17"/>
  <c r="ER1" i="17"/>
  <c r="FW23" i="17" a="1"/>
  <c r="FW23" i="17" s="1"/>
  <c r="EL35" i="17" s="1"/>
  <c r="FT23" i="17" a="1"/>
  <c r="FT23" i="17" s="1"/>
  <c r="EL32" i="17" s="1"/>
  <c r="FQ23" i="17" a="1"/>
  <c r="FQ23" i="17" s="1"/>
  <c r="EL29" i="17" s="1"/>
  <c r="FN23" i="17" a="1"/>
  <c r="FN23" i="17" s="1"/>
  <c r="EL28" i="17" s="1"/>
  <c r="FK23" i="17" a="1"/>
  <c r="FK23" i="17" s="1"/>
  <c r="EL27" i="17" s="1"/>
  <c r="FH23" i="17" a="1"/>
  <c r="FH23" i="17" s="1"/>
  <c r="EL26" i="17" s="1"/>
  <c r="FE23" i="17" a="1"/>
  <c r="FE23" i="17" s="1"/>
  <c r="EL25" i="17" s="1"/>
  <c r="FB23" i="17" a="1"/>
  <c r="FB23" i="17" s="1"/>
  <c r="EK21" i="17" s="1"/>
  <c r="EY23" i="17" a="1"/>
  <c r="EY23" i="17" s="1"/>
  <c r="EK19" i="17" s="1"/>
  <c r="BU17" i="17"/>
  <c r="CI19" i="17"/>
  <c r="BX18" i="17"/>
  <c r="BX17" i="17"/>
  <c r="CI18" i="17"/>
  <c r="CI17" i="17"/>
  <c r="BL23" i="17" a="1"/>
  <c r="BL23" i="17" s="1"/>
  <c r="AI23" i="17" s="1"/>
  <c r="DM48" i="43" l="1"/>
  <c r="DN48" i="43" s="1"/>
  <c r="DR47" i="43"/>
  <c r="DS46" i="43"/>
  <c r="DM49" i="43"/>
  <c r="DN49" i="43" s="1"/>
  <c r="DK49" i="43"/>
  <c r="DT48" i="43"/>
  <c r="DU48" i="43" s="1"/>
  <c r="DH49" i="43"/>
  <c r="DG50" i="43"/>
  <c r="DQ49" i="43"/>
  <c r="DJ250" i="43"/>
  <c r="DI647" i="43"/>
  <c r="DO647" i="43"/>
  <c r="DP646" i="43"/>
  <c r="DK647" i="43"/>
  <c r="K25" i="43"/>
  <c r="L24" i="43"/>
  <c r="M24" i="43" s="1"/>
  <c r="N24" i="43" s="1"/>
  <c r="O24" i="43" s="1"/>
  <c r="BX16" i="17"/>
  <c r="CI16" i="17"/>
  <c r="DT49" i="43" l="1"/>
  <c r="DU49" i="43" s="1"/>
  <c r="DH50" i="43"/>
  <c r="DO50" i="43"/>
  <c r="DK50" i="43"/>
  <c r="DS47" i="43"/>
  <c r="DR48" i="43"/>
  <c r="DG51" i="43"/>
  <c r="DO51" i="43" s="1"/>
  <c r="DP51" i="43" s="1"/>
  <c r="DI350" i="43"/>
  <c r="DI648" i="43"/>
  <c r="DO648" i="43"/>
  <c r="DK648" i="43"/>
  <c r="DP647" i="43"/>
  <c r="L25" i="43"/>
  <c r="M25" i="43" s="1"/>
  <c r="N25" i="43" s="1"/>
  <c r="O25" i="43" s="1"/>
  <c r="K26" i="43"/>
  <c r="DL1" i="17"/>
  <c r="DB26" i="17"/>
  <c r="DB27" i="17"/>
  <c r="DB28" i="17"/>
  <c r="DB29" i="17"/>
  <c r="DB30" i="17"/>
  <c r="DB31" i="17"/>
  <c r="DB32" i="17"/>
  <c r="DB33" i="17"/>
  <c r="DB34" i="17"/>
  <c r="DB35" i="17"/>
  <c r="DB36" i="17"/>
  <c r="DB37" i="17"/>
  <c r="DB38" i="17"/>
  <c r="DB39" i="17"/>
  <c r="DB40" i="17"/>
  <c r="DB41" i="17"/>
  <c r="DB42" i="17"/>
  <c r="DB43" i="17"/>
  <c r="DB44" i="17"/>
  <c r="DB45" i="17"/>
  <c r="DB46" i="17"/>
  <c r="DB47" i="17"/>
  <c r="DB48" i="17"/>
  <c r="DB49" i="17"/>
  <c r="DB50" i="17"/>
  <c r="DB51" i="17"/>
  <c r="DB52" i="17"/>
  <c r="DB53" i="17"/>
  <c r="DB54" i="17"/>
  <c r="DB55" i="17"/>
  <c r="DB56" i="17"/>
  <c r="DB57" i="17"/>
  <c r="DB58" i="17"/>
  <c r="DB59" i="17"/>
  <c r="DB60" i="17"/>
  <c r="DB61" i="17"/>
  <c r="DB62" i="17"/>
  <c r="DB63" i="17"/>
  <c r="DB64" i="17"/>
  <c r="DB65" i="17"/>
  <c r="DB66" i="17"/>
  <c r="DB67" i="17"/>
  <c r="DB68" i="17"/>
  <c r="DB69" i="17"/>
  <c r="DB70" i="17"/>
  <c r="DB71" i="17"/>
  <c r="DB72" i="17"/>
  <c r="DB73" i="17"/>
  <c r="DB74" i="17"/>
  <c r="DB75" i="17"/>
  <c r="DB76" i="17"/>
  <c r="DB77" i="17"/>
  <c r="DB78" i="17"/>
  <c r="DB79" i="17"/>
  <c r="DB80" i="17"/>
  <c r="DB81" i="17"/>
  <c r="DB82" i="17"/>
  <c r="DB83" i="17"/>
  <c r="DB84" i="17"/>
  <c r="DB85" i="17"/>
  <c r="DB86" i="17"/>
  <c r="DB87" i="17"/>
  <c r="DB88" i="17"/>
  <c r="DB89" i="17"/>
  <c r="DB90" i="17"/>
  <c r="DB91" i="17"/>
  <c r="DB92" i="17"/>
  <c r="DB93" i="17"/>
  <c r="DB94" i="17"/>
  <c r="DB95" i="17"/>
  <c r="DB96" i="17"/>
  <c r="DB97" i="17"/>
  <c r="DB98" i="17"/>
  <c r="DB99" i="17"/>
  <c r="DB100" i="17"/>
  <c r="DB101" i="17"/>
  <c r="DB102" i="17"/>
  <c r="DB103" i="17"/>
  <c r="DB104" i="17"/>
  <c r="DB105" i="17"/>
  <c r="DB106" i="17"/>
  <c r="DB107" i="17"/>
  <c r="DB108" i="17"/>
  <c r="DB109" i="17"/>
  <c r="DB110" i="17"/>
  <c r="DB111" i="17"/>
  <c r="DB112" i="17"/>
  <c r="DB113" i="17"/>
  <c r="DB114" i="17"/>
  <c r="DB115" i="17"/>
  <c r="DB116" i="17"/>
  <c r="DB117" i="17"/>
  <c r="DB118" i="17"/>
  <c r="DB119" i="17"/>
  <c r="DB25" i="17"/>
  <c r="DE26" i="17"/>
  <c r="DE27" i="17"/>
  <c r="DE28" i="17"/>
  <c r="DE29" i="17"/>
  <c r="DE30" i="17"/>
  <c r="DE31" i="17"/>
  <c r="DE32" i="17"/>
  <c r="DE33" i="17"/>
  <c r="DE34" i="17"/>
  <c r="DE35" i="17"/>
  <c r="DE36" i="17"/>
  <c r="DE37" i="17"/>
  <c r="DE38" i="17"/>
  <c r="DE39" i="17"/>
  <c r="DE40" i="17"/>
  <c r="DE41" i="17"/>
  <c r="DE42" i="17"/>
  <c r="DE43" i="17"/>
  <c r="DE44" i="17"/>
  <c r="DE45" i="17"/>
  <c r="DE46" i="17"/>
  <c r="DE47" i="17"/>
  <c r="DE48" i="17"/>
  <c r="DE49" i="17"/>
  <c r="DE50" i="17"/>
  <c r="DE51" i="17"/>
  <c r="DE52" i="17"/>
  <c r="DE53" i="17"/>
  <c r="DE54" i="17"/>
  <c r="DE55" i="17"/>
  <c r="DE56" i="17"/>
  <c r="DE57" i="17"/>
  <c r="DE58" i="17"/>
  <c r="DE59" i="17"/>
  <c r="DE60" i="17"/>
  <c r="DE61" i="17"/>
  <c r="DE62" i="17"/>
  <c r="DE63" i="17"/>
  <c r="DE64" i="17"/>
  <c r="DE65" i="17"/>
  <c r="DE66" i="17"/>
  <c r="DE67" i="17"/>
  <c r="DE68" i="17"/>
  <c r="DE69" i="17"/>
  <c r="DE70" i="17"/>
  <c r="DE71" i="17"/>
  <c r="DE72" i="17"/>
  <c r="DE73" i="17"/>
  <c r="DE74" i="17"/>
  <c r="DE75" i="17"/>
  <c r="DE76" i="17"/>
  <c r="DE77" i="17"/>
  <c r="DE78" i="17"/>
  <c r="DE79" i="17"/>
  <c r="DE80" i="17"/>
  <c r="DE81" i="17"/>
  <c r="DE82" i="17"/>
  <c r="DE83" i="17"/>
  <c r="DE84" i="17"/>
  <c r="DE85" i="17"/>
  <c r="DE86" i="17"/>
  <c r="DE87" i="17"/>
  <c r="DE88" i="17"/>
  <c r="DE89" i="17"/>
  <c r="DE90" i="17"/>
  <c r="DE91" i="17"/>
  <c r="DE92" i="17"/>
  <c r="DE93" i="17"/>
  <c r="DE94" i="17"/>
  <c r="DE95" i="17"/>
  <c r="DE96" i="17"/>
  <c r="DE97" i="17"/>
  <c r="DE98" i="17"/>
  <c r="DE99" i="17"/>
  <c r="DE100" i="17"/>
  <c r="DE101" i="17"/>
  <c r="DE102" i="17"/>
  <c r="DE103" i="17"/>
  <c r="DE104" i="17"/>
  <c r="DE105" i="17"/>
  <c r="DE106" i="17"/>
  <c r="DE107" i="17"/>
  <c r="DE108" i="17"/>
  <c r="DE109" i="17"/>
  <c r="DE110" i="17"/>
  <c r="DE111" i="17"/>
  <c r="DE112" i="17"/>
  <c r="DE113" i="17"/>
  <c r="DE114" i="17"/>
  <c r="DE115" i="17"/>
  <c r="DE116" i="17"/>
  <c r="DE117" i="17"/>
  <c r="DE118" i="17"/>
  <c r="DE119" i="17"/>
  <c r="DE120" i="17"/>
  <c r="DE121" i="17"/>
  <c r="DE122" i="17"/>
  <c r="DE123" i="17"/>
  <c r="DE124" i="17"/>
  <c r="DE125" i="17"/>
  <c r="DE126" i="17"/>
  <c r="DE127" i="17"/>
  <c r="DE128" i="17"/>
  <c r="DE129" i="17"/>
  <c r="DE130" i="17"/>
  <c r="DE131" i="17"/>
  <c r="DE132" i="17"/>
  <c r="DE133" i="17"/>
  <c r="DE134" i="17"/>
  <c r="DE135" i="17"/>
  <c r="DE136" i="17"/>
  <c r="DE137" i="17"/>
  <c r="DE138" i="17"/>
  <c r="DE139" i="17"/>
  <c r="DE140" i="17"/>
  <c r="DE141" i="17"/>
  <c r="DE142" i="17"/>
  <c r="DE143" i="17"/>
  <c r="DE144" i="17"/>
  <c r="DE145" i="17"/>
  <c r="DE146" i="17"/>
  <c r="DE147" i="17"/>
  <c r="DE148" i="17"/>
  <c r="DE149" i="17"/>
  <c r="DE150" i="17"/>
  <c r="DE151" i="17"/>
  <c r="DE152" i="17"/>
  <c r="DE153" i="17"/>
  <c r="DE154" i="17"/>
  <c r="DE155" i="17"/>
  <c r="DE156" i="17"/>
  <c r="DE157" i="17"/>
  <c r="DE158" i="17"/>
  <c r="DE159" i="17"/>
  <c r="DE160" i="17"/>
  <c r="DE161" i="17"/>
  <c r="DE162" i="17"/>
  <c r="DE163" i="17"/>
  <c r="DE164" i="17"/>
  <c r="DE165" i="17"/>
  <c r="DE166" i="17"/>
  <c r="DE167" i="17"/>
  <c r="DE168" i="17"/>
  <c r="DE169" i="17"/>
  <c r="DE170" i="17"/>
  <c r="DE171" i="17"/>
  <c r="DE172" i="17"/>
  <c r="DE173" i="17"/>
  <c r="DE174" i="17"/>
  <c r="DE175" i="17"/>
  <c r="DE176" i="17"/>
  <c r="DE177" i="17"/>
  <c r="DE178" i="17"/>
  <c r="DE179" i="17"/>
  <c r="DE180" i="17"/>
  <c r="DE181" i="17"/>
  <c r="DE182" i="17"/>
  <c r="DE183" i="17"/>
  <c r="DE184" i="17"/>
  <c r="DE185" i="17"/>
  <c r="DE186" i="17"/>
  <c r="DE187" i="17"/>
  <c r="DE188" i="17"/>
  <c r="DE189" i="17"/>
  <c r="DE190" i="17"/>
  <c r="DE191" i="17"/>
  <c r="DE192" i="17"/>
  <c r="DE193" i="17"/>
  <c r="DE194" i="17"/>
  <c r="DE195" i="17"/>
  <c r="DE196" i="17"/>
  <c r="DE197" i="17"/>
  <c r="DE198" i="17"/>
  <c r="DE199" i="17"/>
  <c r="DE200" i="17"/>
  <c r="DE201" i="17"/>
  <c r="DE202" i="17"/>
  <c r="DE203" i="17"/>
  <c r="DE204" i="17"/>
  <c r="DE205" i="17"/>
  <c r="DE206" i="17"/>
  <c r="DE207" i="17"/>
  <c r="DE208" i="17"/>
  <c r="DE209" i="17"/>
  <c r="DE210" i="17"/>
  <c r="DE211" i="17"/>
  <c r="DE212" i="17"/>
  <c r="DE213" i="17"/>
  <c r="DE214" i="17"/>
  <c r="DE215" i="17"/>
  <c r="DE216" i="17"/>
  <c r="DE217" i="17"/>
  <c r="DE218" i="17"/>
  <c r="DE219" i="17"/>
  <c r="DE220" i="17"/>
  <c r="DE221" i="17"/>
  <c r="DE222" i="17"/>
  <c r="DE223" i="17"/>
  <c r="DE224" i="17"/>
  <c r="DE225" i="17"/>
  <c r="DE226" i="17"/>
  <c r="DE227" i="17"/>
  <c r="DE228" i="17"/>
  <c r="DE229" i="17"/>
  <c r="DE230" i="17"/>
  <c r="DE231" i="17"/>
  <c r="DE232" i="17"/>
  <c r="DE233" i="17"/>
  <c r="DE234" i="17"/>
  <c r="DE235" i="17"/>
  <c r="DE236" i="17"/>
  <c r="DE237" i="17"/>
  <c r="DE238" i="17"/>
  <c r="DE239" i="17"/>
  <c r="DE240" i="17"/>
  <c r="DE241" i="17"/>
  <c r="DE242" i="17"/>
  <c r="DE243" i="17"/>
  <c r="DE244" i="17"/>
  <c r="DE245" i="17"/>
  <c r="DE246" i="17"/>
  <c r="DE247" i="17"/>
  <c r="DE248" i="17"/>
  <c r="DE249" i="17"/>
  <c r="DE250" i="17"/>
  <c r="DE251" i="17"/>
  <c r="DE252" i="17"/>
  <c r="DE253" i="17"/>
  <c r="DE254" i="17"/>
  <c r="DE255" i="17"/>
  <c r="DE256" i="17"/>
  <c r="DE257" i="17"/>
  <c r="DE258" i="17"/>
  <c r="DE259" i="17"/>
  <c r="DE260" i="17"/>
  <c r="DE261" i="17"/>
  <c r="DE262" i="17"/>
  <c r="DE263" i="17"/>
  <c r="DE264" i="17"/>
  <c r="DE265" i="17"/>
  <c r="DE25" i="17"/>
  <c r="DH26" i="17"/>
  <c r="DH27" i="17"/>
  <c r="DH28" i="17"/>
  <c r="DH29" i="17"/>
  <c r="DH30" i="17"/>
  <c r="DH31" i="17"/>
  <c r="DH32" i="17"/>
  <c r="DH33" i="17"/>
  <c r="DH34" i="17"/>
  <c r="DH35" i="17"/>
  <c r="DH36" i="17"/>
  <c r="DH37" i="17"/>
  <c r="DH38" i="17"/>
  <c r="DH39" i="17"/>
  <c r="DH40" i="17"/>
  <c r="DH41" i="17"/>
  <c r="DH42" i="17"/>
  <c r="DH43" i="17"/>
  <c r="DH44" i="17"/>
  <c r="DH45" i="17"/>
  <c r="DH46" i="17"/>
  <c r="DH47" i="17"/>
  <c r="DH48" i="17"/>
  <c r="DH49" i="17"/>
  <c r="DH50" i="17"/>
  <c r="DH51" i="17"/>
  <c r="DH52" i="17"/>
  <c r="DH53" i="17"/>
  <c r="DH54" i="17"/>
  <c r="DH55" i="17"/>
  <c r="DH56" i="17"/>
  <c r="DH57" i="17"/>
  <c r="DH58" i="17"/>
  <c r="DH59" i="17"/>
  <c r="DH60" i="17"/>
  <c r="DH61" i="17"/>
  <c r="DH62" i="17"/>
  <c r="DH63" i="17"/>
  <c r="DH64" i="17"/>
  <c r="DH65" i="17"/>
  <c r="DH66" i="17"/>
  <c r="DH67" i="17"/>
  <c r="DH68" i="17"/>
  <c r="DH69" i="17"/>
  <c r="DH70" i="17"/>
  <c r="DH71" i="17"/>
  <c r="DH72" i="17"/>
  <c r="DH73" i="17"/>
  <c r="DH74" i="17"/>
  <c r="DH75" i="17"/>
  <c r="DH76" i="17"/>
  <c r="DH77" i="17"/>
  <c r="DH78" i="17"/>
  <c r="DH79" i="17"/>
  <c r="DH80" i="17"/>
  <c r="DH81" i="17"/>
  <c r="DH82" i="17"/>
  <c r="DH83" i="17"/>
  <c r="DH84" i="17"/>
  <c r="DH85" i="17"/>
  <c r="DH86" i="17"/>
  <c r="DH87" i="17"/>
  <c r="DH88" i="17"/>
  <c r="DH89" i="17"/>
  <c r="DH90" i="17"/>
  <c r="DH91" i="17"/>
  <c r="DH92" i="17"/>
  <c r="DH93" i="17"/>
  <c r="DH94" i="17"/>
  <c r="DH95" i="17"/>
  <c r="DH96" i="17"/>
  <c r="DH97" i="17"/>
  <c r="DH98" i="17"/>
  <c r="DH99" i="17"/>
  <c r="DH100" i="17"/>
  <c r="DH101" i="17"/>
  <c r="DH102" i="17"/>
  <c r="DH103" i="17"/>
  <c r="DH104" i="17"/>
  <c r="DH105" i="17"/>
  <c r="DH106" i="17"/>
  <c r="DH107" i="17"/>
  <c r="DH108" i="17"/>
  <c r="DH109" i="17"/>
  <c r="DH110" i="17"/>
  <c r="DH111" i="17"/>
  <c r="DH112" i="17"/>
  <c r="DH113" i="17"/>
  <c r="DH114" i="17"/>
  <c r="DH115" i="17"/>
  <c r="DH116" i="17"/>
  <c r="DH117" i="17"/>
  <c r="DH118" i="17"/>
  <c r="DH119" i="17"/>
  <c r="DH120" i="17"/>
  <c r="DH121" i="17"/>
  <c r="DH122" i="17"/>
  <c r="DH123" i="17"/>
  <c r="DH124" i="17"/>
  <c r="DH125" i="17"/>
  <c r="DH126" i="17"/>
  <c r="DH127" i="17"/>
  <c r="DH128" i="17"/>
  <c r="DH129" i="17"/>
  <c r="DH130" i="17"/>
  <c r="DH131" i="17"/>
  <c r="DH132" i="17"/>
  <c r="DH133" i="17"/>
  <c r="DH134" i="17"/>
  <c r="DH135" i="17"/>
  <c r="DH136" i="17"/>
  <c r="DH137" i="17"/>
  <c r="DH138" i="17"/>
  <c r="DH139" i="17"/>
  <c r="DH140" i="17"/>
  <c r="DH141" i="17"/>
  <c r="DH142" i="17"/>
  <c r="DH143" i="17"/>
  <c r="DH144" i="17"/>
  <c r="DH145" i="17"/>
  <c r="DH146" i="17"/>
  <c r="DH147" i="17"/>
  <c r="DH148" i="17"/>
  <c r="DH149" i="17"/>
  <c r="DH150" i="17"/>
  <c r="DH151" i="17"/>
  <c r="DH152" i="17"/>
  <c r="DH153" i="17"/>
  <c r="DH154" i="17"/>
  <c r="DH155" i="17"/>
  <c r="DH156" i="17"/>
  <c r="DH157" i="17"/>
  <c r="DH158" i="17"/>
  <c r="DH159" i="17"/>
  <c r="DH160" i="17"/>
  <c r="DH161" i="17"/>
  <c r="DH162" i="17"/>
  <c r="DH163" i="17"/>
  <c r="DH164" i="17"/>
  <c r="DH165" i="17"/>
  <c r="DH166" i="17"/>
  <c r="DH167" i="17"/>
  <c r="DH168" i="17"/>
  <c r="DH169" i="17"/>
  <c r="DH170" i="17"/>
  <c r="DH171" i="17"/>
  <c r="DH172" i="17"/>
  <c r="DH173" i="17"/>
  <c r="DH174" i="17"/>
  <c r="DH175" i="17"/>
  <c r="DH176" i="17"/>
  <c r="DH177" i="17"/>
  <c r="DH178" i="17"/>
  <c r="DH179" i="17"/>
  <c r="DH180" i="17"/>
  <c r="DH181" i="17"/>
  <c r="DH182" i="17"/>
  <c r="DH183" i="17"/>
  <c r="DH184" i="17"/>
  <c r="DH185" i="17"/>
  <c r="DH186" i="17"/>
  <c r="DH187" i="17"/>
  <c r="DH188" i="17"/>
  <c r="DH189" i="17"/>
  <c r="DH190" i="17"/>
  <c r="DH191" i="17"/>
  <c r="DH192" i="17"/>
  <c r="DH193" i="17"/>
  <c r="DH194" i="17"/>
  <c r="DH195" i="17"/>
  <c r="DH196" i="17"/>
  <c r="DH197" i="17"/>
  <c r="DH198" i="17"/>
  <c r="DH199" i="17"/>
  <c r="DH200" i="17"/>
  <c r="DH201" i="17"/>
  <c r="DH202" i="17"/>
  <c r="DH203" i="17"/>
  <c r="DH204" i="17"/>
  <c r="DH205" i="17"/>
  <c r="DH206" i="17"/>
  <c r="DH207" i="17"/>
  <c r="DH208" i="17"/>
  <c r="DH209" i="17"/>
  <c r="DH210" i="17"/>
  <c r="DH211" i="17"/>
  <c r="DH212" i="17"/>
  <c r="DH213" i="17"/>
  <c r="DH214" i="17"/>
  <c r="DH215" i="17"/>
  <c r="DH216" i="17"/>
  <c r="DH217" i="17"/>
  <c r="DH218" i="17"/>
  <c r="DH219" i="17"/>
  <c r="DH220" i="17"/>
  <c r="DH221" i="17"/>
  <c r="DH222" i="17"/>
  <c r="DH223" i="17"/>
  <c r="DH224" i="17"/>
  <c r="DH225" i="17"/>
  <c r="DH226" i="17"/>
  <c r="DH227" i="17"/>
  <c r="DH228" i="17"/>
  <c r="DH229" i="17"/>
  <c r="DH230" i="17"/>
  <c r="DH231" i="17"/>
  <c r="DH232" i="17"/>
  <c r="DH233" i="17"/>
  <c r="DH234" i="17"/>
  <c r="DH235" i="17"/>
  <c r="DH236" i="17"/>
  <c r="DH237" i="17"/>
  <c r="DH238" i="17"/>
  <c r="DH239" i="17"/>
  <c r="DH240" i="17"/>
  <c r="DH241" i="17"/>
  <c r="DH242" i="17"/>
  <c r="DH243" i="17"/>
  <c r="DH244" i="17"/>
  <c r="DH245" i="17"/>
  <c r="DH246" i="17"/>
  <c r="DH247" i="17"/>
  <c r="DH248" i="17"/>
  <c r="DH249" i="17"/>
  <c r="DH250" i="17"/>
  <c r="DH251" i="17"/>
  <c r="DH252" i="17"/>
  <c r="DH253" i="17"/>
  <c r="DH254" i="17"/>
  <c r="DH255" i="17"/>
  <c r="DH256" i="17"/>
  <c r="DH257" i="17"/>
  <c r="DH258" i="17"/>
  <c r="DH259" i="17"/>
  <c r="DH260" i="17"/>
  <c r="DH261" i="17"/>
  <c r="DH262" i="17"/>
  <c r="DH263" i="17"/>
  <c r="DH264" i="17"/>
  <c r="DH265" i="17"/>
  <c r="DH266" i="17"/>
  <c r="DH267" i="17"/>
  <c r="DH268" i="17"/>
  <c r="DH269" i="17"/>
  <c r="DH270" i="17"/>
  <c r="DH271" i="17"/>
  <c r="DH272" i="17"/>
  <c r="DH273" i="17"/>
  <c r="DH274" i="17"/>
  <c r="DH275" i="17"/>
  <c r="DH276" i="17"/>
  <c r="DH277" i="17"/>
  <c r="DH278" i="17"/>
  <c r="DH279" i="17"/>
  <c r="DH280" i="17"/>
  <c r="DH281" i="17"/>
  <c r="DH282" i="17"/>
  <c r="DH283" i="17"/>
  <c r="DH284" i="17"/>
  <c r="DH285" i="17"/>
  <c r="DH286" i="17"/>
  <c r="DH287" i="17"/>
  <c r="DH288" i="17"/>
  <c r="DH289" i="17"/>
  <c r="DH290" i="17"/>
  <c r="DH291" i="17"/>
  <c r="DH292" i="17"/>
  <c r="DH293" i="17"/>
  <c r="DH294" i="17"/>
  <c r="DH295" i="17"/>
  <c r="DH296" i="17"/>
  <c r="DH297" i="17"/>
  <c r="DH298" i="17"/>
  <c r="DH299" i="17"/>
  <c r="DH300" i="17"/>
  <c r="DH301" i="17"/>
  <c r="DH302" i="17"/>
  <c r="DH303" i="17"/>
  <c r="DH304" i="17"/>
  <c r="DH305" i="17"/>
  <c r="DH306" i="17"/>
  <c r="DH307" i="17"/>
  <c r="DH308" i="17"/>
  <c r="DH309" i="17"/>
  <c r="DH310" i="17"/>
  <c r="DH311" i="17"/>
  <c r="DH312" i="17"/>
  <c r="DH313" i="17"/>
  <c r="DH314" i="17"/>
  <c r="DH315" i="17"/>
  <c r="DH316" i="17"/>
  <c r="DH317" i="17"/>
  <c r="DH318" i="17"/>
  <c r="DH319" i="17"/>
  <c r="DH320" i="17"/>
  <c r="DH321" i="17"/>
  <c r="DH322" i="17"/>
  <c r="DH323" i="17"/>
  <c r="DH324" i="17"/>
  <c r="DH25" i="17"/>
  <c r="DS7" i="17"/>
  <c r="F72" i="17" s="1"/>
  <c r="DS6" i="17"/>
  <c r="F71" i="17" s="1"/>
  <c r="DS5" i="17"/>
  <c r="F70" i="17" s="1"/>
  <c r="CI21" i="17"/>
  <c r="DS3" i="17" s="1"/>
  <c r="CE28" i="17"/>
  <c r="CE23" i="17" s="1" a="1"/>
  <c r="CE23" i="17" s="1"/>
  <c r="G73" i="17" s="1"/>
  <c r="CE27" i="17"/>
  <c r="CE26" i="17"/>
  <c r="W17" i="17"/>
  <c r="W16" i="17"/>
  <c r="CI23" i="17" a="1"/>
  <c r="CI23" i="17" s="1"/>
  <c r="CS26" i="17"/>
  <c r="CS27" i="17"/>
  <c r="CS28" i="17"/>
  <c r="CS29" i="17"/>
  <c r="CS30" i="17"/>
  <c r="CS31" i="17"/>
  <c r="CS32" i="17"/>
  <c r="CS33" i="17"/>
  <c r="CS34" i="17"/>
  <c r="CS35" i="17"/>
  <c r="CS36" i="17"/>
  <c r="CS37" i="17"/>
  <c r="CS38" i="17"/>
  <c r="CS39" i="17"/>
  <c r="CS40" i="17"/>
  <c r="CS41" i="17"/>
  <c r="CS42" i="17"/>
  <c r="CS43" i="17"/>
  <c r="CS44" i="17"/>
  <c r="CS45" i="17"/>
  <c r="CS46" i="17"/>
  <c r="CS47" i="17"/>
  <c r="CS48" i="17"/>
  <c r="CS49" i="17"/>
  <c r="CS50" i="17"/>
  <c r="CS51" i="17"/>
  <c r="CS52" i="17"/>
  <c r="CS53" i="17"/>
  <c r="CS54" i="17"/>
  <c r="CS55" i="17"/>
  <c r="CS56" i="17"/>
  <c r="CS57" i="17"/>
  <c r="CS58" i="17"/>
  <c r="CS59" i="17"/>
  <c r="CS60" i="17"/>
  <c r="CS61" i="17"/>
  <c r="CS62" i="17"/>
  <c r="CS63" i="17"/>
  <c r="CS64" i="17"/>
  <c r="CS65" i="17"/>
  <c r="CS66" i="17"/>
  <c r="CS67" i="17"/>
  <c r="CS68" i="17"/>
  <c r="CS69" i="17"/>
  <c r="CS70" i="17"/>
  <c r="CS71" i="17"/>
  <c r="CS72" i="17"/>
  <c r="CS73" i="17"/>
  <c r="CS74" i="17"/>
  <c r="CS75" i="17"/>
  <c r="CS76" i="17"/>
  <c r="CS77" i="17"/>
  <c r="CS78" i="17"/>
  <c r="CS79" i="17"/>
  <c r="CS80" i="17"/>
  <c r="CS81" i="17"/>
  <c r="CS82" i="17"/>
  <c r="CS83" i="17"/>
  <c r="CS84" i="17"/>
  <c r="CS85" i="17"/>
  <c r="CS86" i="17"/>
  <c r="CS87" i="17"/>
  <c r="CS88" i="17"/>
  <c r="CS89" i="17"/>
  <c r="CS90" i="17"/>
  <c r="CS91" i="17"/>
  <c r="CS92" i="17"/>
  <c r="CS93" i="17"/>
  <c r="CS94" i="17"/>
  <c r="CS95" i="17"/>
  <c r="CS96" i="17"/>
  <c r="CS97" i="17"/>
  <c r="CS98" i="17"/>
  <c r="CS99" i="17"/>
  <c r="CS100" i="17"/>
  <c r="CS101" i="17"/>
  <c r="CS102" i="17"/>
  <c r="CS103" i="17"/>
  <c r="CS104" i="17"/>
  <c r="CS105" i="17"/>
  <c r="CS106" i="17"/>
  <c r="CS107" i="17"/>
  <c r="CS108" i="17"/>
  <c r="CS109" i="17"/>
  <c r="CS110" i="17"/>
  <c r="CS111" i="17"/>
  <c r="CS112" i="17"/>
  <c r="CS113" i="17"/>
  <c r="CS114" i="17"/>
  <c r="CS115" i="17"/>
  <c r="CS116" i="17"/>
  <c r="CS117" i="17"/>
  <c r="CS118" i="17"/>
  <c r="CS119" i="17"/>
  <c r="CS25" i="17"/>
  <c r="CV26" i="17"/>
  <c r="CV27" i="17"/>
  <c r="CV28" i="17"/>
  <c r="CV29" i="17"/>
  <c r="CV30" i="17"/>
  <c r="CV31" i="17"/>
  <c r="CV32" i="17"/>
  <c r="CV33" i="17"/>
  <c r="CV34" i="17"/>
  <c r="CV35" i="17"/>
  <c r="CV36" i="17"/>
  <c r="CV37" i="17"/>
  <c r="CV38" i="17"/>
  <c r="CV39" i="17"/>
  <c r="CV40" i="17"/>
  <c r="CV41" i="17"/>
  <c r="CV42" i="17"/>
  <c r="CV43" i="17"/>
  <c r="CV44" i="17"/>
  <c r="CV45" i="17"/>
  <c r="CV46" i="17"/>
  <c r="CV47" i="17"/>
  <c r="CV48" i="17"/>
  <c r="CV49" i="17"/>
  <c r="CV50" i="17"/>
  <c r="CV51" i="17"/>
  <c r="CV52" i="17"/>
  <c r="CV53" i="17"/>
  <c r="CV54" i="17"/>
  <c r="CV55" i="17"/>
  <c r="CV56" i="17"/>
  <c r="CV57" i="17"/>
  <c r="CV58" i="17"/>
  <c r="CV59" i="17"/>
  <c r="CV60" i="17"/>
  <c r="CV61" i="17"/>
  <c r="CV62" i="17"/>
  <c r="CV63" i="17"/>
  <c r="CV64" i="17"/>
  <c r="CV65" i="17"/>
  <c r="CV66" i="17"/>
  <c r="CV67" i="17"/>
  <c r="CV68" i="17"/>
  <c r="CV69" i="17"/>
  <c r="CV70" i="17"/>
  <c r="CV71" i="17"/>
  <c r="CV72" i="17"/>
  <c r="CV73" i="17"/>
  <c r="CV74" i="17"/>
  <c r="CV75" i="17"/>
  <c r="CV76" i="17"/>
  <c r="CV77" i="17"/>
  <c r="CV78" i="17"/>
  <c r="CV79" i="17"/>
  <c r="CV80" i="17"/>
  <c r="CV81" i="17"/>
  <c r="CV82" i="17"/>
  <c r="CV83" i="17"/>
  <c r="CV84" i="17"/>
  <c r="CV85" i="17"/>
  <c r="CV86" i="17"/>
  <c r="CV87" i="17"/>
  <c r="CV88" i="17"/>
  <c r="CV89" i="17"/>
  <c r="CV90" i="17"/>
  <c r="CV91" i="17"/>
  <c r="CV92" i="17"/>
  <c r="CV93" i="17"/>
  <c r="CV94" i="17"/>
  <c r="CV95" i="17"/>
  <c r="CV96" i="17"/>
  <c r="CV97" i="17"/>
  <c r="CV98" i="17"/>
  <c r="CV99" i="17"/>
  <c r="CV100" i="17"/>
  <c r="CV101" i="17"/>
  <c r="CV102" i="17"/>
  <c r="CV103" i="17"/>
  <c r="CV104" i="17"/>
  <c r="CV105" i="17"/>
  <c r="CV106" i="17"/>
  <c r="CV107" i="17"/>
  <c r="CV108" i="17"/>
  <c r="CV109" i="17"/>
  <c r="CV110" i="17"/>
  <c r="CV111" i="17"/>
  <c r="CV112" i="17"/>
  <c r="CV113" i="17"/>
  <c r="CV114" i="17"/>
  <c r="CV115" i="17"/>
  <c r="CV116" i="17"/>
  <c r="CV117" i="17"/>
  <c r="CV118" i="17"/>
  <c r="CV119" i="17"/>
  <c r="CV120" i="17"/>
  <c r="CV121" i="17"/>
  <c r="CV122" i="17"/>
  <c r="CV123" i="17"/>
  <c r="CV124" i="17"/>
  <c r="CV125" i="17"/>
  <c r="CV126" i="17"/>
  <c r="CV127" i="17"/>
  <c r="CV128" i="17"/>
  <c r="CV129" i="17"/>
  <c r="CV130" i="17"/>
  <c r="CV131" i="17"/>
  <c r="CV132" i="17"/>
  <c r="CV133" i="17"/>
  <c r="CV134" i="17"/>
  <c r="CV135" i="17"/>
  <c r="CV136" i="17"/>
  <c r="CV137" i="17"/>
  <c r="CV138" i="17"/>
  <c r="CV139" i="17"/>
  <c r="CV140" i="17"/>
  <c r="CV141" i="17"/>
  <c r="CV142" i="17"/>
  <c r="CV143" i="17"/>
  <c r="CV144" i="17"/>
  <c r="CV145" i="17"/>
  <c r="CV146" i="17"/>
  <c r="CV147" i="17"/>
  <c r="CV148" i="17"/>
  <c r="CV149" i="17"/>
  <c r="CV150" i="17"/>
  <c r="CV151" i="17"/>
  <c r="CV152" i="17"/>
  <c r="CV153" i="17"/>
  <c r="CV154" i="17"/>
  <c r="CV155" i="17"/>
  <c r="CV156" i="17"/>
  <c r="CV157" i="17"/>
  <c r="CV158" i="17"/>
  <c r="CV159" i="17"/>
  <c r="CV160" i="17"/>
  <c r="CV161" i="17"/>
  <c r="CV162" i="17"/>
  <c r="CV163" i="17"/>
  <c r="CV164" i="17"/>
  <c r="CV165" i="17"/>
  <c r="CV166" i="17"/>
  <c r="CV167" i="17"/>
  <c r="CV168" i="17"/>
  <c r="CV169" i="17"/>
  <c r="CV170" i="17"/>
  <c r="CV171" i="17"/>
  <c r="CV172" i="17"/>
  <c r="CV173" i="17"/>
  <c r="CV174" i="17"/>
  <c r="CV175" i="17"/>
  <c r="CV176" i="17"/>
  <c r="CV177" i="17"/>
  <c r="CV178" i="17"/>
  <c r="CV179" i="17"/>
  <c r="CV180" i="17"/>
  <c r="CV181" i="17"/>
  <c r="CV182" i="17"/>
  <c r="CV183" i="17"/>
  <c r="CV184" i="17"/>
  <c r="CV185" i="17"/>
  <c r="CV186" i="17"/>
  <c r="CV187" i="17"/>
  <c r="CV188" i="17"/>
  <c r="CV189" i="17"/>
  <c r="CV190" i="17"/>
  <c r="CV191" i="17"/>
  <c r="CV192" i="17"/>
  <c r="CV193" i="17"/>
  <c r="CV194" i="17"/>
  <c r="CV195" i="17"/>
  <c r="CV196" i="17"/>
  <c r="CV197" i="17"/>
  <c r="CV198" i="17"/>
  <c r="CV199" i="17"/>
  <c r="CV200" i="17"/>
  <c r="CV201" i="17"/>
  <c r="CV202" i="17"/>
  <c r="CV203" i="17"/>
  <c r="CV204" i="17"/>
  <c r="CV205" i="17"/>
  <c r="CV206" i="17"/>
  <c r="CV207" i="17"/>
  <c r="CV208" i="17"/>
  <c r="CV209" i="17"/>
  <c r="CV210" i="17"/>
  <c r="CV211" i="17"/>
  <c r="CV212" i="17"/>
  <c r="CV213" i="17"/>
  <c r="CV214" i="17"/>
  <c r="CV215" i="17"/>
  <c r="CV216" i="17"/>
  <c r="CV217" i="17"/>
  <c r="CV218" i="17"/>
  <c r="CV219" i="17"/>
  <c r="CV220" i="17"/>
  <c r="CV221" i="17"/>
  <c r="CV222" i="17"/>
  <c r="CV223" i="17"/>
  <c r="CV224" i="17"/>
  <c r="CV225" i="17"/>
  <c r="CV226" i="17"/>
  <c r="CV227" i="17"/>
  <c r="CV228" i="17"/>
  <c r="CV229" i="17"/>
  <c r="CV230" i="17"/>
  <c r="CV231" i="17"/>
  <c r="CV232" i="17"/>
  <c r="CV233" i="17"/>
  <c r="CV234" i="17"/>
  <c r="CV235" i="17"/>
  <c r="CV236" i="17"/>
  <c r="CV237" i="17"/>
  <c r="CV238" i="17"/>
  <c r="CV239" i="17"/>
  <c r="CV240" i="17"/>
  <c r="CV241" i="17"/>
  <c r="CV242" i="17"/>
  <c r="CV243" i="17"/>
  <c r="CV244" i="17"/>
  <c r="CV245" i="17"/>
  <c r="CV246" i="17"/>
  <c r="CV247" i="17"/>
  <c r="CV248" i="17"/>
  <c r="CV249" i="17"/>
  <c r="CV250" i="17"/>
  <c r="CV251" i="17"/>
  <c r="CV252" i="17"/>
  <c r="CV253" i="17"/>
  <c r="CV254" i="17"/>
  <c r="CV255" i="17"/>
  <c r="CV256" i="17"/>
  <c r="CV257" i="17"/>
  <c r="CV258" i="17"/>
  <c r="CV259" i="17"/>
  <c r="CV260" i="17"/>
  <c r="CV261" i="17"/>
  <c r="CV262" i="17"/>
  <c r="CV263" i="17"/>
  <c r="CV264" i="17"/>
  <c r="CV265" i="17"/>
  <c r="CV25" i="17"/>
  <c r="CY26" i="17"/>
  <c r="CY27" i="17"/>
  <c r="CY28" i="17"/>
  <c r="CY29" i="17"/>
  <c r="CY30" i="17"/>
  <c r="CY31" i="17"/>
  <c r="CY32" i="17"/>
  <c r="CY33" i="17"/>
  <c r="CY34" i="17"/>
  <c r="CY35" i="17"/>
  <c r="CY36" i="17"/>
  <c r="CY37" i="17"/>
  <c r="CY38" i="17"/>
  <c r="CY39" i="17"/>
  <c r="CY40" i="17"/>
  <c r="CY41" i="17"/>
  <c r="CY42" i="17"/>
  <c r="CY43" i="17"/>
  <c r="CY44" i="17"/>
  <c r="CY45" i="17"/>
  <c r="CY46" i="17"/>
  <c r="CY47" i="17"/>
  <c r="CY48" i="17"/>
  <c r="CY49" i="17"/>
  <c r="CY50" i="17"/>
  <c r="CY51" i="17"/>
  <c r="CY52" i="17"/>
  <c r="CY53" i="17"/>
  <c r="CY54" i="17"/>
  <c r="CY55" i="17"/>
  <c r="CY56" i="17"/>
  <c r="CY57" i="17"/>
  <c r="CY58" i="17"/>
  <c r="CY59" i="17"/>
  <c r="CY60" i="17"/>
  <c r="CY61" i="17"/>
  <c r="CY62" i="17"/>
  <c r="CY63" i="17"/>
  <c r="CY64" i="17"/>
  <c r="CY65" i="17"/>
  <c r="CY66" i="17"/>
  <c r="CY67" i="17"/>
  <c r="CY68" i="17"/>
  <c r="CY69" i="17"/>
  <c r="CY70" i="17"/>
  <c r="CY71" i="17"/>
  <c r="CY72" i="17"/>
  <c r="CY73" i="17"/>
  <c r="CY74" i="17"/>
  <c r="CY75" i="17"/>
  <c r="CY76" i="17"/>
  <c r="CY77" i="17"/>
  <c r="CY78" i="17"/>
  <c r="CY79" i="17"/>
  <c r="CY80" i="17"/>
  <c r="CY81" i="17"/>
  <c r="CY82" i="17"/>
  <c r="CY83" i="17"/>
  <c r="CY84" i="17"/>
  <c r="CY85" i="17"/>
  <c r="CY86" i="17"/>
  <c r="CY87" i="17"/>
  <c r="CY88" i="17"/>
  <c r="CY89" i="17"/>
  <c r="CY90" i="17"/>
  <c r="CY91" i="17"/>
  <c r="CY92" i="17"/>
  <c r="CY93" i="17"/>
  <c r="CY94" i="17"/>
  <c r="CY95" i="17"/>
  <c r="CY96" i="17"/>
  <c r="CY97" i="17"/>
  <c r="CY98" i="17"/>
  <c r="CY99" i="17"/>
  <c r="CY100" i="17"/>
  <c r="CY101" i="17"/>
  <c r="CY102" i="17"/>
  <c r="CY103" i="17"/>
  <c r="CY104" i="17"/>
  <c r="CY105" i="17"/>
  <c r="CY106" i="17"/>
  <c r="CY107" i="17"/>
  <c r="CY108" i="17"/>
  <c r="CY109" i="17"/>
  <c r="CY110" i="17"/>
  <c r="CY111" i="17"/>
  <c r="CY112" i="17"/>
  <c r="CY113" i="17"/>
  <c r="CY114" i="17"/>
  <c r="CY115" i="17"/>
  <c r="CY116" i="17"/>
  <c r="CY117" i="17"/>
  <c r="CY118" i="17"/>
  <c r="CY119" i="17"/>
  <c r="CY120" i="17"/>
  <c r="CY121" i="17"/>
  <c r="CY122" i="17"/>
  <c r="CY123" i="17"/>
  <c r="CY124" i="17"/>
  <c r="CY125" i="17"/>
  <c r="CY126" i="17"/>
  <c r="CY127" i="17"/>
  <c r="CY128" i="17"/>
  <c r="CY129" i="17"/>
  <c r="CY130" i="17"/>
  <c r="CY131" i="17"/>
  <c r="CY132" i="17"/>
  <c r="CY133" i="17"/>
  <c r="CY134" i="17"/>
  <c r="CY135" i="17"/>
  <c r="CY136" i="17"/>
  <c r="CY137" i="17"/>
  <c r="CY138" i="17"/>
  <c r="CY139" i="17"/>
  <c r="CY140" i="17"/>
  <c r="CY141" i="17"/>
  <c r="CY142" i="17"/>
  <c r="CY143" i="17"/>
  <c r="CY144" i="17"/>
  <c r="CY145" i="17"/>
  <c r="CY146" i="17"/>
  <c r="CY147" i="17"/>
  <c r="CY148" i="17"/>
  <c r="CY149" i="17"/>
  <c r="CY150" i="17"/>
  <c r="CY151" i="17"/>
  <c r="CY152" i="17"/>
  <c r="CY153" i="17"/>
  <c r="CY154" i="17"/>
  <c r="CY155" i="17"/>
  <c r="CY156" i="17"/>
  <c r="CY157" i="17"/>
  <c r="CY158" i="17"/>
  <c r="CY159" i="17"/>
  <c r="CY160" i="17"/>
  <c r="CY161" i="17"/>
  <c r="CY162" i="17"/>
  <c r="CY163" i="17"/>
  <c r="CY164" i="17"/>
  <c r="CY165" i="17"/>
  <c r="CY166" i="17"/>
  <c r="CY167" i="17"/>
  <c r="CY168" i="17"/>
  <c r="CY169" i="17"/>
  <c r="CY170" i="17"/>
  <c r="CY171" i="17"/>
  <c r="CY172" i="17"/>
  <c r="CY173" i="17"/>
  <c r="CY174" i="17"/>
  <c r="CY175" i="17"/>
  <c r="CY176" i="17"/>
  <c r="CY177" i="17"/>
  <c r="CY178" i="17"/>
  <c r="CY179" i="17"/>
  <c r="CY180" i="17"/>
  <c r="CY181" i="17"/>
  <c r="CY182" i="17"/>
  <c r="CY183" i="17"/>
  <c r="CY184" i="17"/>
  <c r="CY185" i="17"/>
  <c r="CY186" i="17"/>
  <c r="CY187" i="17"/>
  <c r="CY188" i="17"/>
  <c r="CY189" i="17"/>
  <c r="CY190" i="17"/>
  <c r="CY191" i="17"/>
  <c r="CY192" i="17"/>
  <c r="CY193" i="17"/>
  <c r="CY194" i="17"/>
  <c r="CY195" i="17"/>
  <c r="CY196" i="17"/>
  <c r="CY197" i="17"/>
  <c r="CY198" i="17"/>
  <c r="CY199" i="17"/>
  <c r="CY200" i="17"/>
  <c r="CY201" i="17"/>
  <c r="CY202" i="17"/>
  <c r="CY203" i="17"/>
  <c r="CY204" i="17"/>
  <c r="CY205" i="17"/>
  <c r="CY206" i="17"/>
  <c r="CY207" i="17"/>
  <c r="CY208" i="17"/>
  <c r="CY209" i="17"/>
  <c r="CY210" i="17"/>
  <c r="CY211" i="17"/>
  <c r="CY212" i="17"/>
  <c r="CY213" i="17"/>
  <c r="CY214" i="17"/>
  <c r="CY215" i="17"/>
  <c r="CY216" i="17"/>
  <c r="CY217" i="17"/>
  <c r="CY218" i="17"/>
  <c r="CY219" i="17"/>
  <c r="CY220" i="17"/>
  <c r="CY221" i="17"/>
  <c r="CY222" i="17"/>
  <c r="CY223" i="17"/>
  <c r="CY224" i="17"/>
  <c r="CY225" i="17"/>
  <c r="CY226" i="17"/>
  <c r="CY227" i="17"/>
  <c r="CY228" i="17"/>
  <c r="CY229" i="17"/>
  <c r="CY230" i="17"/>
  <c r="CY231" i="17"/>
  <c r="CY232" i="17"/>
  <c r="CY233" i="17"/>
  <c r="CY234" i="17"/>
  <c r="CY235" i="17"/>
  <c r="CY236" i="17"/>
  <c r="CY237" i="17"/>
  <c r="CY238" i="17"/>
  <c r="CY239" i="17"/>
  <c r="CY240" i="17"/>
  <c r="CY241" i="17"/>
  <c r="CY242" i="17"/>
  <c r="CY243" i="17"/>
  <c r="CY244" i="17"/>
  <c r="CY245" i="17"/>
  <c r="CY246" i="17"/>
  <c r="CY247" i="17"/>
  <c r="CY248" i="17"/>
  <c r="CY249" i="17"/>
  <c r="CY250" i="17"/>
  <c r="CY251" i="17"/>
  <c r="CY252" i="17"/>
  <c r="CY253" i="17"/>
  <c r="CY254" i="17"/>
  <c r="CY255" i="17"/>
  <c r="CY256" i="17"/>
  <c r="CY257" i="17"/>
  <c r="CY258" i="17"/>
  <c r="CY259" i="17"/>
  <c r="CY260" i="17"/>
  <c r="CY261" i="17"/>
  <c r="CY262" i="17"/>
  <c r="CY263" i="17"/>
  <c r="CY264" i="17"/>
  <c r="CY265" i="17"/>
  <c r="CY266" i="17"/>
  <c r="CY267" i="17"/>
  <c r="CY268" i="17"/>
  <c r="CY269" i="17"/>
  <c r="CY270" i="17"/>
  <c r="CY271" i="17"/>
  <c r="CY272" i="17"/>
  <c r="CY273" i="17"/>
  <c r="CY274" i="17"/>
  <c r="CY275" i="17"/>
  <c r="CY276" i="17"/>
  <c r="CY277" i="17"/>
  <c r="CY278" i="17"/>
  <c r="CY279" i="17"/>
  <c r="CY280" i="17"/>
  <c r="CY281" i="17"/>
  <c r="CY282" i="17"/>
  <c r="CY283" i="17"/>
  <c r="CY284" i="17"/>
  <c r="CY285" i="17"/>
  <c r="CY286" i="17"/>
  <c r="CY287" i="17"/>
  <c r="CY288" i="17"/>
  <c r="CY289" i="17"/>
  <c r="CY290" i="17"/>
  <c r="CY291" i="17"/>
  <c r="CY292" i="17"/>
  <c r="CY293" i="17"/>
  <c r="CY294" i="17"/>
  <c r="CY295" i="17"/>
  <c r="CY296" i="17"/>
  <c r="CY297" i="17"/>
  <c r="CY298" i="17"/>
  <c r="CY299" i="17"/>
  <c r="CY300" i="17"/>
  <c r="CY301" i="17"/>
  <c r="CY302" i="17"/>
  <c r="CY303" i="17"/>
  <c r="CY304" i="17"/>
  <c r="CY305" i="17"/>
  <c r="CY306" i="17"/>
  <c r="CY307" i="17"/>
  <c r="CY308" i="17"/>
  <c r="CY309" i="17"/>
  <c r="CY310" i="17"/>
  <c r="CY311" i="17"/>
  <c r="CY312" i="17"/>
  <c r="CY313" i="17"/>
  <c r="CY314" i="17"/>
  <c r="CY315" i="17"/>
  <c r="CY316" i="17"/>
  <c r="CY317" i="17"/>
  <c r="CY318" i="17"/>
  <c r="CY319" i="17"/>
  <c r="CY320" i="17"/>
  <c r="CY321" i="17"/>
  <c r="CY322" i="17"/>
  <c r="CY323" i="17"/>
  <c r="CY324" i="17"/>
  <c r="CY25" i="17"/>
  <c r="EJ8" i="17"/>
  <c r="F83" i="17" s="1"/>
  <c r="EJ7" i="17"/>
  <c r="F82" i="17" s="1"/>
  <c r="EJ6" i="17"/>
  <c r="F81" i="17" s="1"/>
  <c r="EJ5" i="17"/>
  <c r="F80" i="17" s="1"/>
  <c r="BW32" i="17"/>
  <c r="EJ3" i="17" s="1"/>
  <c r="V46" i="17"/>
  <c r="V45" i="17"/>
  <c r="W19" i="17"/>
  <c r="W18" i="17"/>
  <c r="BX23" i="17" a="1"/>
  <c r="BX23" i="17" s="1"/>
  <c r="G79" i="17" s="1"/>
  <c r="AE28" i="17" a="1"/>
  <c r="AE28" i="17" s="1"/>
  <c r="AE27" i="17" a="1"/>
  <c r="AE27" i="17" s="1"/>
  <c r="AD28" i="17" a="1"/>
  <c r="AD28" i="17" s="1"/>
  <c r="AD27" i="17" a="1"/>
  <c r="AD27" i="17" s="1"/>
  <c r="AC28" i="17" a="1"/>
  <c r="AC28" i="17" s="1"/>
  <c r="AC27" i="17" a="1"/>
  <c r="AC27" i="17" s="1"/>
  <c r="AB28" i="17" a="1"/>
  <c r="AB28" i="17" s="1"/>
  <c r="AB27" i="17" a="1"/>
  <c r="AB27" i="17" s="1"/>
  <c r="AA28" i="17" a="1"/>
  <c r="AA28" i="17" s="1"/>
  <c r="AA27" i="17" a="1"/>
  <c r="AA27" i="17" s="1"/>
  <c r="Z28" i="17" a="1"/>
  <c r="Z28" i="17" s="1"/>
  <c r="Z27" i="17" a="1"/>
  <c r="Z27" i="17" s="1"/>
  <c r="Y28" i="17" a="1"/>
  <c r="Y28" i="17" s="1"/>
  <c r="Y27" i="17" a="1"/>
  <c r="Y27" i="17" s="1"/>
  <c r="X28" i="17" a="1"/>
  <c r="X28" i="17" s="1"/>
  <c r="X27" i="17" a="1"/>
  <c r="X27" i="17" s="1"/>
  <c r="W28" i="17" a="1"/>
  <c r="W28" i="17" s="1"/>
  <c r="W27" i="17" a="1"/>
  <c r="W27" i="17" s="1"/>
  <c r="W11" i="17"/>
  <c r="W12" i="17"/>
  <c r="W20" i="17"/>
  <c r="BO23" i="17" a="1"/>
  <c r="BO23" i="17" s="1"/>
  <c r="W15" i="17"/>
  <c r="W14" i="17"/>
  <c r="BK23" i="17" a="1"/>
  <c r="BK23" i="17" s="1"/>
  <c r="W13" i="17"/>
  <c r="AI90" i="17"/>
  <c r="AI89" i="17" s="1"/>
  <c r="EF3" i="17"/>
  <c r="BU28" i="17"/>
  <c r="BU27" i="17"/>
  <c r="BU26" i="17"/>
  <c r="BU25" i="17"/>
  <c r="BU22" i="17"/>
  <c r="U23" i="17"/>
  <c r="AK90" i="17"/>
  <c r="AK89" i="17" s="1"/>
  <c r="AG89" i="17"/>
  <c r="EA3" i="17"/>
  <c r="EN3" i="17"/>
  <c r="Y87" i="17" a="1"/>
  <c r="Y87" i="17" s="1"/>
  <c r="Y86" i="17" a="1"/>
  <c r="Y86" i="17" s="1"/>
  <c r="Y85" i="17" a="1"/>
  <c r="Y85" i="17" s="1"/>
  <c r="Y84" i="17" a="1"/>
  <c r="Y84" i="17" s="1"/>
  <c r="Y83" i="17" a="1"/>
  <c r="Y83" i="17" s="1"/>
  <c r="Y80" i="17" s="1" a="1"/>
  <c r="Y80" i="17" s="1"/>
  <c r="Y82" i="17" a="1"/>
  <c r="Y82" i="17" s="1"/>
  <c r="AT23" i="17" a="1"/>
  <c r="AT23" i="17" s="1"/>
  <c r="BL1" i="19"/>
  <c r="BF15" i="19"/>
  <c r="AW15" i="19"/>
  <c r="AZ15" i="19"/>
  <c r="AT15" i="19"/>
  <c r="AQ15" i="19"/>
  <c r="AN15" i="19"/>
  <c r="BS9" i="33"/>
  <c r="B57" i="40" a="1"/>
  <c r="B60" i="40" a="1"/>
  <c r="C56" i="40" a="1"/>
  <c r="B47" i="40" a="1"/>
  <c r="B49" i="40" a="1"/>
  <c r="B48" i="40" a="1"/>
  <c r="B59" i="40" a="1"/>
  <c r="B58" i="40" a="1"/>
  <c r="BX10" i="19" l="1"/>
  <c r="DR49" i="43"/>
  <c r="DS48" i="43"/>
  <c r="DK51" i="43"/>
  <c r="DP50" i="43"/>
  <c r="DQ50" i="43" s="1"/>
  <c r="DT50" i="43" s="1"/>
  <c r="DU50" i="43" s="1"/>
  <c r="DM50" i="43"/>
  <c r="C56" i="40"/>
  <c r="DW3" i="17"/>
  <c r="G74" i="17"/>
  <c r="B48" i="40"/>
  <c r="B49" i="40"/>
  <c r="B47" i="40"/>
  <c r="G69" i="17"/>
  <c r="G75" i="17"/>
  <c r="DO6" i="17"/>
  <c r="G68" i="17"/>
  <c r="DO3" i="17"/>
  <c r="G67" i="17"/>
  <c r="DH51" i="43"/>
  <c r="DG52" i="43"/>
  <c r="DO52" i="43" s="1"/>
  <c r="DP52" i="43" s="1"/>
  <c r="DQ51" i="43"/>
  <c r="DI649" i="43"/>
  <c r="DO649" i="43"/>
  <c r="DK649" i="43"/>
  <c r="DP648" i="43"/>
  <c r="L26" i="43"/>
  <c r="M26" i="43" s="1"/>
  <c r="N26" i="43" s="1"/>
  <c r="O26" i="43" s="1"/>
  <c r="K27" i="43"/>
  <c r="L27" i="43" s="1"/>
  <c r="M27" i="43" s="1"/>
  <c r="N27" i="43" s="1"/>
  <c r="O27" i="43" s="1"/>
  <c r="B58" i="40"/>
  <c r="B59" i="40"/>
  <c r="B60" i="40"/>
  <c r="B57" i="40"/>
  <c r="DU8" i="17"/>
  <c r="CB14" i="19"/>
  <c r="CB15" i="19"/>
  <c r="CB16" i="19"/>
  <c r="X16" i="17"/>
  <c r="AH24" i="17"/>
  <c r="AE21" i="17" a="1"/>
  <c r="AE21" i="17" s="1"/>
  <c r="BU23" i="17" a="1"/>
  <c r="BU23" i="17" s="1"/>
  <c r="AM21" i="17" a="1"/>
  <c r="AM21" i="17" s="1"/>
  <c r="AN21" i="17" a="1"/>
  <c r="AN21" i="17" s="1"/>
  <c r="DB23" i="17" a="1"/>
  <c r="DB23" i="17" s="1"/>
  <c r="G71" i="17" s="1"/>
  <c r="CY23" i="17" a="1"/>
  <c r="CY23" i="17" s="1"/>
  <c r="G80" i="17" s="1"/>
  <c r="CS23" i="17" a="1"/>
  <c r="CS23" i="17" s="1"/>
  <c r="G81" i="17" s="1"/>
  <c r="CV23" i="17" a="1"/>
  <c r="CV23" i="17" s="1"/>
  <c r="G82" i="17" s="1"/>
  <c r="DH23" i="17" a="1"/>
  <c r="DH23" i="17" s="1"/>
  <c r="G70" i="17" s="1"/>
  <c r="DE23" i="17" a="1"/>
  <c r="DE23" i="17" s="1"/>
  <c r="G72" i="17" s="1"/>
  <c r="AT7" i="33"/>
  <c r="BP9" i="33"/>
  <c r="BV9" i="33"/>
  <c r="AT6" i="33"/>
  <c r="BR21" i="16"/>
  <c r="BL21" i="16"/>
  <c r="BI21" i="16"/>
  <c r="BF21" i="16"/>
  <c r="BC21" i="16"/>
  <c r="AZ21" i="16"/>
  <c r="AW21" i="16"/>
  <c r="AT21" i="16"/>
  <c r="AQ21" i="16"/>
  <c r="AN21" i="16"/>
  <c r="CF9" i="33"/>
  <c r="CC9" i="33"/>
  <c r="BY9" i="33"/>
  <c r="BC9" i="33"/>
  <c r="AZ9" i="33"/>
  <c r="AC9" i="33"/>
  <c r="AV9" i="33"/>
  <c r="AR9" i="33"/>
  <c r="AN9" i="33"/>
  <c r="AF9" i="33"/>
  <c r="AZ19" i="16"/>
  <c r="AZ18" i="16"/>
  <c r="BK24" i="16"/>
  <c r="BK25" i="16"/>
  <c r="BK26" i="16"/>
  <c r="BK27" i="16"/>
  <c r="BK28" i="16"/>
  <c r="BK29" i="16"/>
  <c r="BK30" i="16"/>
  <c r="BK31" i="16"/>
  <c r="BK32" i="16"/>
  <c r="BK33" i="16"/>
  <c r="BK34" i="16"/>
  <c r="BK35" i="16"/>
  <c r="BK36" i="16"/>
  <c r="BK37" i="16"/>
  <c r="BK38" i="16"/>
  <c r="BK39" i="16"/>
  <c r="BK40" i="16"/>
  <c r="BK41" i="16"/>
  <c r="BK42" i="16"/>
  <c r="BK43" i="16"/>
  <c r="BK44" i="16"/>
  <c r="BK45" i="16"/>
  <c r="BK46" i="16"/>
  <c r="BK47" i="16"/>
  <c r="BK48" i="16"/>
  <c r="BK49" i="16"/>
  <c r="BK50" i="16"/>
  <c r="BK51" i="16"/>
  <c r="BK52" i="16"/>
  <c r="BK53" i="16"/>
  <c r="BK54" i="16"/>
  <c r="BK55" i="16"/>
  <c r="BK56" i="16"/>
  <c r="BK57" i="16"/>
  <c r="BK58" i="16"/>
  <c r="BK59" i="16"/>
  <c r="BK60" i="16"/>
  <c r="BK61" i="16"/>
  <c r="BK62" i="16"/>
  <c r="BK63" i="16"/>
  <c r="BK64" i="16"/>
  <c r="BK65" i="16"/>
  <c r="BK66" i="16"/>
  <c r="BK67" i="16"/>
  <c r="BK68" i="16"/>
  <c r="BK69" i="16"/>
  <c r="BK70" i="16"/>
  <c r="BK71" i="16"/>
  <c r="BK72" i="16"/>
  <c r="BK73" i="16"/>
  <c r="BK74" i="16"/>
  <c r="BK75" i="16"/>
  <c r="BK76" i="16"/>
  <c r="BK77" i="16"/>
  <c r="BK78" i="16"/>
  <c r="BK79" i="16"/>
  <c r="BK80" i="16"/>
  <c r="BK81" i="16"/>
  <c r="BK82" i="16"/>
  <c r="BK83" i="16"/>
  <c r="BK84" i="16"/>
  <c r="BK85" i="16"/>
  <c r="BK86" i="16"/>
  <c r="BK87" i="16"/>
  <c r="BK88" i="16"/>
  <c r="BK89" i="16"/>
  <c r="BK90" i="16"/>
  <c r="BK91" i="16"/>
  <c r="BK92" i="16"/>
  <c r="BK93" i="16"/>
  <c r="BK94" i="16"/>
  <c r="BK95" i="16"/>
  <c r="BK96" i="16"/>
  <c r="BK97" i="16"/>
  <c r="BK98" i="16"/>
  <c r="BK99" i="16"/>
  <c r="BK100" i="16"/>
  <c r="BK101" i="16"/>
  <c r="BK102" i="16"/>
  <c r="BK103" i="16"/>
  <c r="BK104" i="16"/>
  <c r="BK105" i="16"/>
  <c r="BK106" i="16"/>
  <c r="BK107" i="16"/>
  <c r="BK108" i="16"/>
  <c r="BK109" i="16"/>
  <c r="BK110" i="16"/>
  <c r="BK111" i="16"/>
  <c r="BK112" i="16"/>
  <c r="BK113" i="16"/>
  <c r="BK114" i="16"/>
  <c r="BK115" i="16"/>
  <c r="BK116" i="16"/>
  <c r="BK117" i="16"/>
  <c r="BK118" i="16"/>
  <c r="BK119" i="16"/>
  <c r="BK120" i="16"/>
  <c r="BK121" i="16"/>
  <c r="BK122" i="16"/>
  <c r="BK123" i="16"/>
  <c r="BK124" i="16"/>
  <c r="BK125" i="16"/>
  <c r="BK126" i="16"/>
  <c r="BK127" i="16"/>
  <c r="BK128" i="16"/>
  <c r="BK129" i="16"/>
  <c r="BK130" i="16"/>
  <c r="BK131" i="16"/>
  <c r="BK132" i="16"/>
  <c r="BK133" i="16"/>
  <c r="BK134" i="16"/>
  <c r="BK135" i="16"/>
  <c r="BK136" i="16"/>
  <c r="BK137" i="16"/>
  <c r="BK138" i="16"/>
  <c r="BK139" i="16"/>
  <c r="BK140" i="16"/>
  <c r="BK141" i="16"/>
  <c r="BK142" i="16"/>
  <c r="BK143" i="16"/>
  <c r="BK144" i="16"/>
  <c r="BK145" i="16"/>
  <c r="BK146" i="16"/>
  <c r="BK147" i="16"/>
  <c r="BK148" i="16"/>
  <c r="BK149" i="16"/>
  <c r="BK150" i="16"/>
  <c r="BK151" i="16"/>
  <c r="BK152" i="16"/>
  <c r="BK153" i="16"/>
  <c r="BK154" i="16"/>
  <c r="BK155" i="16"/>
  <c r="BK156" i="16"/>
  <c r="BK157" i="16"/>
  <c r="BK158" i="16"/>
  <c r="BK159" i="16"/>
  <c r="BK160" i="16"/>
  <c r="BK161" i="16"/>
  <c r="BK162" i="16"/>
  <c r="BK163" i="16"/>
  <c r="BK164" i="16"/>
  <c r="BK165" i="16"/>
  <c r="BK166" i="16"/>
  <c r="BK167" i="16"/>
  <c r="BK168" i="16"/>
  <c r="BK169" i="16"/>
  <c r="BK170" i="16"/>
  <c r="BK171" i="16"/>
  <c r="BK172" i="16"/>
  <c r="BK173" i="16"/>
  <c r="BK174" i="16"/>
  <c r="BK175" i="16"/>
  <c r="BK176" i="16"/>
  <c r="BK177" i="16"/>
  <c r="BK178" i="16"/>
  <c r="BK179" i="16"/>
  <c r="BK180" i="16"/>
  <c r="BK181" i="16"/>
  <c r="BK182" i="16"/>
  <c r="BK183" i="16"/>
  <c r="BK184" i="16"/>
  <c r="BK185" i="16"/>
  <c r="BK186" i="16"/>
  <c r="BK187" i="16"/>
  <c r="BK188" i="16"/>
  <c r="BK189" i="16"/>
  <c r="BK190" i="16"/>
  <c r="BK191" i="16"/>
  <c r="BK192" i="16"/>
  <c r="BK193" i="16"/>
  <c r="BK194" i="16"/>
  <c r="BK195" i="16"/>
  <c r="BK196" i="16"/>
  <c r="BK197" i="16"/>
  <c r="BK198" i="16"/>
  <c r="BK199" i="16"/>
  <c r="BK200" i="16"/>
  <c r="BK201" i="16"/>
  <c r="BK202" i="16"/>
  <c r="BK203" i="16"/>
  <c r="BK204" i="16"/>
  <c r="BK205" i="16"/>
  <c r="BK206" i="16"/>
  <c r="BK207" i="16"/>
  <c r="BK208" i="16"/>
  <c r="BK209" i="16"/>
  <c r="BK210" i="16"/>
  <c r="BK211" i="16"/>
  <c r="BK212" i="16"/>
  <c r="BK213" i="16"/>
  <c r="BK214" i="16"/>
  <c r="BK215" i="16"/>
  <c r="BK216" i="16"/>
  <c r="BK217" i="16"/>
  <c r="BK218" i="16"/>
  <c r="BK219" i="16"/>
  <c r="BK220" i="16"/>
  <c r="BK221" i="16"/>
  <c r="BK222" i="16"/>
  <c r="BK223" i="16"/>
  <c r="BK224" i="16"/>
  <c r="BK225" i="16"/>
  <c r="BK226" i="16"/>
  <c r="BK227" i="16"/>
  <c r="BK228" i="16"/>
  <c r="BK229" i="16"/>
  <c r="BK230" i="16"/>
  <c r="BK231" i="16"/>
  <c r="BK232" i="16"/>
  <c r="BK233" i="16"/>
  <c r="BK234" i="16"/>
  <c r="BK235" i="16"/>
  <c r="BK236" i="16"/>
  <c r="BK237" i="16"/>
  <c r="BK238" i="16"/>
  <c r="BK239" i="16"/>
  <c r="BK240" i="16"/>
  <c r="BK241" i="16"/>
  <c r="BK242" i="16"/>
  <c r="BK243" i="16"/>
  <c r="BK244" i="16"/>
  <c r="BK245" i="16"/>
  <c r="BK246" i="16"/>
  <c r="BK247" i="16"/>
  <c r="BK248" i="16"/>
  <c r="BK249" i="16"/>
  <c r="BK250" i="16"/>
  <c r="BK251" i="16"/>
  <c r="BK252" i="16"/>
  <c r="BK253" i="16"/>
  <c r="BK254" i="16"/>
  <c r="BK255" i="16"/>
  <c r="BK256" i="16"/>
  <c r="BK257" i="16"/>
  <c r="BK258" i="16"/>
  <c r="BK259" i="16"/>
  <c r="BK260" i="16"/>
  <c r="BK261" i="16"/>
  <c r="BK262" i="16"/>
  <c r="BK263" i="16"/>
  <c r="BK264" i="16"/>
  <c r="BK265" i="16"/>
  <c r="BK266" i="16"/>
  <c r="BK267" i="16"/>
  <c r="BK268" i="16"/>
  <c r="BK269" i="16"/>
  <c r="BK270" i="16"/>
  <c r="BK271" i="16"/>
  <c r="BK272" i="16"/>
  <c r="BK273" i="16"/>
  <c r="BK274" i="16"/>
  <c r="BK275" i="16"/>
  <c r="BK276" i="16"/>
  <c r="BK277" i="16"/>
  <c r="BK278" i="16"/>
  <c r="BK279" i="16"/>
  <c r="BK280" i="16"/>
  <c r="BK281" i="16"/>
  <c r="BK282" i="16"/>
  <c r="BK283" i="16"/>
  <c r="BK284" i="16"/>
  <c r="BK285" i="16"/>
  <c r="BK286" i="16"/>
  <c r="BK287" i="16"/>
  <c r="BK288" i="16"/>
  <c r="BK289" i="16"/>
  <c r="BK290" i="16"/>
  <c r="BK291" i="16"/>
  <c r="BK292" i="16"/>
  <c r="BK293" i="16"/>
  <c r="BK294" i="16"/>
  <c r="BK295" i="16"/>
  <c r="BK296" i="16"/>
  <c r="BK297" i="16"/>
  <c r="BK298" i="16"/>
  <c r="BK299" i="16"/>
  <c r="BK300" i="16"/>
  <c r="BK301" i="16"/>
  <c r="BK302" i="16"/>
  <c r="BK303" i="16"/>
  <c r="BK304" i="16"/>
  <c r="BK305" i="16"/>
  <c r="BK306" i="16"/>
  <c r="BK307" i="16"/>
  <c r="BK308" i="16"/>
  <c r="BK309" i="16"/>
  <c r="BK310" i="16"/>
  <c r="BK311" i="16"/>
  <c r="BK312" i="16"/>
  <c r="BK313" i="16"/>
  <c r="BK314" i="16"/>
  <c r="BK315" i="16"/>
  <c r="BK316" i="16"/>
  <c r="BK317" i="16"/>
  <c r="BK318" i="16"/>
  <c r="BK319" i="16"/>
  <c r="BK320" i="16"/>
  <c r="BK321" i="16"/>
  <c r="BK322" i="16"/>
  <c r="BK23" i="16"/>
  <c r="AY19" i="16"/>
  <c r="AY18" i="16"/>
  <c r="CI2" i="33"/>
  <c r="AI39" i="33"/>
  <c r="CP22" i="33"/>
  <c r="BR12" i="33"/>
  <c r="BR13" i="33"/>
  <c r="BR14" i="33"/>
  <c r="BR15" i="33"/>
  <c r="BR16" i="33"/>
  <c r="BR17" i="33"/>
  <c r="BR18" i="33"/>
  <c r="BR19" i="33"/>
  <c r="BR20" i="33"/>
  <c r="BR21" i="33"/>
  <c r="BR22" i="33"/>
  <c r="BR23" i="33"/>
  <c r="BR24" i="33"/>
  <c r="BR25" i="33"/>
  <c r="BR26" i="33"/>
  <c r="BR27" i="33"/>
  <c r="BR28" i="33"/>
  <c r="BR29" i="33"/>
  <c r="BR30" i="33"/>
  <c r="BR31" i="33"/>
  <c r="BR32" i="33"/>
  <c r="BR33" i="33"/>
  <c r="BR34" i="33"/>
  <c r="BR35" i="33"/>
  <c r="BR36" i="33"/>
  <c r="BR37" i="33"/>
  <c r="BR38" i="33"/>
  <c r="BR39" i="33"/>
  <c r="BR40" i="33"/>
  <c r="BR41" i="33"/>
  <c r="BR42" i="33"/>
  <c r="BR43" i="33"/>
  <c r="BR44" i="33"/>
  <c r="BR45" i="33"/>
  <c r="BR46" i="33"/>
  <c r="BR47" i="33"/>
  <c r="BR48" i="33"/>
  <c r="BR49" i="33"/>
  <c r="BR50" i="33"/>
  <c r="BR51" i="33"/>
  <c r="BR52" i="33"/>
  <c r="BR53" i="33"/>
  <c r="BR54" i="33"/>
  <c r="BR55" i="33"/>
  <c r="BR56" i="33"/>
  <c r="BR57" i="33"/>
  <c r="BR58" i="33"/>
  <c r="BR59" i="33"/>
  <c r="BR60" i="33"/>
  <c r="BR61" i="33"/>
  <c r="BR62" i="33"/>
  <c r="BR63" i="33"/>
  <c r="BR64" i="33"/>
  <c r="BR65" i="33"/>
  <c r="BR66" i="33"/>
  <c r="BR67" i="33"/>
  <c r="BR68" i="33"/>
  <c r="BR69" i="33"/>
  <c r="BR70" i="33"/>
  <c r="BR71" i="33"/>
  <c r="BR72" i="33"/>
  <c r="BR73" i="33"/>
  <c r="BR74" i="33"/>
  <c r="BR75" i="33"/>
  <c r="BR76" i="33"/>
  <c r="BR77" i="33"/>
  <c r="BR78" i="33"/>
  <c r="BR79" i="33"/>
  <c r="BR80" i="33"/>
  <c r="BR81" i="33"/>
  <c r="BR82" i="33"/>
  <c r="BR83" i="33"/>
  <c r="BR84" i="33"/>
  <c r="BR85" i="33"/>
  <c r="BR86" i="33"/>
  <c r="BR87" i="33"/>
  <c r="BR88" i="33"/>
  <c r="BR89" i="33"/>
  <c r="BR90" i="33"/>
  <c r="BR91" i="33"/>
  <c r="BR92" i="33"/>
  <c r="BR93" i="33"/>
  <c r="BR94" i="33"/>
  <c r="BR95" i="33"/>
  <c r="BR96" i="33"/>
  <c r="BR97" i="33"/>
  <c r="BR98" i="33"/>
  <c r="BR99" i="33"/>
  <c r="BR100" i="33"/>
  <c r="BR101" i="33"/>
  <c r="BR102" i="33"/>
  <c r="BR103" i="33"/>
  <c r="BR104" i="33"/>
  <c r="BR105" i="33"/>
  <c r="BU12" i="33"/>
  <c r="BU13" i="33"/>
  <c r="BU14" i="33"/>
  <c r="BU15" i="33"/>
  <c r="BU16" i="33"/>
  <c r="BU17" i="33"/>
  <c r="BU18" i="33"/>
  <c r="BU19" i="33"/>
  <c r="BU20" i="33"/>
  <c r="BU21" i="33"/>
  <c r="BU22" i="33"/>
  <c r="BU23" i="33"/>
  <c r="BU24" i="33"/>
  <c r="BU25" i="33"/>
  <c r="BU26" i="33"/>
  <c r="BU27" i="33"/>
  <c r="BU28" i="33"/>
  <c r="BU29" i="33"/>
  <c r="BU30" i="33"/>
  <c r="BU31" i="33"/>
  <c r="BU32" i="33"/>
  <c r="BU33" i="33"/>
  <c r="BU34" i="33"/>
  <c r="BU35" i="33"/>
  <c r="BU36" i="33"/>
  <c r="BU37" i="33"/>
  <c r="BU38" i="33"/>
  <c r="BU39" i="33"/>
  <c r="BU40" i="33"/>
  <c r="BU41" i="33"/>
  <c r="BU42" i="33"/>
  <c r="BU43" i="33"/>
  <c r="BU44" i="33"/>
  <c r="BU45" i="33"/>
  <c r="BU46" i="33"/>
  <c r="BU47" i="33"/>
  <c r="BU48" i="33"/>
  <c r="BU49" i="33"/>
  <c r="BU50" i="33"/>
  <c r="BU51" i="33"/>
  <c r="BU52" i="33"/>
  <c r="BU53" i="33"/>
  <c r="BU54" i="33"/>
  <c r="BU55" i="33"/>
  <c r="BU56" i="33"/>
  <c r="BU57" i="33"/>
  <c r="BU58" i="33"/>
  <c r="BU59" i="33"/>
  <c r="BU60" i="33"/>
  <c r="BU61" i="33"/>
  <c r="BU62" i="33"/>
  <c r="BU63" i="33"/>
  <c r="BU64" i="33"/>
  <c r="BU65" i="33"/>
  <c r="BU66" i="33"/>
  <c r="BU67" i="33"/>
  <c r="BU68" i="33"/>
  <c r="BU69" i="33"/>
  <c r="BU70" i="33"/>
  <c r="BU71" i="33"/>
  <c r="BU72" i="33"/>
  <c r="BU73" i="33"/>
  <c r="BU74" i="33"/>
  <c r="BU75" i="33"/>
  <c r="BU76" i="33"/>
  <c r="BU77" i="33"/>
  <c r="BU78" i="33"/>
  <c r="BU79" i="33"/>
  <c r="BU80" i="33"/>
  <c r="BU81" i="33"/>
  <c r="BU82" i="33"/>
  <c r="BU83" i="33"/>
  <c r="BU84" i="33"/>
  <c r="BU85" i="33"/>
  <c r="BU86" i="33"/>
  <c r="BU87" i="33"/>
  <c r="BU88" i="33"/>
  <c r="BU89" i="33"/>
  <c r="BU90" i="33"/>
  <c r="BU91" i="33"/>
  <c r="BU92" i="33"/>
  <c r="BU93" i="33"/>
  <c r="BU94" i="33"/>
  <c r="BU95" i="33"/>
  <c r="BU96" i="33"/>
  <c r="BU97" i="33"/>
  <c r="BU98" i="33"/>
  <c r="BU99" i="33"/>
  <c r="BU100" i="33"/>
  <c r="BU101" i="33"/>
  <c r="BU102" i="33"/>
  <c r="BU103" i="33"/>
  <c r="BU104" i="33"/>
  <c r="BU105" i="33"/>
  <c r="BU106" i="33"/>
  <c r="BU107" i="33"/>
  <c r="BU108" i="33"/>
  <c r="BU109" i="33"/>
  <c r="BU110" i="33"/>
  <c r="BU111" i="33"/>
  <c r="BU112" i="33"/>
  <c r="BU113" i="33"/>
  <c r="BU114" i="33"/>
  <c r="BU115" i="33"/>
  <c r="BU116" i="33"/>
  <c r="BU117" i="33"/>
  <c r="BU118" i="33"/>
  <c r="BU119" i="33"/>
  <c r="BU120" i="33"/>
  <c r="BU121" i="33"/>
  <c r="BU122" i="33"/>
  <c r="BU123" i="33"/>
  <c r="BU124" i="33"/>
  <c r="BU125" i="33"/>
  <c r="BU126" i="33"/>
  <c r="BU127" i="33"/>
  <c r="BU128" i="33"/>
  <c r="BU129" i="33"/>
  <c r="BU130" i="33"/>
  <c r="BU131" i="33"/>
  <c r="BU132" i="33"/>
  <c r="BU133" i="33"/>
  <c r="BU134" i="33"/>
  <c r="BU135" i="33"/>
  <c r="BU136" i="33"/>
  <c r="BU137" i="33"/>
  <c r="BU138" i="33"/>
  <c r="BU139" i="33"/>
  <c r="BU140" i="33"/>
  <c r="BU141" i="33"/>
  <c r="BU142" i="33"/>
  <c r="BU143" i="33"/>
  <c r="BU144" i="33"/>
  <c r="BU145" i="33"/>
  <c r="BU146" i="33"/>
  <c r="BU147" i="33"/>
  <c r="BU148" i="33"/>
  <c r="BU149" i="33"/>
  <c r="BU150" i="33"/>
  <c r="BU151" i="33"/>
  <c r="BU152" i="33"/>
  <c r="BU153" i="33"/>
  <c r="BU154" i="33"/>
  <c r="BU155" i="33"/>
  <c r="BU156" i="33"/>
  <c r="BU157" i="33"/>
  <c r="BU158" i="33"/>
  <c r="BU159" i="33"/>
  <c r="BU160" i="33"/>
  <c r="BU161" i="33"/>
  <c r="BU162" i="33"/>
  <c r="BU163" i="33"/>
  <c r="BU164" i="33"/>
  <c r="BU165" i="33"/>
  <c r="BU166" i="33"/>
  <c r="BU167" i="33"/>
  <c r="BU168" i="33"/>
  <c r="BU169" i="33"/>
  <c r="BU170" i="33"/>
  <c r="BU171" i="33"/>
  <c r="BU172" i="33"/>
  <c r="BU173" i="33"/>
  <c r="BU174" i="33"/>
  <c r="BU175" i="33"/>
  <c r="BU176" i="33"/>
  <c r="BU177" i="33"/>
  <c r="BU178" i="33"/>
  <c r="BU179" i="33"/>
  <c r="BU180" i="33"/>
  <c r="BU181" i="33"/>
  <c r="BU182" i="33"/>
  <c r="BU183" i="33"/>
  <c r="BU184" i="33"/>
  <c r="BU185" i="33"/>
  <c r="BU186" i="33"/>
  <c r="BU187" i="33"/>
  <c r="BU188" i="33"/>
  <c r="BU189" i="33"/>
  <c r="BU190" i="33"/>
  <c r="BU191" i="33"/>
  <c r="BU192" i="33"/>
  <c r="BU193" i="33"/>
  <c r="BU194" i="33"/>
  <c r="BU195" i="33"/>
  <c r="BU196" i="33"/>
  <c r="BU197" i="33"/>
  <c r="BU198" i="33"/>
  <c r="BU199" i="33"/>
  <c r="BU200" i="33"/>
  <c r="BU201" i="33"/>
  <c r="BU202" i="33"/>
  <c r="BU203" i="33"/>
  <c r="BU204" i="33"/>
  <c r="BU205" i="33"/>
  <c r="BU206" i="33"/>
  <c r="BU207" i="33"/>
  <c r="BU208" i="33"/>
  <c r="BU209" i="33"/>
  <c r="BU210" i="33"/>
  <c r="BU211" i="33"/>
  <c r="BU212" i="33"/>
  <c r="BU213" i="33"/>
  <c r="BU214" i="33"/>
  <c r="BU215" i="33"/>
  <c r="BU216" i="33"/>
  <c r="BU217" i="33"/>
  <c r="BU218" i="33"/>
  <c r="BU219" i="33"/>
  <c r="BU220" i="33"/>
  <c r="BU221" i="33"/>
  <c r="BU222" i="33"/>
  <c r="BU223" i="33"/>
  <c r="BU224" i="33"/>
  <c r="BU225" i="33"/>
  <c r="BU226" i="33"/>
  <c r="BU227" i="33"/>
  <c r="BU228" i="33"/>
  <c r="BU229" i="33"/>
  <c r="BU230" i="33"/>
  <c r="BU231" i="33"/>
  <c r="BU232" i="33"/>
  <c r="BU233" i="33"/>
  <c r="BU234" i="33"/>
  <c r="BU235" i="33"/>
  <c r="BU236" i="33"/>
  <c r="BU237" i="33"/>
  <c r="BU238" i="33"/>
  <c r="BU239" i="33"/>
  <c r="BU240" i="33"/>
  <c r="BU241" i="33"/>
  <c r="BU242" i="33"/>
  <c r="BU243" i="33"/>
  <c r="BU244" i="33"/>
  <c r="BU245" i="33"/>
  <c r="BU246" i="33"/>
  <c r="BU247" i="33"/>
  <c r="BU248" i="33"/>
  <c r="BU249" i="33"/>
  <c r="BU250" i="33"/>
  <c r="BU251" i="33"/>
  <c r="BX12" i="33"/>
  <c r="BX13" i="33"/>
  <c r="BX14" i="33"/>
  <c r="BX15" i="33"/>
  <c r="BX16" i="33"/>
  <c r="BX17" i="33"/>
  <c r="BX18" i="33"/>
  <c r="BX19" i="33"/>
  <c r="BX20" i="33"/>
  <c r="BX21" i="33"/>
  <c r="BX22" i="33"/>
  <c r="BX23" i="33"/>
  <c r="BX24" i="33"/>
  <c r="BX25" i="33"/>
  <c r="BX26" i="33"/>
  <c r="BX27" i="33"/>
  <c r="BX28" i="33"/>
  <c r="BX29" i="33"/>
  <c r="BX30" i="33"/>
  <c r="BX31" i="33"/>
  <c r="BX32" i="33"/>
  <c r="BX33" i="33"/>
  <c r="BX34" i="33"/>
  <c r="BX35" i="33"/>
  <c r="BX36" i="33"/>
  <c r="BX37" i="33"/>
  <c r="BX38" i="33"/>
  <c r="BX39" i="33"/>
  <c r="BX40" i="33"/>
  <c r="BX41" i="33"/>
  <c r="BX42" i="33"/>
  <c r="BX43" i="33"/>
  <c r="BX44" i="33"/>
  <c r="BX45" i="33"/>
  <c r="BX46" i="33"/>
  <c r="BX47" i="33"/>
  <c r="BX48" i="33"/>
  <c r="BX49" i="33"/>
  <c r="BX50" i="33"/>
  <c r="BX51" i="33"/>
  <c r="BX52" i="33"/>
  <c r="BX53" i="33"/>
  <c r="BX54" i="33"/>
  <c r="BX55" i="33"/>
  <c r="BX56" i="33"/>
  <c r="BX57" i="33"/>
  <c r="BX58" i="33"/>
  <c r="BX59" i="33"/>
  <c r="BX60" i="33"/>
  <c r="BX61" i="33"/>
  <c r="BX62" i="33"/>
  <c r="BX63" i="33"/>
  <c r="BX64" i="33"/>
  <c r="BX65" i="33"/>
  <c r="BX66" i="33"/>
  <c r="BX67" i="33"/>
  <c r="BX68" i="33"/>
  <c r="BX69" i="33"/>
  <c r="BX70" i="33"/>
  <c r="BX71" i="33"/>
  <c r="BX72" i="33"/>
  <c r="BX73" i="33"/>
  <c r="BX74" i="33"/>
  <c r="BX75" i="33"/>
  <c r="BX76" i="33"/>
  <c r="BX77" i="33"/>
  <c r="BX78" i="33"/>
  <c r="BX79" i="33"/>
  <c r="BX80" i="33"/>
  <c r="BX81" i="33"/>
  <c r="BX82" i="33"/>
  <c r="BX83" i="33"/>
  <c r="BX84" i="33"/>
  <c r="BX85" i="33"/>
  <c r="BX86" i="33"/>
  <c r="BX87" i="33"/>
  <c r="BX88" i="33"/>
  <c r="BX89" i="33"/>
  <c r="BX90" i="33"/>
  <c r="BX91" i="33"/>
  <c r="BX92" i="33"/>
  <c r="BX93" i="33"/>
  <c r="BX94" i="33"/>
  <c r="BX95" i="33"/>
  <c r="BX96" i="33"/>
  <c r="BX97" i="33"/>
  <c r="BX98" i="33"/>
  <c r="BX99" i="33"/>
  <c r="BX100" i="33"/>
  <c r="BX101" i="33"/>
  <c r="BX102" i="33"/>
  <c r="BX103" i="33"/>
  <c r="BX104" i="33"/>
  <c r="BX105" i="33"/>
  <c r="BX106" i="33"/>
  <c r="BX107" i="33"/>
  <c r="BX108" i="33"/>
  <c r="BX109" i="33"/>
  <c r="BX110" i="33"/>
  <c r="BX111" i="33"/>
  <c r="BX112" i="33"/>
  <c r="BX113" i="33"/>
  <c r="BX114" i="33"/>
  <c r="BX115" i="33"/>
  <c r="BX116" i="33"/>
  <c r="BX117" i="33"/>
  <c r="BX118" i="33"/>
  <c r="BX119" i="33"/>
  <c r="BX120" i="33"/>
  <c r="BX121" i="33"/>
  <c r="BX122" i="33"/>
  <c r="BX123" i="33"/>
  <c r="BX124" i="33"/>
  <c r="BX125" i="33"/>
  <c r="BX126" i="33"/>
  <c r="BX127" i="33"/>
  <c r="BX128" i="33"/>
  <c r="BX129" i="33"/>
  <c r="BX130" i="33"/>
  <c r="BX131" i="33"/>
  <c r="BX132" i="33"/>
  <c r="BX133" i="33"/>
  <c r="BX134" i="33"/>
  <c r="BX135" i="33"/>
  <c r="BX136" i="33"/>
  <c r="BX137" i="33"/>
  <c r="BX138" i="33"/>
  <c r="BX139" i="33"/>
  <c r="BX140" i="33"/>
  <c r="BX141" i="33"/>
  <c r="BX142" i="33"/>
  <c r="BX143" i="33"/>
  <c r="BX144" i="33"/>
  <c r="BX145" i="33"/>
  <c r="BX146" i="33"/>
  <c r="BX147" i="33"/>
  <c r="BX148" i="33"/>
  <c r="BX149" i="33"/>
  <c r="BX150" i="33"/>
  <c r="BX151" i="33"/>
  <c r="BX152" i="33"/>
  <c r="BX153" i="33"/>
  <c r="BX154" i="33"/>
  <c r="BX155" i="33"/>
  <c r="BX156" i="33"/>
  <c r="BX157" i="33"/>
  <c r="BX158" i="33"/>
  <c r="BX159" i="33"/>
  <c r="BX160" i="33"/>
  <c r="BX161" i="33"/>
  <c r="BX162" i="33"/>
  <c r="BX163" i="33"/>
  <c r="BX164" i="33"/>
  <c r="BX165" i="33"/>
  <c r="BX166" i="33"/>
  <c r="BX167" i="33"/>
  <c r="BX168" i="33"/>
  <c r="BX169" i="33"/>
  <c r="BX170" i="33"/>
  <c r="BX171" i="33"/>
  <c r="BX172" i="33"/>
  <c r="BX173" i="33"/>
  <c r="BX174" i="33"/>
  <c r="BX175" i="33"/>
  <c r="BX176" i="33"/>
  <c r="BX177" i="33"/>
  <c r="BX178" i="33"/>
  <c r="BX179" i="33"/>
  <c r="BX180" i="33"/>
  <c r="BX181" i="33"/>
  <c r="BX182" i="33"/>
  <c r="BX183" i="33"/>
  <c r="BX184" i="33"/>
  <c r="BX185" i="33"/>
  <c r="BX186" i="33"/>
  <c r="BX187" i="33"/>
  <c r="BX188" i="33"/>
  <c r="BX189" i="33"/>
  <c r="BX190" i="33"/>
  <c r="BX191" i="33"/>
  <c r="BX192" i="33"/>
  <c r="BX193" i="33"/>
  <c r="BX194" i="33"/>
  <c r="BX195" i="33"/>
  <c r="BX196" i="33"/>
  <c r="BX197" i="33"/>
  <c r="BX198" i="33"/>
  <c r="BX199" i="33"/>
  <c r="BX200" i="33"/>
  <c r="BX201" i="33"/>
  <c r="BX202" i="33"/>
  <c r="BX203" i="33"/>
  <c r="BX204" i="33"/>
  <c r="BX205" i="33"/>
  <c r="BX206" i="33"/>
  <c r="BX207" i="33"/>
  <c r="BX208" i="33"/>
  <c r="BX209" i="33"/>
  <c r="BX210" i="33"/>
  <c r="BX211" i="33"/>
  <c r="BX212" i="33"/>
  <c r="BX213" i="33"/>
  <c r="BX214" i="33"/>
  <c r="BX215" i="33"/>
  <c r="BX216" i="33"/>
  <c r="BX217" i="33"/>
  <c r="BX218" i="33"/>
  <c r="BX219" i="33"/>
  <c r="BX220" i="33"/>
  <c r="BX221" i="33"/>
  <c r="BX222" i="33"/>
  <c r="BX223" i="33"/>
  <c r="BX224" i="33"/>
  <c r="BX225" i="33"/>
  <c r="BX226" i="33"/>
  <c r="BX227" i="33"/>
  <c r="BX228" i="33"/>
  <c r="BX229" i="33"/>
  <c r="BX230" i="33"/>
  <c r="BX231" i="33"/>
  <c r="BX232" i="33"/>
  <c r="BX233" i="33"/>
  <c r="BX234" i="33"/>
  <c r="BX235" i="33"/>
  <c r="BX236" i="33"/>
  <c r="BX237" i="33"/>
  <c r="BX238" i="33"/>
  <c r="BX239" i="33"/>
  <c r="BX240" i="33"/>
  <c r="BX241" i="33"/>
  <c r="BX242" i="33"/>
  <c r="BX243" i="33"/>
  <c r="BX244" i="33"/>
  <c r="BX245" i="33"/>
  <c r="BX246" i="33"/>
  <c r="BX247" i="33"/>
  <c r="BX248" i="33"/>
  <c r="BX249" i="33"/>
  <c r="BX250" i="33"/>
  <c r="BX251" i="33"/>
  <c r="BX252" i="33"/>
  <c r="BX253" i="33"/>
  <c r="BX254" i="33"/>
  <c r="BX255" i="33"/>
  <c r="BX256" i="33"/>
  <c r="BX257" i="33"/>
  <c r="BX258" i="33"/>
  <c r="BX259" i="33"/>
  <c r="BX260" i="33"/>
  <c r="BX261" i="33"/>
  <c r="BX262" i="33"/>
  <c r="BX263" i="33"/>
  <c r="BX264" i="33"/>
  <c r="BX265" i="33"/>
  <c r="BX266" i="33"/>
  <c r="BX267" i="33"/>
  <c r="BX268" i="33"/>
  <c r="BX269" i="33"/>
  <c r="BX270" i="33"/>
  <c r="BX271" i="33"/>
  <c r="BX272" i="33"/>
  <c r="BX273" i="33"/>
  <c r="BX274" i="33"/>
  <c r="BX275" i="33"/>
  <c r="BX276" i="33"/>
  <c r="BX277" i="33"/>
  <c r="BX278" i="33"/>
  <c r="BX279" i="33"/>
  <c r="BX280" i="33"/>
  <c r="BX281" i="33"/>
  <c r="BX282" i="33"/>
  <c r="BX283" i="33"/>
  <c r="BX284" i="33"/>
  <c r="BX285" i="33"/>
  <c r="BX286" i="33"/>
  <c r="BX287" i="33"/>
  <c r="BX288" i="33"/>
  <c r="BX289" i="33"/>
  <c r="BX290" i="33"/>
  <c r="BX291" i="33"/>
  <c r="BX292" i="33"/>
  <c r="BX293" i="33"/>
  <c r="BX294" i="33"/>
  <c r="BX295" i="33"/>
  <c r="BX296" i="33"/>
  <c r="BX297" i="33"/>
  <c r="BX298" i="33"/>
  <c r="BX299" i="33"/>
  <c r="BX300" i="33"/>
  <c r="BX301" i="33"/>
  <c r="BX302" i="33"/>
  <c r="BX303" i="33"/>
  <c r="BX304" i="33"/>
  <c r="BX305" i="33"/>
  <c r="BX306" i="33"/>
  <c r="BX307" i="33"/>
  <c r="BX308" i="33"/>
  <c r="BX309" i="33"/>
  <c r="BX310" i="33"/>
  <c r="BX11" i="33"/>
  <c r="BU11" i="33"/>
  <c r="BU9" i="33" s="1" a="1"/>
  <c r="BU9" i="33" s="1"/>
  <c r="BR11" i="33"/>
  <c r="CP19" i="33"/>
  <c r="F45" i="33" s="1"/>
  <c r="CP18" i="33"/>
  <c r="F44" i="33" s="1"/>
  <c r="CP17" i="33"/>
  <c r="F43" i="33" s="1"/>
  <c r="AT9" i="33" a="1"/>
  <c r="AT9" i="33" s="1"/>
  <c r="BI12" i="33"/>
  <c r="BI13" i="33"/>
  <c r="BI15" i="33"/>
  <c r="BI16" i="33"/>
  <c r="BI19" i="33"/>
  <c r="BI22" i="33"/>
  <c r="BI23" i="33"/>
  <c r="BI24" i="33"/>
  <c r="BI25" i="33"/>
  <c r="BI27" i="33"/>
  <c r="BI28" i="33"/>
  <c r="BI29" i="33"/>
  <c r="BI30" i="33"/>
  <c r="BI31" i="33"/>
  <c r="BI32" i="33"/>
  <c r="BI34" i="33"/>
  <c r="BI35" i="33"/>
  <c r="BI36" i="33"/>
  <c r="BI37" i="33"/>
  <c r="BI39" i="33"/>
  <c r="BI11" i="33"/>
  <c r="BI9" i="33" s="1" a="1"/>
  <c r="BI9" i="33" s="1"/>
  <c r="AX9" i="33" a="1"/>
  <c r="AX9" i="33" s="1"/>
  <c r="AQ9" i="33"/>
  <c r="AP9" i="33" a="1"/>
  <c r="AP9" i="33" s="1"/>
  <c r="BI14" i="33"/>
  <c r="BI17" i="33"/>
  <c r="BI18" i="33"/>
  <c r="BI20" i="33"/>
  <c r="BI21" i="33"/>
  <c r="BI26" i="33"/>
  <c r="BI33" i="33"/>
  <c r="BI38" i="33"/>
  <c r="AH9" i="33" a="1"/>
  <c r="AH9" i="33" s="1"/>
  <c r="CE17" i="16"/>
  <c r="F42" i="16" s="1"/>
  <c r="AN19" i="16"/>
  <c r="AQ20" i="16"/>
  <c r="BH24" i="16"/>
  <c r="BH25" i="16"/>
  <c r="BH26" i="16"/>
  <c r="BH27" i="16"/>
  <c r="BH28" i="16"/>
  <c r="BH29" i="16"/>
  <c r="BH30" i="16"/>
  <c r="BH31" i="16"/>
  <c r="BH32" i="16"/>
  <c r="BH33" i="16"/>
  <c r="BH34" i="16"/>
  <c r="BH35" i="16"/>
  <c r="BH36" i="16"/>
  <c r="BH37" i="16"/>
  <c r="BH38" i="16"/>
  <c r="BH39" i="16"/>
  <c r="BH40" i="16"/>
  <c r="BH41" i="16"/>
  <c r="BH42" i="16"/>
  <c r="BH43" i="16"/>
  <c r="BH44" i="16"/>
  <c r="BH45" i="16"/>
  <c r="BH46" i="16"/>
  <c r="BH47" i="16"/>
  <c r="BH48" i="16"/>
  <c r="BH49" i="16"/>
  <c r="BH50" i="16"/>
  <c r="BH51" i="16"/>
  <c r="BH52" i="16"/>
  <c r="BH53" i="16"/>
  <c r="BH54" i="16"/>
  <c r="BH55" i="16"/>
  <c r="BH56" i="16"/>
  <c r="BH57" i="16"/>
  <c r="BH58" i="16"/>
  <c r="BH59" i="16"/>
  <c r="BH60" i="16"/>
  <c r="BH61" i="16"/>
  <c r="BH62" i="16"/>
  <c r="BH63" i="16"/>
  <c r="BH64" i="16"/>
  <c r="BH65" i="16"/>
  <c r="BH66" i="16"/>
  <c r="BH67" i="16"/>
  <c r="BH68" i="16"/>
  <c r="BH69" i="16"/>
  <c r="BH70" i="16"/>
  <c r="BH71" i="16"/>
  <c r="BH72" i="16"/>
  <c r="BH73" i="16"/>
  <c r="BH74" i="16"/>
  <c r="BH75" i="16"/>
  <c r="BH76" i="16"/>
  <c r="BH77" i="16"/>
  <c r="BH78" i="16"/>
  <c r="BH79" i="16"/>
  <c r="BH80" i="16"/>
  <c r="BH81" i="16"/>
  <c r="BH82" i="16"/>
  <c r="BH83" i="16"/>
  <c r="BH84" i="16"/>
  <c r="BH85" i="16"/>
  <c r="BH86" i="16"/>
  <c r="BH87" i="16"/>
  <c r="BH88" i="16"/>
  <c r="BH89" i="16"/>
  <c r="BH90" i="16"/>
  <c r="BH91" i="16"/>
  <c r="BH92" i="16"/>
  <c r="BH93" i="16"/>
  <c r="BH94" i="16"/>
  <c r="BH95" i="16"/>
  <c r="BH96" i="16"/>
  <c r="BH97" i="16"/>
  <c r="BH98" i="16"/>
  <c r="BH99" i="16"/>
  <c r="BH100" i="16"/>
  <c r="BH101" i="16"/>
  <c r="BH102" i="16"/>
  <c r="BH103" i="16"/>
  <c r="BH104" i="16"/>
  <c r="BH105" i="16"/>
  <c r="BH106" i="16"/>
  <c r="BH107" i="16"/>
  <c r="BH108" i="16"/>
  <c r="BH109" i="16"/>
  <c r="BH110" i="16"/>
  <c r="BH111" i="16"/>
  <c r="BH112" i="16"/>
  <c r="BH113" i="16"/>
  <c r="BH114" i="16"/>
  <c r="BH115" i="16"/>
  <c r="BH116" i="16"/>
  <c r="BH117" i="16"/>
  <c r="BH118" i="16"/>
  <c r="BH119" i="16"/>
  <c r="BH120" i="16"/>
  <c r="BH121" i="16"/>
  <c r="BH122" i="16"/>
  <c r="BH123" i="16"/>
  <c r="BH124" i="16"/>
  <c r="BH125" i="16"/>
  <c r="BH126" i="16"/>
  <c r="BH127" i="16"/>
  <c r="BH128" i="16"/>
  <c r="BH129" i="16"/>
  <c r="BH130" i="16"/>
  <c r="BH131" i="16"/>
  <c r="BH132" i="16"/>
  <c r="BH133" i="16"/>
  <c r="BH134" i="16"/>
  <c r="BH135" i="16"/>
  <c r="BH136" i="16"/>
  <c r="BH137" i="16"/>
  <c r="BH138" i="16"/>
  <c r="BH139" i="16"/>
  <c r="BH140" i="16"/>
  <c r="BH141" i="16"/>
  <c r="BH142" i="16"/>
  <c r="BH143" i="16"/>
  <c r="BH144" i="16"/>
  <c r="BH145" i="16"/>
  <c r="BH146" i="16"/>
  <c r="BH147" i="16"/>
  <c r="BH148" i="16"/>
  <c r="BH149" i="16"/>
  <c r="BH150" i="16"/>
  <c r="BH151" i="16"/>
  <c r="BH152" i="16"/>
  <c r="BH153" i="16"/>
  <c r="BH154" i="16"/>
  <c r="BH155" i="16"/>
  <c r="BH156" i="16"/>
  <c r="BH157" i="16"/>
  <c r="BH158" i="16"/>
  <c r="BH159" i="16"/>
  <c r="BH160" i="16"/>
  <c r="BH161" i="16"/>
  <c r="BH162" i="16"/>
  <c r="BH163" i="16"/>
  <c r="BH164" i="16"/>
  <c r="BH165" i="16"/>
  <c r="BH166" i="16"/>
  <c r="BH167" i="16"/>
  <c r="BH168" i="16"/>
  <c r="BH169" i="16"/>
  <c r="BH170" i="16"/>
  <c r="BH171" i="16"/>
  <c r="BH172" i="16"/>
  <c r="BH173" i="16"/>
  <c r="BH174" i="16"/>
  <c r="BH175" i="16"/>
  <c r="BH176" i="16"/>
  <c r="BH177" i="16"/>
  <c r="BH178" i="16"/>
  <c r="BH179" i="16"/>
  <c r="BH180" i="16"/>
  <c r="BH181" i="16"/>
  <c r="BH182" i="16"/>
  <c r="BH183" i="16"/>
  <c r="BH184" i="16"/>
  <c r="BH185" i="16"/>
  <c r="BH186" i="16"/>
  <c r="BH187" i="16"/>
  <c r="BH188" i="16"/>
  <c r="BH189" i="16"/>
  <c r="BH190" i="16"/>
  <c r="BH191" i="16"/>
  <c r="BH192" i="16"/>
  <c r="BH193" i="16"/>
  <c r="BH194" i="16"/>
  <c r="BH195" i="16"/>
  <c r="BH196" i="16"/>
  <c r="BH197" i="16"/>
  <c r="BH198" i="16"/>
  <c r="BH199" i="16"/>
  <c r="BH200" i="16"/>
  <c r="BH201" i="16"/>
  <c r="BH202" i="16"/>
  <c r="BH203" i="16"/>
  <c r="BH204" i="16"/>
  <c r="BH205" i="16"/>
  <c r="BH206" i="16"/>
  <c r="BH207" i="16"/>
  <c r="BH208" i="16"/>
  <c r="BH209" i="16"/>
  <c r="BH210" i="16"/>
  <c r="BH211" i="16"/>
  <c r="BH212" i="16"/>
  <c r="BH213" i="16"/>
  <c r="BH214" i="16"/>
  <c r="BH215" i="16"/>
  <c r="BH216" i="16"/>
  <c r="BH217" i="16"/>
  <c r="BH218" i="16"/>
  <c r="BH219" i="16"/>
  <c r="BH220" i="16"/>
  <c r="BH221" i="16"/>
  <c r="BH222" i="16"/>
  <c r="BH223" i="16"/>
  <c r="BH224" i="16"/>
  <c r="BH225" i="16"/>
  <c r="BH226" i="16"/>
  <c r="BH227" i="16"/>
  <c r="BH228" i="16"/>
  <c r="BH229" i="16"/>
  <c r="BH230" i="16"/>
  <c r="BH231" i="16"/>
  <c r="BH232" i="16"/>
  <c r="BH233" i="16"/>
  <c r="BH234" i="16"/>
  <c r="BH235" i="16"/>
  <c r="BH236" i="16"/>
  <c r="BH237" i="16"/>
  <c r="BH238" i="16"/>
  <c r="BH239" i="16"/>
  <c r="BH240" i="16"/>
  <c r="BH241" i="16"/>
  <c r="BH242" i="16"/>
  <c r="BH243" i="16"/>
  <c r="BH244" i="16"/>
  <c r="BH245" i="16"/>
  <c r="BH246" i="16"/>
  <c r="BH247" i="16"/>
  <c r="BH248" i="16"/>
  <c r="BH249" i="16"/>
  <c r="BH250" i="16"/>
  <c r="BH251" i="16"/>
  <c r="BH252" i="16"/>
  <c r="BH253" i="16"/>
  <c r="BH254" i="16"/>
  <c r="BH255" i="16"/>
  <c r="BH256" i="16"/>
  <c r="BH257" i="16"/>
  <c r="BH258" i="16"/>
  <c r="BH259" i="16"/>
  <c r="BH260" i="16"/>
  <c r="BH261" i="16"/>
  <c r="BH262" i="16"/>
  <c r="BH263" i="16"/>
  <c r="BE25" i="16"/>
  <c r="BE26" i="16"/>
  <c r="BE27" i="16"/>
  <c r="BE28" i="16"/>
  <c r="BE29" i="16"/>
  <c r="BE30" i="16"/>
  <c r="BE31" i="16"/>
  <c r="BE32" i="16"/>
  <c r="BE33" i="16"/>
  <c r="BE34" i="16"/>
  <c r="BE35" i="16"/>
  <c r="BE36" i="16"/>
  <c r="BE37" i="16"/>
  <c r="BE38" i="16"/>
  <c r="BE39" i="16"/>
  <c r="BE40" i="16"/>
  <c r="BE41" i="16"/>
  <c r="BE42" i="16"/>
  <c r="BE43" i="16"/>
  <c r="BE44" i="16"/>
  <c r="BE45" i="16"/>
  <c r="BE46" i="16"/>
  <c r="BE47" i="16"/>
  <c r="BE48" i="16"/>
  <c r="BE49" i="16"/>
  <c r="BE50" i="16"/>
  <c r="BE51" i="16"/>
  <c r="BE52" i="16"/>
  <c r="BE53" i="16"/>
  <c r="BE54" i="16"/>
  <c r="BE55" i="16"/>
  <c r="BE56" i="16"/>
  <c r="BE57" i="16"/>
  <c r="BE58" i="16"/>
  <c r="BE59" i="16"/>
  <c r="BE60" i="16"/>
  <c r="BE61" i="16"/>
  <c r="BE62" i="16"/>
  <c r="BE63" i="16"/>
  <c r="BE64" i="16"/>
  <c r="BE65" i="16"/>
  <c r="BE66" i="16"/>
  <c r="BE67" i="16"/>
  <c r="BE68" i="16"/>
  <c r="BE69" i="16"/>
  <c r="BE70" i="16"/>
  <c r="BE71" i="16"/>
  <c r="BE72" i="16"/>
  <c r="BE73" i="16"/>
  <c r="BE74" i="16"/>
  <c r="BE75" i="16"/>
  <c r="BE76" i="16"/>
  <c r="BE77" i="16"/>
  <c r="BE78" i="16"/>
  <c r="BE79" i="16"/>
  <c r="BE80" i="16"/>
  <c r="BE81" i="16"/>
  <c r="BE82" i="16"/>
  <c r="BE83" i="16"/>
  <c r="BE84" i="16"/>
  <c r="BE85" i="16"/>
  <c r="BE86" i="16"/>
  <c r="BE87" i="16"/>
  <c r="BE88" i="16"/>
  <c r="BE89" i="16"/>
  <c r="BE90" i="16"/>
  <c r="BE91" i="16"/>
  <c r="BE92" i="16"/>
  <c r="BE93" i="16"/>
  <c r="BE94" i="16"/>
  <c r="BE95" i="16"/>
  <c r="BE96" i="16"/>
  <c r="BE97" i="16"/>
  <c r="BE98" i="16"/>
  <c r="BE99" i="16"/>
  <c r="BE100" i="16"/>
  <c r="BE101" i="16"/>
  <c r="BE102" i="16"/>
  <c r="BE103" i="16"/>
  <c r="BE104" i="16"/>
  <c r="BE105" i="16"/>
  <c r="BE106" i="16"/>
  <c r="BE107" i="16"/>
  <c r="BE108" i="16"/>
  <c r="BE109" i="16"/>
  <c r="BE110" i="16"/>
  <c r="BE111" i="16"/>
  <c r="BE112" i="16"/>
  <c r="BE113" i="16"/>
  <c r="BE114" i="16"/>
  <c r="BE115" i="16"/>
  <c r="BE116" i="16"/>
  <c r="BE117" i="16"/>
  <c r="BE24" i="16"/>
  <c r="BH23" i="16"/>
  <c r="BE23" i="16"/>
  <c r="CE19" i="16"/>
  <c r="F44" i="16" s="1"/>
  <c r="CE18" i="16"/>
  <c r="F43" i="16" s="1"/>
  <c r="AW20" i="16"/>
  <c r="AY21" i="16" a="1"/>
  <c r="AY21" i="16" s="1"/>
  <c r="AT20" i="16"/>
  <c r="AV21" i="16" a="1"/>
  <c r="AV21" i="16" s="1"/>
  <c r="CE22" i="16"/>
  <c r="BL2" i="19"/>
  <c r="Z57" i="16"/>
  <c r="AZ20" i="16"/>
  <c r="C49" i="40" a="1"/>
  <c r="B35" i="40" a="1"/>
  <c r="B74" i="40" a="1"/>
  <c r="C51" i="40" a="1"/>
  <c r="B34" i="40" a="1"/>
  <c r="C44" i="40" a="1"/>
  <c r="B33" i="40" a="1"/>
  <c r="C46" i="40" a="1"/>
  <c r="C50" i="40" a="1"/>
  <c r="C48" i="40" a="1"/>
  <c r="B75" i="40" a="1"/>
  <c r="C47" i="40" a="1"/>
  <c r="C52" i="40" a="1"/>
  <c r="B76" i="40" a="1"/>
  <c r="C45" i="40" a="1"/>
  <c r="C59" i="40" a="1"/>
  <c r="C57" i="40" a="1"/>
  <c r="B77" i="40" a="1"/>
  <c r="C58" i="40" a="1"/>
  <c r="DT51" i="43" l="1"/>
  <c r="DU51" i="43" s="1"/>
  <c r="DN50" i="43"/>
  <c r="DM51" i="43"/>
  <c r="DN51" i="43" s="1"/>
  <c r="DK52" i="43"/>
  <c r="DS49" i="43"/>
  <c r="DR50" i="43"/>
  <c r="ED6" i="17"/>
  <c r="G77" i="17"/>
  <c r="C51" i="40"/>
  <c r="C48" i="40"/>
  <c r="C49" i="40"/>
  <c r="C52" i="40"/>
  <c r="C46" i="40"/>
  <c r="C45" i="40"/>
  <c r="C44" i="40"/>
  <c r="CF16" i="16"/>
  <c r="G41" i="16"/>
  <c r="CF12" i="16"/>
  <c r="G39" i="16"/>
  <c r="DH52" i="43"/>
  <c r="DG53" i="43"/>
  <c r="DH53" i="43" s="1"/>
  <c r="DQ52" i="43"/>
  <c r="DT52" i="43" s="1"/>
  <c r="DU52" i="43" s="1"/>
  <c r="DJ253" i="43"/>
  <c r="DI352" i="43"/>
  <c r="DI650" i="43"/>
  <c r="DO650" i="43"/>
  <c r="DK650" i="43"/>
  <c r="DP649" i="43"/>
  <c r="O1" i="43"/>
  <c r="P1" i="43" s="1"/>
  <c r="P2" i="43" s="1"/>
  <c r="Q2" i="43" s="1"/>
  <c r="R2" i="43" s="1"/>
  <c r="CQ6" i="33"/>
  <c r="G38" i="33"/>
  <c r="CQ8" i="33"/>
  <c r="G39" i="33"/>
  <c r="BX9" i="33" a="1"/>
  <c r="BX9" i="33" s="1"/>
  <c r="CR17" i="33" s="1"/>
  <c r="B74" i="40"/>
  <c r="C47" i="40"/>
  <c r="C50" i="40"/>
  <c r="B33" i="40"/>
  <c r="C59" i="40"/>
  <c r="C58" i="40"/>
  <c r="B35" i="40"/>
  <c r="C57" i="40"/>
  <c r="B34" i="40"/>
  <c r="CQ16" i="33"/>
  <c r="G42" i="33"/>
  <c r="CL4" i="33"/>
  <c r="G37" i="33"/>
  <c r="B77" i="40"/>
  <c r="B76" i="40"/>
  <c r="B75" i="40"/>
  <c r="CQ13" i="33"/>
  <c r="G41" i="33"/>
  <c r="CR19" i="33"/>
  <c r="G45" i="33"/>
  <c r="CS22" i="17"/>
  <c r="BX45" i="17" s="1"/>
  <c r="EL6" i="17"/>
  <c r="CY22" i="17"/>
  <c r="EL5" i="17"/>
  <c r="CV22" i="17"/>
  <c r="EL7" i="17"/>
  <c r="DB22" i="17"/>
  <c r="DU6" i="17"/>
  <c r="DE22" i="17"/>
  <c r="DU7" i="17"/>
  <c r="DH22" i="17"/>
  <c r="DU5" i="17"/>
  <c r="BR9" i="33" a="1"/>
  <c r="BR9" i="33" s="1"/>
  <c r="AZ17" i="16"/>
  <c r="BX2" i="16" s="1"/>
  <c r="AT5" i="33"/>
  <c r="CI1" i="33" s="1"/>
  <c r="BH21" i="16" a="1"/>
  <c r="BH21" i="16" s="1"/>
  <c r="AY17" i="16"/>
  <c r="BX1" i="16" s="1"/>
  <c r="BE21" i="16" a="1"/>
  <c r="BE21" i="16" s="1"/>
  <c r="C68" i="40" a="1"/>
  <c r="C77" i="40" a="1"/>
  <c r="C70" i="40" a="1"/>
  <c r="C73" i="40" a="1"/>
  <c r="C72" i="40" a="1"/>
  <c r="C69" i="40" a="1"/>
  <c r="C54" i="40" a="1"/>
  <c r="DM52" i="43" l="1"/>
  <c r="DN52" i="43" s="1"/>
  <c r="DK53" i="43"/>
  <c r="DR51" i="43"/>
  <c r="DS50" i="43"/>
  <c r="C54" i="40"/>
  <c r="DO53" i="43"/>
  <c r="DM53" i="43" s="1"/>
  <c r="DN53" i="43" s="1"/>
  <c r="DG54" i="43"/>
  <c r="DH54" i="43" s="1"/>
  <c r="DJ254" i="43"/>
  <c r="DK651" i="43"/>
  <c r="DP650" i="43"/>
  <c r="DI651" i="43"/>
  <c r="DO651" i="43"/>
  <c r="P3" i="43"/>
  <c r="Q3" i="43" s="1"/>
  <c r="R3" i="43" s="1"/>
  <c r="C73" i="40"/>
  <c r="C70" i="40"/>
  <c r="C69" i="40"/>
  <c r="G43" i="33"/>
  <c r="CG19" i="16"/>
  <c r="G44" i="16"/>
  <c r="CG18" i="16"/>
  <c r="G43" i="16"/>
  <c r="C68" i="40"/>
  <c r="C72" i="40"/>
  <c r="C77" i="40"/>
  <c r="CR18" i="33"/>
  <c r="G44" i="33"/>
  <c r="BB21" i="16" a="1"/>
  <c r="BB21" i="16" s="1"/>
  <c r="BD2" i="19"/>
  <c r="D2" i="19" s="1"/>
  <c r="BJ2" i="19"/>
  <c r="BG2" i="19"/>
  <c r="BA2" i="19"/>
  <c r="D3" i="19" s="1"/>
  <c r="AX2" i="19"/>
  <c r="D4" i="19" s="1"/>
  <c r="AU2" i="19"/>
  <c r="D5" i="19" s="1"/>
  <c r="AR2" i="19"/>
  <c r="D6" i="19" s="1"/>
  <c r="AO2" i="19"/>
  <c r="D7" i="19" s="1"/>
  <c r="AV14" i="19"/>
  <c r="AO13" i="19"/>
  <c r="BB14" i="19"/>
  <c r="C76" i="40" a="1"/>
  <c r="C74" i="40" a="1"/>
  <c r="C75" i="40" a="1"/>
  <c r="DS51" i="43" l="1"/>
  <c r="DR52" i="43"/>
  <c r="DK54" i="43"/>
  <c r="CF8" i="16"/>
  <c r="G37" i="16"/>
  <c r="DO54" i="43"/>
  <c r="DG55" i="43"/>
  <c r="DH55" i="43" s="1"/>
  <c r="DP53" i="43"/>
  <c r="DQ53" i="43" s="1"/>
  <c r="DT53" i="43" s="1"/>
  <c r="DU53" i="43" s="1"/>
  <c r="DP651" i="43"/>
  <c r="DI652" i="43"/>
  <c r="DO652" i="43"/>
  <c r="DK652" i="43"/>
  <c r="P4" i="43"/>
  <c r="P5" i="43" s="1"/>
  <c r="C74" i="40"/>
  <c r="C75" i="40"/>
  <c r="C76" i="40"/>
  <c r="AP20" i="19"/>
  <c r="AP15" i="19" s="1" a="1"/>
  <c r="AP15" i="19" s="1"/>
  <c r="BA11" i="19"/>
  <c r="BK21" i="16" a="1"/>
  <c r="BK21" i="16" s="1"/>
  <c r="L2" i="36"/>
  <c r="AY113" i="19"/>
  <c r="AZ113" i="19"/>
  <c r="BA113" i="19"/>
  <c r="BB113" i="19"/>
  <c r="BC113" i="19"/>
  <c r="BD113" i="19"/>
  <c r="AY114" i="19"/>
  <c r="AZ114" i="19"/>
  <c r="BA114" i="19"/>
  <c r="BB114" i="19"/>
  <c r="BC114" i="19"/>
  <c r="BD114" i="19"/>
  <c r="AY115" i="19"/>
  <c r="AZ115" i="19"/>
  <c r="BA115" i="19"/>
  <c r="BB115" i="19"/>
  <c r="BC115" i="19"/>
  <c r="BD115" i="19"/>
  <c r="AY116" i="19"/>
  <c r="AZ116" i="19"/>
  <c r="BA116" i="19"/>
  <c r="BB116" i="19"/>
  <c r="BC116" i="19"/>
  <c r="BD116" i="19"/>
  <c r="AY117" i="19"/>
  <c r="AZ117" i="19"/>
  <c r="BA117" i="19"/>
  <c r="BB117" i="19"/>
  <c r="BC117" i="19"/>
  <c r="BD117" i="19"/>
  <c r="AY118" i="19"/>
  <c r="AZ118" i="19"/>
  <c r="BA118" i="19"/>
  <c r="BB118" i="19"/>
  <c r="BC118" i="19"/>
  <c r="BD118" i="19"/>
  <c r="AY119" i="19"/>
  <c r="AZ119" i="19"/>
  <c r="BA119" i="19"/>
  <c r="BB119" i="19"/>
  <c r="BC119" i="19"/>
  <c r="BD119" i="19"/>
  <c r="AZ120" i="19"/>
  <c r="BA120" i="19"/>
  <c r="BB120" i="19"/>
  <c r="BC120" i="19"/>
  <c r="BD120" i="19"/>
  <c r="AY120" i="19"/>
  <c r="AW141" i="19"/>
  <c r="AW142" i="19"/>
  <c r="AW143" i="19"/>
  <c r="AW144" i="19"/>
  <c r="AW145" i="19"/>
  <c r="AW146" i="19"/>
  <c r="AW147" i="19"/>
  <c r="AX141" i="19"/>
  <c r="AX142" i="19"/>
  <c r="AX143" i="19"/>
  <c r="AX144" i="19"/>
  <c r="AX145" i="19"/>
  <c r="AX146" i="19"/>
  <c r="AX147" i="19"/>
  <c r="AY141" i="19"/>
  <c r="AY142" i="19"/>
  <c r="AY143" i="19"/>
  <c r="AY144" i="19"/>
  <c r="AY145" i="19"/>
  <c r="AY146" i="19"/>
  <c r="AY147" i="19"/>
  <c r="AZ141" i="19"/>
  <c r="AZ142" i="19"/>
  <c r="AZ143" i="19"/>
  <c r="AZ144" i="19"/>
  <c r="AZ145" i="19"/>
  <c r="AZ146" i="19"/>
  <c r="AZ147" i="19"/>
  <c r="BA141" i="19"/>
  <c r="BA142" i="19"/>
  <c r="BA143" i="19"/>
  <c r="BA144" i="19"/>
  <c r="BA145" i="19"/>
  <c r="BA146" i="19"/>
  <c r="BA147" i="19"/>
  <c r="BB141" i="19"/>
  <c r="BB142" i="19"/>
  <c r="BB143" i="19"/>
  <c r="BB144" i="19"/>
  <c r="BB145" i="19"/>
  <c r="BB146" i="19"/>
  <c r="BB147" i="19"/>
  <c r="BC141" i="19"/>
  <c r="BC142" i="19"/>
  <c r="BC143" i="19"/>
  <c r="BC144" i="19"/>
  <c r="BC145" i="19"/>
  <c r="BC146" i="19"/>
  <c r="BC147" i="19"/>
  <c r="BD141" i="19"/>
  <c r="BD142" i="19"/>
  <c r="BD143" i="19"/>
  <c r="BD144" i="19"/>
  <c r="BD145" i="19"/>
  <c r="BD146" i="19"/>
  <c r="BD147" i="19"/>
  <c r="AW148" i="19"/>
  <c r="AX148" i="19"/>
  <c r="AY148" i="19"/>
  <c r="AZ148" i="19"/>
  <c r="BA148" i="19"/>
  <c r="BB148" i="19"/>
  <c r="BC148" i="19"/>
  <c r="BD148" i="19"/>
  <c r="AX170" i="19"/>
  <c r="AX169" i="19"/>
  <c r="BA157" i="19"/>
  <c r="BC157" i="19"/>
  <c r="BC158" i="19"/>
  <c r="BA158" i="19"/>
  <c r="AY157" i="19"/>
  <c r="AY158" i="19"/>
  <c r="AW157" i="19"/>
  <c r="AW158" i="19"/>
  <c r="AW170" i="19"/>
  <c r="AW171" i="19" s="1"/>
  <c r="AW167" i="19"/>
  <c r="AW110" i="19"/>
  <c r="AT149" i="19"/>
  <c r="AH1" i="36"/>
  <c r="C7" i="19"/>
  <c r="C6" i="19"/>
  <c r="C5" i="19"/>
  <c r="C4" i="19"/>
  <c r="C3" i="19"/>
  <c r="C2" i="19"/>
  <c r="E2" i="19" s="1"/>
  <c r="BB15" i="19" a="1"/>
  <c r="BB15" i="19" s="1"/>
  <c r="AY15" i="19" a="1"/>
  <c r="AY15" i="19" s="1"/>
  <c r="AV15" i="19" a="1"/>
  <c r="AV15" i="19" s="1"/>
  <c r="AS15" i="19" a="1"/>
  <c r="AS15" i="19" s="1"/>
  <c r="E10" i="36"/>
  <c r="AH2" i="36"/>
  <c r="K10" i="36"/>
  <c r="M10" i="36" a="1"/>
  <c r="M10" i="36" s="1"/>
  <c r="AN12" i="36" s="1"/>
  <c r="J10" i="36" a="1"/>
  <c r="J10" i="36" s="1"/>
  <c r="AN9" i="36" s="1"/>
  <c r="H10" i="36"/>
  <c r="G10" i="36" a="1"/>
  <c r="G10" i="36" s="1"/>
  <c r="AM15" i="36" s="1"/>
  <c r="C41" i="17"/>
  <c r="C40" i="17"/>
  <c r="FA1" i="17"/>
  <c r="FD1" i="17"/>
  <c r="FG1" i="17"/>
  <c r="FJ1" i="17"/>
  <c r="FM1" i="17"/>
  <c r="FP1" i="17"/>
  <c r="FS1" i="17"/>
  <c r="FV1" i="17"/>
  <c r="ES12" i="17"/>
  <c r="EU20" i="17"/>
  <c r="C12" i="40" a="1"/>
  <c r="BA159" i="19" l="1"/>
  <c r="AW159" i="19"/>
  <c r="BJ159" i="19" s="1"/>
  <c r="AY159" i="19"/>
  <c r="BC159" i="19"/>
  <c r="AX171" i="19"/>
  <c r="BD149" i="19" a="1"/>
  <c r="BD149" i="19" s="1"/>
  <c r="AW149" i="19" a="1"/>
  <c r="AW149" i="19" s="1"/>
  <c r="BI149" i="19" s="1"/>
  <c r="AF66" i="19" s="1"/>
  <c r="AZ149" i="19" a="1"/>
  <c r="AZ149" i="19" s="1"/>
  <c r="DP54" i="43"/>
  <c r="DQ54" i="43" s="1"/>
  <c r="DT54" i="43" s="1"/>
  <c r="DU54" i="43" s="1"/>
  <c r="DM54" i="43"/>
  <c r="DN54" i="43" s="1"/>
  <c r="DK55" i="43"/>
  <c r="DR53" i="43"/>
  <c r="DS52" i="43"/>
  <c r="C12" i="40"/>
  <c r="DO55" i="43"/>
  <c r="DG56" i="43"/>
  <c r="DO56" i="43" s="1"/>
  <c r="DP56" i="43" s="1"/>
  <c r="DJ256" i="43"/>
  <c r="AY149" i="19" a="1"/>
  <c r="AY149" i="19" s="1"/>
  <c r="DI653" i="43"/>
  <c r="DO653" i="43"/>
  <c r="DK653" i="43"/>
  <c r="DP652" i="43"/>
  <c r="Q4" i="43"/>
  <c r="R4" i="43" s="1"/>
  <c r="Q5" i="43"/>
  <c r="R5" i="43" s="1"/>
  <c r="P6" i="43"/>
  <c r="CG17" i="16"/>
  <c r="G42" i="16"/>
  <c r="BZ3" i="19"/>
  <c r="G41" i="19"/>
  <c r="BR9" i="19"/>
  <c r="G40" i="19"/>
  <c r="BR7" i="19"/>
  <c r="G39" i="19"/>
  <c r="BR5" i="19"/>
  <c r="G38" i="19"/>
  <c r="BR3" i="19"/>
  <c r="G37" i="19"/>
  <c r="AX149" i="19" a="1"/>
  <c r="AX149" i="19" s="1"/>
  <c r="BJ149" i="19" s="1"/>
  <c r="BC149" i="19" a="1"/>
  <c r="BC149" i="19" s="1"/>
  <c r="BB149" i="19" a="1"/>
  <c r="BB149" i="19" s="1"/>
  <c r="BA149" i="19" a="1"/>
  <c r="BA149" i="19" s="1"/>
  <c r="AY121" i="19" a="1"/>
  <c r="AY121" i="19" s="1"/>
  <c r="AY123" i="19" s="1"/>
  <c r="BZ5" i="19"/>
  <c r="BA121" i="19" a="1"/>
  <c r="BA121" i="19" s="1"/>
  <c r="BA123" i="19" s="1"/>
  <c r="BC121" i="19" a="1"/>
  <c r="BC121" i="19" s="1"/>
  <c r="BC123" i="19" s="1"/>
  <c r="BD121" i="19" a="1"/>
  <c r="BD121" i="19" s="1"/>
  <c r="BD123" i="19" s="1"/>
  <c r="BB121" i="19" a="1"/>
  <c r="BB121" i="19" s="1"/>
  <c r="BB123" i="19" s="1"/>
  <c r="AZ121" i="19" a="1"/>
  <c r="AZ121" i="19" s="1"/>
  <c r="AZ123" i="19" s="1"/>
  <c r="J5" i="36"/>
  <c r="W5" i="36" s="1"/>
  <c r="W22" i="36" s="1"/>
  <c r="W39" i="36" s="1"/>
  <c r="W56" i="36" s="1"/>
  <c r="W73" i="36" s="1"/>
  <c r="J4" i="36"/>
  <c r="J6" i="36"/>
  <c r="W6" i="36" s="1"/>
  <c r="D4" i="36" a="1"/>
  <c r="D4" i="36" s="1"/>
  <c r="B4" i="36"/>
  <c r="C20" i="40" a="1"/>
  <c r="C9" i="40" a="1"/>
  <c r="C18" i="40" a="1"/>
  <c r="C21" i="40" a="1"/>
  <c r="C30" i="40" a="1"/>
  <c r="C33" i="40" a="1"/>
  <c r="C11" i="40" a="1"/>
  <c r="C28" i="40" a="1"/>
  <c r="C19" i="40" a="1"/>
  <c r="C32" i="40" a="1"/>
  <c r="AW28" i="19" l="1"/>
  <c r="BE149" i="19" a="1"/>
  <c r="BE149" i="19" s="1"/>
  <c r="AW85" i="19"/>
  <c r="AW84" i="19"/>
  <c r="AW40" i="19"/>
  <c r="BB40" i="19" s="1"/>
  <c r="AW52" i="19"/>
  <c r="BB52" i="19" s="1"/>
  <c r="AW64" i="19"/>
  <c r="BB64" i="19" s="1"/>
  <c r="AW76" i="19"/>
  <c r="AW71" i="19"/>
  <c r="AW49" i="19"/>
  <c r="BB49" i="19" s="1"/>
  <c r="AW86" i="19"/>
  <c r="AW29" i="19"/>
  <c r="BB29" i="19" s="1"/>
  <c r="AW41" i="19"/>
  <c r="BB41" i="19" s="1"/>
  <c r="AW53" i="19"/>
  <c r="BB53" i="19" s="1"/>
  <c r="AW65" i="19"/>
  <c r="BB65" i="19" s="1"/>
  <c r="AW77" i="19"/>
  <c r="AW37" i="19"/>
  <c r="BB37" i="19" s="1"/>
  <c r="AW87" i="19"/>
  <c r="AW30" i="19"/>
  <c r="BB30" i="19" s="1"/>
  <c r="AW42" i="19"/>
  <c r="BB42" i="19" s="1"/>
  <c r="AW54" i="19"/>
  <c r="BB54" i="19" s="1"/>
  <c r="AW66" i="19"/>
  <c r="BB66" i="19" s="1"/>
  <c r="AW78" i="19"/>
  <c r="AW88" i="19"/>
  <c r="AW31" i="19"/>
  <c r="BB31" i="19" s="1"/>
  <c r="AW43" i="19"/>
  <c r="BB43" i="19" s="1"/>
  <c r="AW55" i="19"/>
  <c r="BB55" i="19" s="1"/>
  <c r="AW67" i="19"/>
  <c r="BB67" i="19" s="1"/>
  <c r="AW79" i="19"/>
  <c r="AW59" i="19"/>
  <c r="BB59" i="19" s="1"/>
  <c r="AW94" i="19"/>
  <c r="AW89" i="19"/>
  <c r="AW32" i="19"/>
  <c r="BB32" i="19" s="1"/>
  <c r="AW44" i="19"/>
  <c r="BB44" i="19" s="1"/>
  <c r="AW56" i="19"/>
  <c r="BB56" i="19" s="1"/>
  <c r="AW68" i="19"/>
  <c r="BB68" i="19" s="1"/>
  <c r="AW80" i="19"/>
  <c r="AW35" i="19"/>
  <c r="BB35" i="19" s="1"/>
  <c r="AW90" i="19"/>
  <c r="AW33" i="19"/>
  <c r="BB33" i="19" s="1"/>
  <c r="AW45" i="19"/>
  <c r="BB45" i="19" s="1"/>
  <c r="AW57" i="19"/>
  <c r="BB57" i="19" s="1"/>
  <c r="AW69" i="19"/>
  <c r="BB69" i="19" s="1"/>
  <c r="AW81" i="19"/>
  <c r="AW47" i="19"/>
  <c r="BB47" i="19" s="1"/>
  <c r="AW73" i="19"/>
  <c r="AW91" i="19"/>
  <c r="AW34" i="19"/>
  <c r="BB34" i="19" s="1"/>
  <c r="AW46" i="19"/>
  <c r="BB46" i="19" s="1"/>
  <c r="AW58" i="19"/>
  <c r="BB58" i="19" s="1"/>
  <c r="AW70" i="19"/>
  <c r="AW82" i="19"/>
  <c r="AW92" i="19"/>
  <c r="AW61" i="19"/>
  <c r="BB61" i="19" s="1"/>
  <c r="AW93" i="19"/>
  <c r="AW36" i="19"/>
  <c r="BB36" i="19" s="1"/>
  <c r="AW48" i="19"/>
  <c r="BB48" i="19" s="1"/>
  <c r="AW60" i="19"/>
  <c r="BB60" i="19" s="1"/>
  <c r="AW72" i="19"/>
  <c r="AW95" i="19"/>
  <c r="AW38" i="19"/>
  <c r="BB38" i="19" s="1"/>
  <c r="AW50" i="19"/>
  <c r="BB50" i="19" s="1"/>
  <c r="AW62" i="19"/>
  <c r="BB62" i="19" s="1"/>
  <c r="AW74" i="19"/>
  <c r="AW96" i="19"/>
  <c r="AW39" i="19"/>
  <c r="BB39" i="19" s="1"/>
  <c r="AW51" i="19"/>
  <c r="BB51" i="19" s="1"/>
  <c r="AW63" i="19"/>
  <c r="BB63" i="19" s="1"/>
  <c r="AW75" i="19"/>
  <c r="BF159" i="19" a="1"/>
  <c r="BF159" i="19" s="1"/>
  <c r="BF149" i="19" a="1"/>
  <c r="BF149" i="19" s="1"/>
  <c r="DM55" i="43"/>
  <c r="DS53" i="43"/>
  <c r="DR54" i="43"/>
  <c r="DK56" i="43"/>
  <c r="C9" i="40"/>
  <c r="DH56" i="43"/>
  <c r="DG57" i="43"/>
  <c r="DQ56" i="43"/>
  <c r="DP55" i="43"/>
  <c r="DQ55" i="43" s="1"/>
  <c r="DT55" i="43" s="1"/>
  <c r="DU55" i="43" s="1"/>
  <c r="DI356" i="43"/>
  <c r="DK654" i="43"/>
  <c r="DP653" i="43"/>
  <c r="DI654" i="43"/>
  <c r="DO654" i="43"/>
  <c r="P7" i="43"/>
  <c r="Q6" i="43"/>
  <c r="R6" i="43" s="1"/>
  <c r="C33" i="40"/>
  <c r="C30" i="40"/>
  <c r="C20" i="40"/>
  <c r="C21" i="40"/>
  <c r="C28" i="40"/>
  <c r="C18" i="40"/>
  <c r="C19" i="40"/>
  <c r="C32" i="40"/>
  <c r="C11" i="40"/>
  <c r="W23" i="36"/>
  <c r="W25" i="36" s="1"/>
  <c r="W7" i="36"/>
  <c r="AM21" i="36" s="1"/>
  <c r="N4" i="36"/>
  <c r="N5" i="36"/>
  <c r="N7" i="36"/>
  <c r="N6" i="36"/>
  <c r="W4" i="36"/>
  <c r="W21" i="36" s="1"/>
  <c r="C2" i="36"/>
  <c r="AB4" i="36"/>
  <c r="BH15" i="19" a="1"/>
  <c r="BH15" i="19" s="1"/>
  <c r="CH25" i="19" s="1"/>
  <c r="ES4" i="17"/>
  <c r="ET4" i="17" s="1"/>
  <c r="C21" i="17"/>
  <c r="C20" i="17"/>
  <c r="C19" i="17"/>
  <c r="C18" i="17"/>
  <c r="C17" i="17"/>
  <c r="C16" i="17"/>
  <c r="C15" i="17"/>
  <c r="C14" i="17"/>
  <c r="C13" i="17"/>
  <c r="C12" i="17"/>
  <c r="C11" i="17"/>
  <c r="C10" i="17"/>
  <c r="C9" i="17"/>
  <c r="C8" i="17"/>
  <c r="C7" i="17"/>
  <c r="C6" i="17"/>
  <c r="C5" i="17"/>
  <c r="C4" i="17"/>
  <c r="C3" i="17"/>
  <c r="C2" i="17"/>
  <c r="C39" i="17"/>
  <c r="C38" i="17"/>
  <c r="C37" i="17"/>
  <c r="C36" i="17"/>
  <c r="C35" i="17"/>
  <c r="C34" i="17"/>
  <c r="C33" i="17"/>
  <c r="C12" i="16"/>
  <c r="C11" i="16"/>
  <c r="C10" i="16"/>
  <c r="C9" i="16"/>
  <c r="C8" i="16"/>
  <c r="C7" i="16"/>
  <c r="C6" i="16"/>
  <c r="C5" i="16"/>
  <c r="C4" i="16"/>
  <c r="C3" i="16"/>
  <c r="C2" i="16"/>
  <c r="C17" i="33"/>
  <c r="C16" i="33"/>
  <c r="C15" i="33"/>
  <c r="C14" i="33"/>
  <c r="C13" i="33"/>
  <c r="C12" i="33"/>
  <c r="C11" i="33"/>
  <c r="C10" i="33"/>
  <c r="C9" i="33"/>
  <c r="C8" i="33"/>
  <c r="C7" i="33"/>
  <c r="C6" i="33"/>
  <c r="C5" i="33"/>
  <c r="C4" i="33"/>
  <c r="C3" i="33"/>
  <c r="C2" i="33"/>
  <c r="BD1" i="33"/>
  <c r="J58" i="17"/>
  <c r="Q58" i="17" s="1"/>
  <c r="R58" i="17" s="1"/>
  <c r="E58" i="17"/>
  <c r="J57" i="17"/>
  <c r="Q57" i="17" s="1"/>
  <c r="R57" i="17" s="1"/>
  <c r="E57" i="17"/>
  <c r="J56" i="17"/>
  <c r="Q56" i="17" s="1"/>
  <c r="R56" i="17" s="1"/>
  <c r="E56" i="17"/>
  <c r="J55" i="17"/>
  <c r="Q55" i="17" s="1"/>
  <c r="R55" i="17" s="1"/>
  <c r="E55" i="17"/>
  <c r="J54" i="17"/>
  <c r="E54" i="17"/>
  <c r="J53" i="17"/>
  <c r="E53" i="17"/>
  <c r="J52" i="17"/>
  <c r="E52" i="17"/>
  <c r="J51" i="17"/>
  <c r="E51" i="17"/>
  <c r="E50" i="17"/>
  <c r="J49" i="17"/>
  <c r="E49" i="17"/>
  <c r="J48" i="17"/>
  <c r="E48" i="17"/>
  <c r="J47" i="17"/>
  <c r="E47" i="17"/>
  <c r="J46" i="17"/>
  <c r="E46" i="17"/>
  <c r="J45" i="17"/>
  <c r="E45" i="17"/>
  <c r="J44" i="17"/>
  <c r="E44" i="17"/>
  <c r="J43" i="17"/>
  <c r="E43" i="17"/>
  <c r="J42" i="17"/>
  <c r="E42" i="17"/>
  <c r="FV2" i="17"/>
  <c r="FS2" i="17"/>
  <c r="FP2" i="17"/>
  <c r="D38" i="17" s="1"/>
  <c r="FM2" i="17"/>
  <c r="FJ2" i="17"/>
  <c r="FG2" i="17"/>
  <c r="D34" i="17" s="1"/>
  <c r="FD2" i="17"/>
  <c r="D37" i="17" s="1"/>
  <c r="FA2" i="17"/>
  <c r="EX2" i="17"/>
  <c r="EX1" i="17"/>
  <c r="BJ1" i="19"/>
  <c r="BG1" i="19"/>
  <c r="BD1" i="19"/>
  <c r="J2" i="19" s="1"/>
  <c r="BA1" i="19"/>
  <c r="AX1" i="19"/>
  <c r="AU1" i="19"/>
  <c r="AR1" i="19"/>
  <c r="AO1" i="19"/>
  <c r="DG1" i="17"/>
  <c r="DD1" i="17"/>
  <c r="DA1" i="17"/>
  <c r="CX1" i="17"/>
  <c r="CU1" i="17"/>
  <c r="CR1" i="17"/>
  <c r="DJ1" i="17"/>
  <c r="CO1" i="17"/>
  <c r="CL1" i="17"/>
  <c r="CH1" i="17"/>
  <c r="CD1" i="17"/>
  <c r="BZ1" i="17"/>
  <c r="BW1" i="17"/>
  <c r="BT1" i="17"/>
  <c r="BQ1" i="17"/>
  <c r="BN1" i="17"/>
  <c r="BJ1" i="17"/>
  <c r="BF1" i="17"/>
  <c r="BC1" i="17"/>
  <c r="AX1" i="17"/>
  <c r="AS1" i="17"/>
  <c r="J8" i="19"/>
  <c r="DG2" i="17"/>
  <c r="D2" i="17" s="1"/>
  <c r="J2" i="17" s="1"/>
  <c r="DD2" i="17"/>
  <c r="D3" i="17" s="1"/>
  <c r="J3" i="17" s="1"/>
  <c r="DA2" i="17"/>
  <c r="D4" i="17" s="1"/>
  <c r="J4" i="17" s="1"/>
  <c r="CX2" i="17"/>
  <c r="D5" i="17" s="1"/>
  <c r="J5" i="17" s="1"/>
  <c r="CU2" i="17"/>
  <c r="D6" i="17" s="1"/>
  <c r="J6" i="17" s="1"/>
  <c r="CR2" i="17"/>
  <c r="D7" i="17" s="1"/>
  <c r="J7" i="17" s="1"/>
  <c r="DJ2" i="17"/>
  <c r="CO2" i="17"/>
  <c r="D8" i="17" s="1"/>
  <c r="J8" i="17" s="1"/>
  <c r="CL2" i="17"/>
  <c r="D9" i="17" s="1"/>
  <c r="J9" i="17" s="1"/>
  <c r="CH2" i="17"/>
  <c r="D10" i="17" s="1"/>
  <c r="J10" i="17" s="1"/>
  <c r="CD2" i="17"/>
  <c r="D11" i="17" s="1"/>
  <c r="J11" i="17" s="1"/>
  <c r="BZ2" i="17"/>
  <c r="D12" i="17" s="1"/>
  <c r="J12" i="17" s="1"/>
  <c r="BW2" i="17"/>
  <c r="D13" i="17" s="1"/>
  <c r="J13" i="17" s="1"/>
  <c r="BT2" i="17"/>
  <c r="D14" i="17" s="1"/>
  <c r="J14" i="17" s="1"/>
  <c r="BQ2" i="17"/>
  <c r="D15" i="17" s="1"/>
  <c r="J15" i="17" s="1"/>
  <c r="BN2" i="17"/>
  <c r="D16" i="17" s="1"/>
  <c r="J16" i="17" s="1"/>
  <c r="BJ2" i="17"/>
  <c r="D17" i="17" s="1"/>
  <c r="J17" i="17" s="1"/>
  <c r="BF2" i="17"/>
  <c r="D18" i="17" s="1"/>
  <c r="BC2" i="17"/>
  <c r="D19" i="17" s="1"/>
  <c r="J19" i="17" s="1"/>
  <c r="AX2" i="17"/>
  <c r="D20" i="17" s="1"/>
  <c r="J20" i="17" s="1"/>
  <c r="AS2" i="17"/>
  <c r="D21" i="17" s="1"/>
  <c r="J21" i="17" s="1"/>
  <c r="BS1" i="16"/>
  <c r="BM1" i="16"/>
  <c r="BJ1" i="16"/>
  <c r="BG1" i="16"/>
  <c r="BD1" i="16"/>
  <c r="BA1" i="16"/>
  <c r="AX1" i="16"/>
  <c r="AU1" i="16"/>
  <c r="AR1" i="16"/>
  <c r="AO1" i="16"/>
  <c r="AL1" i="16"/>
  <c r="BS2" i="16"/>
  <c r="D2" i="16" s="1"/>
  <c r="BM2" i="16"/>
  <c r="D3" i="16" s="1"/>
  <c r="J3" i="16" s="1"/>
  <c r="BJ2" i="16"/>
  <c r="D4" i="16" s="1"/>
  <c r="J4" i="16" s="1"/>
  <c r="BG2" i="16"/>
  <c r="D5" i="16" s="1"/>
  <c r="J5" i="16" s="1"/>
  <c r="BD2" i="16"/>
  <c r="D6" i="16" s="1"/>
  <c r="J6" i="16" s="1"/>
  <c r="BA2" i="16"/>
  <c r="D7" i="16" s="1"/>
  <c r="AX2" i="16"/>
  <c r="D8" i="16" s="1"/>
  <c r="J8" i="16" s="1"/>
  <c r="AU2" i="16"/>
  <c r="D9" i="16" s="1"/>
  <c r="J9" i="16" s="1"/>
  <c r="AR2" i="16"/>
  <c r="D10" i="16" s="1"/>
  <c r="J10" i="16" s="1"/>
  <c r="AO2" i="16"/>
  <c r="D11" i="16" s="1"/>
  <c r="J11" i="16" s="1"/>
  <c r="AL2" i="16"/>
  <c r="D12" i="16" s="1"/>
  <c r="J12" i="16" s="1"/>
  <c r="AD2" i="33"/>
  <c r="AG2" i="33"/>
  <c r="AJ2" i="33"/>
  <c r="J27" i="16"/>
  <c r="Q27" i="16" s="1"/>
  <c r="R27" i="16" s="1"/>
  <c r="S27" i="16" s="1"/>
  <c r="E27" i="16"/>
  <c r="J26" i="16"/>
  <c r="Q26" i="16" s="1"/>
  <c r="R26" i="16" s="1"/>
  <c r="S26" i="16" s="1"/>
  <c r="E26" i="16"/>
  <c r="J25" i="16"/>
  <c r="Q25" i="16" s="1"/>
  <c r="R25" i="16" s="1"/>
  <c r="S25" i="16" s="1"/>
  <c r="E25" i="16"/>
  <c r="J24" i="16"/>
  <c r="Q24" i="16" s="1"/>
  <c r="R24" i="16" s="1"/>
  <c r="S24" i="16" s="1"/>
  <c r="E24" i="16"/>
  <c r="J23" i="16"/>
  <c r="P23" i="16" s="1"/>
  <c r="E23" i="16"/>
  <c r="J22" i="16"/>
  <c r="Q22" i="16" s="1"/>
  <c r="R22" i="16" s="1"/>
  <c r="S22" i="16" s="1"/>
  <c r="E22" i="16"/>
  <c r="J21" i="16"/>
  <c r="Q21" i="16" s="1"/>
  <c r="R21" i="16" s="1"/>
  <c r="S21" i="16" s="1"/>
  <c r="E21" i="16"/>
  <c r="J20" i="16"/>
  <c r="Q20" i="16" s="1"/>
  <c r="R20" i="16" s="1"/>
  <c r="S20" i="16" s="1"/>
  <c r="E20" i="16"/>
  <c r="J19" i="16"/>
  <c r="P19" i="16" s="1"/>
  <c r="E19" i="16"/>
  <c r="J18" i="16"/>
  <c r="P18" i="16" s="1"/>
  <c r="E18" i="16"/>
  <c r="J17" i="16"/>
  <c r="E17" i="16"/>
  <c r="J16" i="16"/>
  <c r="E16" i="16"/>
  <c r="J15" i="16"/>
  <c r="E15" i="16"/>
  <c r="J14" i="16"/>
  <c r="E14" i="16"/>
  <c r="J13" i="16"/>
  <c r="E13" i="16"/>
  <c r="J27" i="17"/>
  <c r="Q27" i="17" s="1"/>
  <c r="R27" i="17" s="1"/>
  <c r="E27" i="17"/>
  <c r="J26" i="17"/>
  <c r="Q26" i="17" s="1"/>
  <c r="R26" i="17" s="1"/>
  <c r="E26" i="17"/>
  <c r="J25" i="17"/>
  <c r="Q25" i="17" s="1"/>
  <c r="R25" i="17" s="1"/>
  <c r="E25" i="17"/>
  <c r="J24" i="17"/>
  <c r="Q24" i="17" s="1"/>
  <c r="R24" i="17" s="1"/>
  <c r="E24" i="17"/>
  <c r="J27" i="19"/>
  <c r="E27" i="19"/>
  <c r="J26" i="19"/>
  <c r="P26" i="19" s="1"/>
  <c r="E26" i="19"/>
  <c r="J25" i="19"/>
  <c r="E25" i="19"/>
  <c r="J24" i="19"/>
  <c r="P24" i="19" s="1"/>
  <c r="E24" i="19"/>
  <c r="J23" i="19"/>
  <c r="P23" i="19" s="1"/>
  <c r="E23" i="19"/>
  <c r="J22" i="19"/>
  <c r="P22" i="19" s="1"/>
  <c r="E22" i="19"/>
  <c r="J21" i="19"/>
  <c r="Q21" i="19" s="1"/>
  <c r="R21" i="19" s="1"/>
  <c r="E21" i="19"/>
  <c r="J20" i="19"/>
  <c r="Q20" i="19" s="1"/>
  <c r="R20" i="19" s="1"/>
  <c r="E20" i="19"/>
  <c r="J19" i="19"/>
  <c r="P19" i="19" s="1"/>
  <c r="E19" i="19"/>
  <c r="J18" i="19"/>
  <c r="P18" i="19" s="1"/>
  <c r="E18" i="19"/>
  <c r="J16" i="19"/>
  <c r="J15" i="19"/>
  <c r="E15" i="19"/>
  <c r="J14" i="19"/>
  <c r="E14" i="19"/>
  <c r="J13" i="19"/>
  <c r="E13" i="19"/>
  <c r="J12" i="19"/>
  <c r="E12" i="19"/>
  <c r="J11" i="19"/>
  <c r="E11" i="19"/>
  <c r="J10" i="19"/>
  <c r="E10" i="19"/>
  <c r="J9" i="19"/>
  <c r="E9" i="19"/>
  <c r="J27" i="33"/>
  <c r="J26" i="33"/>
  <c r="Q26" i="33" s="1"/>
  <c r="R26" i="33" s="1"/>
  <c r="J25" i="33"/>
  <c r="Q25" i="33" s="1"/>
  <c r="R25" i="33" s="1"/>
  <c r="J24" i="33"/>
  <c r="P24" i="33" s="1"/>
  <c r="J23" i="33"/>
  <c r="P23" i="33" s="1"/>
  <c r="J22" i="33"/>
  <c r="P22" i="33" s="1"/>
  <c r="J21" i="33"/>
  <c r="Q21" i="33" s="1"/>
  <c r="R21" i="33" s="1"/>
  <c r="J20" i="33"/>
  <c r="P20" i="33" s="1"/>
  <c r="J19" i="33"/>
  <c r="P19" i="33" s="1"/>
  <c r="J18" i="33"/>
  <c r="E18" i="33"/>
  <c r="E19" i="33"/>
  <c r="E20" i="33"/>
  <c r="E21" i="33"/>
  <c r="E22" i="33"/>
  <c r="E23" i="33"/>
  <c r="E24" i="33"/>
  <c r="E25" i="33"/>
  <c r="E26" i="33"/>
  <c r="E27" i="33"/>
  <c r="CG2" i="33"/>
  <c r="CD2" i="33"/>
  <c r="BZ2" i="33"/>
  <c r="BW2" i="33"/>
  <c r="BT2" i="33"/>
  <c r="BQ2" i="33"/>
  <c r="BN2" i="33"/>
  <c r="BK2" i="33"/>
  <c r="D8" i="33" s="1"/>
  <c r="J8" i="33" s="1"/>
  <c r="BH2" i="33"/>
  <c r="BD2" i="33"/>
  <c r="BA2" i="33"/>
  <c r="AW2" i="33"/>
  <c r="AS2" i="33"/>
  <c r="AO2" i="33"/>
  <c r="AR17" i="33"/>
  <c r="AR18" i="33"/>
  <c r="AR19" i="33"/>
  <c r="AR20" i="33"/>
  <c r="AR21" i="33"/>
  <c r="AR16" i="33"/>
  <c r="AF54" i="19" l="1"/>
  <c r="AX91" i="19"/>
  <c r="AY91" i="19"/>
  <c r="BA91" i="19"/>
  <c r="BB91" i="19"/>
  <c r="AZ91" i="19"/>
  <c r="BA86" i="19"/>
  <c r="BB86" i="19"/>
  <c r="AX86" i="19"/>
  <c r="AY86" i="19"/>
  <c r="AZ86" i="19"/>
  <c r="AY89" i="19"/>
  <c r="BB89" i="19"/>
  <c r="AX89" i="19"/>
  <c r="BA89" i="19"/>
  <c r="AZ89" i="19"/>
  <c r="AX93" i="19"/>
  <c r="AY93" i="19"/>
  <c r="BB93" i="19"/>
  <c r="AZ93" i="19"/>
  <c r="BA93" i="19"/>
  <c r="BA94" i="19"/>
  <c r="AZ94" i="19"/>
  <c r="AX94" i="19"/>
  <c r="AY94" i="19"/>
  <c r="BB94" i="19"/>
  <c r="AX88" i="19"/>
  <c r="AY88" i="19"/>
  <c r="BB88" i="19"/>
  <c r="AZ88" i="19"/>
  <c r="BA88" i="19"/>
  <c r="BB87" i="19"/>
  <c r="BA87" i="19"/>
  <c r="AX87" i="19"/>
  <c r="AY87" i="19"/>
  <c r="AZ87" i="19"/>
  <c r="AX95" i="19"/>
  <c r="AY95" i="19"/>
  <c r="AZ95" i="19"/>
  <c r="BA95" i="19"/>
  <c r="BB95" i="19"/>
  <c r="AZ96" i="19"/>
  <c r="AX96" i="19"/>
  <c r="AY96" i="19"/>
  <c r="BB96" i="19"/>
  <c r="BA96" i="19"/>
  <c r="AZ92" i="19"/>
  <c r="AY92" i="19"/>
  <c r="BA92" i="19"/>
  <c r="AX92" i="19"/>
  <c r="BB92" i="19"/>
  <c r="BB82" i="19"/>
  <c r="AZ82" i="19"/>
  <c r="AY82" i="19"/>
  <c r="AX82" i="19"/>
  <c r="BA82" i="19"/>
  <c r="BB84" i="19"/>
  <c r="AZ84" i="19"/>
  <c r="AY84" i="19"/>
  <c r="AX84" i="19"/>
  <c r="BA84" i="19"/>
  <c r="AY90" i="19"/>
  <c r="AZ90" i="19"/>
  <c r="AX90" i="19"/>
  <c r="BA90" i="19"/>
  <c r="BB90" i="19"/>
  <c r="BB85" i="19"/>
  <c r="AZ85" i="19"/>
  <c r="AY85" i="19"/>
  <c r="AX85" i="19"/>
  <c r="BA85" i="19"/>
  <c r="BA28" i="19"/>
  <c r="BB28" i="19"/>
  <c r="AY28" i="19"/>
  <c r="AZ28" i="19"/>
  <c r="AP28" i="19"/>
  <c r="AU28" i="19" s="1"/>
  <c r="AX28" i="19"/>
  <c r="AZ54" i="19"/>
  <c r="AY54" i="19"/>
  <c r="BA54" i="19"/>
  <c r="AX54" i="19"/>
  <c r="AZ51" i="19"/>
  <c r="AY51" i="19"/>
  <c r="BA51" i="19"/>
  <c r="AX51" i="19"/>
  <c r="AX69" i="19"/>
  <c r="BA69" i="19"/>
  <c r="AZ69" i="19"/>
  <c r="AY69" i="19"/>
  <c r="AZ30" i="19"/>
  <c r="AY30" i="19"/>
  <c r="BA30" i="19"/>
  <c r="AX30" i="19"/>
  <c r="AY64" i="19"/>
  <c r="BA64" i="19"/>
  <c r="AX64" i="19"/>
  <c r="AZ64" i="19"/>
  <c r="AZ48" i="19"/>
  <c r="AY48" i="19"/>
  <c r="AX48" i="19"/>
  <c r="BA48" i="19"/>
  <c r="AY61" i="19"/>
  <c r="BA61" i="19"/>
  <c r="AX61" i="19"/>
  <c r="AZ61" i="19"/>
  <c r="AY57" i="19"/>
  <c r="AZ57" i="19"/>
  <c r="BA57" i="19"/>
  <c r="AX57" i="19"/>
  <c r="AX59" i="19"/>
  <c r="BA59" i="19"/>
  <c r="AZ59" i="19"/>
  <c r="AY59" i="19"/>
  <c r="BA52" i="19"/>
  <c r="AX52" i="19"/>
  <c r="AY52" i="19"/>
  <c r="AZ52" i="19"/>
  <c r="AZ45" i="19"/>
  <c r="AY45" i="19"/>
  <c r="AX45" i="19"/>
  <c r="BA45" i="19"/>
  <c r="AY37" i="19"/>
  <c r="BA37" i="19"/>
  <c r="AX37" i="19"/>
  <c r="AZ37" i="19"/>
  <c r="BA40" i="19"/>
  <c r="AX40" i="19"/>
  <c r="AY40" i="19"/>
  <c r="AZ40" i="19"/>
  <c r="AX32" i="19"/>
  <c r="AZ32" i="19"/>
  <c r="AY32" i="19"/>
  <c r="BA32" i="19"/>
  <c r="BA33" i="19"/>
  <c r="AY33" i="19"/>
  <c r="AZ33" i="19"/>
  <c r="AX33" i="19"/>
  <c r="AZ67" i="19"/>
  <c r="AY67" i="19"/>
  <c r="BA67" i="19"/>
  <c r="AX67" i="19"/>
  <c r="AX62" i="19"/>
  <c r="BA62" i="19"/>
  <c r="AY62" i="19"/>
  <c r="AZ62" i="19"/>
  <c r="AZ55" i="19"/>
  <c r="AX55" i="19"/>
  <c r="BA55" i="19"/>
  <c r="AY55" i="19"/>
  <c r="BA65" i="19"/>
  <c r="AZ65" i="19"/>
  <c r="AX65" i="19"/>
  <c r="AY65" i="19"/>
  <c r="AZ36" i="19"/>
  <c r="AY36" i="19"/>
  <c r="AX36" i="19"/>
  <c r="BA36" i="19"/>
  <c r="AZ39" i="19"/>
  <c r="AY39" i="19"/>
  <c r="BA39" i="19"/>
  <c r="AX39" i="19"/>
  <c r="AX50" i="19"/>
  <c r="BA50" i="19"/>
  <c r="AZ50" i="19"/>
  <c r="AY50" i="19"/>
  <c r="AZ58" i="19"/>
  <c r="AY58" i="19"/>
  <c r="BA58" i="19"/>
  <c r="AX58" i="19"/>
  <c r="AX35" i="19"/>
  <c r="AZ35" i="19"/>
  <c r="AY35" i="19"/>
  <c r="BA35" i="19"/>
  <c r="AY43" i="19"/>
  <c r="AX43" i="19"/>
  <c r="BA43" i="19"/>
  <c r="AZ43" i="19"/>
  <c r="BA53" i="19"/>
  <c r="AX53" i="19"/>
  <c r="AY53" i="19"/>
  <c r="AZ53" i="19"/>
  <c r="AX38" i="19"/>
  <c r="BA38" i="19"/>
  <c r="AY38" i="19"/>
  <c r="AZ38" i="19"/>
  <c r="AY46" i="19"/>
  <c r="AZ46" i="19"/>
  <c r="BA46" i="19"/>
  <c r="AX46" i="19"/>
  <c r="AX31" i="19"/>
  <c r="BA31" i="19"/>
  <c r="AZ31" i="19"/>
  <c r="AY31" i="19"/>
  <c r="BA41" i="19"/>
  <c r="AX41" i="19"/>
  <c r="AZ41" i="19"/>
  <c r="AY41" i="19"/>
  <c r="AZ42" i="19"/>
  <c r="AY42" i="19"/>
  <c r="BA42" i="19"/>
  <c r="AX42" i="19"/>
  <c r="AY34" i="19"/>
  <c r="BA34" i="19"/>
  <c r="AZ34" i="19"/>
  <c r="AX34" i="19"/>
  <c r="BA68" i="19"/>
  <c r="AX68" i="19"/>
  <c r="AZ68" i="19"/>
  <c r="AY68" i="19"/>
  <c r="AY29" i="19"/>
  <c r="AX29" i="19"/>
  <c r="AZ29" i="19"/>
  <c r="BA29" i="19"/>
  <c r="AZ47" i="19"/>
  <c r="AY47" i="19"/>
  <c r="AX47" i="19"/>
  <c r="BA47" i="19"/>
  <c r="AZ63" i="19"/>
  <c r="AY63" i="19"/>
  <c r="AX63" i="19"/>
  <c r="BA63" i="19"/>
  <c r="AX56" i="19"/>
  <c r="BA56" i="19"/>
  <c r="AZ56" i="19"/>
  <c r="AY56" i="19"/>
  <c r="AX60" i="19"/>
  <c r="AZ60" i="19"/>
  <c r="AY60" i="19"/>
  <c r="BA60" i="19"/>
  <c r="AX44" i="19"/>
  <c r="AZ44" i="19"/>
  <c r="AY44" i="19"/>
  <c r="BA44" i="19"/>
  <c r="AZ66" i="19"/>
  <c r="AY66" i="19"/>
  <c r="BA66" i="19"/>
  <c r="AX66" i="19"/>
  <c r="AY49" i="19"/>
  <c r="BA49" i="19"/>
  <c r="AX49" i="19"/>
  <c r="AZ49" i="19"/>
  <c r="AP84" i="19"/>
  <c r="AP94" i="19"/>
  <c r="AP86" i="19"/>
  <c r="AP85" i="19"/>
  <c r="AP90" i="19"/>
  <c r="AP95" i="19"/>
  <c r="AP89" i="19"/>
  <c r="AP87" i="19"/>
  <c r="AP96" i="19"/>
  <c r="AP93" i="19"/>
  <c r="AP88" i="19"/>
  <c r="AP92" i="19"/>
  <c r="AP91" i="19"/>
  <c r="AP80" i="19"/>
  <c r="AP29" i="19"/>
  <c r="AP35" i="19"/>
  <c r="AP66" i="19"/>
  <c r="AP68" i="19"/>
  <c r="AP60" i="19"/>
  <c r="AP40" i="19"/>
  <c r="AP47" i="19"/>
  <c r="AP62" i="19"/>
  <c r="AP69" i="19"/>
  <c r="AP42" i="19"/>
  <c r="AP41" i="19"/>
  <c r="AP56" i="19"/>
  <c r="AP63" i="19"/>
  <c r="AP78" i="19"/>
  <c r="AP67" i="19"/>
  <c r="AP76" i="19"/>
  <c r="AP34" i="19"/>
  <c r="AP33" i="19"/>
  <c r="AP48" i="19"/>
  <c r="AP55" i="19"/>
  <c r="AP70" i="19"/>
  <c r="AP77" i="19"/>
  <c r="AP82" i="19"/>
  <c r="AP81" i="19"/>
  <c r="AP32" i="19"/>
  <c r="AP39" i="19"/>
  <c r="AP54" i="19"/>
  <c r="AP61" i="19"/>
  <c r="AP74" i="19"/>
  <c r="AP73" i="19"/>
  <c r="AP43" i="19"/>
  <c r="AP52" i="19"/>
  <c r="AP31" i="19"/>
  <c r="AP46" i="19"/>
  <c r="AP53" i="19"/>
  <c r="AP65" i="19"/>
  <c r="AP59" i="19"/>
  <c r="AP36" i="19"/>
  <c r="AP38" i="19"/>
  <c r="AP45" i="19"/>
  <c r="AP58" i="19"/>
  <c r="AP57" i="19"/>
  <c r="AP72" i="19"/>
  <c r="AP79" i="19"/>
  <c r="AP75" i="19"/>
  <c r="AP30" i="19"/>
  <c r="AP37" i="19"/>
  <c r="AP50" i="19"/>
  <c r="AP49" i="19"/>
  <c r="AP64" i="19"/>
  <c r="AP71" i="19"/>
  <c r="AP51" i="19"/>
  <c r="AP44" i="19"/>
  <c r="DT56" i="43"/>
  <c r="DU56" i="43" s="1"/>
  <c r="DN55" i="43"/>
  <c r="DM56" i="43"/>
  <c r="DN56" i="43" s="1"/>
  <c r="DH57" i="43"/>
  <c r="DO57" i="43"/>
  <c r="DK57" i="43"/>
  <c r="DR55" i="43"/>
  <c r="DS54" i="43"/>
  <c r="DG58" i="43"/>
  <c r="DJ258" i="43"/>
  <c r="DP654" i="43"/>
  <c r="DI655" i="43"/>
  <c r="DO655" i="43"/>
  <c r="DK655" i="43"/>
  <c r="Q7" i="43"/>
  <c r="R7" i="43" s="1"/>
  <c r="P8" i="43"/>
  <c r="W40" i="36"/>
  <c r="W42" i="36" s="1"/>
  <c r="Q18" i="33"/>
  <c r="R18" i="33" s="1"/>
  <c r="P18" i="33"/>
  <c r="Q25" i="19"/>
  <c r="R25" i="19" s="1"/>
  <c r="P25" i="19"/>
  <c r="J34" i="17"/>
  <c r="D33" i="17"/>
  <c r="J23" i="17"/>
  <c r="D41" i="17"/>
  <c r="J33" i="17"/>
  <c r="D36" i="17"/>
  <c r="E36" i="17" s="1"/>
  <c r="J37" i="17"/>
  <c r="D35" i="17"/>
  <c r="J35" i="17" s="1"/>
  <c r="D39" i="17"/>
  <c r="J39" i="17" s="1"/>
  <c r="D40" i="17"/>
  <c r="P26" i="16"/>
  <c r="P25" i="16"/>
  <c r="P22" i="16"/>
  <c r="E4" i="16"/>
  <c r="E11" i="16"/>
  <c r="D1" i="16"/>
  <c r="J2" i="16"/>
  <c r="J7" i="16"/>
  <c r="E7" i="16"/>
  <c r="P24" i="16"/>
  <c r="P21" i="16"/>
  <c r="P20" i="16"/>
  <c r="E5" i="16"/>
  <c r="E6" i="16"/>
  <c r="E12" i="16"/>
  <c r="E9" i="16"/>
  <c r="E4" i="19"/>
  <c r="J3" i="19"/>
  <c r="J7" i="19"/>
  <c r="J6" i="19"/>
  <c r="J5" i="19"/>
  <c r="E8" i="19"/>
  <c r="P21" i="19"/>
  <c r="P20" i="19"/>
  <c r="E5" i="19"/>
  <c r="E3" i="19"/>
  <c r="P26" i="33"/>
  <c r="P25" i="33"/>
  <c r="P21" i="33"/>
  <c r="P56" i="17"/>
  <c r="J18" i="17"/>
  <c r="E18" i="17"/>
  <c r="E15" i="17"/>
  <c r="P55" i="17"/>
  <c r="E2" i="17"/>
  <c r="E19" i="17"/>
  <c r="E14" i="17"/>
  <c r="E10" i="17"/>
  <c r="E16" i="17"/>
  <c r="N2" i="36" a="1"/>
  <c r="N2" i="36" s="1"/>
  <c r="AM26" i="36" s="1"/>
  <c r="W38" i="36"/>
  <c r="T40" i="36" s="1"/>
  <c r="T23" i="36"/>
  <c r="E3" i="17"/>
  <c r="E10" i="16"/>
  <c r="E2" i="16"/>
  <c r="E8" i="17"/>
  <c r="E3" i="16"/>
  <c r="E17" i="17"/>
  <c r="E9" i="17"/>
  <c r="E8" i="16"/>
  <c r="E6" i="19"/>
  <c r="E7" i="17"/>
  <c r="E5" i="17"/>
  <c r="E21" i="17"/>
  <c r="E13" i="17"/>
  <c r="E6" i="17"/>
  <c r="E4" i="17"/>
  <c r="E20" i="17"/>
  <c r="E12" i="17"/>
  <c r="E34" i="17"/>
  <c r="E37" i="17"/>
  <c r="E23" i="17"/>
  <c r="J22" i="17"/>
  <c r="D1" i="17"/>
  <c r="E22" i="17"/>
  <c r="E11" i="17"/>
  <c r="E33" i="17"/>
  <c r="C1" i="17"/>
  <c r="C1" i="16"/>
  <c r="C32" i="17"/>
  <c r="P57" i="17"/>
  <c r="J38" i="17"/>
  <c r="J50" i="17"/>
  <c r="E38" i="17"/>
  <c r="P58" i="17"/>
  <c r="P25" i="17"/>
  <c r="P26" i="17"/>
  <c r="P24" i="17"/>
  <c r="Q18" i="16"/>
  <c r="R18" i="16" s="1"/>
  <c r="S18" i="16" s="1"/>
  <c r="P27" i="16"/>
  <c r="Q19" i="16"/>
  <c r="R19" i="16" s="1"/>
  <c r="S19" i="16" s="1"/>
  <c r="Q23" i="16"/>
  <c r="R23" i="16" s="1"/>
  <c r="S23" i="16" s="1"/>
  <c r="P27" i="17"/>
  <c r="Q24" i="19"/>
  <c r="R24" i="19" s="1"/>
  <c r="Q22" i="19"/>
  <c r="R22" i="19" s="1"/>
  <c r="E7" i="19"/>
  <c r="Q26" i="19"/>
  <c r="R26" i="19" s="1"/>
  <c r="Q19" i="19"/>
  <c r="R19" i="19" s="1"/>
  <c r="Q18" i="19"/>
  <c r="R18" i="19" s="1"/>
  <c r="Q23" i="19"/>
  <c r="R23" i="19" s="1"/>
  <c r="Q27" i="19"/>
  <c r="R27" i="19" s="1"/>
  <c r="P27" i="19"/>
  <c r="Q22" i="33"/>
  <c r="R22" i="33" s="1"/>
  <c r="Q19" i="33"/>
  <c r="R19" i="33" s="1"/>
  <c r="Q20" i="33"/>
  <c r="R20" i="33" s="1"/>
  <c r="Q23" i="33"/>
  <c r="R23" i="33" s="1"/>
  <c r="Q24" i="33"/>
  <c r="R24" i="33" s="1"/>
  <c r="Q27" i="33"/>
  <c r="R27" i="33" s="1"/>
  <c r="P27" i="33"/>
  <c r="AX81" i="19" l="1"/>
  <c r="AX80" i="19" s="1"/>
  <c r="AX79" i="19" s="1"/>
  <c r="AX78" i="19" s="1"/>
  <c r="AX77" i="19" s="1"/>
  <c r="AX76" i="19" s="1"/>
  <c r="AX75" i="19" s="1"/>
  <c r="AX74" i="19" s="1"/>
  <c r="AX73" i="19" s="1"/>
  <c r="AX72" i="19" s="1"/>
  <c r="AX71" i="19" s="1"/>
  <c r="AX70" i="19" s="1"/>
  <c r="AZ81" i="19"/>
  <c r="AZ80" i="19" s="1"/>
  <c r="AZ79" i="19" s="1"/>
  <c r="AZ78" i="19" s="1"/>
  <c r="AZ77" i="19" s="1"/>
  <c r="AZ76" i="19" s="1"/>
  <c r="AZ75" i="19" s="1"/>
  <c r="AZ74" i="19" s="1"/>
  <c r="AZ73" i="19" s="1"/>
  <c r="AZ72" i="19" s="1"/>
  <c r="AZ71" i="19" s="1"/>
  <c r="AZ70" i="19" s="1"/>
  <c r="AY81" i="19"/>
  <c r="AY80" i="19" s="1"/>
  <c r="AY79" i="19" s="1"/>
  <c r="AY78" i="19" s="1"/>
  <c r="AY77" i="19" s="1"/>
  <c r="AY76" i="19" s="1"/>
  <c r="AY75" i="19" s="1"/>
  <c r="AY74" i="19" s="1"/>
  <c r="AY73" i="19" s="1"/>
  <c r="AY72" i="19" s="1"/>
  <c r="AY71" i="19" s="1"/>
  <c r="AY70" i="19" s="1"/>
  <c r="BA81" i="19"/>
  <c r="BA80" i="19" s="1"/>
  <c r="BA79" i="19" s="1"/>
  <c r="BA78" i="19" s="1"/>
  <c r="BA77" i="19" s="1"/>
  <c r="BA76" i="19" s="1"/>
  <c r="BA75" i="19" s="1"/>
  <c r="BA74" i="19" s="1"/>
  <c r="BA73" i="19" s="1"/>
  <c r="BA72" i="19" s="1"/>
  <c r="BA71" i="19" s="1"/>
  <c r="BA70" i="19" s="1"/>
  <c r="BB81" i="19"/>
  <c r="BB80" i="19" s="1"/>
  <c r="BB79" i="19" s="1"/>
  <c r="BB78" i="19" s="1"/>
  <c r="BB77" i="19" s="1"/>
  <c r="BB76" i="19" s="1"/>
  <c r="BB75" i="19" s="1"/>
  <c r="BB74" i="19" s="1"/>
  <c r="BB73" i="19" s="1"/>
  <c r="BB72" i="19" s="1"/>
  <c r="BB71" i="19" s="1"/>
  <c r="BB70" i="19" s="1"/>
  <c r="AQ28" i="19"/>
  <c r="AS28" i="19"/>
  <c r="AR28" i="19"/>
  <c r="AT28" i="19"/>
  <c r="AQ56" i="19"/>
  <c r="AS56" i="19"/>
  <c r="AU56" i="19"/>
  <c r="AR56" i="19"/>
  <c r="AT56" i="19"/>
  <c r="AQ82" i="19"/>
  <c r="BQ43" i="19" s="1"/>
  <c r="AS82" i="19"/>
  <c r="AR82" i="19"/>
  <c r="AU82" i="19"/>
  <c r="AT82" i="19"/>
  <c r="AQ30" i="19"/>
  <c r="AR30" i="19"/>
  <c r="AT30" i="19"/>
  <c r="AS30" i="19"/>
  <c r="AU30" i="19"/>
  <c r="AQ46" i="19"/>
  <c r="AR46" i="19"/>
  <c r="AT46" i="19"/>
  <c r="AU46" i="19"/>
  <c r="AS46" i="19"/>
  <c r="AS42" i="19"/>
  <c r="AQ42" i="19"/>
  <c r="AR42" i="19"/>
  <c r="AT42" i="19"/>
  <c r="AU42" i="19"/>
  <c r="AR92" i="19"/>
  <c r="AS92" i="19"/>
  <c r="AT92" i="19"/>
  <c r="AU92" i="19"/>
  <c r="AQ92" i="19"/>
  <c r="AT53" i="19"/>
  <c r="AS53" i="19"/>
  <c r="AR53" i="19"/>
  <c r="AU53" i="19"/>
  <c r="AQ53" i="19"/>
  <c r="AR84" i="19"/>
  <c r="AU84" i="19"/>
  <c r="AT84" i="19"/>
  <c r="AS84" i="19"/>
  <c r="AQ84" i="19"/>
  <c r="AT69" i="19"/>
  <c r="AQ69" i="19"/>
  <c r="AR69" i="19"/>
  <c r="AU69" i="19"/>
  <c r="AS69" i="19"/>
  <c r="AQ88" i="19"/>
  <c r="AR88" i="19"/>
  <c r="AS88" i="19"/>
  <c r="AT88" i="19"/>
  <c r="AU88" i="19"/>
  <c r="AU94" i="19"/>
  <c r="AR94" i="19"/>
  <c r="AS94" i="19"/>
  <c r="AT94" i="19"/>
  <c r="AQ94" i="19"/>
  <c r="AR41" i="19"/>
  <c r="AS41" i="19"/>
  <c r="AU41" i="19"/>
  <c r="AQ41" i="19"/>
  <c r="AT41" i="19"/>
  <c r="AT31" i="19"/>
  <c r="AR31" i="19"/>
  <c r="AQ31" i="19"/>
  <c r="AS31" i="19"/>
  <c r="AU31" i="19"/>
  <c r="AS52" i="19"/>
  <c r="AU52" i="19"/>
  <c r="AT52" i="19"/>
  <c r="AQ52" i="19"/>
  <c r="AR52" i="19"/>
  <c r="AT55" i="19"/>
  <c r="AR55" i="19"/>
  <c r="AQ55" i="19"/>
  <c r="BQ16" i="19" s="1"/>
  <c r="AS55" i="19"/>
  <c r="AU55" i="19"/>
  <c r="AT62" i="19"/>
  <c r="AS62" i="19"/>
  <c r="AR62" i="19"/>
  <c r="AU62" i="19"/>
  <c r="AQ62" i="19"/>
  <c r="AU93" i="19"/>
  <c r="AQ93" i="19"/>
  <c r="AR93" i="19"/>
  <c r="AS93" i="19"/>
  <c r="AT93" i="19"/>
  <c r="AU50" i="19"/>
  <c r="AR50" i="19"/>
  <c r="AS50" i="19"/>
  <c r="AT50" i="19"/>
  <c r="AQ50" i="19"/>
  <c r="AT37" i="19"/>
  <c r="AS37" i="19"/>
  <c r="AU37" i="19"/>
  <c r="AQ37" i="19"/>
  <c r="AR37" i="19"/>
  <c r="AS91" i="19"/>
  <c r="AU91" i="19"/>
  <c r="AT91" i="19"/>
  <c r="AQ91" i="19"/>
  <c r="AR91" i="19"/>
  <c r="AR43" i="19"/>
  <c r="AT43" i="19"/>
  <c r="AQ43" i="19"/>
  <c r="AS43" i="19"/>
  <c r="AU43" i="19"/>
  <c r="AS48" i="19"/>
  <c r="AU48" i="19"/>
  <c r="AR48" i="19"/>
  <c r="AT48" i="19"/>
  <c r="AQ48" i="19"/>
  <c r="AQ47" i="19"/>
  <c r="AU47" i="19"/>
  <c r="AR47" i="19"/>
  <c r="AS47" i="19"/>
  <c r="AT47" i="19"/>
  <c r="AS96" i="19"/>
  <c r="AT96" i="19"/>
  <c r="AU96" i="19"/>
  <c r="AQ96" i="19"/>
  <c r="AR96" i="19"/>
  <c r="AT65" i="19"/>
  <c r="AS65" i="19"/>
  <c r="AR65" i="19"/>
  <c r="AU65" i="19"/>
  <c r="AQ65" i="19"/>
  <c r="AQ87" i="19"/>
  <c r="AS87" i="19"/>
  <c r="AR87" i="19"/>
  <c r="AT87" i="19"/>
  <c r="AU87" i="19"/>
  <c r="AU44" i="19"/>
  <c r="AS44" i="19"/>
  <c r="AQ44" i="19"/>
  <c r="AR44" i="19"/>
  <c r="AT44" i="19"/>
  <c r="AR89" i="19"/>
  <c r="AT89" i="19"/>
  <c r="AS89" i="19"/>
  <c r="AU89" i="19"/>
  <c r="AQ89" i="19"/>
  <c r="AS51" i="19"/>
  <c r="AU51" i="19"/>
  <c r="AT51" i="19"/>
  <c r="AQ51" i="19"/>
  <c r="AR51" i="19"/>
  <c r="AT45" i="19"/>
  <c r="AQ45" i="19"/>
  <c r="AU45" i="19"/>
  <c r="AS45" i="19"/>
  <c r="AR45" i="19"/>
  <c r="AR61" i="19"/>
  <c r="AT61" i="19"/>
  <c r="AQ61" i="19"/>
  <c r="AU61" i="19"/>
  <c r="AS61" i="19"/>
  <c r="AS68" i="19"/>
  <c r="AU68" i="19"/>
  <c r="AT68" i="19"/>
  <c r="AQ68" i="19"/>
  <c r="AR68" i="19"/>
  <c r="AQ95" i="19"/>
  <c r="AR95" i="19"/>
  <c r="AS95" i="19"/>
  <c r="AT95" i="19"/>
  <c r="AU95" i="19"/>
  <c r="AR57" i="19"/>
  <c r="AT57" i="19"/>
  <c r="AQ57" i="19"/>
  <c r="AU57" i="19"/>
  <c r="AS57" i="19"/>
  <c r="AS40" i="19"/>
  <c r="AU40" i="19"/>
  <c r="AT40" i="19"/>
  <c r="AQ40" i="19"/>
  <c r="AR40" i="19"/>
  <c r="AR34" i="19"/>
  <c r="AQ34" i="19"/>
  <c r="AT34" i="19"/>
  <c r="AS34" i="19"/>
  <c r="AU34" i="19"/>
  <c r="AR38" i="19"/>
  <c r="AU38" i="19"/>
  <c r="AQ38" i="19"/>
  <c r="AT38" i="19"/>
  <c r="AS38" i="19"/>
  <c r="AS54" i="19"/>
  <c r="AQ54" i="19"/>
  <c r="AR54" i="19"/>
  <c r="AT54" i="19"/>
  <c r="AU54" i="19"/>
  <c r="AU67" i="19"/>
  <c r="AQ67" i="19"/>
  <c r="AS67" i="19"/>
  <c r="AT67" i="19"/>
  <c r="AR67" i="19"/>
  <c r="AR66" i="19"/>
  <c r="AS66" i="19"/>
  <c r="AQ66" i="19"/>
  <c r="AU66" i="19"/>
  <c r="AT66" i="19"/>
  <c r="AQ90" i="19"/>
  <c r="AR90" i="19"/>
  <c r="AS90" i="19"/>
  <c r="AT90" i="19"/>
  <c r="AU90" i="19"/>
  <c r="AQ33" i="19"/>
  <c r="AR33" i="19"/>
  <c r="AU33" i="19"/>
  <c r="AS33" i="19"/>
  <c r="AT33" i="19"/>
  <c r="AU58" i="19"/>
  <c r="AQ58" i="19"/>
  <c r="AR58" i="19"/>
  <c r="AS58" i="19"/>
  <c r="AT58" i="19"/>
  <c r="AQ60" i="19"/>
  <c r="AR60" i="19"/>
  <c r="AS60" i="19"/>
  <c r="AU60" i="19"/>
  <c r="AT60" i="19"/>
  <c r="AR64" i="19"/>
  <c r="AU64" i="19"/>
  <c r="AQ64" i="19"/>
  <c r="AS64" i="19"/>
  <c r="AT64" i="19"/>
  <c r="AS36" i="19"/>
  <c r="AT36" i="19"/>
  <c r="AU36" i="19"/>
  <c r="AR36" i="19"/>
  <c r="AQ36" i="19"/>
  <c r="AS39" i="19"/>
  <c r="AU39" i="19"/>
  <c r="AQ39" i="19"/>
  <c r="AR39" i="19"/>
  <c r="AT39" i="19"/>
  <c r="AU35" i="19"/>
  <c r="AS35" i="19"/>
  <c r="AQ35" i="19"/>
  <c r="AR35" i="19"/>
  <c r="AT35" i="19"/>
  <c r="AR85" i="19"/>
  <c r="AS85" i="19"/>
  <c r="AU85" i="19"/>
  <c r="AT85" i="19"/>
  <c r="AQ85" i="19"/>
  <c r="AT49" i="19"/>
  <c r="AU49" i="19"/>
  <c r="AS49" i="19"/>
  <c r="AQ49" i="19"/>
  <c r="AR49" i="19"/>
  <c r="AS59" i="19"/>
  <c r="AU59" i="19"/>
  <c r="AQ59" i="19"/>
  <c r="AT59" i="19"/>
  <c r="AR59" i="19"/>
  <c r="AQ32" i="19"/>
  <c r="AS32" i="19"/>
  <c r="AU32" i="19"/>
  <c r="AR32" i="19"/>
  <c r="AT32" i="19"/>
  <c r="AR63" i="19"/>
  <c r="AS63" i="19"/>
  <c r="AU63" i="19"/>
  <c r="AQ63" i="19"/>
  <c r="AT63" i="19"/>
  <c r="AS29" i="19"/>
  <c r="AR29" i="19"/>
  <c r="AU29" i="19"/>
  <c r="AQ29" i="19"/>
  <c r="AT29" i="19"/>
  <c r="AQ86" i="19"/>
  <c r="AR86" i="19"/>
  <c r="AS86" i="19"/>
  <c r="AU86" i="19"/>
  <c r="AT86" i="19"/>
  <c r="BH96" i="19"/>
  <c r="DH58" i="43"/>
  <c r="DO58" i="43"/>
  <c r="DS55" i="43"/>
  <c r="DR56" i="43"/>
  <c r="DK58" i="43"/>
  <c r="DP57" i="43"/>
  <c r="DQ57" i="43" s="1"/>
  <c r="DT57" i="43" s="1"/>
  <c r="DU57" i="43" s="1"/>
  <c r="DM57" i="43"/>
  <c r="DN57" i="43" s="1"/>
  <c r="DG59" i="43"/>
  <c r="DH59" i="43" s="1"/>
  <c r="DJ259" i="43"/>
  <c r="DK656" i="43"/>
  <c r="DI656" i="43"/>
  <c r="DO656" i="43"/>
  <c r="DP655" i="43"/>
  <c r="P9" i="43"/>
  <c r="Q8" i="43"/>
  <c r="R8" i="43" s="1"/>
  <c r="W57" i="36"/>
  <c r="W74" i="36" s="1"/>
  <c r="W76" i="36" s="1"/>
  <c r="E35" i="17"/>
  <c r="J36" i="17"/>
  <c r="E39" i="17"/>
  <c r="J41" i="17"/>
  <c r="E41" i="17"/>
  <c r="J40" i="17"/>
  <c r="E40" i="17"/>
  <c r="D32" i="17"/>
  <c r="J4" i="19"/>
  <c r="W55" i="36"/>
  <c r="T57" i="36" s="1"/>
  <c r="Y21" i="36"/>
  <c r="S27" i="36"/>
  <c r="U27" i="36"/>
  <c r="T27" i="36"/>
  <c r="S26" i="36"/>
  <c r="U26" i="36"/>
  <c r="S25" i="36"/>
  <c r="T26" i="36"/>
  <c r="U25" i="36"/>
  <c r="T25" i="36"/>
  <c r="X21" i="36"/>
  <c r="Y22" i="36" s="1"/>
  <c r="S44" i="36"/>
  <c r="U43" i="36"/>
  <c r="Y38" i="36"/>
  <c r="X38" i="36"/>
  <c r="Y39" i="36" s="1"/>
  <c r="T44" i="36"/>
  <c r="S42" i="36"/>
  <c r="U42" i="36"/>
  <c r="U44" i="36"/>
  <c r="T43" i="36"/>
  <c r="S43" i="36"/>
  <c r="T42" i="36"/>
  <c r="F1" i="16"/>
  <c r="F2" i="16" s="1"/>
  <c r="F3" i="16" s="1"/>
  <c r="F1" i="17"/>
  <c r="F2" i="17" s="1"/>
  <c r="G2" i="17" s="1"/>
  <c r="H2" i="17" s="1"/>
  <c r="I2" i="17" s="1" a="1"/>
  <c r="I2" i="17" s="1"/>
  <c r="AG1" i="33"/>
  <c r="AD1" i="33"/>
  <c r="D17" i="33"/>
  <c r="J17" i="33" s="1"/>
  <c r="D16" i="33"/>
  <c r="J16" i="33" s="1"/>
  <c r="CD1" i="33"/>
  <c r="BZ1" i="33"/>
  <c r="BW1" i="33"/>
  <c r="BT1" i="33"/>
  <c r="BQ1" i="33"/>
  <c r="CG1" i="33"/>
  <c r="CF1" i="33" s="1"/>
  <c r="BN1" i="33"/>
  <c r="BK1" i="33"/>
  <c r="E8" i="33" s="1"/>
  <c r="BH1" i="33"/>
  <c r="BA1" i="33"/>
  <c r="AW1" i="33"/>
  <c r="AS1" i="33"/>
  <c r="D2" i="33"/>
  <c r="D3" i="33"/>
  <c r="J3" i="33" s="1"/>
  <c r="D4" i="33"/>
  <c r="J4" i="33" s="1"/>
  <c r="D5" i="33"/>
  <c r="J5" i="33" s="1"/>
  <c r="D6" i="33"/>
  <c r="J6" i="33" s="1"/>
  <c r="CF2" i="33"/>
  <c r="D7" i="33"/>
  <c r="J7" i="33" s="1"/>
  <c r="D9" i="33"/>
  <c r="J9" i="33" s="1"/>
  <c r="D10" i="33"/>
  <c r="J10" i="33" s="1"/>
  <c r="D11" i="33"/>
  <c r="J11" i="33" s="1"/>
  <c r="D12" i="33"/>
  <c r="J12" i="33" s="1"/>
  <c r="D13" i="33"/>
  <c r="J13" i="33" s="1"/>
  <c r="D14" i="33"/>
  <c r="J14" i="33" s="1"/>
  <c r="AO1" i="33"/>
  <c r="E14" i="33" s="1"/>
  <c r="AJ1" i="33"/>
  <c r="D15" i="33"/>
  <c r="J15" i="33" s="1"/>
  <c r="AU81" i="19" l="1"/>
  <c r="AU80" i="19" s="1"/>
  <c r="AU79" i="19" s="1"/>
  <c r="AU78" i="19" s="1"/>
  <c r="AU77" i="19" s="1"/>
  <c r="AU76" i="19" s="1"/>
  <c r="AU75" i="19" s="1"/>
  <c r="AU74" i="19" s="1"/>
  <c r="AU73" i="19" s="1"/>
  <c r="AU72" i="19" s="1"/>
  <c r="AU71" i="19" s="1"/>
  <c r="AU70" i="19" s="1"/>
  <c r="AS81" i="19"/>
  <c r="AS80" i="19" s="1"/>
  <c r="AS79" i="19" s="1"/>
  <c r="AS78" i="19" s="1"/>
  <c r="AS77" i="19" s="1"/>
  <c r="AS76" i="19" s="1"/>
  <c r="AS75" i="19" s="1"/>
  <c r="AS74" i="19" s="1"/>
  <c r="AS73" i="19" s="1"/>
  <c r="AS72" i="19" s="1"/>
  <c r="AS71" i="19" s="1"/>
  <c r="AS70" i="19" s="1"/>
  <c r="AT81" i="19"/>
  <c r="AT80" i="19" s="1"/>
  <c r="AT79" i="19" s="1"/>
  <c r="AT78" i="19" s="1"/>
  <c r="AT77" i="19" s="1"/>
  <c r="AT76" i="19" s="1"/>
  <c r="AT75" i="19" s="1"/>
  <c r="AT74" i="19" s="1"/>
  <c r="AT73" i="19" s="1"/>
  <c r="AT72" i="19" s="1"/>
  <c r="AT71" i="19" s="1"/>
  <c r="AT70" i="19" s="1"/>
  <c r="AQ81" i="19"/>
  <c r="AQ80" i="19" s="1"/>
  <c r="AQ79" i="19" s="1"/>
  <c r="AQ78" i="19" s="1"/>
  <c r="AQ77" i="19" s="1"/>
  <c r="AQ76" i="19" s="1"/>
  <c r="AQ75" i="19" s="1"/>
  <c r="AQ74" i="19" s="1"/>
  <c r="AQ73" i="19" s="1"/>
  <c r="AQ72" i="19" s="1"/>
  <c r="AQ71" i="19" s="1"/>
  <c r="AQ70" i="19" s="1"/>
  <c r="AR81" i="19"/>
  <c r="AR80" i="19" s="1"/>
  <c r="AR79" i="19" s="1"/>
  <c r="AR78" i="19" s="1"/>
  <c r="AR77" i="19" s="1"/>
  <c r="AR76" i="19" s="1"/>
  <c r="AR75" i="19" s="1"/>
  <c r="AR74" i="19" s="1"/>
  <c r="AR73" i="19" s="1"/>
  <c r="AR72" i="19" s="1"/>
  <c r="AR71" i="19" s="1"/>
  <c r="AR70" i="19" s="1"/>
  <c r="AE1" i="19" a="1"/>
  <c r="AE1" i="19" s="1"/>
  <c r="BK96" i="19"/>
  <c r="BL95" i="19"/>
  <c r="BK95" i="19"/>
  <c r="BJ95" i="19"/>
  <c r="BI96" i="19"/>
  <c r="BJ96" i="19"/>
  <c r="BL96" i="19"/>
  <c r="BH95" i="19"/>
  <c r="BI95" i="19"/>
  <c r="DK59" i="43"/>
  <c r="DR57" i="43"/>
  <c r="DS56" i="43"/>
  <c r="DP58" i="43"/>
  <c r="DQ58" i="43" s="1"/>
  <c r="DT58" i="43" s="1"/>
  <c r="DU58" i="43" s="1"/>
  <c r="DM58" i="43"/>
  <c r="DN58" i="43" s="1"/>
  <c r="DO59" i="43"/>
  <c r="DG60" i="43"/>
  <c r="DJ260" i="43"/>
  <c r="DI359" i="43"/>
  <c r="DI657" i="43"/>
  <c r="DO657" i="43"/>
  <c r="DP656" i="43"/>
  <c r="DK657" i="43"/>
  <c r="Q9" i="43"/>
  <c r="R9" i="43" s="1"/>
  <c r="P10" i="43"/>
  <c r="W59" i="36"/>
  <c r="F32" i="17"/>
  <c r="F33" i="17" s="1"/>
  <c r="G33" i="17" s="1"/>
  <c r="H33" i="17" s="1"/>
  <c r="I33" i="17" s="1" a="1"/>
  <c r="I33" i="17" s="1"/>
  <c r="W72" i="36"/>
  <c r="T74" i="36" s="1"/>
  <c r="Y72" i="36" s="1"/>
  <c r="X25" i="36"/>
  <c r="Y25" i="36" s="1"/>
  <c r="U61" i="36"/>
  <c r="X55" i="36"/>
  <c r="Y56" i="36" s="1"/>
  <c r="Y55" i="36"/>
  <c r="T61" i="36"/>
  <c r="U59" i="36"/>
  <c r="T59" i="36"/>
  <c r="S61" i="36"/>
  <c r="S60" i="36"/>
  <c r="S59" i="36"/>
  <c r="T60" i="36"/>
  <c r="U60" i="36"/>
  <c r="X42" i="36"/>
  <c r="G2" i="16"/>
  <c r="H2" i="16" s="1"/>
  <c r="I2" i="16" s="1" a="1"/>
  <c r="I2" i="16" s="1"/>
  <c r="F3" i="17"/>
  <c r="G3" i="17" s="1"/>
  <c r="H3" i="17" s="1"/>
  <c r="I3" i="17" s="1" a="1"/>
  <c r="I3" i="17" s="1"/>
  <c r="G3" i="16"/>
  <c r="H3" i="16" s="1"/>
  <c r="I3" i="16" s="1" a="1"/>
  <c r="I3" i="16" s="1"/>
  <c r="F4" i="16"/>
  <c r="E6" i="33"/>
  <c r="E3" i="33"/>
  <c r="E11" i="33"/>
  <c r="E10" i="33"/>
  <c r="E17" i="33"/>
  <c r="E9" i="33"/>
  <c r="E16" i="33"/>
  <c r="E7" i="33"/>
  <c r="E15" i="33"/>
  <c r="E5" i="33"/>
  <c r="E4" i="33"/>
  <c r="E2" i="33"/>
  <c r="J2" i="33"/>
  <c r="E13" i="33"/>
  <c r="E12" i="33"/>
  <c r="D1" i="33"/>
  <c r="C1" i="33"/>
  <c r="ES3" i="17"/>
  <c r="ES14" i="17"/>
  <c r="BN24" i="16"/>
  <c r="BN25" i="16"/>
  <c r="BN26" i="16"/>
  <c r="BN27" i="16"/>
  <c r="BN28" i="16"/>
  <c r="BN29" i="16"/>
  <c r="BN30" i="16"/>
  <c r="BN31" i="16"/>
  <c r="BN32" i="16"/>
  <c r="BN33" i="16"/>
  <c r="BN34" i="16"/>
  <c r="BN35" i="16"/>
  <c r="BN36" i="16"/>
  <c r="BN37" i="16"/>
  <c r="BN38" i="16"/>
  <c r="BN39" i="16"/>
  <c r="BN40" i="16"/>
  <c r="BN41" i="16"/>
  <c r="BN42" i="16"/>
  <c r="BN43" i="16"/>
  <c r="BN44" i="16"/>
  <c r="BN45" i="16"/>
  <c r="BN46" i="16"/>
  <c r="BN47" i="16"/>
  <c r="BN48" i="16"/>
  <c r="BN49" i="16"/>
  <c r="BN50" i="16"/>
  <c r="BN51" i="16"/>
  <c r="BN52" i="16"/>
  <c r="BN53" i="16"/>
  <c r="BN54" i="16"/>
  <c r="BN55" i="16"/>
  <c r="BN56" i="16"/>
  <c r="BN57" i="16"/>
  <c r="BN58" i="16"/>
  <c r="BN59" i="16"/>
  <c r="BN60" i="16"/>
  <c r="BN61" i="16"/>
  <c r="BN62" i="16"/>
  <c r="BN63" i="16"/>
  <c r="BN64" i="16"/>
  <c r="BN65" i="16"/>
  <c r="BN66" i="16"/>
  <c r="BN67" i="16"/>
  <c r="BN68" i="16"/>
  <c r="BN69" i="16"/>
  <c r="BN70" i="16"/>
  <c r="BN71" i="16"/>
  <c r="BN72" i="16"/>
  <c r="BN73" i="16"/>
  <c r="BN74" i="16"/>
  <c r="BN75" i="16"/>
  <c r="BN76" i="16"/>
  <c r="BN77" i="16"/>
  <c r="BN78" i="16"/>
  <c r="BN79" i="16"/>
  <c r="BN80" i="16"/>
  <c r="BN81" i="16"/>
  <c r="BN82" i="16"/>
  <c r="BN83" i="16"/>
  <c r="BN84" i="16"/>
  <c r="BN85" i="16"/>
  <c r="BN86" i="16"/>
  <c r="BN87" i="16"/>
  <c r="BN88" i="16"/>
  <c r="BN89" i="16"/>
  <c r="BN90" i="16"/>
  <c r="BN91" i="16"/>
  <c r="BN92" i="16"/>
  <c r="BN93" i="16"/>
  <c r="BN94" i="16"/>
  <c r="BN95" i="16"/>
  <c r="BN96" i="16"/>
  <c r="BN97" i="16"/>
  <c r="BN98" i="16"/>
  <c r="BN99" i="16"/>
  <c r="BN100" i="16"/>
  <c r="BN101" i="16"/>
  <c r="BN102" i="16"/>
  <c r="BN103" i="16"/>
  <c r="BN104" i="16"/>
  <c r="BN105" i="16"/>
  <c r="BN106" i="16"/>
  <c r="BN107" i="16"/>
  <c r="BN108" i="16"/>
  <c r="BN109" i="16"/>
  <c r="BN110" i="16"/>
  <c r="BN111" i="16"/>
  <c r="BN112" i="16"/>
  <c r="BN113" i="16"/>
  <c r="BN114" i="16"/>
  <c r="BN115" i="16"/>
  <c r="BN116" i="16"/>
  <c r="BN117" i="16"/>
  <c r="BN118" i="16"/>
  <c r="BN119" i="16"/>
  <c r="BN120" i="16"/>
  <c r="BN121" i="16"/>
  <c r="BN122" i="16"/>
  <c r="BN123" i="16"/>
  <c r="BN124" i="16"/>
  <c r="BN125" i="16"/>
  <c r="BN126" i="16"/>
  <c r="BN127" i="16"/>
  <c r="BN128" i="16"/>
  <c r="BN129" i="16"/>
  <c r="BN130" i="16"/>
  <c r="BN131" i="16"/>
  <c r="BN132" i="16"/>
  <c r="BN133" i="16"/>
  <c r="BN134" i="16"/>
  <c r="BN135" i="16"/>
  <c r="BN136" i="16"/>
  <c r="BN137" i="16"/>
  <c r="BN138" i="16"/>
  <c r="BN139" i="16"/>
  <c r="BN140" i="16"/>
  <c r="BN141" i="16"/>
  <c r="BN142" i="16"/>
  <c r="BN143" i="16"/>
  <c r="BN144" i="16"/>
  <c r="BN145" i="16"/>
  <c r="BN146" i="16"/>
  <c r="BN147" i="16"/>
  <c r="BN148" i="16"/>
  <c r="BN149" i="16"/>
  <c r="BN150" i="16"/>
  <c r="BN151" i="16"/>
  <c r="BN152" i="16"/>
  <c r="BN153" i="16"/>
  <c r="BN154" i="16"/>
  <c r="BN155" i="16"/>
  <c r="BN156" i="16"/>
  <c r="BN157" i="16"/>
  <c r="BN158" i="16"/>
  <c r="BN159" i="16"/>
  <c r="BN160" i="16"/>
  <c r="BN161" i="16"/>
  <c r="BN162" i="16"/>
  <c r="BN163" i="16"/>
  <c r="BN164" i="16"/>
  <c r="BN165" i="16"/>
  <c r="BN166" i="16"/>
  <c r="BN167" i="16"/>
  <c r="BN168" i="16"/>
  <c r="BN169" i="16"/>
  <c r="BN170" i="16"/>
  <c r="BN171" i="16"/>
  <c r="BN172" i="16"/>
  <c r="BN173" i="16"/>
  <c r="BN174" i="16"/>
  <c r="BN175" i="16"/>
  <c r="BN176" i="16"/>
  <c r="BN177" i="16"/>
  <c r="BN178" i="16"/>
  <c r="BN179" i="16"/>
  <c r="BN180" i="16"/>
  <c r="BN181" i="16"/>
  <c r="BN182" i="16"/>
  <c r="BN183" i="16"/>
  <c r="BN184" i="16"/>
  <c r="BN185" i="16"/>
  <c r="BN186" i="16"/>
  <c r="BN187" i="16"/>
  <c r="BN188" i="16"/>
  <c r="BN189" i="16"/>
  <c r="BN190" i="16"/>
  <c r="BN191" i="16"/>
  <c r="BN192" i="16"/>
  <c r="BN193" i="16"/>
  <c r="BN194" i="16"/>
  <c r="BN195" i="16"/>
  <c r="BN196" i="16"/>
  <c r="BN197" i="16"/>
  <c r="BN198" i="16"/>
  <c r="BN199" i="16"/>
  <c r="BN200" i="16"/>
  <c r="BN201" i="16"/>
  <c r="BN202" i="16"/>
  <c r="BN203" i="16"/>
  <c r="BN204" i="16"/>
  <c r="BN205" i="16"/>
  <c r="BN206" i="16"/>
  <c r="BN207" i="16"/>
  <c r="BN208" i="16"/>
  <c r="BN209" i="16"/>
  <c r="BN210" i="16"/>
  <c r="BN211" i="16"/>
  <c r="BN212" i="16"/>
  <c r="BN213" i="16"/>
  <c r="BN214" i="16"/>
  <c r="BN215" i="16"/>
  <c r="BN216" i="16"/>
  <c r="BN217" i="16"/>
  <c r="BN218" i="16"/>
  <c r="BN219" i="16"/>
  <c r="BN220" i="16"/>
  <c r="BN221" i="16"/>
  <c r="BN222" i="16"/>
  <c r="BN223" i="16"/>
  <c r="BN224" i="16"/>
  <c r="BN225" i="16"/>
  <c r="BN226" i="16"/>
  <c r="BN227" i="16"/>
  <c r="BN228" i="16"/>
  <c r="BN229" i="16"/>
  <c r="BN230" i="16"/>
  <c r="BN231" i="16"/>
  <c r="BN232" i="16"/>
  <c r="BN233" i="16"/>
  <c r="BN234" i="16"/>
  <c r="BN235" i="16"/>
  <c r="BN236" i="16"/>
  <c r="BN237" i="16"/>
  <c r="BN238" i="16"/>
  <c r="BN239" i="16"/>
  <c r="BN240" i="16"/>
  <c r="BN241" i="16"/>
  <c r="BN242" i="16"/>
  <c r="BN243" i="16"/>
  <c r="BN244" i="16"/>
  <c r="BN245" i="16"/>
  <c r="BN246" i="16"/>
  <c r="BN247" i="16"/>
  <c r="BN248" i="16"/>
  <c r="BN249" i="16"/>
  <c r="BN250" i="16"/>
  <c r="BN251" i="16"/>
  <c r="BN252" i="16"/>
  <c r="BN253" i="16"/>
  <c r="BN254" i="16"/>
  <c r="BN255" i="16"/>
  <c r="BN256" i="16"/>
  <c r="BN257" i="16"/>
  <c r="BN258" i="16"/>
  <c r="BN259" i="16"/>
  <c r="BN260" i="16"/>
  <c r="BN261" i="16"/>
  <c r="BN262" i="16"/>
  <c r="BN263" i="16"/>
  <c r="BN264" i="16"/>
  <c r="BN265" i="16"/>
  <c r="BN266" i="16"/>
  <c r="BN267" i="16"/>
  <c r="BN268" i="16"/>
  <c r="BN269" i="16"/>
  <c r="BN270" i="16"/>
  <c r="BN271" i="16"/>
  <c r="BN272" i="16"/>
  <c r="BN273" i="16"/>
  <c r="BN274" i="16"/>
  <c r="BN275" i="16"/>
  <c r="BN276" i="16"/>
  <c r="BN277" i="16"/>
  <c r="BN278" i="16"/>
  <c r="BN279" i="16"/>
  <c r="BN280" i="16"/>
  <c r="BN281" i="16"/>
  <c r="BN282" i="16"/>
  <c r="BN283" i="16"/>
  <c r="BN284" i="16"/>
  <c r="BN285" i="16"/>
  <c r="BN286" i="16"/>
  <c r="BN287" i="16"/>
  <c r="BN288" i="16"/>
  <c r="BN289" i="16"/>
  <c r="BN290" i="16"/>
  <c r="BN291" i="16"/>
  <c r="BN292" i="16"/>
  <c r="BN293" i="16"/>
  <c r="BN294" i="16"/>
  <c r="BN295" i="16"/>
  <c r="BN296" i="16"/>
  <c r="BN297" i="16"/>
  <c r="BN298" i="16"/>
  <c r="BN299" i="16"/>
  <c r="BN300" i="16"/>
  <c r="BN301" i="16"/>
  <c r="BN302" i="16"/>
  <c r="BN303" i="16"/>
  <c r="BN304" i="16"/>
  <c r="BN305" i="16"/>
  <c r="BN306" i="16"/>
  <c r="BN307" i="16"/>
  <c r="BN308" i="16"/>
  <c r="BN309" i="16"/>
  <c r="BN310" i="16"/>
  <c r="BN311" i="16"/>
  <c r="BN312" i="16"/>
  <c r="BN313" i="16"/>
  <c r="BN314" i="16"/>
  <c r="BN315" i="16"/>
  <c r="BN316" i="16"/>
  <c r="BN317" i="16"/>
  <c r="BN318" i="16"/>
  <c r="BN319" i="16"/>
  <c r="BN320" i="16"/>
  <c r="BN321" i="16"/>
  <c r="BN322" i="16"/>
  <c r="BN323" i="16"/>
  <c r="BN324" i="16"/>
  <c r="BN325" i="16"/>
  <c r="BN326" i="16"/>
  <c r="BN327" i="16"/>
  <c r="BN328" i="16"/>
  <c r="BN329" i="16"/>
  <c r="BN330" i="16"/>
  <c r="BN331" i="16"/>
  <c r="BN332" i="16"/>
  <c r="BN333" i="16"/>
  <c r="BN334" i="16"/>
  <c r="BN335" i="16"/>
  <c r="BN336" i="16"/>
  <c r="BN337" i="16"/>
  <c r="BN338" i="16"/>
  <c r="BN339" i="16"/>
  <c r="BN340" i="16"/>
  <c r="BN341" i="16"/>
  <c r="BN342" i="16"/>
  <c r="BN343" i="16"/>
  <c r="BN344" i="16"/>
  <c r="BN345" i="16"/>
  <c r="BN346" i="16"/>
  <c r="BN347" i="16"/>
  <c r="BN348" i="16"/>
  <c r="BN349" i="16"/>
  <c r="BN21" i="16" s="1" a="1"/>
  <c r="BN21" i="16" s="1"/>
  <c r="BN350" i="16"/>
  <c r="BN351" i="16"/>
  <c r="BN352" i="16"/>
  <c r="BN353" i="16"/>
  <c r="BN354" i="16"/>
  <c r="BN355" i="16"/>
  <c r="BN356" i="16"/>
  <c r="BN357" i="16"/>
  <c r="BN358" i="16"/>
  <c r="BN359" i="16"/>
  <c r="BN360" i="16"/>
  <c r="BN361" i="16"/>
  <c r="BN362" i="16"/>
  <c r="BN363" i="16"/>
  <c r="BN364" i="16"/>
  <c r="BN365" i="16"/>
  <c r="BN366" i="16"/>
  <c r="BN367" i="16"/>
  <c r="BN368" i="16"/>
  <c r="BN369" i="16"/>
  <c r="BN370" i="16"/>
  <c r="BN371" i="16"/>
  <c r="BN372" i="16"/>
  <c r="BN373" i="16"/>
  <c r="BN374" i="16"/>
  <c r="BN375" i="16"/>
  <c r="BN376" i="16"/>
  <c r="BN377" i="16"/>
  <c r="BN378" i="16"/>
  <c r="BN379" i="16"/>
  <c r="BN380" i="16"/>
  <c r="BN381" i="16"/>
  <c r="BN382" i="16"/>
  <c r="BN383" i="16"/>
  <c r="BN384" i="16"/>
  <c r="BN385" i="16"/>
  <c r="BN386" i="16"/>
  <c r="BN387" i="16"/>
  <c r="BN388" i="16"/>
  <c r="BN389" i="16"/>
  <c r="BN390" i="16"/>
  <c r="BN391" i="16"/>
  <c r="BN392" i="16"/>
  <c r="BN393" i="16"/>
  <c r="BN394" i="16"/>
  <c r="BN395" i="16"/>
  <c r="BN396" i="16"/>
  <c r="BN397" i="16"/>
  <c r="BN398" i="16"/>
  <c r="BN399" i="16"/>
  <c r="BN400" i="16"/>
  <c r="BN401" i="16"/>
  <c r="BN402" i="16"/>
  <c r="BN403" i="16"/>
  <c r="BN404" i="16"/>
  <c r="BN405" i="16"/>
  <c r="BN406" i="16"/>
  <c r="BN407" i="16"/>
  <c r="BN408" i="16"/>
  <c r="BN409" i="16"/>
  <c r="BN410" i="16"/>
  <c r="BN411" i="16"/>
  <c r="BN412" i="16"/>
  <c r="BN413" i="16"/>
  <c r="BN414" i="16"/>
  <c r="BN415" i="16"/>
  <c r="BN416" i="16"/>
  <c r="BN417" i="16"/>
  <c r="BN418" i="16"/>
  <c r="BN419" i="16"/>
  <c r="BN420" i="16"/>
  <c r="BN421" i="16"/>
  <c r="BN422" i="16"/>
  <c r="BN423" i="16"/>
  <c r="BN424" i="16"/>
  <c r="BN425" i="16"/>
  <c r="BN426" i="16"/>
  <c r="BN427" i="16"/>
  <c r="BN428" i="16"/>
  <c r="BN429" i="16"/>
  <c r="BN430" i="16"/>
  <c r="BN431" i="16"/>
  <c r="BN432" i="16"/>
  <c r="BN433" i="16"/>
  <c r="BN434" i="16"/>
  <c r="BN435" i="16"/>
  <c r="BN436" i="16"/>
  <c r="BN437" i="16"/>
  <c r="BN438" i="16"/>
  <c r="BN439" i="16"/>
  <c r="BN440" i="16"/>
  <c r="BN441" i="16"/>
  <c r="BN442" i="16"/>
  <c r="BN443" i="16"/>
  <c r="BN444" i="16"/>
  <c r="BN445" i="16"/>
  <c r="BN446" i="16"/>
  <c r="BN447" i="16"/>
  <c r="BN448" i="16"/>
  <c r="BN449" i="16"/>
  <c r="BN450" i="16"/>
  <c r="BN451" i="16"/>
  <c r="BN452" i="16"/>
  <c r="BN453" i="16"/>
  <c r="BN454" i="16"/>
  <c r="BN455" i="16"/>
  <c r="BN456" i="16"/>
  <c r="BN457" i="16"/>
  <c r="BN458" i="16"/>
  <c r="BN459" i="16"/>
  <c r="BN460" i="16"/>
  <c r="BN461" i="16"/>
  <c r="BN462" i="16"/>
  <c r="BN463" i="16"/>
  <c r="BN464" i="16"/>
  <c r="BN465" i="16"/>
  <c r="BN466" i="16"/>
  <c r="BN467" i="16"/>
  <c r="BN468" i="16"/>
  <c r="BN469" i="16"/>
  <c r="BN470" i="16"/>
  <c r="BN471" i="16"/>
  <c r="BN472" i="16"/>
  <c r="BN473" i="16"/>
  <c r="BN23" i="16"/>
  <c r="CC86" i="33"/>
  <c r="CT17" i="33"/>
  <c r="F50" i="33" s="1"/>
  <c r="B81" i="40" a="1"/>
  <c r="B82" i="40" a="1"/>
  <c r="BC96" i="19" l="1"/>
  <c r="BK94" i="19"/>
  <c r="BH94" i="19"/>
  <c r="DH60" i="43"/>
  <c r="DO60" i="43"/>
  <c r="DM59" i="43"/>
  <c r="DN59" i="43" s="1"/>
  <c r="DS57" i="43"/>
  <c r="DR58" i="43"/>
  <c r="DK60" i="43"/>
  <c r="DG61" i="43"/>
  <c r="DH61" i="43" s="1"/>
  <c r="DP59" i="43"/>
  <c r="DQ59" i="43" s="1"/>
  <c r="DT59" i="43" s="1"/>
  <c r="DU59" i="43" s="1"/>
  <c r="DI261" i="43"/>
  <c r="DI658" i="43"/>
  <c r="DO658" i="43"/>
  <c r="DK658" i="43"/>
  <c r="DP657" i="43"/>
  <c r="P11" i="43"/>
  <c r="Q10" i="43"/>
  <c r="R10" i="43" s="1"/>
  <c r="B81" i="40"/>
  <c r="CF14" i="16"/>
  <c r="G40" i="16"/>
  <c r="B82" i="40"/>
  <c r="ES5" i="17"/>
  <c r="F34" i="17"/>
  <c r="F35" i="17" s="1"/>
  <c r="G35" i="17" s="1"/>
  <c r="H35" i="17" s="1"/>
  <c r="I35" i="17" s="1" a="1"/>
  <c r="I35" i="17" s="1"/>
  <c r="U78" i="36"/>
  <c r="U76" i="36"/>
  <c r="T76" i="36"/>
  <c r="S77" i="36"/>
  <c r="T77" i="36"/>
  <c r="S76" i="36"/>
  <c r="T78" i="36"/>
  <c r="X72" i="36"/>
  <c r="Y73" i="36" s="1"/>
  <c r="S78" i="36"/>
  <c r="U77" i="36"/>
  <c r="X40" i="36"/>
  <c r="Y42" i="36"/>
  <c r="Y43" i="36"/>
  <c r="Z43" i="36" s="1"/>
  <c r="X59" i="36"/>
  <c r="Y59" i="36" s="1"/>
  <c r="X23" i="36"/>
  <c r="Y26" i="36"/>
  <c r="Z26" i="36" s="1"/>
  <c r="F4" i="17"/>
  <c r="G4" i="17" s="1"/>
  <c r="H4" i="17" s="1"/>
  <c r="I4" i="17" s="1" a="1"/>
  <c r="I4" i="17" s="1"/>
  <c r="F5" i="16"/>
  <c r="G4" i="16"/>
  <c r="H4" i="16" s="1"/>
  <c r="I4" i="16" s="1" a="1"/>
  <c r="I4" i="16" s="1"/>
  <c r="F1" i="33"/>
  <c r="F2" i="33" s="1"/>
  <c r="F3" i="33" s="1"/>
  <c r="ET13" i="17"/>
  <c r="ES10" i="17"/>
  <c r="DK37" i="33"/>
  <c r="F54" i="33" s="1"/>
  <c r="AE11" i="33"/>
  <c r="AE9" i="33" s="1" a="1"/>
  <c r="AE9" i="33" s="1"/>
  <c r="G54" i="33" s="1"/>
  <c r="F48" i="33"/>
  <c r="AY73" i="33"/>
  <c r="AY79" i="33"/>
  <c r="AY77" i="33"/>
  <c r="AZ103" i="33"/>
  <c r="AY103" i="33"/>
  <c r="AX103" i="33"/>
  <c r="BA25" i="17"/>
  <c r="BA26" i="17"/>
  <c r="BA27" i="17"/>
  <c r="BA28" i="17"/>
  <c r="CA23" i="17" a="1"/>
  <c r="CA23" i="17" s="1"/>
  <c r="G83" i="17" s="1"/>
  <c r="BA29" i="17"/>
  <c r="U52" i="17"/>
  <c r="V52" i="17" s="1" a="1"/>
  <c r="V52" i="17" s="1"/>
  <c r="BU21" i="16"/>
  <c r="CH9" i="33" a="1"/>
  <c r="CH9" i="33" s="1"/>
  <c r="CL13" i="33" s="1"/>
  <c r="AV103" i="33"/>
  <c r="AW103" i="33"/>
  <c r="AU103" i="33"/>
  <c r="CA461" i="33"/>
  <c r="CA460" i="33"/>
  <c r="CA459" i="33"/>
  <c r="CA458" i="33"/>
  <c r="CA457" i="33"/>
  <c r="CA456" i="33"/>
  <c r="CA455" i="33"/>
  <c r="CA454" i="33"/>
  <c r="CA453" i="33"/>
  <c r="CA452" i="33"/>
  <c r="CA451" i="33"/>
  <c r="CA450" i="33"/>
  <c r="CA449" i="33"/>
  <c r="CA448" i="33"/>
  <c r="CA447" i="33"/>
  <c r="CA446" i="33"/>
  <c r="CA445" i="33"/>
  <c r="CA444" i="33"/>
  <c r="CA443" i="33"/>
  <c r="CA442" i="33"/>
  <c r="CA441" i="33"/>
  <c r="CA440" i="33"/>
  <c r="CA439" i="33"/>
  <c r="CA438" i="33"/>
  <c r="CA437" i="33"/>
  <c r="CA436" i="33"/>
  <c r="CA435" i="33"/>
  <c r="CA434" i="33"/>
  <c r="CA433" i="33"/>
  <c r="CA432" i="33"/>
  <c r="CA431" i="33"/>
  <c r="CA430" i="33"/>
  <c r="CA429" i="33"/>
  <c r="CA428" i="33"/>
  <c r="CA427" i="33"/>
  <c r="CA426" i="33"/>
  <c r="CA425" i="33"/>
  <c r="CA424" i="33"/>
  <c r="CA423" i="33"/>
  <c r="CA422" i="33"/>
  <c r="CA421" i="33"/>
  <c r="CA420" i="33"/>
  <c r="CA419" i="33"/>
  <c r="CA418" i="33"/>
  <c r="CA417" i="33"/>
  <c r="CA416" i="33"/>
  <c r="CA415" i="33"/>
  <c r="CA414" i="33"/>
  <c r="CA413" i="33"/>
  <c r="CA412" i="33"/>
  <c r="CA411" i="33"/>
  <c r="CA410" i="33"/>
  <c r="CA409" i="33"/>
  <c r="CA408" i="33"/>
  <c r="CA407" i="33"/>
  <c r="CA406" i="33"/>
  <c r="CA405" i="33"/>
  <c r="CA404" i="33"/>
  <c r="CA403" i="33"/>
  <c r="CA402" i="33"/>
  <c r="CA401" i="33"/>
  <c r="CA400" i="33"/>
  <c r="CA399" i="33"/>
  <c r="CA398" i="33"/>
  <c r="CA397" i="33"/>
  <c r="CA396" i="33"/>
  <c r="CA395" i="33"/>
  <c r="CA394" i="33"/>
  <c r="CA393" i="33"/>
  <c r="CA392" i="33"/>
  <c r="CA391" i="33"/>
  <c r="CA390" i="33"/>
  <c r="CA389" i="33"/>
  <c r="CA388" i="33"/>
  <c r="CA387" i="33"/>
  <c r="CA386" i="33"/>
  <c r="CA385" i="33"/>
  <c r="CA384" i="33"/>
  <c r="CA383" i="33"/>
  <c r="CA382" i="33"/>
  <c r="CA381" i="33"/>
  <c r="CA380" i="33"/>
  <c r="CA379" i="33"/>
  <c r="CA378" i="33"/>
  <c r="CA377" i="33"/>
  <c r="CA376" i="33"/>
  <c r="CA375" i="33"/>
  <c r="CA374" i="33"/>
  <c r="CA373" i="33"/>
  <c r="CA372" i="33"/>
  <c r="CA371" i="33"/>
  <c r="CA370" i="33"/>
  <c r="CA369" i="33"/>
  <c r="CA368" i="33"/>
  <c r="CA367" i="33"/>
  <c r="CA366" i="33"/>
  <c r="CA365" i="33"/>
  <c r="CA364" i="33"/>
  <c r="CA363" i="33"/>
  <c r="CA362" i="33"/>
  <c r="CA361" i="33"/>
  <c r="CA360" i="33"/>
  <c r="CA359" i="33"/>
  <c r="CA358" i="33"/>
  <c r="CA357" i="33"/>
  <c r="CA356" i="33"/>
  <c r="CA355" i="33"/>
  <c r="CA354" i="33"/>
  <c r="CA353" i="33"/>
  <c r="CA352" i="33"/>
  <c r="CA351" i="33"/>
  <c r="CA350" i="33"/>
  <c r="CA349" i="33"/>
  <c r="CA348" i="33"/>
  <c r="CA347" i="33"/>
  <c r="CA346" i="33"/>
  <c r="CA345" i="33"/>
  <c r="CA344" i="33"/>
  <c r="CA343" i="33"/>
  <c r="CA342" i="33"/>
  <c r="CA341" i="33"/>
  <c r="CA340" i="33"/>
  <c r="CA339" i="33"/>
  <c r="CA338" i="33"/>
  <c r="CA337" i="33"/>
  <c r="CA336" i="33"/>
  <c r="CA335" i="33"/>
  <c r="CA334" i="33"/>
  <c r="CA333" i="33"/>
  <c r="CA332" i="33"/>
  <c r="CA331" i="33"/>
  <c r="CA330" i="33"/>
  <c r="CA329" i="33"/>
  <c r="CA328" i="33"/>
  <c r="CA327" i="33"/>
  <c r="CA326" i="33"/>
  <c r="CA325" i="33"/>
  <c r="CA324" i="33"/>
  <c r="CA323" i="33"/>
  <c r="CA322" i="33"/>
  <c r="CA321" i="33"/>
  <c r="CA320" i="33"/>
  <c r="CA319" i="33"/>
  <c r="CA318" i="33"/>
  <c r="CA317" i="33"/>
  <c r="CA316" i="33"/>
  <c r="CA315" i="33"/>
  <c r="CA314" i="33"/>
  <c r="CA313" i="33"/>
  <c r="CA312" i="33"/>
  <c r="CA311" i="33"/>
  <c r="CA310" i="33"/>
  <c r="CA309" i="33"/>
  <c r="CA308" i="33"/>
  <c r="CA307" i="33"/>
  <c r="CA306" i="33"/>
  <c r="CA305" i="33"/>
  <c r="CA304" i="33"/>
  <c r="CA303" i="33"/>
  <c r="CA302" i="33"/>
  <c r="CA301" i="33"/>
  <c r="CA300" i="33"/>
  <c r="CA299" i="33"/>
  <c r="CA298" i="33"/>
  <c r="CA297" i="33"/>
  <c r="CA296" i="33"/>
  <c r="CA295" i="33"/>
  <c r="CA294" i="33"/>
  <c r="CA293" i="33"/>
  <c r="CA292" i="33"/>
  <c r="CA291" i="33"/>
  <c r="CA290" i="33"/>
  <c r="CA289" i="33"/>
  <c r="CA288" i="33"/>
  <c r="CA287" i="33"/>
  <c r="CA286" i="33"/>
  <c r="CA285" i="33"/>
  <c r="CA284" i="33"/>
  <c r="CA283" i="33"/>
  <c r="CA282" i="33"/>
  <c r="CA281" i="33"/>
  <c r="CA280" i="33"/>
  <c r="CA279" i="33"/>
  <c r="CA278" i="33"/>
  <c r="CA277" i="33"/>
  <c r="CA276" i="33"/>
  <c r="CA275" i="33"/>
  <c r="CA274" i="33"/>
  <c r="CA273" i="33"/>
  <c r="CA272" i="33"/>
  <c r="CA271" i="33"/>
  <c r="CA270" i="33"/>
  <c r="CA269" i="33"/>
  <c r="CA268" i="33"/>
  <c r="CA267" i="33"/>
  <c r="CA266" i="33"/>
  <c r="CA265" i="33"/>
  <c r="CA264" i="33"/>
  <c r="CA263" i="33"/>
  <c r="CA262" i="33"/>
  <c r="CA261" i="33"/>
  <c r="CA260" i="33"/>
  <c r="CA259" i="33"/>
  <c r="CA258" i="33"/>
  <c r="CA257" i="33"/>
  <c r="CA256" i="33"/>
  <c r="CA255" i="33"/>
  <c r="CA254" i="33"/>
  <c r="CA253" i="33"/>
  <c r="CA252" i="33"/>
  <c r="CA251" i="33"/>
  <c r="CA250" i="33"/>
  <c r="CA249" i="33"/>
  <c r="CA248" i="33"/>
  <c r="CA247" i="33"/>
  <c r="CA246" i="33"/>
  <c r="CA245" i="33"/>
  <c r="CA244" i="33"/>
  <c r="CA243" i="33"/>
  <c r="CA242" i="33"/>
  <c r="CA241" i="33"/>
  <c r="CA240" i="33"/>
  <c r="CA239" i="33"/>
  <c r="CA238" i="33"/>
  <c r="CA237" i="33"/>
  <c r="CA236" i="33"/>
  <c r="CA235" i="33"/>
  <c r="CA234" i="33"/>
  <c r="CA233" i="33"/>
  <c r="CA232" i="33"/>
  <c r="CA231" i="33"/>
  <c r="CA230" i="33"/>
  <c r="CA229" i="33"/>
  <c r="CA228" i="33"/>
  <c r="CA227" i="33"/>
  <c r="CA226" i="33"/>
  <c r="CA225" i="33"/>
  <c r="CA224" i="33"/>
  <c r="CA223" i="33"/>
  <c r="CA222" i="33"/>
  <c r="CA221" i="33"/>
  <c r="CA220" i="33"/>
  <c r="CA219" i="33"/>
  <c r="CA218" i="33"/>
  <c r="CA217" i="33"/>
  <c r="CA216" i="33"/>
  <c r="CA215" i="33"/>
  <c r="CA214" i="33"/>
  <c r="CA213" i="33"/>
  <c r="CA212" i="33"/>
  <c r="CA211" i="33"/>
  <c r="CA210" i="33"/>
  <c r="CA209" i="33"/>
  <c r="CA208" i="33"/>
  <c r="CA207" i="33"/>
  <c r="CA206" i="33"/>
  <c r="CA205" i="33"/>
  <c r="CA204" i="33"/>
  <c r="CA203" i="33"/>
  <c r="CA202" i="33"/>
  <c r="CA201" i="33"/>
  <c r="CA200" i="33"/>
  <c r="CA199" i="33"/>
  <c r="CA198" i="33"/>
  <c r="CA197" i="33"/>
  <c r="CA196" i="33"/>
  <c r="CA195" i="33"/>
  <c r="CA194" i="33"/>
  <c r="CA193" i="33"/>
  <c r="CA192" i="33"/>
  <c r="CA191" i="33"/>
  <c r="CA190" i="33"/>
  <c r="CA189" i="33"/>
  <c r="CA188" i="33"/>
  <c r="CA187" i="33"/>
  <c r="CA186" i="33"/>
  <c r="CA185" i="33"/>
  <c r="CA184" i="33"/>
  <c r="CA183" i="33"/>
  <c r="CA182" i="33"/>
  <c r="CA181" i="33"/>
  <c r="CA180" i="33"/>
  <c r="CA179" i="33"/>
  <c r="CA178" i="33"/>
  <c r="CA177" i="33"/>
  <c r="CA176" i="33"/>
  <c r="CA175" i="33"/>
  <c r="CA9" i="33" s="1" a="1"/>
  <c r="CA9" i="33" s="1"/>
  <c r="CA174" i="33"/>
  <c r="CA173" i="33"/>
  <c r="CA172" i="33"/>
  <c r="CA171" i="33"/>
  <c r="CA170" i="33"/>
  <c r="CA169" i="33"/>
  <c r="CA168" i="33"/>
  <c r="CA167" i="33"/>
  <c r="CA166" i="33"/>
  <c r="CA165" i="33"/>
  <c r="CA164" i="33"/>
  <c r="CA163" i="33"/>
  <c r="CA162" i="33"/>
  <c r="CA161" i="33"/>
  <c r="CA160" i="33"/>
  <c r="CA159" i="33"/>
  <c r="CA158" i="33"/>
  <c r="CA157" i="33"/>
  <c r="CA156" i="33"/>
  <c r="CA155" i="33"/>
  <c r="CA154" i="33"/>
  <c r="CA153" i="33"/>
  <c r="CA152" i="33"/>
  <c r="CA151" i="33"/>
  <c r="CA150" i="33"/>
  <c r="CA149" i="33"/>
  <c r="CA148" i="33"/>
  <c r="CA147" i="33"/>
  <c r="CA146" i="33"/>
  <c r="CA145" i="33"/>
  <c r="CA144" i="33"/>
  <c r="CA143" i="33"/>
  <c r="CA142" i="33"/>
  <c r="CA141" i="33"/>
  <c r="CA140" i="33"/>
  <c r="CA139" i="33"/>
  <c r="CA138" i="33"/>
  <c r="CA137" i="33"/>
  <c r="CA136" i="33"/>
  <c r="CA135" i="33"/>
  <c r="CA134" i="33"/>
  <c r="CA133" i="33"/>
  <c r="CA132" i="33"/>
  <c r="CA131" i="33"/>
  <c r="CA130" i="33"/>
  <c r="CA129" i="33"/>
  <c r="CA128" i="33"/>
  <c r="CA127" i="33"/>
  <c r="CA126" i="33"/>
  <c r="CA125" i="33"/>
  <c r="AM15" i="33"/>
  <c r="CA124" i="33"/>
  <c r="AM14" i="33"/>
  <c r="CA123" i="33"/>
  <c r="AM13" i="33"/>
  <c r="CA122" i="33"/>
  <c r="AM12" i="33"/>
  <c r="CA121" i="33"/>
  <c r="AM11" i="33"/>
  <c r="CA120" i="33"/>
  <c r="CA119" i="33"/>
  <c r="CA118" i="33"/>
  <c r="CA117" i="33"/>
  <c r="CA116" i="33"/>
  <c r="CA115" i="33"/>
  <c r="CA114" i="33"/>
  <c r="CA113" i="33"/>
  <c r="CA112" i="33"/>
  <c r="CA111" i="33"/>
  <c r="CA110" i="33"/>
  <c r="CA109" i="33"/>
  <c r="CA108" i="33"/>
  <c r="CA107" i="33"/>
  <c r="CA106" i="33"/>
  <c r="CA105" i="33"/>
  <c r="CA104" i="33"/>
  <c r="CA103" i="33"/>
  <c r="CA102" i="33"/>
  <c r="CA101" i="33"/>
  <c r="CA100" i="33"/>
  <c r="CA99" i="33"/>
  <c r="CA98" i="33"/>
  <c r="CA97" i="33"/>
  <c r="CA96" i="33"/>
  <c r="CA95" i="33"/>
  <c r="CA94" i="33"/>
  <c r="CA93" i="33"/>
  <c r="CA92" i="33"/>
  <c r="CA91" i="33"/>
  <c r="CA90" i="33"/>
  <c r="CA89" i="33"/>
  <c r="CA88" i="33"/>
  <c r="CA87" i="33"/>
  <c r="CA86" i="33"/>
  <c r="CA85" i="33"/>
  <c r="CA84" i="33"/>
  <c r="CA83" i="33"/>
  <c r="CA82" i="33"/>
  <c r="CA81" i="33"/>
  <c r="CA80" i="33"/>
  <c r="CA79" i="33"/>
  <c r="CA78" i="33"/>
  <c r="CA77" i="33"/>
  <c r="CA76" i="33"/>
  <c r="CA75" i="33"/>
  <c r="CA74" i="33"/>
  <c r="CA73" i="33"/>
  <c r="CA72" i="33"/>
  <c r="CA71" i="33"/>
  <c r="CA70" i="33"/>
  <c r="CA69" i="33"/>
  <c r="CA68" i="33"/>
  <c r="CA67" i="33"/>
  <c r="CA66" i="33"/>
  <c r="CA65" i="33"/>
  <c r="DL60" i="33"/>
  <c r="CA64" i="33"/>
  <c r="CA63" i="33"/>
  <c r="CA62" i="33"/>
  <c r="CA61" i="33"/>
  <c r="CA60" i="33"/>
  <c r="CA59" i="33"/>
  <c r="CA58" i="33"/>
  <c r="CA57" i="33"/>
  <c r="CA56" i="33"/>
  <c r="CA55" i="33"/>
  <c r="CA54" i="33"/>
  <c r="CA53" i="33"/>
  <c r="DL52" i="33"/>
  <c r="CA52" i="33"/>
  <c r="CA51" i="33"/>
  <c r="CA50" i="33"/>
  <c r="CA49" i="33"/>
  <c r="CA48" i="33"/>
  <c r="CA47" i="33"/>
  <c r="CA46" i="33"/>
  <c r="CA45" i="33"/>
  <c r="CA44" i="33"/>
  <c r="CA43" i="33"/>
  <c r="CA42" i="33"/>
  <c r="CA41" i="33"/>
  <c r="CA40" i="33"/>
  <c r="CA39" i="33"/>
  <c r="CA38" i="33"/>
  <c r="CA37" i="33"/>
  <c r="CA36" i="33"/>
  <c r="BE9" i="33" a="1"/>
  <c r="BE9" i="33" s="1"/>
  <c r="CA35" i="33"/>
  <c r="CA34" i="33"/>
  <c r="CA33" i="33"/>
  <c r="CA32" i="33"/>
  <c r="CA31" i="33"/>
  <c r="CA30" i="33"/>
  <c r="CA29" i="33"/>
  <c r="CA28" i="33"/>
  <c r="CA27" i="33"/>
  <c r="AJ30" i="33"/>
  <c r="AQ49" i="33" s="1"/>
  <c r="AP49" i="33" s="1"/>
  <c r="AK30" i="33" s="1"/>
  <c r="DJ3" i="33" s="1" a="1"/>
  <c r="DJ3" i="33" s="1"/>
  <c r="CA26" i="33"/>
  <c r="CA25" i="33"/>
  <c r="CA24" i="33"/>
  <c r="CA23" i="33"/>
  <c r="DL18" i="33"/>
  <c r="CA22" i="33"/>
  <c r="CA21" i="33"/>
  <c r="CA20" i="33"/>
  <c r="CA19" i="33"/>
  <c r="CA18" i="33"/>
  <c r="CA17" i="33"/>
  <c r="CA16" i="33"/>
  <c r="CA15" i="33"/>
  <c r="CA14" i="33"/>
  <c r="CA13" i="33"/>
  <c r="DB4" i="33"/>
  <c r="CA12" i="33"/>
  <c r="CA11" i="33"/>
  <c r="AH55" i="33" a="1"/>
  <c r="AH55" i="33" s="1"/>
  <c r="C85" i="40" a="1"/>
  <c r="B80" i="40" a="1"/>
  <c r="B85" i="40" a="1"/>
  <c r="B79" i="40" a="1"/>
  <c r="C31" i="40" a="1"/>
  <c r="BL94" i="19" l="1"/>
  <c r="BJ94" i="19"/>
  <c r="BI94" i="19"/>
  <c r="BH93" i="19"/>
  <c r="BL93" i="19"/>
  <c r="BJ93" i="19"/>
  <c r="BI93" i="19"/>
  <c r="DK61" i="43"/>
  <c r="DS58" i="43"/>
  <c r="DR59" i="43"/>
  <c r="DP60" i="43"/>
  <c r="DQ60" i="43" s="1"/>
  <c r="DT60" i="43" s="1"/>
  <c r="DU60" i="43" s="1"/>
  <c r="DM60" i="43"/>
  <c r="DN60" i="43" s="1"/>
  <c r="C85" i="40"/>
  <c r="B85" i="40"/>
  <c r="DO61" i="43"/>
  <c r="DG62" i="43"/>
  <c r="DO62" i="43" s="1"/>
  <c r="DP62" i="43" s="1"/>
  <c r="DI262" i="43"/>
  <c r="DI659" i="43"/>
  <c r="DO659" i="43"/>
  <c r="DK659" i="43"/>
  <c r="DP658" i="43"/>
  <c r="P12" i="43"/>
  <c r="Q11" i="43"/>
  <c r="R11" i="43" s="1"/>
  <c r="CQ10" i="33"/>
  <c r="G40" i="33"/>
  <c r="B79" i="40"/>
  <c r="C31" i="40"/>
  <c r="EL8" i="17"/>
  <c r="DM34" i="33"/>
  <c r="B80" i="40"/>
  <c r="DL39" i="33"/>
  <c r="AU39" i="33"/>
  <c r="DM32" i="33"/>
  <c r="G34" i="17"/>
  <c r="H34" i="17" s="1"/>
  <c r="I34" i="17" s="1" a="1"/>
  <c r="I34" i="17" s="1"/>
  <c r="F36" i="17"/>
  <c r="G36" i="17" s="1"/>
  <c r="H36" i="17" s="1"/>
  <c r="I36" i="17" s="1" a="1"/>
  <c r="I36" i="17" s="1"/>
  <c r="ET5" i="17"/>
  <c r="ES6" i="17"/>
  <c r="X76" i="36"/>
  <c r="Y76" i="36" s="1"/>
  <c r="Z25" i="36"/>
  <c r="Z23" i="36"/>
  <c r="M4" i="36" s="1"/>
  <c r="Z40" i="36"/>
  <c r="M5" i="36" s="1"/>
  <c r="Z42" i="36"/>
  <c r="X57" i="36"/>
  <c r="Y60" i="36"/>
  <c r="Z60" i="36" s="1"/>
  <c r="F5" i="17"/>
  <c r="F6" i="17" s="1"/>
  <c r="F7" i="17" s="1"/>
  <c r="G5" i="16"/>
  <c r="H5" i="16" s="1"/>
  <c r="I5" i="16" s="1" a="1"/>
  <c r="I5" i="16" s="1"/>
  <c r="F6" i="16"/>
  <c r="G2" i="33"/>
  <c r="H2" i="33" s="1"/>
  <c r="I2" i="33" s="1" a="1"/>
  <c r="I2" i="33" s="1"/>
  <c r="G3" i="33"/>
  <c r="H3" i="33" s="1"/>
  <c r="I3" i="33" s="1" a="1"/>
  <c r="I3" i="33" s="1"/>
  <c r="F4" i="33"/>
  <c r="ET14" i="17"/>
  <c r="ES8" i="17"/>
  <c r="EP25" i="17" s="1"/>
  <c r="CM10" i="33"/>
  <c r="F40" i="33" s="1"/>
  <c r="DK40" i="33"/>
  <c r="F55" i="33" s="1"/>
  <c r="AY75" i="33"/>
  <c r="AU40" i="33"/>
  <c r="AH37" i="33" a="1"/>
  <c r="AH37" i="33" s="1"/>
  <c r="AH56" i="33" a="1"/>
  <c r="AH56" i="33" s="1"/>
  <c r="AL50" i="33" s="1"/>
  <c r="AJ37" i="33" a="1"/>
  <c r="AJ37" i="33" s="1"/>
  <c r="AM34" i="33" s="1"/>
  <c r="AW52" i="33"/>
  <c r="AW49" i="33"/>
  <c r="AL30" i="33" s="1"/>
  <c r="AT49" i="33" s="1"/>
  <c r="AS49" i="33" s="1"/>
  <c r="AM30" i="33" s="1"/>
  <c r="DC9" i="33" s="1" a="1"/>
  <c r="DC9" i="33" s="1"/>
  <c r="AW51" i="33"/>
  <c r="AH54" i="33" a="1"/>
  <c r="AH54" i="33" s="1"/>
  <c r="AN48" i="33" s="1"/>
  <c r="AH76" i="33" a="1"/>
  <c r="AH76" i="33" s="1"/>
  <c r="AJ42" i="33" a="1"/>
  <c r="AJ42" i="33" s="1"/>
  <c r="AJ40" i="33" a="1"/>
  <c r="AJ40" i="33" s="1"/>
  <c r="AH49" i="33" a="1"/>
  <c r="AH49" i="33" s="1"/>
  <c r="AH51" i="33" a="1"/>
  <c r="AH51" i="33" s="1"/>
  <c r="AM48" i="33" s="1"/>
  <c r="AH53" i="33" a="1"/>
  <c r="AH53" i="33" s="1"/>
  <c r="AN47" i="33" s="1"/>
  <c r="AH89" i="33" a="1"/>
  <c r="AH89" i="33" s="1"/>
  <c r="AN77" i="33" s="1"/>
  <c r="AH85" i="33" a="1"/>
  <c r="AH85" i="33" s="1"/>
  <c r="AH80" i="33" a="1"/>
  <c r="AH80" i="33" s="1"/>
  <c r="AN74" i="33" s="1"/>
  <c r="AH90" i="33" a="1"/>
  <c r="AH90" i="33" s="1"/>
  <c r="AN78" i="33" s="1"/>
  <c r="AH86" i="33" a="1"/>
  <c r="AH86" i="33" s="1"/>
  <c r="AM77" i="33" s="1"/>
  <c r="AH91" i="33" a="1"/>
  <c r="AH91" i="33" s="1"/>
  <c r="AH87" i="33" a="1"/>
  <c r="AH87" i="33" s="1"/>
  <c r="AM78" i="33" s="1"/>
  <c r="AH96" i="33" a="1"/>
  <c r="AH96" i="33" s="1"/>
  <c r="AH95" i="33" a="1"/>
  <c r="AH95" i="33" s="1"/>
  <c r="AH94" i="33" a="1"/>
  <c r="AH94" i="33" s="1"/>
  <c r="AH83" i="33" a="1"/>
  <c r="AH83" i="33" s="1"/>
  <c r="AL77" i="33" s="1"/>
  <c r="AH97" i="33" a="1"/>
  <c r="AH97" i="33" s="1"/>
  <c r="AH93" i="33" a="1"/>
  <c r="AH93" i="33" s="1"/>
  <c r="AH98" i="33" a="1"/>
  <c r="AH98" i="33" s="1"/>
  <c r="AH92" i="33" a="1"/>
  <c r="AH92" i="33" s="1"/>
  <c r="AH88" i="33" a="1"/>
  <c r="AH88" i="33" s="1"/>
  <c r="AH77" i="33" a="1"/>
  <c r="AH77" i="33" s="1"/>
  <c r="AM74" i="33" s="1"/>
  <c r="AH58" i="33" a="1"/>
  <c r="AH58" i="33" s="1"/>
  <c r="AH57" i="33" a="1"/>
  <c r="AH57" i="33" s="1"/>
  <c r="AL51" i="33" s="1"/>
  <c r="AH78" i="33" a="1"/>
  <c r="AH78" i="33" s="1"/>
  <c r="AM75" i="33" s="1"/>
  <c r="AH72" i="33" a="1"/>
  <c r="AH72" i="33" s="1"/>
  <c r="AH68" i="33" a="1"/>
  <c r="AH68" i="33" s="1"/>
  <c r="AH79" i="33" a="1"/>
  <c r="AH79" i="33" s="1"/>
  <c r="AH75" i="33" a="1"/>
  <c r="AH75" i="33" s="1"/>
  <c r="AL75" i="33" s="1"/>
  <c r="AH73" i="33" a="1"/>
  <c r="AH73" i="33" s="1"/>
  <c r="AH69" i="33" a="1"/>
  <c r="AH69" i="33" s="1"/>
  <c r="AH60" i="33" a="1"/>
  <c r="AH60" i="33" s="1"/>
  <c r="AM51" i="33" s="1"/>
  <c r="AH74" i="33" a="1"/>
  <c r="AH74" i="33" s="1"/>
  <c r="AL74" i="33" s="1"/>
  <c r="AH64" i="33" a="1"/>
  <c r="AH64" i="33" s="1"/>
  <c r="AH61" i="33" a="1"/>
  <c r="AH61" i="33" s="1"/>
  <c r="AH82" i="33" a="1"/>
  <c r="AH82" i="33" s="1"/>
  <c r="AH100" i="33" a="1"/>
  <c r="AH100" i="33" s="1"/>
  <c r="AH66" i="33" a="1"/>
  <c r="AH66" i="33" s="1"/>
  <c r="AH62" i="33" a="1"/>
  <c r="AH62" i="33" s="1"/>
  <c r="AN50" i="33" s="1"/>
  <c r="AH63" i="33" a="1"/>
  <c r="AH63" i="33" s="1"/>
  <c r="AN51" i="33" s="1"/>
  <c r="AH99" i="33" a="1"/>
  <c r="AH99" i="33" s="1"/>
  <c r="AH84" i="33" a="1"/>
  <c r="AH84" i="33" s="1"/>
  <c r="AL78" i="33" s="1"/>
  <c r="AJ35" i="33" a="1"/>
  <c r="AJ35" i="33" s="1"/>
  <c r="AM36" i="33" s="1"/>
  <c r="AH71" i="33" a="1"/>
  <c r="AH71" i="33" s="1"/>
  <c r="AH48" i="33" a="1"/>
  <c r="AH48" i="33" s="1"/>
  <c r="AL48" i="33" s="1"/>
  <c r="AH59" i="33" a="1"/>
  <c r="AH59" i="33" s="1"/>
  <c r="AM50" i="33" s="1"/>
  <c r="AH70" i="33" a="1"/>
  <c r="AH70" i="33" s="1"/>
  <c r="AJ36" i="33" a="1"/>
  <c r="AJ36" i="33" s="1"/>
  <c r="AM35" i="33" s="1"/>
  <c r="AH65" i="33" a="1"/>
  <c r="AH65" i="33" s="1"/>
  <c r="AH67" i="33" a="1"/>
  <c r="AH67" i="33" s="1"/>
  <c r="AJ41" i="33" a="1"/>
  <c r="AJ41" i="33" s="1"/>
  <c r="AH50" i="33" a="1"/>
  <c r="AH50" i="33" s="1"/>
  <c r="AM47" i="33" s="1"/>
  <c r="AH52" i="33" a="1"/>
  <c r="AH52" i="33" s="1"/>
  <c r="AH47" i="33" a="1"/>
  <c r="AH47" i="33" s="1"/>
  <c r="AL47" i="33" s="1"/>
  <c r="AH81" i="33" a="1"/>
  <c r="AH81" i="33" s="1"/>
  <c r="AN75" i="33" s="1"/>
  <c r="C60" i="40" a="1"/>
  <c r="B86" i="40" a="1"/>
  <c r="C84" i="40" a="1"/>
  <c r="C71" i="40" a="1"/>
  <c r="B71" i="40" a="1"/>
  <c r="BK93" i="19" l="1"/>
  <c r="BL92" i="19"/>
  <c r="BJ92" i="19"/>
  <c r="BI92" i="19"/>
  <c r="BK92" i="19"/>
  <c r="BC95" i="19"/>
  <c r="DS59" i="43"/>
  <c r="DR60" i="43"/>
  <c r="DM61" i="43"/>
  <c r="DN61" i="43" s="1"/>
  <c r="DK62" i="43"/>
  <c r="AV39" i="33"/>
  <c r="AV40" i="33" s="1"/>
  <c r="DH62" i="43"/>
  <c r="DG63" i="43"/>
  <c r="DO63" i="43" s="1"/>
  <c r="DP63" i="43" s="1"/>
  <c r="DQ62" i="43"/>
  <c r="DP61" i="43"/>
  <c r="DQ61" i="43" s="1"/>
  <c r="DT61" i="43" s="1"/>
  <c r="DU61" i="43" s="1"/>
  <c r="DI263" i="43"/>
  <c r="DI660" i="43"/>
  <c r="DO660" i="43"/>
  <c r="DK660" i="43"/>
  <c r="DP659" i="43"/>
  <c r="P13" i="43"/>
  <c r="Q12" i="43"/>
  <c r="R12" i="43" s="1"/>
  <c r="C84" i="40"/>
  <c r="C71" i="40"/>
  <c r="B86" i="40"/>
  <c r="C60" i="40"/>
  <c r="B71" i="40"/>
  <c r="F37" i="17"/>
  <c r="F38" i="17" s="1"/>
  <c r="ET11" i="17"/>
  <c r="EU11" i="17" s="1"/>
  <c r="ET12" i="17"/>
  <c r="EU12" i="17" s="1"/>
  <c r="ET6" i="17"/>
  <c r="ET10" i="17"/>
  <c r="EU10" i="17" s="1"/>
  <c r="CB31" i="33"/>
  <c r="CP49" i="33" s="1"/>
  <c r="DA49" i="33" s="1"/>
  <c r="CB56" i="33"/>
  <c r="CK36" i="33" s="1"/>
  <c r="CV36" i="33" s="1"/>
  <c r="CB36" i="33"/>
  <c r="CP54" i="33" s="1"/>
  <c r="DA54" i="33" s="1"/>
  <c r="CB59" i="33"/>
  <c r="CK39" i="33" s="1"/>
  <c r="CV39" i="33" s="1"/>
  <c r="CB39" i="33"/>
  <c r="CP57" i="33" s="1"/>
  <c r="DA57" i="33" s="1"/>
  <c r="CB34" i="33"/>
  <c r="CP52" i="33" s="1"/>
  <c r="DA52" i="33" s="1"/>
  <c r="CB21" i="33"/>
  <c r="CP39" i="33" s="1"/>
  <c r="DA39" i="33" s="1"/>
  <c r="CB78" i="33"/>
  <c r="CK58" i="33" s="1"/>
  <c r="CV58" i="33" s="1"/>
  <c r="CB85" i="33"/>
  <c r="CK65" i="33" s="1"/>
  <c r="CV65" i="33" s="1"/>
  <c r="CB24" i="33"/>
  <c r="CP42" i="33" s="1"/>
  <c r="DA42" i="33" s="1"/>
  <c r="CB57" i="33"/>
  <c r="CK37" i="33" s="1"/>
  <c r="CV37" i="33" s="1"/>
  <c r="CB70" i="33"/>
  <c r="CK50" i="33" s="1"/>
  <c r="CV50" i="33" s="1"/>
  <c r="CB33" i="33"/>
  <c r="CP51" i="33" s="1"/>
  <c r="DA51" i="33" s="1"/>
  <c r="CB17" i="33"/>
  <c r="CP35" i="33" s="1"/>
  <c r="DA35" i="33" s="1"/>
  <c r="CB66" i="33"/>
  <c r="CK46" i="33" s="1"/>
  <c r="CV46" i="33" s="1"/>
  <c r="CB73" i="33"/>
  <c r="CK53" i="33" s="1"/>
  <c r="CV53" i="33" s="1"/>
  <c r="CB12" i="33"/>
  <c r="CP30" i="33" s="1"/>
  <c r="DA30" i="33" s="1"/>
  <c r="CB18" i="33"/>
  <c r="CP36" i="33" s="1"/>
  <c r="DA36" i="33" s="1"/>
  <c r="CB79" i="33"/>
  <c r="CK59" i="33" s="1"/>
  <c r="CV59" i="33" s="1"/>
  <c r="CB53" i="33"/>
  <c r="CK33" i="33" s="1"/>
  <c r="CV33" i="33" s="1"/>
  <c r="CB35" i="33"/>
  <c r="CP53" i="33" s="1"/>
  <c r="DA53" i="33" s="1"/>
  <c r="CB71" i="33"/>
  <c r="CK51" i="33" s="1"/>
  <c r="CV51" i="33" s="1"/>
  <c r="CB15" i="33"/>
  <c r="CP33" i="33" s="1"/>
  <c r="DA33" i="33" s="1"/>
  <c r="CB54" i="33"/>
  <c r="CK34" i="33" s="1"/>
  <c r="CV34" i="33" s="1"/>
  <c r="CB61" i="33"/>
  <c r="CK41" i="33" s="1"/>
  <c r="CV41" i="33" s="1"/>
  <c r="CB63" i="33"/>
  <c r="CK43" i="33" s="1"/>
  <c r="CV43" i="33" s="1"/>
  <c r="CB29" i="33"/>
  <c r="CP47" i="33" s="1"/>
  <c r="DA47" i="33" s="1"/>
  <c r="CB30" i="33"/>
  <c r="CP48" i="33" s="1"/>
  <c r="DA48" i="33" s="1"/>
  <c r="CB82" i="33"/>
  <c r="CK62" i="33" s="1"/>
  <c r="CV62" i="33" s="1"/>
  <c r="CB26" i="33"/>
  <c r="CP44" i="33" s="1"/>
  <c r="DA44" i="33" s="1"/>
  <c r="CB47" i="33"/>
  <c r="CP65" i="33" s="1"/>
  <c r="DA65" i="33" s="1"/>
  <c r="CB13" i="33"/>
  <c r="CP31" i="33" s="1"/>
  <c r="DA31" i="33" s="1"/>
  <c r="CB83" i="33"/>
  <c r="CK63" i="33" s="1"/>
  <c r="CV63" i="33" s="1"/>
  <c r="CB27" i="33"/>
  <c r="CP45" i="33" s="1"/>
  <c r="DA45" i="33" s="1"/>
  <c r="CB51" i="33"/>
  <c r="CK31" i="33" s="1"/>
  <c r="CV31" i="33" s="1"/>
  <c r="CB22" i="33"/>
  <c r="CP40" i="33" s="1"/>
  <c r="DA40" i="33" s="1"/>
  <c r="CB42" i="33"/>
  <c r="CP60" i="33" s="1"/>
  <c r="DA60" i="33" s="1"/>
  <c r="CB49" i="33"/>
  <c r="CK29" i="33" s="1"/>
  <c r="CB50" i="33"/>
  <c r="CK30" i="33" s="1"/>
  <c r="CV30" i="33" s="1"/>
  <c r="CB32" i="33"/>
  <c r="CP50" i="33" s="1"/>
  <c r="DA50" i="33" s="1"/>
  <c r="CB37" i="33"/>
  <c r="CP55" i="33" s="1"/>
  <c r="DA55" i="33" s="1"/>
  <c r="CB14" i="33"/>
  <c r="CP32" i="33" s="1"/>
  <c r="DA32" i="33" s="1"/>
  <c r="CB20" i="33"/>
  <c r="CP38" i="33" s="1"/>
  <c r="DA38" i="33" s="1"/>
  <c r="CB25" i="33"/>
  <c r="CP43" i="33" s="1"/>
  <c r="DA43" i="33" s="1"/>
  <c r="CB62" i="33"/>
  <c r="CK42" i="33" s="1"/>
  <c r="CV42" i="33" s="1"/>
  <c r="CB76" i="33"/>
  <c r="CK56" i="33" s="1"/>
  <c r="CV56" i="33" s="1"/>
  <c r="CB68" i="33"/>
  <c r="CK48" i="33" s="1"/>
  <c r="CV48" i="33" s="1"/>
  <c r="CB81" i="33"/>
  <c r="CK61" i="33" s="1"/>
  <c r="CV61" i="33" s="1"/>
  <c r="CB80" i="33"/>
  <c r="CK60" i="33" s="1"/>
  <c r="CV60" i="33" s="1"/>
  <c r="CB46" i="33"/>
  <c r="CP64" i="33" s="1"/>
  <c r="DA64" i="33" s="1"/>
  <c r="CB67" i="33"/>
  <c r="CK47" i="33" s="1"/>
  <c r="CV47" i="33" s="1"/>
  <c r="CB64" i="33"/>
  <c r="CK44" i="33" s="1"/>
  <c r="CV44" i="33" s="1"/>
  <c r="CB84" i="33"/>
  <c r="CK64" i="33" s="1"/>
  <c r="CV64" i="33" s="1"/>
  <c r="CB44" i="33"/>
  <c r="CP62" i="33" s="1"/>
  <c r="DA62" i="33" s="1"/>
  <c r="CB58" i="33"/>
  <c r="CK38" i="33" s="1"/>
  <c r="CV38" i="33" s="1"/>
  <c r="CB23" i="33"/>
  <c r="CP41" i="33" s="1"/>
  <c r="DA41" i="33" s="1"/>
  <c r="CB55" i="33"/>
  <c r="CK35" i="33" s="1"/>
  <c r="CV35" i="33" s="1"/>
  <c r="CB52" i="33"/>
  <c r="CK32" i="33" s="1"/>
  <c r="CV32" i="33" s="1"/>
  <c r="CB72" i="33"/>
  <c r="CK52" i="33" s="1"/>
  <c r="CV52" i="33" s="1"/>
  <c r="CB77" i="33"/>
  <c r="CK57" i="33" s="1"/>
  <c r="CV57" i="33" s="1"/>
  <c r="CB38" i="33"/>
  <c r="CP56" i="33" s="1"/>
  <c r="DA56" i="33" s="1"/>
  <c r="CB86" i="33"/>
  <c r="CK66" i="33" s="1"/>
  <c r="CV66" i="33" s="1"/>
  <c r="CB43" i="33"/>
  <c r="CP61" i="33" s="1"/>
  <c r="DA61" i="33" s="1"/>
  <c r="CB40" i="33"/>
  <c r="CP58" i="33" s="1"/>
  <c r="DA58" i="33" s="1"/>
  <c r="CB60" i="33"/>
  <c r="CK40" i="33" s="1"/>
  <c r="CV40" i="33" s="1"/>
  <c r="CB11" i="33"/>
  <c r="CP29" i="33" s="1"/>
  <c r="CB41" i="33"/>
  <c r="CP59" i="33" s="1"/>
  <c r="DA59" i="33" s="1"/>
  <c r="CB75" i="33"/>
  <c r="CK55" i="33" s="1"/>
  <c r="CV55" i="33" s="1"/>
  <c r="CB65" i="33"/>
  <c r="CK45" i="33" s="1"/>
  <c r="CV45" i="33" s="1"/>
  <c r="CB28" i="33"/>
  <c r="CP46" i="33" s="1"/>
  <c r="DA46" i="33" s="1"/>
  <c r="CB48" i="33"/>
  <c r="CP66" i="33" s="1"/>
  <c r="DA66" i="33" s="1"/>
  <c r="CB69" i="33"/>
  <c r="CK49" i="33" s="1"/>
  <c r="CV49" i="33" s="1"/>
  <c r="CB74" i="33"/>
  <c r="CK54" i="33" s="1"/>
  <c r="CV54" i="33" s="1"/>
  <c r="CB45" i="33"/>
  <c r="CP63" i="33" s="1"/>
  <c r="DA63" i="33" s="1"/>
  <c r="CB19" i="33"/>
  <c r="CP37" i="33" s="1"/>
  <c r="DA37" i="33" s="1"/>
  <c r="CB16" i="33"/>
  <c r="CP34" i="33" s="1"/>
  <c r="DA34" i="33" s="1"/>
  <c r="G5" i="17"/>
  <c r="H5" i="17" s="1"/>
  <c r="I5" i="17" s="1" a="1"/>
  <c r="I5" i="17" s="1"/>
  <c r="Y77" i="36"/>
  <c r="Z77" i="36" s="1"/>
  <c r="X74" i="36"/>
  <c r="Z76" i="36"/>
  <c r="Z74" i="36"/>
  <c r="M7" i="36" s="1"/>
  <c r="Z59" i="36"/>
  <c r="Z57" i="36"/>
  <c r="M6" i="36" s="1"/>
  <c r="G6" i="17"/>
  <c r="H6" i="17" s="1"/>
  <c r="I6" i="17" s="1" a="1"/>
  <c r="I6" i="17" s="1"/>
  <c r="EU13" i="17"/>
  <c r="EP29" i="17" s="1"/>
  <c r="F7" i="16"/>
  <c r="G6" i="16"/>
  <c r="H6" i="16" s="1"/>
  <c r="I6" i="16" s="1" a="1"/>
  <c r="I6" i="16" s="1"/>
  <c r="EK38" i="17"/>
  <c r="G7" i="17"/>
  <c r="H7" i="17" s="1"/>
  <c r="I7" i="17" s="1" a="1"/>
  <c r="I7" i="17" s="1"/>
  <c r="F8" i="17"/>
  <c r="ET21" i="17"/>
  <c r="ET26" i="17" s="1"/>
  <c r="F5" i="33"/>
  <c r="G4" i="33"/>
  <c r="H4" i="33" s="1"/>
  <c r="I4" i="33" s="1" a="1"/>
  <c r="I4" i="33" s="1"/>
  <c r="ET8" i="17"/>
  <c r="EU8" i="17" s="1"/>
  <c r="EP27" i="17" s="1"/>
  <c r="EU14" i="17"/>
  <c r="EP28" i="17" s="1"/>
  <c r="BU8" i="33"/>
  <c r="AR35" i="33" s="1"/>
  <c r="AR36" i="33" s="1"/>
  <c r="BX8" i="33"/>
  <c r="AQ36" i="33" s="1"/>
  <c r="BR8" i="33"/>
  <c r="AQ35" i="33" s="1"/>
  <c r="AM53" i="33"/>
  <c r="AI50" i="33" a="1"/>
  <c r="AI50" i="33" s="1"/>
  <c r="AM81" i="33"/>
  <c r="AI78" i="33" a="1"/>
  <c r="AI78" i="33" s="1"/>
  <c r="AI48" i="33" a="1"/>
  <c r="AI48" i="33" s="1"/>
  <c r="AL54" i="33"/>
  <c r="AN54" i="33"/>
  <c r="AI54" i="33" a="1"/>
  <c r="AI54" i="33" s="1"/>
  <c r="BB11" i="33"/>
  <c r="CT28" i="33"/>
  <c r="AN53" i="33"/>
  <c r="AI53" i="33" a="1"/>
  <c r="AI53" i="33" s="1"/>
  <c r="AI74" i="33" a="1"/>
  <c r="AI74" i="33" s="1"/>
  <c r="AL80" i="33"/>
  <c r="AM80" i="33"/>
  <c r="AI77" i="33" a="1"/>
  <c r="AI77" i="33" s="1"/>
  <c r="AM54" i="33"/>
  <c r="AI51" i="33" a="1"/>
  <c r="AI51" i="33" s="1"/>
  <c r="AN80" i="33"/>
  <c r="AI80" i="33" a="1"/>
  <c r="AI80" i="33" s="1"/>
  <c r="AL81" i="33"/>
  <c r="AI75" i="33" a="1"/>
  <c r="AI75" i="33" s="1"/>
  <c r="CS28" i="33"/>
  <c r="BB12" i="33"/>
  <c r="AI81" i="33" a="1"/>
  <c r="AI81" i="33" s="1"/>
  <c r="AN81" i="33"/>
  <c r="BB13" i="33"/>
  <c r="AJ39" i="33" s="1"/>
  <c r="BB103" i="33" s="1"/>
  <c r="BC103" i="33" s="1"/>
  <c r="CR28" i="33"/>
  <c r="CM28" i="33" s="1"/>
  <c r="AL53" i="33"/>
  <c r="AI47" i="33" a="1"/>
  <c r="AI47" i="33" s="1"/>
  <c r="ET16" i="17" l="1"/>
  <c r="BH91" i="19"/>
  <c r="CA10" i="19"/>
  <c r="BH92" i="19"/>
  <c r="BI91" i="19"/>
  <c r="BJ91" i="19"/>
  <c r="BL91" i="19"/>
  <c r="BK91" i="19"/>
  <c r="DK63" i="43"/>
  <c r="DM62" i="43"/>
  <c r="DN62" i="43" s="1"/>
  <c r="DR61" i="43"/>
  <c r="DS60" i="43"/>
  <c r="DT62" i="43"/>
  <c r="DU62" i="43" s="1"/>
  <c r="DH63" i="43"/>
  <c r="DG64" i="43"/>
  <c r="DQ63" i="43"/>
  <c r="DJ264" i="43"/>
  <c r="DI363" i="43"/>
  <c r="DI661" i="43"/>
  <c r="DO661" i="43"/>
  <c r="DK661" i="43"/>
  <c r="DP660" i="43"/>
  <c r="P14" i="43"/>
  <c r="Q13" i="43"/>
  <c r="R13" i="43" s="1"/>
  <c r="AM38" i="33" a="1"/>
  <c r="AM38" i="33" s="1"/>
  <c r="BB9" i="33" a="1"/>
  <c r="BB9" i="33" s="1"/>
  <c r="ET18" i="17"/>
  <c r="ET23" i="17" s="1"/>
  <c r="G37" i="17"/>
  <c r="H37" i="17" s="1"/>
  <c r="I37" i="17" s="1" a="1"/>
  <c r="I37" i="17" s="1"/>
  <c r="AM42" i="33" a="1"/>
  <c r="AM42" i="33" s="1"/>
  <c r="AM41" i="33" a="1"/>
  <c r="AM41" i="33" s="1"/>
  <c r="M2" i="36" a="1"/>
  <c r="M2" i="36" s="1"/>
  <c r="AM23" i="36" s="1"/>
  <c r="AM28" i="36" s="1"/>
  <c r="F39" i="17"/>
  <c r="G38" i="17"/>
  <c r="H38" i="17" s="1"/>
  <c r="I38" i="17" s="1" a="1"/>
  <c r="I38" i="17" s="1"/>
  <c r="G7" i="16"/>
  <c r="H7" i="16" s="1"/>
  <c r="I7" i="16" s="1" a="1"/>
  <c r="I7" i="16" s="1"/>
  <c r="F8" i="16"/>
  <c r="G8" i="17"/>
  <c r="H8" i="17" s="1"/>
  <c r="I8" i="17" s="1" a="1"/>
  <c r="I8" i="17" s="1"/>
  <c r="F9" i="17"/>
  <c r="EP32" i="17"/>
  <c r="ET22" i="17"/>
  <c r="EK40" i="17" s="1"/>
  <c r="AM39" i="33" a="1"/>
  <c r="AM39" i="33" s="1"/>
  <c r="F6" i="33"/>
  <c r="G5" i="33"/>
  <c r="H5" i="33" s="1"/>
  <c r="I5" i="33" s="1" a="1"/>
  <c r="I5" i="33" s="1"/>
  <c r="EU16" i="17"/>
  <c r="EP30" i="17" s="1"/>
  <c r="AS35" i="33"/>
  <c r="AS36" i="33"/>
  <c r="DC28" i="33"/>
  <c r="CX28" i="33" s="1"/>
  <c r="DA29" i="33"/>
  <c r="DE28" i="33"/>
  <c r="CZ28" i="33" s="1"/>
  <c r="CO28" i="33"/>
  <c r="CN28" i="33"/>
  <c r="DD28" i="33"/>
  <c r="CY28" i="33" s="1"/>
  <c r="ET24" i="17" l="1"/>
  <c r="EU24" i="17" s="1"/>
  <c r="EP35" i="17" s="1"/>
  <c r="BH90" i="19"/>
  <c r="BK90" i="19"/>
  <c r="BL90" i="19"/>
  <c r="BJ90" i="19"/>
  <c r="BI90" i="19"/>
  <c r="BC93" i="19"/>
  <c r="BC94" i="19"/>
  <c r="DS61" i="43"/>
  <c r="DR62" i="43"/>
  <c r="DM63" i="43"/>
  <c r="DN63" i="43" s="1"/>
  <c r="DT63" i="43"/>
  <c r="DU63" i="43" s="1"/>
  <c r="DH64" i="43"/>
  <c r="DO64" i="43"/>
  <c r="DK64" i="43"/>
  <c r="DG65" i="43"/>
  <c r="DO65" i="43" s="1"/>
  <c r="DP65" i="43" s="1"/>
  <c r="DJ265" i="43"/>
  <c r="DK662" i="43"/>
  <c r="DI662" i="43"/>
  <c r="DO662" i="43"/>
  <c r="DP661" i="43"/>
  <c r="P15" i="43"/>
  <c r="Q14" i="43"/>
  <c r="R14" i="43" s="1"/>
  <c r="CX10" i="33"/>
  <c r="G47" i="33"/>
  <c r="G39" i="17"/>
  <c r="H39" i="17" s="1"/>
  <c r="I39" i="17" s="1" a="1"/>
  <c r="I39" i="17" s="1"/>
  <c r="F40" i="17"/>
  <c r="EU26" i="17"/>
  <c r="EP41" i="17" s="1"/>
  <c r="F9" i="16"/>
  <c r="G8" i="16"/>
  <c r="H8" i="16" s="1"/>
  <c r="I8" i="16" s="1" a="1"/>
  <c r="I8" i="16" s="1"/>
  <c r="F10" i="17"/>
  <c r="G9" i="17"/>
  <c r="H9" i="17" s="1"/>
  <c r="I9" i="17" s="1" a="1"/>
  <c r="I9" i="17" s="1"/>
  <c r="F7" i="33"/>
  <c r="G6" i="33"/>
  <c r="H6" i="33" s="1"/>
  <c r="I6" i="33" s="1" a="1"/>
  <c r="I6" i="33" s="1"/>
  <c r="BI8" i="33"/>
  <c r="AT35" i="33"/>
  <c r="AT34" i="33" s="1"/>
  <c r="AU35" i="33" s="1"/>
  <c r="AV35" i="33" s="1"/>
  <c r="C78" i="40" a="1"/>
  <c r="BH89" i="19" l="1"/>
  <c r="BJ89" i="19"/>
  <c r="BL89" i="19"/>
  <c r="BI89" i="19"/>
  <c r="BK89" i="19"/>
  <c r="BC92" i="19"/>
  <c r="DP64" i="43"/>
  <c r="DQ64" i="43" s="1"/>
  <c r="DT64" i="43" s="1"/>
  <c r="DU64" i="43" s="1"/>
  <c r="DM64" i="43"/>
  <c r="DN64" i="43" s="1"/>
  <c r="DK65" i="43"/>
  <c r="DS62" i="43"/>
  <c r="DR63" i="43"/>
  <c r="DH65" i="43"/>
  <c r="DG66" i="43"/>
  <c r="DQ65" i="43"/>
  <c r="DJ266" i="43"/>
  <c r="DI365" i="43"/>
  <c r="DI663" i="43"/>
  <c r="DO663" i="43"/>
  <c r="DP662" i="43"/>
  <c r="DK663" i="43"/>
  <c r="P16" i="43"/>
  <c r="Q16" i="43" s="1"/>
  <c r="R16" i="43" s="1"/>
  <c r="Q15" i="43"/>
  <c r="R15" i="43" s="1"/>
  <c r="C78" i="40"/>
  <c r="BI7" i="33"/>
  <c r="BM9" i="33"/>
  <c r="G40" i="17"/>
  <c r="H40" i="17" s="1"/>
  <c r="I40" i="17" s="1" a="1"/>
  <c r="I40" i="17" s="1"/>
  <c r="F41" i="17"/>
  <c r="G9" i="16"/>
  <c r="H9" i="16" s="1"/>
  <c r="I9" i="16" s="1" a="1"/>
  <c r="I9" i="16" s="1"/>
  <c r="F10" i="16"/>
  <c r="G10" i="17"/>
  <c r="H10" i="17" s="1"/>
  <c r="I10" i="17" s="1" a="1"/>
  <c r="I10" i="17" s="1"/>
  <c r="F11" i="17"/>
  <c r="EU28" i="17"/>
  <c r="EP45" i="17" s="1"/>
  <c r="G7" i="33"/>
  <c r="H7" i="33" s="1"/>
  <c r="I7" i="33" s="1" a="1"/>
  <c r="I7" i="33" s="1"/>
  <c r="F8" i="33"/>
  <c r="DH41" i="33"/>
  <c r="BG7" i="33"/>
  <c r="BO9" i="33" s="1" a="1"/>
  <c r="BO9" i="33" s="1"/>
  <c r="CZ14" i="33"/>
  <c r="AL8" i="33"/>
  <c r="B73" i="40" a="1"/>
  <c r="DT65" i="43" l="1"/>
  <c r="DU65" i="43" s="1"/>
  <c r="BL88" i="19"/>
  <c r="BI88" i="19"/>
  <c r="BJ88" i="19"/>
  <c r="BK88" i="19"/>
  <c r="BC91" i="19"/>
  <c r="DK66" i="43"/>
  <c r="DM65" i="43"/>
  <c r="DN65" i="43" s="1"/>
  <c r="DR64" i="43"/>
  <c r="DS63" i="43"/>
  <c r="DO66" i="43"/>
  <c r="DH66" i="43"/>
  <c r="DG67" i="43"/>
  <c r="DO67" i="43" s="1"/>
  <c r="DP67" i="43" s="1"/>
  <c r="DI664" i="43"/>
  <c r="DO664" i="43"/>
  <c r="DK664" i="43"/>
  <c r="DP663" i="43"/>
  <c r="R1" i="43"/>
  <c r="AX43" i="33" a="1"/>
  <c r="AX43" i="33" s="1"/>
  <c r="BO8" i="33"/>
  <c r="CM14" i="33"/>
  <c r="F41" i="33" s="1"/>
  <c r="B73" i="40"/>
  <c r="AO104" i="33"/>
  <c r="BC104" i="33" s="1"/>
  <c r="F42" i="17"/>
  <c r="G41" i="17"/>
  <c r="H41" i="17" s="1"/>
  <c r="I41" i="17" s="1" a="1"/>
  <c r="I41" i="17" s="1"/>
  <c r="F11" i="16"/>
  <c r="G10" i="16"/>
  <c r="H10" i="16" s="1"/>
  <c r="I10" i="16" s="1" a="1"/>
  <c r="I10" i="16" s="1"/>
  <c r="G11" i="17"/>
  <c r="H11" i="17" s="1"/>
  <c r="I11" i="17" s="1" a="1"/>
  <c r="I11" i="17" s="1"/>
  <c r="F12" i="17"/>
  <c r="F9" i="33"/>
  <c r="G8" i="33"/>
  <c r="H8" i="33" s="1"/>
  <c r="I8" i="33" s="1" a="1"/>
  <c r="I8" i="33" s="1"/>
  <c r="AM76" i="33"/>
  <c r="AL82" i="33"/>
  <c r="AN82" i="33"/>
  <c r="AL55" i="33"/>
  <c r="AM82" i="33"/>
  <c r="AM52" i="33"/>
  <c r="AI49" i="33" a="1"/>
  <c r="AI49" i="33" s="1"/>
  <c r="AI79" i="33" a="1"/>
  <c r="AI79" i="33" s="1"/>
  <c r="AI82" i="33" a="1"/>
  <c r="AI82" i="33" s="1"/>
  <c r="AI52" i="33" a="1"/>
  <c r="AI52" i="33" s="1"/>
  <c r="AN49" i="33"/>
  <c r="AN55" i="33"/>
  <c r="AN52" i="33"/>
  <c r="AM55" i="33"/>
  <c r="AL52" i="33"/>
  <c r="AN76" i="33"/>
  <c r="AL79" i="33"/>
  <c r="AL49" i="33"/>
  <c r="AL76" i="33"/>
  <c r="AM79" i="33"/>
  <c r="AI55" i="33" a="1"/>
  <c r="AI55" i="33" s="1"/>
  <c r="AM49" i="33"/>
  <c r="AN79" i="33"/>
  <c r="AI76" i="33" a="1"/>
  <c r="AI76" i="33" s="1"/>
  <c r="B72" i="40" a="1"/>
  <c r="BH88" i="19" l="1"/>
  <c r="BJ87" i="19"/>
  <c r="BK87" i="19"/>
  <c r="BI87" i="19"/>
  <c r="BH87" i="19"/>
  <c r="BL87" i="19"/>
  <c r="BC90" i="19"/>
  <c r="DP66" i="43"/>
  <c r="DQ66" i="43" s="1"/>
  <c r="DT66" i="43" s="1"/>
  <c r="DU66" i="43" s="1"/>
  <c r="DM66" i="43"/>
  <c r="DN66" i="43" s="1"/>
  <c r="DR65" i="43"/>
  <c r="DS64" i="43"/>
  <c r="DM67" i="43"/>
  <c r="DN67" i="43" s="1"/>
  <c r="DK67" i="43"/>
  <c r="DH67" i="43"/>
  <c r="DG68" i="43"/>
  <c r="DO68" i="43" s="1"/>
  <c r="DP68" i="43" s="1"/>
  <c r="DQ67" i="43"/>
  <c r="DJ268" i="43"/>
  <c r="DI367" i="43"/>
  <c r="DI665" i="43"/>
  <c r="DO665" i="43"/>
  <c r="DP664" i="43"/>
  <c r="DK665" i="43"/>
  <c r="B72" i="40"/>
  <c r="AU104" i="33"/>
  <c r="AQ104" i="33"/>
  <c r="AZ104" i="33"/>
  <c r="AY104" i="33"/>
  <c r="AX104" i="33"/>
  <c r="AV104" i="33"/>
  <c r="AR104" i="33"/>
  <c r="AM104" i="33"/>
  <c r="AW104" i="33"/>
  <c r="AS104" i="33"/>
  <c r="AN104" i="33"/>
  <c r="BB104" i="33"/>
  <c r="AP104" i="33"/>
  <c r="AT104" i="33"/>
  <c r="G42" i="17"/>
  <c r="H42" i="17" s="1"/>
  <c r="I42" i="17" s="1" a="1"/>
  <c r="I42" i="17" s="1"/>
  <c r="F43" i="17"/>
  <c r="G11" i="16"/>
  <c r="H11" i="16" s="1"/>
  <c r="I11" i="16" s="1" a="1"/>
  <c r="I11" i="16" s="1"/>
  <c r="F12" i="16"/>
  <c r="G12" i="17"/>
  <c r="H12" i="17" s="1"/>
  <c r="I12" i="17" s="1" a="1"/>
  <c r="I12" i="17" s="1"/>
  <c r="F13" i="17"/>
  <c r="AM40" i="33" a="1"/>
  <c r="AM40" i="33" s="1"/>
  <c r="AM43" i="33" a="1"/>
  <c r="AM43" i="33" s="1"/>
  <c r="F10" i="33"/>
  <c r="G9" i="33"/>
  <c r="H9" i="33" s="1"/>
  <c r="I9" i="33" s="1" a="1"/>
  <c r="I9" i="33" s="1"/>
  <c r="AJ120" i="33"/>
  <c r="AJ130" i="33"/>
  <c r="AJ107" i="33"/>
  <c r="AJ126" i="33"/>
  <c r="AJ108" i="33"/>
  <c r="AJ128" i="33"/>
  <c r="AJ133" i="33"/>
  <c r="AJ110" i="33"/>
  <c r="AJ129" i="33"/>
  <c r="AJ106" i="33"/>
  <c r="AJ111" i="33"/>
  <c r="AJ113" i="33"/>
  <c r="AJ109" i="33"/>
  <c r="AJ119" i="33"/>
  <c r="AJ132" i="33"/>
  <c r="AJ117" i="33"/>
  <c r="AJ115" i="33"/>
  <c r="AJ114" i="33"/>
  <c r="AJ127" i="33"/>
  <c r="AJ135" i="33"/>
  <c r="AJ123" i="33"/>
  <c r="AJ124" i="33"/>
  <c r="AJ131" i="33"/>
  <c r="AJ122" i="33"/>
  <c r="AJ118" i="33"/>
  <c r="AJ134" i="33"/>
  <c r="AJ112" i="33"/>
  <c r="AJ125" i="33"/>
  <c r="AJ121" i="33"/>
  <c r="AJ116" i="33"/>
  <c r="AK113" i="33"/>
  <c r="AK112" i="33"/>
  <c r="AK125" i="33"/>
  <c r="AK132" i="33"/>
  <c r="AK118" i="33"/>
  <c r="AK120" i="33"/>
  <c r="AK130" i="33"/>
  <c r="AK119" i="33"/>
  <c r="AK121" i="33"/>
  <c r="AK128" i="33"/>
  <c r="AK133" i="33"/>
  <c r="AK124" i="33"/>
  <c r="AK126" i="33"/>
  <c r="AK106" i="33"/>
  <c r="AK111" i="33"/>
  <c r="AK134" i="33"/>
  <c r="AK114" i="33"/>
  <c r="AK129" i="33"/>
  <c r="AK109" i="33"/>
  <c r="AK116" i="33"/>
  <c r="AK115" i="33"/>
  <c r="AK107" i="33"/>
  <c r="AK123" i="33"/>
  <c r="AK117" i="33"/>
  <c r="AK135" i="33"/>
  <c r="AK110" i="33"/>
  <c r="AK131" i="33"/>
  <c r="AK122" i="33"/>
  <c r="AK127" i="33"/>
  <c r="AK108" i="33"/>
  <c r="V129" i="33"/>
  <c r="V106" i="33"/>
  <c r="V114" i="33"/>
  <c r="V134" i="33"/>
  <c r="V130" i="33"/>
  <c r="V117" i="33"/>
  <c r="V107" i="33"/>
  <c r="V115" i="33"/>
  <c r="V133" i="33"/>
  <c r="V119" i="33"/>
  <c r="V110" i="33"/>
  <c r="V123" i="33"/>
  <c r="V122" i="33"/>
  <c r="V124" i="33"/>
  <c r="V112" i="33"/>
  <c r="V111" i="33"/>
  <c r="V113" i="33"/>
  <c r="V131" i="33"/>
  <c r="V125" i="33"/>
  <c r="V109" i="33"/>
  <c r="V127" i="33"/>
  <c r="V121" i="33"/>
  <c r="V120" i="33"/>
  <c r="V132" i="33"/>
  <c r="V116" i="33"/>
  <c r="V118" i="33"/>
  <c r="V126" i="33"/>
  <c r="V128" i="33"/>
  <c r="V135" i="33"/>
  <c r="V108" i="33"/>
  <c r="Z106" i="33"/>
  <c r="Z111" i="33"/>
  <c r="Z135" i="33"/>
  <c r="Z112" i="33"/>
  <c r="Z120" i="33"/>
  <c r="Z109" i="33"/>
  <c r="Z119" i="33"/>
  <c r="Z126" i="33"/>
  <c r="Z107" i="33"/>
  <c r="Z121" i="33"/>
  <c r="Z114" i="33"/>
  <c r="Z127" i="33"/>
  <c r="Z129" i="33"/>
  <c r="Z110" i="33"/>
  <c r="Z125" i="33"/>
  <c r="Z117" i="33"/>
  <c r="Z108" i="33"/>
  <c r="Z131" i="33"/>
  <c r="Z113" i="33"/>
  <c r="Z122" i="33"/>
  <c r="Z116" i="33"/>
  <c r="Z118" i="33"/>
  <c r="Z115" i="33"/>
  <c r="Z124" i="33"/>
  <c r="Z130" i="33"/>
  <c r="Z132" i="33"/>
  <c r="Z123" i="33"/>
  <c r="Z133" i="33"/>
  <c r="Z128" i="33"/>
  <c r="Z134" i="33"/>
  <c r="Y133" i="33"/>
  <c r="Y107" i="33"/>
  <c r="Y135" i="33"/>
  <c r="Y115" i="33"/>
  <c r="Y111" i="33"/>
  <c r="Y110" i="33"/>
  <c r="Y131" i="33"/>
  <c r="Y126" i="33"/>
  <c r="Y109" i="33"/>
  <c r="Y119" i="33"/>
  <c r="Y113" i="33"/>
  <c r="Y123" i="33"/>
  <c r="Y114" i="33"/>
  <c r="Y127" i="33"/>
  <c r="Y118" i="33"/>
  <c r="Y128" i="33"/>
  <c r="Y122" i="33"/>
  <c r="Y117" i="33"/>
  <c r="Y108" i="33"/>
  <c r="Y121" i="33"/>
  <c r="Y106" i="33"/>
  <c r="Y116" i="33"/>
  <c r="Y125" i="33"/>
  <c r="Y124" i="33"/>
  <c r="Y129" i="33"/>
  <c r="Y120" i="33"/>
  <c r="Y130" i="33"/>
  <c r="Y132" i="33"/>
  <c r="Y134" i="33"/>
  <c r="Y112" i="33"/>
  <c r="AB131" i="33"/>
  <c r="AB122" i="33"/>
  <c r="AB132" i="33"/>
  <c r="AB129" i="33"/>
  <c r="AB119" i="33"/>
  <c r="AB112" i="33"/>
  <c r="AB125" i="33"/>
  <c r="AB118" i="33"/>
  <c r="AB107" i="33"/>
  <c r="AB108" i="33"/>
  <c r="AB120" i="33"/>
  <c r="AB130" i="33"/>
  <c r="AB124" i="33"/>
  <c r="AB110" i="33"/>
  <c r="AB128" i="33"/>
  <c r="AB133" i="33"/>
  <c r="AB134" i="33"/>
  <c r="AB113" i="33"/>
  <c r="AB106" i="33"/>
  <c r="AB111" i="33"/>
  <c r="AB135" i="33"/>
  <c r="AB109" i="33"/>
  <c r="AB115" i="33"/>
  <c r="AB114" i="33"/>
  <c r="AB127" i="33"/>
  <c r="AB116" i="33"/>
  <c r="AB123" i="33"/>
  <c r="AB117" i="33"/>
  <c r="AB121" i="33"/>
  <c r="AB126" i="33"/>
  <c r="AI128" i="33"/>
  <c r="AI133" i="33"/>
  <c r="AI107" i="33"/>
  <c r="AI131" i="33"/>
  <c r="AI106" i="33"/>
  <c r="AI111" i="33"/>
  <c r="AI110" i="33"/>
  <c r="AI118" i="33"/>
  <c r="AI109" i="33"/>
  <c r="AI119" i="33"/>
  <c r="AI113" i="33"/>
  <c r="AI121" i="33"/>
  <c r="AI116" i="33"/>
  <c r="AI134" i="33"/>
  <c r="AI114" i="33"/>
  <c r="AI127" i="33"/>
  <c r="AI115" i="33"/>
  <c r="AI123" i="33"/>
  <c r="AI122" i="33"/>
  <c r="AI117" i="33"/>
  <c r="AI108" i="33"/>
  <c r="AI135" i="33"/>
  <c r="AI112" i="33"/>
  <c r="AI125" i="33"/>
  <c r="AI124" i="33"/>
  <c r="AI126" i="33"/>
  <c r="AI120" i="33"/>
  <c r="AI132" i="33"/>
  <c r="AI130" i="33"/>
  <c r="AI129" i="33"/>
  <c r="X116" i="33"/>
  <c r="X126" i="33"/>
  <c r="X120" i="33"/>
  <c r="X117" i="33"/>
  <c r="X113" i="33"/>
  <c r="X124" i="33"/>
  <c r="X129" i="33"/>
  <c r="X130" i="33"/>
  <c r="X135" i="33"/>
  <c r="X119" i="33"/>
  <c r="X125" i="33"/>
  <c r="X132" i="33"/>
  <c r="X134" i="33"/>
  <c r="X133" i="33"/>
  <c r="X107" i="33"/>
  <c r="X115" i="33"/>
  <c r="X112" i="33"/>
  <c r="X111" i="33"/>
  <c r="X110" i="33"/>
  <c r="X123" i="33"/>
  <c r="X122" i="33"/>
  <c r="X131" i="33"/>
  <c r="X127" i="33"/>
  <c r="X118" i="33"/>
  <c r="X109" i="33"/>
  <c r="X106" i="33"/>
  <c r="X108" i="33"/>
  <c r="X121" i="33"/>
  <c r="X128" i="33"/>
  <c r="X114" i="33"/>
  <c r="AH122" i="33"/>
  <c r="AH116" i="33"/>
  <c r="AH131" i="33"/>
  <c r="AH115" i="33"/>
  <c r="AH129" i="33"/>
  <c r="AH125" i="33"/>
  <c r="AH124" i="33"/>
  <c r="AH118" i="33"/>
  <c r="AH120" i="33"/>
  <c r="AH130" i="33"/>
  <c r="AH132" i="33"/>
  <c r="AH121" i="33"/>
  <c r="AH133" i="33"/>
  <c r="AH112" i="33"/>
  <c r="AH123" i="33"/>
  <c r="AH109" i="33"/>
  <c r="AH106" i="33"/>
  <c r="AH111" i="33"/>
  <c r="AH126" i="33"/>
  <c r="AH128" i="33"/>
  <c r="AH119" i="33"/>
  <c r="AH107" i="33"/>
  <c r="AH114" i="33"/>
  <c r="AH127" i="33"/>
  <c r="AH135" i="33"/>
  <c r="AH110" i="33"/>
  <c r="AH117" i="33"/>
  <c r="AH108" i="33"/>
  <c r="AH134" i="33"/>
  <c r="AH113" i="33"/>
  <c r="AC113" i="33"/>
  <c r="AC131" i="33"/>
  <c r="AC122" i="33"/>
  <c r="AC119" i="33"/>
  <c r="AC127" i="33"/>
  <c r="AC118" i="33"/>
  <c r="AC112" i="33"/>
  <c r="AC125" i="33"/>
  <c r="AC124" i="33"/>
  <c r="AC117" i="33"/>
  <c r="AC121" i="33"/>
  <c r="AC120" i="33"/>
  <c r="AC130" i="33"/>
  <c r="AC135" i="33"/>
  <c r="AC109" i="33"/>
  <c r="AC126" i="33"/>
  <c r="AC128" i="33"/>
  <c r="AC133" i="33"/>
  <c r="AC108" i="33"/>
  <c r="AC134" i="33"/>
  <c r="AC110" i="33"/>
  <c r="AC129" i="33"/>
  <c r="AC106" i="33"/>
  <c r="AC111" i="33"/>
  <c r="AC116" i="33"/>
  <c r="AC107" i="33"/>
  <c r="AC115" i="33"/>
  <c r="AC114" i="33"/>
  <c r="AC132" i="33"/>
  <c r="AC123" i="33"/>
  <c r="W113" i="33"/>
  <c r="W131" i="33"/>
  <c r="W127" i="33"/>
  <c r="W118" i="33"/>
  <c r="W112" i="33"/>
  <c r="W106" i="33"/>
  <c r="W134" i="33"/>
  <c r="W108" i="33"/>
  <c r="W121" i="33"/>
  <c r="W120" i="33"/>
  <c r="W114" i="33"/>
  <c r="W109" i="33"/>
  <c r="W116" i="33"/>
  <c r="W126" i="33"/>
  <c r="W128" i="33"/>
  <c r="W117" i="33"/>
  <c r="W133" i="33"/>
  <c r="W124" i="33"/>
  <c r="W129" i="33"/>
  <c r="W130" i="33"/>
  <c r="W119" i="33"/>
  <c r="W132" i="33"/>
  <c r="W107" i="33"/>
  <c r="W115" i="33"/>
  <c r="W122" i="33"/>
  <c r="W111" i="33"/>
  <c r="W110" i="33"/>
  <c r="W125" i="33"/>
  <c r="W123" i="33"/>
  <c r="W135" i="33"/>
  <c r="AF116" i="33"/>
  <c r="AF126" i="33"/>
  <c r="AF130" i="33"/>
  <c r="AF117" i="33"/>
  <c r="AF125" i="33"/>
  <c r="AF124" i="33"/>
  <c r="AF129" i="33"/>
  <c r="AF128" i="33"/>
  <c r="AF135" i="33"/>
  <c r="AF119" i="33"/>
  <c r="AF132" i="33"/>
  <c r="AF134" i="33"/>
  <c r="AF120" i="33"/>
  <c r="AF131" i="33"/>
  <c r="AF107" i="33"/>
  <c r="AF115" i="33"/>
  <c r="AF112" i="33"/>
  <c r="AF113" i="33"/>
  <c r="AF111" i="33"/>
  <c r="AF110" i="33"/>
  <c r="AF123" i="33"/>
  <c r="AF122" i="33"/>
  <c r="AF127" i="33"/>
  <c r="AF118" i="33"/>
  <c r="AF109" i="33"/>
  <c r="AF106" i="33"/>
  <c r="AF108" i="33"/>
  <c r="AF133" i="33"/>
  <c r="AF121" i="33"/>
  <c r="AF114" i="33"/>
  <c r="AD107" i="33"/>
  <c r="AD115" i="33"/>
  <c r="AD124" i="33"/>
  <c r="AD127" i="33"/>
  <c r="AD110" i="33"/>
  <c r="AD123" i="33"/>
  <c r="AD135" i="33"/>
  <c r="AD132" i="33"/>
  <c r="AD133" i="33"/>
  <c r="AD113" i="33"/>
  <c r="AD131" i="33"/>
  <c r="AD119" i="33"/>
  <c r="AD109" i="33"/>
  <c r="AD118" i="33"/>
  <c r="AD112" i="33"/>
  <c r="AD114" i="33"/>
  <c r="AD111" i="33"/>
  <c r="AD128" i="33"/>
  <c r="AD121" i="33"/>
  <c r="AD120" i="33"/>
  <c r="AD130" i="33"/>
  <c r="AD116" i="33"/>
  <c r="AD126" i="33"/>
  <c r="AD108" i="33"/>
  <c r="AD129" i="33"/>
  <c r="AD106" i="33"/>
  <c r="AD122" i="33"/>
  <c r="AD134" i="33"/>
  <c r="AD117" i="33"/>
  <c r="AD125" i="33"/>
  <c r="AA117" i="33"/>
  <c r="AA108" i="33"/>
  <c r="AA135" i="33"/>
  <c r="AA115" i="33"/>
  <c r="AA122" i="33"/>
  <c r="AA116" i="33"/>
  <c r="AA110" i="33"/>
  <c r="AA118" i="33"/>
  <c r="AA112" i="33"/>
  <c r="AA125" i="33"/>
  <c r="AA124" i="33"/>
  <c r="AA126" i="33"/>
  <c r="AA120" i="33"/>
  <c r="AA130" i="33"/>
  <c r="AA132" i="33"/>
  <c r="AA129" i="33"/>
  <c r="AA111" i="33"/>
  <c r="AA128" i="33"/>
  <c r="AA133" i="33"/>
  <c r="AA107" i="33"/>
  <c r="AA131" i="33"/>
  <c r="AA106" i="33"/>
  <c r="AA109" i="33"/>
  <c r="AA119" i="33"/>
  <c r="AA113" i="33"/>
  <c r="AA121" i="33"/>
  <c r="AA114" i="33"/>
  <c r="AA127" i="33"/>
  <c r="AA134" i="33"/>
  <c r="AA123" i="33"/>
  <c r="AL107" i="33"/>
  <c r="AL123" i="33"/>
  <c r="AL119" i="33"/>
  <c r="AL130" i="33"/>
  <c r="AL126" i="33"/>
  <c r="AL115" i="33"/>
  <c r="AL110" i="33"/>
  <c r="AL131" i="33"/>
  <c r="AL124" i="33"/>
  <c r="AL133" i="33"/>
  <c r="AL116" i="33"/>
  <c r="AL113" i="33"/>
  <c r="AL112" i="33"/>
  <c r="AL134" i="33"/>
  <c r="AL122" i="33"/>
  <c r="AL117" i="33"/>
  <c r="AL118" i="33"/>
  <c r="AL120" i="33"/>
  <c r="AL109" i="33"/>
  <c r="AL125" i="33"/>
  <c r="AL106" i="33"/>
  <c r="AL121" i="33"/>
  <c r="AL128" i="33"/>
  <c r="AL111" i="33"/>
  <c r="AL127" i="33"/>
  <c r="AL132" i="33"/>
  <c r="AL129" i="33"/>
  <c r="AL114" i="33"/>
  <c r="AL108" i="33"/>
  <c r="AL135" i="33"/>
  <c r="U105" i="33"/>
  <c r="U107" i="33"/>
  <c r="U115" i="33"/>
  <c r="U114" i="33"/>
  <c r="U119" i="33"/>
  <c r="U110" i="33"/>
  <c r="U123" i="33"/>
  <c r="U117" i="33"/>
  <c r="U124" i="33"/>
  <c r="U113" i="33"/>
  <c r="U131" i="33"/>
  <c r="U122" i="33"/>
  <c r="U111" i="33"/>
  <c r="U118" i="33"/>
  <c r="U112" i="33"/>
  <c r="U125" i="33"/>
  <c r="U116" i="33"/>
  <c r="U128" i="33"/>
  <c r="U135" i="33"/>
  <c r="U121" i="33"/>
  <c r="U120" i="33"/>
  <c r="U130" i="33"/>
  <c r="U108" i="33"/>
  <c r="U126" i="33"/>
  <c r="U133" i="33"/>
  <c r="U129" i="33"/>
  <c r="U106" i="33"/>
  <c r="U127" i="33"/>
  <c r="U134" i="33"/>
  <c r="U109" i="33"/>
  <c r="U132" i="33"/>
  <c r="AE124" i="33"/>
  <c r="AE129" i="33"/>
  <c r="AE127" i="33"/>
  <c r="AE119" i="33"/>
  <c r="AE132" i="33"/>
  <c r="AE134" i="33"/>
  <c r="AE122" i="33"/>
  <c r="AE135" i="33"/>
  <c r="AE107" i="33"/>
  <c r="AE115" i="33"/>
  <c r="AE125" i="33"/>
  <c r="AE109" i="33"/>
  <c r="AE106" i="33"/>
  <c r="AE110" i="33"/>
  <c r="AE123" i="33"/>
  <c r="AE130" i="33"/>
  <c r="AE111" i="33"/>
  <c r="AE113" i="33"/>
  <c r="AE131" i="33"/>
  <c r="AE133" i="33"/>
  <c r="AE118" i="33"/>
  <c r="AE112" i="33"/>
  <c r="AE108" i="33"/>
  <c r="AE121" i="33"/>
  <c r="AE120" i="33"/>
  <c r="AE114" i="33"/>
  <c r="AE116" i="33"/>
  <c r="AE126" i="33"/>
  <c r="AE128" i="33"/>
  <c r="AE117" i="33"/>
  <c r="AG109" i="33"/>
  <c r="AG119" i="33"/>
  <c r="AG113" i="33"/>
  <c r="AG128" i="33"/>
  <c r="AG112" i="33"/>
  <c r="AG114" i="33"/>
  <c r="AG127" i="33"/>
  <c r="AG118" i="33"/>
  <c r="AG123" i="33"/>
  <c r="AG134" i="33"/>
  <c r="AG117" i="33"/>
  <c r="AG108" i="33"/>
  <c r="AG121" i="33"/>
  <c r="AG131" i="33"/>
  <c r="AG122" i="33"/>
  <c r="AG116" i="33"/>
  <c r="AG126" i="33"/>
  <c r="AG115" i="33"/>
  <c r="AG132" i="33"/>
  <c r="AG125" i="33"/>
  <c r="AG124" i="33"/>
  <c r="AG129" i="33"/>
  <c r="AG120" i="33"/>
  <c r="AG130" i="33"/>
  <c r="AG133" i="33"/>
  <c r="AG107" i="33"/>
  <c r="AG106" i="33"/>
  <c r="AG111" i="33"/>
  <c r="AG110" i="33"/>
  <c r="AG135" i="33"/>
  <c r="X143" i="33"/>
  <c r="X138" i="33"/>
  <c r="X142" i="33"/>
  <c r="X137" i="33"/>
  <c r="X136" i="33"/>
  <c r="X105" i="33"/>
  <c r="X144" i="33"/>
  <c r="X140" i="33"/>
  <c r="X139" i="33"/>
  <c r="X141" i="33"/>
  <c r="Z141" i="33"/>
  <c r="Z105" i="33"/>
  <c r="Z143" i="33"/>
  <c r="Z137" i="33"/>
  <c r="Z144" i="33"/>
  <c r="Z139" i="33"/>
  <c r="Z138" i="33"/>
  <c r="Z140" i="33"/>
  <c r="Z142" i="33"/>
  <c r="Z136" i="33"/>
  <c r="Y137" i="33"/>
  <c r="Y139" i="33"/>
  <c r="Y105" i="33"/>
  <c r="Y144" i="33"/>
  <c r="Y140" i="33"/>
  <c r="Y141" i="33"/>
  <c r="Y138" i="33"/>
  <c r="Y142" i="33"/>
  <c r="Y143" i="33"/>
  <c r="Y136" i="33"/>
  <c r="AK136" i="33"/>
  <c r="AK144" i="33"/>
  <c r="AK105" i="33"/>
  <c r="AK142" i="33"/>
  <c r="AK143" i="33"/>
  <c r="AK137" i="33"/>
  <c r="AK140" i="33"/>
  <c r="AK139" i="33"/>
  <c r="AK138" i="33"/>
  <c r="AK141" i="33"/>
  <c r="AB141" i="33"/>
  <c r="AB142" i="33"/>
  <c r="AB138" i="33"/>
  <c r="AB144" i="33"/>
  <c r="AB140" i="33"/>
  <c r="AB143" i="33"/>
  <c r="AB105" i="33"/>
  <c r="AB139" i="33"/>
  <c r="AB137" i="33"/>
  <c r="AB136" i="33"/>
  <c r="AI143" i="33"/>
  <c r="AI137" i="33"/>
  <c r="AI142" i="33"/>
  <c r="AI144" i="33"/>
  <c r="AI105" i="33"/>
  <c r="AI139" i="33"/>
  <c r="AI138" i="33"/>
  <c r="AI136" i="33"/>
  <c r="AI141" i="33"/>
  <c r="AI140" i="33"/>
  <c r="AH137" i="33"/>
  <c r="AH139" i="33"/>
  <c r="AH142" i="33"/>
  <c r="AH141" i="33"/>
  <c r="AH136" i="33"/>
  <c r="AH144" i="33"/>
  <c r="AH140" i="33"/>
  <c r="AH138" i="33"/>
  <c r="AH143" i="33"/>
  <c r="AH105" i="33"/>
  <c r="AC136" i="33"/>
  <c r="AC137" i="33"/>
  <c r="AC138" i="33"/>
  <c r="AC139" i="33"/>
  <c r="AC140" i="33"/>
  <c r="AC141" i="33"/>
  <c r="AC142" i="33"/>
  <c r="AC143" i="33"/>
  <c r="AC144" i="33"/>
  <c r="AC105" i="33"/>
  <c r="W105" i="33"/>
  <c r="W140" i="33"/>
  <c r="W138" i="33"/>
  <c r="W143" i="33"/>
  <c r="W139" i="33"/>
  <c r="W136" i="33"/>
  <c r="W142" i="33"/>
  <c r="W137" i="33"/>
  <c r="W144" i="33"/>
  <c r="W141" i="33"/>
  <c r="AJ140" i="33"/>
  <c r="AJ136" i="33"/>
  <c r="AJ141" i="33"/>
  <c r="AJ142" i="33"/>
  <c r="AJ143" i="33"/>
  <c r="AJ105" i="33"/>
  <c r="AJ144" i="33"/>
  <c r="AJ138" i="33"/>
  <c r="AJ137" i="33"/>
  <c r="AJ139" i="33"/>
  <c r="V139" i="33"/>
  <c r="V137" i="33"/>
  <c r="V141" i="33"/>
  <c r="V138" i="33"/>
  <c r="V142" i="33"/>
  <c r="V105" i="33"/>
  <c r="V140" i="33"/>
  <c r="V143" i="33"/>
  <c r="V136" i="33"/>
  <c r="V144" i="33"/>
  <c r="AD143" i="33"/>
  <c r="AD144" i="33"/>
  <c r="AD139" i="33"/>
  <c r="AD140" i="33"/>
  <c r="AD142" i="33"/>
  <c r="AD141" i="33"/>
  <c r="AD138" i="33"/>
  <c r="AD137" i="33"/>
  <c r="AD136" i="33"/>
  <c r="AD105" i="33"/>
  <c r="AA142" i="33"/>
  <c r="AA140" i="33"/>
  <c r="AA144" i="33"/>
  <c r="AA139" i="33"/>
  <c r="AA143" i="33"/>
  <c r="AA136" i="33"/>
  <c r="AA137" i="33"/>
  <c r="AA105" i="33"/>
  <c r="AA141" i="33"/>
  <c r="AA138" i="33"/>
  <c r="AL137" i="33"/>
  <c r="AL105" i="33"/>
  <c r="AL144" i="33"/>
  <c r="AL140" i="33"/>
  <c r="AL143" i="33"/>
  <c r="AL136" i="33"/>
  <c r="AL139" i="33"/>
  <c r="AL142" i="33"/>
  <c r="AL141" i="33"/>
  <c r="AL138" i="33"/>
  <c r="AF136" i="33"/>
  <c r="AF137" i="33"/>
  <c r="AF143" i="33"/>
  <c r="AF139" i="33"/>
  <c r="AF105" i="33"/>
  <c r="AF138" i="33"/>
  <c r="AF140" i="33"/>
  <c r="AF142" i="33"/>
  <c r="AF141" i="33"/>
  <c r="AF144" i="33"/>
  <c r="U139" i="33"/>
  <c r="U142" i="33"/>
  <c r="U140" i="33"/>
  <c r="U144" i="33"/>
  <c r="U137" i="33"/>
  <c r="U141" i="33"/>
  <c r="U138" i="33"/>
  <c r="U143" i="33"/>
  <c r="U136" i="33"/>
  <c r="AE144" i="33"/>
  <c r="AE138" i="33"/>
  <c r="AE136" i="33"/>
  <c r="AE139" i="33"/>
  <c r="AE105" i="33"/>
  <c r="AE140" i="33"/>
  <c r="AE143" i="33"/>
  <c r="AE137" i="33"/>
  <c r="AE141" i="33"/>
  <c r="AE142" i="33"/>
  <c r="AG140" i="33"/>
  <c r="AG138" i="33"/>
  <c r="AG141" i="33"/>
  <c r="AG136" i="33"/>
  <c r="AG139" i="33"/>
  <c r="AG143" i="33"/>
  <c r="AG137" i="33"/>
  <c r="AG144" i="33"/>
  <c r="AG142" i="33"/>
  <c r="AG105" i="33"/>
  <c r="DT67" i="43" l="1"/>
  <c r="DU67" i="43" s="1"/>
  <c r="BH86" i="19"/>
  <c r="BI86" i="19"/>
  <c r="BK86" i="19"/>
  <c r="BL86" i="19"/>
  <c r="BJ86" i="19"/>
  <c r="BC89" i="19"/>
  <c r="DK68" i="43"/>
  <c r="DM68" i="43"/>
  <c r="DS65" i="43"/>
  <c r="DR66" i="43"/>
  <c r="DH68" i="43"/>
  <c r="DG69" i="43"/>
  <c r="DO69" i="43" s="1"/>
  <c r="DP69" i="43" s="1"/>
  <c r="DQ68" i="43"/>
  <c r="DJ269" i="43"/>
  <c r="DI666" i="43"/>
  <c r="DO666" i="43"/>
  <c r="DK666" i="43"/>
  <c r="DP665" i="43"/>
  <c r="DN68" i="43"/>
  <c r="F44" i="17"/>
  <c r="G43" i="17"/>
  <c r="H43" i="17" s="1"/>
  <c r="I43" i="17" s="1" a="1"/>
  <c r="I43" i="17" s="1"/>
  <c r="F13" i="16"/>
  <c r="G12" i="16"/>
  <c r="H12" i="16" s="1"/>
  <c r="I12" i="16" s="1" a="1"/>
  <c r="I12" i="16" s="1"/>
  <c r="F14" i="17"/>
  <c r="G13" i="17"/>
  <c r="H13" i="17" s="1"/>
  <c r="I13" i="17" s="1" a="1"/>
  <c r="I13" i="17" s="1"/>
  <c r="AS109" i="33"/>
  <c r="AQ135" i="33"/>
  <c r="F11" i="33"/>
  <c r="G10" i="33"/>
  <c r="H10" i="33" s="1"/>
  <c r="I10" i="33" s="1" a="1"/>
  <c r="I10" i="33" s="1"/>
  <c r="AM114" i="33"/>
  <c r="AQ128" i="33"/>
  <c r="AM131" i="33"/>
  <c r="AS133" i="33"/>
  <c r="AS123" i="33"/>
  <c r="AQ108" i="33"/>
  <c r="AM124" i="33"/>
  <c r="AS129" i="33"/>
  <c r="AQ120" i="33"/>
  <c r="AQ119" i="33"/>
  <c r="AS135" i="33"/>
  <c r="AQ132" i="33"/>
  <c r="AQ123" i="33"/>
  <c r="AS120" i="33"/>
  <c r="AQ112" i="33"/>
  <c r="AT135" i="33"/>
  <c r="AS131" i="33"/>
  <c r="AT123" i="33"/>
  <c r="AS121" i="33"/>
  <c r="AM135" i="33"/>
  <c r="AT127" i="33"/>
  <c r="AT115" i="33"/>
  <c r="AS132" i="33"/>
  <c r="AS117" i="33"/>
  <c r="AQ124" i="33"/>
  <c r="AT122" i="33"/>
  <c r="AS130" i="33"/>
  <c r="AS116" i="33"/>
  <c r="AQ111" i="33"/>
  <c r="AM120" i="33"/>
  <c r="AM119" i="33"/>
  <c r="AS111" i="33"/>
  <c r="AM107" i="33"/>
  <c r="AT119" i="33"/>
  <c r="AR114" i="33"/>
  <c r="AR132" i="33"/>
  <c r="AS118" i="33"/>
  <c r="AQ113" i="33"/>
  <c r="AN128" i="33"/>
  <c r="AN123" i="33"/>
  <c r="AN134" i="33"/>
  <c r="AM123" i="33"/>
  <c r="AM132" i="33"/>
  <c r="AS108" i="33"/>
  <c r="AS128" i="33"/>
  <c r="AM115" i="33"/>
  <c r="AS115" i="33"/>
  <c r="AS114" i="33"/>
  <c r="AS124" i="33"/>
  <c r="AQ131" i="33"/>
  <c r="AQ127" i="33"/>
  <c r="AQ107" i="33"/>
  <c r="AM118" i="33"/>
  <c r="AT131" i="33"/>
  <c r="AT117" i="33"/>
  <c r="AT110" i="33"/>
  <c r="AM134" i="33"/>
  <c r="AS112" i="33"/>
  <c r="AM106" i="33"/>
  <c r="AM111" i="33"/>
  <c r="AM110" i="33"/>
  <c r="AS125" i="33"/>
  <c r="AM112" i="33"/>
  <c r="AM116" i="33"/>
  <c r="AM113" i="33"/>
  <c r="AT107" i="33"/>
  <c r="AS113" i="33"/>
  <c r="AQ115" i="33"/>
  <c r="AS107" i="33"/>
  <c r="AS119" i="33"/>
  <c r="AM127" i="33"/>
  <c r="AT118" i="33"/>
  <c r="AT120" i="33"/>
  <c r="AR126" i="33"/>
  <c r="AR112" i="33"/>
  <c r="AR135" i="33"/>
  <c r="AM128" i="33"/>
  <c r="AM122" i="33"/>
  <c r="AQ134" i="33"/>
  <c r="AM125" i="33"/>
  <c r="AN126" i="33"/>
  <c r="AN125" i="33"/>
  <c r="AN110" i="33"/>
  <c r="AN114" i="33"/>
  <c r="AT132" i="33"/>
  <c r="AT133" i="33"/>
  <c r="AS127" i="33"/>
  <c r="AR125" i="33"/>
  <c r="AR116" i="33"/>
  <c r="AR118" i="33"/>
  <c r="AR123" i="33"/>
  <c r="AQ114" i="33"/>
  <c r="AQ133" i="33"/>
  <c r="AQ118" i="33"/>
  <c r="AN118" i="33"/>
  <c r="AN131" i="33"/>
  <c r="AN119" i="33"/>
  <c r="AN106" i="33"/>
  <c r="AT116" i="33"/>
  <c r="AT124" i="33"/>
  <c r="AT128" i="33"/>
  <c r="AR117" i="33"/>
  <c r="AR130" i="33"/>
  <c r="AR109" i="33"/>
  <c r="AR110" i="33"/>
  <c r="AS134" i="33"/>
  <c r="AM108" i="33"/>
  <c r="AQ125" i="33"/>
  <c r="AN116" i="33"/>
  <c r="AN113" i="33"/>
  <c r="AN133" i="33"/>
  <c r="AN129" i="33"/>
  <c r="AT111" i="33"/>
  <c r="AT121" i="33"/>
  <c r="AT109" i="33"/>
  <c r="AT108" i="33"/>
  <c r="AQ116" i="33"/>
  <c r="AR134" i="33"/>
  <c r="AR120" i="33"/>
  <c r="AR119" i="33"/>
  <c r="AR127" i="33"/>
  <c r="AM126" i="33"/>
  <c r="AQ126" i="33"/>
  <c r="AQ109" i="33"/>
  <c r="AQ110" i="33"/>
  <c r="AM121" i="33"/>
  <c r="AN132" i="33"/>
  <c r="AN111" i="33"/>
  <c r="AN115" i="33"/>
  <c r="AT125" i="33"/>
  <c r="AT113" i="33"/>
  <c r="AT126" i="33"/>
  <c r="AQ122" i="33"/>
  <c r="AR122" i="33"/>
  <c r="AR121" i="33"/>
  <c r="AR131" i="33"/>
  <c r="AR124" i="33"/>
  <c r="AS126" i="33"/>
  <c r="AQ121" i="33"/>
  <c r="AN120" i="33"/>
  <c r="AN112" i="33"/>
  <c r="AN107" i="33"/>
  <c r="AT112" i="33"/>
  <c r="AR106" i="33"/>
  <c r="AR128" i="33"/>
  <c r="AR113" i="33"/>
  <c r="AR115" i="33"/>
  <c r="AS110" i="33"/>
  <c r="AM130" i="33"/>
  <c r="AQ117" i="33"/>
  <c r="AQ130" i="33"/>
  <c r="AQ129" i="33"/>
  <c r="AM117" i="33"/>
  <c r="AN108" i="33"/>
  <c r="AN121" i="33"/>
  <c r="AN124" i="33"/>
  <c r="AN117" i="33"/>
  <c r="AT134" i="33"/>
  <c r="AT114" i="33"/>
  <c r="AT106" i="33"/>
  <c r="AT130" i="33"/>
  <c r="AR108" i="33"/>
  <c r="AN109" i="33"/>
  <c r="AR129" i="33"/>
  <c r="AR111" i="33"/>
  <c r="AR133" i="33"/>
  <c r="AR107" i="33"/>
  <c r="AS106" i="33"/>
  <c r="AS122" i="33"/>
  <c r="AQ106" i="33"/>
  <c r="AM129" i="33"/>
  <c r="AM109" i="33"/>
  <c r="AM133" i="33"/>
  <c r="AN135" i="33"/>
  <c r="AN127" i="33"/>
  <c r="AN122" i="33"/>
  <c r="AN130" i="33"/>
  <c r="AT129" i="33"/>
  <c r="AQ141" i="33"/>
  <c r="AS144" i="33"/>
  <c r="AQ105" i="33"/>
  <c r="AS140" i="33"/>
  <c r="AS138" i="33"/>
  <c r="AQ142" i="33"/>
  <c r="AS143" i="33"/>
  <c r="AQ137" i="33"/>
  <c r="AT143" i="33"/>
  <c r="AQ136" i="33"/>
  <c r="AQ138" i="33"/>
  <c r="AS136" i="33"/>
  <c r="AR105" i="33"/>
  <c r="AT105" i="33"/>
  <c r="AM140" i="33"/>
  <c r="AT140" i="33"/>
  <c r="AQ140" i="33"/>
  <c r="AS137" i="33"/>
  <c r="AR144" i="33"/>
  <c r="AN138" i="33"/>
  <c r="AS139" i="33"/>
  <c r="AQ143" i="33"/>
  <c r="AS105" i="33"/>
  <c r="AT139" i="33"/>
  <c r="AM139" i="33"/>
  <c r="AT136" i="33"/>
  <c r="AS142" i="33"/>
  <c r="AQ144" i="33"/>
  <c r="AT137" i="33"/>
  <c r="AR140" i="33"/>
  <c r="AT138" i="33"/>
  <c r="AM138" i="33"/>
  <c r="AM143" i="33"/>
  <c r="AR136" i="33"/>
  <c r="AR143" i="33"/>
  <c r="AN141" i="33"/>
  <c r="AM144" i="33"/>
  <c r="AR137" i="33"/>
  <c r="AN144" i="33"/>
  <c r="AN137" i="33"/>
  <c r="AT142" i="33"/>
  <c r="AM105" i="33"/>
  <c r="AS141" i="33"/>
  <c r="AR138" i="33"/>
  <c r="AN136" i="33"/>
  <c r="AN139" i="33"/>
  <c r="AT141" i="33"/>
  <c r="AM136" i="33"/>
  <c r="AQ139" i="33"/>
  <c r="AR141" i="33"/>
  <c r="AN143" i="33"/>
  <c r="AM137" i="33"/>
  <c r="AR142" i="33"/>
  <c r="AN140" i="33"/>
  <c r="AM142" i="33"/>
  <c r="AN105" i="33"/>
  <c r="AM141" i="33"/>
  <c r="AR139" i="33"/>
  <c r="AN142" i="33"/>
  <c r="AT144" i="33"/>
  <c r="DT68" i="43" l="1"/>
  <c r="DU68" i="43" s="1"/>
  <c r="BL84" i="19"/>
  <c r="BL85" i="19"/>
  <c r="BI84" i="19"/>
  <c r="BI85" i="19"/>
  <c r="BK84" i="19"/>
  <c r="BK85" i="19"/>
  <c r="BJ84" i="19"/>
  <c r="BJ85" i="19"/>
  <c r="BH84" i="19"/>
  <c r="BH85" i="19"/>
  <c r="BC88" i="19"/>
  <c r="DS66" i="43"/>
  <c r="DR67" i="43"/>
  <c r="DM69" i="43"/>
  <c r="DN69" i="43" s="1"/>
  <c r="DK69" i="43"/>
  <c r="DH69" i="43"/>
  <c r="DG70" i="43"/>
  <c r="DO70" i="43" s="1"/>
  <c r="DP70" i="43" s="1"/>
  <c r="DQ69" i="43"/>
  <c r="DI369" i="43"/>
  <c r="DI667" i="43"/>
  <c r="DO667" i="43"/>
  <c r="DK667" i="43"/>
  <c r="DP666" i="43"/>
  <c r="AO135" i="33"/>
  <c r="AP135" i="33" s="1"/>
  <c r="AX137" i="33"/>
  <c r="DC31" i="33" s="1"/>
  <c r="AW142" i="33"/>
  <c r="CT36" i="33" s="1"/>
  <c r="AZ136" i="33"/>
  <c r="DE30" i="33" s="1"/>
  <c r="AZ138" i="33"/>
  <c r="DE32" i="33" s="1"/>
  <c r="AZ137" i="33"/>
  <c r="DE31" i="33" s="1"/>
  <c r="G44" i="17"/>
  <c r="H44" i="17" s="1"/>
  <c r="I44" i="17" s="1" a="1"/>
  <c r="I44" i="17" s="1"/>
  <c r="F45" i="17"/>
  <c r="G13" i="16"/>
  <c r="H13" i="16" s="1"/>
  <c r="I13" i="16" s="1" a="1"/>
  <c r="I13" i="16" s="1"/>
  <c r="F14" i="16"/>
  <c r="F15" i="17"/>
  <c r="G14" i="17"/>
  <c r="H14" i="17" s="1"/>
  <c r="I14" i="17" s="1" a="1"/>
  <c r="I14" i="17" s="1"/>
  <c r="BC109" i="33" a="1"/>
  <c r="BC109" i="33" s="1"/>
  <c r="AW139" i="33"/>
  <c r="CT33" i="33" s="1"/>
  <c r="AZ135" i="33"/>
  <c r="DE29" i="33" s="1"/>
  <c r="AY138" i="33"/>
  <c r="DD32" i="33" s="1"/>
  <c r="AW138" i="33"/>
  <c r="CT32" i="33" s="1"/>
  <c r="AZ134" i="33"/>
  <c r="AZ139" i="33"/>
  <c r="DE33" i="33" s="1"/>
  <c r="AX134" i="33"/>
  <c r="AY134" i="33"/>
  <c r="AW135" i="33"/>
  <c r="CT29" i="33" s="1"/>
  <c r="AX143" i="33"/>
  <c r="DC37" i="33" s="1"/>
  <c r="AZ144" i="33"/>
  <c r="DE38" i="33" s="1"/>
  <c r="AW141" i="33"/>
  <c r="CT35" i="33" s="1"/>
  <c r="AX141" i="33"/>
  <c r="DC35" i="33" s="1"/>
  <c r="AW143" i="33"/>
  <c r="CT37" i="33" s="1"/>
  <c r="AX136" i="33"/>
  <c r="DC30" i="33" s="1"/>
  <c r="AW136" i="33"/>
  <c r="CT30" i="33" s="1"/>
  <c r="AX139" i="33"/>
  <c r="DC33" i="33" s="1"/>
  <c r="AW137" i="33"/>
  <c r="CT31" i="33" s="1"/>
  <c r="AX144" i="33"/>
  <c r="DC38" i="33" s="1"/>
  <c r="AW134" i="33"/>
  <c r="AZ142" i="33"/>
  <c r="DE36" i="33" s="1"/>
  <c r="AW140" i="33"/>
  <c r="CT34" i="33" s="1"/>
  <c r="AX135" i="33"/>
  <c r="DC29" i="33" s="1"/>
  <c r="AZ141" i="33"/>
  <c r="DE35" i="33" s="1"/>
  <c r="AX142" i="33"/>
  <c r="DC36" i="33" s="1"/>
  <c r="AX140" i="33"/>
  <c r="DC34" i="33" s="1"/>
  <c r="AZ143" i="33"/>
  <c r="DE37" i="33" s="1"/>
  <c r="AZ140" i="33"/>
  <c r="DE34" i="33" s="1"/>
  <c r="AY142" i="33"/>
  <c r="DD36" i="33" s="1"/>
  <c r="AW144" i="33"/>
  <c r="CT38" i="33" s="1"/>
  <c r="AX138" i="33"/>
  <c r="DC32" i="33" s="1"/>
  <c r="AY137" i="33"/>
  <c r="DD31" i="33" s="1"/>
  <c r="G11" i="33"/>
  <c r="H11" i="33" s="1"/>
  <c r="I11" i="33" s="1" a="1"/>
  <c r="I11" i="33" s="1"/>
  <c r="F12" i="33"/>
  <c r="BC117" i="33" a="1"/>
  <c r="BC117" i="33" s="1"/>
  <c r="AX111" i="33"/>
  <c r="AX129" i="33"/>
  <c r="AX110" i="33"/>
  <c r="AX113" i="33"/>
  <c r="AX126" i="33"/>
  <c r="AX123" i="33"/>
  <c r="AX117" i="33"/>
  <c r="AX106" i="33"/>
  <c r="AX119" i="33"/>
  <c r="AX115" i="33"/>
  <c r="AX132" i="33"/>
  <c r="AX122" i="33"/>
  <c r="AX128" i="33"/>
  <c r="AX108" i="33"/>
  <c r="AX107" i="33"/>
  <c r="AX125" i="33"/>
  <c r="AX116" i="33"/>
  <c r="AX130" i="33"/>
  <c r="AX127" i="33"/>
  <c r="AX109" i="33"/>
  <c r="AX105" i="33"/>
  <c r="AX131" i="33"/>
  <c r="AX114" i="33"/>
  <c r="AX120" i="33"/>
  <c r="AX118" i="33"/>
  <c r="AX112" i="33"/>
  <c r="AX121" i="33"/>
  <c r="AX133" i="33"/>
  <c r="AX124" i="33"/>
  <c r="BC108" i="33" a="1"/>
  <c r="BC108" i="33" s="1"/>
  <c r="AY136" i="33"/>
  <c r="DD30" i="33" s="1"/>
  <c r="BC135" i="33" a="1"/>
  <c r="BC135" i="33" s="1"/>
  <c r="AY116" i="33"/>
  <c r="AY115" i="33"/>
  <c r="AY123" i="33"/>
  <c r="AY112" i="33"/>
  <c r="AY118" i="33"/>
  <c r="AY111" i="33"/>
  <c r="AY119" i="33"/>
  <c r="AY126" i="33"/>
  <c r="AY132" i="33"/>
  <c r="AY130" i="33"/>
  <c r="AY121" i="33"/>
  <c r="AY124" i="33"/>
  <c r="AY133" i="33"/>
  <c r="AY131" i="33"/>
  <c r="AY106" i="33"/>
  <c r="AY129" i="33"/>
  <c r="AY105" i="33"/>
  <c r="AY107" i="33"/>
  <c r="AY114" i="33"/>
  <c r="AY113" i="33"/>
  <c r="AY127" i="33"/>
  <c r="AY128" i="33"/>
  <c r="AY109" i="33"/>
  <c r="AY125" i="33"/>
  <c r="AY117" i="33"/>
  <c r="AY110" i="33"/>
  <c r="AY108" i="33"/>
  <c r="AY122" i="33"/>
  <c r="AY120" i="33"/>
  <c r="BC111" i="33" a="1"/>
  <c r="BC111" i="33" s="1"/>
  <c r="AY139" i="33"/>
  <c r="DD33" i="33" s="1"/>
  <c r="BC113" i="33" a="1"/>
  <c r="BC113" i="33" s="1"/>
  <c r="AY141" i="33"/>
  <c r="DD35" i="33" s="1"/>
  <c r="BC121" i="33" a="1"/>
  <c r="BC121" i="33" s="1"/>
  <c r="BC133" i="33" a="1"/>
  <c r="BC133" i="33" s="1"/>
  <c r="BC115" i="33" a="1"/>
  <c r="BC115" i="33" s="1"/>
  <c r="AY143" i="33"/>
  <c r="DD37" i="33" s="1"/>
  <c r="BC112" i="33" a="1"/>
  <c r="BC112" i="33" s="1"/>
  <c r="AY140" i="33"/>
  <c r="DD34" i="33" s="1"/>
  <c r="BC107" i="33" a="1"/>
  <c r="BC107" i="33" s="1"/>
  <c r="AY135" i="33"/>
  <c r="DD29" i="33" s="1"/>
  <c r="BC131" i="33" a="1"/>
  <c r="BC131" i="33" s="1"/>
  <c r="BC120" i="33" a="1"/>
  <c r="BC120" i="33" s="1"/>
  <c r="BC132" i="33" a="1"/>
  <c r="BC132" i="33" s="1"/>
  <c r="BC119" i="33" a="1"/>
  <c r="BC119" i="33" s="1"/>
  <c r="BC129" i="33" a="1"/>
  <c r="BC129" i="33" s="1"/>
  <c r="BC123" i="33" a="1"/>
  <c r="BC123" i="33" s="1"/>
  <c r="BC116" i="33" a="1"/>
  <c r="BC116" i="33" s="1"/>
  <c r="AY144" i="33"/>
  <c r="DD38" i="33" s="1"/>
  <c r="BC130" i="33" a="1"/>
  <c r="BC130" i="33" s="1"/>
  <c r="AW123" i="33"/>
  <c r="AW130" i="33"/>
  <c r="AW120" i="33"/>
  <c r="AW125" i="33"/>
  <c r="AW108" i="33"/>
  <c r="AW112" i="33"/>
  <c r="AW131" i="33"/>
  <c r="AW124" i="33"/>
  <c r="AW110" i="33"/>
  <c r="AW129" i="33"/>
  <c r="AW132" i="33"/>
  <c r="AW126" i="33"/>
  <c r="AW109" i="33"/>
  <c r="AW107" i="33"/>
  <c r="AW111" i="33"/>
  <c r="AW115" i="33"/>
  <c r="AW105" i="33"/>
  <c r="AW121" i="33"/>
  <c r="AW118" i="33"/>
  <c r="AW133" i="33"/>
  <c r="AW119" i="33"/>
  <c r="AW114" i="33"/>
  <c r="AW122" i="33"/>
  <c r="AW116" i="33"/>
  <c r="AW127" i="33"/>
  <c r="AW113" i="33"/>
  <c r="AW117" i="33"/>
  <c r="AW106" i="33"/>
  <c r="AW128" i="33"/>
  <c r="BC125" i="33" a="1"/>
  <c r="BC125" i="33" s="1"/>
  <c r="AZ121" i="33"/>
  <c r="AZ116" i="33"/>
  <c r="AZ107" i="33"/>
  <c r="AZ122" i="33"/>
  <c r="AZ125" i="33"/>
  <c r="AZ126" i="33"/>
  <c r="AZ124" i="33"/>
  <c r="AZ123" i="33"/>
  <c r="AZ128" i="33"/>
  <c r="AZ113" i="33"/>
  <c r="AZ127" i="33"/>
  <c r="AZ118" i="33"/>
  <c r="AZ129" i="33"/>
  <c r="AZ105" i="33"/>
  <c r="AZ115" i="33"/>
  <c r="AZ133" i="33"/>
  <c r="AZ130" i="33"/>
  <c r="AZ131" i="33"/>
  <c r="AZ109" i="33"/>
  <c r="AZ110" i="33"/>
  <c r="AZ120" i="33"/>
  <c r="AZ112" i="33"/>
  <c r="AZ114" i="33"/>
  <c r="AZ119" i="33"/>
  <c r="AZ108" i="33"/>
  <c r="AZ132" i="33"/>
  <c r="AZ117" i="33"/>
  <c r="AZ111" i="33"/>
  <c r="AZ106" i="33"/>
  <c r="BC124" i="33" a="1"/>
  <c r="BC124" i="33" s="1"/>
  <c r="BC118" i="33" a="1"/>
  <c r="BC118" i="33" s="1"/>
  <c r="AO128" i="33"/>
  <c r="AP128" i="33" s="1"/>
  <c r="AO120" i="33"/>
  <c r="AO119" i="33"/>
  <c r="AO132" i="33"/>
  <c r="AO108" i="33"/>
  <c r="AO123" i="33"/>
  <c r="AO112" i="33"/>
  <c r="AO124" i="33"/>
  <c r="AO111" i="33"/>
  <c r="BC114" i="33" a="1"/>
  <c r="BC114" i="33" s="1"/>
  <c r="AO131" i="33"/>
  <c r="AO122" i="33"/>
  <c r="AO113" i="33"/>
  <c r="AO118" i="33"/>
  <c r="AO134" i="33"/>
  <c r="AO133" i="33"/>
  <c r="BC128" i="33" a="1"/>
  <c r="BC128" i="33" s="1"/>
  <c r="AO129" i="33"/>
  <c r="AO127" i="33"/>
  <c r="AO115" i="33"/>
  <c r="AO116" i="33"/>
  <c r="AO109" i="33"/>
  <c r="AO107" i="33"/>
  <c r="AO114" i="33"/>
  <c r="AO110" i="33"/>
  <c r="AO117" i="33"/>
  <c r="BC126" i="33" a="1"/>
  <c r="BC126" i="33" s="1"/>
  <c r="AO125" i="33"/>
  <c r="BC122" i="33" a="1"/>
  <c r="BC122" i="33" s="1"/>
  <c r="BC127" i="33" a="1"/>
  <c r="BC127" i="33" s="1"/>
  <c r="AO126" i="33"/>
  <c r="BC106" i="33" a="1"/>
  <c r="BC106" i="33" s="1"/>
  <c r="AO121" i="33"/>
  <c r="BC110" i="33" a="1"/>
  <c r="BC110" i="33" s="1"/>
  <c r="AO130" i="33"/>
  <c r="BC134" i="33" a="1"/>
  <c r="BC134" i="33" s="1"/>
  <c r="AO106" i="33"/>
  <c r="BC105" i="33" a="1"/>
  <c r="BC105" i="33" s="1"/>
  <c r="BC136" i="33" a="1"/>
  <c r="BC136" i="33" s="1"/>
  <c r="BC139" i="33" a="1"/>
  <c r="BC139" i="33" s="1"/>
  <c r="BC141" i="33" a="1"/>
  <c r="BC141" i="33" s="1"/>
  <c r="BC143" i="33" a="1"/>
  <c r="BC143" i="33" s="1"/>
  <c r="BC137" i="33" a="1"/>
  <c r="BC137" i="33" s="1"/>
  <c r="BC138" i="33" a="1"/>
  <c r="BC138" i="33" s="1"/>
  <c r="BC140" i="33" a="1"/>
  <c r="BC140" i="33" s="1"/>
  <c r="BC142" i="33" a="1"/>
  <c r="BC142" i="33" s="1"/>
  <c r="BC144" i="33" a="1"/>
  <c r="BC144" i="33" s="1"/>
  <c r="AO141" i="33"/>
  <c r="AO142" i="33"/>
  <c r="AO105" i="33"/>
  <c r="AO136" i="33"/>
  <c r="AO137" i="33"/>
  <c r="AO138" i="33"/>
  <c r="AO140" i="33"/>
  <c r="AO143" i="33"/>
  <c r="AO144" i="33"/>
  <c r="AO139" i="33"/>
  <c r="DT69" i="43" l="1"/>
  <c r="DU69" i="43" s="1"/>
  <c r="BC87" i="19"/>
  <c r="DM70" i="43"/>
  <c r="DN70" i="43" s="1"/>
  <c r="DK70" i="43"/>
  <c r="DR68" i="43"/>
  <c r="DS67" i="43"/>
  <c r="DH70" i="43"/>
  <c r="DG71" i="43"/>
  <c r="DQ70" i="43"/>
  <c r="DT70" i="43" s="1"/>
  <c r="DU70" i="43" s="1"/>
  <c r="DI271" i="43"/>
  <c r="DI370" i="43"/>
  <c r="DI668" i="43"/>
  <c r="DO668" i="43"/>
  <c r="DK668" i="43"/>
  <c r="DP667" i="43"/>
  <c r="F46" i="17"/>
  <c r="G45" i="17"/>
  <c r="H45" i="17" s="1"/>
  <c r="I45" i="17" s="1" a="1"/>
  <c r="I45" i="17" s="1"/>
  <c r="F15" i="16"/>
  <c r="G14" i="16"/>
  <c r="H14" i="16" s="1"/>
  <c r="I14" i="16" s="1" a="1"/>
  <c r="I14" i="16" s="1"/>
  <c r="G15" i="17"/>
  <c r="H15" i="17" s="1"/>
  <c r="I15" i="17" s="1" a="1"/>
  <c r="I15" i="17" s="1"/>
  <c r="F16" i="17"/>
  <c r="AU135" i="33"/>
  <c r="CR29" i="33" s="1"/>
  <c r="AU138" i="33"/>
  <c r="CR32" i="33" s="1"/>
  <c r="AU134" i="33"/>
  <c r="F13" i="33"/>
  <c r="G12" i="33"/>
  <c r="H12" i="33" s="1"/>
  <c r="I12" i="33" s="1" a="1"/>
  <c r="I12" i="33" s="1"/>
  <c r="AP109" i="33"/>
  <c r="AU137" i="33"/>
  <c r="CR31" i="33" s="1"/>
  <c r="AP116" i="33"/>
  <c r="AU144" i="33"/>
  <c r="CR38" i="33" s="1"/>
  <c r="AP115" i="33"/>
  <c r="AU143" i="33"/>
  <c r="CR37" i="33" s="1"/>
  <c r="AP124" i="33"/>
  <c r="AP112" i="33"/>
  <c r="AU140" i="33"/>
  <c r="CR34" i="33" s="1"/>
  <c r="AP129" i="33"/>
  <c r="AP113" i="33"/>
  <c r="BB113" i="33" s="1" a="1"/>
  <c r="BB113" i="33" s="1"/>
  <c r="AU141" i="33"/>
  <c r="CR35" i="33" s="1"/>
  <c r="AP111" i="33"/>
  <c r="AU139" i="33"/>
  <c r="CR33" i="33" s="1"/>
  <c r="AU127" i="33"/>
  <c r="AU120" i="33"/>
  <c r="AU118" i="33"/>
  <c r="AU126" i="33"/>
  <c r="AU105" i="33"/>
  <c r="AU129" i="33"/>
  <c r="AU128" i="33"/>
  <c r="AU109" i="33"/>
  <c r="AU114" i="33"/>
  <c r="AU108" i="33"/>
  <c r="AU107" i="33"/>
  <c r="AU131" i="33"/>
  <c r="AU106" i="33"/>
  <c r="AU133" i="33"/>
  <c r="AU110" i="33"/>
  <c r="AU111" i="33"/>
  <c r="AU113" i="33"/>
  <c r="AU115" i="33"/>
  <c r="AU112" i="33"/>
  <c r="AU119" i="33"/>
  <c r="AU123" i="33"/>
  <c r="AU132" i="33"/>
  <c r="AU117" i="33"/>
  <c r="AU121" i="33"/>
  <c r="AU125" i="33"/>
  <c r="AU122" i="33"/>
  <c r="AU124" i="33"/>
  <c r="AU130" i="33"/>
  <c r="AU116" i="33"/>
  <c r="AP123" i="33"/>
  <c r="AP133" i="33"/>
  <c r="AP119" i="33"/>
  <c r="AP120" i="33"/>
  <c r="BB135" i="33" a="1"/>
  <c r="BB135" i="33" s="1"/>
  <c r="AP122" i="33"/>
  <c r="AP108" i="33"/>
  <c r="AU136" i="33"/>
  <c r="CR30" i="33" s="1"/>
  <c r="AP132" i="33"/>
  <c r="AP134" i="33"/>
  <c r="BB134" i="33" s="1" a="1"/>
  <c r="BB134" i="33" s="1"/>
  <c r="AP118" i="33"/>
  <c r="AP114" i="33"/>
  <c r="AU142" i="33"/>
  <c r="CR36" i="33" s="1"/>
  <c r="AP131" i="33"/>
  <c r="AP127" i="33"/>
  <c r="AP107" i="33"/>
  <c r="BB128" i="33" a="1"/>
  <c r="BB128" i="33" s="1"/>
  <c r="AP117" i="33"/>
  <c r="AP126" i="33"/>
  <c r="AP130" i="33"/>
  <c r="AP106" i="33"/>
  <c r="AP121" i="33"/>
  <c r="AP125" i="33"/>
  <c r="AP110" i="33"/>
  <c r="AP141" i="33"/>
  <c r="AP142" i="33"/>
  <c r="AP105" i="33"/>
  <c r="AP137" i="33"/>
  <c r="AP136" i="33"/>
  <c r="AP138" i="33"/>
  <c r="AP140" i="33"/>
  <c r="AP143" i="33"/>
  <c r="AP139" i="33"/>
  <c r="AP144" i="33"/>
  <c r="X15" i="17"/>
  <c r="AG23" i="17"/>
  <c r="BX33" i="17"/>
  <c r="DK25" i="17"/>
  <c r="DK26" i="17"/>
  <c r="DK27" i="17"/>
  <c r="DK28" i="17"/>
  <c r="DK29" i="17"/>
  <c r="DK30" i="17"/>
  <c r="DK31" i="17"/>
  <c r="DK32" i="17"/>
  <c r="DK33" i="17"/>
  <c r="DK34" i="17"/>
  <c r="DK35" i="17"/>
  <c r="DK36" i="17"/>
  <c r="DK37" i="17"/>
  <c r="DK38" i="17"/>
  <c r="DK39" i="17"/>
  <c r="DK40" i="17"/>
  <c r="DK41" i="17"/>
  <c r="DK42" i="17"/>
  <c r="DK43" i="17"/>
  <c r="DK44" i="17"/>
  <c r="DK45" i="17"/>
  <c r="DK46" i="17"/>
  <c r="DK47" i="17"/>
  <c r="DK48" i="17"/>
  <c r="DK49" i="17"/>
  <c r="DK50" i="17"/>
  <c r="DK51" i="17"/>
  <c r="DK52" i="17"/>
  <c r="DK53" i="17"/>
  <c r="DK54" i="17"/>
  <c r="DK55" i="17"/>
  <c r="DK56" i="17"/>
  <c r="DK57" i="17"/>
  <c r="DK58" i="17"/>
  <c r="DK59" i="17"/>
  <c r="DK60" i="17"/>
  <c r="DK61" i="17"/>
  <c r="DK62" i="17"/>
  <c r="DK63" i="17"/>
  <c r="DK64" i="17"/>
  <c r="DK65" i="17"/>
  <c r="DK66" i="17"/>
  <c r="DK67" i="17"/>
  <c r="DK68" i="17"/>
  <c r="DK69" i="17"/>
  <c r="DK70" i="17"/>
  <c r="DK24" i="17"/>
  <c r="T1" i="17"/>
  <c r="U1" i="17" s="1"/>
  <c r="V44" i="17" a="1"/>
  <c r="V44" i="17" s="1"/>
  <c r="T44" i="17"/>
  <c r="AG4" i="16"/>
  <c r="AI4" i="16" a="1"/>
  <c r="AI4" i="16" s="1"/>
  <c r="AH3" i="16"/>
  <c r="CG4" i="16"/>
  <c r="BC86" i="19" l="1"/>
  <c r="DH71" i="43"/>
  <c r="DO71" i="43"/>
  <c r="DS68" i="43"/>
  <c r="DR69" i="43"/>
  <c r="DK71" i="43"/>
  <c r="DG72" i="43"/>
  <c r="DO72" i="43" s="1"/>
  <c r="DP72" i="43" s="1"/>
  <c r="DJ272" i="43"/>
  <c r="DI371" i="43"/>
  <c r="DI669" i="43"/>
  <c r="DO669" i="43"/>
  <c r="DK669" i="43"/>
  <c r="DP668" i="43"/>
  <c r="F47" i="17"/>
  <c r="G46" i="17"/>
  <c r="H46" i="17" s="1"/>
  <c r="I46" i="17" s="1" a="1"/>
  <c r="I46" i="17" s="1"/>
  <c r="G15" i="16"/>
  <c r="H15" i="16" s="1"/>
  <c r="I15" i="16" s="1" a="1"/>
  <c r="I15" i="16" s="1"/>
  <c r="F16" i="16"/>
  <c r="F17" i="17"/>
  <c r="G16" i="17"/>
  <c r="H16" i="17" s="1"/>
  <c r="I16" i="17" s="1" a="1"/>
  <c r="I16" i="17" s="1"/>
  <c r="AV144" i="33"/>
  <c r="CS38" i="33" s="1"/>
  <c r="AV139" i="33"/>
  <c r="CS33" i="33" s="1"/>
  <c r="AV138" i="33"/>
  <c r="CS32" i="33" s="1"/>
  <c r="AV141" i="33"/>
  <c r="CS35" i="33" s="1"/>
  <c r="AV136" i="33"/>
  <c r="CS30" i="33" s="1"/>
  <c r="AV134" i="33"/>
  <c r="AV142" i="33"/>
  <c r="CS36" i="33" s="1"/>
  <c r="G13" i="33"/>
  <c r="H13" i="33" s="1"/>
  <c r="I13" i="33" s="1" a="1"/>
  <c r="I13" i="33" s="1"/>
  <c r="F14" i="33"/>
  <c r="BB111" i="33" a="1"/>
  <c r="BB111" i="33" s="1"/>
  <c r="BB114" i="33" a="1"/>
  <c r="BB114" i="33" s="1"/>
  <c r="BB118" i="33" a="1"/>
  <c r="BB118" i="33" s="1"/>
  <c r="BB133" i="33" a="1"/>
  <c r="BB133" i="33" s="1"/>
  <c r="BB107" i="33" a="1"/>
  <c r="BB107" i="33" s="1"/>
  <c r="AV135" i="33"/>
  <c r="CS29" i="33" s="1"/>
  <c r="AV125" i="33"/>
  <c r="AV116" i="33"/>
  <c r="AV126" i="33"/>
  <c r="AV107" i="33"/>
  <c r="AV124" i="33"/>
  <c r="AV122" i="33"/>
  <c r="AV130" i="33"/>
  <c r="AV127" i="33"/>
  <c r="AV131" i="33"/>
  <c r="AV118" i="33"/>
  <c r="AV111" i="33"/>
  <c r="AV105" i="33"/>
  <c r="AV129" i="33"/>
  <c r="AV114" i="33"/>
  <c r="AV112" i="33"/>
  <c r="AV128" i="33"/>
  <c r="AV109" i="33"/>
  <c r="AV133" i="33"/>
  <c r="AV113" i="33"/>
  <c r="AV106" i="33"/>
  <c r="AV115" i="33"/>
  <c r="AV110" i="33"/>
  <c r="AV117" i="33"/>
  <c r="AV121" i="33"/>
  <c r="AV123" i="33"/>
  <c r="AV132" i="33"/>
  <c r="AV120" i="33"/>
  <c r="AV119" i="33"/>
  <c r="AV108" i="33"/>
  <c r="BB112" i="33" a="1"/>
  <c r="BB112" i="33" s="1"/>
  <c r="AV140" i="33"/>
  <c r="CS34" i="33" s="1"/>
  <c r="BB129" i="33" a="1"/>
  <c r="BB129" i="33" s="1"/>
  <c r="BB132" i="33" a="1"/>
  <c r="BB132" i="33" s="1"/>
  <c r="BB123" i="33" a="1"/>
  <c r="BB123" i="33" s="1"/>
  <c r="BB131" i="33" a="1"/>
  <c r="BB131" i="33" s="1"/>
  <c r="BB122" i="33" a="1"/>
  <c r="BB122" i="33" s="1"/>
  <c r="BB115" i="33" a="1"/>
  <c r="BB115" i="33" s="1"/>
  <c r="AV143" i="33"/>
  <c r="CS37" i="33" s="1"/>
  <c r="BB127" i="33" a="1"/>
  <c r="BB127" i="33" s="1"/>
  <c r="BB120" i="33" a="1"/>
  <c r="BB120" i="33" s="1"/>
  <c r="BB116" i="33" a="1"/>
  <c r="BB116" i="33" s="1"/>
  <c r="BB119" i="33" a="1"/>
  <c r="BB119" i="33" s="1"/>
  <c r="BB108" i="33" a="1"/>
  <c r="BB108" i="33" s="1"/>
  <c r="BB124" i="33" a="1"/>
  <c r="BB124" i="33" s="1"/>
  <c r="BB109" i="33" a="1"/>
  <c r="BB109" i="33" s="1"/>
  <c r="AV137" i="33"/>
  <c r="CS31" i="33" s="1"/>
  <c r="BP29" i="17" a="1"/>
  <c r="BP29" i="17" s="1"/>
  <c r="BQ29" i="17" s="1"/>
  <c r="BB106" i="33" a="1"/>
  <c r="BB106" i="33" s="1"/>
  <c r="BB125" i="33" a="1"/>
  <c r="BB125" i="33" s="1"/>
  <c r="BB126" i="33" a="1"/>
  <c r="BB126" i="33" s="1"/>
  <c r="BB121" i="33" a="1"/>
  <c r="BB121" i="33" s="1"/>
  <c r="BB130" i="33" a="1"/>
  <c r="BB130" i="33" s="1"/>
  <c r="BB117" i="33" a="1"/>
  <c r="BB117" i="33" s="1"/>
  <c r="BB110" i="33" a="1"/>
  <c r="BB110" i="33" s="1"/>
  <c r="BB141" i="33" a="1"/>
  <c r="BB141" i="33" s="1"/>
  <c r="BB142" i="33" a="1"/>
  <c r="BB142" i="33" s="1"/>
  <c r="BB105" i="33" a="1"/>
  <c r="BB105" i="33" s="1"/>
  <c r="BB138" i="33" a="1"/>
  <c r="BB138" i="33" s="1"/>
  <c r="BB137" i="33" a="1"/>
  <c r="BB137" i="33" s="1"/>
  <c r="BB136" i="33" a="1"/>
  <c r="BB136" i="33" s="1"/>
  <c r="BB140" i="33" a="1"/>
  <c r="BB140" i="33" s="1"/>
  <c r="BB143" i="33" a="1"/>
  <c r="BB143" i="33" s="1"/>
  <c r="BB139" i="33" a="1"/>
  <c r="BB139" i="33" s="1"/>
  <c r="BB144" i="33" a="1"/>
  <c r="BB144" i="33" s="1"/>
  <c r="AF9" i="16"/>
  <c r="W8" i="17"/>
  <c r="AG25" i="17"/>
  <c r="AG24" i="17"/>
  <c r="W9" i="17"/>
  <c r="W10" i="17"/>
  <c r="DK72" i="43" l="1"/>
  <c r="DS69" i="43"/>
  <c r="DR70" i="43"/>
  <c r="DP71" i="43"/>
  <c r="DQ71" i="43" s="1"/>
  <c r="DT71" i="43" s="1"/>
  <c r="DU71" i="43" s="1"/>
  <c r="DM71" i="43"/>
  <c r="DN71" i="43" s="1"/>
  <c r="DH72" i="43"/>
  <c r="DG73" i="43"/>
  <c r="DH73" i="43" s="1"/>
  <c r="DQ72" i="43"/>
  <c r="DI273" i="43"/>
  <c r="DI372" i="43"/>
  <c r="DI670" i="43"/>
  <c r="DO670" i="43"/>
  <c r="DK670" i="43"/>
  <c r="DP669" i="43"/>
  <c r="DP14" i="17" a="1"/>
  <c r="DP14" i="17" s="1"/>
  <c r="DQ14" i="17" s="1"/>
  <c r="DR14" i="17" s="1"/>
  <c r="DS14" i="17" s="1"/>
  <c r="DT14" i="17" s="1"/>
  <c r="DU14" i="17" s="1"/>
  <c r="DV14" i="17" s="1"/>
  <c r="DW14" i="17" s="1"/>
  <c r="DX14" i="17" s="1"/>
  <c r="DY14" i="17" s="1"/>
  <c r="DZ14" i="17" s="1"/>
  <c r="CM25" i="17" s="1"/>
  <c r="BQ30" i="17"/>
  <c r="F48" i="17"/>
  <c r="G47" i="17"/>
  <c r="H47" i="17" s="1"/>
  <c r="I47" i="17" s="1" a="1"/>
  <c r="I47" i="17" s="1"/>
  <c r="G16" i="16"/>
  <c r="H16" i="16" s="1"/>
  <c r="I16" i="16" s="1" a="1"/>
  <c r="I16" i="16" s="1"/>
  <c r="F17" i="16"/>
  <c r="F18" i="17"/>
  <c r="G17" i="17"/>
  <c r="H17" i="17" s="1"/>
  <c r="I17" i="17" s="1" a="1"/>
  <c r="I17" i="17" s="1"/>
  <c r="F15" i="33"/>
  <c r="G14" i="33"/>
  <c r="H14" i="33" s="1"/>
  <c r="I14" i="33" s="1" a="1"/>
  <c r="I14" i="33" s="1"/>
  <c r="BX57" i="17"/>
  <c r="BX61" i="17" s="1"/>
  <c r="W21" i="17"/>
  <c r="EB6" i="17"/>
  <c r="F77" i="17" s="1"/>
  <c r="BY41" i="17"/>
  <c r="BX42" i="17"/>
  <c r="BY56" i="17"/>
  <c r="BX60" i="17"/>
  <c r="BH20" i="16"/>
  <c r="AU35" i="16" s="1"/>
  <c r="AU36" i="16" s="1"/>
  <c r="X8" i="17"/>
  <c r="B54" i="40" a="1"/>
  <c r="BC85" i="19" l="1"/>
  <c r="BC84" i="19"/>
  <c r="DM72" i="43"/>
  <c r="DN72" i="43" s="1"/>
  <c r="DS70" i="43"/>
  <c r="DR71" i="43"/>
  <c r="DT72" i="43"/>
  <c r="DU72" i="43" s="1"/>
  <c r="DK73" i="43"/>
  <c r="B54" i="40"/>
  <c r="DO73" i="43"/>
  <c r="DM73" i="43" s="1"/>
  <c r="DN73" i="43" s="1"/>
  <c r="DG74" i="43"/>
  <c r="DJ274" i="43"/>
  <c r="DK671" i="43"/>
  <c r="DI671" i="43"/>
  <c r="DO671" i="43"/>
  <c r="DP670" i="43"/>
  <c r="CM26" i="17"/>
  <c r="F49" i="17"/>
  <c r="G48" i="17"/>
  <c r="H48" i="17" s="1"/>
  <c r="I48" i="17" s="1" a="1"/>
  <c r="I48" i="17" s="1"/>
  <c r="G17" i="16"/>
  <c r="H17" i="16" s="1"/>
  <c r="I17" i="16" s="1" a="1"/>
  <c r="I17" i="16" s="1"/>
  <c r="F18" i="16"/>
  <c r="G18" i="17"/>
  <c r="H18" i="17" s="1"/>
  <c r="I18" i="17" s="1" a="1"/>
  <c r="I18" i="17" s="1"/>
  <c r="F19" i="17"/>
  <c r="G15" i="33"/>
  <c r="H15" i="33" s="1"/>
  <c r="I15" i="33" s="1" a="1"/>
  <c r="I15" i="33" s="1"/>
  <c r="F16" i="33"/>
  <c r="X21" i="17"/>
  <c r="DZ8" i="17" s="1"/>
  <c r="BY42" i="17"/>
  <c r="CB42" i="17" s="1"/>
  <c r="BY45" i="17"/>
  <c r="BY46" i="17" s="1"/>
  <c r="BX41" i="17"/>
  <c r="BX46" i="17"/>
  <c r="BX56" i="17"/>
  <c r="BY57" i="17"/>
  <c r="BY60" i="17"/>
  <c r="BY61" i="17" s="1"/>
  <c r="CB61" i="17" s="1"/>
  <c r="BE20" i="16"/>
  <c r="AT35" i="16" s="1"/>
  <c r="AV35" i="16" s="1"/>
  <c r="DO74" i="43" l="1"/>
  <c r="DH74" i="43"/>
  <c r="DS71" i="43"/>
  <c r="DR72" i="43"/>
  <c r="DK74" i="43"/>
  <c r="DG75" i="43"/>
  <c r="DH75" i="43" s="1"/>
  <c r="DP73" i="43"/>
  <c r="DQ73" i="43" s="1"/>
  <c r="DT73" i="43" s="1"/>
  <c r="DU73" i="43" s="1"/>
  <c r="DI275" i="43"/>
  <c r="DK672" i="43"/>
  <c r="DP671" i="43"/>
  <c r="DI672" i="43"/>
  <c r="DO672" i="43"/>
  <c r="G49" i="17"/>
  <c r="H49" i="17" s="1"/>
  <c r="I49" i="17" s="1" a="1"/>
  <c r="I49" i="17" s="1"/>
  <c r="F50" i="17"/>
  <c r="F19" i="16"/>
  <c r="G18" i="16"/>
  <c r="H18" i="16" s="1"/>
  <c r="I18" i="16" s="1" a="1"/>
  <c r="I18" i="16" s="1"/>
  <c r="G19" i="17"/>
  <c r="H19" i="17" s="1"/>
  <c r="I19" i="17" s="1" a="1"/>
  <c r="I19" i="17" s="1"/>
  <c r="F20" i="17"/>
  <c r="F17" i="33"/>
  <c r="G16" i="33"/>
  <c r="H16" i="33" s="1"/>
  <c r="I16" i="33" s="1" a="1"/>
  <c r="I16" i="33" s="1"/>
  <c r="BZ42" i="17"/>
  <c r="BZ61" i="17"/>
  <c r="BZ56" i="17"/>
  <c r="CB56" i="17"/>
  <c r="BZ60" i="17"/>
  <c r="CB60" i="17"/>
  <c r="CC60" i="17" s="1"/>
  <c r="BZ46" i="17"/>
  <c r="CB46" i="17"/>
  <c r="BZ57" i="17"/>
  <c r="CB57" i="17"/>
  <c r="BZ45" i="17"/>
  <c r="CB45" i="17"/>
  <c r="CB41" i="17"/>
  <c r="CC41" i="17" s="1"/>
  <c r="BZ41" i="17"/>
  <c r="DK75" i="43" l="1"/>
  <c r="DS72" i="43"/>
  <c r="DR73" i="43"/>
  <c r="DP74" i="43"/>
  <c r="DQ74" i="43" s="1"/>
  <c r="DT74" i="43" s="1"/>
  <c r="DU74" i="43" s="1"/>
  <c r="DM74" i="43"/>
  <c r="DN74" i="43" s="1"/>
  <c r="DO75" i="43"/>
  <c r="DM75" i="43" s="1"/>
  <c r="DN75" i="43" s="1"/>
  <c r="DG76" i="43"/>
  <c r="DJ276" i="43"/>
  <c r="DI375" i="43"/>
  <c r="DP672" i="43"/>
  <c r="DI673" i="43"/>
  <c r="DO673" i="43"/>
  <c r="DK673" i="43"/>
  <c r="G50" i="17"/>
  <c r="H50" i="17" s="1"/>
  <c r="I50" i="17" s="1" a="1"/>
  <c r="I50" i="17" s="1"/>
  <c r="F51" i="17"/>
  <c r="G19" i="16"/>
  <c r="H19" i="16" s="1"/>
  <c r="I19" i="16" s="1" a="1"/>
  <c r="I19" i="16" s="1"/>
  <c r="F20" i="16"/>
  <c r="F21" i="17"/>
  <c r="G20" i="17"/>
  <c r="H20" i="17" s="1"/>
  <c r="I20" i="17" s="1" a="1"/>
  <c r="I20" i="17" s="1"/>
  <c r="G17" i="33"/>
  <c r="H17" i="33" s="1"/>
  <c r="I17" i="33" s="1" a="1"/>
  <c r="I17" i="33" s="1"/>
  <c r="F18" i="33"/>
  <c r="CA41" i="17"/>
  <c r="CA56" i="17"/>
  <c r="CA45" i="17"/>
  <c r="CC56" i="17"/>
  <c r="CA60" i="17"/>
  <c r="CC45" i="17"/>
  <c r="CD43" i="17" s="1"/>
  <c r="DR74" i="43" l="1"/>
  <c r="DS73" i="43"/>
  <c r="DO76" i="43"/>
  <c r="DH76" i="43"/>
  <c r="DK76" i="43"/>
  <c r="DG77" i="43"/>
  <c r="DH77" i="43" s="1"/>
  <c r="DP75" i="43"/>
  <c r="DQ75" i="43" s="1"/>
  <c r="DT75" i="43" s="1"/>
  <c r="DU75" i="43" s="1"/>
  <c r="DI376" i="43"/>
  <c r="DK674" i="43"/>
  <c r="DI674" i="43"/>
  <c r="DO674" i="43"/>
  <c r="DP673" i="43"/>
  <c r="CD58" i="17"/>
  <c r="AH23" i="17" s="1"/>
  <c r="AH25" i="17" s="1"/>
  <c r="F52" i="17"/>
  <c r="G51" i="17"/>
  <c r="H51" i="17" s="1"/>
  <c r="I51" i="17" s="1" a="1"/>
  <c r="I51" i="17" s="1"/>
  <c r="P49" i="17"/>
  <c r="F21" i="16"/>
  <c r="G20" i="16"/>
  <c r="H20" i="16" s="1"/>
  <c r="I20" i="16" s="1" a="1"/>
  <c r="I20" i="16" s="1"/>
  <c r="F22" i="17"/>
  <c r="G21" i="17"/>
  <c r="H21" i="17" s="1"/>
  <c r="I21" i="17" s="1" a="1"/>
  <c r="I21" i="17" s="1"/>
  <c r="F19" i="33"/>
  <c r="G18" i="33"/>
  <c r="H18" i="33" s="1"/>
  <c r="I18" i="33" s="1" a="1"/>
  <c r="I18" i="33" s="1"/>
  <c r="AK23" i="17"/>
  <c r="AJ24" i="17" s="1"/>
  <c r="DP76" i="43" l="1"/>
  <c r="DQ76" i="43" s="1"/>
  <c r="DT76" i="43" s="1"/>
  <c r="DU76" i="43" s="1"/>
  <c r="DM76" i="43"/>
  <c r="DN76" i="43" s="1"/>
  <c r="DK77" i="43"/>
  <c r="DS74" i="43"/>
  <c r="DR75" i="43"/>
  <c r="DO77" i="43"/>
  <c r="DM77" i="43" s="1"/>
  <c r="DN77" i="43" s="1"/>
  <c r="DG78" i="43"/>
  <c r="DJ278" i="43"/>
  <c r="DI377" i="43"/>
  <c r="DK675" i="43"/>
  <c r="DP674" i="43"/>
  <c r="DI675" i="43"/>
  <c r="DO675" i="43"/>
  <c r="AF24" i="17"/>
  <c r="Q49" i="17"/>
  <c r="R49" i="17" s="1"/>
  <c r="P50" i="17"/>
  <c r="G52" i="17"/>
  <c r="H52" i="17" s="1"/>
  <c r="I52" i="17" s="1" a="1"/>
  <c r="I52" i="17" s="1"/>
  <c r="F53" i="17"/>
  <c r="F22" i="16"/>
  <c r="G21" i="16"/>
  <c r="H21" i="16" s="1"/>
  <c r="I21" i="16" s="1" a="1"/>
  <c r="I21" i="16" s="1"/>
  <c r="F23" i="17"/>
  <c r="G22" i="17"/>
  <c r="H22" i="17" s="1"/>
  <c r="I22" i="17" s="1" a="1"/>
  <c r="I22" i="17" s="1"/>
  <c r="G19" i="33"/>
  <c r="H19" i="33" s="1"/>
  <c r="I19" i="33" s="1" a="1"/>
  <c r="I19" i="33" s="1"/>
  <c r="F20" i="33"/>
  <c r="AJ18" i="17"/>
  <c r="AJ19" i="17"/>
  <c r="AJ20" i="17"/>
  <c r="DK78" i="43" l="1"/>
  <c r="DR76" i="43"/>
  <c r="DS75" i="43"/>
  <c r="DH78" i="43"/>
  <c r="DO78" i="43"/>
  <c r="DG79" i="43"/>
  <c r="DP77" i="43"/>
  <c r="DQ77" i="43" s="1"/>
  <c r="DT77" i="43" s="1"/>
  <c r="DU77" i="43" s="1"/>
  <c r="DI676" i="43"/>
  <c r="DO676" i="43"/>
  <c r="DP675" i="43"/>
  <c r="DK676" i="43"/>
  <c r="F54" i="17"/>
  <c r="G53" i="17"/>
  <c r="H53" i="17" s="1"/>
  <c r="I53" i="17" s="1" a="1"/>
  <c r="I53" i="17" s="1"/>
  <c r="P51" i="17"/>
  <c r="Q50" i="17"/>
  <c r="R50" i="17" s="1"/>
  <c r="F23" i="16"/>
  <c r="G22" i="16"/>
  <c r="H22" i="16" s="1"/>
  <c r="I22" i="16" s="1" a="1"/>
  <c r="I22" i="16" s="1"/>
  <c r="G23" i="17"/>
  <c r="H23" i="17" s="1"/>
  <c r="I23" i="17" s="1" a="1"/>
  <c r="I23" i="17" s="1"/>
  <c r="F24" i="17"/>
  <c r="F21" i="33"/>
  <c r="G20" i="33"/>
  <c r="H20" i="33" s="1"/>
  <c r="I20" i="33" s="1" a="1"/>
  <c r="I20" i="33" s="1"/>
  <c r="AJ28" i="17"/>
  <c r="AF28" i="17" s="1"/>
  <c r="DP78" i="43" l="1"/>
  <c r="DQ78" i="43" s="1"/>
  <c r="DT78" i="43" s="1"/>
  <c r="DU78" i="43" s="1"/>
  <c r="DM78" i="43"/>
  <c r="DN78" i="43" s="1"/>
  <c r="DS76" i="43"/>
  <c r="DR77" i="43"/>
  <c r="DH79" i="43"/>
  <c r="DO79" i="43"/>
  <c r="DK79" i="43"/>
  <c r="DG80" i="43"/>
  <c r="DJ280" i="43"/>
  <c r="DI379" i="43"/>
  <c r="DI677" i="43"/>
  <c r="DO677" i="43"/>
  <c r="DP676" i="43"/>
  <c r="DK677" i="43"/>
  <c r="P52" i="17"/>
  <c r="Q51" i="17"/>
  <c r="R51" i="17" s="1"/>
  <c r="G54" i="17"/>
  <c r="H54" i="17" s="1"/>
  <c r="I54" i="17" s="1" a="1"/>
  <c r="I54" i="17" s="1"/>
  <c r="F55" i="17"/>
  <c r="G23" i="16"/>
  <c r="H23" i="16" s="1"/>
  <c r="I23" i="16" s="1" a="1"/>
  <c r="I23" i="16" s="1"/>
  <c r="F24" i="16"/>
  <c r="G24" i="17"/>
  <c r="H24" i="17" s="1"/>
  <c r="I24" i="17" s="1" a="1"/>
  <c r="I24" i="17" s="1"/>
  <c r="F25" i="17"/>
  <c r="G21" i="33"/>
  <c r="H21" i="33" s="1"/>
  <c r="I21" i="33" s="1" a="1"/>
  <c r="I21" i="33" s="1"/>
  <c r="F22" i="33"/>
  <c r="DK80" i="43" l="1"/>
  <c r="DH80" i="43"/>
  <c r="DO80" i="43"/>
  <c r="DP79" i="43"/>
  <c r="DQ79" i="43" s="1"/>
  <c r="DT79" i="43" s="1"/>
  <c r="DU79" i="43" s="1"/>
  <c r="DM79" i="43"/>
  <c r="DN79" i="43" s="1"/>
  <c r="DS77" i="43"/>
  <c r="DR78" i="43"/>
  <c r="DG81" i="43"/>
  <c r="DI678" i="43"/>
  <c r="DO678" i="43"/>
  <c r="DP677" i="43"/>
  <c r="DK678" i="43"/>
  <c r="G55" i="17"/>
  <c r="H55" i="17" s="1"/>
  <c r="I55" i="17" s="1" a="1"/>
  <c r="I55" i="17" s="1"/>
  <c r="F56" i="17"/>
  <c r="Q52" i="17"/>
  <c r="R52" i="17" s="1"/>
  <c r="P53" i="17"/>
  <c r="F25" i="16"/>
  <c r="G24" i="16"/>
  <c r="H24" i="16" s="1"/>
  <c r="I24" i="16" s="1" a="1"/>
  <c r="I24" i="16" s="1"/>
  <c r="G25" i="17"/>
  <c r="H25" i="17" s="1"/>
  <c r="I25" i="17" s="1" a="1"/>
  <c r="I25" i="17" s="1"/>
  <c r="F26" i="17"/>
  <c r="F23" i="33"/>
  <c r="G22" i="33"/>
  <c r="H22" i="33" s="1"/>
  <c r="I22" i="33" s="1" a="1"/>
  <c r="I22" i="33" s="1"/>
  <c r="DS78" i="43" l="1"/>
  <c r="DR79" i="43"/>
  <c r="DP80" i="43"/>
  <c r="DQ80" i="43" s="1"/>
  <c r="DT80" i="43" s="1"/>
  <c r="DU80" i="43" s="1"/>
  <c r="DM80" i="43"/>
  <c r="DN80" i="43" s="1"/>
  <c r="DO81" i="43"/>
  <c r="DH81" i="43"/>
  <c r="DK81" i="43"/>
  <c r="DG82" i="43"/>
  <c r="DH82" i="43" s="1"/>
  <c r="DJ282" i="43"/>
  <c r="DI679" i="43"/>
  <c r="DO679" i="43"/>
  <c r="DK679" i="43"/>
  <c r="DP678" i="43"/>
  <c r="P54" i="17"/>
  <c r="Q54" i="17" s="1"/>
  <c r="R54" i="17" s="1"/>
  <c r="Q53" i="17"/>
  <c r="R53" i="17" s="1"/>
  <c r="F57" i="17"/>
  <c r="G56" i="17"/>
  <c r="H56" i="17" s="1"/>
  <c r="I56" i="17" s="1" a="1"/>
  <c r="I56" i="17" s="1"/>
  <c r="G25" i="16"/>
  <c r="H25" i="16" s="1"/>
  <c r="I25" i="16" s="1" a="1"/>
  <c r="I25" i="16" s="1"/>
  <c r="F26" i="16"/>
  <c r="F27" i="17"/>
  <c r="G27" i="17" s="1"/>
  <c r="H27" i="17" s="1"/>
  <c r="I27" i="17" s="1" a="1"/>
  <c r="I27" i="17" s="1"/>
  <c r="G26" i="17"/>
  <c r="H26" i="17" s="1"/>
  <c r="I26" i="17" s="1" a="1"/>
  <c r="I26" i="17" s="1"/>
  <c r="G23" i="33"/>
  <c r="H23" i="33" s="1"/>
  <c r="I23" i="33" s="1" a="1"/>
  <c r="I23" i="33" s="1"/>
  <c r="F24" i="33"/>
  <c r="DP81" i="43" l="1"/>
  <c r="DQ81" i="43" s="1"/>
  <c r="DT81" i="43" s="1"/>
  <c r="DU81" i="43" s="1"/>
  <c r="DM81" i="43"/>
  <c r="DN81" i="43" s="1"/>
  <c r="DS79" i="43"/>
  <c r="DR80" i="43"/>
  <c r="DK82" i="43"/>
  <c r="DO82" i="43"/>
  <c r="DM82" i="43" s="1"/>
  <c r="DN82" i="43" s="1"/>
  <c r="DG83" i="43"/>
  <c r="DO83" i="43" s="1"/>
  <c r="DP83" i="43" s="1"/>
  <c r="DI680" i="43"/>
  <c r="DO680" i="43"/>
  <c r="DK680" i="43"/>
  <c r="DP679" i="43"/>
  <c r="F58" i="17"/>
  <c r="G58" i="17" s="1"/>
  <c r="H58" i="17" s="1"/>
  <c r="I58" i="17" s="1" a="1"/>
  <c r="I58" i="17" s="1"/>
  <c r="G57" i="17"/>
  <c r="H57" i="17" s="1"/>
  <c r="I57" i="17" s="1" a="1"/>
  <c r="I57" i="17" s="1"/>
  <c r="F27" i="16"/>
  <c r="G27" i="16" s="1"/>
  <c r="H27" i="16" s="1"/>
  <c r="I27" i="16" s="1" a="1"/>
  <c r="I27" i="16" s="1"/>
  <c r="G26" i="16"/>
  <c r="H26" i="16" s="1"/>
  <c r="I26" i="16" s="1" a="1"/>
  <c r="I26" i="16" s="1"/>
  <c r="I1" i="17"/>
  <c r="F25" i="33"/>
  <c r="G24" i="33"/>
  <c r="H24" i="33" s="1"/>
  <c r="I24" i="33" s="1" a="1"/>
  <c r="I24" i="33" s="1"/>
  <c r="DR81" i="43" l="1"/>
  <c r="DS80" i="43"/>
  <c r="DK83" i="43"/>
  <c r="DM83" i="43"/>
  <c r="DN83" i="43" s="1"/>
  <c r="DH83" i="43"/>
  <c r="DG84" i="43"/>
  <c r="DH84" i="43" s="1"/>
  <c r="DQ83" i="43"/>
  <c r="DP82" i="43"/>
  <c r="DQ82" i="43" s="1"/>
  <c r="DT82" i="43" s="1"/>
  <c r="DU82" i="43" s="1"/>
  <c r="DJ284" i="43"/>
  <c r="DI681" i="43"/>
  <c r="DO681" i="43"/>
  <c r="DK681" i="43"/>
  <c r="DP680" i="43"/>
  <c r="DX1" i="17"/>
  <c r="J1" i="17" s="1"/>
  <c r="I32" i="17"/>
  <c r="I1" i="16"/>
  <c r="CH1" i="16" s="1"/>
  <c r="J1" i="16" s="1"/>
  <c r="G36" i="16" s="1"/>
  <c r="G25" i="33"/>
  <c r="H25" i="33" s="1"/>
  <c r="I25" i="33" s="1" a="1"/>
  <c r="I25" i="33" s="1"/>
  <c r="F26" i="33"/>
  <c r="DT83" i="43" l="1"/>
  <c r="DU83" i="43" s="1"/>
  <c r="DK84" i="43"/>
  <c r="DR82" i="43"/>
  <c r="DS81" i="43"/>
  <c r="DO84" i="43"/>
  <c r="DM84" i="43" s="1"/>
  <c r="DN84" i="43" s="1"/>
  <c r="DG85" i="43"/>
  <c r="DH85" i="43" s="1"/>
  <c r="DI384" i="43"/>
  <c r="DI682" i="43"/>
  <c r="DO682" i="43"/>
  <c r="DK682" i="43"/>
  <c r="DP681" i="43"/>
  <c r="K2" i="17"/>
  <c r="K3" i="17" s="1"/>
  <c r="G66" i="17"/>
  <c r="ED1" i="17"/>
  <c r="J32" i="17" s="1"/>
  <c r="K33" i="17" s="1"/>
  <c r="K1" i="17"/>
  <c r="K1" i="16"/>
  <c r="F27" i="33"/>
  <c r="G27" i="33" s="1"/>
  <c r="H27" i="33" s="1"/>
  <c r="I27" i="33" s="1" a="1"/>
  <c r="I27" i="33" s="1"/>
  <c r="G26" i="33"/>
  <c r="H26" i="33" s="1"/>
  <c r="I26" i="33" s="1" a="1"/>
  <c r="I26" i="33" s="1"/>
  <c r="C43" i="40" a="1"/>
  <c r="DR83" i="43" l="1"/>
  <c r="DS82" i="43"/>
  <c r="DK85" i="43"/>
  <c r="DO85" i="43"/>
  <c r="DG86" i="43"/>
  <c r="DO86" i="43" s="1"/>
  <c r="DP86" i="43" s="1"/>
  <c r="DP84" i="43"/>
  <c r="DQ84" i="43" s="1"/>
  <c r="DT84" i="43" s="1"/>
  <c r="DU84" i="43" s="1"/>
  <c r="DJ286" i="43"/>
  <c r="DI385" i="43"/>
  <c r="DK683" i="43"/>
  <c r="DI683" i="43"/>
  <c r="DO683" i="43"/>
  <c r="DP682" i="43"/>
  <c r="L2" i="17"/>
  <c r="M2" i="17" s="1"/>
  <c r="N2" i="17" s="1"/>
  <c r="O2" i="17" s="1"/>
  <c r="C43" i="40"/>
  <c r="K32" i="17"/>
  <c r="K2" i="16"/>
  <c r="L2" i="16" s="1"/>
  <c r="M2" i="16" s="1"/>
  <c r="N2" i="16" s="1"/>
  <c r="O2" i="16" s="1"/>
  <c r="K34" i="17"/>
  <c r="L33" i="17"/>
  <c r="M33" i="17" s="1"/>
  <c r="N33" i="17" s="1"/>
  <c r="O33" i="17" s="1"/>
  <c r="P34" i="17" s="1"/>
  <c r="L3" i="17"/>
  <c r="M3" i="17" s="1"/>
  <c r="N3" i="17" s="1"/>
  <c r="O3" i="17" s="1"/>
  <c r="K4" i="17"/>
  <c r="I1" i="33"/>
  <c r="CV1" i="33" s="1"/>
  <c r="DK86" i="43" l="1"/>
  <c r="DP85" i="43"/>
  <c r="DQ85" i="43" s="1"/>
  <c r="DT85" i="43" s="1"/>
  <c r="DU85" i="43" s="1"/>
  <c r="DM85" i="43"/>
  <c r="DR84" i="43"/>
  <c r="DS83" i="43"/>
  <c r="DH86" i="43"/>
  <c r="DG87" i="43"/>
  <c r="DO87" i="43" s="1"/>
  <c r="DP87" i="43" s="1"/>
  <c r="DQ86" i="43"/>
  <c r="DI386" i="43"/>
  <c r="DI684" i="43"/>
  <c r="DO684" i="43"/>
  <c r="DK684" i="43"/>
  <c r="DP683" i="43"/>
  <c r="K3" i="16"/>
  <c r="L3" i="16" s="1"/>
  <c r="M3" i="16" s="1"/>
  <c r="N3" i="16" s="1"/>
  <c r="O3" i="16" s="1"/>
  <c r="K35" i="17"/>
  <c r="L34" i="17"/>
  <c r="M34" i="17" s="1"/>
  <c r="N34" i="17" s="1"/>
  <c r="O34" i="17" s="1"/>
  <c r="L4" i="17"/>
  <c r="M4" i="17" s="1"/>
  <c r="N4" i="17" s="1"/>
  <c r="O4" i="17" s="1"/>
  <c r="K5" i="17"/>
  <c r="J1" i="33"/>
  <c r="G36" i="33" s="1"/>
  <c r="C8" i="40" a="1"/>
  <c r="C67" i="40" a="1"/>
  <c r="DS84" i="43" l="1"/>
  <c r="DR85" i="43"/>
  <c r="DM86" i="43"/>
  <c r="DN86" i="43" s="1"/>
  <c r="DN85" i="43"/>
  <c r="DT86" i="43"/>
  <c r="DU86" i="43" s="1"/>
  <c r="DK87" i="43"/>
  <c r="DH87" i="43"/>
  <c r="DG88" i="43"/>
  <c r="DH88" i="43" s="1"/>
  <c r="DQ87" i="43"/>
  <c r="DI288" i="43"/>
  <c r="DI387" i="43"/>
  <c r="DK685" i="43"/>
  <c r="DP684" i="43"/>
  <c r="DI685" i="43"/>
  <c r="DO685" i="43"/>
  <c r="C67" i="40"/>
  <c r="C8" i="40"/>
  <c r="K4" i="16"/>
  <c r="K5" i="16" s="1"/>
  <c r="L35" i="17"/>
  <c r="M35" i="17" s="1"/>
  <c r="N35" i="17" s="1"/>
  <c r="O35" i="17" s="1"/>
  <c r="K36" i="17"/>
  <c r="L5" i="17"/>
  <c r="M5" i="17" s="1"/>
  <c r="N5" i="17" s="1"/>
  <c r="O5" i="17" s="1"/>
  <c r="K6" i="17"/>
  <c r="K2" i="33"/>
  <c r="K1" i="33"/>
  <c r="DK88" i="43" l="1"/>
  <c r="DS85" i="43"/>
  <c r="DR86" i="43"/>
  <c r="DT87" i="43"/>
  <c r="DU87" i="43" s="1"/>
  <c r="DM87" i="43"/>
  <c r="DN87" i="43" s="1"/>
  <c r="DO88" i="43"/>
  <c r="DG89" i="43"/>
  <c r="DH89" i="43" s="1"/>
  <c r="DI289" i="43"/>
  <c r="DI388" i="43"/>
  <c r="DI686" i="43"/>
  <c r="DO686" i="43"/>
  <c r="DP685" i="43"/>
  <c r="DK686" i="43"/>
  <c r="L4" i="16"/>
  <c r="M4" i="16" s="1"/>
  <c r="N4" i="16" s="1"/>
  <c r="O4" i="16" s="1"/>
  <c r="L36" i="17"/>
  <c r="M36" i="17" s="1"/>
  <c r="N36" i="17" s="1"/>
  <c r="O36" i="17" s="1"/>
  <c r="K37" i="17"/>
  <c r="L5" i="16"/>
  <c r="M5" i="16" s="1"/>
  <c r="N5" i="16" s="1"/>
  <c r="O5" i="16" s="1"/>
  <c r="K6" i="16"/>
  <c r="K7" i="17"/>
  <c r="L6" i="17"/>
  <c r="M6" i="17" s="1"/>
  <c r="N6" i="17" s="1"/>
  <c r="O6" i="17" s="1"/>
  <c r="L2" i="33"/>
  <c r="M2" i="33" s="1"/>
  <c r="N2" i="33" s="1"/>
  <c r="O2" i="33" s="1"/>
  <c r="K3" i="33"/>
  <c r="DM88" i="43" l="1"/>
  <c r="DN88" i="43" s="1"/>
  <c r="DR87" i="43"/>
  <c r="DS86" i="43"/>
  <c r="DK89" i="43"/>
  <c r="DO89" i="43"/>
  <c r="DG90" i="43"/>
  <c r="DO90" i="43" s="1"/>
  <c r="DP90" i="43" s="1"/>
  <c r="DP88" i="43"/>
  <c r="DQ88" i="43" s="1"/>
  <c r="DT88" i="43" s="1"/>
  <c r="DU88" i="43" s="1"/>
  <c r="DI389" i="43"/>
  <c r="DI687" i="43"/>
  <c r="DO687" i="43"/>
  <c r="DK687" i="43"/>
  <c r="DP686" i="43"/>
  <c r="K38" i="17"/>
  <c r="L37" i="17"/>
  <c r="M37" i="17" s="1"/>
  <c r="N37" i="17" s="1"/>
  <c r="O37" i="17" s="1"/>
  <c r="K7" i="16"/>
  <c r="L6" i="16"/>
  <c r="M6" i="16" s="1"/>
  <c r="N6" i="16" s="1"/>
  <c r="O6" i="16" s="1"/>
  <c r="L7" i="17"/>
  <c r="M7" i="17" s="1"/>
  <c r="N7" i="17" s="1"/>
  <c r="O7" i="17" s="1"/>
  <c r="K8" i="17"/>
  <c r="L3" i="33"/>
  <c r="M3" i="33" s="1"/>
  <c r="N3" i="33" s="1"/>
  <c r="O3" i="33" s="1"/>
  <c r="K4" i="33"/>
  <c r="DP89" i="43" l="1"/>
  <c r="DQ89" i="43" s="1"/>
  <c r="DT89" i="43" s="1"/>
  <c r="DU89" i="43" s="1"/>
  <c r="DM89" i="43"/>
  <c r="DN89" i="43" s="1"/>
  <c r="DK90" i="43"/>
  <c r="DR88" i="43"/>
  <c r="DS87" i="43"/>
  <c r="DH90" i="43"/>
  <c r="DG91" i="43"/>
  <c r="DO91" i="43" s="1"/>
  <c r="DP91" i="43" s="1"/>
  <c r="DQ90" i="43"/>
  <c r="DJ291" i="43"/>
  <c r="DI688" i="43"/>
  <c r="DO688" i="43"/>
  <c r="DK688" i="43"/>
  <c r="DP687" i="43"/>
  <c r="L38" i="17"/>
  <c r="M38" i="17" s="1"/>
  <c r="N38" i="17" s="1"/>
  <c r="O38" i="17" s="1"/>
  <c r="K39" i="17"/>
  <c r="L7" i="16"/>
  <c r="M7" i="16" s="1"/>
  <c r="N7" i="16" s="1"/>
  <c r="O7" i="16" s="1"/>
  <c r="K8" i="16"/>
  <c r="K9" i="17"/>
  <c r="L8" i="17"/>
  <c r="M8" i="17" s="1"/>
  <c r="N8" i="17" s="1"/>
  <c r="O8" i="17" s="1"/>
  <c r="K5" i="33"/>
  <c r="L4" i="33"/>
  <c r="M4" i="33" s="1"/>
  <c r="N4" i="33" s="1"/>
  <c r="O4" i="33" s="1"/>
  <c r="DM90" i="43" l="1"/>
  <c r="DN90" i="43" s="1"/>
  <c r="DT90" i="43"/>
  <c r="DU90" i="43" s="1"/>
  <c r="DR89" i="43"/>
  <c r="DS88" i="43"/>
  <c r="DK91" i="43"/>
  <c r="DH91" i="43"/>
  <c r="DG92" i="43"/>
  <c r="DQ91" i="43"/>
  <c r="DT91" i="43" s="1"/>
  <c r="DU91" i="43" s="1"/>
  <c r="DP688" i="43"/>
  <c r="DI689" i="43"/>
  <c r="DO689" i="43"/>
  <c r="DK689" i="43"/>
  <c r="L39" i="17"/>
  <c r="M39" i="17" s="1"/>
  <c r="N39" i="17" s="1"/>
  <c r="O39" i="17" s="1"/>
  <c r="K40" i="17"/>
  <c r="K9" i="16"/>
  <c r="L8" i="16"/>
  <c r="M8" i="16" s="1"/>
  <c r="N8" i="16" s="1"/>
  <c r="O8" i="16" s="1"/>
  <c r="L9" i="17"/>
  <c r="M9" i="17" s="1"/>
  <c r="N9" i="17" s="1"/>
  <c r="O9" i="17" s="1"/>
  <c r="K10" i="17"/>
  <c r="K6" i="33"/>
  <c r="L5" i="33"/>
  <c r="M5" i="33" s="1"/>
  <c r="N5" i="33" s="1"/>
  <c r="O5" i="33" s="1"/>
  <c r="DM91" i="43" l="1"/>
  <c r="DN91" i="43" s="1"/>
  <c r="DO92" i="43"/>
  <c r="DH92" i="43"/>
  <c r="DK92" i="43"/>
  <c r="DR90" i="43"/>
  <c r="DS89" i="43"/>
  <c r="DG93" i="43"/>
  <c r="DH93" i="43" s="1"/>
  <c r="DK690" i="43"/>
  <c r="DP689" i="43"/>
  <c r="DI690" i="43"/>
  <c r="DO690" i="43"/>
  <c r="K41" i="17"/>
  <c r="L40" i="17"/>
  <c r="M40" i="17" s="1"/>
  <c r="N40" i="17" s="1"/>
  <c r="O40" i="17" s="1"/>
  <c r="L9" i="16"/>
  <c r="M9" i="16" s="1"/>
  <c r="N9" i="16" s="1"/>
  <c r="O9" i="16" s="1"/>
  <c r="K10" i="16"/>
  <c r="K11" i="17"/>
  <c r="L10" i="17"/>
  <c r="M10" i="17" s="1"/>
  <c r="N10" i="17" s="1"/>
  <c r="O10" i="17" s="1"/>
  <c r="K7" i="33"/>
  <c r="L6" i="33"/>
  <c r="M6" i="33" s="1"/>
  <c r="N6" i="33" s="1"/>
  <c r="O6" i="33" s="1"/>
  <c r="DK93" i="43" l="1"/>
  <c r="DR91" i="43"/>
  <c r="DS90" i="43"/>
  <c r="DP92" i="43"/>
  <c r="DQ92" i="43" s="1"/>
  <c r="DT92" i="43" s="1"/>
  <c r="DU92" i="43" s="1"/>
  <c r="DM92" i="43"/>
  <c r="DN92" i="43" s="1"/>
  <c r="DO93" i="43"/>
  <c r="DG94" i="43"/>
  <c r="DO94" i="43" s="1"/>
  <c r="DP94" i="43" s="1"/>
  <c r="DJ294" i="43"/>
  <c r="DI393" i="43"/>
  <c r="DI691" i="43"/>
  <c r="DO691" i="43"/>
  <c r="DP690" i="43"/>
  <c r="DK691" i="43"/>
  <c r="K42" i="17"/>
  <c r="L41" i="17"/>
  <c r="M41" i="17" s="1"/>
  <c r="N41" i="17" s="1"/>
  <c r="O41" i="17" s="1"/>
  <c r="K11" i="16"/>
  <c r="L10" i="16"/>
  <c r="M10" i="16" s="1"/>
  <c r="N10" i="16" s="1"/>
  <c r="O10" i="16" s="1"/>
  <c r="K12" i="17"/>
  <c r="L11" i="17"/>
  <c r="M11" i="17" s="1"/>
  <c r="N11" i="17" s="1"/>
  <c r="O11" i="17" s="1"/>
  <c r="L7" i="33"/>
  <c r="M7" i="33" s="1"/>
  <c r="N7" i="33" s="1"/>
  <c r="O7" i="33" s="1"/>
  <c r="K8" i="33"/>
  <c r="DM93" i="43" l="1"/>
  <c r="DS91" i="43"/>
  <c r="DR92" i="43"/>
  <c r="DK94" i="43"/>
  <c r="DH94" i="43"/>
  <c r="DG95" i="43"/>
  <c r="DH95" i="43" s="1"/>
  <c r="DQ94" i="43"/>
  <c r="DP93" i="43"/>
  <c r="DQ93" i="43" s="1"/>
  <c r="DT93" i="43" s="1"/>
  <c r="DU93" i="43" s="1"/>
  <c r="DI394" i="43"/>
  <c r="DI692" i="43"/>
  <c r="DO692" i="43"/>
  <c r="DP691" i="43"/>
  <c r="DK692" i="43"/>
  <c r="L42" i="17"/>
  <c r="M42" i="17" s="1"/>
  <c r="N42" i="17" s="1"/>
  <c r="O42" i="17" s="1"/>
  <c r="K43" i="17"/>
  <c r="L11" i="16"/>
  <c r="M11" i="16" s="1"/>
  <c r="N11" i="16" s="1"/>
  <c r="O11" i="16" s="1"/>
  <c r="K12" i="16"/>
  <c r="L12" i="17"/>
  <c r="M12" i="17" s="1"/>
  <c r="N12" i="17" s="1"/>
  <c r="O12" i="17" s="1"/>
  <c r="K13" i="17"/>
  <c r="K9" i="33"/>
  <c r="L8" i="33"/>
  <c r="M8" i="33" s="1"/>
  <c r="N8" i="33" s="1"/>
  <c r="O8" i="33" s="1"/>
  <c r="DT94" i="43" l="1"/>
  <c r="DU94" i="43" s="1"/>
  <c r="DK95" i="43"/>
  <c r="DR93" i="43"/>
  <c r="DS92" i="43"/>
  <c r="DN93" i="43"/>
  <c r="DM94" i="43"/>
  <c r="DN94" i="43" s="1"/>
  <c r="DO95" i="43"/>
  <c r="DG96" i="43"/>
  <c r="DI693" i="43"/>
  <c r="DO693" i="43"/>
  <c r="DP692" i="43"/>
  <c r="DK693" i="43"/>
  <c r="L43" i="17"/>
  <c r="M43" i="17" s="1"/>
  <c r="N43" i="17" s="1"/>
  <c r="O43" i="17" s="1"/>
  <c r="K44" i="17"/>
  <c r="K13" i="16"/>
  <c r="L12" i="16"/>
  <c r="M12" i="16" s="1"/>
  <c r="N12" i="16" s="1"/>
  <c r="O12" i="16" s="1"/>
  <c r="L13" i="17"/>
  <c r="M13" i="17" s="1"/>
  <c r="N13" i="17" s="1"/>
  <c r="O13" i="17" s="1"/>
  <c r="K14" i="17"/>
  <c r="L9" i="33"/>
  <c r="M9" i="33" s="1"/>
  <c r="N9" i="33" s="1"/>
  <c r="O9" i="33" s="1"/>
  <c r="K10" i="33"/>
  <c r="DM95" i="43" l="1"/>
  <c r="DN95" i="43" s="1"/>
  <c r="DO96" i="43"/>
  <c r="DH96" i="43"/>
  <c r="DR94" i="43"/>
  <c r="DS93" i="43"/>
  <c r="DK96" i="43"/>
  <c r="DG97" i="43"/>
  <c r="DH97" i="43" s="1"/>
  <c r="DP95" i="43"/>
  <c r="DQ95" i="43" s="1"/>
  <c r="DT95" i="43" s="1"/>
  <c r="DU95" i="43" s="1"/>
  <c r="DI297" i="43"/>
  <c r="DI694" i="43"/>
  <c r="DO694" i="43"/>
  <c r="DK694" i="43"/>
  <c r="DP693" i="43"/>
  <c r="L44" i="17"/>
  <c r="M44" i="17" s="1"/>
  <c r="N44" i="17" s="1"/>
  <c r="O44" i="17" s="1"/>
  <c r="K45" i="17"/>
  <c r="L13" i="16"/>
  <c r="M13" i="16" s="1"/>
  <c r="N13" i="16" s="1"/>
  <c r="O13" i="16" s="1"/>
  <c r="K14" i="16"/>
  <c r="L14" i="17"/>
  <c r="M14" i="17" s="1"/>
  <c r="N14" i="17" s="1"/>
  <c r="O14" i="17" s="1"/>
  <c r="K15" i="17"/>
  <c r="L10" i="33"/>
  <c r="M10" i="33" s="1"/>
  <c r="N10" i="33" s="1"/>
  <c r="O10" i="33" s="1"/>
  <c r="K11" i="33"/>
  <c r="DR95" i="43" l="1"/>
  <c r="DS94" i="43"/>
  <c r="DK97" i="43"/>
  <c r="DP96" i="43"/>
  <c r="DQ96" i="43" s="1"/>
  <c r="DT96" i="43" s="1"/>
  <c r="DU96" i="43" s="1"/>
  <c r="DM96" i="43"/>
  <c r="DN96" i="43" s="1"/>
  <c r="DO97" i="43"/>
  <c r="DG98" i="43"/>
  <c r="DH98" i="43" s="1"/>
  <c r="DJ298" i="43"/>
  <c r="DK695" i="43"/>
  <c r="DI695" i="43"/>
  <c r="DO695" i="43"/>
  <c r="DP694" i="43"/>
  <c r="K46" i="17"/>
  <c r="L45" i="17"/>
  <c r="M45" i="17" s="1"/>
  <c r="N45" i="17" s="1"/>
  <c r="O45" i="17" s="1"/>
  <c r="L14" i="16"/>
  <c r="M14" i="16" s="1"/>
  <c r="N14" i="16" s="1"/>
  <c r="O14" i="16" s="1"/>
  <c r="K15" i="16"/>
  <c r="K16" i="17"/>
  <c r="L15" i="17"/>
  <c r="M15" i="17" s="1"/>
  <c r="N15" i="17" s="1"/>
  <c r="O15" i="17" s="1"/>
  <c r="L11" i="33"/>
  <c r="M11" i="33" s="1"/>
  <c r="N11" i="33" s="1"/>
  <c r="O11" i="33" s="1"/>
  <c r="K12" i="33"/>
  <c r="DM97" i="43" l="1"/>
  <c r="DN97" i="43" s="1"/>
  <c r="DK98" i="43"/>
  <c r="DR96" i="43"/>
  <c r="DS95" i="43"/>
  <c r="DO98" i="43"/>
  <c r="DG99" i="43"/>
  <c r="DO99" i="43" s="1"/>
  <c r="DP99" i="43" s="1"/>
  <c r="DP97" i="43"/>
  <c r="DQ97" i="43" s="1"/>
  <c r="DT97" i="43" s="1"/>
  <c r="DU97" i="43" s="1"/>
  <c r="DJ299" i="43"/>
  <c r="DI696" i="43"/>
  <c r="DO696" i="43"/>
  <c r="DP695" i="43"/>
  <c r="DK696" i="43"/>
  <c r="L46" i="17"/>
  <c r="M46" i="17" s="1"/>
  <c r="N46" i="17" s="1"/>
  <c r="O46" i="17" s="1"/>
  <c r="K47" i="17"/>
  <c r="L15" i="16"/>
  <c r="M15" i="16" s="1"/>
  <c r="N15" i="16" s="1"/>
  <c r="O15" i="16" s="1"/>
  <c r="K16" i="16"/>
  <c r="K17" i="17"/>
  <c r="L16" i="17"/>
  <c r="M16" i="17" s="1"/>
  <c r="N16" i="17" s="1"/>
  <c r="O16" i="17" s="1"/>
  <c r="K13" i="33"/>
  <c r="L12" i="33"/>
  <c r="M12" i="33" s="1"/>
  <c r="N12" i="33" s="1"/>
  <c r="O12" i="33" s="1"/>
  <c r="DP98" i="43" l="1"/>
  <c r="DQ98" i="43" s="1"/>
  <c r="DT98" i="43" s="1"/>
  <c r="DU98" i="43" s="1"/>
  <c r="DM98" i="43"/>
  <c r="DR97" i="43"/>
  <c r="DS96" i="43"/>
  <c r="DK99" i="43"/>
  <c r="DH99" i="43"/>
  <c r="DG100" i="43"/>
  <c r="DH100" i="43" s="1"/>
  <c r="DQ99" i="43"/>
  <c r="DI300" i="43"/>
  <c r="DI697" i="43"/>
  <c r="DO697" i="43"/>
  <c r="DK697" i="43"/>
  <c r="DP696" i="43"/>
  <c r="K48" i="17"/>
  <c r="L47" i="17"/>
  <c r="M47" i="17" s="1"/>
  <c r="N47" i="17" s="1"/>
  <c r="O47" i="17" s="1"/>
  <c r="K17" i="16"/>
  <c r="L16" i="16"/>
  <c r="M16" i="16" s="1"/>
  <c r="N16" i="16" s="1"/>
  <c r="O16" i="16" s="1"/>
  <c r="L17" i="17"/>
  <c r="M17" i="17" s="1"/>
  <c r="N17" i="17" s="1"/>
  <c r="O17" i="17" s="1"/>
  <c r="K18" i="17"/>
  <c r="L13" i="33"/>
  <c r="M13" i="33" s="1"/>
  <c r="N13" i="33" s="1"/>
  <c r="O13" i="33" s="1"/>
  <c r="K14" i="33"/>
  <c r="DK100" i="43" l="1"/>
  <c r="DT99" i="43"/>
  <c r="DU99" i="43" s="1"/>
  <c r="DS97" i="43"/>
  <c r="DR98" i="43"/>
  <c r="DN98" i="43"/>
  <c r="DM99" i="43"/>
  <c r="DN99" i="43" s="1"/>
  <c r="DO100" i="43"/>
  <c r="DG101" i="43"/>
  <c r="DH101" i="43" s="1"/>
  <c r="DI698" i="43"/>
  <c r="DO698" i="43"/>
  <c r="DK698" i="43"/>
  <c r="DP697" i="43"/>
  <c r="L48" i="17"/>
  <c r="M48" i="17" s="1"/>
  <c r="N48" i="17" s="1"/>
  <c r="O48" i="17" s="1"/>
  <c r="K49" i="17"/>
  <c r="L17" i="16"/>
  <c r="M17" i="16" s="1"/>
  <c r="N17" i="16" s="1"/>
  <c r="O17" i="16" s="1"/>
  <c r="K18" i="16"/>
  <c r="L18" i="17"/>
  <c r="M18" i="17" s="1"/>
  <c r="N18" i="17" s="1"/>
  <c r="O18" i="17" s="1"/>
  <c r="K19" i="17"/>
  <c r="L14" i="33"/>
  <c r="M14" i="33" s="1"/>
  <c r="N14" i="33" s="1"/>
  <c r="O14" i="33" s="1"/>
  <c r="K15" i="33"/>
  <c r="DM100" i="43" l="1"/>
  <c r="DN100" i="43" s="1"/>
  <c r="DS98" i="43"/>
  <c r="DR99" i="43"/>
  <c r="DK101" i="43"/>
  <c r="DO101" i="43"/>
  <c r="DG102" i="43"/>
  <c r="DH102" i="43" s="1"/>
  <c r="DP100" i="43"/>
  <c r="DQ100" i="43" s="1"/>
  <c r="DT100" i="43" s="1"/>
  <c r="DU100" i="43" s="1"/>
  <c r="DI401" i="43"/>
  <c r="DI699" i="43"/>
  <c r="DO699" i="43"/>
  <c r="DP698" i="43"/>
  <c r="DK699" i="43"/>
  <c r="K50" i="17"/>
  <c r="L49" i="17"/>
  <c r="M49" i="17" s="1"/>
  <c r="N49" i="17" s="1"/>
  <c r="O49" i="17" s="1"/>
  <c r="K19" i="16"/>
  <c r="L18" i="16"/>
  <c r="M18" i="16" s="1"/>
  <c r="N18" i="16" s="1"/>
  <c r="O18" i="16" s="1"/>
  <c r="L19" i="17"/>
  <c r="M19" i="17" s="1"/>
  <c r="N19" i="17" s="1"/>
  <c r="O19" i="17" s="1"/>
  <c r="K20" i="17"/>
  <c r="L15" i="33"/>
  <c r="M15" i="33" s="1"/>
  <c r="N15" i="33" s="1"/>
  <c r="O15" i="33" s="1"/>
  <c r="K16" i="33"/>
  <c r="DK102" i="43" l="1"/>
  <c r="DS99" i="43"/>
  <c r="DR100" i="43"/>
  <c r="DP101" i="43"/>
  <c r="DQ101" i="43" s="1"/>
  <c r="DT101" i="43" s="1"/>
  <c r="DU101" i="43" s="1"/>
  <c r="DM101" i="43"/>
  <c r="DN101" i="43" s="1"/>
  <c r="DO102" i="43"/>
  <c r="DM102" i="43" s="1"/>
  <c r="DN102" i="43" s="1"/>
  <c r="DG103" i="43"/>
  <c r="DH103" i="43" s="1"/>
  <c r="DI402" i="43"/>
  <c r="DK700" i="43"/>
  <c r="DI700" i="43"/>
  <c r="DO700" i="43"/>
  <c r="DP699" i="43"/>
  <c r="K51" i="17"/>
  <c r="L50" i="17"/>
  <c r="M50" i="17" s="1"/>
  <c r="N50" i="17" s="1"/>
  <c r="O50" i="17" s="1"/>
  <c r="L19" i="16"/>
  <c r="M19" i="16" s="1"/>
  <c r="N19" i="16" s="1"/>
  <c r="O19" i="16" s="1"/>
  <c r="K20" i="16"/>
  <c r="L20" i="17"/>
  <c r="M20" i="17" s="1"/>
  <c r="N20" i="17" s="1"/>
  <c r="O20" i="17" s="1"/>
  <c r="K21" i="17"/>
  <c r="K17" i="33"/>
  <c r="L16" i="33"/>
  <c r="M16" i="33" s="1"/>
  <c r="N16" i="33" s="1"/>
  <c r="O16" i="33" s="1"/>
  <c r="DS100" i="43" l="1"/>
  <c r="DR101" i="43"/>
  <c r="DK103" i="43"/>
  <c r="DO103" i="43"/>
  <c r="DG104" i="43"/>
  <c r="DO104" i="43" s="1"/>
  <c r="DP104" i="43" s="1"/>
  <c r="DP102" i="43"/>
  <c r="DQ102" i="43" s="1"/>
  <c r="DT102" i="43" s="1"/>
  <c r="DU102" i="43" s="1"/>
  <c r="DI403" i="43"/>
  <c r="DI701" i="43"/>
  <c r="DO701" i="43"/>
  <c r="DP700" i="43"/>
  <c r="DK701" i="43"/>
  <c r="L51" i="17"/>
  <c r="M51" i="17" s="1"/>
  <c r="N51" i="17" s="1"/>
  <c r="O51" i="17" s="1"/>
  <c r="K52" i="17"/>
  <c r="K21" i="16"/>
  <c r="L20" i="16"/>
  <c r="M20" i="16" s="1"/>
  <c r="N20" i="16" s="1"/>
  <c r="O20" i="16" s="1"/>
  <c r="L21" i="17"/>
  <c r="M21" i="17" s="1"/>
  <c r="N21" i="17" s="1"/>
  <c r="O21" i="17" s="1"/>
  <c r="K22" i="17"/>
  <c r="L17" i="33"/>
  <c r="M17" i="33" s="1"/>
  <c r="N17" i="33" s="1"/>
  <c r="O17" i="33" s="1"/>
  <c r="K18" i="33"/>
  <c r="DP103" i="43" l="1"/>
  <c r="DQ103" i="43" s="1"/>
  <c r="DT103" i="43" s="1"/>
  <c r="DU103" i="43" s="1"/>
  <c r="DM103" i="43"/>
  <c r="DN103" i="43" s="1"/>
  <c r="DK104" i="43"/>
  <c r="DS101" i="43"/>
  <c r="DR102" i="43"/>
  <c r="DM104" i="43"/>
  <c r="DH104" i="43"/>
  <c r="DG105" i="43"/>
  <c r="DO105" i="43" s="1"/>
  <c r="DP105" i="43" s="1"/>
  <c r="DQ104" i="43"/>
  <c r="DI404" i="43"/>
  <c r="DI702" i="43"/>
  <c r="DO702" i="43"/>
  <c r="DK702" i="43"/>
  <c r="DP701" i="43"/>
  <c r="K53" i="17"/>
  <c r="L52" i="17"/>
  <c r="M52" i="17" s="1"/>
  <c r="N52" i="17" s="1"/>
  <c r="O52" i="17" s="1"/>
  <c r="L21" i="16"/>
  <c r="M21" i="16" s="1"/>
  <c r="N21" i="16" s="1"/>
  <c r="O21" i="16" s="1"/>
  <c r="K22" i="16"/>
  <c r="K23" i="17"/>
  <c r="L22" i="17"/>
  <c r="M22" i="17" s="1"/>
  <c r="N22" i="17" s="1"/>
  <c r="O22" i="17" s="1"/>
  <c r="L18" i="33"/>
  <c r="M18" i="33" s="1"/>
  <c r="N18" i="33" s="1"/>
  <c r="O18" i="33" s="1"/>
  <c r="K19" i="33"/>
  <c r="DM105" i="43" l="1"/>
  <c r="DT104" i="43"/>
  <c r="DU104" i="43" s="1"/>
  <c r="DN104" i="43"/>
  <c r="DK105" i="43"/>
  <c r="DS102" i="43"/>
  <c r="DR103" i="43"/>
  <c r="DH105" i="43"/>
  <c r="DG106" i="43"/>
  <c r="DO106" i="43" s="1"/>
  <c r="DP106" i="43" s="1"/>
  <c r="DQ105" i="43"/>
  <c r="DI703" i="43"/>
  <c r="DO703" i="43"/>
  <c r="DP702" i="43"/>
  <c r="DK703" i="43"/>
  <c r="DN105" i="43"/>
  <c r="L53" i="17"/>
  <c r="M53" i="17" s="1"/>
  <c r="N53" i="17" s="1"/>
  <c r="O53" i="17" s="1"/>
  <c r="K54" i="17"/>
  <c r="K23" i="16"/>
  <c r="L22" i="16"/>
  <c r="M22" i="16" s="1"/>
  <c r="N22" i="16" s="1"/>
  <c r="O22" i="16" s="1"/>
  <c r="L23" i="17"/>
  <c r="M23" i="17" s="1"/>
  <c r="N23" i="17" s="1"/>
  <c r="O23" i="17" s="1"/>
  <c r="K24" i="17"/>
  <c r="L19" i="33"/>
  <c r="M19" i="33" s="1"/>
  <c r="N19" i="33" s="1"/>
  <c r="O19" i="33" s="1"/>
  <c r="K20" i="33"/>
  <c r="DT105" i="43" l="1"/>
  <c r="DU105" i="43" s="1"/>
  <c r="DR104" i="43"/>
  <c r="DS103" i="43"/>
  <c r="DK106" i="43"/>
  <c r="DM106" i="43"/>
  <c r="DN106" i="43" s="1"/>
  <c r="DH106" i="43"/>
  <c r="DG107" i="43"/>
  <c r="DH107" i="43" s="1"/>
  <c r="DQ106" i="43"/>
  <c r="DI406" i="43"/>
  <c r="DI704" i="43"/>
  <c r="DO704" i="43"/>
  <c r="DK704" i="43"/>
  <c r="DP703" i="43"/>
  <c r="K55" i="17"/>
  <c r="L54" i="17"/>
  <c r="M54" i="17" s="1"/>
  <c r="N54" i="17" s="1"/>
  <c r="O54" i="17" s="1"/>
  <c r="L23" i="16"/>
  <c r="M23" i="16" s="1"/>
  <c r="N23" i="16" s="1"/>
  <c r="O23" i="16" s="1"/>
  <c r="K24" i="16"/>
  <c r="L24" i="17"/>
  <c r="M24" i="17" s="1"/>
  <c r="N24" i="17" s="1"/>
  <c r="O24" i="17" s="1"/>
  <c r="K25" i="17"/>
  <c r="K21" i="33"/>
  <c r="L20" i="33"/>
  <c r="M20" i="33" s="1"/>
  <c r="N20" i="33" s="1"/>
  <c r="O20" i="33" s="1"/>
  <c r="DT106" i="43" l="1"/>
  <c r="DU106" i="43" s="1"/>
  <c r="DK107" i="43"/>
  <c r="DR105" i="43"/>
  <c r="DS104" i="43"/>
  <c r="DO107" i="43"/>
  <c r="DM107" i="43" s="1"/>
  <c r="DN107" i="43" s="1"/>
  <c r="DG108" i="43"/>
  <c r="DI705" i="43"/>
  <c r="DO705" i="43"/>
  <c r="DP704" i="43"/>
  <c r="DK705" i="43"/>
  <c r="K56" i="17"/>
  <c r="L55" i="17"/>
  <c r="M55" i="17" s="1"/>
  <c r="N55" i="17" s="1"/>
  <c r="O55" i="17" s="1"/>
  <c r="K25" i="16"/>
  <c r="L24" i="16"/>
  <c r="M24" i="16" s="1"/>
  <c r="N24" i="16" s="1"/>
  <c r="O24" i="16" s="1"/>
  <c r="L25" i="17"/>
  <c r="M25" i="17" s="1"/>
  <c r="N25" i="17" s="1"/>
  <c r="O25" i="17" s="1"/>
  <c r="K26" i="17"/>
  <c r="L21" i="33"/>
  <c r="M21" i="33" s="1"/>
  <c r="N21" i="33" s="1"/>
  <c r="O21" i="33" s="1"/>
  <c r="K22" i="33"/>
  <c r="DH108" i="43" l="1"/>
  <c r="DO108" i="43"/>
  <c r="DS105" i="43"/>
  <c r="DR106" i="43"/>
  <c r="DK108" i="43"/>
  <c r="DG109" i="43"/>
  <c r="DH109" i="43" s="1"/>
  <c r="DP107" i="43"/>
  <c r="DQ107" i="43" s="1"/>
  <c r="DT107" i="43" s="1"/>
  <c r="DU107" i="43" s="1"/>
  <c r="DI408" i="43"/>
  <c r="DK706" i="43"/>
  <c r="DP705" i="43"/>
  <c r="DI706" i="43"/>
  <c r="DO706" i="43"/>
  <c r="L56" i="17"/>
  <c r="M56" i="17" s="1"/>
  <c r="N56" i="17" s="1"/>
  <c r="O56" i="17" s="1"/>
  <c r="K57" i="17"/>
  <c r="L25" i="16"/>
  <c r="M25" i="16" s="1"/>
  <c r="N25" i="16" s="1"/>
  <c r="O25" i="16" s="1"/>
  <c r="K26" i="16"/>
  <c r="K27" i="17"/>
  <c r="L27" i="17" s="1"/>
  <c r="M27" i="17" s="1"/>
  <c r="N27" i="17" s="1"/>
  <c r="O27" i="17" s="1"/>
  <c r="L26" i="17"/>
  <c r="M26" i="17" s="1"/>
  <c r="N26" i="17" s="1"/>
  <c r="O26" i="17" s="1"/>
  <c r="L22" i="33"/>
  <c r="M22" i="33" s="1"/>
  <c r="N22" i="33" s="1"/>
  <c r="O22" i="33" s="1"/>
  <c r="K23" i="33"/>
  <c r="DK109" i="43" l="1"/>
  <c r="DS106" i="43"/>
  <c r="DR107" i="43"/>
  <c r="DP108" i="43"/>
  <c r="DQ108" i="43" s="1"/>
  <c r="DT108" i="43" s="1"/>
  <c r="DU108" i="43" s="1"/>
  <c r="DM108" i="43"/>
  <c r="DN108" i="43" s="1"/>
  <c r="DO109" i="43"/>
  <c r="DG110" i="43"/>
  <c r="DI707" i="43"/>
  <c r="DO707" i="43"/>
  <c r="DP706" i="43"/>
  <c r="DK707" i="43"/>
  <c r="L57" i="17"/>
  <c r="M57" i="17" s="1"/>
  <c r="N57" i="17" s="1"/>
  <c r="O57" i="17" s="1"/>
  <c r="K58" i="17"/>
  <c r="L58" i="17" s="1"/>
  <c r="M58" i="17" s="1"/>
  <c r="N58" i="17" s="1"/>
  <c r="O58" i="17" s="1"/>
  <c r="K27" i="16"/>
  <c r="L27" i="16" s="1"/>
  <c r="M27" i="16" s="1"/>
  <c r="N27" i="16" s="1"/>
  <c r="O27" i="16" s="1"/>
  <c r="L26" i="16"/>
  <c r="M26" i="16" s="1"/>
  <c r="N26" i="16" s="1"/>
  <c r="O26" i="16" s="1"/>
  <c r="O1" i="17"/>
  <c r="P1" i="17" s="1"/>
  <c r="P2" i="17" s="1"/>
  <c r="P3" i="17" s="1"/>
  <c r="P4" i="17" s="1"/>
  <c r="P5" i="17" s="1"/>
  <c r="P6" i="17" s="1"/>
  <c r="P7" i="17" s="1"/>
  <c r="P8" i="17" s="1"/>
  <c r="P9" i="17" s="1"/>
  <c r="P10" i="17" s="1"/>
  <c r="P11" i="17" s="1"/>
  <c r="P12" i="17" s="1"/>
  <c r="P13" i="17" s="1"/>
  <c r="P14" i="17" s="1"/>
  <c r="P15" i="17" s="1"/>
  <c r="P16" i="17" s="1"/>
  <c r="P17" i="17" s="1"/>
  <c r="P18" i="17" s="1"/>
  <c r="L23" i="33"/>
  <c r="M23" i="33" s="1"/>
  <c r="N23" i="33" s="1"/>
  <c r="O23" i="33" s="1"/>
  <c r="K24" i="33"/>
  <c r="DM109" i="43" l="1"/>
  <c r="DN109" i="43" s="1"/>
  <c r="DH110" i="43"/>
  <c r="DO110" i="43"/>
  <c r="DR108" i="43"/>
  <c r="DS107" i="43"/>
  <c r="DK110" i="43"/>
  <c r="DP109" i="43"/>
  <c r="DQ109" i="43" s="1"/>
  <c r="DT109" i="43" s="1"/>
  <c r="DU109" i="43" s="1"/>
  <c r="DG111" i="43"/>
  <c r="DI708" i="43"/>
  <c r="DO708" i="43"/>
  <c r="DP707" i="43"/>
  <c r="DK708" i="43"/>
  <c r="O32" i="17"/>
  <c r="P32" i="17" s="1"/>
  <c r="Q18" i="17"/>
  <c r="R18" i="17" s="1"/>
  <c r="P19" i="17"/>
  <c r="O1" i="16"/>
  <c r="P1" i="16" s="1"/>
  <c r="P2" i="16" s="1"/>
  <c r="P3" i="16" s="1"/>
  <c r="P4" i="16" s="1"/>
  <c r="P5" i="16" s="1"/>
  <c r="P6" i="16" s="1"/>
  <c r="P7" i="16" s="1"/>
  <c r="P8" i="16" s="1"/>
  <c r="P9" i="16" s="1"/>
  <c r="P10" i="16" s="1"/>
  <c r="P11" i="16" s="1"/>
  <c r="P12" i="16" s="1"/>
  <c r="P13" i="16" s="1"/>
  <c r="P14" i="16" s="1"/>
  <c r="P15" i="16" s="1"/>
  <c r="P16" i="16" s="1"/>
  <c r="P17" i="16" s="1"/>
  <c r="Q2" i="17"/>
  <c r="R2" i="17" s="1"/>
  <c r="K25" i="33"/>
  <c r="L24" i="33"/>
  <c r="M24" i="33" s="1"/>
  <c r="N24" i="33" s="1"/>
  <c r="O24" i="33" s="1"/>
  <c r="DH111" i="43" l="1"/>
  <c r="DO111" i="43"/>
  <c r="DK111" i="43"/>
  <c r="DR109" i="43"/>
  <c r="DS108" i="43"/>
  <c r="DP110" i="43"/>
  <c r="DQ110" i="43" s="1"/>
  <c r="DT110" i="43" s="1"/>
  <c r="DU110" i="43" s="1"/>
  <c r="DM110" i="43"/>
  <c r="DN110" i="43" s="1"/>
  <c r="DG112" i="43"/>
  <c r="DH112" i="43" s="1"/>
  <c r="DI411" i="43"/>
  <c r="DI709" i="43"/>
  <c r="DO709" i="43"/>
  <c r="DK709" i="43"/>
  <c r="DP708" i="43"/>
  <c r="Q33" i="17"/>
  <c r="R33" i="17" s="1"/>
  <c r="Q34" i="17"/>
  <c r="R34" i="17" s="1"/>
  <c r="P35" i="17"/>
  <c r="Q19" i="17"/>
  <c r="R19" i="17" s="1"/>
  <c r="P20" i="17"/>
  <c r="Q2" i="16"/>
  <c r="R2" i="16" s="1"/>
  <c r="Q3" i="17"/>
  <c r="R3" i="17" s="1"/>
  <c r="L25" i="33"/>
  <c r="M25" i="33" s="1"/>
  <c r="N25" i="33" s="1"/>
  <c r="O25" i="33" s="1"/>
  <c r="K26" i="33"/>
  <c r="DS109" i="43" l="1"/>
  <c r="DR110" i="43"/>
  <c r="DK112" i="43"/>
  <c r="DP111" i="43"/>
  <c r="DQ111" i="43" s="1"/>
  <c r="DT111" i="43" s="1"/>
  <c r="DU111" i="43" s="1"/>
  <c r="DM111" i="43"/>
  <c r="DN111" i="43" s="1"/>
  <c r="DO112" i="43"/>
  <c r="DG113" i="43"/>
  <c r="DO113" i="43" s="1"/>
  <c r="DP113" i="43" s="1"/>
  <c r="DI412" i="43"/>
  <c r="DI710" i="43"/>
  <c r="DO710" i="43"/>
  <c r="DK710" i="43"/>
  <c r="DP709" i="43"/>
  <c r="Q35" i="17"/>
  <c r="R35" i="17" s="1"/>
  <c r="P36" i="17"/>
  <c r="Q20" i="17"/>
  <c r="R20" i="17" s="1"/>
  <c r="P21" i="17"/>
  <c r="Q3" i="16"/>
  <c r="R3" i="16" s="1"/>
  <c r="Q4" i="17"/>
  <c r="R4" i="17" s="1"/>
  <c r="L26" i="33"/>
  <c r="M26" i="33" s="1"/>
  <c r="N26" i="33" s="1"/>
  <c r="O26" i="33" s="1"/>
  <c r="K27" i="33"/>
  <c r="L27" i="33" s="1"/>
  <c r="M27" i="33" s="1"/>
  <c r="N27" i="33" s="1"/>
  <c r="O27" i="33" s="1"/>
  <c r="DM112" i="43" l="1"/>
  <c r="DN112" i="43" s="1"/>
  <c r="DK113" i="43"/>
  <c r="DS110" i="43"/>
  <c r="DR111" i="43"/>
  <c r="DM113" i="43"/>
  <c r="DN113" i="43" s="1"/>
  <c r="DH113" i="43"/>
  <c r="DG114" i="43"/>
  <c r="DH114" i="43" s="1"/>
  <c r="DQ113" i="43"/>
  <c r="DP112" i="43"/>
  <c r="DQ112" i="43" s="1"/>
  <c r="DT112" i="43" s="1"/>
  <c r="DU112" i="43" s="1"/>
  <c r="DI711" i="43"/>
  <c r="DO711" i="43"/>
  <c r="DK711" i="43"/>
  <c r="DP710" i="43"/>
  <c r="Q36" i="17"/>
  <c r="R36" i="17" s="1"/>
  <c r="P37" i="17"/>
  <c r="Q21" i="17"/>
  <c r="R21" i="17" s="1"/>
  <c r="P22" i="17"/>
  <c r="Q4" i="16"/>
  <c r="R4" i="16" s="1"/>
  <c r="Q5" i="17"/>
  <c r="R5" i="17" s="1"/>
  <c r="O1" i="33"/>
  <c r="P1" i="33" s="1"/>
  <c r="P2" i="33" s="1"/>
  <c r="P3" i="33" s="1"/>
  <c r="P4" i="33" s="1"/>
  <c r="P5" i="33" s="1"/>
  <c r="P6" i="33" s="1"/>
  <c r="P7" i="33" s="1"/>
  <c r="P8" i="33" s="1"/>
  <c r="P9" i="33" s="1"/>
  <c r="P10" i="33" s="1"/>
  <c r="P11" i="33" s="1"/>
  <c r="P12" i="33" s="1"/>
  <c r="P13" i="33" s="1"/>
  <c r="P14" i="33" s="1"/>
  <c r="P15" i="33" s="1"/>
  <c r="P16" i="33" s="1"/>
  <c r="P17" i="33" s="1"/>
  <c r="DT113" i="43" l="1"/>
  <c r="DU113" i="43" s="1"/>
  <c r="DR112" i="43"/>
  <c r="DS111" i="43"/>
  <c r="DK114" i="43"/>
  <c r="DO114" i="43"/>
  <c r="DM114" i="43" s="1"/>
  <c r="DN114" i="43" s="1"/>
  <c r="DG115" i="43"/>
  <c r="DO115" i="43" s="1"/>
  <c r="DP115" i="43" s="1"/>
  <c r="DI712" i="43"/>
  <c r="DO712" i="43"/>
  <c r="DK712" i="43"/>
  <c r="DP711" i="43"/>
  <c r="Q37" i="17"/>
  <c r="R37" i="17" s="1"/>
  <c r="P38" i="17"/>
  <c r="Q22" i="17"/>
  <c r="R22" i="17" s="1"/>
  <c r="P23" i="17"/>
  <c r="Q23" i="17" s="1"/>
  <c r="R23" i="17" s="1"/>
  <c r="Q5" i="16"/>
  <c r="R5" i="16" s="1"/>
  <c r="Q6" i="17"/>
  <c r="R6" i="17" s="1"/>
  <c r="Q2" i="33"/>
  <c r="R2" i="33" s="1"/>
  <c r="Q3" i="33"/>
  <c r="R3" i="33" s="1"/>
  <c r="DK115" i="43" l="1"/>
  <c r="DM115" i="43"/>
  <c r="DS112" i="43"/>
  <c r="DR113" i="43"/>
  <c r="DH115" i="43"/>
  <c r="DG116" i="43"/>
  <c r="DH116" i="43" s="1"/>
  <c r="DQ115" i="43"/>
  <c r="DP114" i="43"/>
  <c r="DQ114" i="43" s="1"/>
  <c r="DT114" i="43" s="1"/>
  <c r="DU114" i="43" s="1"/>
  <c r="DI713" i="43"/>
  <c r="DO713" i="43"/>
  <c r="DK713" i="43"/>
  <c r="DP712" i="43"/>
  <c r="DN115" i="43"/>
  <c r="Q38" i="17"/>
  <c r="R38" i="17" s="1"/>
  <c r="P39" i="17"/>
  <c r="Q6" i="16"/>
  <c r="R6" i="16" s="1"/>
  <c r="Q7" i="17"/>
  <c r="R7" i="17" s="1"/>
  <c r="Q4" i="33"/>
  <c r="R4" i="33" s="1"/>
  <c r="DR114" i="43" l="1"/>
  <c r="DS113" i="43"/>
  <c r="DT115" i="43"/>
  <c r="DU115" i="43" s="1"/>
  <c r="DK116" i="43"/>
  <c r="DO116" i="43"/>
  <c r="DM116" i="43" s="1"/>
  <c r="DN116" i="43" s="1"/>
  <c r="DG117" i="43"/>
  <c r="DO117" i="43" s="1"/>
  <c r="DP117" i="43" s="1"/>
  <c r="DI416" i="43"/>
  <c r="DI714" i="43"/>
  <c r="DO714" i="43"/>
  <c r="DP713" i="43"/>
  <c r="DK714" i="43"/>
  <c r="Q39" i="17"/>
  <c r="R39" i="17" s="1"/>
  <c r="P40" i="17"/>
  <c r="Q7" i="16"/>
  <c r="R7" i="16" s="1"/>
  <c r="Q8" i="17"/>
  <c r="R8" i="17" s="1"/>
  <c r="Q5" i="33"/>
  <c r="R5" i="33" s="1"/>
  <c r="DM117" i="43" l="1"/>
  <c r="DN117" i="43" s="1"/>
  <c r="DK117" i="43"/>
  <c r="DR115" i="43"/>
  <c r="DS114" i="43"/>
  <c r="DH117" i="43"/>
  <c r="DG118" i="43"/>
  <c r="DO118" i="43" s="1"/>
  <c r="DP118" i="43" s="1"/>
  <c r="DQ117" i="43"/>
  <c r="DP116" i="43"/>
  <c r="DQ116" i="43" s="1"/>
  <c r="DT116" i="43" s="1"/>
  <c r="DU116" i="43" s="1"/>
  <c r="DI715" i="43"/>
  <c r="DO715" i="43"/>
  <c r="DK715" i="43"/>
  <c r="DP714" i="43"/>
  <c r="Q40" i="17"/>
  <c r="R40" i="17" s="1"/>
  <c r="P41" i="17"/>
  <c r="Q8" i="16"/>
  <c r="R8" i="16" s="1"/>
  <c r="Q9" i="17"/>
  <c r="R9" i="17" s="1"/>
  <c r="Q6" i="33"/>
  <c r="R6" i="33" s="1"/>
  <c r="DM118" i="43" l="1"/>
  <c r="DT117" i="43"/>
  <c r="DU117" i="43" s="1"/>
  <c r="DR116" i="43"/>
  <c r="DS115" i="43"/>
  <c r="DK118" i="43"/>
  <c r="DH118" i="43"/>
  <c r="DG119" i="43"/>
  <c r="DH119" i="43" s="1"/>
  <c r="DQ118" i="43"/>
  <c r="DT118" i="43" s="1"/>
  <c r="DU118" i="43" s="1"/>
  <c r="DI716" i="43"/>
  <c r="DO716" i="43"/>
  <c r="DP715" i="43"/>
  <c r="DK716" i="43"/>
  <c r="DN118" i="43"/>
  <c r="Q41" i="17"/>
  <c r="R41" i="17" s="1"/>
  <c r="P42" i="17"/>
  <c r="Q9" i="16"/>
  <c r="R9" i="16" s="1"/>
  <c r="Q10" i="17"/>
  <c r="R10" i="17" s="1"/>
  <c r="Q7" i="33"/>
  <c r="R7" i="33" s="1"/>
  <c r="DK119" i="43" l="1"/>
  <c r="DS116" i="43"/>
  <c r="DR117" i="43"/>
  <c r="DO119" i="43"/>
  <c r="DM119" i="43" s="1"/>
  <c r="DN119" i="43" s="1"/>
  <c r="DG120" i="43"/>
  <c r="DH120" i="43" s="1"/>
  <c r="DK717" i="43"/>
  <c r="DI717" i="43"/>
  <c r="DO717" i="43"/>
  <c r="DP716" i="43"/>
  <c r="Q42" i="17"/>
  <c r="R42" i="17" s="1"/>
  <c r="P43" i="17"/>
  <c r="Q10" i="16"/>
  <c r="R10" i="16" s="1"/>
  <c r="Q11" i="17"/>
  <c r="R11" i="17" s="1"/>
  <c r="Q8" i="33"/>
  <c r="R8" i="33" s="1"/>
  <c r="DS117" i="43" l="1"/>
  <c r="DR118" i="43"/>
  <c r="DK120" i="43"/>
  <c r="DO120" i="43"/>
  <c r="DG121" i="43"/>
  <c r="DP119" i="43"/>
  <c r="DQ119" i="43" s="1"/>
  <c r="DT119" i="43" s="1"/>
  <c r="DU119" i="43" s="1"/>
  <c r="DI420" i="43"/>
  <c r="DI718" i="43"/>
  <c r="DO718" i="43"/>
  <c r="DP717" i="43"/>
  <c r="DK718" i="43"/>
  <c r="Q43" i="17"/>
  <c r="R43" i="17" s="1"/>
  <c r="P44" i="17"/>
  <c r="Q11" i="16"/>
  <c r="R11" i="16" s="1"/>
  <c r="Q12" i="17"/>
  <c r="R12" i="17" s="1"/>
  <c r="Q9" i="33"/>
  <c r="R9" i="33" s="1"/>
  <c r="DH121" i="43" l="1"/>
  <c r="DO121" i="43"/>
  <c r="DP120" i="43"/>
  <c r="DQ120" i="43" s="1"/>
  <c r="DT120" i="43" s="1"/>
  <c r="DU120" i="43" s="1"/>
  <c r="DM120" i="43"/>
  <c r="DN120" i="43" s="1"/>
  <c r="DK121" i="43"/>
  <c r="DS118" i="43"/>
  <c r="DR119" i="43"/>
  <c r="DG122" i="43"/>
  <c r="DH122" i="43" s="1"/>
  <c r="DK719" i="43"/>
  <c r="DI719" i="43"/>
  <c r="DO719" i="43"/>
  <c r="DP718" i="43"/>
  <c r="P45" i="17"/>
  <c r="Q44" i="17"/>
  <c r="R44" i="17" s="1"/>
  <c r="Q12" i="16"/>
  <c r="R12" i="16" s="1"/>
  <c r="Q13" i="17"/>
  <c r="R13" i="17" s="1"/>
  <c r="Q10" i="33"/>
  <c r="R10" i="33" s="1"/>
  <c r="DK122" i="43" l="1"/>
  <c r="DR120" i="43"/>
  <c r="DS119" i="43"/>
  <c r="DP121" i="43"/>
  <c r="DQ121" i="43" s="1"/>
  <c r="DT121" i="43" s="1"/>
  <c r="DU121" i="43" s="1"/>
  <c r="DM121" i="43"/>
  <c r="DN121" i="43" s="1"/>
  <c r="DO122" i="43"/>
  <c r="DM122" i="43" s="1"/>
  <c r="DN122" i="43" s="1"/>
  <c r="DG123" i="43"/>
  <c r="DO123" i="43" s="1"/>
  <c r="DP123" i="43" s="1"/>
  <c r="DI720" i="43"/>
  <c r="DO720" i="43"/>
  <c r="DP719" i="43"/>
  <c r="DK720" i="43"/>
  <c r="Q45" i="17"/>
  <c r="R45" i="17" s="1"/>
  <c r="P46" i="17"/>
  <c r="Q13" i="16"/>
  <c r="R13" i="16" s="1"/>
  <c r="S13" i="16" s="1"/>
  <c r="Q14" i="17"/>
  <c r="R14" i="17" s="1"/>
  <c r="Q11" i="33"/>
  <c r="R11" i="33" s="1"/>
  <c r="DM123" i="43" l="1"/>
  <c r="DS120" i="43"/>
  <c r="DR121" i="43"/>
  <c r="DK123" i="43"/>
  <c r="DH123" i="43"/>
  <c r="DG124" i="43"/>
  <c r="DO124" i="43" s="1"/>
  <c r="DP124" i="43" s="1"/>
  <c r="DQ123" i="43"/>
  <c r="DP122" i="43"/>
  <c r="DQ122" i="43" s="1"/>
  <c r="DT122" i="43" s="1"/>
  <c r="DU122" i="43" s="1"/>
  <c r="DP720" i="43"/>
  <c r="DI721" i="43"/>
  <c r="DO721" i="43"/>
  <c r="DK721" i="43"/>
  <c r="DN123" i="43"/>
  <c r="P47" i="17"/>
  <c r="Q46" i="17"/>
  <c r="R46" i="17" s="1"/>
  <c r="Q14" i="16"/>
  <c r="R14" i="16" s="1"/>
  <c r="S14" i="16" s="1"/>
  <c r="Q15" i="17"/>
  <c r="R15" i="17" s="1"/>
  <c r="Q12" i="33"/>
  <c r="R12" i="33" s="1"/>
  <c r="DK124" i="43" l="1"/>
  <c r="DT123" i="43"/>
  <c r="DU123" i="43" s="1"/>
  <c r="DS121" i="43"/>
  <c r="DR122" i="43"/>
  <c r="DM124" i="43"/>
  <c r="DN124" i="43" s="1"/>
  <c r="DH124" i="43"/>
  <c r="DG125" i="43"/>
  <c r="DQ124" i="43"/>
  <c r="DI424" i="43"/>
  <c r="DI722" i="43"/>
  <c r="DO722" i="43"/>
  <c r="DK722" i="43"/>
  <c r="DP721" i="43"/>
  <c r="P48" i="17"/>
  <c r="Q48" i="17" s="1"/>
  <c r="R48" i="17" s="1"/>
  <c r="Q47" i="17"/>
  <c r="R47" i="17" s="1"/>
  <c r="Q15" i="16"/>
  <c r="R15" i="16" s="1"/>
  <c r="S15" i="16" s="1"/>
  <c r="Q16" i="17"/>
  <c r="R16" i="17" s="1"/>
  <c r="Q17" i="17"/>
  <c r="R17" i="17" s="1"/>
  <c r="Q13" i="33"/>
  <c r="R13" i="33" s="1"/>
  <c r="DH125" i="43" l="1"/>
  <c r="DO125" i="43"/>
  <c r="DS122" i="43"/>
  <c r="DR123" i="43"/>
  <c r="DT124" i="43"/>
  <c r="DU124" i="43" s="1"/>
  <c r="DK125" i="43"/>
  <c r="DG126" i="43"/>
  <c r="DO126" i="43" s="1"/>
  <c r="DP126" i="43" s="1"/>
  <c r="DI723" i="43"/>
  <c r="DO723" i="43"/>
  <c r="DK723" i="43"/>
  <c r="DP722" i="43"/>
  <c r="R32" i="17"/>
  <c r="Q17" i="16"/>
  <c r="R17" i="16" s="1"/>
  <c r="S17" i="16" s="1"/>
  <c r="Q16" i="16"/>
  <c r="R16" i="16" s="1"/>
  <c r="S16" i="16" s="1"/>
  <c r="R1" i="17"/>
  <c r="Q14" i="33"/>
  <c r="R14" i="33" s="1"/>
  <c r="DK126" i="43" l="1"/>
  <c r="DP125" i="43"/>
  <c r="DQ125" i="43" s="1"/>
  <c r="DT125" i="43" s="1"/>
  <c r="DU125" i="43" s="1"/>
  <c r="DM125" i="43"/>
  <c r="DN125" i="43" s="1"/>
  <c r="DS123" i="43"/>
  <c r="DR124" i="43"/>
  <c r="DH126" i="43"/>
  <c r="DG127" i="43"/>
  <c r="DH127" i="43" s="1"/>
  <c r="DQ126" i="43"/>
  <c r="DI426" i="43"/>
  <c r="DK724" i="43"/>
  <c r="DP723" i="43"/>
  <c r="DI724" i="43"/>
  <c r="DO724" i="43"/>
  <c r="R1" i="16"/>
  <c r="Q15" i="33"/>
  <c r="R15" i="33" s="1"/>
  <c r="DK127" i="43" l="1"/>
  <c r="DR125" i="43"/>
  <c r="DS124" i="43"/>
  <c r="DT126" i="43"/>
  <c r="DU126" i="43" s="1"/>
  <c r="DM126" i="43"/>
  <c r="DN126" i="43" s="1"/>
  <c r="DO127" i="43"/>
  <c r="DG128" i="43"/>
  <c r="DO128" i="43" s="1"/>
  <c r="DP128" i="43" s="1"/>
  <c r="DI427" i="43"/>
  <c r="DI725" i="43"/>
  <c r="DO725" i="43"/>
  <c r="DP724" i="43"/>
  <c r="DK725" i="43"/>
  <c r="Q16" i="33"/>
  <c r="R16" i="33" s="1"/>
  <c r="Q17" i="33"/>
  <c r="R17" i="33" s="1"/>
  <c r="DM127" i="43" l="1"/>
  <c r="DN127" i="43" s="1"/>
  <c r="DK128" i="43"/>
  <c r="DR126" i="43"/>
  <c r="DS125" i="43"/>
  <c r="DH128" i="43"/>
  <c r="DG129" i="43"/>
  <c r="DO129" i="43" s="1"/>
  <c r="DP129" i="43" s="1"/>
  <c r="DQ128" i="43"/>
  <c r="DP127" i="43"/>
  <c r="DQ127" i="43" s="1"/>
  <c r="DT127" i="43" s="1"/>
  <c r="DU127" i="43" s="1"/>
  <c r="DI428" i="43"/>
  <c r="DK726" i="43"/>
  <c r="DI726" i="43"/>
  <c r="DO726" i="43"/>
  <c r="DP725" i="43"/>
  <c r="R1" i="33"/>
  <c r="DM128" i="43" l="1"/>
  <c r="DN128" i="43" s="1"/>
  <c r="DT128" i="43"/>
  <c r="DU128" i="43" s="1"/>
  <c r="DS126" i="43"/>
  <c r="DR127" i="43"/>
  <c r="DK129" i="43"/>
  <c r="DM129" i="43"/>
  <c r="DN129" i="43" s="1"/>
  <c r="DH129" i="43"/>
  <c r="DG130" i="43"/>
  <c r="DO130" i="43" s="1"/>
  <c r="DP130" i="43" s="1"/>
  <c r="DQ129" i="43"/>
  <c r="DI429" i="43"/>
  <c r="DI727" i="43"/>
  <c r="DO727" i="43"/>
  <c r="DP726" i="43"/>
  <c r="DK727" i="43"/>
  <c r="AF83" i="16"/>
  <c r="AG83" i="16"/>
  <c r="AH83" i="16"/>
  <c r="DT129" i="43" l="1"/>
  <c r="DU129" i="43" s="1"/>
  <c r="DK130" i="43"/>
  <c r="DR128" i="43"/>
  <c r="DS127" i="43"/>
  <c r="DM130" i="43"/>
  <c r="DN130" i="43" s="1"/>
  <c r="DH130" i="43"/>
  <c r="DG131" i="43"/>
  <c r="DO131" i="43" s="1"/>
  <c r="DP131" i="43" s="1"/>
  <c r="DQ130" i="43"/>
  <c r="DT130" i="43" s="1"/>
  <c r="DU130" i="43" s="1"/>
  <c r="DK728" i="43"/>
  <c r="DI728" i="43"/>
  <c r="DO728" i="43"/>
  <c r="DP727" i="43"/>
  <c r="U83" i="16"/>
  <c r="X83" i="16"/>
  <c r="AA83" i="16"/>
  <c r="BO21" i="16"/>
  <c r="DS128" i="43" l="1"/>
  <c r="DR129" i="43"/>
  <c r="DM131" i="43"/>
  <c r="DK131" i="43"/>
  <c r="DH131" i="43"/>
  <c r="DG132" i="43"/>
  <c r="DH132" i="43" s="1"/>
  <c r="DQ131" i="43"/>
  <c r="DT131" i="43" s="1"/>
  <c r="DU131" i="43" s="1"/>
  <c r="DI431" i="43"/>
  <c r="DI729" i="43"/>
  <c r="DO729" i="43"/>
  <c r="DP728" i="43"/>
  <c r="DK729" i="43"/>
  <c r="DN131" i="43"/>
  <c r="AY171" i="19"/>
  <c r="AZ171" i="19"/>
  <c r="AI84" i="16"/>
  <c r="AF84" i="16"/>
  <c r="AG84" i="16"/>
  <c r="AH84" i="16"/>
  <c r="AJ1" i="19" l="1"/>
  <c r="DK132" i="43"/>
  <c r="DR130" i="43"/>
  <c r="DS129" i="43"/>
  <c r="DO132" i="43"/>
  <c r="DM132" i="43" s="1"/>
  <c r="DN132" i="43" s="1"/>
  <c r="DG133" i="43"/>
  <c r="DO133" i="43" s="1"/>
  <c r="DP133" i="43" s="1"/>
  <c r="DK730" i="43"/>
  <c r="DP729" i="43"/>
  <c r="DI730" i="43"/>
  <c r="DO730" i="43"/>
  <c r="AT21" i="17"/>
  <c r="W3" i="17" a="1"/>
  <c r="W3" i="17" s="1"/>
  <c r="AV25" i="17"/>
  <c r="AV20" i="17"/>
  <c r="AG1" i="19" l="1" a="1"/>
  <c r="AG1" i="19" s="1"/>
  <c r="BY7" i="19" s="1"/>
  <c r="CA11" i="19" s="1"/>
  <c r="BF96" i="19"/>
  <c r="BG96" i="19"/>
  <c r="BE96" i="19"/>
  <c r="BD96" i="19"/>
  <c r="DM133" i="43"/>
  <c r="DS130" i="43"/>
  <c r="DR131" i="43"/>
  <c r="DK133" i="43"/>
  <c r="DH133" i="43"/>
  <c r="DG134" i="43"/>
  <c r="DO134" i="43" s="1"/>
  <c r="DP134" i="43" s="1"/>
  <c r="DQ133" i="43"/>
  <c r="DP132" i="43"/>
  <c r="DQ132" i="43" s="1"/>
  <c r="DT132" i="43" s="1"/>
  <c r="DU132" i="43" s="1"/>
  <c r="DI433" i="43"/>
  <c r="DP730" i="43"/>
  <c r="DI731" i="43"/>
  <c r="DO731" i="43"/>
  <c r="DK731" i="43"/>
  <c r="DN133" i="43"/>
  <c r="CP22" i="17"/>
  <c r="BK20" i="16"/>
  <c r="AT36" i="16" s="1"/>
  <c r="AV36" i="16" s="1"/>
  <c r="AW35" i="16" s="1"/>
  <c r="AW34" i="16" s="1"/>
  <c r="BO16" i="19"/>
  <c r="AL4" i="17"/>
  <c r="AL3" i="17"/>
  <c r="AM80" i="17" s="1"/>
  <c r="AL80" i="17" s="1"/>
  <c r="AM3" i="17" s="1"/>
  <c r="EE30" i="17" s="1" a="1"/>
  <c r="EE30" i="17" s="1"/>
  <c r="AL2" i="17"/>
  <c r="AM63" i="17" s="1"/>
  <c r="AL63" i="17" s="1"/>
  <c r="AM2" i="17" s="1"/>
  <c r="EB39" i="17" s="1" a="1"/>
  <c r="EB39" i="17" s="1"/>
  <c r="CP57" i="17"/>
  <c r="CP56" i="17"/>
  <c r="CP55" i="17"/>
  <c r="CP54" i="17"/>
  <c r="CP53" i="17"/>
  <c r="CP52" i="17"/>
  <c r="CP51" i="17"/>
  <c r="CP50" i="17"/>
  <c r="CP49" i="17"/>
  <c r="CP48" i="17"/>
  <c r="CP47" i="17"/>
  <c r="CP46" i="17"/>
  <c r="CP45" i="17"/>
  <c r="CP44" i="17"/>
  <c r="CP43" i="17"/>
  <c r="CP42" i="17"/>
  <c r="CP41" i="17"/>
  <c r="CP40" i="17"/>
  <c r="AD3" i="17" a="1"/>
  <c r="AD3" i="17" s="1"/>
  <c r="AC3" i="17" a="1"/>
  <c r="AC3" i="17" s="1"/>
  <c r="Z3" i="17" a="1"/>
  <c r="Z3" i="17" s="1"/>
  <c r="CP39" i="17"/>
  <c r="CP38" i="17"/>
  <c r="CP37" i="17"/>
  <c r="CP36" i="17"/>
  <c r="CP35" i="17"/>
  <c r="CP34" i="17"/>
  <c r="CP33" i="17"/>
  <c r="CP32" i="17"/>
  <c r="CP31" i="17"/>
  <c r="CP30" i="17"/>
  <c r="CP29" i="17"/>
  <c r="AF23" i="17"/>
  <c r="CP28" i="17"/>
  <c r="CP27" i="17"/>
  <c r="CP26" i="17"/>
  <c r="CP25" i="17"/>
  <c r="DK23" i="17" a="1"/>
  <c r="DK23" i="17" s="1"/>
  <c r="BT103" i="16"/>
  <c r="BW102" i="16" s="1"/>
  <c r="AM35" i="16"/>
  <c r="AM34" i="16"/>
  <c r="AM33" i="16"/>
  <c r="AM32" i="16"/>
  <c r="AM31" i="16"/>
  <c r="X57" i="16"/>
  <c r="Y15" i="16"/>
  <c r="W57" i="16"/>
  <c r="AH1" i="16" s="1"/>
  <c r="AD57" i="16" s="1"/>
  <c r="AC57" i="16" s="1"/>
  <c r="AI1" i="16" s="1"/>
  <c r="CN24" i="16" s="1" a="1"/>
  <c r="CN24" i="16" s="1"/>
  <c r="AP26" i="16"/>
  <c r="AP25" i="16"/>
  <c r="AP24" i="16"/>
  <c r="AP21" i="16" s="1" a="1"/>
  <c r="AP21" i="16" s="1"/>
  <c r="AP23" i="16"/>
  <c r="BX11" i="19" l="1"/>
  <c r="BG95" i="19"/>
  <c r="BF95" i="19"/>
  <c r="DT133" i="43"/>
  <c r="DU133" i="43" s="1"/>
  <c r="DK134" i="43"/>
  <c r="DR132" i="43"/>
  <c r="DS131" i="43"/>
  <c r="DM134" i="43"/>
  <c r="DN134" i="43" s="1"/>
  <c r="CF10" i="16"/>
  <c r="G38" i="16"/>
  <c r="DH134" i="43"/>
  <c r="DG135" i="43"/>
  <c r="DO135" i="43" s="1"/>
  <c r="DP135" i="43" s="1"/>
  <c r="DQ134" i="43"/>
  <c r="DT134" i="43" s="1"/>
  <c r="DU134" i="43" s="1"/>
  <c r="DI434" i="43"/>
  <c r="DK732" i="43"/>
  <c r="DI732" i="43"/>
  <c r="DO732" i="43"/>
  <c r="DP731" i="43"/>
  <c r="CP23" i="17" a="1"/>
  <c r="CP23" i="17" s="1"/>
  <c r="AN20" i="16"/>
  <c r="Y63" i="16" s="1"/>
  <c r="Y59" i="16" s="1"/>
  <c r="Y57" i="16" s="1" a="1"/>
  <c r="Y57" i="16" s="1"/>
  <c r="AU19" i="16"/>
  <c r="AE30" i="16" s="1" a="1"/>
  <c r="AE30" i="16" s="1"/>
  <c r="AG21" i="16" s="1"/>
  <c r="AM82" i="17"/>
  <c r="AL82" i="17" s="1"/>
  <c r="AM4" i="17" s="1"/>
  <c r="EB30" i="17" s="1" a="1"/>
  <c r="EB30" i="17" s="1"/>
  <c r="AX35" i="16"/>
  <c r="AY20" i="16" s="1"/>
  <c r="BB20" i="16" s="1"/>
  <c r="X3" i="17" a="1"/>
  <c r="X3" i="17" s="1"/>
  <c r="AB3" i="17" a="1"/>
  <c r="AB3" i="17" s="1"/>
  <c r="Y3" i="17" a="1"/>
  <c r="Y3" i="17" s="1"/>
  <c r="AA3" i="17" a="1"/>
  <c r="AA3" i="17" s="1"/>
  <c r="F3" i="23"/>
  <c r="G3" i="23"/>
  <c r="AL1" i="17"/>
  <c r="AJ33" i="17" s="1"/>
  <c r="AI33" i="17" s="1"/>
  <c r="AM1" i="17" s="1"/>
  <c r="EB13" i="17" s="1" a="1"/>
  <c r="EB13" i="17" s="1"/>
  <c r="AC15" i="16"/>
  <c r="AJ15" i="16" s="1"/>
  <c r="AI83" i="16" s="1"/>
  <c r="AD83" i="16" s="1"/>
  <c r="AA15" i="16"/>
  <c r="W15" i="16"/>
  <c r="V15" i="16"/>
  <c r="U15" i="16"/>
  <c r="AA57" i="16" a="1"/>
  <c r="AA57" i="16" s="1"/>
  <c r="AB15" i="16"/>
  <c r="Z15" i="16"/>
  <c r="BH14" i="19"/>
  <c r="G2" i="21"/>
  <c r="F2" i="21"/>
  <c r="E2" i="21"/>
  <c r="D2" i="21"/>
  <c r="AY14" i="19"/>
  <c r="BQ21" i="17"/>
  <c r="BR22" i="17" s="1"/>
  <c r="EB5" i="17" s="1"/>
  <c r="F76" i="17" s="1"/>
  <c r="AV21" i="17"/>
  <c r="DK22" i="17"/>
  <c r="DW11" i="17" s="1"/>
  <c r="B53" i="40" a="1"/>
  <c r="C29" i="40" a="1"/>
  <c r="AE53" i="19" l="1"/>
  <c r="AE65" i="19" s="1"/>
  <c r="AE77" i="19" s="1"/>
  <c r="BE95" i="19"/>
  <c r="BD95" i="19"/>
  <c r="DM135" i="43"/>
  <c r="DS132" i="43"/>
  <c r="DR133" i="43"/>
  <c r="DK135" i="43"/>
  <c r="EL17" i="17"/>
  <c r="G86" i="17"/>
  <c r="B53" i="40"/>
  <c r="C29" i="40"/>
  <c r="DH135" i="43"/>
  <c r="DG136" i="43"/>
  <c r="DQ135" i="43"/>
  <c r="DT135" i="43" s="1"/>
  <c r="DU135" i="43" s="1"/>
  <c r="DI733" i="43"/>
  <c r="DO733" i="43"/>
  <c r="DP732" i="43"/>
  <c r="DK733" i="43"/>
  <c r="DN135" i="43"/>
  <c r="B2" i="21" a="1"/>
  <c r="B2" i="21" s="1"/>
  <c r="CH2" i="19" s="1"/>
  <c r="J17" i="19"/>
  <c r="D1" i="19"/>
  <c r="BR27" i="17"/>
  <c r="E2" i="23"/>
  <c r="CB2" i="19" s="1"/>
  <c r="AF1" i="16"/>
  <c r="AG57" i="16" s="1"/>
  <c r="AF57" i="16" s="1"/>
  <c r="AG1" i="16" s="1"/>
  <c r="CN7" i="16" s="1" a="1"/>
  <c r="CN7" i="16" s="1"/>
  <c r="AE16" i="16" a="1"/>
  <c r="AE16" i="16" s="1"/>
  <c r="AG16" i="16" s="1"/>
  <c r="AE19" i="16" a="1"/>
  <c r="AE19" i="16" s="1"/>
  <c r="AH16" i="16" s="1"/>
  <c r="AQ24" i="16" a="1"/>
  <c r="AQ24" i="16" s="1"/>
  <c r="AS25" i="16" s="1"/>
  <c r="AE38" i="16" a="1"/>
  <c r="AE38" i="16" s="1"/>
  <c r="AF11" i="16" a="1"/>
  <c r="AF11" i="16" s="1"/>
  <c r="AH11" i="16" s="1"/>
  <c r="AE17" i="16" a="1"/>
  <c r="AE17" i="16" s="1"/>
  <c r="AG17" i="16" s="1"/>
  <c r="AE50" i="16" a="1"/>
  <c r="AE50" i="16" s="1"/>
  <c r="AJ23" i="16" s="1"/>
  <c r="AE23" i="16" a="1"/>
  <c r="AE23" i="16" s="1"/>
  <c r="AI17" i="16" s="1"/>
  <c r="AE24" i="16" a="1"/>
  <c r="AE24" i="16" s="1"/>
  <c r="AI18" i="16" s="1"/>
  <c r="AQ23" i="16" a="1"/>
  <c r="AQ23" i="16" s="1"/>
  <c r="CB26" i="16" s="1"/>
  <c r="AE40" i="16" a="1"/>
  <c r="AE40" i="16" s="1"/>
  <c r="AG22" i="16" s="1"/>
  <c r="AE43" i="16" a="1"/>
  <c r="AE43" i="16" s="1"/>
  <c r="AH22" i="16" s="1"/>
  <c r="AE45" i="16" a="1"/>
  <c r="AE45" i="16" s="1"/>
  <c r="AH24" i="16" s="1"/>
  <c r="AE46" i="16" a="1"/>
  <c r="AE46" i="16" s="1"/>
  <c r="AI22" i="16" s="1"/>
  <c r="AE4" i="16" a="1"/>
  <c r="AE4" i="16" s="1"/>
  <c r="AQ26" i="16" a="1"/>
  <c r="AQ26" i="16" s="1"/>
  <c r="AE18" i="16" a="1"/>
  <c r="AE18" i="16" s="1"/>
  <c r="AG18" i="16" s="1"/>
  <c r="AE25" i="16" a="1"/>
  <c r="AE25" i="16" s="1"/>
  <c r="AJ16" i="16" s="1"/>
  <c r="AE6" i="16" a="1"/>
  <c r="AE6" i="16" s="1"/>
  <c r="AE31" i="16" a="1"/>
  <c r="AE31" i="16" s="1"/>
  <c r="AE33" i="16" a="1"/>
  <c r="AE33" i="16" s="1"/>
  <c r="AH21" i="16" s="1"/>
  <c r="AE32" i="16" a="1"/>
  <c r="AE32" i="16" s="1"/>
  <c r="AE35" i="16" a="1"/>
  <c r="AE35" i="16" s="1"/>
  <c r="AE28" i="16" a="1"/>
  <c r="AE28" i="16" s="1"/>
  <c r="AE44" i="16" a="1"/>
  <c r="AE44" i="16" s="1"/>
  <c r="AH23" i="16" s="1"/>
  <c r="AE49" i="16" a="1"/>
  <c r="AE49" i="16" s="1"/>
  <c r="AJ22" i="16" s="1"/>
  <c r="AE34" i="16" a="1"/>
  <c r="AE34" i="16" s="1"/>
  <c r="AF12" i="16" a="1"/>
  <c r="AF12" i="16" s="1"/>
  <c r="AH10" i="16" s="1"/>
  <c r="AE29" i="16" a="1"/>
  <c r="AE29" i="16" s="1"/>
  <c r="AE27" i="16" a="1"/>
  <c r="AE27" i="16" s="1"/>
  <c r="AJ18" i="16" s="1"/>
  <c r="AE21" i="16" a="1"/>
  <c r="AE21" i="16" s="1"/>
  <c r="AH18" i="16" s="1"/>
  <c r="AE47" i="16" a="1"/>
  <c r="AE47" i="16" s="1"/>
  <c r="AI23" i="16" s="1"/>
  <c r="AE41" i="16" a="1"/>
  <c r="AE41" i="16" s="1"/>
  <c r="AG23" i="16" s="1"/>
  <c r="AE20" i="16" a="1"/>
  <c r="AE20" i="16" s="1"/>
  <c r="AH17" i="16" s="1"/>
  <c r="AF10" i="16" a="1"/>
  <c r="AF10" i="16" s="1"/>
  <c r="AH12" i="16" s="1"/>
  <c r="AE51" i="16" a="1"/>
  <c r="AE51" i="16" s="1"/>
  <c r="AJ24" i="16" s="1"/>
  <c r="AE39" i="16" a="1"/>
  <c r="AE39" i="16" s="1"/>
  <c r="AJ21" i="16" s="1"/>
  <c r="AE42" i="16" a="1"/>
  <c r="AE42" i="16" s="1"/>
  <c r="AG24" i="16" s="1"/>
  <c r="AE22" i="16" a="1"/>
  <c r="AE22" i="16" s="1"/>
  <c r="AI16" i="16" s="1"/>
  <c r="AE37" i="16" a="1"/>
  <c r="AE37" i="16" s="1"/>
  <c r="AE36" i="16" a="1"/>
  <c r="AE36" i="16" s="1"/>
  <c r="AI21" i="16" s="1"/>
  <c r="AE26" i="16" a="1"/>
  <c r="AE26" i="16" s="1"/>
  <c r="AJ17" i="16" s="1"/>
  <c r="AQ25" i="16" a="1"/>
  <c r="AQ25" i="16" s="1"/>
  <c r="AE48" i="16" a="1"/>
  <c r="AE48" i="16" s="1"/>
  <c r="AI24" i="16" s="1"/>
  <c r="E17" i="19"/>
  <c r="DP48" i="17"/>
  <c r="C63" i="40" a="1"/>
  <c r="BF94" i="19" l="1"/>
  <c r="BD94" i="19"/>
  <c r="BG94" i="19"/>
  <c r="BE94" i="19"/>
  <c r="DK136" i="43"/>
  <c r="DH136" i="43"/>
  <c r="DO136" i="43"/>
  <c r="DS133" i="43"/>
  <c r="DR134" i="43"/>
  <c r="C63" i="40"/>
  <c r="DG137" i="43"/>
  <c r="DO137" i="43" s="1"/>
  <c r="DP137" i="43" s="1"/>
  <c r="DI734" i="43"/>
  <c r="DO734" i="43"/>
  <c r="DK734" i="43"/>
  <c r="DP733" i="43"/>
  <c r="BU81" i="16"/>
  <c r="BU94" i="16"/>
  <c r="BU82" i="16"/>
  <c r="BU25" i="16"/>
  <c r="BU58" i="16"/>
  <c r="BU62" i="16"/>
  <c r="BU84" i="16"/>
  <c r="BU69" i="16"/>
  <c r="BU91" i="16"/>
  <c r="BU34" i="16"/>
  <c r="BU95" i="16"/>
  <c r="BU99" i="16"/>
  <c r="BU50" i="16"/>
  <c r="BU72" i="16"/>
  <c r="BU79" i="16"/>
  <c r="BU60" i="16"/>
  <c r="BU51" i="16"/>
  <c r="BU57" i="16"/>
  <c r="BU102" i="16"/>
  <c r="BU70" i="16"/>
  <c r="BU87" i="16"/>
  <c r="BU38" i="16"/>
  <c r="BU45" i="16"/>
  <c r="BU67" i="16"/>
  <c r="BU90" i="16"/>
  <c r="BU101" i="16"/>
  <c r="BU75" i="16"/>
  <c r="BU26" i="16"/>
  <c r="BU48" i="16"/>
  <c r="BU33" i="16"/>
  <c r="BU55" i="16"/>
  <c r="BU78" i="16"/>
  <c r="BU89" i="16"/>
  <c r="BU63" i="16"/>
  <c r="BU85" i="16"/>
  <c r="BU36" i="16"/>
  <c r="BU92" i="16"/>
  <c r="BU43" i="16"/>
  <c r="BU66" i="16"/>
  <c r="BU80" i="16"/>
  <c r="BU31" i="16"/>
  <c r="BU54" i="16"/>
  <c r="BU65" i="16"/>
  <c r="BU27" i="16"/>
  <c r="BU97" i="16"/>
  <c r="BU71" i="16"/>
  <c r="BU52" i="16"/>
  <c r="BU59" i="16"/>
  <c r="BU24" i="16"/>
  <c r="BU68" i="16"/>
  <c r="BU100" i="16"/>
  <c r="BU42" i="16"/>
  <c r="BU53" i="16"/>
  <c r="BU83" i="16"/>
  <c r="BU73" i="16"/>
  <c r="BU22" i="16"/>
  <c r="BU86" i="16"/>
  <c r="BU23" i="16"/>
  <c r="BU56" i="16"/>
  <c r="BU64" i="16"/>
  <c r="BU30" i="16"/>
  <c r="BU41" i="16"/>
  <c r="BU46" i="16"/>
  <c r="BU61" i="16"/>
  <c r="BU39" i="16"/>
  <c r="BU35" i="16"/>
  <c r="BU77" i="16"/>
  <c r="BU44" i="16"/>
  <c r="BU40" i="16"/>
  <c r="BU88" i="16"/>
  <c r="BU29" i="16"/>
  <c r="BU98" i="16"/>
  <c r="BU37" i="16"/>
  <c r="BU32" i="16"/>
  <c r="BU76" i="16"/>
  <c r="BU47" i="16"/>
  <c r="BU93" i="16"/>
  <c r="BU28" i="16"/>
  <c r="BU74" i="16"/>
  <c r="BU96" i="16"/>
  <c r="BU49" i="16"/>
  <c r="U57" i="16"/>
  <c r="BR26" i="17"/>
  <c r="BR23" i="17" s="1" a="1"/>
  <c r="BR23" i="17" s="1"/>
  <c r="V88" i="16"/>
  <c r="V94" i="16"/>
  <c r="V100" i="16"/>
  <c r="V116" i="16"/>
  <c r="V121" i="16"/>
  <c r="V131" i="16"/>
  <c r="V143" i="16"/>
  <c r="V155" i="16"/>
  <c r="V154" i="16"/>
  <c r="V103" i="16"/>
  <c r="V92" i="16"/>
  <c r="V95" i="16"/>
  <c r="V130" i="16"/>
  <c r="V142" i="16"/>
  <c r="V93" i="16"/>
  <c r="V101" i="16"/>
  <c r="V119" i="16"/>
  <c r="V135" i="16"/>
  <c r="V139" i="16"/>
  <c r="V105" i="16"/>
  <c r="V108" i="16"/>
  <c r="V126" i="16"/>
  <c r="V156" i="16"/>
  <c r="V160" i="16"/>
  <c r="V164" i="16"/>
  <c r="V85" i="16"/>
  <c r="V89" i="16"/>
  <c r="V122" i="16"/>
  <c r="V147" i="16"/>
  <c r="V151" i="16"/>
  <c r="V110" i="16"/>
  <c r="V125" i="16"/>
  <c r="V129" i="16"/>
  <c r="V159" i="16"/>
  <c r="V102" i="16"/>
  <c r="V146" i="16"/>
  <c r="V91" i="16"/>
  <c r="V107" i="16"/>
  <c r="V163" i="16"/>
  <c r="V115" i="16"/>
  <c r="V87" i="16"/>
  <c r="V113" i="16"/>
  <c r="V134" i="16"/>
  <c r="V138" i="16"/>
  <c r="V118" i="16"/>
  <c r="V98" i="16"/>
  <c r="V150" i="16"/>
  <c r="V96" i="16"/>
  <c r="V104" i="16"/>
  <c r="V133" i="16"/>
  <c r="V141" i="16"/>
  <c r="V128" i="16"/>
  <c r="V161" i="16"/>
  <c r="V120" i="16"/>
  <c r="V149" i="16"/>
  <c r="V117" i="16"/>
  <c r="V136" i="16"/>
  <c r="V97" i="16"/>
  <c r="V111" i="16"/>
  <c r="V114" i="16"/>
  <c r="V144" i="16"/>
  <c r="V157" i="16"/>
  <c r="V162" i="16"/>
  <c r="V137" i="16"/>
  <c r="V112" i="16"/>
  <c r="V124" i="16"/>
  <c r="V86" i="16"/>
  <c r="V106" i="16"/>
  <c r="V145" i="16"/>
  <c r="V153" i="16"/>
  <c r="V109" i="16"/>
  <c r="V158" i="16"/>
  <c r="V99" i="16"/>
  <c r="V165" i="16"/>
  <c r="V148" i="16"/>
  <c r="V123" i="16"/>
  <c r="V90" i="16"/>
  <c r="V127" i="16"/>
  <c r="V152" i="16"/>
  <c r="V140" i="16"/>
  <c r="V132" i="16"/>
  <c r="BR73" i="16"/>
  <c r="BR23" i="16"/>
  <c r="Y90" i="16"/>
  <c r="Y96" i="16"/>
  <c r="Y102" i="16"/>
  <c r="Y108" i="16"/>
  <c r="Y114" i="16"/>
  <c r="Y121" i="16"/>
  <c r="Y89" i="16"/>
  <c r="Y95" i="16"/>
  <c r="Y117" i="16"/>
  <c r="Y134" i="16"/>
  <c r="Y146" i="16"/>
  <c r="Y158" i="16"/>
  <c r="Y133" i="16"/>
  <c r="Y145" i="16"/>
  <c r="Y98" i="16"/>
  <c r="Y104" i="16"/>
  <c r="Y122" i="16"/>
  <c r="Y157" i="16"/>
  <c r="Y87" i="16"/>
  <c r="Y136" i="16"/>
  <c r="Y140" i="16"/>
  <c r="Y144" i="16"/>
  <c r="Y97" i="16"/>
  <c r="Y103" i="16"/>
  <c r="Y111" i="16"/>
  <c r="Y123" i="16"/>
  <c r="Y131" i="16"/>
  <c r="Y161" i="16"/>
  <c r="Y119" i="16"/>
  <c r="Y156" i="16"/>
  <c r="Y139" i="16"/>
  <c r="Y91" i="16"/>
  <c r="Y105" i="16"/>
  <c r="Y126" i="16"/>
  <c r="Y130" i="16"/>
  <c r="Y160" i="16"/>
  <c r="Y164" i="16"/>
  <c r="Y99" i="16"/>
  <c r="Y101" i="16"/>
  <c r="Y127" i="16"/>
  <c r="Y165" i="16"/>
  <c r="Y148" i="16"/>
  <c r="Y152" i="16"/>
  <c r="Y151" i="16"/>
  <c r="Y93" i="16"/>
  <c r="Y116" i="16"/>
  <c r="Y135" i="16"/>
  <c r="Y143" i="16"/>
  <c r="Y113" i="16"/>
  <c r="Y147" i="16"/>
  <c r="Y100" i="16"/>
  <c r="Y155" i="16"/>
  <c r="Y107" i="16"/>
  <c r="Y110" i="16"/>
  <c r="Y138" i="16"/>
  <c r="Y153" i="16"/>
  <c r="Y163" i="16"/>
  <c r="Y125" i="16"/>
  <c r="Y92" i="16"/>
  <c r="Y141" i="16"/>
  <c r="Y154" i="16"/>
  <c r="Y88" i="16"/>
  <c r="Y120" i="16"/>
  <c r="Y128" i="16"/>
  <c r="Y159" i="16"/>
  <c r="Y142" i="16"/>
  <c r="Y85" i="16"/>
  <c r="Y129" i="16"/>
  <c r="Y112" i="16"/>
  <c r="Y115" i="16"/>
  <c r="Y150" i="16"/>
  <c r="Y162" i="16"/>
  <c r="Y137" i="16"/>
  <c r="Y86" i="16"/>
  <c r="Y94" i="16"/>
  <c r="Y118" i="16"/>
  <c r="Y132" i="16"/>
  <c r="Y106" i="16"/>
  <c r="Y109" i="16"/>
  <c r="Y149" i="16"/>
  <c r="Y124" i="16"/>
  <c r="W89" i="16"/>
  <c r="W95" i="16"/>
  <c r="W101" i="16"/>
  <c r="W107" i="16"/>
  <c r="W113" i="16"/>
  <c r="W119" i="16"/>
  <c r="W88" i="16"/>
  <c r="W94" i="16"/>
  <c r="W100" i="16"/>
  <c r="W87" i="16"/>
  <c r="W90" i="16"/>
  <c r="W108" i="16"/>
  <c r="W112" i="16"/>
  <c r="W132" i="16"/>
  <c r="W144" i="16"/>
  <c r="W156" i="16"/>
  <c r="W143" i="16"/>
  <c r="W155" i="16"/>
  <c r="W116" i="16"/>
  <c r="W121" i="16"/>
  <c r="W131" i="16"/>
  <c r="W92" i="16"/>
  <c r="W148" i="16"/>
  <c r="W152" i="16"/>
  <c r="W85" i="16"/>
  <c r="W135" i="16"/>
  <c r="W139" i="16"/>
  <c r="W91" i="16"/>
  <c r="W130" i="16"/>
  <c r="W160" i="16"/>
  <c r="W134" i="16"/>
  <c r="W138" i="16"/>
  <c r="W142" i="16"/>
  <c r="W118" i="16"/>
  <c r="W93" i="16"/>
  <c r="W105" i="16"/>
  <c r="W126" i="16"/>
  <c r="W164" i="16"/>
  <c r="W122" i="16"/>
  <c r="W147" i="16"/>
  <c r="W151" i="16"/>
  <c r="W110" i="16"/>
  <c r="W125" i="16"/>
  <c r="W129" i="16"/>
  <c r="W146" i="16"/>
  <c r="W96" i="16"/>
  <c r="W104" i="16"/>
  <c r="W133" i="16"/>
  <c r="W141" i="16"/>
  <c r="W154" i="16"/>
  <c r="W128" i="16"/>
  <c r="W159" i="16"/>
  <c r="W161" i="16"/>
  <c r="W120" i="16"/>
  <c r="W149" i="16"/>
  <c r="W117" i="16"/>
  <c r="W136" i="16"/>
  <c r="W111" i="16"/>
  <c r="W114" i="16"/>
  <c r="W150" i="16"/>
  <c r="W157" i="16"/>
  <c r="W162" i="16"/>
  <c r="W86" i="16"/>
  <c r="W109" i="16"/>
  <c r="W103" i="16"/>
  <c r="W137" i="16"/>
  <c r="W124" i="16"/>
  <c r="W145" i="16"/>
  <c r="W158" i="16"/>
  <c r="W99" i="16"/>
  <c r="W127" i="16"/>
  <c r="W165" i="16"/>
  <c r="W97" i="16"/>
  <c r="W123" i="16"/>
  <c r="W102" i="16"/>
  <c r="W115" i="16"/>
  <c r="W140" i="16"/>
  <c r="W98" i="16"/>
  <c r="W106" i="16"/>
  <c r="W153" i="16"/>
  <c r="W163" i="16"/>
  <c r="T87" i="16"/>
  <c r="T93" i="16"/>
  <c r="T99" i="16"/>
  <c r="T103" i="16"/>
  <c r="T107" i="16"/>
  <c r="T111" i="16"/>
  <c r="T120" i="16"/>
  <c r="T129" i="16"/>
  <c r="T141" i="16"/>
  <c r="T153" i="16"/>
  <c r="T165" i="16"/>
  <c r="T140" i="16"/>
  <c r="T164" i="16"/>
  <c r="T86" i="16"/>
  <c r="T89" i="16"/>
  <c r="T97" i="16"/>
  <c r="T100" i="16"/>
  <c r="T115" i="16"/>
  <c r="T128" i="16"/>
  <c r="T152" i="16"/>
  <c r="T95" i="16"/>
  <c r="T116" i="16"/>
  <c r="T122" i="16"/>
  <c r="T143" i="16"/>
  <c r="T147" i="16"/>
  <c r="T151" i="16"/>
  <c r="T110" i="16"/>
  <c r="T113" i="16"/>
  <c r="T130" i="16"/>
  <c r="T138" i="16"/>
  <c r="T125" i="16"/>
  <c r="T163" i="16"/>
  <c r="T96" i="16"/>
  <c r="T121" i="16"/>
  <c r="T124" i="16"/>
  <c r="T154" i="16"/>
  <c r="T134" i="16"/>
  <c r="T155" i="16"/>
  <c r="T159" i="16"/>
  <c r="T150" i="16"/>
  <c r="T133" i="16"/>
  <c r="T98" i="16"/>
  <c r="T102" i="16"/>
  <c r="T118" i="16"/>
  <c r="T142" i="16"/>
  <c r="T146" i="16"/>
  <c r="T85" i="16"/>
  <c r="T137" i="16"/>
  <c r="T104" i="16"/>
  <c r="T94" i="16"/>
  <c r="T92" i="16"/>
  <c r="T149" i="16"/>
  <c r="T156" i="16"/>
  <c r="T117" i="16"/>
  <c r="T136" i="16"/>
  <c r="T88" i="16"/>
  <c r="T114" i="16"/>
  <c r="T123" i="16"/>
  <c r="T144" i="16"/>
  <c r="T157" i="16"/>
  <c r="T162" i="16"/>
  <c r="T101" i="16"/>
  <c r="T131" i="16"/>
  <c r="T139" i="16"/>
  <c r="T105" i="16"/>
  <c r="T126" i="16"/>
  <c r="T109" i="16"/>
  <c r="T112" i="16"/>
  <c r="T119" i="16"/>
  <c r="T106" i="16"/>
  <c r="T158" i="16"/>
  <c r="T160" i="16"/>
  <c r="T135" i="16"/>
  <c r="T161" i="16"/>
  <c r="T108" i="16"/>
  <c r="T90" i="16"/>
  <c r="T132" i="16"/>
  <c r="T127" i="16"/>
  <c r="T148" i="16"/>
  <c r="T145" i="16"/>
  <c r="T91" i="16"/>
  <c r="AC86" i="16"/>
  <c r="AC87" i="16"/>
  <c r="AC88" i="16"/>
  <c r="AC89" i="16"/>
  <c r="AC90" i="16"/>
  <c r="AC91" i="16"/>
  <c r="AC92" i="16"/>
  <c r="AC93" i="16"/>
  <c r="AC94" i="16"/>
  <c r="AC95" i="16"/>
  <c r="AC96" i="16"/>
  <c r="AC97" i="16"/>
  <c r="AC98" i="16"/>
  <c r="AC99" i="16"/>
  <c r="AC100" i="16"/>
  <c r="AC101" i="16"/>
  <c r="AC102" i="16"/>
  <c r="AC103" i="16"/>
  <c r="AC104" i="16"/>
  <c r="AC105" i="16"/>
  <c r="AC106" i="16"/>
  <c r="AC107" i="16"/>
  <c r="AC108" i="16"/>
  <c r="AC109" i="16"/>
  <c r="AC110" i="16"/>
  <c r="AC111" i="16"/>
  <c r="AC112" i="16"/>
  <c r="AC113" i="16"/>
  <c r="AC114" i="16"/>
  <c r="AC115" i="16"/>
  <c r="AC116" i="16"/>
  <c r="AC117" i="16"/>
  <c r="AC118" i="16"/>
  <c r="AC119" i="16"/>
  <c r="AC120" i="16"/>
  <c r="AC121" i="16"/>
  <c r="AC122" i="16"/>
  <c r="AC125" i="16"/>
  <c r="AC137" i="16"/>
  <c r="AC149" i="16"/>
  <c r="AC161" i="16"/>
  <c r="AC148" i="16"/>
  <c r="AC160" i="16"/>
  <c r="AC85" i="16"/>
  <c r="AC124" i="16"/>
  <c r="AC136" i="16"/>
  <c r="AC141" i="16"/>
  <c r="AC145" i="16"/>
  <c r="AC128" i="16"/>
  <c r="AC132" i="16"/>
  <c r="AC127" i="16"/>
  <c r="AC131" i="16"/>
  <c r="AC135" i="16"/>
  <c r="AC165" i="16"/>
  <c r="AC162" i="16"/>
  <c r="AC123" i="16"/>
  <c r="AC153" i="16"/>
  <c r="AC157" i="16"/>
  <c r="AC140" i="16"/>
  <c r="AC144" i="16"/>
  <c r="AC156" i="16"/>
  <c r="AC143" i="16"/>
  <c r="AC130" i="16"/>
  <c r="AC158" i="16"/>
  <c r="AC151" i="16"/>
  <c r="AC138" i="16"/>
  <c r="AC146" i="16"/>
  <c r="AC163" i="16"/>
  <c r="AC133" i="16"/>
  <c r="AC147" i="16"/>
  <c r="AC134" i="16"/>
  <c r="AC142" i="16"/>
  <c r="AC150" i="16"/>
  <c r="AC154" i="16"/>
  <c r="AC126" i="16"/>
  <c r="AC159" i="16"/>
  <c r="AC139" i="16"/>
  <c r="AC152" i="16"/>
  <c r="AC164" i="16"/>
  <c r="AC155" i="16"/>
  <c r="AC129" i="16"/>
  <c r="Z122" i="16"/>
  <c r="Z90" i="16"/>
  <c r="Z96" i="16"/>
  <c r="Z102" i="16"/>
  <c r="Z93" i="16"/>
  <c r="Z101" i="16"/>
  <c r="Z109" i="16"/>
  <c r="Z113" i="16"/>
  <c r="Z123" i="16"/>
  <c r="Z135" i="16"/>
  <c r="Z147" i="16"/>
  <c r="Z159" i="16"/>
  <c r="Z146" i="16"/>
  <c r="Z158" i="16"/>
  <c r="Z95" i="16"/>
  <c r="Z117" i="16"/>
  <c r="Z134" i="16"/>
  <c r="Z86" i="16"/>
  <c r="Z106" i="16"/>
  <c r="Z149" i="16"/>
  <c r="Z153" i="16"/>
  <c r="Z157" i="16"/>
  <c r="Z114" i="16"/>
  <c r="Z136" i="16"/>
  <c r="Z144" i="16"/>
  <c r="Z97" i="16"/>
  <c r="Z99" i="16"/>
  <c r="Z103" i="16"/>
  <c r="Z127" i="16"/>
  <c r="Z165" i="16"/>
  <c r="Z148" i="16"/>
  <c r="Z152" i="16"/>
  <c r="Z116" i="16"/>
  <c r="Z139" i="16"/>
  <c r="Z143" i="16"/>
  <c r="Z140" i="16"/>
  <c r="Z108" i="16"/>
  <c r="Z111" i="16"/>
  <c r="Z131" i="16"/>
  <c r="Z161" i="16"/>
  <c r="Z89" i="16"/>
  <c r="Z119" i="16"/>
  <c r="Z156" i="16"/>
  <c r="Z87" i="16"/>
  <c r="Z91" i="16"/>
  <c r="Z105" i="16"/>
  <c r="Z126" i="16"/>
  <c r="Z130" i="16"/>
  <c r="Z160" i="16"/>
  <c r="Z100" i="16"/>
  <c r="Z151" i="16"/>
  <c r="Z107" i="16"/>
  <c r="Z110" i="16"/>
  <c r="Z138" i="16"/>
  <c r="Z163" i="16"/>
  <c r="Z104" i="16"/>
  <c r="Z125" i="16"/>
  <c r="Z133" i="16"/>
  <c r="Z92" i="16"/>
  <c r="Z141" i="16"/>
  <c r="Z154" i="16"/>
  <c r="Z88" i="16"/>
  <c r="Z120" i="16"/>
  <c r="Z164" i="16"/>
  <c r="Z98" i="16"/>
  <c r="Z121" i="16"/>
  <c r="Z142" i="16"/>
  <c r="Z155" i="16"/>
  <c r="Z94" i="16"/>
  <c r="Z129" i="16"/>
  <c r="Z118" i="16"/>
  <c r="Z112" i="16"/>
  <c r="Z145" i="16"/>
  <c r="Z132" i="16"/>
  <c r="Z128" i="16"/>
  <c r="Z85" i="16"/>
  <c r="Z115" i="16"/>
  <c r="Z150" i="16"/>
  <c r="Z162" i="16"/>
  <c r="Z137" i="16"/>
  <c r="Z124" i="16"/>
  <c r="AE86" i="16"/>
  <c r="AE92" i="16"/>
  <c r="AE98" i="16"/>
  <c r="AE104" i="16"/>
  <c r="AE110" i="16"/>
  <c r="AE116" i="16"/>
  <c r="AE91" i="16"/>
  <c r="AE97" i="16"/>
  <c r="AE96" i="16"/>
  <c r="AE99" i="16"/>
  <c r="AE114" i="16"/>
  <c r="AE127" i="16"/>
  <c r="AE139" i="16"/>
  <c r="AE151" i="16"/>
  <c r="AE163" i="16"/>
  <c r="AE150" i="16"/>
  <c r="AE88" i="16"/>
  <c r="AE118" i="16"/>
  <c r="AE126" i="16"/>
  <c r="AE138" i="16"/>
  <c r="AE162" i="16"/>
  <c r="AE109" i="16"/>
  <c r="AE112" i="16"/>
  <c r="AE129" i="16"/>
  <c r="AE133" i="16"/>
  <c r="AE137" i="16"/>
  <c r="AE124" i="16"/>
  <c r="AE154" i="16"/>
  <c r="AE158" i="16"/>
  <c r="AE149" i="16"/>
  <c r="AE123" i="16"/>
  <c r="AE153" i="16"/>
  <c r="AE157" i="16"/>
  <c r="AE161" i="16"/>
  <c r="AE111" i="16"/>
  <c r="AE101" i="16"/>
  <c r="AE117" i="16"/>
  <c r="AE141" i="16"/>
  <c r="AE145" i="16"/>
  <c r="AE106" i="16"/>
  <c r="AE93" i="16"/>
  <c r="AE95" i="16"/>
  <c r="AE103" i="16"/>
  <c r="AE120" i="16"/>
  <c r="AE128" i="16"/>
  <c r="AE132" i="16"/>
  <c r="AE136" i="16"/>
  <c r="AE108" i="16"/>
  <c r="AE140" i="16"/>
  <c r="AE144" i="16"/>
  <c r="AE148" i="16"/>
  <c r="AE135" i="16"/>
  <c r="AE87" i="16"/>
  <c r="AE113" i="16"/>
  <c r="AE119" i="16"/>
  <c r="AE122" i="16"/>
  <c r="AE165" i="16"/>
  <c r="AE143" i="16"/>
  <c r="AE156" i="16"/>
  <c r="AE85" i="16"/>
  <c r="AE100" i="16"/>
  <c r="AE130" i="16"/>
  <c r="AE107" i="16"/>
  <c r="AE125" i="16"/>
  <c r="AE146" i="16"/>
  <c r="AE89" i="16"/>
  <c r="AE105" i="16"/>
  <c r="AE159" i="16"/>
  <c r="AE90" i="16"/>
  <c r="AE147" i="16"/>
  <c r="AE160" i="16"/>
  <c r="AE94" i="16"/>
  <c r="AE115" i="16"/>
  <c r="AE155" i="16"/>
  <c r="AE152" i="16"/>
  <c r="AE134" i="16"/>
  <c r="AE164" i="16"/>
  <c r="AE131" i="16"/>
  <c r="AE102" i="16"/>
  <c r="AE121" i="16"/>
  <c r="AE142" i="16"/>
  <c r="AB91" i="16"/>
  <c r="AB97" i="16"/>
  <c r="AB103" i="16"/>
  <c r="AB88" i="16"/>
  <c r="AB118" i="16"/>
  <c r="AB124" i="16"/>
  <c r="AB136" i="16"/>
  <c r="AB148" i="16"/>
  <c r="AB160" i="16"/>
  <c r="AB159" i="16"/>
  <c r="AB90" i="16"/>
  <c r="AB93" i="16"/>
  <c r="AB101" i="16"/>
  <c r="AB105" i="16"/>
  <c r="AB109" i="16"/>
  <c r="AB123" i="16"/>
  <c r="AB135" i="16"/>
  <c r="AB147" i="16"/>
  <c r="AB128" i="16"/>
  <c r="AB132" i="16"/>
  <c r="AB162" i="16"/>
  <c r="AB117" i="16"/>
  <c r="AB149" i="16"/>
  <c r="AB153" i="16"/>
  <c r="AB106" i="16"/>
  <c r="AB140" i="16"/>
  <c r="AB144" i="16"/>
  <c r="AB165" i="16"/>
  <c r="AB108" i="16"/>
  <c r="AB111" i="16"/>
  <c r="AB152" i="16"/>
  <c r="AB156" i="16"/>
  <c r="AB139" i="16"/>
  <c r="AB120" i="16"/>
  <c r="AB157" i="16"/>
  <c r="AB86" i="16"/>
  <c r="AB95" i="16"/>
  <c r="AB122" i="16"/>
  <c r="AB114" i="16"/>
  <c r="AB127" i="16"/>
  <c r="AB131" i="16"/>
  <c r="AB161" i="16"/>
  <c r="AB99" i="16"/>
  <c r="AB89" i="16"/>
  <c r="AB119" i="16"/>
  <c r="AB143" i="16"/>
  <c r="AB87" i="16"/>
  <c r="AB113" i="16"/>
  <c r="AB116" i="16"/>
  <c r="AB130" i="16"/>
  <c r="AB158" i="16"/>
  <c r="AB151" i="16"/>
  <c r="AB100" i="16"/>
  <c r="AB138" i="16"/>
  <c r="AB146" i="16"/>
  <c r="AB163" i="16"/>
  <c r="AB96" i="16"/>
  <c r="AB107" i="16"/>
  <c r="AB110" i="16"/>
  <c r="AB125" i="16"/>
  <c r="AB133" i="16"/>
  <c r="AB85" i="16"/>
  <c r="AB104" i="16"/>
  <c r="AB92" i="16"/>
  <c r="AB154" i="16"/>
  <c r="AB134" i="16"/>
  <c r="AB98" i="16"/>
  <c r="AB142" i="16"/>
  <c r="AB155" i="16"/>
  <c r="AB129" i="16"/>
  <c r="AB150" i="16"/>
  <c r="AB137" i="16"/>
  <c r="AB141" i="16"/>
  <c r="AB126" i="16"/>
  <c r="AB164" i="16"/>
  <c r="AB121" i="16"/>
  <c r="AB115" i="16"/>
  <c r="AB145" i="16"/>
  <c r="AB102" i="16"/>
  <c r="AB94" i="16"/>
  <c r="AB112" i="16"/>
  <c r="AS23" i="16"/>
  <c r="CK26" i="16"/>
  <c r="CE26" i="16"/>
  <c r="CC26" i="16"/>
  <c r="BR59" i="16"/>
  <c r="CI26" i="16"/>
  <c r="BR38" i="16"/>
  <c r="BR90" i="16"/>
  <c r="AH20" i="16"/>
  <c r="BR52" i="16"/>
  <c r="BR24" i="16"/>
  <c r="BR37" i="16"/>
  <c r="AH19" i="16"/>
  <c r="BR33" i="16"/>
  <c r="BR31" i="16"/>
  <c r="BR53" i="16"/>
  <c r="BR91" i="16"/>
  <c r="AJ19" i="16"/>
  <c r="AG20" i="16"/>
  <c r="BR25" i="16"/>
  <c r="AI19" i="16"/>
  <c r="AJ20" i="16"/>
  <c r="BR93" i="16"/>
  <c r="BR70" i="16"/>
  <c r="BR35" i="16"/>
  <c r="BR43" i="16"/>
  <c r="BR103" i="16"/>
  <c r="AG19" i="16"/>
  <c r="BR44" i="16"/>
  <c r="BR77" i="16"/>
  <c r="AI20" i="16"/>
  <c r="BR51" i="16"/>
  <c r="BR29" i="16"/>
  <c r="BR28" i="16"/>
  <c r="BR68" i="16"/>
  <c r="BR34" i="16"/>
  <c r="BR41" i="16"/>
  <c r="BR80" i="16"/>
  <c r="CH26" i="16"/>
  <c r="BR61" i="16"/>
  <c r="BR48" i="16"/>
  <c r="BR79" i="16"/>
  <c r="AS26" i="16"/>
  <c r="BR45" i="16"/>
  <c r="BR101" i="16"/>
  <c r="BR99" i="16"/>
  <c r="BR65" i="16"/>
  <c r="BR60" i="16"/>
  <c r="BR76" i="16"/>
  <c r="BR89" i="16"/>
  <c r="BR39" i="16"/>
  <c r="BR62" i="16"/>
  <c r="BR71" i="16"/>
  <c r="BR97" i="16"/>
  <c r="BR86" i="16"/>
  <c r="BR46" i="16"/>
  <c r="BR102" i="16"/>
  <c r="BR69" i="16"/>
  <c r="BR26" i="16"/>
  <c r="BR63" i="16"/>
  <c r="BR81" i="16"/>
  <c r="BR88" i="16"/>
  <c r="BR100" i="16"/>
  <c r="BR95" i="16"/>
  <c r="BR94" i="16"/>
  <c r="BR67" i="16"/>
  <c r="BR58" i="16"/>
  <c r="BR92" i="16"/>
  <c r="BR32" i="16"/>
  <c r="BR50" i="16"/>
  <c r="BR56" i="16"/>
  <c r="BR40" i="16"/>
  <c r="BR64" i="16"/>
  <c r="BR30" i="16"/>
  <c r="BR85" i="16"/>
  <c r="BR84" i="16"/>
  <c r="BR83" i="16"/>
  <c r="BR57" i="16"/>
  <c r="BR55" i="16"/>
  <c r="BR27" i="16"/>
  <c r="BR75" i="16"/>
  <c r="BR42" i="16"/>
  <c r="BR54" i="16"/>
  <c r="BR74" i="16"/>
  <c r="BR96" i="16"/>
  <c r="BR49" i="16"/>
  <c r="BR82" i="16"/>
  <c r="BR98" i="16"/>
  <c r="BR72" i="16"/>
  <c r="BR87" i="16"/>
  <c r="BR47" i="16"/>
  <c r="BR78" i="16"/>
  <c r="BR36" i="16"/>
  <c r="BR66" i="16"/>
  <c r="AS24" i="16"/>
  <c r="CD26" i="16"/>
  <c r="CJ26" i="16"/>
  <c r="DQ48" i="17"/>
  <c r="BE93" i="19" l="1"/>
  <c r="BG93" i="19"/>
  <c r="BD93" i="19"/>
  <c r="BF93" i="19"/>
  <c r="DR135" i="43"/>
  <c r="DS134" i="43"/>
  <c r="DP136" i="43"/>
  <c r="DQ136" i="43" s="1"/>
  <c r="DT136" i="43" s="1"/>
  <c r="DU136" i="43" s="1"/>
  <c r="DM136" i="43"/>
  <c r="DN136" i="43" s="1"/>
  <c r="DK137" i="43"/>
  <c r="ED5" i="17"/>
  <c r="G76" i="17"/>
  <c r="DH137" i="43"/>
  <c r="DG138" i="43"/>
  <c r="DO138" i="43" s="1"/>
  <c r="DP138" i="43" s="1"/>
  <c r="DQ137" i="43"/>
  <c r="DI437" i="43"/>
  <c r="DI735" i="43"/>
  <c r="DO735" i="43"/>
  <c r="DK735" i="43"/>
  <c r="DP734" i="43"/>
  <c r="AS21" i="16" a="1"/>
  <c r="AS21" i="16" s="1"/>
  <c r="BZ30" i="16"/>
  <c r="CF36" i="16"/>
  <c r="CF58" i="16"/>
  <c r="CF60" i="16"/>
  <c r="CF30" i="16"/>
  <c r="BZ29" i="16"/>
  <c r="BZ32" i="16"/>
  <c r="BZ57" i="16"/>
  <c r="CG28" i="16"/>
  <c r="CF28" i="16"/>
  <c r="CG27" i="16"/>
  <c r="CF27" i="16"/>
  <c r="CF32" i="16"/>
  <c r="BZ39" i="16"/>
  <c r="BW98" i="16"/>
  <c r="BZ63" i="16"/>
  <c r="BZ42" i="16"/>
  <c r="CF31" i="16"/>
  <c r="BZ56" i="16"/>
  <c r="CF50" i="16"/>
  <c r="CF49" i="16"/>
  <c r="CF55" i="16"/>
  <c r="CF29" i="16"/>
  <c r="CG29" i="16"/>
  <c r="BZ54" i="16"/>
  <c r="CF46" i="16"/>
  <c r="CF51" i="16"/>
  <c r="CF59" i="16"/>
  <c r="CF62" i="16"/>
  <c r="BZ50" i="16"/>
  <c r="CF42" i="16"/>
  <c r="BZ51" i="16"/>
  <c r="CF61" i="16"/>
  <c r="BZ31" i="16"/>
  <c r="BZ61" i="16"/>
  <c r="BZ43" i="16"/>
  <c r="BZ41" i="16"/>
  <c r="CF56" i="16"/>
  <c r="CF33" i="16"/>
  <c r="BZ36" i="16"/>
  <c r="BZ47" i="16"/>
  <c r="BZ58" i="16"/>
  <c r="BZ35" i="16"/>
  <c r="CF52" i="16"/>
  <c r="CF48" i="16"/>
  <c r="BZ55" i="16"/>
  <c r="CF63" i="16"/>
  <c r="CF54" i="16"/>
  <c r="BW97" i="16"/>
  <c r="BW96" i="16" s="1"/>
  <c r="BW95" i="16" s="1"/>
  <c r="BW94" i="16" s="1"/>
  <c r="BW93" i="16" s="1"/>
  <c r="BW92" i="16" s="1"/>
  <c r="BW91" i="16" s="1"/>
  <c r="BW90" i="16" s="1"/>
  <c r="BW89" i="16" s="1"/>
  <c r="BW88" i="16" s="1"/>
  <c r="BW87" i="16" s="1"/>
  <c r="BW86" i="16" s="1"/>
  <c r="BW85" i="16" s="1"/>
  <c r="BW84" i="16" s="1"/>
  <c r="BW83" i="16" s="1"/>
  <c r="BW82" i="16" s="1"/>
  <c r="BW81" i="16" s="1"/>
  <c r="BW80" i="16" s="1"/>
  <c r="BW79" i="16" s="1"/>
  <c r="BW78" i="16" s="1"/>
  <c r="BW77" i="16" s="1"/>
  <c r="BW76" i="16" s="1"/>
  <c r="BW75" i="16" s="1"/>
  <c r="BW74" i="16" s="1"/>
  <c r="BW73" i="16" s="1"/>
  <c r="BW72" i="16" s="1"/>
  <c r="BZ62" i="16"/>
  <c r="BZ48" i="16"/>
  <c r="BZ59" i="16"/>
  <c r="CF66" i="16"/>
  <c r="CF65" i="16"/>
  <c r="CF57" i="16"/>
  <c r="BZ37" i="16"/>
  <c r="BZ46" i="16"/>
  <c r="BZ49" i="16"/>
  <c r="BW99" i="16"/>
  <c r="BZ64" i="16"/>
  <c r="CF43" i="16"/>
  <c r="BZ67" i="16"/>
  <c r="CA67" i="16"/>
  <c r="CF35" i="16"/>
  <c r="BZ33" i="16"/>
  <c r="CF40" i="16"/>
  <c r="CF53" i="16"/>
  <c r="CF34" i="16"/>
  <c r="BZ52" i="16"/>
  <c r="BZ53" i="16"/>
  <c r="BZ44" i="16"/>
  <c r="CF47" i="16"/>
  <c r="CF37" i="16"/>
  <c r="BW101" i="16"/>
  <c r="BZ66" i="16"/>
  <c r="BZ60" i="16"/>
  <c r="BZ28" i="16"/>
  <c r="BZ45" i="16"/>
  <c r="BZ40" i="16"/>
  <c r="CF45" i="16"/>
  <c r="CF39" i="16"/>
  <c r="BW100" i="16"/>
  <c r="BZ65" i="16"/>
  <c r="BZ38" i="16"/>
  <c r="CF44" i="16"/>
  <c r="BZ27" i="16"/>
  <c r="CF67" i="16"/>
  <c r="CF64" i="16"/>
  <c r="CF38" i="16"/>
  <c r="BZ34" i="16"/>
  <c r="CF41" i="16"/>
  <c r="X120" i="16"/>
  <c r="AG120" i="16" s="1"/>
  <c r="X85" i="16"/>
  <c r="AG85" i="16" s="1"/>
  <c r="X89" i="16"/>
  <c r="AG89" i="16" s="1"/>
  <c r="X95" i="16"/>
  <c r="AG95" i="16" s="1"/>
  <c r="X101" i="16"/>
  <c r="AG101" i="16" s="1"/>
  <c r="X98" i="16"/>
  <c r="AG98" i="16" s="1"/>
  <c r="X104" i="16"/>
  <c r="AG104" i="16" s="1"/>
  <c r="X122" i="16"/>
  <c r="AG122" i="16" s="1"/>
  <c r="X133" i="16"/>
  <c r="AG133" i="16" s="1"/>
  <c r="X145" i="16"/>
  <c r="AG145" i="16" s="1"/>
  <c r="X157" i="16"/>
  <c r="AG157" i="16" s="1"/>
  <c r="X156" i="16"/>
  <c r="AG156" i="16" s="1"/>
  <c r="X100" i="16"/>
  <c r="AG100" i="16" s="1"/>
  <c r="X87" i="16"/>
  <c r="AG87" i="16" s="1"/>
  <c r="X90" i="16"/>
  <c r="AG90" i="16" s="1"/>
  <c r="X108" i="16"/>
  <c r="AG108" i="16" s="1"/>
  <c r="X112" i="16"/>
  <c r="AG112" i="16" s="1"/>
  <c r="X132" i="16"/>
  <c r="AG132" i="16" s="1"/>
  <c r="X144" i="16"/>
  <c r="AG144" i="16" s="1"/>
  <c r="X97" i="16"/>
  <c r="AG97" i="16" s="1"/>
  <c r="X99" i="16"/>
  <c r="AG99" i="16" s="1"/>
  <c r="X103" i="16"/>
  <c r="AG103" i="16" s="1"/>
  <c r="X111" i="16"/>
  <c r="AG111" i="16" s="1"/>
  <c r="X114" i="16"/>
  <c r="AG114" i="16" s="1"/>
  <c r="X123" i="16"/>
  <c r="AG123" i="16" s="1"/>
  <c r="X127" i="16"/>
  <c r="AG127" i="16" s="1"/>
  <c r="X131" i="16"/>
  <c r="AG131" i="16" s="1"/>
  <c r="X161" i="16"/>
  <c r="AG161" i="16" s="1"/>
  <c r="X165" i="16"/>
  <c r="AG165" i="16" s="1"/>
  <c r="X119" i="16"/>
  <c r="AG119" i="16" s="1"/>
  <c r="X148" i="16"/>
  <c r="AG148" i="16" s="1"/>
  <c r="X93" i="16"/>
  <c r="AG93" i="16" s="1"/>
  <c r="X116" i="16"/>
  <c r="AG116" i="16" s="1"/>
  <c r="X143" i="16"/>
  <c r="AG143" i="16" s="1"/>
  <c r="X160" i="16"/>
  <c r="AG160" i="16" s="1"/>
  <c r="X113" i="16"/>
  <c r="AG113" i="16" s="1"/>
  <c r="X147" i="16"/>
  <c r="AG147" i="16" s="1"/>
  <c r="X107" i="16"/>
  <c r="AG107" i="16" s="1"/>
  <c r="X152" i="16"/>
  <c r="AG152" i="16" s="1"/>
  <c r="X135" i="16"/>
  <c r="AG135" i="16" s="1"/>
  <c r="X139" i="16"/>
  <c r="AG139" i="16" s="1"/>
  <c r="X164" i="16"/>
  <c r="AG164" i="16" s="1"/>
  <c r="X151" i="16"/>
  <c r="AG151" i="16" s="1"/>
  <c r="X91" i="16"/>
  <c r="AG91" i="16" s="1"/>
  <c r="X105" i="16"/>
  <c r="AG105" i="16" s="1"/>
  <c r="X126" i="16"/>
  <c r="AG126" i="16" s="1"/>
  <c r="X130" i="16"/>
  <c r="AG130" i="16" s="1"/>
  <c r="X155" i="16"/>
  <c r="AG155" i="16" s="1"/>
  <c r="X110" i="16"/>
  <c r="AG110" i="16" s="1"/>
  <c r="X134" i="16"/>
  <c r="AG134" i="16" s="1"/>
  <c r="X138" i="16"/>
  <c r="AG138" i="16" s="1"/>
  <c r="X142" i="16"/>
  <c r="AG142" i="16" s="1"/>
  <c r="X125" i="16"/>
  <c r="AG125" i="16" s="1"/>
  <c r="X92" i="16"/>
  <c r="AG92" i="16" s="1"/>
  <c r="X146" i="16"/>
  <c r="AG146" i="16" s="1"/>
  <c r="X96" i="16"/>
  <c r="AG96" i="16" s="1"/>
  <c r="X141" i="16"/>
  <c r="AG141" i="16" s="1"/>
  <c r="X154" i="16"/>
  <c r="AG154" i="16" s="1"/>
  <c r="X88" i="16"/>
  <c r="AG88" i="16" s="1"/>
  <c r="X128" i="16"/>
  <c r="AG128" i="16" s="1"/>
  <c r="X159" i="16"/>
  <c r="AG159" i="16" s="1"/>
  <c r="X136" i="16"/>
  <c r="AG136" i="16" s="1"/>
  <c r="X94" i="16"/>
  <c r="AG94" i="16" s="1"/>
  <c r="X129" i="16"/>
  <c r="AG129" i="16" s="1"/>
  <c r="X102" i="16"/>
  <c r="AG102" i="16" s="1"/>
  <c r="X162" i="16"/>
  <c r="AG162" i="16" s="1"/>
  <c r="X163" i="16"/>
  <c r="AG163" i="16" s="1"/>
  <c r="X121" i="16"/>
  <c r="AG121" i="16" s="1"/>
  <c r="X106" i="16"/>
  <c r="AG106" i="16" s="1"/>
  <c r="X140" i="16"/>
  <c r="AG140" i="16" s="1"/>
  <c r="X149" i="16"/>
  <c r="AG149" i="16" s="1"/>
  <c r="X117" i="16"/>
  <c r="AG117" i="16" s="1"/>
  <c r="X115" i="16"/>
  <c r="AG115" i="16" s="1"/>
  <c r="X150" i="16"/>
  <c r="AG150" i="16" s="1"/>
  <c r="X109" i="16"/>
  <c r="AG109" i="16" s="1"/>
  <c r="X118" i="16"/>
  <c r="AG118" i="16" s="1"/>
  <c r="X124" i="16"/>
  <c r="AG124" i="16" s="1"/>
  <c r="X86" i="16"/>
  <c r="AG86" i="16" s="1"/>
  <c r="X158" i="16"/>
  <c r="AG158" i="16" s="1"/>
  <c r="X137" i="16"/>
  <c r="AG137" i="16" s="1"/>
  <c r="X153" i="16"/>
  <c r="AG153" i="16" s="1"/>
  <c r="AA91" i="16"/>
  <c r="AH91" i="16" s="1"/>
  <c r="AA97" i="16"/>
  <c r="AH97" i="16" s="1"/>
  <c r="AA103" i="16"/>
  <c r="AH103" i="16" s="1"/>
  <c r="AA109" i="16"/>
  <c r="AH109" i="16" s="1"/>
  <c r="AA115" i="16"/>
  <c r="AH115" i="16" s="1"/>
  <c r="AA123" i="16"/>
  <c r="AH123" i="16" s="1"/>
  <c r="AA124" i="16"/>
  <c r="AH124" i="16" s="1"/>
  <c r="AA125" i="16"/>
  <c r="AH125" i="16" s="1"/>
  <c r="AA126" i="16"/>
  <c r="AH126" i="16" s="1"/>
  <c r="AA127" i="16"/>
  <c r="AH127" i="16" s="1"/>
  <c r="AA128" i="16"/>
  <c r="AH128" i="16" s="1"/>
  <c r="AA129" i="16"/>
  <c r="AH129" i="16" s="1"/>
  <c r="AA130" i="16"/>
  <c r="AH130" i="16" s="1"/>
  <c r="AA131" i="16"/>
  <c r="AH131" i="16" s="1"/>
  <c r="AA132" i="16"/>
  <c r="AH132" i="16" s="1"/>
  <c r="AA133" i="16"/>
  <c r="AH133" i="16" s="1"/>
  <c r="AA134" i="16"/>
  <c r="AH134" i="16" s="1"/>
  <c r="AA135" i="16"/>
  <c r="AH135" i="16" s="1"/>
  <c r="AA136" i="16"/>
  <c r="AH136" i="16" s="1"/>
  <c r="AA137" i="16"/>
  <c r="AH137" i="16" s="1"/>
  <c r="AA138" i="16"/>
  <c r="AH138" i="16" s="1"/>
  <c r="AA139" i="16"/>
  <c r="AH139" i="16" s="1"/>
  <c r="AA140" i="16"/>
  <c r="AH140" i="16" s="1"/>
  <c r="AA141" i="16"/>
  <c r="AH141" i="16" s="1"/>
  <c r="AA142" i="16"/>
  <c r="AH142" i="16" s="1"/>
  <c r="AA143" i="16"/>
  <c r="AH143" i="16" s="1"/>
  <c r="AA144" i="16"/>
  <c r="AH144" i="16" s="1"/>
  <c r="AA145" i="16"/>
  <c r="AH145" i="16" s="1"/>
  <c r="AA146" i="16"/>
  <c r="AH146" i="16" s="1"/>
  <c r="AA147" i="16"/>
  <c r="AH147" i="16" s="1"/>
  <c r="AA148" i="16"/>
  <c r="AH148" i="16" s="1"/>
  <c r="AA149" i="16"/>
  <c r="AH149" i="16" s="1"/>
  <c r="AA150" i="16"/>
  <c r="AH150" i="16" s="1"/>
  <c r="AA151" i="16"/>
  <c r="AH151" i="16" s="1"/>
  <c r="AA152" i="16"/>
  <c r="AH152" i="16" s="1"/>
  <c r="AA153" i="16"/>
  <c r="AH153" i="16" s="1"/>
  <c r="AA154" i="16"/>
  <c r="AH154" i="16" s="1"/>
  <c r="AA155" i="16"/>
  <c r="AH155" i="16" s="1"/>
  <c r="AA156" i="16"/>
  <c r="AH156" i="16" s="1"/>
  <c r="AA157" i="16"/>
  <c r="AH157" i="16" s="1"/>
  <c r="AA158" i="16"/>
  <c r="AH158" i="16" s="1"/>
  <c r="AA159" i="16"/>
  <c r="AH159" i="16" s="1"/>
  <c r="AA160" i="16"/>
  <c r="AH160" i="16" s="1"/>
  <c r="AA161" i="16"/>
  <c r="AH161" i="16" s="1"/>
  <c r="AA162" i="16"/>
  <c r="AH162" i="16" s="1"/>
  <c r="AA163" i="16"/>
  <c r="AH163" i="16" s="1"/>
  <c r="AA164" i="16"/>
  <c r="AH164" i="16" s="1"/>
  <c r="AA165" i="16"/>
  <c r="AH165" i="16" s="1"/>
  <c r="AA90" i="16"/>
  <c r="AH90" i="16" s="1"/>
  <c r="AA96" i="16"/>
  <c r="AH96" i="16" s="1"/>
  <c r="AA105" i="16"/>
  <c r="AH105" i="16" s="1"/>
  <c r="AA93" i="16"/>
  <c r="AH93" i="16" s="1"/>
  <c r="AA101" i="16"/>
  <c r="AH101" i="16" s="1"/>
  <c r="AA113" i="16"/>
  <c r="AH113" i="16" s="1"/>
  <c r="AA88" i="16"/>
  <c r="AH88" i="16" s="1"/>
  <c r="AA117" i="16"/>
  <c r="AH117" i="16" s="1"/>
  <c r="AA120" i="16"/>
  <c r="AH120" i="16" s="1"/>
  <c r="AA89" i="16"/>
  <c r="AH89" i="16" s="1"/>
  <c r="AA119" i="16"/>
  <c r="AH119" i="16" s="1"/>
  <c r="AA122" i="16"/>
  <c r="AH122" i="16" s="1"/>
  <c r="AA87" i="16"/>
  <c r="AH87" i="16" s="1"/>
  <c r="AA86" i="16"/>
  <c r="AH86" i="16" s="1"/>
  <c r="AA95" i="16"/>
  <c r="AH95" i="16" s="1"/>
  <c r="AA106" i="16"/>
  <c r="AH106" i="16" s="1"/>
  <c r="AA114" i="16"/>
  <c r="AH114" i="16" s="1"/>
  <c r="AA99" i="16"/>
  <c r="AH99" i="16" s="1"/>
  <c r="AA108" i="16"/>
  <c r="AH108" i="16" s="1"/>
  <c r="AA111" i="16"/>
  <c r="AH111" i="16" s="1"/>
  <c r="AA116" i="16"/>
  <c r="AH116" i="16" s="1"/>
  <c r="AA100" i="16"/>
  <c r="AH100" i="16" s="1"/>
  <c r="AA107" i="16"/>
  <c r="AH107" i="16" s="1"/>
  <c r="AA110" i="16"/>
  <c r="AH110" i="16" s="1"/>
  <c r="AA104" i="16"/>
  <c r="AH104" i="16" s="1"/>
  <c r="AA92" i="16"/>
  <c r="AH92" i="16" s="1"/>
  <c r="AA102" i="16"/>
  <c r="AH102" i="16" s="1"/>
  <c r="AA121" i="16"/>
  <c r="AH121" i="16" s="1"/>
  <c r="AA118" i="16"/>
  <c r="AH118" i="16" s="1"/>
  <c r="AA98" i="16"/>
  <c r="AH98" i="16" s="1"/>
  <c r="AA85" i="16"/>
  <c r="AH85" i="16" s="1"/>
  <c r="AA94" i="16"/>
  <c r="AH94" i="16" s="1"/>
  <c r="AA112" i="16"/>
  <c r="AH112" i="16" s="1"/>
  <c r="BT100" i="16"/>
  <c r="CA64" i="16" s="1"/>
  <c r="AD86" i="16"/>
  <c r="AI86" i="16" s="1"/>
  <c r="AD87" i="16"/>
  <c r="AI87" i="16" s="1"/>
  <c r="AD88" i="16"/>
  <c r="AI88" i="16" s="1"/>
  <c r="AD89" i="16"/>
  <c r="AI89" i="16" s="1"/>
  <c r="AD90" i="16"/>
  <c r="AI90" i="16" s="1"/>
  <c r="AD91" i="16"/>
  <c r="AI91" i="16" s="1"/>
  <c r="AD92" i="16"/>
  <c r="AI92" i="16" s="1"/>
  <c r="AD93" i="16"/>
  <c r="AI93" i="16" s="1"/>
  <c r="AD94" i="16"/>
  <c r="AI94" i="16" s="1"/>
  <c r="AD95" i="16"/>
  <c r="AI95" i="16" s="1"/>
  <c r="AD96" i="16"/>
  <c r="AI96" i="16" s="1"/>
  <c r="AD97" i="16"/>
  <c r="AI97" i="16" s="1"/>
  <c r="AD98" i="16"/>
  <c r="AI98" i="16" s="1"/>
  <c r="AD99" i="16"/>
  <c r="AI99" i="16" s="1"/>
  <c r="AD100" i="16"/>
  <c r="AI100" i="16" s="1"/>
  <c r="AD101" i="16"/>
  <c r="AI101" i="16" s="1"/>
  <c r="AD102" i="16"/>
  <c r="AI102" i="16" s="1"/>
  <c r="AD103" i="16"/>
  <c r="AI103" i="16" s="1"/>
  <c r="AD104" i="16"/>
  <c r="AI104" i="16" s="1"/>
  <c r="AD105" i="16"/>
  <c r="AI105" i="16" s="1"/>
  <c r="AD106" i="16"/>
  <c r="AI106" i="16" s="1"/>
  <c r="AD107" i="16"/>
  <c r="AI107" i="16" s="1"/>
  <c r="AD108" i="16"/>
  <c r="AI108" i="16" s="1"/>
  <c r="AD109" i="16"/>
  <c r="AI109" i="16" s="1"/>
  <c r="AD110" i="16"/>
  <c r="AI110" i="16" s="1"/>
  <c r="AD111" i="16"/>
  <c r="AI111" i="16" s="1"/>
  <c r="AD112" i="16"/>
  <c r="AI112" i="16" s="1"/>
  <c r="AD113" i="16"/>
  <c r="AI113" i="16" s="1"/>
  <c r="AD114" i="16"/>
  <c r="AI114" i="16" s="1"/>
  <c r="AD115" i="16"/>
  <c r="AI115" i="16" s="1"/>
  <c r="AD116" i="16"/>
  <c r="AI116" i="16" s="1"/>
  <c r="AD117" i="16"/>
  <c r="AI117" i="16" s="1"/>
  <c r="AD118" i="16"/>
  <c r="AI118" i="16" s="1"/>
  <c r="AD126" i="16"/>
  <c r="AI126" i="16" s="1"/>
  <c r="AD138" i="16"/>
  <c r="AI138" i="16" s="1"/>
  <c r="AD150" i="16"/>
  <c r="AI150" i="16" s="1"/>
  <c r="AD162" i="16"/>
  <c r="AI162" i="16" s="1"/>
  <c r="AD85" i="16"/>
  <c r="AI85" i="16" s="1"/>
  <c r="AD149" i="16"/>
  <c r="AI149" i="16" s="1"/>
  <c r="AD161" i="16"/>
  <c r="AI161" i="16" s="1"/>
  <c r="AD125" i="16"/>
  <c r="AI125" i="16" s="1"/>
  <c r="AD137" i="16"/>
  <c r="AI137" i="16" s="1"/>
  <c r="AD124" i="16"/>
  <c r="AI124" i="16" s="1"/>
  <c r="AD154" i="16"/>
  <c r="AI154" i="16" s="1"/>
  <c r="AD158" i="16"/>
  <c r="AI158" i="16" s="1"/>
  <c r="AD141" i="16"/>
  <c r="AI141" i="16" s="1"/>
  <c r="AD145" i="16"/>
  <c r="AI145" i="16" s="1"/>
  <c r="AD132" i="16"/>
  <c r="AI132" i="16" s="1"/>
  <c r="AD136" i="16"/>
  <c r="AI136" i="16" s="1"/>
  <c r="AD157" i="16"/>
  <c r="AI157" i="16" s="1"/>
  <c r="AD140" i="16"/>
  <c r="AI140" i="16" s="1"/>
  <c r="AD144" i="16"/>
  <c r="AI144" i="16" s="1"/>
  <c r="AD148" i="16"/>
  <c r="AI148" i="16" s="1"/>
  <c r="AD131" i="16"/>
  <c r="AI131" i="16" s="1"/>
  <c r="AD120" i="16"/>
  <c r="AI120" i="16" s="1"/>
  <c r="AD128" i="16"/>
  <c r="AI128" i="16" s="1"/>
  <c r="AD153" i="16"/>
  <c r="AI153" i="16" s="1"/>
  <c r="AD135" i="16"/>
  <c r="AI135" i="16" s="1"/>
  <c r="AD123" i="16"/>
  <c r="AI123" i="16" s="1"/>
  <c r="AD127" i="16"/>
  <c r="AI127" i="16" s="1"/>
  <c r="AD119" i="16"/>
  <c r="AI119" i="16" s="1"/>
  <c r="AD122" i="16"/>
  <c r="AI122" i="16" s="1"/>
  <c r="AD165" i="16"/>
  <c r="AI165" i="16" s="1"/>
  <c r="AD143" i="16"/>
  <c r="AI143" i="16" s="1"/>
  <c r="AD156" i="16"/>
  <c r="AI156" i="16" s="1"/>
  <c r="AD130" i="16"/>
  <c r="AI130" i="16" s="1"/>
  <c r="AD151" i="16"/>
  <c r="AI151" i="16" s="1"/>
  <c r="AD146" i="16"/>
  <c r="AI146" i="16" s="1"/>
  <c r="AD163" i="16"/>
  <c r="AI163" i="16" s="1"/>
  <c r="AD139" i="16"/>
  <c r="AI139" i="16" s="1"/>
  <c r="AD152" i="16"/>
  <c r="AI152" i="16" s="1"/>
  <c r="AD134" i="16"/>
  <c r="AI134" i="16" s="1"/>
  <c r="AD160" i="16"/>
  <c r="AI160" i="16" s="1"/>
  <c r="AD142" i="16"/>
  <c r="AI142" i="16" s="1"/>
  <c r="AD147" i="16"/>
  <c r="AI147" i="16" s="1"/>
  <c r="AD121" i="16"/>
  <c r="AI121" i="16" s="1"/>
  <c r="AD133" i="16"/>
  <c r="AI133" i="16" s="1"/>
  <c r="AD155" i="16"/>
  <c r="AI155" i="16" s="1"/>
  <c r="AD159" i="16"/>
  <c r="AI159" i="16" s="1"/>
  <c r="AD164" i="16"/>
  <c r="AI164" i="16" s="1"/>
  <c r="AD129" i="16"/>
  <c r="AI129" i="16" s="1"/>
  <c r="U88" i="16"/>
  <c r="AF88" i="16" s="1"/>
  <c r="U94" i="16"/>
  <c r="AF94" i="16" s="1"/>
  <c r="U100" i="16"/>
  <c r="AF100" i="16" s="1"/>
  <c r="U106" i="16"/>
  <c r="AF106" i="16" s="1"/>
  <c r="U112" i="16"/>
  <c r="AF112" i="16" s="1"/>
  <c r="U118" i="16"/>
  <c r="AF118" i="16" s="1"/>
  <c r="U87" i="16"/>
  <c r="AF87" i="16" s="1"/>
  <c r="U93" i="16"/>
  <c r="AF93" i="16" s="1"/>
  <c r="U99" i="16"/>
  <c r="AF99" i="16" s="1"/>
  <c r="U92" i="16"/>
  <c r="AF92" i="16" s="1"/>
  <c r="U95" i="16"/>
  <c r="AF95" i="16" s="1"/>
  <c r="U130" i="16"/>
  <c r="AF130" i="16" s="1"/>
  <c r="U142" i="16"/>
  <c r="AF142" i="16" s="1"/>
  <c r="U154" i="16"/>
  <c r="AF154" i="16" s="1"/>
  <c r="U153" i="16"/>
  <c r="AF153" i="16" s="1"/>
  <c r="U165" i="16"/>
  <c r="AF165" i="16" s="1"/>
  <c r="U97" i="16"/>
  <c r="AF97" i="16" s="1"/>
  <c r="U103" i="16"/>
  <c r="AF103" i="16" s="1"/>
  <c r="U107" i="16"/>
  <c r="AF107" i="16" s="1"/>
  <c r="U111" i="16"/>
  <c r="AF111" i="16" s="1"/>
  <c r="U120" i="16"/>
  <c r="AF120" i="16" s="1"/>
  <c r="U129" i="16"/>
  <c r="AF129" i="16" s="1"/>
  <c r="U141" i="16"/>
  <c r="AF141" i="16" s="1"/>
  <c r="U91" i="16"/>
  <c r="AF91" i="16" s="1"/>
  <c r="U105" i="16"/>
  <c r="AF105" i="16" s="1"/>
  <c r="U108" i="16"/>
  <c r="AF108" i="16" s="1"/>
  <c r="U126" i="16"/>
  <c r="AF126" i="16" s="1"/>
  <c r="U156" i="16"/>
  <c r="AF156" i="16" s="1"/>
  <c r="U160" i="16"/>
  <c r="AF160" i="16" s="1"/>
  <c r="U164" i="16"/>
  <c r="AF164" i="16" s="1"/>
  <c r="U122" i="16"/>
  <c r="AF122" i="16" s="1"/>
  <c r="U143" i="16"/>
  <c r="AF143" i="16" s="1"/>
  <c r="U151" i="16"/>
  <c r="AF151" i="16" s="1"/>
  <c r="U110" i="16"/>
  <c r="AF110" i="16" s="1"/>
  <c r="U113" i="16"/>
  <c r="AF113" i="16" s="1"/>
  <c r="U155" i="16"/>
  <c r="AF155" i="16" s="1"/>
  <c r="U163" i="16"/>
  <c r="AF163" i="16" s="1"/>
  <c r="U98" i="16"/>
  <c r="AF98" i="16" s="1"/>
  <c r="U102" i="16"/>
  <c r="AF102" i="16" s="1"/>
  <c r="U115" i="16"/>
  <c r="AF115" i="16" s="1"/>
  <c r="U146" i="16"/>
  <c r="AF146" i="16" s="1"/>
  <c r="U96" i="16"/>
  <c r="AF96" i="16" s="1"/>
  <c r="U89" i="16"/>
  <c r="AF89" i="16" s="1"/>
  <c r="U116" i="16"/>
  <c r="AF116" i="16" s="1"/>
  <c r="U147" i="16"/>
  <c r="AF147" i="16" s="1"/>
  <c r="U134" i="16"/>
  <c r="AF134" i="16" s="1"/>
  <c r="U138" i="16"/>
  <c r="AF138" i="16" s="1"/>
  <c r="U85" i="16"/>
  <c r="AF85" i="16" s="1"/>
  <c r="U159" i="16"/>
  <c r="AF159" i="16" s="1"/>
  <c r="U125" i="16"/>
  <c r="AF125" i="16" s="1"/>
  <c r="U104" i="16"/>
  <c r="AF104" i="16" s="1"/>
  <c r="U133" i="16"/>
  <c r="AF133" i="16" s="1"/>
  <c r="U137" i="16"/>
  <c r="AF137" i="16" s="1"/>
  <c r="U150" i="16"/>
  <c r="AF150" i="16" s="1"/>
  <c r="U121" i="16"/>
  <c r="AF121" i="16" s="1"/>
  <c r="U128" i="16"/>
  <c r="AF128" i="16" s="1"/>
  <c r="U161" i="16"/>
  <c r="AF161" i="16" s="1"/>
  <c r="U149" i="16"/>
  <c r="AF149" i="16" s="1"/>
  <c r="U117" i="16"/>
  <c r="AF117" i="16" s="1"/>
  <c r="U136" i="16"/>
  <c r="AF136" i="16" s="1"/>
  <c r="U114" i="16"/>
  <c r="AF114" i="16" s="1"/>
  <c r="U123" i="16"/>
  <c r="AF123" i="16" s="1"/>
  <c r="U144" i="16"/>
  <c r="AF144" i="16" s="1"/>
  <c r="U152" i="16"/>
  <c r="AF152" i="16" s="1"/>
  <c r="U157" i="16"/>
  <c r="AF157" i="16" s="1"/>
  <c r="U162" i="16"/>
  <c r="AF162" i="16" s="1"/>
  <c r="U101" i="16"/>
  <c r="AF101" i="16" s="1"/>
  <c r="U131" i="16"/>
  <c r="AF131" i="16" s="1"/>
  <c r="U139" i="16"/>
  <c r="AF139" i="16" s="1"/>
  <c r="U124" i="16"/>
  <c r="AF124" i="16" s="1"/>
  <c r="U86" i="16"/>
  <c r="AF86" i="16" s="1"/>
  <c r="U109" i="16"/>
  <c r="AF109" i="16" s="1"/>
  <c r="U145" i="16"/>
  <c r="AF145" i="16" s="1"/>
  <c r="U90" i="16"/>
  <c r="AF90" i="16" s="1"/>
  <c r="U140" i="16"/>
  <c r="AF140" i="16" s="1"/>
  <c r="U158" i="16"/>
  <c r="AF158" i="16" s="1"/>
  <c r="U127" i="16"/>
  <c r="AF127" i="16" s="1"/>
  <c r="U119" i="16"/>
  <c r="AF119" i="16" s="1"/>
  <c r="U135" i="16"/>
  <c r="AF135" i="16" s="1"/>
  <c r="U132" i="16"/>
  <c r="AF132" i="16" s="1"/>
  <c r="U148" i="16"/>
  <c r="AF148" i="16" s="1"/>
  <c r="BT102" i="16"/>
  <c r="CA66" i="16" s="1"/>
  <c r="BT101" i="16"/>
  <c r="CA65" i="16" s="1"/>
  <c r="BT99" i="16"/>
  <c r="CA63" i="16" s="1"/>
  <c r="BT98" i="16"/>
  <c r="CA62" i="16" s="1"/>
  <c r="DR48" i="17"/>
  <c r="C53" i="40" a="1"/>
  <c r="BF92" i="19" l="1"/>
  <c r="BD92" i="19"/>
  <c r="BG92" i="19"/>
  <c r="BE92" i="19"/>
  <c r="DT137" i="43"/>
  <c r="DU137" i="43" s="1"/>
  <c r="DK138" i="43"/>
  <c r="DS135" i="43"/>
  <c r="DR136" i="43"/>
  <c r="DM137" i="43"/>
  <c r="C53" i="40"/>
  <c r="BT97" i="16"/>
  <c r="CA61" i="16" s="1"/>
  <c r="CL9" i="16"/>
  <c r="G46" i="16"/>
  <c r="DH138" i="43"/>
  <c r="DG139" i="43"/>
  <c r="DO139" i="43" s="1"/>
  <c r="DP139" i="43" s="1"/>
  <c r="DQ138" i="43"/>
  <c r="DI438" i="43"/>
  <c r="DI736" i="43"/>
  <c r="DO736" i="43"/>
  <c r="DK736" i="43"/>
  <c r="DP735" i="43"/>
  <c r="BW71" i="16"/>
  <c r="BW70" i="16" s="1"/>
  <c r="BW69" i="16" s="1"/>
  <c r="BW68" i="16" s="1"/>
  <c r="BW67" i="16" s="1"/>
  <c r="BW66" i="16" s="1"/>
  <c r="BW65" i="16" s="1"/>
  <c r="BW64" i="16" s="1"/>
  <c r="BW63" i="16" s="1"/>
  <c r="BW62" i="16" s="1"/>
  <c r="BW61" i="16" s="1"/>
  <c r="BW60" i="16" s="1"/>
  <c r="BW59" i="16" s="1"/>
  <c r="BW58" i="16" s="1"/>
  <c r="BW57" i="16" s="1"/>
  <c r="BW56" i="16" s="1"/>
  <c r="BW55" i="16" s="1"/>
  <c r="BW54" i="16" s="1"/>
  <c r="BW53" i="16" s="1"/>
  <c r="BW52" i="16" s="1"/>
  <c r="BW51" i="16" s="1"/>
  <c r="BW50" i="16" s="1"/>
  <c r="BW49" i="16" s="1"/>
  <c r="BW48" i="16" s="1"/>
  <c r="BW47" i="16" s="1"/>
  <c r="BW46" i="16" s="1"/>
  <c r="BW45" i="16" s="1"/>
  <c r="BW44" i="16" s="1"/>
  <c r="BW43" i="16" s="1"/>
  <c r="BW42" i="16" s="1"/>
  <c r="BW41" i="16" s="1"/>
  <c r="BW40" i="16" s="1"/>
  <c r="BW39" i="16" s="1"/>
  <c r="BW38" i="16" s="1"/>
  <c r="BW37" i="16" s="1"/>
  <c r="BW36" i="16" s="1"/>
  <c r="BW35" i="16" s="1"/>
  <c r="BW34" i="16" s="1"/>
  <c r="BW33" i="16" s="1"/>
  <c r="BW32" i="16" s="1"/>
  <c r="BW31" i="16" s="1"/>
  <c r="BW30" i="16" s="1"/>
  <c r="BW29" i="16" s="1"/>
  <c r="BW28" i="16" s="1"/>
  <c r="BW27" i="16" s="1"/>
  <c r="BW26" i="16" s="1"/>
  <c r="BW25" i="16" s="1"/>
  <c r="BW24" i="16" s="1"/>
  <c r="BW23" i="16" s="1"/>
  <c r="BW22" i="16" s="1"/>
  <c r="BO20" i="16"/>
  <c r="CB44" i="16"/>
  <c r="CK28" i="16"/>
  <c r="CK27" i="16"/>
  <c r="CK33" i="16"/>
  <c r="CK40" i="16"/>
  <c r="CK38" i="16"/>
  <c r="CK31" i="16"/>
  <c r="CK32" i="16"/>
  <c r="CK42" i="16"/>
  <c r="CH66" i="16"/>
  <c r="CK39" i="16"/>
  <c r="CK37" i="16"/>
  <c r="CK29" i="16"/>
  <c r="CK35" i="16"/>
  <c r="CK34" i="16"/>
  <c r="CK41" i="16"/>
  <c r="CK36" i="16"/>
  <c r="CK30" i="16"/>
  <c r="CJ67" i="16"/>
  <c r="CH67" i="16"/>
  <c r="CI67" i="16"/>
  <c r="CK67" i="16"/>
  <c r="CE35" i="16"/>
  <c r="CB47" i="16"/>
  <c r="CE44" i="16"/>
  <c r="CI66" i="16"/>
  <c r="CD58" i="16"/>
  <c r="CD46" i="16"/>
  <c r="CD34" i="16"/>
  <c r="CC59" i="16"/>
  <c r="CB35" i="16"/>
  <c r="CD44" i="16"/>
  <c r="CC47" i="16"/>
  <c r="CK66" i="16"/>
  <c r="CC35" i="16"/>
  <c r="CD56" i="16"/>
  <c r="CB56" i="16"/>
  <c r="CC56" i="16"/>
  <c r="CC32" i="16"/>
  <c r="CB65" i="16"/>
  <c r="CD32" i="16"/>
  <c r="CC62" i="16"/>
  <c r="CE34" i="16"/>
  <c r="CD67" i="16"/>
  <c r="CB43" i="16"/>
  <c r="CE38" i="16"/>
  <c r="CE47" i="16"/>
  <c r="CD43" i="16"/>
  <c r="CE67" i="16"/>
  <c r="CE59" i="16"/>
  <c r="CD31" i="16"/>
  <c r="CC50" i="16"/>
  <c r="CD40" i="16"/>
  <c r="CE40" i="16"/>
  <c r="CD55" i="16"/>
  <c r="CB32" i="16"/>
  <c r="CE53" i="16"/>
  <c r="CD50" i="16"/>
  <c r="CE32" i="16"/>
  <c r="CB38" i="16"/>
  <c r="CE61" i="16"/>
  <c r="CB50" i="16"/>
  <c r="CB53" i="16"/>
  <c r="CE58" i="16"/>
  <c r="CE50" i="16"/>
  <c r="CE46" i="16"/>
  <c r="CB51" i="16"/>
  <c r="CC51" i="16"/>
  <c r="CD51" i="16"/>
  <c r="CE51" i="16"/>
  <c r="CB30" i="16"/>
  <c r="CC30" i="16"/>
  <c r="CE30" i="16"/>
  <c r="CD30" i="16"/>
  <c r="CE49" i="16"/>
  <c r="CB67" i="16"/>
  <c r="CC67" i="16"/>
  <c r="CB64" i="16"/>
  <c r="CC64" i="16"/>
  <c r="CB36" i="16"/>
  <c r="CC36" i="16"/>
  <c r="CD36" i="16"/>
  <c r="CE36" i="16"/>
  <c r="CC55" i="16"/>
  <c r="CB55" i="16"/>
  <c r="CD65" i="16"/>
  <c r="CD53" i="16"/>
  <c r="CD41" i="16"/>
  <c r="CD29" i="16"/>
  <c r="CC65" i="16"/>
  <c r="CC53" i="16"/>
  <c r="CE62" i="16"/>
  <c r="CE64" i="16"/>
  <c r="CB27" i="16"/>
  <c r="CE27" i="16"/>
  <c r="CC27" i="16"/>
  <c r="CD27" i="16"/>
  <c r="CD64" i="16"/>
  <c r="CD52" i="16"/>
  <c r="CD28" i="16"/>
  <c r="CB49" i="16"/>
  <c r="CC49" i="16"/>
  <c r="CC37" i="16"/>
  <c r="CB37" i="16"/>
  <c r="CC63" i="16"/>
  <c r="CD63" i="16"/>
  <c r="CE63" i="16"/>
  <c r="CB63" i="16"/>
  <c r="CB41" i="16"/>
  <c r="CC61" i="16"/>
  <c r="CB61" i="16"/>
  <c r="CB52" i="16"/>
  <c r="CC52" i="16"/>
  <c r="CE29" i="16"/>
  <c r="CE52" i="16"/>
  <c r="CC48" i="16"/>
  <c r="CD48" i="16"/>
  <c r="CE48" i="16"/>
  <c r="CB48" i="16"/>
  <c r="CC41" i="16"/>
  <c r="CC54" i="16"/>
  <c r="CD54" i="16"/>
  <c r="CB54" i="16"/>
  <c r="CE54" i="16"/>
  <c r="CB40" i="16"/>
  <c r="CC40" i="16"/>
  <c r="CB58" i="16"/>
  <c r="CC58" i="16"/>
  <c r="CD62" i="16"/>
  <c r="CD38" i="16"/>
  <c r="CJ66" i="16"/>
  <c r="CC44" i="16"/>
  <c r="CD33" i="16"/>
  <c r="CE33" i="16"/>
  <c r="CB33" i="16"/>
  <c r="CC33" i="16"/>
  <c r="CC28" i="16"/>
  <c r="CB28" i="16"/>
  <c r="CB59" i="16"/>
  <c r="CB62" i="16"/>
  <c r="CE41" i="16"/>
  <c r="CE37" i="16"/>
  <c r="CE43" i="16"/>
  <c r="CE28" i="16"/>
  <c r="CD61" i="16"/>
  <c r="CD49" i="16"/>
  <c r="CD37" i="16"/>
  <c r="CB46" i="16"/>
  <c r="CC46" i="16"/>
  <c r="CC60" i="16"/>
  <c r="CD60" i="16"/>
  <c r="CB60" i="16"/>
  <c r="CE60" i="16"/>
  <c r="CC43" i="16"/>
  <c r="CB42" i="16"/>
  <c r="CC42" i="16"/>
  <c r="CD42" i="16"/>
  <c r="CE42" i="16"/>
  <c r="CB57" i="16"/>
  <c r="CC57" i="16"/>
  <c r="CD57" i="16"/>
  <c r="CE57" i="16"/>
  <c r="CC31" i="16"/>
  <c r="CB31" i="16"/>
  <c r="CC66" i="16"/>
  <c r="CD66" i="16"/>
  <c r="CB66" i="16"/>
  <c r="CE66" i="16"/>
  <c r="CE31" i="16"/>
  <c r="CE55" i="16"/>
  <c r="CC38" i="16"/>
  <c r="CC29" i="16"/>
  <c r="CB29" i="16"/>
  <c r="CB34" i="16"/>
  <c r="CC34" i="16"/>
  <c r="CE65" i="16"/>
  <c r="CB39" i="16"/>
  <c r="CC39" i="16"/>
  <c r="CD39" i="16"/>
  <c r="CE39" i="16"/>
  <c r="CE56" i="16"/>
  <c r="CC45" i="16"/>
  <c r="CB45" i="16"/>
  <c r="CD45" i="16"/>
  <c r="CE45" i="16"/>
  <c r="CD59" i="16"/>
  <c r="CD47" i="16"/>
  <c r="CD35" i="16"/>
  <c r="BO103" i="16" a="1"/>
  <c r="BO103" i="16" s="1"/>
  <c r="BP103" i="16" s="1"/>
  <c r="BO83" i="16" a="1"/>
  <c r="BO83" i="16" s="1"/>
  <c r="BO71" i="16" a="1"/>
  <c r="BO71" i="16" s="1"/>
  <c r="BO70" i="16" a="1"/>
  <c r="BO70" i="16" s="1"/>
  <c r="BO76" i="16" a="1"/>
  <c r="BO76" i="16" s="1"/>
  <c r="BO79" i="16" a="1"/>
  <c r="BO79" i="16" s="1"/>
  <c r="BO68" i="16" a="1"/>
  <c r="BO68" i="16" s="1"/>
  <c r="DS48" i="17"/>
  <c r="C37" i="40" a="1"/>
  <c r="BE91" i="19" l="1"/>
  <c r="BD91" i="19"/>
  <c r="BG91" i="19"/>
  <c r="BF91" i="19"/>
  <c r="DT138" i="43"/>
  <c r="DU138" i="43" s="1"/>
  <c r="DM138" i="43"/>
  <c r="DN137" i="43"/>
  <c r="DR137" i="43"/>
  <c r="DS136" i="43"/>
  <c r="DK139" i="43"/>
  <c r="BT96" i="16"/>
  <c r="BT95" i="16" s="1"/>
  <c r="C37" i="40"/>
  <c r="DH139" i="43"/>
  <c r="DG140" i="43"/>
  <c r="DO140" i="43" s="1"/>
  <c r="DP140" i="43" s="1"/>
  <c r="DQ139" i="43"/>
  <c r="DI439" i="43"/>
  <c r="DK737" i="43"/>
  <c r="DP736" i="43"/>
  <c r="DI737" i="43"/>
  <c r="DO737" i="43"/>
  <c r="BW21" i="16" a="1"/>
  <c r="BW21" i="16" s="1"/>
  <c r="BO66" i="16" a="1"/>
  <c r="BO66" i="16" s="1"/>
  <c r="BO88" i="16" a="1"/>
  <c r="BO88" i="16" s="1"/>
  <c r="BO67" i="16" a="1"/>
  <c r="BO67" i="16" s="1"/>
  <c r="BO94" i="16" a="1"/>
  <c r="BO94" i="16" s="1"/>
  <c r="BO72" i="16" a="1"/>
  <c r="BO72" i="16" s="1"/>
  <c r="BO80" i="16" a="1"/>
  <c r="BO80" i="16" s="1"/>
  <c r="BO73" i="16" a="1"/>
  <c r="BO73" i="16" s="1"/>
  <c r="BO100" i="16" a="1"/>
  <c r="BO100" i="16" s="1"/>
  <c r="BP100" i="16" s="1"/>
  <c r="BO90" i="16" a="1"/>
  <c r="BO90" i="16" s="1"/>
  <c r="BO82" i="16" a="1"/>
  <c r="BO82" i="16" s="1"/>
  <c r="DT48" i="17"/>
  <c r="C13" i="40" a="1"/>
  <c r="C22" i="40" a="1"/>
  <c r="DT139" i="43" l="1"/>
  <c r="DU139" i="43" s="1"/>
  <c r="BF90" i="19"/>
  <c r="BG90" i="19"/>
  <c r="BD90" i="19"/>
  <c r="BE90" i="19"/>
  <c r="DK140" i="43"/>
  <c r="DS137" i="43"/>
  <c r="DR138" i="43"/>
  <c r="DN138" i="43"/>
  <c r="DM139" i="43"/>
  <c r="CA60" i="16"/>
  <c r="DH140" i="43"/>
  <c r="DG141" i="43"/>
  <c r="DO141" i="43" s="1"/>
  <c r="DP141" i="43" s="1"/>
  <c r="DQ140" i="43"/>
  <c r="DT140" i="43" s="1"/>
  <c r="DU140" i="43" s="1"/>
  <c r="DI440" i="43"/>
  <c r="DP737" i="43"/>
  <c r="DI738" i="43"/>
  <c r="DO738" i="43"/>
  <c r="DK738" i="43"/>
  <c r="C22" i="40"/>
  <c r="C13" i="40"/>
  <c r="CA59" i="16"/>
  <c r="BT94" i="16"/>
  <c r="BO77" i="16" a="1"/>
  <c r="BO77" i="16" s="1"/>
  <c r="BO86" i="16" a="1"/>
  <c r="BO86" i="16" s="1"/>
  <c r="BO64" i="16" a="1"/>
  <c r="BO64" i="16" s="1"/>
  <c r="BO95" i="16" a="1"/>
  <c r="BO95" i="16" s="1"/>
  <c r="BO75" i="16" a="1"/>
  <c r="BO75" i="16" s="1"/>
  <c r="BO89" i="16" a="1"/>
  <c r="BO89" i="16" s="1"/>
  <c r="BO74" i="16" a="1"/>
  <c r="BO74" i="16" s="1"/>
  <c r="BO92" i="16" a="1"/>
  <c r="BO92" i="16" s="1"/>
  <c r="BO102" i="16" a="1"/>
  <c r="BO102" i="16" s="1"/>
  <c r="BP102" i="16" s="1"/>
  <c r="BO98" i="16" a="1"/>
  <c r="BO98" i="16" s="1"/>
  <c r="BP98" i="16" s="1"/>
  <c r="BO85" i="16" a="1"/>
  <c r="BO85" i="16" s="1"/>
  <c r="BO81" i="16" a="1"/>
  <c r="BO81" i="16" s="1"/>
  <c r="BO96" i="16" a="1"/>
  <c r="BO96" i="16" s="1"/>
  <c r="BO97" i="16" a="1"/>
  <c r="BO97" i="16" s="1"/>
  <c r="BO84" i="16" a="1"/>
  <c r="BO84" i="16" s="1"/>
  <c r="BO78" i="16" a="1"/>
  <c r="BO78" i="16" s="1"/>
  <c r="BO87" i="16" a="1"/>
  <c r="BO87" i="16" s="1"/>
  <c r="BO101" i="16" a="1"/>
  <c r="BO101" i="16" s="1"/>
  <c r="BP101" i="16" s="1"/>
  <c r="BO69" i="16" a="1"/>
  <c r="BO69" i="16" s="1"/>
  <c r="BO91" i="16" a="1"/>
  <c r="BO91" i="16" s="1"/>
  <c r="BO99" i="16" a="1"/>
  <c r="BO99" i="16" s="1"/>
  <c r="BP99" i="16" s="1"/>
  <c r="BO65" i="16" a="1"/>
  <c r="BO65" i="16" s="1"/>
  <c r="BO93" i="16" a="1"/>
  <c r="BO93" i="16" s="1"/>
  <c r="DU48" i="17"/>
  <c r="C14" i="40" a="1"/>
  <c r="C23" i="40" a="1"/>
  <c r="C34" i="40" a="1"/>
  <c r="C35" i="40" a="1"/>
  <c r="BE89" i="19" l="1"/>
  <c r="BD89" i="19"/>
  <c r="BG89" i="19"/>
  <c r="BF89" i="19"/>
  <c r="DM140" i="43"/>
  <c r="DN140" i="43" s="1"/>
  <c r="DN139" i="43"/>
  <c r="DS138" i="43"/>
  <c r="DR139" i="43"/>
  <c r="DK141" i="43"/>
  <c r="BP97" i="16"/>
  <c r="BP96" i="16" s="1"/>
  <c r="BP95" i="16" s="1"/>
  <c r="BP94" i="16" s="1"/>
  <c r="BP93" i="16" s="1"/>
  <c r="BP92" i="16" s="1"/>
  <c r="BP91" i="16" s="1"/>
  <c r="BP90" i="16" s="1"/>
  <c r="BP89" i="16" s="1"/>
  <c r="BP88" i="16" s="1"/>
  <c r="BP87" i="16" s="1"/>
  <c r="BP86" i="16" s="1"/>
  <c r="BP85" i="16" s="1"/>
  <c r="BP84" i="16" s="1"/>
  <c r="BP83" i="16" s="1"/>
  <c r="BP82" i="16" s="1"/>
  <c r="BP81" i="16" s="1"/>
  <c r="BP80" i="16" s="1"/>
  <c r="BP79" i="16" s="1"/>
  <c r="BP78" i="16" s="1"/>
  <c r="BP77" i="16" s="1"/>
  <c r="BP76" i="16" s="1"/>
  <c r="BP75" i="16" s="1"/>
  <c r="BP74" i="16" s="1"/>
  <c r="BP73" i="16" s="1"/>
  <c r="BP72" i="16" s="1"/>
  <c r="BP71" i="16" s="1"/>
  <c r="BP70" i="16" s="1"/>
  <c r="BP69" i="16" s="1"/>
  <c r="BP68" i="16" s="1"/>
  <c r="BP67" i="16" s="1"/>
  <c r="BP66" i="16" s="1"/>
  <c r="BP65" i="16" s="1"/>
  <c r="BP64" i="16" s="1"/>
  <c r="DH141" i="43"/>
  <c r="DG142" i="43"/>
  <c r="DO142" i="43" s="1"/>
  <c r="DP142" i="43" s="1"/>
  <c r="DQ141" i="43"/>
  <c r="DT141" i="43" s="1"/>
  <c r="DU141" i="43" s="1"/>
  <c r="DK739" i="43"/>
  <c r="DP738" i="43"/>
  <c r="DI739" i="43"/>
  <c r="DO739" i="43"/>
  <c r="C34" i="40"/>
  <c r="C35" i="40"/>
  <c r="C23" i="40"/>
  <c r="C14" i="40"/>
  <c r="CA58" i="16"/>
  <c r="BT93" i="16"/>
  <c r="BO63" i="16" a="1"/>
  <c r="BO63" i="16" s="1"/>
  <c r="BO62" i="16" a="1"/>
  <c r="BO62" i="16" s="1"/>
  <c r="CH65" i="16"/>
  <c r="CI65" i="16"/>
  <c r="CJ65" i="16"/>
  <c r="CK65" i="16"/>
  <c r="DV48" i="17"/>
  <c r="BT34" i="19" l="1"/>
  <c r="BF88" i="19"/>
  <c r="BR34" i="19"/>
  <c r="BD88" i="19"/>
  <c r="BU34" i="19"/>
  <c r="BG88" i="19"/>
  <c r="BS34" i="19"/>
  <c r="BE88" i="19"/>
  <c r="DM141" i="43"/>
  <c r="DN141" i="43" s="1"/>
  <c r="DK142" i="43"/>
  <c r="DR140" i="43"/>
  <c r="DS139" i="43"/>
  <c r="DH142" i="43"/>
  <c r="DG143" i="43"/>
  <c r="DH143" i="43" s="1"/>
  <c r="DQ142" i="43"/>
  <c r="DT142" i="43" s="1"/>
  <c r="DU142" i="43" s="1"/>
  <c r="DP739" i="43"/>
  <c r="DI740" i="43"/>
  <c r="DO740" i="43"/>
  <c r="DK740" i="43"/>
  <c r="BX16" i="19"/>
  <c r="BW16" i="19"/>
  <c r="CT6" i="19" s="1"/>
  <c r="BW39" i="19"/>
  <c r="CT29" i="19" s="1"/>
  <c r="CA39" i="19"/>
  <c r="BY39" i="19"/>
  <c r="BZ39" i="19"/>
  <c r="BX39" i="19"/>
  <c r="BU36" i="19"/>
  <c r="BT36" i="19"/>
  <c r="BR36" i="19"/>
  <c r="BS36" i="19"/>
  <c r="BQ36" i="19"/>
  <c r="CT53" i="19" s="1"/>
  <c r="BT28" i="19"/>
  <c r="BR28" i="19"/>
  <c r="BS28" i="19"/>
  <c r="BQ28" i="19"/>
  <c r="CT45" i="19" s="1"/>
  <c r="BU28" i="19"/>
  <c r="BR39" i="19"/>
  <c r="BT39" i="19"/>
  <c r="BS39" i="19"/>
  <c r="BU39" i="19"/>
  <c r="BQ39" i="19"/>
  <c r="CT56" i="19" s="1"/>
  <c r="BS37" i="19"/>
  <c r="BR37" i="19"/>
  <c r="BQ37" i="19"/>
  <c r="CT54" i="19" s="1"/>
  <c r="BT37" i="19"/>
  <c r="BU37" i="19"/>
  <c r="BR19" i="19"/>
  <c r="BQ19" i="19"/>
  <c r="CT36" i="19" s="1"/>
  <c r="BS19" i="19"/>
  <c r="BU19" i="19"/>
  <c r="BT19" i="19"/>
  <c r="BT20" i="19"/>
  <c r="BQ20" i="19"/>
  <c r="CT37" i="19" s="1"/>
  <c r="BS20" i="19"/>
  <c r="BU20" i="19"/>
  <c r="BR20" i="19"/>
  <c r="BR43" i="19"/>
  <c r="BT43" i="19"/>
  <c r="BS43" i="19"/>
  <c r="CT60" i="19"/>
  <c r="BU43" i="19"/>
  <c r="BS41" i="19"/>
  <c r="BQ41" i="19"/>
  <c r="CT58" i="19" s="1"/>
  <c r="BR41" i="19"/>
  <c r="BU41" i="19"/>
  <c r="BT41" i="19"/>
  <c r="BQ35" i="19"/>
  <c r="CT52" i="19" s="1"/>
  <c r="BR35" i="19"/>
  <c r="BS35" i="19"/>
  <c r="BU35" i="19"/>
  <c r="BT35" i="19"/>
  <c r="BQ32" i="19"/>
  <c r="CT49" i="19" s="1"/>
  <c r="BQ27" i="19"/>
  <c r="CT44" i="19" s="1"/>
  <c r="BR27" i="19"/>
  <c r="BU27" i="19"/>
  <c r="BT27" i="19"/>
  <c r="BS27" i="19"/>
  <c r="BU24" i="19"/>
  <c r="BT24" i="19"/>
  <c r="BR24" i="19"/>
  <c r="BS24" i="19"/>
  <c r="BQ17" i="19"/>
  <c r="CT34" i="19" s="1"/>
  <c r="BT17" i="19"/>
  <c r="BU17" i="19"/>
  <c r="BS17" i="19"/>
  <c r="BR17" i="19"/>
  <c r="CA38" i="19"/>
  <c r="BW38" i="19"/>
  <c r="CT28" i="19" s="1"/>
  <c r="BY38" i="19"/>
  <c r="BZ38" i="19"/>
  <c r="BX38" i="19"/>
  <c r="BY37" i="19"/>
  <c r="CA37" i="19"/>
  <c r="BZ37" i="19"/>
  <c r="BW37" i="19"/>
  <c r="CT27" i="19" s="1"/>
  <c r="BX37" i="19"/>
  <c r="BW36" i="19"/>
  <c r="CT26" i="19" s="1"/>
  <c r="BY36" i="19"/>
  <c r="BX36" i="19"/>
  <c r="BZ36" i="19"/>
  <c r="CA36" i="19"/>
  <c r="BX35" i="19"/>
  <c r="BZ35" i="19"/>
  <c r="CA35" i="19"/>
  <c r="BW35" i="19"/>
  <c r="CT25" i="19" s="1"/>
  <c r="BY35" i="19"/>
  <c r="BX34" i="19"/>
  <c r="BZ34" i="19"/>
  <c r="BW34" i="19"/>
  <c r="CT24" i="19" s="1"/>
  <c r="BY34" i="19"/>
  <c r="CA34" i="19"/>
  <c r="BY33" i="19"/>
  <c r="CA33" i="19"/>
  <c r="BZ33" i="19"/>
  <c r="BW33" i="19"/>
  <c r="CT23" i="19" s="1"/>
  <c r="BX33" i="19"/>
  <c r="BY16" i="19"/>
  <c r="CA16" i="19"/>
  <c r="BZ16" i="19"/>
  <c r="BT42" i="19"/>
  <c r="BU42" i="19"/>
  <c r="BS42" i="19"/>
  <c r="BR42" i="19"/>
  <c r="BQ42" i="19"/>
  <c r="CT59" i="19" s="1"/>
  <c r="BR40" i="19"/>
  <c r="BU40" i="19"/>
  <c r="BS40" i="19"/>
  <c r="BQ40" i="19"/>
  <c r="CT57" i="19" s="1"/>
  <c r="BT40" i="19"/>
  <c r="BQ33" i="19"/>
  <c r="CT50" i="19" s="1"/>
  <c r="BQ30" i="19"/>
  <c r="CT47" i="19" s="1"/>
  <c r="BS30" i="19"/>
  <c r="BT30" i="19"/>
  <c r="BR30" i="19"/>
  <c r="BU30" i="19"/>
  <c r="BR26" i="19"/>
  <c r="BS26" i="19"/>
  <c r="BT26" i="19"/>
  <c r="BU26" i="19"/>
  <c r="BQ26" i="19"/>
  <c r="CT43" i="19" s="1"/>
  <c r="BR22" i="19"/>
  <c r="BS22" i="19"/>
  <c r="BU22" i="19"/>
  <c r="BQ22" i="19"/>
  <c r="CT39" i="19" s="1"/>
  <c r="BT22" i="19"/>
  <c r="BU18" i="19"/>
  <c r="BT18" i="19"/>
  <c r="BQ18" i="19"/>
  <c r="CT35" i="19" s="1"/>
  <c r="BR18" i="19"/>
  <c r="BS18" i="19"/>
  <c r="BY41" i="19"/>
  <c r="BX41" i="19"/>
  <c r="BZ41" i="19"/>
  <c r="BW41" i="19"/>
  <c r="CT31" i="19" s="1"/>
  <c r="CA41" i="19"/>
  <c r="BW30" i="19"/>
  <c r="CT20" i="19" s="1"/>
  <c r="BY30" i="19"/>
  <c r="BZ30" i="19"/>
  <c r="BX30" i="19"/>
  <c r="CA30" i="19"/>
  <c r="BW29" i="19"/>
  <c r="CT19" i="19" s="1"/>
  <c r="CA29" i="19"/>
  <c r="BY29" i="19"/>
  <c r="BX29" i="19"/>
  <c r="BZ29" i="19"/>
  <c r="BX27" i="19"/>
  <c r="BY27" i="19"/>
  <c r="BW27" i="19"/>
  <c r="CT17" i="19" s="1"/>
  <c r="BZ27" i="19"/>
  <c r="CA27" i="19"/>
  <c r="BY26" i="19"/>
  <c r="BX26" i="19"/>
  <c r="BW26" i="19"/>
  <c r="CT16" i="19" s="1"/>
  <c r="BZ26" i="19"/>
  <c r="CA26" i="19"/>
  <c r="BW25" i="19"/>
  <c r="CT15" i="19" s="1"/>
  <c r="BY25" i="19"/>
  <c r="CA25" i="19"/>
  <c r="BX25" i="19"/>
  <c r="BZ25" i="19"/>
  <c r="CA23" i="19"/>
  <c r="BY23" i="19"/>
  <c r="BW23" i="19"/>
  <c r="CT13" i="19" s="1"/>
  <c r="BZ23" i="19"/>
  <c r="BX23" i="19"/>
  <c r="BY31" i="19"/>
  <c r="BZ31" i="19"/>
  <c r="BW31" i="19"/>
  <c r="CT21" i="19" s="1"/>
  <c r="BX31" i="19"/>
  <c r="CA31" i="19"/>
  <c r="BR38" i="19"/>
  <c r="BT38" i="19"/>
  <c r="BU38" i="19"/>
  <c r="BS38" i="19"/>
  <c r="BQ38" i="19"/>
  <c r="CT55" i="19" s="1"/>
  <c r="BQ34" i="19"/>
  <c r="CT51" i="19" s="1"/>
  <c r="BQ31" i="19"/>
  <c r="CT48" i="19" s="1"/>
  <c r="BT29" i="19"/>
  <c r="BU29" i="19"/>
  <c r="BR29" i="19"/>
  <c r="BQ29" i="19"/>
  <c r="CT46" i="19" s="1"/>
  <c r="BS29" i="19"/>
  <c r="BU25" i="19"/>
  <c r="BS25" i="19"/>
  <c r="BQ25" i="19"/>
  <c r="CT42" i="19" s="1"/>
  <c r="BR25" i="19"/>
  <c r="BT25" i="19"/>
  <c r="BT23" i="19"/>
  <c r="BQ23" i="19"/>
  <c r="CT40" i="19" s="1"/>
  <c r="BU23" i="19"/>
  <c r="BS23" i="19"/>
  <c r="BR23" i="19"/>
  <c r="BU21" i="19"/>
  <c r="BR21" i="19"/>
  <c r="BQ21" i="19"/>
  <c r="CT38" i="19" s="1"/>
  <c r="BT21" i="19"/>
  <c r="BS21" i="19"/>
  <c r="BX42" i="19"/>
  <c r="BZ42" i="19"/>
  <c r="BW42" i="19"/>
  <c r="CT32" i="19" s="1"/>
  <c r="CA42" i="19"/>
  <c r="BY42" i="19"/>
  <c r="BX40" i="19"/>
  <c r="BW40" i="19"/>
  <c r="CT30" i="19" s="1"/>
  <c r="CA40" i="19"/>
  <c r="BZ40" i="19"/>
  <c r="BY40" i="19"/>
  <c r="BY32" i="19"/>
  <c r="BW32" i="19"/>
  <c r="CT22" i="19" s="1"/>
  <c r="BX32" i="19"/>
  <c r="CA32" i="19"/>
  <c r="BZ32" i="19"/>
  <c r="BY28" i="19"/>
  <c r="CA28" i="19"/>
  <c r="BX28" i="19"/>
  <c r="BW28" i="19"/>
  <c r="CT18" i="19" s="1"/>
  <c r="BZ28" i="19"/>
  <c r="BW24" i="19"/>
  <c r="CT14" i="19" s="1"/>
  <c r="BZ24" i="19"/>
  <c r="BX24" i="19"/>
  <c r="BY24" i="19"/>
  <c r="CA24" i="19"/>
  <c r="BZ22" i="19"/>
  <c r="BX22" i="19"/>
  <c r="CA22" i="19"/>
  <c r="BY22" i="19"/>
  <c r="BW22" i="19"/>
  <c r="CT12" i="19" s="1"/>
  <c r="BX21" i="19"/>
  <c r="BY21" i="19"/>
  <c r="BZ21" i="19"/>
  <c r="CA21" i="19"/>
  <c r="BW21" i="19"/>
  <c r="CT11" i="19" s="1"/>
  <c r="BY20" i="19"/>
  <c r="BW20" i="19"/>
  <c r="CT10" i="19" s="1"/>
  <c r="BZ20" i="19"/>
  <c r="CA20" i="19"/>
  <c r="BX20" i="19"/>
  <c r="BX19" i="19"/>
  <c r="CA19" i="19"/>
  <c r="BW19" i="19"/>
  <c r="CT9" i="19" s="1"/>
  <c r="BY19" i="19"/>
  <c r="BZ19" i="19"/>
  <c r="CA18" i="19"/>
  <c r="BX18" i="19"/>
  <c r="BW18" i="19"/>
  <c r="CT8" i="19" s="1"/>
  <c r="BZ18" i="19"/>
  <c r="BY18" i="19"/>
  <c r="CA17" i="19"/>
  <c r="BZ17" i="19"/>
  <c r="BX17" i="19"/>
  <c r="BW17" i="19"/>
  <c r="CT7" i="19" s="1"/>
  <c r="BY17" i="19"/>
  <c r="CA57" i="16"/>
  <c r="BT92" i="16"/>
  <c r="BP63" i="16"/>
  <c r="BP62" i="16" s="1"/>
  <c r="BO61" i="16" a="1"/>
  <c r="BO61" i="16" s="1"/>
  <c r="CH64" i="16"/>
  <c r="CK64" i="16"/>
  <c r="CI64" i="16"/>
  <c r="CJ64" i="16"/>
  <c r="DW48" i="17"/>
  <c r="BE87" i="19" l="1"/>
  <c r="BG87" i="19"/>
  <c r="BD87" i="19"/>
  <c r="BF87" i="19"/>
  <c r="BQ24" i="19"/>
  <c r="CT41" i="19" s="1"/>
  <c r="DM142" i="43"/>
  <c r="DN142" i="43" s="1"/>
  <c r="DR141" i="43"/>
  <c r="DS140" i="43"/>
  <c r="DK143" i="43"/>
  <c r="DO143" i="43"/>
  <c r="DG144" i="43"/>
  <c r="DH144" i="43" s="1"/>
  <c r="DI443" i="43"/>
  <c r="DK741" i="43"/>
  <c r="DP740" i="43"/>
  <c r="DI741" i="43"/>
  <c r="DO741" i="43"/>
  <c r="BT16" i="19"/>
  <c r="BZ43" i="19"/>
  <c r="CA43" i="19"/>
  <c r="BU16" i="19"/>
  <c r="BS16" i="19"/>
  <c r="BY43" i="19"/>
  <c r="BW43" i="19"/>
  <c r="CT33" i="19" s="1"/>
  <c r="BX43" i="19"/>
  <c r="BR16" i="19"/>
  <c r="CA56" i="16"/>
  <c r="BT91" i="16"/>
  <c r="E16" i="19"/>
  <c r="F1" i="19" s="1"/>
  <c r="F2" i="19" s="1"/>
  <c r="C1" i="19"/>
  <c r="BP61" i="16"/>
  <c r="BO60" i="16" a="1"/>
  <c r="BO60" i="16" s="1"/>
  <c r="CI63" i="16"/>
  <c r="CH63" i="16"/>
  <c r="CJ63" i="16"/>
  <c r="DX48" i="17"/>
  <c r="BG86" i="19" l="1"/>
  <c r="BU33" i="19"/>
  <c r="BF86" i="19"/>
  <c r="BT33" i="19"/>
  <c r="BD86" i="19"/>
  <c r="BR33" i="19"/>
  <c r="BE86" i="19"/>
  <c r="BS33" i="19"/>
  <c r="DM143" i="43"/>
  <c r="DN143" i="43" s="1"/>
  <c r="DK144" i="43"/>
  <c r="DS141" i="43"/>
  <c r="DR142" i="43"/>
  <c r="DO144" i="43"/>
  <c r="DG145" i="43"/>
  <c r="DO145" i="43" s="1"/>
  <c r="DP145" i="43" s="1"/>
  <c r="DP143" i="43"/>
  <c r="DQ143" i="43" s="1"/>
  <c r="DT143" i="43" s="1"/>
  <c r="DU143" i="43" s="1"/>
  <c r="DI742" i="43"/>
  <c r="DO742" i="43"/>
  <c r="DP741" i="43"/>
  <c r="DK742" i="43"/>
  <c r="CA55" i="16"/>
  <c r="BT90" i="16"/>
  <c r="BP60" i="16"/>
  <c r="F3" i="19"/>
  <c r="G2" i="19"/>
  <c r="H2" i="19" s="1"/>
  <c r="I2" i="19" s="1" a="1"/>
  <c r="I2" i="19" s="1"/>
  <c r="BO59" i="16" a="1"/>
  <c r="BO59" i="16" s="1"/>
  <c r="CK63" i="16"/>
  <c r="CJ62" i="16"/>
  <c r="CI62" i="16"/>
  <c r="CK62" i="16"/>
  <c r="CH62" i="16"/>
  <c r="DY48" i="17"/>
  <c r="BS31" i="19" l="1"/>
  <c r="BE84" i="19"/>
  <c r="BR31" i="19"/>
  <c r="BD84" i="19"/>
  <c r="BT31" i="19"/>
  <c r="BF84" i="19"/>
  <c r="BU31" i="19"/>
  <c r="BG84" i="19"/>
  <c r="BD85" i="19"/>
  <c r="BR32" i="19"/>
  <c r="BF85" i="19"/>
  <c r="BT32" i="19"/>
  <c r="BE85" i="19"/>
  <c r="BS32" i="19"/>
  <c r="BG85" i="19"/>
  <c r="BU32" i="19"/>
  <c r="DR143" i="43"/>
  <c r="DS142" i="43"/>
  <c r="DP144" i="43"/>
  <c r="DQ144" i="43" s="1"/>
  <c r="DT144" i="43" s="1"/>
  <c r="DU144" i="43" s="1"/>
  <c r="DM144" i="43"/>
  <c r="DN144" i="43" s="1"/>
  <c r="DK145" i="43"/>
  <c r="DH145" i="43"/>
  <c r="DG146" i="43"/>
  <c r="DO146" i="43" s="1"/>
  <c r="DP146" i="43" s="1"/>
  <c r="DQ145" i="43"/>
  <c r="DK743" i="43"/>
  <c r="DI743" i="43"/>
  <c r="DO743" i="43"/>
  <c r="DP742" i="43"/>
  <c r="CM27" i="17"/>
  <c r="CM28" i="17" s="1"/>
  <c r="CM29" i="17" s="1"/>
  <c r="CA54" i="16"/>
  <c r="BT89" i="16"/>
  <c r="BP59" i="16"/>
  <c r="F4" i="19"/>
  <c r="G3" i="19"/>
  <c r="H3" i="19" s="1"/>
  <c r="I3" i="19" s="1" a="1"/>
  <c r="I3" i="19" s="1"/>
  <c r="BO58" i="16" a="1"/>
  <c r="BO58" i="16" s="1"/>
  <c r="CI61" i="16"/>
  <c r="CH61" i="16"/>
  <c r="CJ61" i="16"/>
  <c r="CK61" i="16"/>
  <c r="DZ48" i="17"/>
  <c r="DM145" i="43" l="1"/>
  <c r="DN145" i="43" s="1"/>
  <c r="DK146" i="43"/>
  <c r="DT145" i="43"/>
  <c r="DU145" i="43" s="1"/>
  <c r="DS143" i="43"/>
  <c r="DR144" i="43"/>
  <c r="DH146" i="43"/>
  <c r="DG147" i="43"/>
  <c r="DQ146" i="43"/>
  <c r="DI744" i="43"/>
  <c r="DO744" i="43"/>
  <c r="DP743" i="43"/>
  <c r="DK744" i="43"/>
  <c r="CM30" i="17"/>
  <c r="CM31" i="17" s="1"/>
  <c r="CM32" i="17" s="1"/>
  <c r="CM33" i="17" s="1"/>
  <c r="CM34" i="17" s="1"/>
  <c r="CM35" i="17" s="1"/>
  <c r="CK23" i="17" s="1"/>
  <c r="CA53" i="16"/>
  <c r="BT88" i="16"/>
  <c r="BP58" i="16"/>
  <c r="F5" i="19"/>
  <c r="G4" i="19"/>
  <c r="H4" i="19" s="1"/>
  <c r="I4" i="19" s="1" a="1"/>
  <c r="I4" i="19" s="1"/>
  <c r="BO57" i="16" a="1"/>
  <c r="BO57" i="16" s="1"/>
  <c r="CI60" i="16"/>
  <c r="CH60" i="16"/>
  <c r="CJ60" i="16"/>
  <c r="CK60" i="16"/>
  <c r="DM146" i="43" l="1"/>
  <c r="DN146" i="43" s="1"/>
  <c r="DK147" i="43"/>
  <c r="DS144" i="43"/>
  <c r="DR145" i="43"/>
  <c r="DT146" i="43"/>
  <c r="DU146" i="43" s="1"/>
  <c r="DO147" i="43"/>
  <c r="DH147" i="43"/>
  <c r="CM23" i="17" a="1"/>
  <c r="CM23" i="17" s="1"/>
  <c r="EL14" i="17" s="1"/>
  <c r="DG148" i="43"/>
  <c r="DO148" i="43" s="1"/>
  <c r="DP148" i="43" s="1"/>
  <c r="DI447" i="43"/>
  <c r="DI745" i="43"/>
  <c r="DO745" i="43"/>
  <c r="DK745" i="43"/>
  <c r="DP744" i="43"/>
  <c r="CA52" i="16"/>
  <c r="BT87" i="16"/>
  <c r="BP57" i="16"/>
  <c r="F6" i="19"/>
  <c r="G5" i="19"/>
  <c r="H5" i="19" s="1"/>
  <c r="I5" i="19" s="1" a="1"/>
  <c r="I5" i="19" s="1"/>
  <c r="CI59" i="16"/>
  <c r="BO56" i="16" a="1"/>
  <c r="BO56" i="16" s="1"/>
  <c r="CH59" i="16"/>
  <c r="CK59" i="16"/>
  <c r="CJ59" i="16"/>
  <c r="DK148" i="43" l="1"/>
  <c r="DR146" i="43"/>
  <c r="DS145" i="43"/>
  <c r="DP147" i="43"/>
  <c r="DQ147" i="43" s="1"/>
  <c r="DT147" i="43" s="1"/>
  <c r="DU147" i="43" s="1"/>
  <c r="DM147" i="43"/>
  <c r="G85" i="17"/>
  <c r="DH148" i="43"/>
  <c r="DG149" i="43"/>
  <c r="DO149" i="43" s="1"/>
  <c r="DP149" i="43" s="1"/>
  <c r="DQ148" i="43"/>
  <c r="DI448" i="43"/>
  <c r="DI746" i="43"/>
  <c r="DO746" i="43"/>
  <c r="DK746" i="43"/>
  <c r="DP745" i="43"/>
  <c r="CA51" i="16"/>
  <c r="BT86" i="16"/>
  <c r="BP56" i="16"/>
  <c r="G6" i="19"/>
  <c r="H6" i="19" s="1"/>
  <c r="I6" i="19" s="1" a="1"/>
  <c r="I6" i="19" s="1"/>
  <c r="F7" i="19"/>
  <c r="BO55" i="16" a="1"/>
  <c r="BO55" i="16" s="1"/>
  <c r="CI58" i="16"/>
  <c r="CH58" i="16"/>
  <c r="CJ58" i="16"/>
  <c r="CK58" i="16"/>
  <c r="C62" i="40" a="1"/>
  <c r="DN147" i="43" l="1"/>
  <c r="DM148" i="43"/>
  <c r="DN148" i="43" s="1"/>
  <c r="DR147" i="43"/>
  <c r="DS146" i="43"/>
  <c r="DT148" i="43"/>
  <c r="DU148" i="43" s="1"/>
  <c r="DK149" i="43"/>
  <c r="C62" i="40"/>
  <c r="DH149" i="43"/>
  <c r="DG150" i="43"/>
  <c r="DH150" i="43" s="1"/>
  <c r="DQ149" i="43"/>
  <c r="DI449" i="43"/>
  <c r="DI747" i="43"/>
  <c r="DO747" i="43"/>
  <c r="DK747" i="43"/>
  <c r="DP746" i="43"/>
  <c r="BT85" i="16"/>
  <c r="CA50" i="16"/>
  <c r="BP55" i="16"/>
  <c r="F8" i="19"/>
  <c r="G7" i="19"/>
  <c r="H7" i="19" s="1"/>
  <c r="I7" i="19" s="1" a="1"/>
  <c r="I7" i="19" s="1"/>
  <c r="BO54" i="16" a="1"/>
  <c r="BO54" i="16" s="1"/>
  <c r="CH57" i="16"/>
  <c r="CI57" i="16"/>
  <c r="CJ57" i="16"/>
  <c r="CK57" i="16"/>
  <c r="DK150" i="43" l="1"/>
  <c r="DM149" i="43"/>
  <c r="DN149" i="43" s="1"/>
  <c r="DT149" i="43"/>
  <c r="DU149" i="43" s="1"/>
  <c r="DS147" i="43"/>
  <c r="DR148" i="43"/>
  <c r="DO150" i="43"/>
  <c r="DM150" i="43" s="1"/>
  <c r="DN150" i="43" s="1"/>
  <c r="DG151" i="43"/>
  <c r="DH151" i="43" s="1"/>
  <c r="DP747" i="43"/>
  <c r="DI748" i="43"/>
  <c r="DO748" i="43"/>
  <c r="DK748" i="43"/>
  <c r="BT84" i="16"/>
  <c r="CA49" i="16"/>
  <c r="BP54" i="16"/>
  <c r="G8" i="19"/>
  <c r="H8" i="19" s="1"/>
  <c r="I8" i="19" s="1" a="1"/>
  <c r="I8" i="19" s="1"/>
  <c r="F9" i="19"/>
  <c r="BO53" i="16" a="1"/>
  <c r="BO53" i="16" s="1"/>
  <c r="CH56" i="16"/>
  <c r="CI56" i="16"/>
  <c r="CJ56" i="16"/>
  <c r="DS148" i="43" l="1"/>
  <c r="DR149" i="43"/>
  <c r="DK151" i="43"/>
  <c r="DO151" i="43"/>
  <c r="DG152" i="43"/>
  <c r="DH152" i="43" s="1"/>
  <c r="DP150" i="43"/>
  <c r="DQ150" i="43" s="1"/>
  <c r="DT150" i="43" s="1"/>
  <c r="DU150" i="43" s="1"/>
  <c r="DI749" i="43"/>
  <c r="DO749" i="43"/>
  <c r="DK749" i="43"/>
  <c r="DP748" i="43"/>
  <c r="BT83" i="16"/>
  <c r="CA48" i="16"/>
  <c r="BP53" i="16"/>
  <c r="F10" i="19"/>
  <c r="G9" i="19"/>
  <c r="H9" i="19" s="1"/>
  <c r="I9" i="19" s="1" a="1"/>
  <c r="I9" i="19" s="1"/>
  <c r="BO52" i="16" a="1"/>
  <c r="BO52" i="16" s="1"/>
  <c r="CK56" i="16"/>
  <c r="CJ55" i="16"/>
  <c r="CH55" i="16"/>
  <c r="CI55" i="16"/>
  <c r="CK55" i="16"/>
  <c r="DP151" i="43" l="1"/>
  <c r="DQ151" i="43" s="1"/>
  <c r="DT151" i="43" s="1"/>
  <c r="DU151" i="43" s="1"/>
  <c r="DM151" i="43"/>
  <c r="DN151" i="43" s="1"/>
  <c r="DS149" i="43"/>
  <c r="DR150" i="43"/>
  <c r="DK152" i="43"/>
  <c r="DO152" i="43"/>
  <c r="DM152" i="43" s="1"/>
  <c r="DN152" i="43" s="1"/>
  <c r="DG153" i="43"/>
  <c r="DI452" i="43"/>
  <c r="DI750" i="43"/>
  <c r="DO750" i="43"/>
  <c r="DP749" i="43"/>
  <c r="DK750" i="43"/>
  <c r="BT82" i="16"/>
  <c r="CA47" i="16"/>
  <c r="BP52" i="16"/>
  <c r="F11" i="19"/>
  <c r="G10" i="19"/>
  <c r="H10" i="19" s="1"/>
  <c r="I10" i="19" s="1" a="1"/>
  <c r="I10" i="19" s="1"/>
  <c r="BO51" i="16" a="1"/>
  <c r="BO51" i="16" s="1"/>
  <c r="CH54" i="16"/>
  <c r="CI54" i="16"/>
  <c r="CJ54" i="16"/>
  <c r="CK54" i="16"/>
  <c r="DO153" i="43" l="1"/>
  <c r="DH153" i="43"/>
  <c r="DK153" i="43"/>
  <c r="DR151" i="43"/>
  <c r="DS150" i="43"/>
  <c r="DG154" i="43"/>
  <c r="DO154" i="43" s="1"/>
  <c r="DP154" i="43" s="1"/>
  <c r="DP152" i="43"/>
  <c r="DQ152" i="43" s="1"/>
  <c r="DT152" i="43" s="1"/>
  <c r="DU152" i="43" s="1"/>
  <c r="DI751" i="43"/>
  <c r="DO751" i="43"/>
  <c r="DK751" i="43"/>
  <c r="DP750" i="43"/>
  <c r="BT81" i="16"/>
  <c r="CA46" i="16"/>
  <c r="BP51" i="16"/>
  <c r="G11" i="19"/>
  <c r="H11" i="19" s="1"/>
  <c r="I11" i="19" s="1" a="1"/>
  <c r="I11" i="19" s="1"/>
  <c r="F12" i="19"/>
  <c r="CI53" i="16"/>
  <c r="BO50" i="16" a="1"/>
  <c r="BO50" i="16" s="1"/>
  <c r="CH53" i="16"/>
  <c r="CJ53" i="16"/>
  <c r="CK53" i="16"/>
  <c r="DS151" i="43" l="1"/>
  <c r="DR152" i="43"/>
  <c r="DK154" i="43"/>
  <c r="DP153" i="43"/>
  <c r="DQ153" i="43" s="1"/>
  <c r="DT153" i="43" s="1"/>
  <c r="DU153" i="43" s="1"/>
  <c r="DM153" i="43"/>
  <c r="DN153" i="43" s="1"/>
  <c r="DH154" i="43"/>
  <c r="DG155" i="43"/>
  <c r="DH155" i="43" s="1"/>
  <c r="DQ154" i="43"/>
  <c r="DI454" i="43"/>
  <c r="DP751" i="43"/>
  <c r="DI752" i="43"/>
  <c r="DO752" i="43"/>
  <c r="DK752" i="43"/>
  <c r="BT80" i="16"/>
  <c r="CA45" i="16"/>
  <c r="BP50" i="16"/>
  <c r="F13" i="19"/>
  <c r="G12" i="19"/>
  <c r="H12" i="19" s="1"/>
  <c r="I12" i="19" s="1" a="1"/>
  <c r="I12" i="19" s="1"/>
  <c r="CI52" i="16"/>
  <c r="BO49" i="16" a="1"/>
  <c r="BO49" i="16" s="1"/>
  <c r="CH52" i="16"/>
  <c r="CJ52" i="16"/>
  <c r="CK52" i="16"/>
  <c r="DK155" i="43" l="1"/>
  <c r="DR153" i="43"/>
  <c r="DS152" i="43"/>
  <c r="DT154" i="43"/>
  <c r="DU154" i="43" s="1"/>
  <c r="DM154" i="43"/>
  <c r="DN154" i="43" s="1"/>
  <c r="DO155" i="43"/>
  <c r="DG156" i="43"/>
  <c r="DH156" i="43" s="1"/>
  <c r="DI455" i="43"/>
  <c r="DI753" i="43"/>
  <c r="DO753" i="43"/>
  <c r="DP752" i="43"/>
  <c r="DK753" i="43"/>
  <c r="BT79" i="16"/>
  <c r="CA44" i="16"/>
  <c r="BP49" i="16"/>
  <c r="G13" i="19"/>
  <c r="H13" i="19" s="1"/>
  <c r="I13" i="19" s="1" a="1"/>
  <c r="I13" i="19" s="1"/>
  <c r="F14" i="19"/>
  <c r="BO48" i="16" a="1"/>
  <c r="BO48" i="16" s="1"/>
  <c r="CI51" i="16"/>
  <c r="CH51" i="16"/>
  <c r="CJ51" i="16"/>
  <c r="DM155" i="43" l="1"/>
  <c r="DN155" i="43" s="1"/>
  <c r="DS153" i="43"/>
  <c r="DR154" i="43"/>
  <c r="DK156" i="43"/>
  <c r="DO156" i="43"/>
  <c r="DG157" i="43"/>
  <c r="DH157" i="43" s="1"/>
  <c r="DP155" i="43"/>
  <c r="DQ155" i="43" s="1"/>
  <c r="DT155" i="43" s="1"/>
  <c r="DU155" i="43" s="1"/>
  <c r="DI754" i="43"/>
  <c r="DO754" i="43"/>
  <c r="DK754" i="43"/>
  <c r="DP753" i="43"/>
  <c r="BP48" i="16"/>
  <c r="BT78" i="16"/>
  <c r="CA43" i="16"/>
  <c r="CA14" i="16"/>
  <c r="F15" i="19"/>
  <c r="G14" i="19"/>
  <c r="H14" i="19" s="1"/>
  <c r="I14" i="19" s="1" a="1"/>
  <c r="I14" i="19" s="1"/>
  <c r="BO47" i="16" a="1"/>
  <c r="BO47" i="16" s="1"/>
  <c r="CK51" i="16"/>
  <c r="CI50" i="16"/>
  <c r="CH50" i="16"/>
  <c r="CJ50" i="16"/>
  <c r="CK50" i="16"/>
  <c r="DP156" i="43" l="1"/>
  <c r="DQ156" i="43" s="1"/>
  <c r="DT156" i="43" s="1"/>
  <c r="DU156" i="43" s="1"/>
  <c r="DM156" i="43"/>
  <c r="DN156" i="43" s="1"/>
  <c r="DK157" i="43"/>
  <c r="DS154" i="43"/>
  <c r="DR155" i="43"/>
  <c r="DO157" i="43"/>
  <c r="DG158" i="43"/>
  <c r="DO158" i="43" s="1"/>
  <c r="DP158" i="43" s="1"/>
  <c r="DK755" i="43"/>
  <c r="DP754" i="43"/>
  <c r="DI755" i="43"/>
  <c r="DO755" i="43"/>
  <c r="BP47" i="16"/>
  <c r="BT77" i="16"/>
  <c r="CA42" i="16"/>
  <c r="F16" i="19"/>
  <c r="G15" i="19"/>
  <c r="H15" i="19" s="1"/>
  <c r="I15" i="19" s="1" a="1"/>
  <c r="I15" i="19" s="1"/>
  <c r="BO46" i="16" a="1"/>
  <c r="BO46" i="16" s="1"/>
  <c r="CI49" i="16"/>
  <c r="CH49" i="16"/>
  <c r="CK49" i="16"/>
  <c r="CJ49" i="16"/>
  <c r="DM157" i="43" l="1"/>
  <c r="DN157" i="43" s="1"/>
  <c r="DR156" i="43"/>
  <c r="DS155" i="43"/>
  <c r="DK158" i="43"/>
  <c r="BP46" i="16"/>
  <c r="DH158" i="43"/>
  <c r="DG159" i="43"/>
  <c r="DQ158" i="43"/>
  <c r="DP157" i="43"/>
  <c r="DQ157" i="43" s="1"/>
  <c r="DT157" i="43" s="1"/>
  <c r="DU157" i="43" s="1"/>
  <c r="DI458" i="43"/>
  <c r="DI756" i="43"/>
  <c r="DO756" i="43"/>
  <c r="DP755" i="43"/>
  <c r="DK756" i="43"/>
  <c r="BT76" i="16"/>
  <c r="CA41" i="16"/>
  <c r="G16" i="19"/>
  <c r="H16" i="19" s="1"/>
  <c r="I16" i="19" s="1" a="1"/>
  <c r="I16" i="19" s="1"/>
  <c r="F17" i="19"/>
  <c r="BO45" i="16" a="1"/>
  <c r="BO45" i="16" s="1"/>
  <c r="CH48" i="16"/>
  <c r="CI48" i="16"/>
  <c r="CJ48" i="16"/>
  <c r="CK48" i="16"/>
  <c r="BP45" i="16" l="1"/>
  <c r="DM158" i="43"/>
  <c r="DN158" i="43" s="1"/>
  <c r="DT158" i="43"/>
  <c r="DU158" i="43" s="1"/>
  <c r="DK159" i="43"/>
  <c r="DO159" i="43"/>
  <c r="DH159" i="43"/>
  <c r="DR157" i="43"/>
  <c r="DS156" i="43"/>
  <c r="DG160" i="43"/>
  <c r="DH160" i="43" s="1"/>
  <c r="DI459" i="43"/>
  <c r="DK757" i="43"/>
  <c r="DI757" i="43"/>
  <c r="DO757" i="43"/>
  <c r="DP756" i="43"/>
  <c r="BT75" i="16"/>
  <c r="CA40" i="16"/>
  <c r="G17" i="19"/>
  <c r="H17" i="19" s="1"/>
  <c r="I17" i="19" s="1" a="1"/>
  <c r="I17" i="19" s="1"/>
  <c r="F18" i="19"/>
  <c r="CI47" i="16"/>
  <c r="BO44" i="16" a="1"/>
  <c r="BO44" i="16" s="1"/>
  <c r="BP44" i="16" s="1"/>
  <c r="CJ47" i="16"/>
  <c r="CH47" i="16"/>
  <c r="DS157" i="43" l="1"/>
  <c r="DR158" i="43"/>
  <c r="DP159" i="43"/>
  <c r="DQ159" i="43" s="1"/>
  <c r="DT159" i="43" s="1"/>
  <c r="DU159" i="43" s="1"/>
  <c r="DM159" i="43"/>
  <c r="DN159" i="43" s="1"/>
  <c r="DK160" i="43"/>
  <c r="DO160" i="43"/>
  <c r="DM160" i="43" s="1"/>
  <c r="DN160" i="43" s="1"/>
  <c r="DG161" i="43"/>
  <c r="DP757" i="43"/>
  <c r="DI758" i="43"/>
  <c r="DO758" i="43"/>
  <c r="DK758" i="43"/>
  <c r="BT74" i="16"/>
  <c r="CA39" i="16"/>
  <c r="F19" i="19"/>
  <c r="G18" i="19"/>
  <c r="H18" i="19" s="1"/>
  <c r="I18" i="19" s="1" a="1"/>
  <c r="I18" i="19" s="1"/>
  <c r="BO43" i="16" a="1"/>
  <c r="BO43" i="16" s="1"/>
  <c r="BP43" i="16" s="1"/>
  <c r="CK47" i="16"/>
  <c r="CI46" i="16"/>
  <c r="CH46" i="16"/>
  <c r="CJ46" i="16"/>
  <c r="CK46" i="16"/>
  <c r="DK161" i="43" l="1"/>
  <c r="DO161" i="43"/>
  <c r="DH161" i="43"/>
  <c r="DS158" i="43"/>
  <c r="DR159" i="43"/>
  <c r="DG162" i="43"/>
  <c r="DP160" i="43"/>
  <c r="DQ160" i="43" s="1"/>
  <c r="DT160" i="43" s="1"/>
  <c r="DU160" i="43" s="1"/>
  <c r="DI461" i="43"/>
  <c r="DK759" i="43"/>
  <c r="DP758" i="43"/>
  <c r="DI759" i="43"/>
  <c r="DO759" i="43"/>
  <c r="BT73" i="16"/>
  <c r="CA38" i="16"/>
  <c r="G19" i="19"/>
  <c r="H19" i="19" s="1"/>
  <c r="I19" i="19" s="1" a="1"/>
  <c r="I19" i="19" s="1"/>
  <c r="F20" i="19"/>
  <c r="CI45" i="16"/>
  <c r="BO42" i="16" a="1"/>
  <c r="BO42" i="16" s="1"/>
  <c r="BP42" i="16" s="1"/>
  <c r="CH45" i="16"/>
  <c r="CJ45" i="16"/>
  <c r="DR160" i="43" l="1"/>
  <c r="DS159" i="43"/>
  <c r="DP161" i="43"/>
  <c r="DQ161" i="43" s="1"/>
  <c r="DT161" i="43" s="1"/>
  <c r="DU161" i="43" s="1"/>
  <c r="DM161" i="43"/>
  <c r="DN161" i="43" s="1"/>
  <c r="DH162" i="43"/>
  <c r="DO162" i="43"/>
  <c r="DK162" i="43"/>
  <c r="DG163" i="43"/>
  <c r="DO163" i="43" s="1"/>
  <c r="DP163" i="43" s="1"/>
  <c r="DI760" i="43"/>
  <c r="DO760" i="43"/>
  <c r="DP759" i="43"/>
  <c r="DK760" i="43"/>
  <c r="BT72" i="16"/>
  <c r="CA37" i="16"/>
  <c r="G20" i="19"/>
  <c r="H20" i="19" s="1"/>
  <c r="I20" i="19" s="1" a="1"/>
  <c r="I20" i="19" s="1"/>
  <c r="F21" i="19"/>
  <c r="BO41" i="16" a="1"/>
  <c r="BO41" i="16" s="1"/>
  <c r="BP41" i="16" s="1"/>
  <c r="CK45" i="16"/>
  <c r="CK44" i="16"/>
  <c r="CI44" i="16"/>
  <c r="CH44" i="16"/>
  <c r="CJ44" i="16"/>
  <c r="DK163" i="43" l="1"/>
  <c r="DP162" i="43"/>
  <c r="DQ162" i="43" s="1"/>
  <c r="DT162" i="43" s="1"/>
  <c r="DU162" i="43" s="1"/>
  <c r="DM162" i="43"/>
  <c r="DN162" i="43" s="1"/>
  <c r="DS160" i="43"/>
  <c r="DR161" i="43"/>
  <c r="DH163" i="43"/>
  <c r="DG164" i="43"/>
  <c r="DO164" i="43" s="1"/>
  <c r="DP164" i="43" s="1"/>
  <c r="DQ163" i="43"/>
  <c r="DI463" i="43"/>
  <c r="DI761" i="43"/>
  <c r="DO761" i="43"/>
  <c r="DP760" i="43"/>
  <c r="DK761" i="43"/>
  <c r="BT71" i="16"/>
  <c r="CA36" i="16"/>
  <c r="G21" i="19"/>
  <c r="H21" i="19" s="1"/>
  <c r="I21" i="19" s="1" a="1"/>
  <c r="I21" i="19" s="1"/>
  <c r="F22" i="19"/>
  <c r="CH43" i="16"/>
  <c r="BO40" i="16" a="1"/>
  <c r="BO40" i="16" s="1"/>
  <c r="BP40" i="16" s="1"/>
  <c r="CI43" i="16"/>
  <c r="CJ43" i="16"/>
  <c r="CK43" i="16"/>
  <c r="DS161" i="43" l="1"/>
  <c r="DR162" i="43"/>
  <c r="DM163" i="43"/>
  <c r="DT163" i="43"/>
  <c r="DU163" i="43" s="1"/>
  <c r="DK164" i="43"/>
  <c r="DH164" i="43"/>
  <c r="DG165" i="43"/>
  <c r="DO165" i="43" s="1"/>
  <c r="DP165" i="43" s="1"/>
  <c r="DQ164" i="43"/>
  <c r="DT164" i="43" s="1"/>
  <c r="DU164" i="43" s="1"/>
  <c r="DI762" i="43"/>
  <c r="DO762" i="43"/>
  <c r="DP761" i="43"/>
  <c r="DK762" i="43"/>
  <c r="BT70" i="16"/>
  <c r="CA35" i="16"/>
  <c r="F23" i="19"/>
  <c r="G22" i="19"/>
  <c r="H22" i="19" s="1"/>
  <c r="I22" i="19" s="1" a="1"/>
  <c r="I22" i="19" s="1"/>
  <c r="BO39" i="16" a="1"/>
  <c r="BO39" i="16" s="1"/>
  <c r="BP39" i="16" s="1"/>
  <c r="CI42" i="16"/>
  <c r="CH42" i="16"/>
  <c r="CJ42" i="16"/>
  <c r="DK165" i="43" l="1"/>
  <c r="DR163" i="43"/>
  <c r="DS162" i="43"/>
  <c r="DN163" i="43"/>
  <c r="DM164" i="43"/>
  <c r="DN164" i="43" s="1"/>
  <c r="DH165" i="43"/>
  <c r="DG166" i="43"/>
  <c r="DO166" i="43" s="1"/>
  <c r="DP166" i="43" s="1"/>
  <c r="DQ165" i="43"/>
  <c r="DT165" i="43" s="1"/>
  <c r="DU165" i="43" s="1"/>
  <c r="DI763" i="43"/>
  <c r="DO763" i="43"/>
  <c r="DK763" i="43"/>
  <c r="DP762" i="43"/>
  <c r="BT69" i="16"/>
  <c r="CA34" i="16"/>
  <c r="G23" i="19"/>
  <c r="H23" i="19" s="1"/>
  <c r="I23" i="19" s="1" a="1"/>
  <c r="I23" i="19" s="1"/>
  <c r="F24" i="19"/>
  <c r="BO38" i="16" a="1"/>
  <c r="BO38" i="16" s="1"/>
  <c r="BP38" i="16" s="1"/>
  <c r="CH41" i="16"/>
  <c r="CI41" i="16"/>
  <c r="CJ41" i="16"/>
  <c r="DM165" i="43" l="1"/>
  <c r="DM166" i="43" s="1"/>
  <c r="DN166" i="43" s="1"/>
  <c r="DS163" i="43"/>
  <c r="DR164" i="43"/>
  <c r="DK166" i="43"/>
  <c r="DH166" i="43"/>
  <c r="DG167" i="43"/>
  <c r="DO167" i="43" s="1"/>
  <c r="DP167" i="43" s="1"/>
  <c r="DQ166" i="43"/>
  <c r="DT166" i="43" s="1"/>
  <c r="DU166" i="43" s="1"/>
  <c r="DI764" i="43"/>
  <c r="DO764" i="43"/>
  <c r="DP763" i="43"/>
  <c r="DK764" i="43"/>
  <c r="CA33" i="16"/>
  <c r="BT68" i="16"/>
  <c r="F25" i="19"/>
  <c r="G24" i="19"/>
  <c r="H24" i="19" s="1"/>
  <c r="I24" i="19" s="1" a="1"/>
  <c r="I24" i="19" s="1"/>
  <c r="BO37" i="16" a="1"/>
  <c r="BO37" i="16" s="1"/>
  <c r="BP37" i="16" s="1"/>
  <c r="CI40" i="16"/>
  <c r="CH40" i="16"/>
  <c r="BO36" i="16" a="1"/>
  <c r="BO36" i="16" s="1"/>
  <c r="CJ40" i="16"/>
  <c r="DN165" i="43" l="1"/>
  <c r="DK167" i="43"/>
  <c r="DS164" i="43"/>
  <c r="DR165" i="43"/>
  <c r="DM167" i="43"/>
  <c r="DN167" i="43" s="1"/>
  <c r="DH167" i="43"/>
  <c r="DG168" i="43"/>
  <c r="DO168" i="43" s="1"/>
  <c r="DP168" i="43" s="1"/>
  <c r="DQ167" i="43"/>
  <c r="DT167" i="43" s="1"/>
  <c r="DU167" i="43" s="1"/>
  <c r="DI765" i="43"/>
  <c r="DO765" i="43"/>
  <c r="DK765" i="43"/>
  <c r="DP764" i="43"/>
  <c r="BT67" i="16"/>
  <c r="CA32" i="16"/>
  <c r="F26" i="19"/>
  <c r="G25" i="19"/>
  <c r="H25" i="19" s="1"/>
  <c r="I25" i="19" s="1" a="1"/>
  <c r="I25" i="19" s="1"/>
  <c r="BP36" i="16"/>
  <c r="CH39" i="16"/>
  <c r="CI39" i="16"/>
  <c r="CJ39" i="16"/>
  <c r="BO35" i="16" a="1"/>
  <c r="BO35" i="16" s="1"/>
  <c r="DR166" i="43" l="1"/>
  <c r="DS165" i="43"/>
  <c r="DM168" i="43"/>
  <c r="DN168" i="43" s="1"/>
  <c r="DK168" i="43"/>
  <c r="DH168" i="43"/>
  <c r="DG169" i="43"/>
  <c r="DO169" i="43" s="1"/>
  <c r="DP169" i="43" s="1"/>
  <c r="DQ168" i="43"/>
  <c r="DT168" i="43" s="1"/>
  <c r="DU168" i="43" s="1"/>
  <c r="DI766" i="43"/>
  <c r="DO766" i="43"/>
  <c r="DK766" i="43"/>
  <c r="DP765" i="43"/>
  <c r="BT66" i="16"/>
  <c r="CA31" i="16"/>
  <c r="F27" i="19"/>
  <c r="G27" i="19" s="1"/>
  <c r="H27" i="19" s="1"/>
  <c r="I27" i="19" s="1" a="1"/>
  <c r="I27" i="19" s="1"/>
  <c r="G26" i="19"/>
  <c r="H26" i="19" s="1"/>
  <c r="I26" i="19" s="1" a="1"/>
  <c r="I26" i="19" s="1"/>
  <c r="BP35" i="16"/>
  <c r="CH38" i="16"/>
  <c r="CI38" i="16"/>
  <c r="CJ38" i="16"/>
  <c r="DK169" i="43" l="1"/>
  <c r="DM169" i="43"/>
  <c r="DN169" i="43" s="1"/>
  <c r="DR167" i="43"/>
  <c r="DS166" i="43"/>
  <c r="DH169" i="43"/>
  <c r="DG170" i="43"/>
  <c r="DO170" i="43" s="1"/>
  <c r="DP170" i="43" s="1"/>
  <c r="DQ169" i="43"/>
  <c r="DT169" i="43" s="1"/>
  <c r="DU169" i="43" s="1"/>
  <c r="DI469" i="43"/>
  <c r="DI767" i="43"/>
  <c r="DO767" i="43"/>
  <c r="DP766" i="43"/>
  <c r="DK767" i="43"/>
  <c r="BT65" i="16"/>
  <c r="CA30" i="16"/>
  <c r="I1" i="19"/>
  <c r="BV1" i="19" s="1"/>
  <c r="CI37" i="16"/>
  <c r="CH37" i="16"/>
  <c r="BO34" i="16" a="1"/>
  <c r="BO34" i="16" s="1"/>
  <c r="BP34" i="16" s="1"/>
  <c r="CJ37" i="16"/>
  <c r="DR168" i="43" l="1"/>
  <c r="DS167" i="43"/>
  <c r="DM170" i="43"/>
  <c r="DK170" i="43"/>
  <c r="DH170" i="43"/>
  <c r="DG171" i="43"/>
  <c r="DH171" i="43" s="1"/>
  <c r="DQ170" i="43"/>
  <c r="DT170" i="43" s="1"/>
  <c r="DU170" i="43" s="1"/>
  <c r="DI470" i="43"/>
  <c r="DI768" i="43"/>
  <c r="DO768" i="43"/>
  <c r="DK768" i="43"/>
  <c r="DP767" i="43"/>
  <c r="DN170" i="43"/>
  <c r="BT64" i="16"/>
  <c r="CA29" i="16"/>
  <c r="J1" i="19"/>
  <c r="BO33" i="16" a="1"/>
  <c r="BO33" i="16" s="1"/>
  <c r="BP33" i="16" s="1"/>
  <c r="CH36" i="16"/>
  <c r="CI36" i="16"/>
  <c r="CJ36" i="16"/>
  <c r="DK171" i="43" l="1"/>
  <c r="DS168" i="43"/>
  <c r="DR169" i="43"/>
  <c r="DO171" i="43"/>
  <c r="DM171" i="43" s="1"/>
  <c r="DN171" i="43" s="1"/>
  <c r="DG172" i="43"/>
  <c r="DO172" i="43" s="1"/>
  <c r="DP172" i="43" s="1"/>
  <c r="DI471" i="43"/>
  <c r="DI769" i="43"/>
  <c r="DO769" i="43"/>
  <c r="DP768" i="43"/>
  <c r="DK769" i="43"/>
  <c r="K2" i="19"/>
  <c r="L2" i="19" s="1"/>
  <c r="M2" i="19" s="1"/>
  <c r="N2" i="19" s="1"/>
  <c r="O2" i="19" s="1"/>
  <c r="G36" i="19"/>
  <c r="BT63" i="16"/>
  <c r="CA28" i="16"/>
  <c r="K1" i="19"/>
  <c r="CI35" i="16"/>
  <c r="BO32" i="16" a="1"/>
  <c r="BO32" i="16" s="1"/>
  <c r="BP32" i="16" s="1"/>
  <c r="CH35" i="16"/>
  <c r="CJ35" i="16"/>
  <c r="C17" i="40" a="1"/>
  <c r="C27" i="40" a="1"/>
  <c r="DS169" i="43" l="1"/>
  <c r="DR170" i="43"/>
  <c r="DM172" i="43"/>
  <c r="DK172" i="43"/>
  <c r="DH172" i="43"/>
  <c r="DG173" i="43"/>
  <c r="DQ172" i="43"/>
  <c r="DP171" i="43"/>
  <c r="DQ171" i="43" s="1"/>
  <c r="DT171" i="43" s="1"/>
  <c r="DU171" i="43" s="1"/>
  <c r="DI472" i="43"/>
  <c r="K3" i="19"/>
  <c r="K4" i="19" s="1"/>
  <c r="DI770" i="43"/>
  <c r="DO770" i="43"/>
  <c r="DK770" i="43"/>
  <c r="DP769" i="43"/>
  <c r="DN172" i="43"/>
  <c r="C27" i="40"/>
  <c r="C17" i="40"/>
  <c r="BT62" i="16"/>
  <c r="CG67" i="16"/>
  <c r="CA27" i="16"/>
  <c r="BO31" i="16" a="1"/>
  <c r="BO31" i="16" s="1"/>
  <c r="BP31" i="16" s="1"/>
  <c r="CH34" i="16"/>
  <c r="CI34" i="16"/>
  <c r="BO30" i="16" a="1"/>
  <c r="BO30" i="16" s="1"/>
  <c r="CJ34" i="16"/>
  <c r="DS170" i="43" l="1"/>
  <c r="DR171" i="43"/>
  <c r="DT172" i="43"/>
  <c r="DU172" i="43" s="1"/>
  <c r="DO173" i="43"/>
  <c r="DH173" i="43"/>
  <c r="DK173" i="43"/>
  <c r="DG174" i="43"/>
  <c r="DI473" i="43"/>
  <c r="L3" i="19"/>
  <c r="M3" i="19" s="1"/>
  <c r="N3" i="19" s="1"/>
  <c r="O3" i="19" s="1"/>
  <c r="DI771" i="43"/>
  <c r="DO771" i="43"/>
  <c r="DP770" i="43"/>
  <c r="DK771" i="43"/>
  <c r="BT61" i="16"/>
  <c r="CG66" i="16"/>
  <c r="K5" i="19"/>
  <c r="L4" i="19"/>
  <c r="M4" i="19" s="1"/>
  <c r="N4" i="19" s="1"/>
  <c r="O4" i="19" s="1"/>
  <c r="BP30" i="16"/>
  <c r="CI33" i="16"/>
  <c r="CH33" i="16"/>
  <c r="CJ33" i="16"/>
  <c r="DH174" i="43" l="1"/>
  <c r="DO174" i="43"/>
  <c r="DK174" i="43"/>
  <c r="DP173" i="43"/>
  <c r="DQ173" i="43" s="1"/>
  <c r="DT173" i="43" s="1"/>
  <c r="DU173" i="43" s="1"/>
  <c r="DM173" i="43"/>
  <c r="DN173" i="43" s="1"/>
  <c r="DR172" i="43"/>
  <c r="DS171" i="43"/>
  <c r="DG175" i="43"/>
  <c r="DI772" i="43"/>
  <c r="DO772" i="43"/>
  <c r="DK772" i="43"/>
  <c r="DP771" i="43"/>
  <c r="BT60" i="16"/>
  <c r="CG65" i="16"/>
  <c r="L5" i="19"/>
  <c r="M5" i="19" s="1"/>
  <c r="N5" i="19" s="1"/>
  <c r="O5" i="19" s="1"/>
  <c r="K6" i="19"/>
  <c r="CH32" i="16"/>
  <c r="BO29" i="16" a="1"/>
  <c r="BO29" i="16" s="1"/>
  <c r="BP29" i="16" s="1"/>
  <c r="CI32" i="16"/>
  <c r="CJ32" i="16"/>
  <c r="DH175" i="43" l="1"/>
  <c r="DO175" i="43"/>
  <c r="DK175" i="43"/>
  <c r="DR173" i="43"/>
  <c r="DS172" i="43"/>
  <c r="DP174" i="43"/>
  <c r="DQ174" i="43" s="1"/>
  <c r="DT174" i="43" s="1"/>
  <c r="DU174" i="43" s="1"/>
  <c r="DM174" i="43"/>
  <c r="DN174" i="43" s="1"/>
  <c r="DG176" i="43"/>
  <c r="DH176" i="43" s="1"/>
  <c r="DI475" i="43"/>
  <c r="DI773" i="43"/>
  <c r="DO773" i="43"/>
  <c r="DK773" i="43"/>
  <c r="DP772" i="43"/>
  <c r="BT59" i="16"/>
  <c r="CG64" i="16"/>
  <c r="K7" i="19"/>
  <c r="L6" i="19"/>
  <c r="M6" i="19" s="1"/>
  <c r="N6" i="19" s="1"/>
  <c r="O6" i="19" s="1"/>
  <c r="CH31" i="16"/>
  <c r="CI31" i="16"/>
  <c r="BO28" i="16" a="1"/>
  <c r="BO28" i="16" s="1"/>
  <c r="BP28" i="16" s="1"/>
  <c r="CJ31" i="16"/>
  <c r="DK176" i="43" l="1"/>
  <c r="DR174" i="43"/>
  <c r="DS173" i="43"/>
  <c r="DP175" i="43"/>
  <c r="DQ175" i="43" s="1"/>
  <c r="DT175" i="43" s="1"/>
  <c r="DU175" i="43" s="1"/>
  <c r="DM175" i="43"/>
  <c r="DN175" i="43" s="1"/>
  <c r="DO176" i="43"/>
  <c r="DM176" i="43" s="1"/>
  <c r="DN176" i="43" s="1"/>
  <c r="DG177" i="43"/>
  <c r="DH177" i="43" s="1"/>
  <c r="DI774" i="43"/>
  <c r="DO774" i="43"/>
  <c r="DK774" i="43"/>
  <c r="DP773" i="43"/>
  <c r="BT58" i="16"/>
  <c r="CG63" i="16"/>
  <c r="L7" i="19"/>
  <c r="M7" i="19" s="1"/>
  <c r="N7" i="19" s="1"/>
  <c r="O7" i="19" s="1"/>
  <c r="K8" i="19"/>
  <c r="CI30" i="16"/>
  <c r="BO27" i="16" a="1"/>
  <c r="BO27" i="16" s="1"/>
  <c r="BP27" i="16" s="1"/>
  <c r="CH30" i="16"/>
  <c r="CI29" i="16"/>
  <c r="CJ30" i="16"/>
  <c r="DK177" i="43" l="1"/>
  <c r="DR175" i="43"/>
  <c r="DS174" i="43"/>
  <c r="DO177" i="43"/>
  <c r="DG178" i="43"/>
  <c r="DP176" i="43"/>
  <c r="DQ176" i="43" s="1"/>
  <c r="DT176" i="43" s="1"/>
  <c r="DU176" i="43" s="1"/>
  <c r="DI775" i="43"/>
  <c r="DO775" i="43"/>
  <c r="DK775" i="43"/>
  <c r="DP774" i="43"/>
  <c r="BT57" i="16"/>
  <c r="CG62" i="16"/>
  <c r="K9" i="19"/>
  <c r="L8" i="19"/>
  <c r="M8" i="19" s="1"/>
  <c r="N8" i="19" s="1"/>
  <c r="O8" i="19" s="1"/>
  <c r="BO26" i="16" a="1"/>
  <c r="BO26" i="16" s="1"/>
  <c r="BP26" i="16" s="1"/>
  <c r="CH29" i="16"/>
  <c r="CJ29" i="16"/>
  <c r="DP177" i="43" l="1"/>
  <c r="DQ177" i="43" s="1"/>
  <c r="DT177" i="43" s="1"/>
  <c r="DU177" i="43" s="1"/>
  <c r="DM177" i="43"/>
  <c r="DN177" i="43" s="1"/>
  <c r="DH178" i="43"/>
  <c r="DO178" i="43"/>
  <c r="DS175" i="43"/>
  <c r="DR176" i="43"/>
  <c r="DK178" i="43"/>
  <c r="DG179" i="43"/>
  <c r="DH179" i="43" s="1"/>
  <c r="DI478" i="43"/>
  <c r="DI776" i="43"/>
  <c r="DO776" i="43"/>
  <c r="DP775" i="43"/>
  <c r="DK776" i="43"/>
  <c r="BT56" i="16"/>
  <c r="CG61" i="16"/>
  <c r="K10" i="19"/>
  <c r="L9" i="19"/>
  <c r="M9" i="19" s="1"/>
  <c r="N9" i="19" s="1"/>
  <c r="O9" i="19" s="1"/>
  <c r="BO25" i="16" a="1"/>
  <c r="BO25" i="16" s="1"/>
  <c r="BP25" i="16" s="1"/>
  <c r="CI28" i="16"/>
  <c r="CH28" i="16"/>
  <c r="CJ28" i="16"/>
  <c r="DK179" i="43" l="1"/>
  <c r="DS176" i="43"/>
  <c r="DR177" i="43"/>
  <c r="DP178" i="43"/>
  <c r="DQ178" i="43" s="1"/>
  <c r="DT178" i="43" s="1"/>
  <c r="DU178" i="43" s="1"/>
  <c r="DM178" i="43"/>
  <c r="DN178" i="43" s="1"/>
  <c r="DO179" i="43"/>
  <c r="DG180" i="43"/>
  <c r="DO180" i="43" s="1"/>
  <c r="DP180" i="43" s="1"/>
  <c r="DI777" i="43"/>
  <c r="DO777" i="43"/>
  <c r="DK777" i="43"/>
  <c r="DP776" i="43"/>
  <c r="BT55" i="16"/>
  <c r="CG60" i="16"/>
  <c r="L10" i="19"/>
  <c r="M10" i="19" s="1"/>
  <c r="N10" i="19" s="1"/>
  <c r="O10" i="19" s="1"/>
  <c r="K11" i="19"/>
  <c r="CI27" i="16"/>
  <c r="BO24" i="16" a="1"/>
  <c r="BO24" i="16" s="1"/>
  <c r="BP24" i="16" s="1"/>
  <c r="CJ27" i="16"/>
  <c r="CH27" i="16"/>
  <c r="BO23" i="16" a="1"/>
  <c r="BO23" i="16" s="1"/>
  <c r="DM179" i="43" l="1"/>
  <c r="DN179" i="43" s="1"/>
  <c r="DS177" i="43"/>
  <c r="DR178" i="43"/>
  <c r="DK180" i="43"/>
  <c r="DH180" i="43"/>
  <c r="DG181" i="43"/>
  <c r="DO181" i="43" s="1"/>
  <c r="DP181" i="43" s="1"/>
  <c r="DQ180" i="43"/>
  <c r="DP179" i="43"/>
  <c r="DQ179" i="43" s="1"/>
  <c r="DT179" i="43" s="1"/>
  <c r="DU179" i="43" s="1"/>
  <c r="DI480" i="43"/>
  <c r="DI778" i="43"/>
  <c r="DO778" i="43"/>
  <c r="DK778" i="43"/>
  <c r="DP777" i="43"/>
  <c r="BT54" i="16"/>
  <c r="CG59" i="16"/>
  <c r="BP23" i="16"/>
  <c r="K12" i="19"/>
  <c r="L11" i="19"/>
  <c r="M11" i="19" s="1"/>
  <c r="N11" i="19" s="1"/>
  <c r="O11" i="19" s="1"/>
  <c r="DS178" i="43" l="1"/>
  <c r="DR179" i="43"/>
  <c r="DK181" i="43"/>
  <c r="DT180" i="43"/>
  <c r="DU180" i="43" s="1"/>
  <c r="DM180" i="43"/>
  <c r="DN180" i="43" s="1"/>
  <c r="DH181" i="43"/>
  <c r="DG182" i="43"/>
  <c r="DH182" i="43" s="1"/>
  <c r="DQ181" i="43"/>
  <c r="DI779" i="43"/>
  <c r="DO779" i="43"/>
  <c r="DK779" i="43"/>
  <c r="DP778" i="43"/>
  <c r="BT53" i="16"/>
  <c r="CG58" i="16"/>
  <c r="L12" i="19"/>
  <c r="M12" i="19" s="1"/>
  <c r="N12" i="19" s="1"/>
  <c r="O12" i="19" s="1"/>
  <c r="K13" i="19"/>
  <c r="DM181" i="43" l="1"/>
  <c r="DN181" i="43" s="1"/>
  <c r="DS179" i="43"/>
  <c r="DR180" i="43"/>
  <c r="DK182" i="43"/>
  <c r="DT181" i="43"/>
  <c r="DU181" i="43" s="1"/>
  <c r="DO182" i="43"/>
  <c r="DM182" i="43" s="1"/>
  <c r="DN182" i="43" s="1"/>
  <c r="DG183" i="43"/>
  <c r="DO183" i="43" s="1"/>
  <c r="DP183" i="43" s="1"/>
  <c r="DI482" i="43"/>
  <c r="DI780" i="43"/>
  <c r="DO780" i="43"/>
  <c r="DP779" i="43"/>
  <c r="DK780" i="43"/>
  <c r="BT52" i="16"/>
  <c r="CG57" i="16"/>
  <c r="K14" i="19"/>
  <c r="L13" i="19"/>
  <c r="M13" i="19" s="1"/>
  <c r="N13" i="19" s="1"/>
  <c r="O13" i="19" s="1"/>
  <c r="DK183" i="43" l="1"/>
  <c r="DS180" i="43"/>
  <c r="DR181" i="43"/>
  <c r="DM183" i="43"/>
  <c r="DN183" i="43" s="1"/>
  <c r="DH183" i="43"/>
  <c r="DG184" i="43"/>
  <c r="DO184" i="43" s="1"/>
  <c r="DP184" i="43" s="1"/>
  <c r="DQ183" i="43"/>
  <c r="DP182" i="43"/>
  <c r="DQ182" i="43" s="1"/>
  <c r="DT182" i="43" s="1"/>
  <c r="DU182" i="43" s="1"/>
  <c r="DI483" i="43"/>
  <c r="DI781" i="43"/>
  <c r="DO781" i="43"/>
  <c r="DK781" i="43"/>
  <c r="DP780" i="43"/>
  <c r="BT51" i="16"/>
  <c r="CG56" i="16"/>
  <c r="L14" i="19"/>
  <c r="M14" i="19" s="1"/>
  <c r="N14" i="19" s="1"/>
  <c r="O14" i="19" s="1"/>
  <c r="K15" i="19"/>
  <c r="DM184" i="43" l="1"/>
  <c r="DT183" i="43"/>
  <c r="DU183" i="43" s="1"/>
  <c r="DK184" i="43"/>
  <c r="DS181" i="43"/>
  <c r="DR182" i="43"/>
  <c r="DH184" i="43"/>
  <c r="DG185" i="43"/>
  <c r="DH185" i="43" s="1"/>
  <c r="DQ184" i="43"/>
  <c r="DT184" i="43" s="1"/>
  <c r="DU184" i="43" s="1"/>
  <c r="DI484" i="43"/>
  <c r="DI782" i="43"/>
  <c r="DO782" i="43"/>
  <c r="DP781" i="43"/>
  <c r="DK782" i="43"/>
  <c r="DN184" i="43"/>
  <c r="BT50" i="16"/>
  <c r="CG55" i="16"/>
  <c r="K16" i="19"/>
  <c r="L15" i="19"/>
  <c r="M15" i="19" s="1"/>
  <c r="N15" i="19" s="1"/>
  <c r="O15" i="19" s="1"/>
  <c r="DR183" i="43" l="1"/>
  <c r="DS182" i="43"/>
  <c r="DK185" i="43"/>
  <c r="DO185" i="43"/>
  <c r="DM185" i="43" s="1"/>
  <c r="DN185" i="43" s="1"/>
  <c r="DG186" i="43"/>
  <c r="DO186" i="43" s="1"/>
  <c r="DP186" i="43" s="1"/>
  <c r="DI783" i="43"/>
  <c r="DO783" i="43"/>
  <c r="DK783" i="43"/>
  <c r="DP782" i="43"/>
  <c r="BT49" i="16"/>
  <c r="CG54" i="16"/>
  <c r="K17" i="19"/>
  <c r="L16" i="19"/>
  <c r="M16" i="19" s="1"/>
  <c r="N16" i="19" s="1"/>
  <c r="O16" i="19" s="1"/>
  <c r="DM186" i="43" l="1"/>
  <c r="DK186" i="43"/>
  <c r="DR184" i="43"/>
  <c r="DS183" i="43"/>
  <c r="DH186" i="43"/>
  <c r="DG187" i="43"/>
  <c r="DO187" i="43" s="1"/>
  <c r="DP187" i="43" s="1"/>
  <c r="DQ186" i="43"/>
  <c r="DP185" i="43"/>
  <c r="DQ185" i="43" s="1"/>
  <c r="DT185" i="43" s="1"/>
  <c r="DU185" i="43" s="1"/>
  <c r="DI486" i="43"/>
  <c r="DI784" i="43"/>
  <c r="DO784" i="43"/>
  <c r="DK784" i="43"/>
  <c r="DP783" i="43"/>
  <c r="DN186" i="43"/>
  <c r="BT48" i="16"/>
  <c r="CG53" i="16"/>
  <c r="L17" i="19"/>
  <c r="M17" i="19" s="1"/>
  <c r="N17" i="19" s="1"/>
  <c r="O17" i="19" s="1"/>
  <c r="K18" i="19"/>
  <c r="DT186" i="43" l="1"/>
  <c r="DU186" i="43" s="1"/>
  <c r="DR185" i="43"/>
  <c r="DS184" i="43"/>
  <c r="DM187" i="43"/>
  <c r="DN187" i="43" s="1"/>
  <c r="DK187" i="43"/>
  <c r="DH187" i="43"/>
  <c r="DG188" i="43"/>
  <c r="DH188" i="43" s="1"/>
  <c r="DQ187" i="43"/>
  <c r="DT187" i="43" s="1"/>
  <c r="DU187" i="43" s="1"/>
  <c r="DI785" i="43"/>
  <c r="DO785" i="43"/>
  <c r="DK785" i="43"/>
  <c r="DP784" i="43"/>
  <c r="BT47" i="16"/>
  <c r="CG52" i="16"/>
  <c r="L18" i="19"/>
  <c r="M18" i="19" s="1"/>
  <c r="N18" i="19" s="1"/>
  <c r="O18" i="19" s="1"/>
  <c r="K19" i="19"/>
  <c r="DK188" i="43" l="1"/>
  <c r="DR186" i="43"/>
  <c r="DS185" i="43"/>
  <c r="DO188" i="43"/>
  <c r="DM188" i="43" s="1"/>
  <c r="DN188" i="43" s="1"/>
  <c r="DG189" i="43"/>
  <c r="DO189" i="43" s="1"/>
  <c r="DP189" i="43" s="1"/>
  <c r="DI488" i="43"/>
  <c r="DI786" i="43"/>
  <c r="DO786" i="43"/>
  <c r="DK786" i="43"/>
  <c r="DP785" i="43"/>
  <c r="BT46" i="16"/>
  <c r="CG51" i="16"/>
  <c r="L19" i="19"/>
  <c r="M19" i="19" s="1"/>
  <c r="N19" i="19" s="1"/>
  <c r="O19" i="19" s="1"/>
  <c r="K20" i="19"/>
  <c r="DR187" i="43" l="1"/>
  <c r="DS186" i="43"/>
  <c r="DM189" i="43"/>
  <c r="DK189" i="43"/>
  <c r="DH189" i="43"/>
  <c r="DG190" i="43"/>
  <c r="DO190" i="43" s="1"/>
  <c r="DP190" i="43" s="1"/>
  <c r="DQ189" i="43"/>
  <c r="DP188" i="43"/>
  <c r="DQ188" i="43" s="1"/>
  <c r="DT188" i="43" s="1"/>
  <c r="DU188" i="43" s="1"/>
  <c r="DK787" i="43"/>
  <c r="DI787" i="43"/>
  <c r="DO787" i="43"/>
  <c r="DP786" i="43"/>
  <c r="DN189" i="43"/>
  <c r="BT45" i="16"/>
  <c r="CG50" i="16"/>
  <c r="K21" i="19"/>
  <c r="L20" i="19"/>
  <c r="M20" i="19" s="1"/>
  <c r="N20" i="19" s="1"/>
  <c r="O20" i="19" s="1"/>
  <c r="DM190" i="43" l="1"/>
  <c r="DN190" i="43" s="1"/>
  <c r="DT189" i="43"/>
  <c r="DU189" i="43" s="1"/>
  <c r="DK190" i="43"/>
  <c r="DS187" i="43"/>
  <c r="DR188" i="43"/>
  <c r="DH190" i="43"/>
  <c r="DG191" i="43"/>
  <c r="DO191" i="43" s="1"/>
  <c r="DP191" i="43" s="1"/>
  <c r="DQ190" i="43"/>
  <c r="DT190" i="43" s="1"/>
  <c r="DU190" i="43" s="1"/>
  <c r="DP787" i="43"/>
  <c r="DI788" i="43"/>
  <c r="DO788" i="43"/>
  <c r="DK788" i="43"/>
  <c r="BT44" i="16"/>
  <c r="CG49" i="16"/>
  <c r="L21" i="19"/>
  <c r="M21" i="19" s="1"/>
  <c r="N21" i="19" s="1"/>
  <c r="O21" i="19" s="1"/>
  <c r="K22" i="19"/>
  <c r="DM191" i="43" l="1"/>
  <c r="DN191" i="43" s="1"/>
  <c r="DS188" i="43"/>
  <c r="DR189" i="43"/>
  <c r="DK191" i="43"/>
  <c r="DH191" i="43"/>
  <c r="DG192" i="43"/>
  <c r="DH192" i="43" s="1"/>
  <c r="DQ191" i="43"/>
  <c r="DT191" i="43" s="1"/>
  <c r="DU191" i="43" s="1"/>
  <c r="DI789" i="43"/>
  <c r="DO789" i="43"/>
  <c r="DP788" i="43"/>
  <c r="DK789" i="43"/>
  <c r="BT43" i="16"/>
  <c r="CG48" i="16"/>
  <c r="K23" i="19"/>
  <c r="L22" i="19"/>
  <c r="M22" i="19" s="1"/>
  <c r="N22" i="19" s="1"/>
  <c r="O22" i="19" s="1"/>
  <c r="DK192" i="43" l="1"/>
  <c r="DS189" i="43"/>
  <c r="DR190" i="43"/>
  <c r="DO192" i="43"/>
  <c r="DM192" i="43" s="1"/>
  <c r="DN192" i="43" s="1"/>
  <c r="DG193" i="43"/>
  <c r="DK790" i="43"/>
  <c r="DP789" i="43"/>
  <c r="DI790" i="43"/>
  <c r="DO790" i="43"/>
  <c r="CG47" i="16"/>
  <c r="BT42" i="16"/>
  <c r="K24" i="19"/>
  <c r="L23" i="19"/>
  <c r="M23" i="19" s="1"/>
  <c r="N23" i="19" s="1"/>
  <c r="O23" i="19" s="1"/>
  <c r="DO193" i="43" l="1"/>
  <c r="DH193" i="43"/>
  <c r="DS190" i="43"/>
  <c r="DR191" i="43"/>
  <c r="DK193" i="43"/>
  <c r="DG194" i="43"/>
  <c r="DO194" i="43" s="1"/>
  <c r="DP194" i="43" s="1"/>
  <c r="DP192" i="43"/>
  <c r="DQ192" i="43" s="1"/>
  <c r="DT192" i="43" s="1"/>
  <c r="DU192" i="43" s="1"/>
  <c r="DI791" i="43"/>
  <c r="DO791" i="43"/>
  <c r="DP790" i="43"/>
  <c r="DK791" i="43"/>
  <c r="BT41" i="16"/>
  <c r="CG46" i="16"/>
  <c r="K25" i="19"/>
  <c r="L24" i="19"/>
  <c r="M24" i="19" s="1"/>
  <c r="N24" i="19" s="1"/>
  <c r="O24" i="19" s="1"/>
  <c r="DK194" i="43" l="1"/>
  <c r="DR192" i="43"/>
  <c r="DS191" i="43"/>
  <c r="DP193" i="43"/>
  <c r="DQ193" i="43" s="1"/>
  <c r="DT193" i="43" s="1"/>
  <c r="DU193" i="43" s="1"/>
  <c r="DM193" i="43"/>
  <c r="DH194" i="43"/>
  <c r="DG195" i="43"/>
  <c r="DO195" i="43" s="1"/>
  <c r="DP195" i="43" s="1"/>
  <c r="DQ194" i="43"/>
  <c r="DI494" i="43"/>
  <c r="DI792" i="43"/>
  <c r="DO792" i="43"/>
  <c r="DK792" i="43"/>
  <c r="DP791" i="43"/>
  <c r="BT40" i="16"/>
  <c r="CG45" i="16"/>
  <c r="L25" i="19"/>
  <c r="M25" i="19" s="1"/>
  <c r="N25" i="19" s="1"/>
  <c r="O25" i="19" s="1"/>
  <c r="K26" i="19"/>
  <c r="DN193" i="43" l="1"/>
  <c r="DM194" i="43"/>
  <c r="DN194" i="43" s="1"/>
  <c r="DS192" i="43"/>
  <c r="DR193" i="43"/>
  <c r="DT194" i="43"/>
  <c r="DU194" i="43" s="1"/>
  <c r="DK195" i="43"/>
  <c r="DH195" i="43"/>
  <c r="DG196" i="43"/>
  <c r="DH196" i="43" s="1"/>
  <c r="DQ195" i="43"/>
  <c r="DI793" i="43"/>
  <c r="DO793" i="43"/>
  <c r="DK793" i="43"/>
  <c r="DP792" i="43"/>
  <c r="BT39" i="16"/>
  <c r="CG44" i="16"/>
  <c r="K27" i="19"/>
  <c r="L27" i="19" s="1"/>
  <c r="M27" i="19" s="1"/>
  <c r="N27" i="19" s="1"/>
  <c r="O27" i="19" s="1"/>
  <c r="L26" i="19"/>
  <c r="M26" i="19" s="1"/>
  <c r="N26" i="19" s="1"/>
  <c r="O26" i="19" s="1"/>
  <c r="DM195" i="43" l="1"/>
  <c r="DN195" i="43" s="1"/>
  <c r="DK196" i="43"/>
  <c r="DR194" i="43"/>
  <c r="DS193" i="43"/>
  <c r="DT195" i="43"/>
  <c r="DU195" i="43" s="1"/>
  <c r="DO196" i="43"/>
  <c r="DM196" i="43" s="1"/>
  <c r="DN196" i="43" s="1"/>
  <c r="DG197" i="43"/>
  <c r="DH197" i="43" s="1"/>
  <c r="DI496" i="43"/>
  <c r="DK794" i="43"/>
  <c r="DP793" i="43"/>
  <c r="DI794" i="43"/>
  <c r="DO794" i="43"/>
  <c r="BT38" i="16"/>
  <c r="CG43" i="16"/>
  <c r="O1" i="19"/>
  <c r="P1" i="19" s="1"/>
  <c r="P2" i="19" s="1"/>
  <c r="P3" i="19" s="1"/>
  <c r="P4" i="19" s="1"/>
  <c r="P5" i="19" s="1"/>
  <c r="P6" i="19" s="1"/>
  <c r="P7" i="19" s="1"/>
  <c r="P8" i="19" s="1"/>
  <c r="P9" i="19" s="1"/>
  <c r="P10" i="19" s="1"/>
  <c r="P11" i="19" s="1"/>
  <c r="P12" i="19" s="1"/>
  <c r="P13" i="19" s="1"/>
  <c r="P14" i="19" s="1"/>
  <c r="P15" i="19" s="1"/>
  <c r="P16" i="19" s="1"/>
  <c r="P17" i="19" s="1"/>
  <c r="DR195" i="43" l="1"/>
  <c r="DS194" i="43"/>
  <c r="DK197" i="43"/>
  <c r="DO197" i="43"/>
  <c r="DG198" i="43"/>
  <c r="DO198" i="43" s="1"/>
  <c r="DP198" i="43" s="1"/>
  <c r="DP196" i="43"/>
  <c r="DQ196" i="43" s="1"/>
  <c r="DT196" i="43" s="1"/>
  <c r="DU196" i="43" s="1"/>
  <c r="DI497" i="43"/>
  <c r="DI795" i="43"/>
  <c r="DO795" i="43"/>
  <c r="DP794" i="43"/>
  <c r="DK795" i="43"/>
  <c r="BT37" i="16"/>
  <c r="CG42" i="16"/>
  <c r="Q2" i="19"/>
  <c r="R2" i="19" s="1"/>
  <c r="DP197" i="43" l="1"/>
  <c r="DQ197" i="43" s="1"/>
  <c r="DT197" i="43" s="1"/>
  <c r="DU197" i="43" s="1"/>
  <c r="DM197" i="43"/>
  <c r="DK198" i="43"/>
  <c r="DR196" i="43"/>
  <c r="DS195" i="43"/>
  <c r="DH198" i="43"/>
  <c r="DG199" i="43"/>
  <c r="DO199" i="43" s="1"/>
  <c r="DP199" i="43" s="1"/>
  <c r="DQ198" i="43"/>
  <c r="DT198" i="43" s="1"/>
  <c r="DU198" i="43" s="1"/>
  <c r="DI498" i="43"/>
  <c r="DK796" i="43"/>
  <c r="DI796" i="43"/>
  <c r="DO796" i="43"/>
  <c r="DP795" i="43"/>
  <c r="BT36" i="16"/>
  <c r="CG41" i="16"/>
  <c r="Q3" i="19"/>
  <c r="R3" i="19" s="1"/>
  <c r="DR197" i="43" l="1"/>
  <c r="DS196" i="43"/>
  <c r="DK199" i="43"/>
  <c r="DN197" i="43"/>
  <c r="DM198" i="43"/>
  <c r="DN198" i="43" s="1"/>
  <c r="DH199" i="43"/>
  <c r="DG200" i="43"/>
  <c r="DH200" i="43" s="1"/>
  <c r="DQ199" i="43"/>
  <c r="DT199" i="43" s="1"/>
  <c r="DU199" i="43" s="1"/>
  <c r="DI499" i="43"/>
  <c r="DI797" i="43"/>
  <c r="DO797" i="43"/>
  <c r="DP796" i="43"/>
  <c r="DK797" i="43"/>
  <c r="BT35" i="16"/>
  <c r="CG40" i="16"/>
  <c r="Q4" i="19"/>
  <c r="R4" i="19" s="1"/>
  <c r="DM199" i="43" l="1"/>
  <c r="DN199" i="43" s="1"/>
  <c r="DK200" i="43"/>
  <c r="DR198" i="43"/>
  <c r="DS197" i="43"/>
  <c r="DO200" i="43"/>
  <c r="DM200" i="43" s="1"/>
  <c r="DN200" i="43" s="1"/>
  <c r="DG201" i="43"/>
  <c r="DI500" i="43"/>
  <c r="DI798" i="43"/>
  <c r="DO798" i="43"/>
  <c r="DK798" i="43"/>
  <c r="DP797" i="43"/>
  <c r="BT34" i="16"/>
  <c r="CG39" i="16"/>
  <c r="Q5" i="19"/>
  <c r="R5" i="19" s="1"/>
  <c r="DS198" i="43" l="1"/>
  <c r="DR199" i="43"/>
  <c r="DK201" i="43"/>
  <c r="DH201" i="43"/>
  <c r="DO201" i="43"/>
  <c r="DJ201" i="43"/>
  <c r="DG202" i="43"/>
  <c r="DP200" i="43"/>
  <c r="DQ200" i="43" s="1"/>
  <c r="DT200" i="43" s="1"/>
  <c r="DU200" i="43" s="1"/>
  <c r="DI799" i="43"/>
  <c r="DO799" i="43"/>
  <c r="DP798" i="43"/>
  <c r="DK799" i="43"/>
  <c r="BT33" i="16"/>
  <c r="CG38" i="16"/>
  <c r="Q6" i="19"/>
  <c r="R6" i="19" s="1"/>
  <c r="DH202" i="43" l="1"/>
  <c r="DO202" i="43"/>
  <c r="DP201" i="43"/>
  <c r="DQ201" i="43" s="1"/>
  <c r="DM201" i="43"/>
  <c r="DN201" i="43" s="1"/>
  <c r="DK202" i="43"/>
  <c r="DS199" i="43"/>
  <c r="DR200" i="43"/>
  <c r="DG203" i="43"/>
  <c r="DI800" i="43"/>
  <c r="DO800" i="43"/>
  <c r="DP799" i="43"/>
  <c r="DK800" i="43"/>
  <c r="BT32" i="16"/>
  <c r="CG37" i="16"/>
  <c r="Q7" i="19"/>
  <c r="R7" i="19" s="1"/>
  <c r="DK203" i="43" l="1"/>
  <c r="DS200" i="43"/>
  <c r="DR201" i="43"/>
  <c r="DP202" i="43"/>
  <c r="DQ202" i="43" s="1"/>
  <c r="DM202" i="43"/>
  <c r="DN202" i="43" s="1"/>
  <c r="DH203" i="43"/>
  <c r="DO203" i="43"/>
  <c r="DG204" i="43"/>
  <c r="DI503" i="43"/>
  <c r="DK801" i="43"/>
  <c r="DI801" i="43"/>
  <c r="DO801" i="43"/>
  <c r="DP800" i="43"/>
  <c r="BT31" i="16"/>
  <c r="CG36" i="16"/>
  <c r="Q8" i="19"/>
  <c r="R8" i="19" s="1"/>
  <c r="DK204" i="43" l="1"/>
  <c r="DP203" i="43"/>
  <c r="DQ203" i="43" s="1"/>
  <c r="DM203" i="43"/>
  <c r="DN203" i="43" s="1"/>
  <c r="DS201" i="43"/>
  <c r="DR202" i="43"/>
  <c r="DH204" i="43"/>
  <c r="DO204" i="43"/>
  <c r="DG205" i="43"/>
  <c r="DK205" i="43" s="1"/>
  <c r="DI802" i="43"/>
  <c r="DO802" i="43"/>
  <c r="DP801" i="43"/>
  <c r="DK802" i="43"/>
  <c r="BT30" i="16"/>
  <c r="CG35" i="16"/>
  <c r="Q9" i="19"/>
  <c r="R9" i="19" s="1"/>
  <c r="DP204" i="43" l="1"/>
  <c r="DQ204" i="43" s="1"/>
  <c r="DM204" i="43"/>
  <c r="DN204" i="43" s="1"/>
  <c r="DS202" i="43"/>
  <c r="DR203" i="43"/>
  <c r="DH205" i="43"/>
  <c r="DO205" i="43"/>
  <c r="DG206" i="43"/>
  <c r="DK206" i="43" s="1"/>
  <c r="DI803" i="43"/>
  <c r="DO803" i="43"/>
  <c r="DP802" i="43"/>
  <c r="DK803" i="43"/>
  <c r="BT29" i="16"/>
  <c r="CG34" i="16"/>
  <c r="Q10" i="19"/>
  <c r="R10" i="19" s="1"/>
  <c r="DP205" i="43" l="1"/>
  <c r="DQ205" i="43" s="1"/>
  <c r="DM205" i="43"/>
  <c r="DN205" i="43" s="1"/>
  <c r="DS203" i="43"/>
  <c r="DR204" i="43"/>
  <c r="DO206" i="43"/>
  <c r="DH206" i="43"/>
  <c r="DG207" i="43"/>
  <c r="DI506" i="43"/>
  <c r="DI804" i="43"/>
  <c r="DO804" i="43"/>
  <c r="DK804" i="43"/>
  <c r="DP803" i="43"/>
  <c r="CG33" i="16"/>
  <c r="BT28" i="16"/>
  <c r="Q11" i="19"/>
  <c r="R11" i="19" s="1"/>
  <c r="DR205" i="43" l="1"/>
  <c r="DS204" i="43"/>
  <c r="DP206" i="43"/>
  <c r="DQ206" i="43" s="1"/>
  <c r="DM206" i="43"/>
  <c r="DN206" i="43" s="1"/>
  <c r="DH207" i="43"/>
  <c r="DO207" i="43"/>
  <c r="DK207" i="43"/>
  <c r="DG208" i="43"/>
  <c r="DI805" i="43"/>
  <c r="DO805" i="43"/>
  <c r="DK805" i="43"/>
  <c r="DP804" i="43"/>
  <c r="BT27" i="16"/>
  <c r="CG32" i="16"/>
  <c r="Q12" i="19"/>
  <c r="R12" i="19" s="1"/>
  <c r="DH208" i="43" l="1"/>
  <c r="DO208" i="43"/>
  <c r="DK208" i="43"/>
  <c r="DP207" i="43"/>
  <c r="DQ207" i="43" s="1"/>
  <c r="DM207" i="43"/>
  <c r="DN207" i="43" s="1"/>
  <c r="DS205" i="43"/>
  <c r="DR206" i="43"/>
  <c r="DG209" i="43"/>
  <c r="DI806" i="43"/>
  <c r="DO806" i="43"/>
  <c r="DK806" i="43"/>
  <c r="DP805" i="43"/>
  <c r="BT26" i="16"/>
  <c r="CG31" i="16"/>
  <c r="Q13" i="19"/>
  <c r="R13" i="19" s="1"/>
  <c r="DS206" i="43" l="1"/>
  <c r="DR207" i="43"/>
  <c r="DK209" i="43"/>
  <c r="DH209" i="43"/>
  <c r="DO209" i="43"/>
  <c r="DP208" i="43"/>
  <c r="DQ208" i="43" s="1"/>
  <c r="DM208" i="43"/>
  <c r="DN208" i="43" s="1"/>
  <c r="DG210" i="43"/>
  <c r="DI509" i="43"/>
  <c r="DI807" i="43"/>
  <c r="DO807" i="43"/>
  <c r="DP806" i="43"/>
  <c r="DK807" i="43"/>
  <c r="BT25" i="16"/>
  <c r="BT24" i="16" s="1"/>
  <c r="BT23" i="16" s="1"/>
  <c r="BT21" i="16" s="1" a="1"/>
  <c r="BT21" i="16" s="1"/>
  <c r="G47" i="16" s="1"/>
  <c r="CG30" i="16"/>
  <c r="Q14" i="19"/>
  <c r="R14" i="19" s="1"/>
  <c r="C38" i="40" a="1"/>
  <c r="DP209" i="43" l="1"/>
  <c r="DQ209" i="43" s="1"/>
  <c r="DM209" i="43"/>
  <c r="DN209" i="43" s="1"/>
  <c r="DR208" i="43"/>
  <c r="DS207" i="43"/>
  <c r="DK210" i="43"/>
  <c r="DH210" i="43"/>
  <c r="DO210" i="43"/>
  <c r="DG211" i="43"/>
  <c r="DI510" i="43"/>
  <c r="DP807" i="43"/>
  <c r="DI808" i="43"/>
  <c r="DO808" i="43"/>
  <c r="DK808" i="43"/>
  <c r="C38" i="40"/>
  <c r="CL13" i="16"/>
  <c r="CK18" i="16" a="1"/>
  <c r="CK18" i="16" s="1"/>
  <c r="G49" i="16" s="1"/>
  <c r="CL14" i="16"/>
  <c r="G48" i="16" s="1"/>
  <c r="Q15" i="19"/>
  <c r="R15" i="19" s="1"/>
  <c r="C40" i="40" a="1"/>
  <c r="C39" i="40" a="1"/>
  <c r="DK211" i="43" l="1"/>
  <c r="DP210" i="43"/>
  <c r="DQ210" i="43" s="1"/>
  <c r="DM210" i="43"/>
  <c r="DN210" i="43" s="1"/>
  <c r="DR209" i="43"/>
  <c r="DS208" i="43"/>
  <c r="DH211" i="43"/>
  <c r="DO211" i="43"/>
  <c r="DG212" i="43"/>
  <c r="DI809" i="43"/>
  <c r="DO809" i="43"/>
  <c r="DP808" i="43"/>
  <c r="DK809" i="43"/>
  <c r="C39" i="40"/>
  <c r="C40" i="40"/>
  <c r="Q16" i="19"/>
  <c r="R16" i="19" s="1"/>
  <c r="Q17" i="19"/>
  <c r="R17" i="19" s="1"/>
  <c r="DP211" i="43" l="1"/>
  <c r="DQ211" i="43" s="1"/>
  <c r="DM211" i="43"/>
  <c r="DN211" i="43" s="1"/>
  <c r="DO212" i="43"/>
  <c r="DH212" i="43"/>
  <c r="DR210" i="43"/>
  <c r="DS209" i="43"/>
  <c r="DK212" i="43"/>
  <c r="DG213" i="43"/>
  <c r="DI512" i="43"/>
  <c r="DK810" i="43"/>
  <c r="DP809" i="43"/>
  <c r="DI810" i="43"/>
  <c r="DO810" i="43"/>
  <c r="R1" i="19"/>
  <c r="DR211" i="43" l="1"/>
  <c r="DS210" i="43"/>
  <c r="DK213" i="43"/>
  <c r="DP212" i="43"/>
  <c r="DQ212" i="43" s="1"/>
  <c r="DM212" i="43"/>
  <c r="DN212" i="43" s="1"/>
  <c r="DO213" i="43"/>
  <c r="DH213" i="43"/>
  <c r="DG214" i="43"/>
  <c r="DI513" i="43"/>
  <c r="DI811" i="43"/>
  <c r="DO811" i="43"/>
  <c r="DP810" i="43"/>
  <c r="DK811" i="43"/>
  <c r="X199" i="33"/>
  <c r="V166" i="33"/>
  <c r="X182" i="33"/>
  <c r="X170" i="33"/>
  <c r="V192" i="33"/>
  <c r="V158" i="33"/>
  <c r="X161" i="33"/>
  <c r="X202" i="33"/>
  <c r="X155" i="33"/>
  <c r="X200" i="33"/>
  <c r="V147" i="33"/>
  <c r="V185" i="33"/>
  <c r="V154" i="33"/>
  <c r="X171" i="33"/>
  <c r="X176" i="33"/>
  <c r="AJ158" i="33"/>
  <c r="X208" i="33"/>
  <c r="X157" i="33"/>
  <c r="X149" i="33"/>
  <c r="X191" i="33"/>
  <c r="V153" i="33"/>
  <c r="X165" i="33"/>
  <c r="X185" i="33"/>
  <c r="X173" i="33"/>
  <c r="X148" i="33"/>
  <c r="X162" i="33"/>
  <c r="X154" i="33"/>
  <c r="AD205" i="33"/>
  <c r="V145" i="33"/>
  <c r="V178" i="33"/>
  <c r="X158" i="33"/>
  <c r="X167" i="33"/>
  <c r="X147" i="33"/>
  <c r="X201" i="33"/>
  <c r="V146" i="33"/>
  <c r="X168" i="33"/>
  <c r="V189" i="33"/>
  <c r="X151" i="33"/>
  <c r="AJ185" i="33"/>
  <c r="X193" i="33"/>
  <c r="V179" i="33"/>
  <c r="X156" i="33"/>
  <c r="X181" i="33"/>
  <c r="X203" i="33"/>
  <c r="V210" i="33"/>
  <c r="X183" i="33"/>
  <c r="X146" i="33"/>
  <c r="V170" i="33"/>
  <c r="X204" i="33"/>
  <c r="X169" i="33"/>
  <c r="X174" i="33"/>
  <c r="V193" i="33"/>
  <c r="V186" i="33"/>
  <c r="X207" i="33"/>
  <c r="V167" i="33"/>
  <c r="X209" i="33"/>
  <c r="X206" i="33"/>
  <c r="X159" i="33"/>
  <c r="AJ177" i="33"/>
  <c r="AJ206" i="33"/>
  <c r="X153" i="33"/>
  <c r="X189" i="33"/>
  <c r="V190" i="33"/>
  <c r="X197" i="33"/>
  <c r="X180" i="33"/>
  <c r="X188" i="33"/>
  <c r="V155" i="33"/>
  <c r="AA206" i="33"/>
  <c r="AJ210" i="33"/>
  <c r="V165" i="33"/>
  <c r="X175" i="33"/>
  <c r="V164" i="33"/>
  <c r="X195" i="33"/>
  <c r="V183" i="33"/>
  <c r="V208" i="33"/>
  <c r="X145" i="33"/>
  <c r="X160" i="33"/>
  <c r="AA173" i="33"/>
  <c r="AJ188" i="33"/>
  <c r="AJ203" i="33"/>
  <c r="X192" i="33"/>
  <c r="X178" i="33"/>
  <c r="V197" i="33"/>
  <c r="AD196" i="33"/>
  <c r="AD194" i="33"/>
  <c r="AJ157" i="33"/>
  <c r="AD160" i="33"/>
  <c r="AJ171" i="33"/>
  <c r="V177" i="33"/>
  <c r="X150" i="33"/>
  <c r="X179" i="33"/>
  <c r="AD199" i="33"/>
  <c r="AD171" i="33"/>
  <c r="AJ197" i="33"/>
  <c r="AJ145" i="33"/>
  <c r="AJ196" i="33"/>
  <c r="AJ175" i="33"/>
  <c r="V161" i="33"/>
  <c r="V181" i="33"/>
  <c r="V203" i="33"/>
  <c r="AJ174" i="33"/>
  <c r="AD207" i="33"/>
  <c r="V191" i="33"/>
  <c r="X172" i="33"/>
  <c r="X205" i="33"/>
  <c r="X187" i="33"/>
  <c r="AA189" i="33"/>
  <c r="AA194" i="33"/>
  <c r="AA170" i="33"/>
  <c r="AA202" i="33"/>
  <c r="AJ162" i="33"/>
  <c r="V169" i="33"/>
  <c r="X198" i="33"/>
  <c r="V202" i="33"/>
  <c r="X196" i="33"/>
  <c r="X190" i="33"/>
  <c r="X194" i="33"/>
  <c r="V168" i="33"/>
  <c r="V150" i="33"/>
  <c r="V157" i="33"/>
  <c r="AJ154" i="33"/>
  <c r="AJ198" i="33"/>
  <c r="AD198" i="33"/>
  <c r="V151" i="33"/>
  <c r="V207" i="33"/>
  <c r="V201" i="33"/>
  <c r="X177" i="33"/>
  <c r="AA186" i="33"/>
  <c r="AA177" i="33"/>
  <c r="AA204" i="33"/>
  <c r="AA181" i="33"/>
  <c r="AJ164" i="33"/>
  <c r="AJ160" i="33"/>
  <c r="AD148" i="33"/>
  <c r="AD162" i="33"/>
  <c r="AA182" i="33"/>
  <c r="AA210" i="33"/>
  <c r="AD187" i="33"/>
  <c r="AA179" i="33"/>
  <c r="AA157" i="33"/>
  <c r="AD193" i="33"/>
  <c r="X152" i="33"/>
  <c r="V156" i="33"/>
  <c r="V159" i="33"/>
  <c r="X164" i="33"/>
  <c r="X210" i="33"/>
  <c r="AD200" i="33"/>
  <c r="AD195" i="33"/>
  <c r="V148" i="33"/>
  <c r="AJ173" i="33"/>
  <c r="AD159" i="33"/>
  <c r="AJ193" i="33"/>
  <c r="AJ152" i="33"/>
  <c r="AJ155" i="33"/>
  <c r="AA147" i="33"/>
  <c r="AA203" i="33"/>
  <c r="V176" i="33"/>
  <c r="AJ187" i="33"/>
  <c r="AA190" i="33"/>
  <c r="AJ148" i="33"/>
  <c r="AJ153" i="33"/>
  <c r="AA183" i="33"/>
  <c r="X163" i="33"/>
  <c r="V209" i="33"/>
  <c r="AJ176" i="33"/>
  <c r="AJ201" i="33"/>
  <c r="AJ165" i="33"/>
  <c r="AD176" i="33"/>
  <c r="AA162" i="33"/>
  <c r="AD190" i="33"/>
  <c r="AA208" i="33"/>
  <c r="AD156" i="33"/>
  <c r="AD188" i="33"/>
  <c r="AA152" i="33"/>
  <c r="AA197" i="33"/>
  <c r="V200" i="33"/>
  <c r="V204" i="33"/>
  <c r="V206" i="33"/>
  <c r="V196" i="33"/>
  <c r="V163" i="33"/>
  <c r="AJ192" i="33"/>
  <c r="AE170" i="33"/>
  <c r="U170" i="33"/>
  <c r="W170" i="33"/>
  <c r="Z170" i="33"/>
  <c r="AI170" i="33"/>
  <c r="AH170" i="33"/>
  <c r="Y170" i="33"/>
  <c r="AF170" i="33"/>
  <c r="AB170" i="33"/>
  <c r="AC170" i="33"/>
  <c r="AL170" i="33"/>
  <c r="AK170" i="33"/>
  <c r="V199" i="33"/>
  <c r="AA158" i="33"/>
  <c r="AD151" i="33"/>
  <c r="AD210" i="33"/>
  <c r="AD172" i="33"/>
  <c r="AA175" i="33"/>
  <c r="AD145" i="33"/>
  <c r="AA145" i="33"/>
  <c r="AD179" i="33"/>
  <c r="AA164" i="33"/>
  <c r="AA185" i="33"/>
  <c r="AD186" i="33"/>
  <c r="X184" i="33"/>
  <c r="V182" i="33"/>
  <c r="V195" i="33"/>
  <c r="X166" i="33"/>
  <c r="X186" i="33"/>
  <c r="AD192" i="33"/>
  <c r="AD168" i="33"/>
  <c r="AA191" i="33"/>
  <c r="AD170" i="33"/>
  <c r="AJ204" i="33"/>
  <c r="AB173" i="33"/>
  <c r="Y173" i="33"/>
  <c r="AE173" i="33"/>
  <c r="AH173" i="33"/>
  <c r="AK173" i="33"/>
  <c r="AI173" i="33"/>
  <c r="AL173" i="33"/>
  <c r="W173" i="33"/>
  <c r="AF173" i="33"/>
  <c r="Z173" i="33"/>
  <c r="U173" i="33"/>
  <c r="AC173" i="33"/>
  <c r="AD178" i="33"/>
  <c r="AJ199" i="33"/>
  <c r="CC85" i="33"/>
  <c r="CE85" i="33" s="1"/>
  <c r="AA155" i="33"/>
  <c r="AD183" i="33"/>
  <c r="Y145" i="33"/>
  <c r="W145" i="33"/>
  <c r="Z145" i="33"/>
  <c r="AL145" i="33"/>
  <c r="AC145" i="33"/>
  <c r="AE145" i="33"/>
  <c r="AF145" i="33"/>
  <c r="AI145" i="33"/>
  <c r="U145" i="33"/>
  <c r="AB145" i="33"/>
  <c r="AK145" i="33"/>
  <c r="AG145" i="33"/>
  <c r="AH145" i="33"/>
  <c r="AJ195" i="33"/>
  <c r="AD181" i="33"/>
  <c r="V160" i="33"/>
  <c r="AJ147" i="33"/>
  <c r="V152" i="33"/>
  <c r="AA150" i="33"/>
  <c r="AJ205" i="33"/>
  <c r="AL208" i="33"/>
  <c r="Y208" i="33"/>
  <c r="AF208" i="33"/>
  <c r="AH208" i="33"/>
  <c r="W208" i="33"/>
  <c r="AB208" i="33"/>
  <c r="AI208" i="33"/>
  <c r="AE208" i="33"/>
  <c r="Z208" i="33"/>
  <c r="AC208" i="33"/>
  <c r="AK208" i="33"/>
  <c r="U208" i="33"/>
  <c r="V171" i="33"/>
  <c r="AJ208" i="33"/>
  <c r="AJ170" i="33"/>
  <c r="AA193" i="33"/>
  <c r="AJ186" i="33"/>
  <c r="AD146" i="33"/>
  <c r="AD166" i="33"/>
  <c r="AA184" i="33"/>
  <c r="W192" i="33"/>
  <c r="AI192" i="33"/>
  <c r="AF192" i="33"/>
  <c r="AC192" i="33"/>
  <c r="Z192" i="33"/>
  <c r="AK192" i="33"/>
  <c r="Y192" i="33"/>
  <c r="AB192" i="33"/>
  <c r="U192" i="33"/>
  <c r="AL192" i="33"/>
  <c r="AE192" i="33"/>
  <c r="AH192" i="33"/>
  <c r="AJ161" i="33"/>
  <c r="AA151" i="33"/>
  <c r="AJ182" i="33"/>
  <c r="V162" i="33"/>
  <c r="V188" i="33"/>
  <c r="AJ191" i="33"/>
  <c r="Z165" i="33"/>
  <c r="U165" i="33"/>
  <c r="AE165" i="33"/>
  <c r="W165" i="33"/>
  <c r="AF165" i="33"/>
  <c r="AB165" i="33"/>
  <c r="AC165" i="33"/>
  <c r="AH165" i="33"/>
  <c r="AK165" i="33"/>
  <c r="AL165" i="33"/>
  <c r="Y165" i="33"/>
  <c r="AI165" i="33"/>
  <c r="AH178" i="33"/>
  <c r="AI178" i="33"/>
  <c r="AF178" i="33"/>
  <c r="AL178" i="33"/>
  <c r="AB178" i="33"/>
  <c r="AC178" i="33"/>
  <c r="AE178" i="33"/>
  <c r="U178" i="33"/>
  <c r="Y178" i="33"/>
  <c r="Z178" i="33"/>
  <c r="AK178" i="33"/>
  <c r="W178" i="33"/>
  <c r="AD167" i="33"/>
  <c r="AA165" i="33"/>
  <c r="AA199" i="33"/>
  <c r="AD173" i="33"/>
  <c r="W167" i="33"/>
  <c r="AH167" i="33"/>
  <c r="AF167" i="33"/>
  <c r="AI167" i="33"/>
  <c r="AC167" i="33"/>
  <c r="Y167" i="33"/>
  <c r="U167" i="33"/>
  <c r="AB167" i="33"/>
  <c r="Z167" i="33"/>
  <c r="AL167" i="33"/>
  <c r="AE167" i="33"/>
  <c r="AK167" i="33"/>
  <c r="AJ189" i="33"/>
  <c r="AD164" i="33"/>
  <c r="AE177" i="33"/>
  <c r="U177" i="33"/>
  <c r="AB177" i="33"/>
  <c r="AF177" i="33"/>
  <c r="AL177" i="33"/>
  <c r="AI177" i="33"/>
  <c r="Z177" i="33"/>
  <c r="AC177" i="33"/>
  <c r="Y177" i="33"/>
  <c r="AK177" i="33"/>
  <c r="AH177" i="33"/>
  <c r="W177" i="33"/>
  <c r="Z182" i="33"/>
  <c r="Y182" i="33"/>
  <c r="AC182" i="33"/>
  <c r="U182" i="33"/>
  <c r="AE182" i="33"/>
  <c r="W182" i="33"/>
  <c r="AB182" i="33"/>
  <c r="AL182" i="33"/>
  <c r="AF182" i="33"/>
  <c r="AH182" i="33"/>
  <c r="AK182" i="33"/>
  <c r="AI182" i="33"/>
  <c r="AD161" i="33"/>
  <c r="Z146" i="33"/>
  <c r="AL146" i="33"/>
  <c r="AB146" i="33"/>
  <c r="AF146" i="33"/>
  <c r="AE146" i="33"/>
  <c r="W146" i="33"/>
  <c r="AH146" i="33"/>
  <c r="AI146" i="33"/>
  <c r="AK146" i="33"/>
  <c r="AC146" i="33"/>
  <c r="U146" i="33"/>
  <c r="Y146" i="33"/>
  <c r="AD174" i="33"/>
  <c r="AJ167" i="33"/>
  <c r="AG208" i="33"/>
  <c r="AD208" i="33"/>
  <c r="AA195" i="33"/>
  <c r="AD180" i="33"/>
  <c r="AD209" i="33"/>
  <c r="AD147" i="33"/>
  <c r="AB209" i="33"/>
  <c r="AL209" i="33"/>
  <c r="AH209" i="33"/>
  <c r="U209" i="33"/>
  <c r="Y209" i="33"/>
  <c r="W209" i="33"/>
  <c r="AK209" i="33"/>
  <c r="AI209" i="33"/>
  <c r="Z209" i="33"/>
  <c r="AC209" i="33"/>
  <c r="AF209" i="33"/>
  <c r="AE209" i="33"/>
  <c r="AA192" i="33"/>
  <c r="AJ178" i="33"/>
  <c r="AA168" i="33"/>
  <c r="AA156" i="33"/>
  <c r="Y196" i="33"/>
  <c r="AL196" i="33"/>
  <c r="AK196" i="33"/>
  <c r="AC196" i="33"/>
  <c r="W196" i="33"/>
  <c r="AE196" i="33"/>
  <c r="AH196" i="33"/>
  <c r="AI196" i="33"/>
  <c r="AF196" i="33"/>
  <c r="Z196" i="33"/>
  <c r="U196" i="33"/>
  <c r="AB196" i="33"/>
  <c r="V174" i="33"/>
  <c r="AD157" i="33"/>
  <c r="AA209" i="33"/>
  <c r="AD165" i="33"/>
  <c r="AA178" i="33"/>
  <c r="AJ146" i="33"/>
  <c r="W194" i="33"/>
  <c r="Z194" i="33"/>
  <c r="AH194" i="33"/>
  <c r="AF194" i="33"/>
  <c r="AC194" i="33"/>
  <c r="AK194" i="33"/>
  <c r="AI194" i="33"/>
  <c r="AB194" i="33"/>
  <c r="AE194" i="33"/>
  <c r="Y194" i="33"/>
  <c r="U194" i="33"/>
  <c r="AL194" i="33"/>
  <c r="AJ159" i="33"/>
  <c r="AJ180" i="33"/>
  <c r="AG178" i="33"/>
  <c r="AK176" i="33"/>
  <c r="AE176" i="33"/>
  <c r="AH176" i="33"/>
  <c r="AB176" i="33"/>
  <c r="AF176" i="33"/>
  <c r="Z176" i="33"/>
  <c r="U176" i="33"/>
  <c r="Y176" i="33"/>
  <c r="AC176" i="33"/>
  <c r="AI176" i="33"/>
  <c r="AL176" i="33"/>
  <c r="W176" i="33"/>
  <c r="AF191" i="33"/>
  <c r="U191" i="33"/>
  <c r="AE191" i="33"/>
  <c r="AL191" i="33"/>
  <c r="AC191" i="33"/>
  <c r="AH191" i="33"/>
  <c r="AK191" i="33"/>
  <c r="Z191" i="33"/>
  <c r="Y191" i="33"/>
  <c r="AI191" i="33"/>
  <c r="W191" i="33"/>
  <c r="AB191" i="33"/>
  <c r="AD201" i="33"/>
  <c r="AG167" i="33"/>
  <c r="AA167" i="33"/>
  <c r="AI151" i="33"/>
  <c r="AC151" i="33"/>
  <c r="AL151" i="33"/>
  <c r="AH151" i="33"/>
  <c r="U151" i="33"/>
  <c r="AB151" i="33"/>
  <c r="Y151" i="33"/>
  <c r="W151" i="33"/>
  <c r="AF151" i="33"/>
  <c r="AE151" i="33"/>
  <c r="AK151" i="33"/>
  <c r="Z151" i="33"/>
  <c r="AK156" i="33"/>
  <c r="AE156" i="33"/>
  <c r="AH156" i="33"/>
  <c r="U156" i="33"/>
  <c r="AL156" i="33"/>
  <c r="Z156" i="33"/>
  <c r="AC156" i="33"/>
  <c r="W156" i="33"/>
  <c r="Y156" i="33"/>
  <c r="AF156" i="33"/>
  <c r="AI156" i="33"/>
  <c r="AB156" i="33"/>
  <c r="AD177" i="33"/>
  <c r="AD182" i="33"/>
  <c r="AJ194" i="33"/>
  <c r="V172" i="33"/>
  <c r="AA171" i="33"/>
  <c r="AG146" i="33"/>
  <c r="AA146" i="33"/>
  <c r="AG165" i="33"/>
  <c r="AB168" i="33"/>
  <c r="AC168" i="33"/>
  <c r="Y168" i="33"/>
  <c r="W168" i="33"/>
  <c r="AI168" i="33"/>
  <c r="AE168" i="33"/>
  <c r="AK168" i="33"/>
  <c r="U168" i="33"/>
  <c r="Z168" i="33"/>
  <c r="AF168" i="33"/>
  <c r="AL168" i="33"/>
  <c r="AH168" i="33"/>
  <c r="AD149" i="33"/>
  <c r="AD163" i="33"/>
  <c r="AJ179" i="33"/>
  <c r="AG209" i="33"/>
  <c r="AJ209" i="33"/>
  <c r="AA154" i="33"/>
  <c r="AD169" i="33"/>
  <c r="AA160" i="33"/>
  <c r="AF183" i="33"/>
  <c r="U183" i="33"/>
  <c r="AB183" i="33"/>
  <c r="AK183" i="33"/>
  <c r="Z183" i="33"/>
  <c r="AE183" i="33"/>
  <c r="Y183" i="33"/>
  <c r="W183" i="33"/>
  <c r="AC183" i="33"/>
  <c r="AH183" i="33"/>
  <c r="AL183" i="33"/>
  <c r="AI183" i="33"/>
  <c r="U205" i="33"/>
  <c r="Y205" i="33"/>
  <c r="W205" i="33"/>
  <c r="AE205" i="33"/>
  <c r="AC205" i="33"/>
  <c r="AK205" i="33"/>
  <c r="AI205" i="33"/>
  <c r="AF205" i="33"/>
  <c r="Z205" i="33"/>
  <c r="AL205" i="33"/>
  <c r="AB205" i="33"/>
  <c r="AH205" i="33"/>
  <c r="AA200" i="33"/>
  <c r="AA196" i="33"/>
  <c r="AA207" i="33"/>
  <c r="AA169" i="33"/>
  <c r="AB169" i="33"/>
  <c r="Z169" i="33"/>
  <c r="AE169" i="33"/>
  <c r="AI169" i="33"/>
  <c r="AC169" i="33"/>
  <c r="AL169" i="33"/>
  <c r="AF169" i="33"/>
  <c r="AK169" i="33"/>
  <c r="W169" i="33"/>
  <c r="Y169" i="33"/>
  <c r="AH169" i="33"/>
  <c r="U169" i="33"/>
  <c r="U206" i="33"/>
  <c r="AL206" i="33"/>
  <c r="AK206" i="33"/>
  <c r="AI206" i="33"/>
  <c r="W206" i="33"/>
  <c r="Y206" i="33"/>
  <c r="AC206" i="33"/>
  <c r="AF206" i="33"/>
  <c r="AH206" i="33"/>
  <c r="AB206" i="33"/>
  <c r="Z206" i="33"/>
  <c r="AE206" i="33"/>
  <c r="V184" i="33"/>
  <c r="U159" i="33"/>
  <c r="AE159" i="33"/>
  <c r="AK159" i="33"/>
  <c r="AH159" i="33"/>
  <c r="Z159" i="33"/>
  <c r="AF159" i="33"/>
  <c r="W159" i="33"/>
  <c r="AB159" i="33"/>
  <c r="AC159" i="33"/>
  <c r="AI159" i="33"/>
  <c r="Y159" i="33"/>
  <c r="AL159" i="33"/>
  <c r="V205" i="33"/>
  <c r="AG176" i="33"/>
  <c r="AA176" i="33"/>
  <c r="AG191" i="33"/>
  <c r="AD191" i="33"/>
  <c r="AA174" i="33"/>
  <c r="U198" i="33"/>
  <c r="W198" i="33"/>
  <c r="AL198" i="33"/>
  <c r="AE198" i="33"/>
  <c r="AH198" i="33"/>
  <c r="Z198" i="33"/>
  <c r="AC198" i="33"/>
  <c r="AI198" i="33"/>
  <c r="AF198" i="33"/>
  <c r="AK198" i="33"/>
  <c r="AB198" i="33"/>
  <c r="Y198" i="33"/>
  <c r="AG170" i="33"/>
  <c r="V149" i="33"/>
  <c r="AG151" i="33"/>
  <c r="AJ151" i="33"/>
  <c r="AG156" i="33"/>
  <c r="AJ156" i="33"/>
  <c r="AI154" i="33"/>
  <c r="U154" i="33"/>
  <c r="W154" i="33"/>
  <c r="AC154" i="33"/>
  <c r="AE154" i="33"/>
  <c r="AH154" i="33"/>
  <c r="Z154" i="33"/>
  <c r="AK154" i="33"/>
  <c r="AB154" i="33"/>
  <c r="Y154" i="33"/>
  <c r="AF154" i="33"/>
  <c r="AL154" i="33"/>
  <c r="AH163" i="33"/>
  <c r="AE163" i="33"/>
  <c r="Y163" i="33"/>
  <c r="AK163" i="33"/>
  <c r="AI163" i="33"/>
  <c r="AC163" i="33"/>
  <c r="AB163" i="33"/>
  <c r="AL163" i="33"/>
  <c r="W163" i="33"/>
  <c r="Z163" i="33"/>
  <c r="U163" i="33"/>
  <c r="AF163" i="33"/>
  <c r="AG192" i="33"/>
  <c r="AJ200" i="33"/>
  <c r="AK201" i="33"/>
  <c r="Y201" i="33"/>
  <c r="W201" i="33"/>
  <c r="AE201" i="33"/>
  <c r="U201" i="33"/>
  <c r="AF201" i="33"/>
  <c r="AL201" i="33"/>
  <c r="AI201" i="33"/>
  <c r="AB201" i="33"/>
  <c r="AC201" i="33"/>
  <c r="Z201" i="33"/>
  <c r="AH201" i="33"/>
  <c r="AK166" i="33"/>
  <c r="Y166" i="33"/>
  <c r="AH166" i="33"/>
  <c r="AB166" i="33"/>
  <c r="AF166" i="33"/>
  <c r="AL166" i="33"/>
  <c r="AC166" i="33"/>
  <c r="AE166" i="33"/>
  <c r="W166" i="33"/>
  <c r="Z166" i="33"/>
  <c r="U166" i="33"/>
  <c r="AI166" i="33"/>
  <c r="AD152" i="33"/>
  <c r="AJ181" i="33"/>
  <c r="AA149" i="33"/>
  <c r="AA153" i="33"/>
  <c r="V173" i="33"/>
  <c r="AJ190" i="33"/>
  <c r="AJ168" i="33"/>
  <c r="AA198" i="33"/>
  <c r="V180" i="33"/>
  <c r="AB180" i="33"/>
  <c r="AC180" i="33"/>
  <c r="AF180" i="33"/>
  <c r="U180" i="33"/>
  <c r="Z180" i="33"/>
  <c r="AK180" i="33"/>
  <c r="AH180" i="33"/>
  <c r="AI180" i="33"/>
  <c r="Y180" i="33"/>
  <c r="AE180" i="33"/>
  <c r="W180" i="33"/>
  <c r="AL180" i="33"/>
  <c r="W204" i="33"/>
  <c r="U204" i="33"/>
  <c r="AK204" i="33"/>
  <c r="AE204" i="33"/>
  <c r="AC204" i="33"/>
  <c r="AL204" i="33"/>
  <c r="AH204" i="33"/>
  <c r="AB204" i="33"/>
  <c r="AF204" i="33"/>
  <c r="Y204" i="33"/>
  <c r="AI204" i="33"/>
  <c r="Z204" i="33"/>
  <c r="AC184" i="33"/>
  <c r="AE184" i="33"/>
  <c r="AK184" i="33"/>
  <c r="AI184" i="33"/>
  <c r="Y184" i="33"/>
  <c r="U184" i="33"/>
  <c r="Z184" i="33"/>
  <c r="AH184" i="33"/>
  <c r="W184" i="33"/>
  <c r="AF184" i="33"/>
  <c r="AL184" i="33"/>
  <c r="AB184" i="33"/>
  <c r="W161" i="33"/>
  <c r="AK161" i="33"/>
  <c r="AF161" i="33"/>
  <c r="Z161" i="33"/>
  <c r="AL161" i="33"/>
  <c r="AC161" i="33"/>
  <c r="Y161" i="33"/>
  <c r="U161" i="33"/>
  <c r="AB161" i="33"/>
  <c r="AE161" i="33"/>
  <c r="AH161" i="33"/>
  <c r="AI161" i="33"/>
  <c r="AH189" i="33"/>
  <c r="AF189" i="33"/>
  <c r="AC189" i="33"/>
  <c r="AE189" i="33"/>
  <c r="Y189" i="33"/>
  <c r="AL189" i="33"/>
  <c r="U189" i="33"/>
  <c r="W189" i="33"/>
  <c r="AB189" i="33"/>
  <c r="Z189" i="33"/>
  <c r="AK189" i="33"/>
  <c r="AI189" i="33"/>
  <c r="W203" i="33"/>
  <c r="Y203" i="33"/>
  <c r="AI203" i="33"/>
  <c r="AC203" i="33"/>
  <c r="U203" i="33"/>
  <c r="AL203" i="33"/>
  <c r="AF203" i="33"/>
  <c r="Z203" i="33"/>
  <c r="AB203" i="33"/>
  <c r="AK203" i="33"/>
  <c r="AH203" i="33"/>
  <c r="AE203" i="33"/>
  <c r="V187" i="33"/>
  <c r="AA166" i="33"/>
  <c r="AA148" i="33"/>
  <c r="AJ183" i="33"/>
  <c r="AG205" i="33"/>
  <c r="AA205" i="33"/>
  <c r="AC149" i="33"/>
  <c r="AK149" i="33"/>
  <c r="U149" i="33"/>
  <c r="Z149" i="33"/>
  <c r="W149" i="33"/>
  <c r="AE149" i="33"/>
  <c r="Y149" i="33"/>
  <c r="AB149" i="33"/>
  <c r="AI149" i="33"/>
  <c r="AL149" i="33"/>
  <c r="AH149" i="33"/>
  <c r="AF149" i="33"/>
  <c r="AG168" i="33"/>
  <c r="V175" i="33"/>
  <c r="AJ150" i="33"/>
  <c r="AH153" i="33"/>
  <c r="Z153" i="33"/>
  <c r="Y153" i="33"/>
  <c r="U153" i="33"/>
  <c r="AB153" i="33"/>
  <c r="AF153" i="33"/>
  <c r="AE153" i="33"/>
  <c r="AC153" i="33"/>
  <c r="AK153" i="33"/>
  <c r="AL153" i="33"/>
  <c r="W153" i="33"/>
  <c r="AI153" i="33"/>
  <c r="Y150" i="33"/>
  <c r="AH150" i="33"/>
  <c r="AK150" i="33"/>
  <c r="AL150" i="33"/>
  <c r="W150" i="33"/>
  <c r="AI150" i="33"/>
  <c r="AB150" i="33"/>
  <c r="AF150" i="33"/>
  <c r="AC150" i="33"/>
  <c r="Z150" i="33"/>
  <c r="U150" i="33"/>
  <c r="AE150" i="33"/>
  <c r="AJ172" i="33"/>
  <c r="AG169" i="33"/>
  <c r="AJ169" i="33"/>
  <c r="AD206" i="33"/>
  <c r="V194" i="33"/>
  <c r="AG159" i="33"/>
  <c r="AA159" i="33"/>
  <c r="AA187" i="33"/>
  <c r="AD175" i="33"/>
  <c r="AL207" i="33"/>
  <c r="AF207" i="33"/>
  <c r="Z207" i="33"/>
  <c r="Y207" i="33"/>
  <c r="W207" i="33"/>
  <c r="AB207" i="33"/>
  <c r="AI207" i="33"/>
  <c r="AE207" i="33"/>
  <c r="AK207" i="33"/>
  <c r="AC207" i="33"/>
  <c r="U207" i="33"/>
  <c r="AH207" i="33"/>
  <c r="AI200" i="33"/>
  <c r="AC200" i="33"/>
  <c r="AK200" i="33"/>
  <c r="AE200" i="33"/>
  <c r="W200" i="33"/>
  <c r="AL200" i="33"/>
  <c r="AF200" i="33"/>
  <c r="Y200" i="33"/>
  <c r="AB200" i="33"/>
  <c r="AH200" i="33"/>
  <c r="Z200" i="33"/>
  <c r="AG200" i="33"/>
  <c r="U200" i="33"/>
  <c r="AJ184" i="33"/>
  <c r="AG196" i="33"/>
  <c r="AB174" i="33"/>
  <c r="AC174" i="33"/>
  <c r="W174" i="33"/>
  <c r="AH174" i="33"/>
  <c r="AF174" i="33"/>
  <c r="U174" i="33"/>
  <c r="Z174" i="33"/>
  <c r="AK174" i="33"/>
  <c r="AE174" i="33"/>
  <c r="AL174" i="33"/>
  <c r="Y174" i="33"/>
  <c r="AI174" i="33"/>
  <c r="AG206" i="33"/>
  <c r="AA163" i="33"/>
  <c r="Z164" i="33"/>
  <c r="AC164" i="33"/>
  <c r="AL164" i="33"/>
  <c r="U164" i="33"/>
  <c r="W164" i="33"/>
  <c r="AE164" i="33"/>
  <c r="Y164" i="33"/>
  <c r="AK164" i="33"/>
  <c r="AH164" i="33"/>
  <c r="AI164" i="33"/>
  <c r="AF164" i="33"/>
  <c r="AG164" i="33"/>
  <c r="AB164" i="33"/>
  <c r="AH162" i="33"/>
  <c r="Y162" i="33"/>
  <c r="AI162" i="33"/>
  <c r="W162" i="33"/>
  <c r="AK162" i="33"/>
  <c r="AB162" i="33"/>
  <c r="U162" i="33"/>
  <c r="Z162" i="33"/>
  <c r="AF162" i="33"/>
  <c r="AC162" i="33"/>
  <c r="AE162" i="33"/>
  <c r="AG162" i="33"/>
  <c r="AL162" i="33"/>
  <c r="AG174" i="33"/>
  <c r="AG154" i="33"/>
  <c r="AD154" i="33"/>
  <c r="AG163" i="33"/>
  <c r="AJ163" i="33"/>
  <c r="AD158" i="33"/>
  <c r="AD185" i="33"/>
  <c r="AG173" i="33"/>
  <c r="AG194" i="33"/>
  <c r="AI172" i="33"/>
  <c r="W172" i="33"/>
  <c r="AH172" i="33"/>
  <c r="Z172" i="33"/>
  <c r="AK172" i="33"/>
  <c r="U172" i="33"/>
  <c r="AF172" i="33"/>
  <c r="AC172" i="33"/>
  <c r="AE172" i="33"/>
  <c r="AB172" i="33"/>
  <c r="Y172" i="33"/>
  <c r="AL172" i="33"/>
  <c r="AL190" i="33"/>
  <c r="W190" i="33"/>
  <c r="Y190" i="33"/>
  <c r="AB190" i="33"/>
  <c r="AE190" i="33"/>
  <c r="U190" i="33"/>
  <c r="Z190" i="33"/>
  <c r="AF190" i="33"/>
  <c r="AI190" i="33"/>
  <c r="AH190" i="33"/>
  <c r="AK190" i="33"/>
  <c r="AC190" i="33"/>
  <c r="AD155" i="33"/>
  <c r="AG201" i="33"/>
  <c r="AA201" i="33"/>
  <c r="AG166" i="33"/>
  <c r="AJ166" i="33"/>
  <c r="W148" i="33"/>
  <c r="AC148" i="33"/>
  <c r="AI148" i="33"/>
  <c r="Z148" i="33"/>
  <c r="Y148" i="33"/>
  <c r="AH148" i="33"/>
  <c r="AB148" i="33"/>
  <c r="AL148" i="33"/>
  <c r="AF148" i="33"/>
  <c r="U148" i="33"/>
  <c r="AE148" i="33"/>
  <c r="AG148" i="33"/>
  <c r="AK148" i="33"/>
  <c r="U152" i="33"/>
  <c r="AB152" i="33"/>
  <c r="AL152" i="33"/>
  <c r="AE152" i="33"/>
  <c r="W152" i="33"/>
  <c r="AK152" i="33"/>
  <c r="AC152" i="33"/>
  <c r="AF152" i="33"/>
  <c r="AI152" i="33"/>
  <c r="AH152" i="33"/>
  <c r="Y152" i="33"/>
  <c r="AG152" i="33"/>
  <c r="Z152" i="33"/>
  <c r="W199" i="33"/>
  <c r="AI199" i="33"/>
  <c r="AK199" i="33"/>
  <c r="AL199" i="33"/>
  <c r="Z199" i="33"/>
  <c r="AE199" i="33"/>
  <c r="AC199" i="33"/>
  <c r="AH199" i="33"/>
  <c r="Y199" i="33"/>
  <c r="AB199" i="33"/>
  <c r="U199" i="33"/>
  <c r="AG199" i="33"/>
  <c r="AF199" i="33"/>
  <c r="Z157" i="33"/>
  <c r="AL157" i="33"/>
  <c r="W157" i="33"/>
  <c r="U157" i="33"/>
  <c r="AH157" i="33"/>
  <c r="Y157" i="33"/>
  <c r="AF157" i="33"/>
  <c r="AK157" i="33"/>
  <c r="AI157" i="33"/>
  <c r="AB157" i="33"/>
  <c r="AC157" i="33"/>
  <c r="AG157" i="33"/>
  <c r="AE157" i="33"/>
  <c r="AG190" i="33"/>
  <c r="AG177" i="33"/>
  <c r="Y147" i="33"/>
  <c r="AB147" i="33"/>
  <c r="AL147" i="33"/>
  <c r="AI147" i="33"/>
  <c r="AE147" i="33"/>
  <c r="AH147" i="33"/>
  <c r="U147" i="33"/>
  <c r="AC147" i="33"/>
  <c r="W147" i="33"/>
  <c r="AK147" i="33"/>
  <c r="AF147" i="33"/>
  <c r="AG147" i="33"/>
  <c r="Z147" i="33"/>
  <c r="W155" i="33"/>
  <c r="Y155" i="33"/>
  <c r="AB155" i="33"/>
  <c r="AK155" i="33"/>
  <c r="AL155" i="33"/>
  <c r="AC155" i="33"/>
  <c r="AE155" i="33"/>
  <c r="Z155" i="33"/>
  <c r="U155" i="33"/>
  <c r="AH155" i="33"/>
  <c r="AF155" i="33"/>
  <c r="AG155" i="33"/>
  <c r="AI155" i="33"/>
  <c r="Y197" i="33"/>
  <c r="W197" i="33"/>
  <c r="AL197" i="33"/>
  <c r="Z197" i="33"/>
  <c r="AH197" i="33"/>
  <c r="AK197" i="33"/>
  <c r="U197" i="33"/>
  <c r="AI197" i="33"/>
  <c r="AF197" i="33"/>
  <c r="AE197" i="33"/>
  <c r="AB197" i="33"/>
  <c r="AC197" i="33"/>
  <c r="AG180" i="33"/>
  <c r="AA180" i="33"/>
  <c r="AG204" i="33"/>
  <c r="AD204" i="33"/>
  <c r="AG184" i="33"/>
  <c r="AD184" i="33"/>
  <c r="AG161" i="33"/>
  <c r="AA161" i="33"/>
  <c r="AG189" i="33"/>
  <c r="AD189" i="33"/>
  <c r="AA172" i="33"/>
  <c r="AG203" i="33"/>
  <c r="AD203" i="33"/>
  <c r="AL187" i="33"/>
  <c r="AE187" i="33"/>
  <c r="AB187" i="33"/>
  <c r="Y187" i="33"/>
  <c r="AF187" i="33"/>
  <c r="AC187" i="33"/>
  <c r="U187" i="33"/>
  <c r="AK187" i="33"/>
  <c r="W187" i="33"/>
  <c r="Z187" i="33"/>
  <c r="AH187" i="33"/>
  <c r="AG187" i="33"/>
  <c r="AI187" i="33"/>
  <c r="AF195" i="33"/>
  <c r="W195" i="33"/>
  <c r="U195" i="33"/>
  <c r="AC195" i="33"/>
  <c r="AL195" i="33"/>
  <c r="AH195" i="33"/>
  <c r="AE195" i="33"/>
  <c r="AK195" i="33"/>
  <c r="Z195" i="33"/>
  <c r="Y195" i="33"/>
  <c r="AB195" i="33"/>
  <c r="AG195" i="33"/>
  <c r="AI195" i="33"/>
  <c r="Z202" i="33"/>
  <c r="AK202" i="33"/>
  <c r="W202" i="33"/>
  <c r="AB202" i="33"/>
  <c r="AH202" i="33"/>
  <c r="AF202" i="33"/>
  <c r="AC202" i="33"/>
  <c r="AL202" i="33"/>
  <c r="AE202" i="33"/>
  <c r="AI202" i="33"/>
  <c r="U202" i="33"/>
  <c r="Y202" i="33"/>
  <c r="AD202" i="33"/>
  <c r="AG149" i="33"/>
  <c r="AJ149" i="33"/>
  <c r="AG172" i="33"/>
  <c r="Z181" i="33"/>
  <c r="U181" i="33"/>
  <c r="AI181" i="33"/>
  <c r="AB181" i="33"/>
  <c r="AE181" i="33"/>
  <c r="AL181" i="33"/>
  <c r="W181" i="33"/>
  <c r="AF181" i="33"/>
  <c r="AH181" i="33"/>
  <c r="AK181" i="33"/>
  <c r="AC181" i="33"/>
  <c r="AG181" i="33"/>
  <c r="Y181" i="33"/>
  <c r="AG153" i="33"/>
  <c r="AD153" i="33"/>
  <c r="AG150" i="33"/>
  <c r="AD150" i="33"/>
  <c r="AH210" i="33"/>
  <c r="AC210" i="33"/>
  <c r="Z210" i="33"/>
  <c r="AI210" i="33"/>
  <c r="AK210" i="33"/>
  <c r="Y210" i="33"/>
  <c r="AB210" i="33"/>
  <c r="AF210" i="33"/>
  <c r="AL210" i="33"/>
  <c r="U210" i="33"/>
  <c r="W210" i="33"/>
  <c r="AG210" i="33"/>
  <c r="AE210" i="33"/>
  <c r="Z160" i="33"/>
  <c r="AL160" i="33"/>
  <c r="W160" i="33"/>
  <c r="AE160" i="33"/>
  <c r="AF160" i="33"/>
  <c r="AC160" i="33"/>
  <c r="Y160" i="33"/>
  <c r="U160" i="33"/>
  <c r="AK160" i="33"/>
  <c r="AH160" i="33"/>
  <c r="AB160" i="33"/>
  <c r="AG160" i="33"/>
  <c r="AI160" i="33"/>
  <c r="AI185" i="33"/>
  <c r="AH185" i="33"/>
  <c r="AF185" i="33"/>
  <c r="AL185" i="33"/>
  <c r="Z185" i="33"/>
  <c r="U185" i="33"/>
  <c r="AK185" i="33"/>
  <c r="AC185" i="33"/>
  <c r="W185" i="33"/>
  <c r="AB185" i="33"/>
  <c r="AE185" i="33"/>
  <c r="AG185" i="33"/>
  <c r="Y185" i="33"/>
  <c r="AI179" i="33"/>
  <c r="AL179" i="33"/>
  <c r="AH179" i="33"/>
  <c r="AB179" i="33"/>
  <c r="Z179" i="33"/>
  <c r="AF179" i="33"/>
  <c r="Y179" i="33"/>
  <c r="AE179" i="33"/>
  <c r="W179" i="33"/>
  <c r="AC179" i="33"/>
  <c r="AK179" i="33"/>
  <c r="AG179" i="33"/>
  <c r="U179" i="33"/>
  <c r="AG182" i="33"/>
  <c r="AG183" i="33"/>
  <c r="AC158" i="33"/>
  <c r="AI158" i="33"/>
  <c r="Z158" i="33"/>
  <c r="AE158" i="33"/>
  <c r="AK158" i="33"/>
  <c r="W158" i="33"/>
  <c r="U158" i="33"/>
  <c r="AB158" i="33"/>
  <c r="Y158" i="33"/>
  <c r="AF158" i="33"/>
  <c r="AL158" i="33"/>
  <c r="AG158" i="33"/>
  <c r="AH158" i="33"/>
  <c r="AC188" i="33"/>
  <c r="AK188" i="33"/>
  <c r="AF188" i="33"/>
  <c r="AL188" i="33"/>
  <c r="AE188" i="33"/>
  <c r="W188" i="33"/>
  <c r="Z188" i="33"/>
  <c r="U188" i="33"/>
  <c r="AH188" i="33"/>
  <c r="AI188" i="33"/>
  <c r="Y188" i="33"/>
  <c r="AB188" i="33"/>
  <c r="AG202" i="33"/>
  <c r="AJ202" i="33"/>
  <c r="Z175" i="33"/>
  <c r="AF175" i="33"/>
  <c r="AL175" i="33"/>
  <c r="AK175" i="33"/>
  <c r="W175" i="33"/>
  <c r="AB175" i="33"/>
  <c r="U175" i="33"/>
  <c r="AH175" i="33"/>
  <c r="AI175" i="33"/>
  <c r="Y175" i="33"/>
  <c r="AE175" i="33"/>
  <c r="AG175" i="33"/>
  <c r="AC175" i="33"/>
  <c r="AE186" i="33"/>
  <c r="AL186" i="33"/>
  <c r="W186" i="33"/>
  <c r="AF186" i="33"/>
  <c r="Y186" i="33"/>
  <c r="AI186" i="33"/>
  <c r="U186" i="33"/>
  <c r="Z186" i="33"/>
  <c r="AB186" i="33"/>
  <c r="AH186" i="33"/>
  <c r="AC186" i="33"/>
  <c r="AG186" i="33"/>
  <c r="AK186" i="33"/>
  <c r="W193" i="33"/>
  <c r="Z193" i="33"/>
  <c r="AF193" i="33"/>
  <c r="AH193" i="33"/>
  <c r="AK193" i="33"/>
  <c r="AB193" i="33"/>
  <c r="AL193" i="33"/>
  <c r="AE193" i="33"/>
  <c r="AC193" i="33"/>
  <c r="AI193" i="33"/>
  <c r="U193" i="33"/>
  <c r="AG193" i="33"/>
  <c r="Y193" i="33"/>
  <c r="AG207" i="33"/>
  <c r="AJ207" i="33"/>
  <c r="AG188" i="33"/>
  <c r="AA188" i="33"/>
  <c r="AG197" i="33"/>
  <c r="AD197" i="33"/>
  <c r="W171" i="33"/>
  <c r="Z171" i="33"/>
  <c r="AE171" i="33"/>
  <c r="AI171" i="33"/>
  <c r="AB171" i="33"/>
  <c r="Y171" i="33"/>
  <c r="AF171" i="33"/>
  <c r="AK171" i="33"/>
  <c r="AH171" i="33"/>
  <c r="AL171" i="33"/>
  <c r="AC171" i="33"/>
  <c r="AG171" i="33"/>
  <c r="U171" i="33"/>
  <c r="AG198" i="33"/>
  <c r="V198" i="33"/>
  <c r="DK214" i="43" l="1"/>
  <c r="DP213" i="43"/>
  <c r="DQ213" i="43" s="1"/>
  <c r="DM213" i="43"/>
  <c r="DN213" i="43" s="1"/>
  <c r="DO214" i="43"/>
  <c r="DH214" i="43"/>
  <c r="DR212" i="43"/>
  <c r="DS211" i="43"/>
  <c r="DG215" i="43"/>
  <c r="DK812" i="43"/>
  <c r="DP811" i="43"/>
  <c r="DI812" i="43"/>
  <c r="DO812" i="43"/>
  <c r="CC84" i="33"/>
  <c r="CL64" i="33" s="1"/>
  <c r="AM208" i="33"/>
  <c r="AM204" i="33"/>
  <c r="AT147" i="33"/>
  <c r="AT199" i="33"/>
  <c r="AN164" i="33"/>
  <c r="AR199" i="33"/>
  <c r="AR170" i="33"/>
  <c r="AQ152" i="33"/>
  <c r="AS201" i="33"/>
  <c r="AM180" i="33"/>
  <c r="AM167" i="33"/>
  <c r="AQ182" i="33"/>
  <c r="AQ204" i="33"/>
  <c r="AN179" i="33"/>
  <c r="AM185" i="33"/>
  <c r="AN190" i="33"/>
  <c r="AM146" i="33"/>
  <c r="AQ189" i="33"/>
  <c r="AN197" i="33"/>
  <c r="AN157" i="33"/>
  <c r="AR188" i="33"/>
  <c r="AR162" i="33"/>
  <c r="AQ186" i="33"/>
  <c r="AR186" i="33"/>
  <c r="AQ184" i="33"/>
  <c r="AQ191" i="33"/>
  <c r="AT183" i="33"/>
  <c r="AS193" i="33"/>
  <c r="AM152" i="33"/>
  <c r="AM161" i="33"/>
  <c r="AM158" i="33"/>
  <c r="AQ165" i="33"/>
  <c r="AS167" i="33"/>
  <c r="AS208" i="33"/>
  <c r="AQ192" i="33"/>
  <c r="AR168" i="33"/>
  <c r="AR173" i="33"/>
  <c r="AN156" i="33"/>
  <c r="AT201" i="33"/>
  <c r="AR204" i="33"/>
  <c r="AT178" i="33"/>
  <c r="AN177" i="33"/>
  <c r="AN159" i="33"/>
  <c r="AM201" i="33"/>
  <c r="AT188" i="33"/>
  <c r="AM154" i="33"/>
  <c r="AS178" i="33"/>
  <c r="AM181" i="33"/>
  <c r="AS177" i="33"/>
  <c r="AN150" i="33"/>
  <c r="AR151" i="33"/>
  <c r="AR193" i="33"/>
  <c r="AN160" i="33"/>
  <c r="AS173" i="33"/>
  <c r="AR192" i="33"/>
  <c r="AQ185" i="33"/>
  <c r="AT208" i="33"/>
  <c r="AN209" i="33"/>
  <c r="AN148" i="33"/>
  <c r="AS196" i="33"/>
  <c r="AQ161" i="33"/>
  <c r="AQ202" i="33"/>
  <c r="AT151" i="33"/>
  <c r="AS179" i="33"/>
  <c r="AT146" i="33"/>
  <c r="AM157" i="33"/>
  <c r="AR175" i="33"/>
  <c r="AR206" i="33"/>
  <c r="AT149" i="33"/>
  <c r="AT169" i="33"/>
  <c r="AM156" i="33"/>
  <c r="AT198" i="33"/>
  <c r="AR203" i="33"/>
  <c r="AS184" i="33"/>
  <c r="AT163" i="33"/>
  <c r="AS151" i="33"/>
  <c r="AS188" i="33"/>
  <c r="AT210" i="33"/>
  <c r="AM205" i="33"/>
  <c r="AM153" i="33"/>
  <c r="AS169" i="33"/>
  <c r="AT166" i="33"/>
  <c r="AQ188" i="33"/>
  <c r="AN173" i="33"/>
  <c r="AQ209" i="33"/>
  <c r="AS170" i="33"/>
  <c r="AQ167" i="33"/>
  <c r="AR181" i="33"/>
  <c r="AT202" i="33"/>
  <c r="AQ208" i="33"/>
  <c r="AM163" i="33"/>
  <c r="AR163" i="33"/>
  <c r="AR197" i="33"/>
  <c r="AT194" i="33"/>
  <c r="AS194" i="33"/>
  <c r="AS192" i="33"/>
  <c r="AS198" i="33"/>
  <c r="AR164" i="33"/>
  <c r="AT170" i="33"/>
  <c r="AM182" i="33"/>
  <c r="AM195" i="33"/>
  <c r="AN147" i="33"/>
  <c r="AR184" i="33"/>
  <c r="AS162" i="33"/>
  <c r="AQ159" i="33"/>
  <c r="AN185" i="33"/>
  <c r="CV29" i="33"/>
  <c r="AQ168" i="33"/>
  <c r="AS191" i="33"/>
  <c r="AS154" i="33"/>
  <c r="AS168" i="33"/>
  <c r="AR150" i="33"/>
  <c r="AX150" i="33" s="1"/>
  <c r="AR169" i="33"/>
  <c r="AR153" i="33"/>
  <c r="AX153" i="33" s="1"/>
  <c r="AN205" i="33"/>
  <c r="AQ171" i="33"/>
  <c r="AS166" i="33"/>
  <c r="AQ207" i="33"/>
  <c r="AS190" i="33"/>
  <c r="AN198" i="33"/>
  <c r="AS197" i="33"/>
  <c r="AS150" i="33"/>
  <c r="AT167" i="33"/>
  <c r="AN182" i="33"/>
  <c r="AS182" i="33"/>
  <c r="AR189" i="33"/>
  <c r="AT145" i="33"/>
  <c r="AT203" i="33"/>
  <c r="AS175" i="33"/>
  <c r="AR160" i="33"/>
  <c r="AT152" i="33"/>
  <c r="AQ190" i="33"/>
  <c r="AQ166" i="33"/>
  <c r="AS206" i="33"/>
  <c r="AT209" i="33"/>
  <c r="AQ178" i="33"/>
  <c r="AS183" i="33"/>
  <c r="AR157" i="33"/>
  <c r="AR158" i="33"/>
  <c r="AS159" i="33"/>
  <c r="AQ154" i="33"/>
  <c r="AS171" i="33"/>
  <c r="AS187" i="33"/>
  <c r="AT207" i="33"/>
  <c r="AT160" i="33"/>
  <c r="AS152" i="33"/>
  <c r="AY152" i="33" s="1"/>
  <c r="AR154" i="33"/>
  <c r="AS156" i="33"/>
  <c r="AS204" i="33"/>
  <c r="AT186" i="33"/>
  <c r="AR179" i="33"/>
  <c r="AR195" i="33"/>
  <c r="AS157" i="33"/>
  <c r="AQ163" i="33"/>
  <c r="AR174" i="33"/>
  <c r="AQ174" i="33"/>
  <c r="AT164" i="33"/>
  <c r="AN194" i="33"/>
  <c r="AM203" i="33"/>
  <c r="AT196" i="33"/>
  <c r="AR187" i="33"/>
  <c r="AT168" i="33"/>
  <c r="AR182" i="33"/>
  <c r="AQ146" i="33"/>
  <c r="AQ180" i="33"/>
  <c r="AT172" i="33"/>
  <c r="AS164" i="33"/>
  <c r="AM166" i="33"/>
  <c r="AS176" i="33"/>
  <c r="AS146" i="33"/>
  <c r="AR177" i="33"/>
  <c r="AR202" i="33"/>
  <c r="AS189" i="33"/>
  <c r="AN200" i="33"/>
  <c r="AQ183" i="33"/>
  <c r="AR165" i="33"/>
  <c r="AN187" i="33"/>
  <c r="AN199" i="33"/>
  <c r="AQ201" i="33"/>
  <c r="AM172" i="33"/>
  <c r="AS172" i="33"/>
  <c r="AQ196" i="33"/>
  <c r="AN183" i="33"/>
  <c r="AS158" i="33"/>
  <c r="AS161" i="33"/>
  <c r="AQ162" i="33"/>
  <c r="AT184" i="33"/>
  <c r="AN204" i="33"/>
  <c r="AQ198" i="33"/>
  <c r="AT200" i="33"/>
  <c r="AQ205" i="33"/>
  <c r="AM183" i="33"/>
  <c r="AS209" i="33"/>
  <c r="AS165" i="33"/>
  <c r="AM164" i="33"/>
  <c r="AR185" i="33"/>
  <c r="AS203" i="33"/>
  <c r="AM150" i="33"/>
  <c r="AN161" i="33"/>
  <c r="AR208" i="33"/>
  <c r="AR172" i="33"/>
  <c r="AS210" i="33"/>
  <c r="AN178" i="33"/>
  <c r="AQ145" i="33"/>
  <c r="AQ179" i="33"/>
  <c r="AS200" i="33"/>
  <c r="AR180" i="33"/>
  <c r="AQ153" i="33"/>
  <c r="AT161" i="33"/>
  <c r="AN158" i="33"/>
  <c r="AR201" i="33"/>
  <c r="AN165" i="33"/>
  <c r="AQ194" i="33"/>
  <c r="AR191" i="33"/>
  <c r="AS180" i="33"/>
  <c r="AQ147" i="33"/>
  <c r="AT153" i="33"/>
  <c r="AR167" i="33"/>
  <c r="AN202" i="33"/>
  <c r="AS155" i="33"/>
  <c r="AN184" i="33"/>
  <c r="AQ169" i="33"/>
  <c r="AR190" i="33"/>
  <c r="AT173" i="33"/>
  <c r="AN174" i="33"/>
  <c r="AN171" i="33"/>
  <c r="AQ172" i="33"/>
  <c r="AQ148" i="33"/>
  <c r="AT190" i="33"/>
  <c r="AR147" i="33"/>
  <c r="AN168" i="33"/>
  <c r="AS149" i="33"/>
  <c r="AN149" i="33"/>
  <c r="AN154" i="33"/>
  <c r="AQ176" i="33"/>
  <c r="AT180" i="33"/>
  <c r="AR209" i="33"/>
  <c r="AR161" i="33"/>
  <c r="AQ193" i="33"/>
  <c r="AT192" i="33"/>
  <c r="AS207" i="33"/>
  <c r="AS186" i="33"/>
  <c r="AN175" i="33"/>
  <c r="AT181" i="33"/>
  <c r="AS147" i="33"/>
  <c r="AT191" i="33"/>
  <c r="AQ164" i="33"/>
  <c r="AR200" i="33"/>
  <c r="AM145" i="33"/>
  <c r="AN170" i="33"/>
  <c r="AS199" i="33"/>
  <c r="AR155" i="33"/>
  <c r="AX155" i="33" s="1"/>
  <c r="AS202" i="33"/>
  <c r="AS160" i="33"/>
  <c r="AS181" i="33"/>
  <c r="AS195" i="33"/>
  <c r="AS148" i="33"/>
  <c r="AY148" i="33" s="1"/>
  <c r="AS153" i="33"/>
  <c r="AY153" i="33" s="1"/>
  <c r="AN203" i="33"/>
  <c r="AN201" i="33"/>
  <c r="AT156" i="33"/>
  <c r="AQ156" i="33"/>
  <c r="AR183" i="33"/>
  <c r="AN196" i="33"/>
  <c r="AN191" i="33"/>
  <c r="AS185" i="33"/>
  <c r="AT150" i="33"/>
  <c r="AN180" i="33"/>
  <c r="AR166" i="33"/>
  <c r="AR159" i="33"/>
  <c r="AQ200" i="33"/>
  <c r="AR149" i="33"/>
  <c r="AT176" i="33"/>
  <c r="AT189" i="33"/>
  <c r="AN162" i="33"/>
  <c r="AQ149" i="33"/>
  <c r="AQ160" i="33"/>
  <c r="AQ151" i="33"/>
  <c r="AT182" i="33"/>
  <c r="AQ150" i="33"/>
  <c r="AR145" i="33"/>
  <c r="AM177" i="33"/>
  <c r="AQ170" i="33"/>
  <c r="AM197" i="33"/>
  <c r="AQ197" i="33"/>
  <c r="AQ181" i="33"/>
  <c r="AN207" i="33"/>
  <c r="AM196" i="33"/>
  <c r="AN181" i="33"/>
  <c r="AQ157" i="33"/>
  <c r="AT162" i="33"/>
  <c r="AZ162" i="33" s="1"/>
  <c r="AS163" i="33"/>
  <c r="AS174" i="33"/>
  <c r="AQ158" i="33"/>
  <c r="AR176" i="33"/>
  <c r="AT148" i="33"/>
  <c r="AZ148" i="33" s="1"/>
  <c r="AQ187" i="33"/>
  <c r="AQ199" i="33"/>
  <c r="AS205" i="33"/>
  <c r="AR152" i="33"/>
  <c r="AT179" i="33"/>
  <c r="AN152" i="33"/>
  <c r="AT187" i="33"/>
  <c r="AN172" i="33"/>
  <c r="CE86" i="33"/>
  <c r="CL66" i="33"/>
  <c r="AQ195" i="33"/>
  <c r="AN188" i="33"/>
  <c r="AR146" i="33"/>
  <c r="AT195" i="33"/>
  <c r="AT193" i="33"/>
  <c r="AQ210" i="33"/>
  <c r="AM190" i="33"/>
  <c r="AN189" i="33"/>
  <c r="AT159" i="33"/>
  <c r="AM210" i="33"/>
  <c r="AT174" i="33"/>
  <c r="AT175" i="33"/>
  <c r="AT205" i="33"/>
  <c r="AR178" i="33"/>
  <c r="AN151" i="33"/>
  <c r="AM194" i="33"/>
  <c r="AM159" i="33"/>
  <c r="AM170" i="33"/>
  <c r="AQ155" i="33"/>
  <c r="AN195" i="33"/>
  <c r="AN163" i="33"/>
  <c r="AR156" i="33"/>
  <c r="AX156" i="33" s="1"/>
  <c r="AN176" i="33"/>
  <c r="AR198" i="33"/>
  <c r="AN146" i="33"/>
  <c r="AS145" i="33"/>
  <c r="AQ175" i="33"/>
  <c r="AT165" i="33"/>
  <c r="AQ203" i="33"/>
  <c r="AR148" i="33"/>
  <c r="AX148" i="33" s="1"/>
  <c r="AN169" i="33"/>
  <c r="AM187" i="33"/>
  <c r="AR207" i="33"/>
  <c r="AM189" i="33"/>
  <c r="AM209" i="33"/>
  <c r="AM176" i="33"/>
  <c r="AN166" i="33"/>
  <c r="AR196" i="33"/>
  <c r="AR205" i="33"/>
  <c r="AM193" i="33"/>
  <c r="AM191" i="33"/>
  <c r="AT204" i="33"/>
  <c r="AM186" i="33"/>
  <c r="AM184" i="33"/>
  <c r="AR210" i="33"/>
  <c r="AN206" i="33"/>
  <c r="AT155" i="33"/>
  <c r="AT154" i="33"/>
  <c r="AZ154" i="33" s="1"/>
  <c r="AQ173" i="33"/>
  <c r="AM188" i="33"/>
  <c r="AQ177" i="33"/>
  <c r="AM198" i="33"/>
  <c r="AM192" i="33"/>
  <c r="AM160" i="33"/>
  <c r="AM175" i="33"/>
  <c r="AM148" i="33"/>
  <c r="AM179" i="33"/>
  <c r="AT157" i="33"/>
  <c r="AM206" i="33"/>
  <c r="AM169" i="33"/>
  <c r="AM168" i="33"/>
  <c r="AM171" i="33"/>
  <c r="AM155" i="33"/>
  <c r="AR194" i="33"/>
  <c r="AN186" i="33"/>
  <c r="AN210" i="33"/>
  <c r="AM147" i="33"/>
  <c r="AN145" i="33"/>
  <c r="AM173" i="33"/>
  <c r="AM149" i="33"/>
  <c r="AM202" i="33"/>
  <c r="AT197" i="33"/>
  <c r="AQ206" i="33"/>
  <c r="AN167" i="33"/>
  <c r="AM165" i="33"/>
  <c r="AM199" i="33"/>
  <c r="CW66" i="33"/>
  <c r="AR171" i="33"/>
  <c r="AT171" i="33"/>
  <c r="AM178" i="33"/>
  <c r="AN155" i="33"/>
  <c r="AT206" i="33"/>
  <c r="AM207" i="33"/>
  <c r="AN193" i="33"/>
  <c r="AT185" i="33"/>
  <c r="AM162" i="33"/>
  <c r="AN208" i="33"/>
  <c r="AT177" i="33"/>
  <c r="AM174" i="33"/>
  <c r="AM151" i="33"/>
  <c r="AN153" i="33"/>
  <c r="AT158" i="33"/>
  <c r="AM200" i="33"/>
  <c r="AN192" i="33"/>
  <c r="DR213" i="43" l="1"/>
  <c r="DS212" i="43"/>
  <c r="DH215" i="43"/>
  <c r="DO215" i="43"/>
  <c r="DP214" i="43"/>
  <c r="DQ214" i="43" s="1"/>
  <c r="DM214" i="43"/>
  <c r="DN214" i="43" s="1"/>
  <c r="DK215" i="43"/>
  <c r="DG216" i="43"/>
  <c r="DP812" i="43"/>
  <c r="DI813" i="43"/>
  <c r="DO813" i="43"/>
  <c r="DK813" i="43"/>
  <c r="AZ155" i="33"/>
  <c r="DE49" i="33" s="1"/>
  <c r="BC155" i="33" a="1"/>
  <c r="BC155" i="33" s="1"/>
  <c r="AX171" i="33"/>
  <c r="DC65" i="33" s="1"/>
  <c r="CE84" i="33"/>
  <c r="CC83" i="33"/>
  <c r="CW63" i="33" s="1"/>
  <c r="AX206" i="33"/>
  <c r="CX62" i="33" s="1"/>
  <c r="AZ205" i="33"/>
  <c r="CZ61" i="33" s="1"/>
  <c r="AX208" i="33"/>
  <c r="CX64" i="33" s="1"/>
  <c r="AZ207" i="33"/>
  <c r="CZ63" i="33" s="1"/>
  <c r="AY204" i="33"/>
  <c r="CY60" i="33" s="1"/>
  <c r="AX209" i="33"/>
  <c r="CX65" i="33" s="1"/>
  <c r="AZ202" i="33"/>
  <c r="CZ58" i="33" s="1"/>
  <c r="AZ203" i="33"/>
  <c r="CZ59" i="33" s="1"/>
  <c r="AX205" i="33"/>
  <c r="CX61" i="33" s="1"/>
  <c r="AZ206" i="33"/>
  <c r="CZ62" i="33" s="1"/>
  <c r="AZ201" i="33"/>
  <c r="CZ57" i="33" s="1"/>
  <c r="AX202" i="33"/>
  <c r="CX58" i="33" s="1"/>
  <c r="AY203" i="33"/>
  <c r="CY59" i="33" s="1"/>
  <c r="AW210" i="33"/>
  <c r="CO66" i="33" s="1"/>
  <c r="AZ208" i="33"/>
  <c r="CZ64" i="33" s="1"/>
  <c r="AX204" i="33"/>
  <c r="CX60" i="33" s="1"/>
  <c r="AZ204" i="33"/>
  <c r="CZ60" i="33" s="1"/>
  <c r="AY202" i="33"/>
  <c r="CY58" i="33" s="1"/>
  <c r="AW207" i="33"/>
  <c r="CO63" i="33" s="1"/>
  <c r="AW208" i="33"/>
  <c r="CO64" i="33" s="1"/>
  <c r="AZ210" i="33"/>
  <c r="CZ66" i="33" s="1"/>
  <c r="AY207" i="33"/>
  <c r="CY63" i="33" s="1"/>
  <c r="AX174" i="33"/>
  <c r="CX30" i="33" s="1"/>
  <c r="AX146" i="33"/>
  <c r="DC40" i="33" s="1"/>
  <c r="AX175" i="33"/>
  <c r="CX31" i="33" s="1"/>
  <c r="AX147" i="33"/>
  <c r="DC41" i="33" s="1"/>
  <c r="AY178" i="33"/>
  <c r="CY34" i="33" s="1"/>
  <c r="AY150" i="33"/>
  <c r="DD44" i="33" s="1"/>
  <c r="AZ181" i="33"/>
  <c r="CZ37" i="33" s="1"/>
  <c r="AZ153" i="33"/>
  <c r="DE47" i="33" s="1"/>
  <c r="AY200" i="33"/>
  <c r="CY56" i="33" s="1"/>
  <c r="AY172" i="33"/>
  <c r="DD66" i="33" s="1"/>
  <c r="AY195" i="33"/>
  <c r="CY51" i="33" s="1"/>
  <c r="AY167" i="33"/>
  <c r="DD61" i="33" s="1"/>
  <c r="AW200" i="33"/>
  <c r="CO56" i="33" s="1"/>
  <c r="AW172" i="33"/>
  <c r="CT66" i="33" s="1"/>
  <c r="AZ180" i="33"/>
  <c r="CZ36" i="33" s="1"/>
  <c r="AZ152" i="33"/>
  <c r="DE46" i="33" s="1"/>
  <c r="AZ195" i="33"/>
  <c r="CZ51" i="33" s="1"/>
  <c r="AZ167" i="33"/>
  <c r="DE61" i="33" s="1"/>
  <c r="AX190" i="33"/>
  <c r="CX46" i="33" s="1"/>
  <c r="AX162" i="33"/>
  <c r="DC56" i="33" s="1"/>
  <c r="AW176" i="33"/>
  <c r="CO32" i="33" s="1"/>
  <c r="AW148" i="33"/>
  <c r="CT42" i="33" s="1"/>
  <c r="AW186" i="33"/>
  <c r="CO42" i="33" s="1"/>
  <c r="AW158" i="33"/>
  <c r="CT52" i="33" s="1"/>
  <c r="AY192" i="33"/>
  <c r="CY48" i="33" s="1"/>
  <c r="AY164" i="33"/>
  <c r="DD58" i="33" s="1"/>
  <c r="AX187" i="33"/>
  <c r="CX43" i="33" s="1"/>
  <c r="AX159" i="33"/>
  <c r="DC53" i="33" s="1"/>
  <c r="AX173" i="33"/>
  <c r="CX29" i="33" s="1"/>
  <c r="AX145" i="33"/>
  <c r="DC39" i="33" s="1"/>
  <c r="AX198" i="33"/>
  <c r="CX54" i="33" s="1"/>
  <c r="AX170" i="33"/>
  <c r="DC64" i="33" s="1"/>
  <c r="AW185" i="33"/>
  <c r="CO41" i="33" s="1"/>
  <c r="AW157" i="33"/>
  <c r="CT51" i="33" s="1"/>
  <c r="AZ191" i="33"/>
  <c r="CZ47" i="33" s="1"/>
  <c r="AZ163" i="33"/>
  <c r="DE57" i="33" s="1"/>
  <c r="AX179" i="33"/>
  <c r="CX35" i="33" s="1"/>
  <c r="AX151" i="33"/>
  <c r="DC45" i="33" s="1"/>
  <c r="AX180" i="33"/>
  <c r="CX36" i="33" s="1"/>
  <c r="AX152" i="33"/>
  <c r="DC46" i="33" s="1"/>
  <c r="AW194" i="33"/>
  <c r="CO50" i="33" s="1"/>
  <c r="AW166" i="33"/>
  <c r="CT60" i="33" s="1"/>
  <c r="AX192" i="33"/>
  <c r="CX48" i="33" s="1"/>
  <c r="AX164" i="33"/>
  <c r="DC58" i="33" s="1"/>
  <c r="AW175" i="33"/>
  <c r="CO31" i="33" s="1"/>
  <c r="AW147" i="33"/>
  <c r="CT41" i="33" s="1"/>
  <c r="AW189" i="33"/>
  <c r="CO45" i="33" s="1"/>
  <c r="AW161" i="33"/>
  <c r="CT55" i="33" s="1"/>
  <c r="AX188" i="33"/>
  <c r="CX44" i="33" s="1"/>
  <c r="AX160" i="33"/>
  <c r="DC54" i="33" s="1"/>
  <c r="AW174" i="33"/>
  <c r="CO30" i="33" s="1"/>
  <c r="AW146" i="33"/>
  <c r="CT40" i="33" s="1"/>
  <c r="AY175" i="33"/>
  <c r="CY31" i="33" s="1"/>
  <c r="AY147" i="33"/>
  <c r="DD41" i="33" s="1"/>
  <c r="AZ173" i="33"/>
  <c r="CZ29" i="33" s="1"/>
  <c r="AZ145" i="33"/>
  <c r="DE39" i="33" s="1"/>
  <c r="AY190" i="33"/>
  <c r="CY46" i="33" s="1"/>
  <c r="AY162" i="33"/>
  <c r="DD56" i="33" s="1"/>
  <c r="AX182" i="33"/>
  <c r="CX38" i="33" s="1"/>
  <c r="AX154" i="33"/>
  <c r="DC48" i="33" s="1"/>
  <c r="AY179" i="33"/>
  <c r="CY35" i="33" s="1"/>
  <c r="AY151" i="33"/>
  <c r="DD45" i="33" s="1"/>
  <c r="AY193" i="33"/>
  <c r="CY49" i="33" s="1"/>
  <c r="AY165" i="33"/>
  <c r="DD59" i="33" s="1"/>
  <c r="AZ198" i="33"/>
  <c r="CZ54" i="33" s="1"/>
  <c r="AZ170" i="33"/>
  <c r="DE64" i="33" s="1"/>
  <c r="AW183" i="33"/>
  <c r="CO39" i="33" s="1"/>
  <c r="AW155" i="33"/>
  <c r="CT49" i="33" s="1"/>
  <c r="AX200" i="33"/>
  <c r="CX56" i="33" s="1"/>
  <c r="AX172" i="33"/>
  <c r="DC66" i="33" s="1"/>
  <c r="AW182" i="33"/>
  <c r="CO38" i="33" s="1"/>
  <c r="AW154" i="33"/>
  <c r="CT48" i="33" s="1"/>
  <c r="AZ197" i="33"/>
  <c r="CZ53" i="33" s="1"/>
  <c r="AZ169" i="33"/>
  <c r="DE63" i="33" s="1"/>
  <c r="AW201" i="33"/>
  <c r="CO57" i="33" s="1"/>
  <c r="AY187" i="33"/>
  <c r="CY43" i="33" s="1"/>
  <c r="AY159" i="33"/>
  <c r="DD53" i="33" s="1"/>
  <c r="AY182" i="33"/>
  <c r="CY38" i="33" s="1"/>
  <c r="AY154" i="33"/>
  <c r="DD48" i="33" s="1"/>
  <c r="AZ177" i="33"/>
  <c r="CZ33" i="33" s="1"/>
  <c r="AZ149" i="33"/>
  <c r="DE43" i="33" s="1"/>
  <c r="AW204" i="33"/>
  <c r="CO60" i="33" s="1"/>
  <c r="AX210" i="33"/>
  <c r="CX66" i="33" s="1"/>
  <c r="AX191" i="33"/>
  <c r="CX47" i="33" s="1"/>
  <c r="AX163" i="33"/>
  <c r="DC57" i="33" s="1"/>
  <c r="AY209" i="33"/>
  <c r="CY65" i="33" s="1"/>
  <c r="AW197" i="33"/>
  <c r="CO53" i="33" s="1"/>
  <c r="AW169" i="33"/>
  <c r="CT63" i="33" s="1"/>
  <c r="AW190" i="33"/>
  <c r="CO46" i="33" s="1"/>
  <c r="AW162" i="33"/>
  <c r="CT56" i="33" s="1"/>
  <c r="AZ196" i="33"/>
  <c r="CZ52" i="33" s="1"/>
  <c r="AZ168" i="33"/>
  <c r="DE62" i="33" s="1"/>
  <c r="AX185" i="33"/>
  <c r="CX41" i="33" s="1"/>
  <c r="AX157" i="33"/>
  <c r="DC51" i="33" s="1"/>
  <c r="AX203" i="33"/>
  <c r="CX59" i="33" s="1"/>
  <c r="AZ175" i="33"/>
  <c r="CZ31" i="33" s="1"/>
  <c r="AZ147" i="33"/>
  <c r="DE41" i="33" s="1"/>
  <c r="AW195" i="33"/>
  <c r="CO51" i="33" s="1"/>
  <c r="AW167" i="33"/>
  <c r="CT61" i="33" s="1"/>
  <c r="AZ192" i="33"/>
  <c r="CZ48" i="33" s="1"/>
  <c r="AZ164" i="33"/>
  <c r="DE58" i="33" s="1"/>
  <c r="AY198" i="33"/>
  <c r="CY54" i="33" s="1"/>
  <c r="AY170" i="33"/>
  <c r="DD64" i="33" s="1"/>
  <c r="AZ184" i="33"/>
  <c r="CZ40" i="33" s="1"/>
  <c r="AZ156" i="33"/>
  <c r="DE50" i="33" s="1"/>
  <c r="AW202" i="33"/>
  <c r="CO58" i="33" s="1"/>
  <c r="AW193" i="33"/>
  <c r="CO49" i="33" s="1"/>
  <c r="AW165" i="33"/>
  <c r="CT59" i="33" s="1"/>
  <c r="AY208" i="33"/>
  <c r="CY64" i="33" s="1"/>
  <c r="AW205" i="33"/>
  <c r="CO61" i="33" s="1"/>
  <c r="AX189" i="33"/>
  <c r="CX45" i="33" s="1"/>
  <c r="AX161" i="33"/>
  <c r="DC55" i="33" s="1"/>
  <c r="AZ200" i="33"/>
  <c r="CZ56" i="33" s="1"/>
  <c r="AZ172" i="33"/>
  <c r="DE66" i="33" s="1"/>
  <c r="AY199" i="33"/>
  <c r="CY55" i="33" s="1"/>
  <c r="AY171" i="33"/>
  <c r="DD65" i="33" s="1"/>
  <c r="AY196" i="33"/>
  <c r="CY52" i="33" s="1"/>
  <c r="AY168" i="33"/>
  <c r="DD62" i="33" s="1"/>
  <c r="AW180" i="33"/>
  <c r="CO36" i="33" s="1"/>
  <c r="AW152" i="33"/>
  <c r="CT46" i="33" s="1"/>
  <c r="AZ187" i="33"/>
  <c r="CZ43" i="33" s="1"/>
  <c r="AZ159" i="33"/>
  <c r="DE53" i="33" s="1"/>
  <c r="AW178" i="33"/>
  <c r="CO34" i="33" s="1"/>
  <c r="AW150" i="33"/>
  <c r="CT44" i="33" s="1"/>
  <c r="AW187" i="33"/>
  <c r="CO43" i="33" s="1"/>
  <c r="AW159" i="33"/>
  <c r="CT53" i="33" s="1"/>
  <c r="AW203" i="33"/>
  <c r="CO59" i="33" s="1"/>
  <c r="AX186" i="33"/>
  <c r="CX42" i="33" s="1"/>
  <c r="AX158" i="33"/>
  <c r="DC52" i="33" s="1"/>
  <c r="AW179" i="33"/>
  <c r="CO35" i="33" s="1"/>
  <c r="AW151" i="33"/>
  <c r="CT45" i="33" s="1"/>
  <c r="AW188" i="33"/>
  <c r="CO44" i="33" s="1"/>
  <c r="AW160" i="33"/>
  <c r="CT54" i="33" s="1"/>
  <c r="AY201" i="33"/>
  <c r="CY57" i="33" s="1"/>
  <c r="AX201" i="33"/>
  <c r="CX57" i="33" s="1"/>
  <c r="AY194" i="33"/>
  <c r="CY50" i="33" s="1"/>
  <c r="AY166" i="33"/>
  <c r="DD60" i="33" s="1"/>
  <c r="AX195" i="33"/>
  <c r="CX51" i="33" s="1"/>
  <c r="AX167" i="33"/>
  <c r="DC61" i="33" s="1"/>
  <c r="AY174" i="33"/>
  <c r="CY30" i="33" s="1"/>
  <c r="AY146" i="33"/>
  <c r="DD40" i="33" s="1"/>
  <c r="AX197" i="33"/>
  <c r="CX53" i="33" s="1"/>
  <c r="AX169" i="33"/>
  <c r="DC63" i="33" s="1"/>
  <c r="AZ179" i="33"/>
  <c r="CZ35" i="33" s="1"/>
  <c r="AZ151" i="33"/>
  <c r="DE45" i="33" s="1"/>
  <c r="AW184" i="33"/>
  <c r="CO40" i="33" s="1"/>
  <c r="AW156" i="33"/>
  <c r="CT50" i="33" s="1"/>
  <c r="AZ188" i="33"/>
  <c r="CZ44" i="33" s="1"/>
  <c r="AZ160" i="33"/>
  <c r="DE54" i="33" s="1"/>
  <c r="AW199" i="33"/>
  <c r="CO55" i="33" s="1"/>
  <c r="AW171" i="33"/>
  <c r="CT65" i="33" s="1"/>
  <c r="AX177" i="33"/>
  <c r="CX33" i="33" s="1"/>
  <c r="AX149" i="33"/>
  <c r="DC43" i="33" s="1"/>
  <c r="AW173" i="33"/>
  <c r="CO29" i="33" s="1"/>
  <c r="AW145" i="33"/>
  <c r="CT39" i="33" s="1"/>
  <c r="AY205" i="33"/>
  <c r="CY61" i="33" s="1"/>
  <c r="AW198" i="33"/>
  <c r="CO54" i="33" s="1"/>
  <c r="AW170" i="33"/>
  <c r="CT64" i="33" s="1"/>
  <c r="AW191" i="33"/>
  <c r="CO47" i="33" s="1"/>
  <c r="AW163" i="33"/>
  <c r="CT57" i="33" s="1"/>
  <c r="AY206" i="33"/>
  <c r="CY62" i="33" s="1"/>
  <c r="AX194" i="33"/>
  <c r="CX50" i="33" s="1"/>
  <c r="AX166" i="33"/>
  <c r="DC60" i="33" s="1"/>
  <c r="AW192" i="33"/>
  <c r="CO48" i="33" s="1"/>
  <c r="AW164" i="33"/>
  <c r="CT58" i="33" s="1"/>
  <c r="AY185" i="33"/>
  <c r="CY41" i="33" s="1"/>
  <c r="AY157" i="33"/>
  <c r="DD51" i="33" s="1"/>
  <c r="AZ194" i="33"/>
  <c r="CZ50" i="33" s="1"/>
  <c r="AZ166" i="33"/>
  <c r="DE60" i="33" s="1"/>
  <c r="AZ193" i="33"/>
  <c r="CZ49" i="33" s="1"/>
  <c r="AZ165" i="33"/>
  <c r="DE59" i="33" s="1"/>
  <c r="AX193" i="33"/>
  <c r="CX49" i="33" s="1"/>
  <c r="AX165" i="33"/>
  <c r="DC59" i="33" s="1"/>
  <c r="AY197" i="33"/>
  <c r="CY53" i="33" s="1"/>
  <c r="AY169" i="33"/>
  <c r="DD63" i="33" s="1"/>
  <c r="AY191" i="33"/>
  <c r="CY47" i="33" s="1"/>
  <c r="AY163" i="33"/>
  <c r="DD57" i="33" s="1"/>
  <c r="AZ178" i="33"/>
  <c r="CZ34" i="33" s="1"/>
  <c r="AZ150" i="33"/>
  <c r="DE44" i="33" s="1"/>
  <c r="AX207" i="33"/>
  <c r="CX63" i="33" s="1"/>
  <c r="AZ186" i="33"/>
  <c r="CZ42" i="33" s="1"/>
  <c r="AZ158" i="33"/>
  <c r="DE52" i="33" s="1"/>
  <c r="AW209" i="33"/>
  <c r="CO65" i="33" s="1"/>
  <c r="AZ209" i="33"/>
  <c r="CZ65" i="33" s="1"/>
  <c r="AZ185" i="33"/>
  <c r="CZ41" i="33" s="1"/>
  <c r="AZ157" i="33"/>
  <c r="DE51" i="33" s="1"/>
  <c r="AY173" i="33"/>
  <c r="CY29" i="33" s="1"/>
  <c r="AY145" i="33"/>
  <c r="DD39" i="33" s="1"/>
  <c r="AY188" i="33"/>
  <c r="CY44" i="33" s="1"/>
  <c r="AY160" i="33"/>
  <c r="DD54" i="33" s="1"/>
  <c r="AZ189" i="33"/>
  <c r="CZ45" i="33" s="1"/>
  <c r="AZ161" i="33"/>
  <c r="DE55" i="33" s="1"/>
  <c r="AY189" i="33"/>
  <c r="CY45" i="33" s="1"/>
  <c r="AY161" i="33"/>
  <c r="DD55" i="33" s="1"/>
  <c r="AY210" i="33"/>
  <c r="CY66" i="33" s="1"/>
  <c r="AZ199" i="33"/>
  <c r="CZ55" i="33" s="1"/>
  <c r="AZ171" i="33"/>
  <c r="DE65" i="33" s="1"/>
  <c r="AW177" i="33"/>
  <c r="CO33" i="33" s="1"/>
  <c r="AW149" i="33"/>
  <c r="CT43" i="33" s="1"/>
  <c r="AY177" i="33"/>
  <c r="CY33" i="33" s="1"/>
  <c r="AY149" i="33"/>
  <c r="DD43" i="33" s="1"/>
  <c r="AY183" i="33"/>
  <c r="CY39" i="33" s="1"/>
  <c r="AY155" i="33"/>
  <c r="DD49" i="33" s="1"/>
  <c r="AW181" i="33"/>
  <c r="CO37" i="33" s="1"/>
  <c r="AW153" i="33"/>
  <c r="CT47" i="33" s="1"/>
  <c r="AY186" i="33"/>
  <c r="CY42" i="33" s="1"/>
  <c r="AY158" i="33"/>
  <c r="DD52" i="33" s="1"/>
  <c r="AY184" i="33"/>
  <c r="CY40" i="33" s="1"/>
  <c r="AY156" i="33"/>
  <c r="DD50" i="33" s="1"/>
  <c r="AW206" i="33"/>
  <c r="CO62" i="33" s="1"/>
  <c r="AW196" i="33"/>
  <c r="CO52" i="33" s="1"/>
  <c r="AW168" i="33"/>
  <c r="CT62" i="33" s="1"/>
  <c r="AZ174" i="33"/>
  <c r="CZ30" i="33" s="1"/>
  <c r="AZ146" i="33"/>
  <c r="DE40" i="33" s="1"/>
  <c r="AX196" i="33"/>
  <c r="CX52" i="33" s="1"/>
  <c r="AX168" i="33"/>
  <c r="DC62" i="33" s="1"/>
  <c r="AX199" i="33"/>
  <c r="CX55" i="33" s="1"/>
  <c r="DE56" i="33"/>
  <c r="AZ190" i="33"/>
  <c r="CZ46" i="33" s="1"/>
  <c r="DC44" i="33"/>
  <c r="AX178" i="33"/>
  <c r="CX34" i="33" s="1"/>
  <c r="DD46" i="33"/>
  <c r="AY180" i="33"/>
  <c r="CY36" i="33" s="1"/>
  <c r="DC47" i="33"/>
  <c r="AX181" i="33"/>
  <c r="CX37" i="33" s="1"/>
  <c r="DC50" i="33"/>
  <c r="AX184" i="33"/>
  <c r="CX40" i="33" s="1"/>
  <c r="DC42" i="33"/>
  <c r="AX176" i="33"/>
  <c r="CX32" i="33" s="1"/>
  <c r="DE42" i="33"/>
  <c r="AZ176" i="33"/>
  <c r="CZ32" i="33" s="1"/>
  <c r="DD47" i="33"/>
  <c r="AY181" i="33"/>
  <c r="CY37" i="33" s="1"/>
  <c r="AZ183" i="33"/>
  <c r="CZ39" i="33" s="1"/>
  <c r="DC49" i="33"/>
  <c r="AX183" i="33"/>
  <c r="CX39" i="33" s="1"/>
  <c r="DD42" i="33"/>
  <c r="AY176" i="33"/>
  <c r="CY32" i="33" s="1"/>
  <c r="DE48" i="33"/>
  <c r="AZ182" i="33"/>
  <c r="CZ38" i="33" s="1"/>
  <c r="AO152" i="33"/>
  <c r="AO182" i="33"/>
  <c r="BC208" i="33" a="1"/>
  <c r="BC208" i="33" s="1"/>
  <c r="BC178" i="33" a="1"/>
  <c r="BC178" i="33" s="1"/>
  <c r="BC194" i="33" a="1"/>
  <c r="BC194" i="33" s="1"/>
  <c r="BC185" i="33" a="1"/>
  <c r="BC185" i="33" s="1"/>
  <c r="BC189" i="33" a="1"/>
  <c r="BC189" i="33" s="1"/>
  <c r="BC186" i="33" a="1"/>
  <c r="BC186" i="33" s="1"/>
  <c r="BC188" i="33" a="1"/>
  <c r="BC188" i="33" s="1"/>
  <c r="BC199" i="33" a="1"/>
  <c r="BC199" i="33" s="1"/>
  <c r="BC200" i="33" a="1"/>
  <c r="BC200" i="33" s="1"/>
  <c r="BC206" i="33" a="1"/>
  <c r="BC206" i="33" s="1"/>
  <c r="BC201" i="33" a="1"/>
  <c r="BC201" i="33" s="1"/>
  <c r="BC182" i="33" a="1"/>
  <c r="BC182" i="33" s="1"/>
  <c r="BC202" i="33" a="1"/>
  <c r="BC202" i="33" s="1"/>
  <c r="BC197" i="33" a="1"/>
  <c r="BC197" i="33" s="1"/>
  <c r="BC184" i="33" a="1"/>
  <c r="BC184" i="33" s="1"/>
  <c r="BC193" i="33" a="1"/>
  <c r="BC193" i="33" s="1"/>
  <c r="BC195" i="33" a="1"/>
  <c r="BC195" i="33" s="1"/>
  <c r="BC204" i="33" a="1"/>
  <c r="BC204" i="33" s="1"/>
  <c r="BC183" i="33" a="1"/>
  <c r="BC183" i="33" s="1"/>
  <c r="BC209" i="33" a="1"/>
  <c r="BC209" i="33" s="1"/>
  <c r="BC180" i="33" a="1"/>
  <c r="BC180" i="33" s="1"/>
  <c r="BC187" i="33" a="1"/>
  <c r="BC187" i="33" s="1"/>
  <c r="BC190" i="33" a="1"/>
  <c r="BC190" i="33" s="1"/>
  <c r="BC198" i="33" a="1"/>
  <c r="BC198" i="33" s="1"/>
  <c r="BC177" i="33" a="1"/>
  <c r="BC177" i="33" s="1"/>
  <c r="BC181" i="33" a="1"/>
  <c r="BC181" i="33" s="1"/>
  <c r="BC203" i="33" a="1"/>
  <c r="BC203" i="33" s="1"/>
  <c r="BC207" i="33" a="1"/>
  <c r="BC207" i="33" s="1"/>
  <c r="BC179" i="33" a="1"/>
  <c r="BC179" i="33" s="1"/>
  <c r="BC205" i="33" a="1"/>
  <c r="BC205" i="33" s="1"/>
  <c r="BC210" i="33" a="1"/>
  <c r="BC210" i="33" s="1"/>
  <c r="BC191" i="33" a="1"/>
  <c r="BC191" i="33" s="1"/>
  <c r="BC192" i="33" a="1"/>
  <c r="BC192" i="33" s="1"/>
  <c r="BC196" i="33" a="1"/>
  <c r="BC196" i="33" s="1"/>
  <c r="AO204" i="33"/>
  <c r="AO184" i="33"/>
  <c r="AO191" i="33"/>
  <c r="AO186" i="33"/>
  <c r="AO189" i="33"/>
  <c r="BC158" i="33" a="1"/>
  <c r="BC158" i="33" s="1"/>
  <c r="BC149" i="33" a="1"/>
  <c r="BC149" i="33" s="1"/>
  <c r="BC165" i="33" a="1"/>
  <c r="BC165" i="33" s="1"/>
  <c r="BC146" i="33" a="1"/>
  <c r="BC146" i="33" s="1"/>
  <c r="BC152" i="33" a="1"/>
  <c r="BC152" i="33" s="1"/>
  <c r="BC150" i="33" a="1"/>
  <c r="BC150" i="33" s="1"/>
  <c r="BC151" i="33" a="1"/>
  <c r="BC151" i="33" s="1"/>
  <c r="BC172" i="33" a="1"/>
  <c r="BC172" i="33" s="1"/>
  <c r="BC176" i="33" a="1"/>
  <c r="BC176" i="33" s="1"/>
  <c r="BC168" i="33" a="1"/>
  <c r="BC168" i="33" s="1"/>
  <c r="BC173" i="33" a="1"/>
  <c r="BC173" i="33" s="1"/>
  <c r="BC154" i="33" a="1"/>
  <c r="BC154" i="33" s="1"/>
  <c r="BC170" i="33" a="1"/>
  <c r="BC170" i="33" s="1"/>
  <c r="BC161" i="33" a="1"/>
  <c r="BC161" i="33" s="1"/>
  <c r="BC164" i="33" a="1"/>
  <c r="BC164" i="33" s="1"/>
  <c r="BC166" i="33" a="1"/>
  <c r="BC166" i="33" s="1"/>
  <c r="BC160" i="33" a="1"/>
  <c r="BC160" i="33" s="1"/>
  <c r="BC171" i="33" a="1"/>
  <c r="BC171" i="33" s="1"/>
  <c r="BC153" i="33" a="1"/>
  <c r="BC153" i="33" s="1"/>
  <c r="BC157" i="33" a="1"/>
  <c r="BC157" i="33" s="1"/>
  <c r="BC175" i="33" a="1"/>
  <c r="BC175" i="33" s="1"/>
  <c r="BC174" i="33" a="1"/>
  <c r="BC174" i="33" s="1"/>
  <c r="BC148" i="33" a="1"/>
  <c r="BC148" i="33" s="1"/>
  <c r="BC159" i="33" a="1"/>
  <c r="BC159" i="33" s="1"/>
  <c r="BC163" i="33" a="1"/>
  <c r="BC163" i="33" s="1"/>
  <c r="BC147" i="33" a="1"/>
  <c r="BC147" i="33" s="1"/>
  <c r="BC169" i="33" a="1"/>
  <c r="BC169" i="33" s="1"/>
  <c r="BC156" i="33" a="1"/>
  <c r="BC156" i="33" s="1"/>
  <c r="BC145" i="33" a="1"/>
  <c r="BC145" i="33" s="1"/>
  <c r="BC162" i="33" a="1"/>
  <c r="BC162" i="33" s="1"/>
  <c r="BC167" i="33" a="1"/>
  <c r="BC167" i="33" s="1"/>
  <c r="AO165" i="33"/>
  <c r="AO192" i="33"/>
  <c r="AO159" i="33"/>
  <c r="AO202" i="33"/>
  <c r="AO167" i="33"/>
  <c r="AO185" i="33"/>
  <c r="AO161" i="33"/>
  <c r="AO209" i="33"/>
  <c r="AO193" i="33"/>
  <c r="AO171" i="33"/>
  <c r="AO207" i="33"/>
  <c r="AO188" i="33"/>
  <c r="AO145" i="33"/>
  <c r="AO168" i="33"/>
  <c r="AO201" i="33"/>
  <c r="AO208" i="33"/>
  <c r="AO190" i="33"/>
  <c r="AO197" i="33"/>
  <c r="AO194" i="33"/>
  <c r="AO179" i="33"/>
  <c r="AO198" i="33"/>
  <c r="AO154" i="33"/>
  <c r="AO156" i="33"/>
  <c r="AO164" i="33"/>
  <c r="AO177" i="33"/>
  <c r="AO166" i="33"/>
  <c r="AO150" i="33"/>
  <c r="AO180" i="33"/>
  <c r="AO148" i="33"/>
  <c r="AO160" i="33"/>
  <c r="AO173" i="33"/>
  <c r="AO157" i="33"/>
  <c r="AO205" i="33"/>
  <c r="AO170" i="33"/>
  <c r="AO200" i="33"/>
  <c r="AO196" i="33"/>
  <c r="AO183" i="33"/>
  <c r="AO172" i="33"/>
  <c r="AO151" i="33"/>
  <c r="AO175" i="33"/>
  <c r="AO210" i="33"/>
  <c r="AO153" i="33"/>
  <c r="AO147" i="33"/>
  <c r="AO178" i="33"/>
  <c r="AO176" i="33"/>
  <c r="AO187" i="33"/>
  <c r="AO169" i="33"/>
  <c r="AO146" i="33"/>
  <c r="AO174" i="33"/>
  <c r="AO162" i="33"/>
  <c r="AO203" i="33"/>
  <c r="AO199" i="33"/>
  <c r="AO163" i="33"/>
  <c r="AO155" i="33"/>
  <c r="AU155" i="33" s="1"/>
  <c r="AO195" i="33"/>
  <c r="AO206" i="33"/>
  <c r="AO158" i="33"/>
  <c r="AO149" i="33"/>
  <c r="CL65" i="33"/>
  <c r="CW65" i="33"/>
  <c r="CW64" i="33"/>
  <c r="AO181" i="33"/>
  <c r="DH216" i="43" l="1"/>
  <c r="DO216" i="43"/>
  <c r="DK216" i="43"/>
  <c r="DP215" i="43"/>
  <c r="DQ215" i="43" s="1"/>
  <c r="DM215" i="43"/>
  <c r="DN215" i="43" s="1"/>
  <c r="DR214" i="43"/>
  <c r="DS213" i="43"/>
  <c r="DG217" i="43"/>
  <c r="DK814" i="43"/>
  <c r="DP813" i="43"/>
  <c r="DI814" i="43"/>
  <c r="DO814" i="43"/>
  <c r="AW43" i="33" a="1"/>
  <c r="AW43" i="33" s="1"/>
  <c r="CL63" i="33"/>
  <c r="CE83" i="33"/>
  <c r="CC82" i="33"/>
  <c r="AU203" i="33"/>
  <c r="CM59" i="33" s="1"/>
  <c r="AU208" i="33"/>
  <c r="CM64" i="33" s="1"/>
  <c r="AU204" i="33"/>
  <c r="CM60" i="33" s="1"/>
  <c r="AU205" i="33"/>
  <c r="CM61" i="33" s="1"/>
  <c r="AU206" i="33"/>
  <c r="CM62" i="33" s="1"/>
  <c r="AU201" i="33"/>
  <c r="CM57" i="33" s="1"/>
  <c r="AU207" i="33"/>
  <c r="CM63" i="33" s="1"/>
  <c r="AU181" i="33"/>
  <c r="CM37" i="33" s="1"/>
  <c r="AU153" i="33"/>
  <c r="CR47" i="33" s="1"/>
  <c r="AU188" i="33"/>
  <c r="CM44" i="33" s="1"/>
  <c r="AU160" i="33"/>
  <c r="CR54" i="33" s="1"/>
  <c r="AU196" i="33"/>
  <c r="CM52" i="33" s="1"/>
  <c r="AU168" i="33"/>
  <c r="CR62" i="33" s="1"/>
  <c r="AU175" i="33"/>
  <c r="CM31" i="33" s="1"/>
  <c r="AU147" i="33"/>
  <c r="CR41" i="33" s="1"/>
  <c r="AU186" i="33"/>
  <c r="CM42" i="33" s="1"/>
  <c r="AU158" i="33"/>
  <c r="CR52" i="33" s="1"/>
  <c r="AU191" i="33"/>
  <c r="CM47" i="33" s="1"/>
  <c r="AU163" i="33"/>
  <c r="CR57" i="33" s="1"/>
  <c r="AU176" i="33"/>
  <c r="CM32" i="33" s="1"/>
  <c r="AU148" i="33"/>
  <c r="CR42" i="33" s="1"/>
  <c r="AU178" i="33"/>
  <c r="CM34" i="33" s="1"/>
  <c r="AU150" i="33"/>
  <c r="CR44" i="33" s="1"/>
  <c r="AU190" i="33"/>
  <c r="CM46" i="33" s="1"/>
  <c r="AU162" i="33"/>
  <c r="CR56" i="33" s="1"/>
  <c r="AU173" i="33"/>
  <c r="CM29" i="33" s="1"/>
  <c r="AU145" i="33"/>
  <c r="CR39" i="33" s="1"/>
  <c r="AU174" i="33"/>
  <c r="CM30" i="33" s="1"/>
  <c r="AU146" i="33"/>
  <c r="CR40" i="33" s="1"/>
  <c r="AU185" i="33"/>
  <c r="CM41" i="33" s="1"/>
  <c r="AU157" i="33"/>
  <c r="CR51" i="33" s="1"/>
  <c r="AU195" i="33"/>
  <c r="CM51" i="33" s="1"/>
  <c r="AU167" i="33"/>
  <c r="CR61" i="33" s="1"/>
  <c r="AU192" i="33"/>
  <c r="CM48" i="33" s="1"/>
  <c r="AU164" i="33"/>
  <c r="CR58" i="33" s="1"/>
  <c r="AU184" i="33"/>
  <c r="CM40" i="33" s="1"/>
  <c r="AU156" i="33"/>
  <c r="CR50" i="33" s="1"/>
  <c r="AU189" i="33"/>
  <c r="CM45" i="33" s="1"/>
  <c r="AU161" i="33"/>
  <c r="CR55" i="33" s="1"/>
  <c r="AU187" i="33"/>
  <c r="CM43" i="33" s="1"/>
  <c r="AU159" i="33"/>
  <c r="CR53" i="33" s="1"/>
  <c r="AU194" i="33"/>
  <c r="CM50" i="33" s="1"/>
  <c r="AU166" i="33"/>
  <c r="CR60" i="33" s="1"/>
  <c r="AU197" i="33"/>
  <c r="CM53" i="33" s="1"/>
  <c r="AU169" i="33"/>
  <c r="CR63" i="33" s="1"/>
  <c r="AU198" i="33"/>
  <c r="CM54" i="33" s="1"/>
  <c r="AU170" i="33"/>
  <c r="CR64" i="33" s="1"/>
  <c r="AU193" i="33"/>
  <c r="CM49" i="33" s="1"/>
  <c r="AU165" i="33"/>
  <c r="CR59" i="33" s="1"/>
  <c r="AU210" i="33"/>
  <c r="CM66" i="33" s="1"/>
  <c r="AU179" i="33"/>
  <c r="CM35" i="33" s="1"/>
  <c r="AU151" i="33"/>
  <c r="CR45" i="33" s="1"/>
  <c r="AU200" i="33"/>
  <c r="CM56" i="33" s="1"/>
  <c r="AU172" i="33"/>
  <c r="CR66" i="33" s="1"/>
  <c r="AU202" i="33"/>
  <c r="CM58" i="33" s="1"/>
  <c r="AU177" i="33"/>
  <c r="CM33" i="33" s="1"/>
  <c r="AU149" i="33"/>
  <c r="CR43" i="33" s="1"/>
  <c r="AU182" i="33"/>
  <c r="CM38" i="33" s="1"/>
  <c r="AU154" i="33"/>
  <c r="CR48" i="33" s="1"/>
  <c r="AU199" i="33"/>
  <c r="CM55" i="33" s="1"/>
  <c r="AU171" i="33"/>
  <c r="CR65" i="33" s="1"/>
  <c r="AU209" i="33"/>
  <c r="CM65" i="33" s="1"/>
  <c r="AU180" i="33"/>
  <c r="CM36" i="33" s="1"/>
  <c r="AU152" i="33"/>
  <c r="CR46" i="33" s="1"/>
  <c r="CR49" i="33"/>
  <c r="AU183" i="33"/>
  <c r="CM39" i="33" s="1"/>
  <c r="AP152" i="33"/>
  <c r="AP182" i="33"/>
  <c r="AP189" i="33"/>
  <c r="AP192" i="33"/>
  <c r="AP165" i="33"/>
  <c r="AP186" i="33"/>
  <c r="AP191" i="33"/>
  <c r="BB191" i="33" s="1" a="1"/>
  <c r="BB191" i="33" s="1"/>
  <c r="AP184" i="33"/>
  <c r="AP204" i="33"/>
  <c r="AP202" i="33"/>
  <c r="AP167" i="33"/>
  <c r="AP185" i="33"/>
  <c r="AP161" i="33"/>
  <c r="AP159" i="33"/>
  <c r="AP208" i="33"/>
  <c r="AP201" i="33"/>
  <c r="AP209" i="33"/>
  <c r="AP193" i="33"/>
  <c r="AP190" i="33"/>
  <c r="AP171" i="33"/>
  <c r="AP179" i="33"/>
  <c r="AP188" i="33"/>
  <c r="AP151" i="33"/>
  <c r="AP177" i="33"/>
  <c r="AP198" i="33"/>
  <c r="AP168" i="33"/>
  <c r="AP200" i="33"/>
  <c r="AP145" i="33"/>
  <c r="AP206" i="33"/>
  <c r="AP164" i="33"/>
  <c r="AP207" i="33"/>
  <c r="AP187" i="33"/>
  <c r="AP197" i="33"/>
  <c r="AP160" i="33"/>
  <c r="AP194" i="33"/>
  <c r="AP148" i="33"/>
  <c r="AP173" i="33"/>
  <c r="AP205" i="33"/>
  <c r="AP170" i="33"/>
  <c r="AP172" i="33"/>
  <c r="AP180" i="33"/>
  <c r="AP153" i="33"/>
  <c r="AV153" i="33" s="1"/>
  <c r="AP157" i="33"/>
  <c r="AP169" i="33"/>
  <c r="AP154" i="33"/>
  <c r="AP163" i="33"/>
  <c r="AP174" i="33"/>
  <c r="AP176" i="33"/>
  <c r="AP150" i="33"/>
  <c r="AP166" i="33"/>
  <c r="AP156" i="33"/>
  <c r="AP183" i="33"/>
  <c r="AP199" i="33"/>
  <c r="AP146" i="33"/>
  <c r="AP175" i="33"/>
  <c r="AP203" i="33"/>
  <c r="AP210" i="33"/>
  <c r="AP196" i="33"/>
  <c r="AP155" i="33"/>
  <c r="AV155" i="33" s="1"/>
  <c r="AP178" i="33"/>
  <c r="AP147" i="33"/>
  <c r="AP149" i="33"/>
  <c r="AP162" i="33"/>
  <c r="AP195" i="33"/>
  <c r="AP158" i="33"/>
  <c r="AP181" i="33"/>
  <c r="DK217" i="43" l="1"/>
  <c r="DS214" i="43"/>
  <c r="DR215" i="43"/>
  <c r="DP216" i="43"/>
  <c r="DQ216" i="43" s="1"/>
  <c r="DM216" i="43"/>
  <c r="DN216" i="43" s="1"/>
  <c r="DO217" i="43"/>
  <c r="DH217" i="43"/>
  <c r="DG218" i="43"/>
  <c r="DK218" i="43" s="1"/>
  <c r="DI517" i="43"/>
  <c r="DI815" i="43"/>
  <c r="DO815" i="43"/>
  <c r="DP814" i="43"/>
  <c r="DK815" i="43"/>
  <c r="CL62" i="33"/>
  <c r="CW62" i="33"/>
  <c r="CE82" i="33"/>
  <c r="CC81" i="33"/>
  <c r="AV209" i="33"/>
  <c r="CN65" i="33" s="1"/>
  <c r="AV207" i="33"/>
  <c r="CN63" i="33" s="1"/>
  <c r="AV206" i="33"/>
  <c r="CN62" i="33" s="1"/>
  <c r="AV201" i="33"/>
  <c r="CN57" i="33" s="1"/>
  <c r="AV204" i="33"/>
  <c r="CN60" i="33" s="1"/>
  <c r="AV202" i="33"/>
  <c r="CN58" i="33" s="1"/>
  <c r="AV184" i="33"/>
  <c r="CN40" i="33" s="1"/>
  <c r="AV156" i="33"/>
  <c r="CS50" i="33" s="1"/>
  <c r="AV177" i="33"/>
  <c r="CN33" i="33" s="1"/>
  <c r="AV149" i="33"/>
  <c r="CS43" i="33" s="1"/>
  <c r="AV187" i="33"/>
  <c r="CN43" i="33" s="1"/>
  <c r="AV159" i="33"/>
  <c r="CS53" i="33" s="1"/>
  <c r="AV175" i="33"/>
  <c r="CN31" i="33" s="1"/>
  <c r="AV147" i="33"/>
  <c r="CS41" i="33" s="1"/>
  <c r="AV189" i="33"/>
  <c r="CN45" i="33" s="1"/>
  <c r="AV161" i="33"/>
  <c r="CS55" i="33" s="1"/>
  <c r="AV193" i="33"/>
  <c r="CN49" i="33" s="1"/>
  <c r="AV165" i="33"/>
  <c r="CS59" i="33" s="1"/>
  <c r="AV194" i="33"/>
  <c r="CN50" i="33" s="1"/>
  <c r="AV166" i="33"/>
  <c r="CS60" i="33" s="1"/>
  <c r="AV178" i="33"/>
  <c r="CN34" i="33" s="1"/>
  <c r="AV150" i="33"/>
  <c r="CS44" i="33" s="1"/>
  <c r="AV176" i="33"/>
  <c r="CN32" i="33" s="1"/>
  <c r="AV148" i="33"/>
  <c r="CS42" i="33" s="1"/>
  <c r="AV191" i="33"/>
  <c r="CN47" i="33" s="1"/>
  <c r="AV163" i="33"/>
  <c r="CS57" i="33" s="1"/>
  <c r="AV198" i="33"/>
  <c r="CN54" i="33" s="1"/>
  <c r="AV170" i="33"/>
  <c r="CS64" i="33" s="1"/>
  <c r="AV196" i="33"/>
  <c r="CN52" i="33" s="1"/>
  <c r="AV168" i="33"/>
  <c r="CS62" i="33" s="1"/>
  <c r="AV195" i="33"/>
  <c r="CN51" i="33" s="1"/>
  <c r="AV167" i="33"/>
  <c r="CS61" i="33" s="1"/>
  <c r="AV188" i="33"/>
  <c r="CN44" i="33" s="1"/>
  <c r="AV160" i="33"/>
  <c r="CS54" i="33" s="1"/>
  <c r="AV199" i="33"/>
  <c r="CN55" i="33" s="1"/>
  <c r="AV171" i="33"/>
  <c r="CS65" i="33" s="1"/>
  <c r="AV180" i="33"/>
  <c r="CN36" i="33" s="1"/>
  <c r="AV152" i="33"/>
  <c r="CS46" i="33" s="1"/>
  <c r="AV185" i="33"/>
  <c r="CN41" i="33" s="1"/>
  <c r="AV157" i="33"/>
  <c r="CS51" i="33" s="1"/>
  <c r="AV186" i="33"/>
  <c r="CN42" i="33" s="1"/>
  <c r="AV158" i="33"/>
  <c r="CS52" i="33" s="1"/>
  <c r="AV190" i="33"/>
  <c r="CN46" i="33" s="1"/>
  <c r="AV162" i="33"/>
  <c r="CS56" i="33" s="1"/>
  <c r="AV205" i="33"/>
  <c r="CN61" i="33" s="1"/>
  <c r="AV179" i="33"/>
  <c r="CN35" i="33" s="1"/>
  <c r="AV151" i="33"/>
  <c r="CS45" i="33" s="1"/>
  <c r="AV182" i="33"/>
  <c r="CN38" i="33" s="1"/>
  <c r="AV154" i="33"/>
  <c r="CS48" i="33" s="1"/>
  <c r="AV197" i="33"/>
  <c r="CN53" i="33" s="1"/>
  <c r="AV169" i="33"/>
  <c r="CS63" i="33" s="1"/>
  <c r="AV203" i="33"/>
  <c r="CN59" i="33" s="1"/>
  <c r="AV174" i="33"/>
  <c r="CN30" i="33" s="1"/>
  <c r="AV146" i="33"/>
  <c r="CS40" i="33" s="1"/>
  <c r="AV192" i="33"/>
  <c r="CN48" i="33" s="1"/>
  <c r="AV164" i="33"/>
  <c r="CS58" i="33" s="1"/>
  <c r="AV208" i="33"/>
  <c r="CN64" i="33" s="1"/>
  <c r="AV200" i="33"/>
  <c r="CN56" i="33" s="1"/>
  <c r="AV172" i="33"/>
  <c r="CS66" i="33" s="1"/>
  <c r="AV173" i="33"/>
  <c r="CN29" i="33" s="1"/>
  <c r="AV145" i="33"/>
  <c r="CS39" i="33" s="1"/>
  <c r="BB182" i="33" a="1"/>
  <c r="BB182" i="33" s="1"/>
  <c r="AV210" i="33"/>
  <c r="CN66" i="33" s="1"/>
  <c r="CS47" i="33"/>
  <c r="AV181" i="33"/>
  <c r="CN37" i="33" s="1"/>
  <c r="CS49" i="33"/>
  <c r="AV183" i="33"/>
  <c r="CN39" i="33" s="1"/>
  <c r="BB152" i="33" a="1"/>
  <c r="BB152" i="33" s="1"/>
  <c r="BB165" i="33" a="1"/>
  <c r="BB165" i="33" s="1"/>
  <c r="BB189" i="33" a="1"/>
  <c r="BB189" i="33" s="1"/>
  <c r="BB184" i="33" a="1"/>
  <c r="BB184" i="33" s="1"/>
  <c r="BB192" i="33" a="1"/>
  <c r="BB192" i="33" s="1"/>
  <c r="BB204" i="33" a="1"/>
  <c r="BB204" i="33" s="1"/>
  <c r="BB186" i="33" a="1"/>
  <c r="BB186" i="33" s="1"/>
  <c r="BB208" i="33" a="1"/>
  <c r="BB208" i="33" s="1"/>
  <c r="BB185" i="33" a="1"/>
  <c r="BB185" i="33" s="1"/>
  <c r="BB202" i="33" a="1"/>
  <c r="BB202" i="33" s="1"/>
  <c r="BB161" i="33" a="1"/>
  <c r="BB161" i="33" s="1"/>
  <c r="BB167" i="33" a="1"/>
  <c r="BB167" i="33" s="1"/>
  <c r="BB159" i="33" a="1"/>
  <c r="BB159" i="33" s="1"/>
  <c r="BB201" i="33" a="1"/>
  <c r="BB201" i="33" s="1"/>
  <c r="BB190" i="33" a="1"/>
  <c r="BB190" i="33" s="1"/>
  <c r="BB193" i="33" a="1"/>
  <c r="BB193" i="33" s="1"/>
  <c r="BB164" i="33" a="1"/>
  <c r="BB164" i="33" s="1"/>
  <c r="BB209" i="33" a="1"/>
  <c r="BB209" i="33" s="1"/>
  <c r="BB205" i="33" a="1"/>
  <c r="BB205" i="33" s="1"/>
  <c r="BB200" i="33" a="1"/>
  <c r="BB200" i="33" s="1"/>
  <c r="BB148" i="33" a="1"/>
  <c r="BB148" i="33" s="1"/>
  <c r="BB198" i="33" a="1"/>
  <c r="BB198" i="33" s="1"/>
  <c r="BB194" i="33" a="1"/>
  <c r="BB194" i="33" s="1"/>
  <c r="BB177" i="33" a="1"/>
  <c r="BB177" i="33" s="1"/>
  <c r="BB151" i="33" a="1"/>
  <c r="BB151" i="33" s="1"/>
  <c r="BB197" i="33" a="1"/>
  <c r="BB197" i="33" s="1"/>
  <c r="BB171" i="33" a="1"/>
  <c r="BB171" i="33" s="1"/>
  <c r="BB187" i="33" a="1"/>
  <c r="BB187" i="33" s="1"/>
  <c r="BB179" i="33" a="1"/>
  <c r="BB179" i="33" s="1"/>
  <c r="BB188" i="33" a="1"/>
  <c r="BB188" i="33" s="1"/>
  <c r="BB168" i="33" a="1"/>
  <c r="BB168" i="33" s="1"/>
  <c r="BB170" i="33" a="1"/>
  <c r="BB170" i="33" s="1"/>
  <c r="BB172" i="33" a="1"/>
  <c r="BB172" i="33" s="1"/>
  <c r="BB145" i="33" a="1"/>
  <c r="BB145" i="33" s="1"/>
  <c r="BB206" i="33" a="1"/>
  <c r="BB206" i="33" s="1"/>
  <c r="BB160" i="33" a="1"/>
  <c r="BB160" i="33" s="1"/>
  <c r="BB207" i="33" a="1"/>
  <c r="BB207" i="33" s="1"/>
  <c r="BB155" i="33" a="1"/>
  <c r="BB155" i="33" s="1"/>
  <c r="BB173" i="33" a="1"/>
  <c r="BB173" i="33" s="1"/>
  <c r="BB203" i="33" a="1"/>
  <c r="BB203" i="33" s="1"/>
  <c r="BB196" i="33" a="1"/>
  <c r="BB196" i="33" s="1"/>
  <c r="BB210" i="33" a="1"/>
  <c r="BB210" i="33" s="1"/>
  <c r="BB150" i="33" a="1"/>
  <c r="BB150" i="33" s="1"/>
  <c r="BB175" i="33" a="1"/>
  <c r="BB175" i="33" s="1"/>
  <c r="BB176" i="33" a="1"/>
  <c r="BB176" i="33" s="1"/>
  <c r="BB146" i="33" a="1"/>
  <c r="BB146" i="33" s="1"/>
  <c r="BB156" i="33" a="1"/>
  <c r="BB156" i="33" s="1"/>
  <c r="BB153" i="33" a="1"/>
  <c r="BB153" i="33" s="1"/>
  <c r="BB174" i="33" a="1"/>
  <c r="BB174" i="33" s="1"/>
  <c r="BB154" i="33" a="1"/>
  <c r="BB154" i="33" s="1"/>
  <c r="BB149" i="33" a="1"/>
  <c r="BB149" i="33" s="1"/>
  <c r="BB178" i="33" a="1"/>
  <c r="BB178" i="33" s="1"/>
  <c r="BB199" i="33" a="1"/>
  <c r="BB199" i="33" s="1"/>
  <c r="BB169" i="33" a="1"/>
  <c r="BB169" i="33" s="1"/>
  <c r="BB157" i="33" a="1"/>
  <c r="BB157" i="33" s="1"/>
  <c r="BB163" i="33" a="1"/>
  <c r="BB163" i="33" s="1"/>
  <c r="BB180" i="33" a="1"/>
  <c r="BB180" i="33" s="1"/>
  <c r="BB183" i="33" a="1"/>
  <c r="BB183" i="33" s="1"/>
  <c r="BB166" i="33" a="1"/>
  <c r="BB166" i="33" s="1"/>
  <c r="BB147" i="33" a="1"/>
  <c r="BB147" i="33" s="1"/>
  <c r="BB162" i="33" a="1"/>
  <c r="BB162" i="33" s="1"/>
  <c r="BB195" i="33" a="1"/>
  <c r="BB195" i="33" s="1"/>
  <c r="BB158" i="33" a="1"/>
  <c r="BB158" i="33" s="1"/>
  <c r="BB181" i="33" a="1"/>
  <c r="BB181" i="33" s="1"/>
  <c r="DP217" i="43" l="1"/>
  <c r="DQ217" i="43" s="1"/>
  <c r="DM217" i="43"/>
  <c r="DN217" i="43" s="1"/>
  <c r="DS215" i="43"/>
  <c r="DR216" i="43"/>
  <c r="DH218" i="43"/>
  <c r="DO218" i="43"/>
  <c r="DG219" i="43"/>
  <c r="DK219" i="43" s="1"/>
  <c r="DI816" i="43"/>
  <c r="DO816" i="43"/>
  <c r="DK816" i="43"/>
  <c r="DP815" i="43"/>
  <c r="CW61" i="33"/>
  <c r="CL61" i="33"/>
  <c r="CE81" i="33"/>
  <c r="CC80" i="33"/>
  <c r="DP218" i="43" l="1"/>
  <c r="DQ218" i="43" s="1"/>
  <c r="DM218" i="43"/>
  <c r="DN218" i="43" s="1"/>
  <c r="DR217" i="43"/>
  <c r="DS216" i="43"/>
  <c r="DO219" i="43"/>
  <c r="DH219" i="43"/>
  <c r="DG220" i="43"/>
  <c r="DI817" i="43"/>
  <c r="DO817" i="43"/>
  <c r="DP816" i="43"/>
  <c r="DK817" i="43"/>
  <c r="CW60" i="33"/>
  <c r="CL60" i="33"/>
  <c r="CE80" i="33"/>
  <c r="CC79" i="33"/>
  <c r="DH220" i="43" l="1"/>
  <c r="DO220" i="43"/>
  <c r="DP219" i="43"/>
  <c r="DQ219" i="43" s="1"/>
  <c r="DM219" i="43"/>
  <c r="DN219" i="43" s="1"/>
  <c r="DS217" i="43"/>
  <c r="DR218" i="43"/>
  <c r="DK220" i="43"/>
  <c r="DG221" i="43"/>
  <c r="DI818" i="43"/>
  <c r="DO818" i="43"/>
  <c r="DP817" i="43"/>
  <c r="DK818" i="43"/>
  <c r="CL59" i="33"/>
  <c r="CW59" i="33"/>
  <c r="CE79" i="33"/>
  <c r="CC78" i="33"/>
  <c r="DP220" i="43" l="1"/>
  <c r="DQ220" i="43" s="1"/>
  <c r="DM220" i="43"/>
  <c r="DN220" i="43" s="1"/>
  <c r="DH221" i="43"/>
  <c r="DO221" i="43"/>
  <c r="DK221" i="43"/>
  <c r="DR219" i="43"/>
  <c r="DS218" i="43"/>
  <c r="DG222" i="43"/>
  <c r="DK819" i="43"/>
  <c r="DI819" i="43"/>
  <c r="DO819" i="43"/>
  <c r="DP818" i="43"/>
  <c r="CW58" i="33"/>
  <c r="CL58" i="33"/>
  <c r="CE78" i="33"/>
  <c r="CC77" i="33"/>
  <c r="DK222" i="43" l="1"/>
  <c r="DP221" i="43"/>
  <c r="DQ221" i="43" s="1"/>
  <c r="DM221" i="43"/>
  <c r="DN221" i="43" s="1"/>
  <c r="DR220" i="43"/>
  <c r="DS219" i="43"/>
  <c r="DO222" i="43"/>
  <c r="DH222" i="43"/>
  <c r="DG223" i="43"/>
  <c r="DK223" i="43" s="1"/>
  <c r="DI820" i="43"/>
  <c r="DO820" i="43"/>
  <c r="DP819" i="43"/>
  <c r="DK820" i="43"/>
  <c r="CW57" i="33"/>
  <c r="CL57" i="33"/>
  <c r="CE77" i="33"/>
  <c r="CC76" i="33"/>
  <c r="DH223" i="43" l="1"/>
  <c r="DO223" i="43"/>
  <c r="DP222" i="43"/>
  <c r="DQ222" i="43" s="1"/>
  <c r="DM222" i="43"/>
  <c r="DN222" i="43" s="1"/>
  <c r="DS220" i="43"/>
  <c r="DR221" i="43"/>
  <c r="DG224" i="43"/>
  <c r="DI523" i="43"/>
  <c r="DI821" i="43"/>
  <c r="DO821" i="43"/>
  <c r="DK821" i="43"/>
  <c r="DP820" i="43"/>
  <c r="CL56" i="33"/>
  <c r="CW56" i="33"/>
  <c r="CE76" i="33"/>
  <c r="CC75" i="33"/>
  <c r="DR222" i="43" l="1"/>
  <c r="DS221" i="43"/>
  <c r="DP223" i="43"/>
  <c r="DQ223" i="43" s="1"/>
  <c r="DM223" i="43"/>
  <c r="DN223" i="43" s="1"/>
  <c r="DH224" i="43"/>
  <c r="DO224" i="43"/>
  <c r="DK224" i="43"/>
  <c r="DG225" i="43"/>
  <c r="DK822" i="43"/>
  <c r="DP821" i="43"/>
  <c r="DI822" i="43"/>
  <c r="DO822" i="43"/>
  <c r="CW55" i="33"/>
  <c r="CL55" i="33"/>
  <c r="CE75" i="33"/>
  <c r="CC74" i="33"/>
  <c r="DP224" i="43" l="1"/>
  <c r="DQ224" i="43" s="1"/>
  <c r="DM224" i="43"/>
  <c r="DN224" i="43" s="1"/>
  <c r="DK225" i="43"/>
  <c r="DH225" i="43"/>
  <c r="DO225" i="43"/>
  <c r="DS222" i="43"/>
  <c r="DR223" i="43"/>
  <c r="DG226" i="43"/>
  <c r="DI823" i="43"/>
  <c r="DO823" i="43"/>
  <c r="DP822" i="43"/>
  <c r="DK823" i="43"/>
  <c r="CW54" i="33"/>
  <c r="CL54" i="33"/>
  <c r="CE74" i="33"/>
  <c r="CC73" i="33"/>
  <c r="DK226" i="43" l="1"/>
  <c r="DR224" i="43"/>
  <c r="DS223" i="43"/>
  <c r="DP225" i="43"/>
  <c r="DQ225" i="43" s="1"/>
  <c r="DM225" i="43"/>
  <c r="DN225" i="43" s="1"/>
  <c r="DH226" i="43"/>
  <c r="DO226" i="43"/>
  <c r="DG227" i="43"/>
  <c r="DK227" i="43" s="1"/>
  <c r="DI526" i="43"/>
  <c r="DK824" i="43"/>
  <c r="DP823" i="43"/>
  <c r="DI824" i="43"/>
  <c r="DO824" i="43"/>
  <c r="CW53" i="33"/>
  <c r="CL53" i="33"/>
  <c r="CE73" i="33"/>
  <c r="CC72" i="33"/>
  <c r="DP226" i="43" l="1"/>
  <c r="DQ226" i="43" s="1"/>
  <c r="DM226" i="43"/>
  <c r="DN226" i="43" s="1"/>
  <c r="DH227" i="43"/>
  <c r="DO227" i="43"/>
  <c r="DS224" i="43"/>
  <c r="DR225" i="43"/>
  <c r="DG228" i="43"/>
  <c r="DK228" i="43" s="1"/>
  <c r="DI527" i="43"/>
  <c r="DI825" i="43"/>
  <c r="DO825" i="43"/>
  <c r="DP824" i="43"/>
  <c r="DK825" i="43"/>
  <c r="CW52" i="33"/>
  <c r="CL52" i="33"/>
  <c r="CE72" i="33"/>
  <c r="CC71" i="33"/>
  <c r="DS225" i="43" l="1"/>
  <c r="DR226" i="43"/>
  <c r="DP227" i="43"/>
  <c r="DQ227" i="43" s="1"/>
  <c r="DM227" i="43"/>
  <c r="DN227" i="43" s="1"/>
  <c r="DH228" i="43"/>
  <c r="DO228" i="43"/>
  <c r="DG229" i="43"/>
  <c r="DK229" i="43" s="1"/>
  <c r="DI528" i="43"/>
  <c r="DI826" i="43"/>
  <c r="DO826" i="43"/>
  <c r="DK826" i="43"/>
  <c r="DP825" i="43"/>
  <c r="CL51" i="33"/>
  <c r="CW51" i="33"/>
  <c r="CE71" i="33"/>
  <c r="CC70" i="33"/>
  <c r="DP228" i="43" l="1"/>
  <c r="DQ228" i="43" s="1"/>
  <c r="DM228" i="43"/>
  <c r="DN228" i="43" s="1"/>
  <c r="DR227" i="43"/>
  <c r="DS226" i="43"/>
  <c r="DH229" i="43"/>
  <c r="DO229" i="43"/>
  <c r="DG230" i="43"/>
  <c r="DI827" i="43"/>
  <c r="DO827" i="43"/>
  <c r="DK827" i="43"/>
  <c r="DP826" i="43"/>
  <c r="CL50" i="33"/>
  <c r="CW50" i="33"/>
  <c r="CE70" i="33"/>
  <c r="CC69" i="33"/>
  <c r="DP229" i="43" l="1"/>
  <c r="DQ229" i="43" s="1"/>
  <c r="DM229" i="43"/>
  <c r="DN229" i="43" s="1"/>
  <c r="DS227" i="43"/>
  <c r="DR228" i="43"/>
  <c r="DH230" i="43"/>
  <c r="DO230" i="43"/>
  <c r="DK230" i="43"/>
  <c r="DG231" i="43"/>
  <c r="DK828" i="43"/>
  <c r="DP827" i="43"/>
  <c r="DI828" i="43"/>
  <c r="DO828" i="43"/>
  <c r="CL49" i="33"/>
  <c r="CW49" i="33"/>
  <c r="CE69" i="33"/>
  <c r="CC68" i="33"/>
  <c r="DP230" i="43" l="1"/>
  <c r="DQ230" i="43" s="1"/>
  <c r="DM230" i="43"/>
  <c r="DN230" i="43" s="1"/>
  <c r="DK231" i="43"/>
  <c r="DS228" i="43"/>
  <c r="DR229" i="43"/>
  <c r="DH231" i="43"/>
  <c r="DO231" i="43"/>
  <c r="DG232" i="43"/>
  <c r="DI829" i="43"/>
  <c r="DO829" i="43"/>
  <c r="DP828" i="43"/>
  <c r="DK829" i="43"/>
  <c r="CL48" i="33"/>
  <c r="CW48" i="33"/>
  <c r="CE68" i="33"/>
  <c r="CC67" i="33"/>
  <c r="DK232" i="43" l="1"/>
  <c r="DP231" i="43"/>
  <c r="DQ231" i="43" s="1"/>
  <c r="DM231" i="43"/>
  <c r="DN231" i="43" s="1"/>
  <c r="DR230" i="43"/>
  <c r="DS229" i="43"/>
  <c r="DH232" i="43"/>
  <c r="DO232" i="43"/>
  <c r="DG233" i="43"/>
  <c r="DI830" i="43"/>
  <c r="DO830" i="43"/>
  <c r="DK830" i="43"/>
  <c r="DP829" i="43"/>
  <c r="CW47" i="33"/>
  <c r="CL47" i="33"/>
  <c r="CE67" i="33"/>
  <c r="CC66" i="33"/>
  <c r="DP232" i="43" l="1"/>
  <c r="DQ232" i="43" s="1"/>
  <c r="DM232" i="43"/>
  <c r="DN232" i="43" s="1"/>
  <c r="DO233" i="43"/>
  <c r="DH233" i="43"/>
  <c r="DK233" i="43"/>
  <c r="DS230" i="43"/>
  <c r="DR231" i="43"/>
  <c r="DG234" i="43"/>
  <c r="DP830" i="43"/>
  <c r="DI831" i="43"/>
  <c r="DO831" i="43"/>
  <c r="DK831" i="43"/>
  <c r="CL46" i="33"/>
  <c r="CW46" i="33"/>
  <c r="CE66" i="33"/>
  <c r="CC65" i="33"/>
  <c r="DO234" i="43" l="1"/>
  <c r="DH234" i="43"/>
  <c r="DP233" i="43"/>
  <c r="DQ233" i="43" s="1"/>
  <c r="DM233" i="43"/>
  <c r="DN233" i="43" s="1"/>
  <c r="DR232" i="43"/>
  <c r="DS231" i="43"/>
  <c r="DK234" i="43"/>
  <c r="DG235" i="43"/>
  <c r="DI832" i="43"/>
  <c r="DO832" i="43"/>
  <c r="DK832" i="43"/>
  <c r="DP831" i="43"/>
  <c r="CW45" i="33"/>
  <c r="CL45" i="33"/>
  <c r="CE65" i="33"/>
  <c r="CC64" i="33"/>
  <c r="AI25" i="17"/>
  <c r="AG26" i="17" s="1"/>
  <c r="DK235" i="43" l="1"/>
  <c r="DR233" i="43"/>
  <c r="DS232" i="43"/>
  <c r="DO235" i="43"/>
  <c r="DH235" i="43"/>
  <c r="DP234" i="43"/>
  <c r="DQ234" i="43" s="1"/>
  <c r="DM234" i="43"/>
  <c r="DN234" i="43" s="1"/>
  <c r="DG236" i="43"/>
  <c r="DI535" i="43"/>
  <c r="DI833" i="43"/>
  <c r="DO833" i="43"/>
  <c r="DK833" i="43"/>
  <c r="DP832" i="43"/>
  <c r="CL44" i="33"/>
  <c r="CW44" i="33"/>
  <c r="CE64" i="33"/>
  <c r="CC63" i="33"/>
  <c r="AH18" i="17"/>
  <c r="AH20" i="17"/>
  <c r="AH19" i="17"/>
  <c r="DO236" i="43" l="1"/>
  <c r="DH236" i="43"/>
  <c r="DP235" i="43"/>
  <c r="DQ235" i="43" s="1"/>
  <c r="DM235" i="43"/>
  <c r="DN235" i="43" s="1"/>
  <c r="DR234" i="43"/>
  <c r="DS233" i="43"/>
  <c r="DK236" i="43"/>
  <c r="DG237" i="43"/>
  <c r="DI536" i="43"/>
  <c r="DI834" i="43"/>
  <c r="DO834" i="43"/>
  <c r="DP833" i="43"/>
  <c r="DK834" i="43"/>
  <c r="AV22" i="17"/>
  <c r="CL43" i="33"/>
  <c r="CW43" i="33"/>
  <c r="CE63" i="33"/>
  <c r="CC62" i="33"/>
  <c r="AG27" i="17"/>
  <c r="AF27" i="17" s="1"/>
  <c r="AF21" i="17" s="1"/>
  <c r="DH237" i="43" l="1"/>
  <c r="DO237" i="43"/>
  <c r="DK237" i="43"/>
  <c r="DR235" i="43"/>
  <c r="DS234" i="43"/>
  <c r="DP236" i="43"/>
  <c r="DQ236" i="43" s="1"/>
  <c r="DM236" i="43"/>
  <c r="DN236" i="43" s="1"/>
  <c r="DG238" i="43"/>
  <c r="DI537" i="43"/>
  <c r="DI835" i="43"/>
  <c r="DO835" i="43"/>
  <c r="DP834" i="43"/>
  <c r="DK835" i="43"/>
  <c r="AE3" i="17"/>
  <c r="DQ18" i="17" s="1"/>
  <c r="DR37" i="17"/>
  <c r="DY32" i="17"/>
  <c r="CW42" i="33"/>
  <c r="CL42" i="33"/>
  <c r="CE62" i="33"/>
  <c r="CC61" i="33"/>
  <c r="DP16" i="17" l="1"/>
  <c r="DR46" i="17"/>
  <c r="DS31" i="17"/>
  <c r="DV17" i="17"/>
  <c r="DV31" i="17"/>
  <c r="DW47" i="17"/>
  <c r="DY47" i="17"/>
  <c r="DR35" i="17"/>
  <c r="DY30" i="17"/>
  <c r="DP32" i="17"/>
  <c r="DR43" i="17"/>
  <c r="DS27" i="17"/>
  <c r="DS29" i="17"/>
  <c r="DQ40" i="17"/>
  <c r="DP38" i="17"/>
  <c r="DU34" i="17"/>
  <c r="DZ23" i="17"/>
  <c r="DZ43" i="17"/>
  <c r="DP31" i="17"/>
  <c r="DS44" i="17"/>
  <c r="DZ39" i="17"/>
  <c r="DQ38" i="17"/>
  <c r="DU22" i="17"/>
  <c r="DX43" i="17"/>
  <c r="DQ28" i="17"/>
  <c r="DU41" i="17"/>
  <c r="DS47" i="17"/>
  <c r="DU24" i="17"/>
  <c r="DR29" i="17"/>
  <c r="DX47" i="17"/>
  <c r="DW41" i="17"/>
  <c r="DP34" i="17"/>
  <c r="DR24" i="17"/>
  <c r="DP24" i="17"/>
  <c r="DU28" i="17"/>
  <c r="DU31" i="17"/>
  <c r="DP21" i="17"/>
  <c r="DQ26" i="17"/>
  <c r="DX38" i="17"/>
  <c r="DS32" i="17"/>
  <c r="DY24" i="17"/>
  <c r="DX19" i="17"/>
  <c r="DP42" i="17"/>
  <c r="DR20" i="17"/>
  <c r="DV47" i="17"/>
  <c r="DV35" i="17"/>
  <c r="DW17" i="17"/>
  <c r="DW21" i="17"/>
  <c r="DY40" i="17"/>
  <c r="DV34" i="17"/>
  <c r="DZ29" i="17"/>
  <c r="DY46" i="17"/>
  <c r="DV32" i="17"/>
  <c r="DV18" i="17"/>
  <c r="DV40" i="17"/>
  <c r="DW26" i="17"/>
  <c r="DW16" i="17"/>
  <c r="DW34" i="17"/>
  <c r="DW44" i="17"/>
  <c r="DP47" i="17"/>
  <c r="DY23" i="17"/>
  <c r="DT30" i="17"/>
  <c r="DR23" i="17"/>
  <c r="DU32" i="17"/>
  <c r="DT27" i="17"/>
  <c r="DR33" i="17"/>
  <c r="DW46" i="17"/>
  <c r="DU17" i="17"/>
  <c r="DQ23" i="17"/>
  <c r="DY44" i="17"/>
  <c r="DR18" i="17"/>
  <c r="DX37" i="17"/>
  <c r="DQ33" i="17"/>
  <c r="DR38" i="17"/>
  <c r="DS43" i="17"/>
  <c r="DU39" i="17"/>
  <c r="DS37" i="17"/>
  <c r="DZ44" i="17"/>
  <c r="DP20" i="17"/>
  <c r="DU42" i="17"/>
  <c r="DS17" i="17"/>
  <c r="DV29" i="17"/>
  <c r="DQ24" i="17"/>
  <c r="DS21" i="17"/>
  <c r="DU47" i="17"/>
  <c r="DZ28" i="17"/>
  <c r="DY20" i="17"/>
  <c r="DX18" i="17"/>
  <c r="DS39" i="17"/>
  <c r="DV42" i="17"/>
  <c r="DP30" i="17"/>
  <c r="DV43" i="17"/>
  <c r="DX22" i="17"/>
  <c r="DV39" i="17"/>
  <c r="DS20" i="17"/>
  <c r="DU43" i="17"/>
  <c r="DT42" i="17"/>
  <c r="DQ39" i="17"/>
  <c r="DX23" i="17"/>
  <c r="DY34" i="17"/>
  <c r="DS26" i="17"/>
  <c r="DY25" i="17"/>
  <c r="DU40" i="17"/>
  <c r="DT38" i="17"/>
  <c r="DS45" i="17"/>
  <c r="DX35" i="17"/>
  <c r="DS30" i="17"/>
  <c r="DZ40" i="17"/>
  <c r="DX29" i="17"/>
  <c r="DZ36" i="17"/>
  <c r="DP18" i="17"/>
  <c r="DX30" i="17"/>
  <c r="DX27" i="17"/>
  <c r="DP33" i="17"/>
  <c r="DT35" i="17"/>
  <c r="DV33" i="17"/>
  <c r="DW39" i="17"/>
  <c r="DP36" i="17"/>
  <c r="DZ20" i="17"/>
  <c r="DR34" i="17"/>
  <c r="DS18" i="17"/>
  <c r="DQ43" i="17"/>
  <c r="DT21" i="17"/>
  <c r="DQ47" i="17"/>
  <c r="DY35" i="17"/>
  <c r="DZ31" i="17"/>
  <c r="DW35" i="17"/>
  <c r="DT18" i="17"/>
  <c r="DW25" i="17"/>
  <c r="DP27" i="17"/>
  <c r="DK238" i="43"/>
  <c r="DR236" i="43"/>
  <c r="DS235" i="43"/>
  <c r="DP237" i="43"/>
  <c r="DQ237" i="43" s="1"/>
  <c r="DM237" i="43"/>
  <c r="DN237" i="43" s="1"/>
  <c r="DH238" i="43"/>
  <c r="DO238" i="43"/>
  <c r="DG239" i="43"/>
  <c r="DI538" i="43"/>
  <c r="DK836" i="43"/>
  <c r="DI836" i="43"/>
  <c r="DO836" i="43"/>
  <c r="DP835" i="43"/>
  <c r="DY21" i="17"/>
  <c r="DR41" i="17"/>
  <c r="DR17" i="17"/>
  <c r="DU21" i="17"/>
  <c r="DU44" i="17"/>
  <c r="DX46" i="17"/>
  <c r="DP40" i="17"/>
  <c r="DX33" i="17"/>
  <c r="DU29" i="17"/>
  <c r="DT25" i="17"/>
  <c r="DV41" i="17"/>
  <c r="DX34" i="17"/>
  <c r="DV30" i="17"/>
  <c r="DW33" i="17"/>
  <c r="DQ41" i="17"/>
  <c r="DZ47" i="17"/>
  <c r="DX25" i="17"/>
  <c r="DW45" i="17"/>
  <c r="DQ29" i="17"/>
  <c r="DT36" i="17"/>
  <c r="DT37" i="17"/>
  <c r="DW36" i="17"/>
  <c r="DV19" i="17"/>
  <c r="DY26" i="17"/>
  <c r="DT22" i="17"/>
  <c r="DZ24" i="17"/>
  <c r="DX17" i="17"/>
  <c r="DP26" i="17"/>
  <c r="DS38" i="17"/>
  <c r="DT39" i="17"/>
  <c r="DV22" i="17"/>
  <c r="DY29" i="17"/>
  <c r="DR32" i="17"/>
  <c r="DW30" i="17"/>
  <c r="DQ17" i="17"/>
  <c r="DR47" i="17"/>
  <c r="DW27" i="17"/>
  <c r="DW20" i="17"/>
  <c r="DR39" i="17"/>
  <c r="DU25" i="17"/>
  <c r="DW28" i="17"/>
  <c r="DZ25" i="17"/>
  <c r="DP46" i="17"/>
  <c r="DQ44" i="17"/>
  <c r="DY41" i="17"/>
  <c r="DX40" i="17"/>
  <c r="DZ45" i="17"/>
  <c r="DS28" i="17"/>
  <c r="DR44" i="17"/>
  <c r="DU46" i="17"/>
  <c r="DP17" i="17"/>
  <c r="DT17" i="17"/>
  <c r="DW29" i="17"/>
  <c r="DS41" i="17"/>
  <c r="DV45" i="17"/>
  <c r="DZ42" i="17"/>
  <c r="DQ25" i="17"/>
  <c r="DY45" i="17"/>
  <c r="DX44" i="17"/>
  <c r="DT23" i="17"/>
  <c r="DX16" i="17"/>
  <c r="DY39" i="17"/>
  <c r="DP37" i="17"/>
  <c r="DS35" i="17"/>
  <c r="DR26" i="17"/>
  <c r="DU27" i="17"/>
  <c r="DZ38" i="17"/>
  <c r="DZ22" i="17"/>
  <c r="DQ42" i="17"/>
  <c r="DT46" i="17"/>
  <c r="DS23" i="17"/>
  <c r="DV36" i="17"/>
  <c r="DT16" i="17"/>
  <c r="DZ27" i="17"/>
  <c r="DY27" i="17"/>
  <c r="DX26" i="17"/>
  <c r="DP28" i="17"/>
  <c r="DU26" i="17"/>
  <c r="DT34" i="17"/>
  <c r="DS46" i="17"/>
  <c r="DV21" i="17"/>
  <c r="DQ16" i="17"/>
  <c r="DX28" i="17"/>
  <c r="DY31" i="17"/>
  <c r="DX21" i="17"/>
  <c r="DT45" i="17"/>
  <c r="DP25" i="17"/>
  <c r="DY43" i="17"/>
  <c r="DP43" i="17"/>
  <c r="DP19" i="17"/>
  <c r="DY18" i="17"/>
  <c r="DX20" i="17"/>
  <c r="DP41" i="17"/>
  <c r="DV25" i="17"/>
  <c r="DR30" i="17"/>
  <c r="DQ19" i="17"/>
  <c r="DS19" i="17"/>
  <c r="DV23" i="17"/>
  <c r="DQ30" i="17"/>
  <c r="DT47" i="17"/>
  <c r="DY42" i="17"/>
  <c r="DX41" i="17"/>
  <c r="DT29" i="17"/>
  <c r="DZ46" i="17"/>
  <c r="DR40" i="17"/>
  <c r="DU36" i="17"/>
  <c r="DT44" i="17"/>
  <c r="DQ34" i="17"/>
  <c r="DZ32" i="17"/>
  <c r="DS22" i="17"/>
  <c r="DV27" i="17"/>
  <c r="DT19" i="17"/>
  <c r="DP44" i="17"/>
  <c r="DZ26" i="17"/>
  <c r="DZ37" i="17"/>
  <c r="DQ27" i="17"/>
  <c r="DY33" i="17"/>
  <c r="DX32" i="17"/>
  <c r="DT41" i="17"/>
  <c r="DT24" i="17"/>
  <c r="DY19" i="17"/>
  <c r="DR22" i="17"/>
  <c r="DU35" i="17"/>
  <c r="DT26" i="17"/>
  <c r="DZ16" i="17"/>
  <c r="DW38" i="17"/>
  <c r="DS33" i="17"/>
  <c r="DV44" i="17"/>
  <c r="DQ22" i="17"/>
  <c r="DU16" i="17"/>
  <c r="DR21" i="17"/>
  <c r="DU19" i="17"/>
  <c r="DW23" i="17"/>
  <c r="DQ37" i="17"/>
  <c r="DW37" i="17"/>
  <c r="DS34" i="17"/>
  <c r="DV16" i="17"/>
  <c r="DQ46" i="17"/>
  <c r="DW31" i="17"/>
  <c r="DZ19" i="17"/>
  <c r="DW43" i="17"/>
  <c r="DT32" i="17"/>
  <c r="DS40" i="17"/>
  <c r="DV26" i="17"/>
  <c r="DZ21" i="17"/>
  <c r="DR27" i="17"/>
  <c r="DZ41" i="17"/>
  <c r="DR36" i="17"/>
  <c r="DU18" i="17"/>
  <c r="DZ35" i="17"/>
  <c r="DY28" i="17"/>
  <c r="DQ31" i="17"/>
  <c r="DS36" i="17"/>
  <c r="DV38" i="17"/>
  <c r="DW24" i="17"/>
  <c r="DT20" i="17"/>
  <c r="DY37" i="17"/>
  <c r="DX36" i="17"/>
  <c r="DQ20" i="17"/>
  <c r="DY22" i="17"/>
  <c r="DR16" i="17"/>
  <c r="DU20" i="17"/>
  <c r="DQ45" i="17"/>
  <c r="DW18" i="17"/>
  <c r="DQ35" i="17"/>
  <c r="DY16" i="17"/>
  <c r="DS24" i="17"/>
  <c r="DU33" i="17"/>
  <c r="DS25" i="17"/>
  <c r="DZ18" i="17"/>
  <c r="DU45" i="17"/>
  <c r="DR31" i="17"/>
  <c r="DX45" i="17"/>
  <c r="DY17" i="17"/>
  <c r="DT31" i="17"/>
  <c r="DU37" i="17"/>
  <c r="DX31" i="17"/>
  <c r="DP29" i="17"/>
  <c r="DP39" i="17"/>
  <c r="DZ34" i="17"/>
  <c r="DY38" i="17"/>
  <c r="DX39" i="17"/>
  <c r="DX42" i="17"/>
  <c r="DZ17" i="17"/>
  <c r="DR19" i="17"/>
  <c r="DT28" i="17"/>
  <c r="DY36" i="17"/>
  <c r="DX24" i="17"/>
  <c r="DV46" i="17"/>
  <c r="DP23" i="17"/>
  <c r="DV24" i="17"/>
  <c r="DW19" i="17"/>
  <c r="DS42" i="17"/>
  <c r="DV37" i="17"/>
  <c r="DV28" i="17"/>
  <c r="DT33" i="17"/>
  <c r="DZ33" i="17"/>
  <c r="DT40" i="17"/>
  <c r="DS16" i="17"/>
  <c r="DV20" i="17"/>
  <c r="DZ30" i="17"/>
  <c r="DP22" i="17"/>
  <c r="DQ36" i="17"/>
  <c r="DR28" i="17"/>
  <c r="DU23" i="17"/>
  <c r="DW22" i="17"/>
  <c r="DU38" i="17"/>
  <c r="DP45" i="17"/>
  <c r="DR25" i="17"/>
  <c r="DR42" i="17"/>
  <c r="DR45" i="17"/>
  <c r="DU30" i="17"/>
  <c r="DT43" i="17"/>
  <c r="EO17" i="17"/>
  <c r="DP35" i="17"/>
  <c r="DW32" i="17"/>
  <c r="DQ32" i="17"/>
  <c r="DW40" i="17"/>
  <c r="DQ21" i="17"/>
  <c r="DW42" i="17"/>
  <c r="CL41" i="33"/>
  <c r="CW41" i="33"/>
  <c r="CE61" i="33"/>
  <c r="CC60" i="33"/>
  <c r="DK239" i="43" l="1"/>
  <c r="DP238" i="43"/>
  <c r="DQ238" i="43" s="1"/>
  <c r="DM238" i="43"/>
  <c r="DN238" i="43" s="1"/>
  <c r="DH239" i="43"/>
  <c r="DO239" i="43"/>
  <c r="DR237" i="43"/>
  <c r="DS236" i="43"/>
  <c r="DG240" i="43"/>
  <c r="DI837" i="43"/>
  <c r="DO837" i="43"/>
  <c r="DP836" i="43"/>
  <c r="DK837" i="43"/>
  <c r="AN1" i="17"/>
  <c r="G87" i="17"/>
  <c r="CL40" i="33"/>
  <c r="CW40" i="33"/>
  <c r="CE60" i="33"/>
  <c r="CC59" i="33"/>
  <c r="C64" i="40" a="1"/>
  <c r="DP239" i="43" l="1"/>
  <c r="DQ239" i="43" s="1"/>
  <c r="DM239" i="43"/>
  <c r="DN239" i="43" s="1"/>
  <c r="DS237" i="43"/>
  <c r="DR238" i="43"/>
  <c r="DH240" i="43"/>
  <c r="DO240" i="43"/>
  <c r="DK240" i="43"/>
  <c r="DG241" i="43"/>
  <c r="DI838" i="43"/>
  <c r="DO838" i="43"/>
  <c r="DP837" i="43"/>
  <c r="DK838" i="43"/>
  <c r="C64" i="40"/>
  <c r="CW39" i="33"/>
  <c r="CL39" i="33"/>
  <c r="CE59" i="33"/>
  <c r="CC58" i="33"/>
  <c r="DO241" i="43" l="1"/>
  <c r="DH241" i="43"/>
  <c r="DR239" i="43"/>
  <c r="DS238" i="43"/>
  <c r="DK241" i="43"/>
  <c r="DP240" i="43"/>
  <c r="DQ240" i="43" s="1"/>
  <c r="DM240" i="43"/>
  <c r="DN240" i="43" s="1"/>
  <c r="DG242" i="43"/>
  <c r="DI541" i="43"/>
  <c r="DI839" i="43"/>
  <c r="DO839" i="43"/>
  <c r="DP838" i="43"/>
  <c r="DK839" i="43"/>
  <c r="CW38" i="33"/>
  <c r="CL38" i="33"/>
  <c r="CE58" i="33"/>
  <c r="CC57" i="33"/>
  <c r="DK242" i="43" l="1"/>
  <c r="DS239" i="43"/>
  <c r="DR240" i="43"/>
  <c r="DH242" i="43"/>
  <c r="DO242" i="43"/>
  <c r="DP241" i="43"/>
  <c r="DQ241" i="43" s="1"/>
  <c r="DM241" i="43"/>
  <c r="DN241" i="43" s="1"/>
  <c r="DG243" i="43"/>
  <c r="DI840" i="43"/>
  <c r="DO840" i="43"/>
  <c r="DP839" i="43"/>
  <c r="DK840" i="43"/>
  <c r="CW37" i="33"/>
  <c r="CL37" i="33"/>
  <c r="CE57" i="33"/>
  <c r="CC56" i="33"/>
  <c r="DP242" i="43" l="1"/>
  <c r="DQ242" i="43" s="1"/>
  <c r="DM242" i="43"/>
  <c r="DN242" i="43" s="1"/>
  <c r="DR241" i="43"/>
  <c r="DS240" i="43"/>
  <c r="DH243" i="43"/>
  <c r="DO243" i="43"/>
  <c r="DK243" i="43"/>
  <c r="DG244" i="43"/>
  <c r="DI543" i="43"/>
  <c r="DI841" i="43"/>
  <c r="DO841" i="43"/>
  <c r="DP840" i="43"/>
  <c r="DK841" i="43"/>
  <c r="CW36" i="33"/>
  <c r="CL36" i="33"/>
  <c r="CE56" i="33"/>
  <c r="CC55" i="33"/>
  <c r="DP243" i="43" l="1"/>
  <c r="DQ243" i="43" s="1"/>
  <c r="DM243" i="43"/>
  <c r="DN243" i="43" s="1"/>
  <c r="DS241" i="43"/>
  <c r="DR242" i="43"/>
  <c r="DK244" i="43"/>
  <c r="DH244" i="43"/>
  <c r="DO244" i="43"/>
  <c r="DG245" i="43"/>
  <c r="DI842" i="43"/>
  <c r="DO842" i="43"/>
  <c r="DP841" i="43"/>
  <c r="DK842" i="43"/>
  <c r="CL35" i="33"/>
  <c r="CW35" i="33"/>
  <c r="CE55" i="33"/>
  <c r="CC54" i="33"/>
  <c r="DK245" i="43" l="1"/>
  <c r="DR243" i="43"/>
  <c r="DS242" i="43"/>
  <c r="DP244" i="43"/>
  <c r="DQ244" i="43" s="1"/>
  <c r="DM244" i="43"/>
  <c r="DN244" i="43" s="1"/>
  <c r="DH245" i="43"/>
  <c r="DO245" i="43"/>
  <c r="DG246" i="43"/>
  <c r="DI843" i="43"/>
  <c r="DO843" i="43"/>
  <c r="DP842" i="43"/>
  <c r="DK843" i="43"/>
  <c r="CL34" i="33"/>
  <c r="CW34" i="33"/>
  <c r="CE54" i="33"/>
  <c r="CC53" i="33"/>
  <c r="DH246" i="43" l="1"/>
  <c r="DO246" i="43"/>
  <c r="DP245" i="43"/>
  <c r="DQ245" i="43" s="1"/>
  <c r="DM245" i="43"/>
  <c r="DN245" i="43" s="1"/>
  <c r="DS243" i="43"/>
  <c r="DR244" i="43"/>
  <c r="DK246" i="43"/>
  <c r="DG247" i="43"/>
  <c r="DI546" i="43"/>
  <c r="DI844" i="43"/>
  <c r="DO844" i="43"/>
  <c r="DK844" i="43"/>
  <c r="DP843" i="43"/>
  <c r="CL33" i="33"/>
  <c r="CW33" i="33"/>
  <c r="CE53" i="33"/>
  <c r="CC52" i="33"/>
  <c r="DK247" i="43" l="1"/>
  <c r="DR245" i="43"/>
  <c r="DS244" i="43"/>
  <c r="DP246" i="43"/>
  <c r="DQ246" i="43" s="1"/>
  <c r="DM246" i="43"/>
  <c r="DN246" i="43" s="1"/>
  <c r="DO247" i="43"/>
  <c r="DH247" i="43"/>
  <c r="DG248" i="43"/>
  <c r="DI547" i="43"/>
  <c r="DI845" i="43"/>
  <c r="DO845" i="43"/>
  <c r="DK845" i="43"/>
  <c r="DP844" i="43"/>
  <c r="CW32" i="33"/>
  <c r="CL32" i="33"/>
  <c r="CE52" i="33"/>
  <c r="CC51" i="33"/>
  <c r="DH248" i="43" l="1"/>
  <c r="DO248" i="43"/>
  <c r="DP247" i="43"/>
  <c r="DQ247" i="43" s="1"/>
  <c r="DM247" i="43"/>
  <c r="DN247" i="43" s="1"/>
  <c r="DS245" i="43"/>
  <c r="DR246" i="43"/>
  <c r="DK248" i="43"/>
  <c r="DG249" i="43"/>
  <c r="DI548" i="43"/>
  <c r="DP845" i="43"/>
  <c r="DI846" i="43"/>
  <c r="DO846" i="43"/>
  <c r="DK846" i="43"/>
  <c r="CW31" i="33"/>
  <c r="CL31" i="33"/>
  <c r="CE51" i="33"/>
  <c r="CC50" i="33"/>
  <c r="DR247" i="43" l="1"/>
  <c r="DS246" i="43"/>
  <c r="DK249" i="43"/>
  <c r="DP248" i="43"/>
  <c r="DQ248" i="43" s="1"/>
  <c r="DM248" i="43"/>
  <c r="DN248" i="43" s="1"/>
  <c r="DH249" i="43"/>
  <c r="DO249" i="43"/>
  <c r="DG250" i="43"/>
  <c r="DP846" i="43"/>
  <c r="DK847" i="43"/>
  <c r="DI847" i="43"/>
  <c r="DO847" i="43"/>
  <c r="CW30" i="33"/>
  <c r="CL30" i="33"/>
  <c r="CE50" i="33"/>
  <c r="CC49" i="33"/>
  <c r="DK250" i="43" l="1"/>
  <c r="DP249" i="43"/>
  <c r="DQ249" i="43" s="1"/>
  <c r="DM249" i="43"/>
  <c r="DN249" i="43" s="1"/>
  <c r="DO250" i="43"/>
  <c r="DH250" i="43"/>
  <c r="DS247" i="43"/>
  <c r="DR248" i="43"/>
  <c r="DG251" i="43"/>
  <c r="DK848" i="43"/>
  <c r="DI848" i="43"/>
  <c r="DO848" i="43"/>
  <c r="DP847" i="43"/>
  <c r="CL29" i="33"/>
  <c r="CW29" i="33"/>
  <c r="CE49" i="33"/>
  <c r="CC48" i="33"/>
  <c r="DH251" i="43" l="1"/>
  <c r="DO251" i="43"/>
  <c r="DP250" i="43"/>
  <c r="DQ250" i="43" s="1"/>
  <c r="DM250" i="43"/>
  <c r="DN250" i="43" s="1"/>
  <c r="DK251" i="43"/>
  <c r="DR249" i="43"/>
  <c r="DS248" i="43"/>
  <c r="DG252" i="43"/>
  <c r="DI551" i="43"/>
  <c r="DI849" i="43"/>
  <c r="DO849" i="43"/>
  <c r="DP848" i="43"/>
  <c r="DK849" i="43"/>
  <c r="CQ66" i="33"/>
  <c r="DB66" i="33"/>
  <c r="CE48" i="33"/>
  <c r="CC47" i="33"/>
  <c r="DH252" i="43" l="1"/>
  <c r="DO252" i="43"/>
  <c r="DS249" i="43"/>
  <c r="DR250" i="43"/>
  <c r="DK252" i="43"/>
  <c r="DP251" i="43"/>
  <c r="DQ251" i="43" s="1"/>
  <c r="DM251" i="43"/>
  <c r="DN251" i="43" s="1"/>
  <c r="DG253" i="43"/>
  <c r="DP849" i="43"/>
  <c r="DI850" i="43"/>
  <c r="DO850" i="43"/>
  <c r="DK850" i="43"/>
  <c r="DB65" i="33"/>
  <c r="CQ65" i="33"/>
  <c r="CE47" i="33"/>
  <c r="CC46" i="33"/>
  <c r="DK253" i="43" l="1"/>
  <c r="DR251" i="43"/>
  <c r="DS250" i="43"/>
  <c r="DP252" i="43"/>
  <c r="DQ252" i="43" s="1"/>
  <c r="DM252" i="43"/>
  <c r="DN252" i="43" s="1"/>
  <c r="DH253" i="43"/>
  <c r="DO253" i="43"/>
  <c r="DG254" i="43"/>
  <c r="DI553" i="43"/>
  <c r="DI851" i="43"/>
  <c r="DO851" i="43"/>
  <c r="DK851" i="43"/>
  <c r="DP850" i="43"/>
  <c r="DB64" i="33"/>
  <c r="CQ64" i="33"/>
  <c r="CE46" i="33"/>
  <c r="CC45" i="33"/>
  <c r="DO254" i="43" l="1"/>
  <c r="DH254" i="43"/>
  <c r="DS251" i="43"/>
  <c r="DR252" i="43"/>
  <c r="DP253" i="43"/>
  <c r="DQ253" i="43" s="1"/>
  <c r="DM253" i="43"/>
  <c r="DN253" i="43" s="1"/>
  <c r="DK254" i="43"/>
  <c r="DG255" i="43"/>
  <c r="DI554" i="43"/>
  <c r="DI852" i="43"/>
  <c r="DO852" i="43"/>
  <c r="DK852" i="43"/>
  <c r="DP851" i="43"/>
  <c r="DB63" i="33"/>
  <c r="CQ63" i="33"/>
  <c r="CE45" i="33"/>
  <c r="CC44" i="33"/>
  <c r="DK255" i="43" l="1"/>
  <c r="DH255" i="43"/>
  <c r="DO255" i="43"/>
  <c r="DR253" i="43"/>
  <c r="DS252" i="43"/>
  <c r="DP254" i="43"/>
  <c r="DQ254" i="43" s="1"/>
  <c r="DM254" i="43"/>
  <c r="DN254" i="43" s="1"/>
  <c r="DG256" i="43"/>
  <c r="DI555" i="43"/>
  <c r="DI853" i="43"/>
  <c r="DO853" i="43"/>
  <c r="DK853" i="43"/>
  <c r="DP852" i="43"/>
  <c r="CQ62" i="33"/>
  <c r="DB62" i="33"/>
  <c r="CE44" i="33"/>
  <c r="CC43" i="33"/>
  <c r="DS253" i="43" l="1"/>
  <c r="DR254" i="43"/>
  <c r="DP255" i="43"/>
  <c r="DQ255" i="43" s="1"/>
  <c r="DM255" i="43"/>
  <c r="DN255" i="43" s="1"/>
  <c r="DH256" i="43"/>
  <c r="DO256" i="43"/>
  <c r="DK256" i="43"/>
  <c r="DG257" i="43"/>
  <c r="DI556" i="43"/>
  <c r="DI854" i="43"/>
  <c r="DO854" i="43"/>
  <c r="DK854" i="43"/>
  <c r="DP853" i="43"/>
  <c r="CQ61" i="33"/>
  <c r="DB61" i="33"/>
  <c r="CE43" i="33"/>
  <c r="CC42" i="33"/>
  <c r="DK257" i="43" l="1"/>
  <c r="DO257" i="43"/>
  <c r="DH257" i="43"/>
  <c r="DP256" i="43"/>
  <c r="DQ256" i="43" s="1"/>
  <c r="DM256" i="43"/>
  <c r="DN256" i="43" s="1"/>
  <c r="DS254" i="43"/>
  <c r="DR255" i="43"/>
  <c r="DG258" i="43"/>
  <c r="DI557" i="43"/>
  <c r="DK855" i="43"/>
  <c r="DI855" i="43"/>
  <c r="DO855" i="43"/>
  <c r="DP854" i="43"/>
  <c r="DB60" i="33"/>
  <c r="CQ60" i="33"/>
  <c r="CE42" i="33"/>
  <c r="CC41" i="33"/>
  <c r="DR256" i="43" l="1"/>
  <c r="DS255" i="43"/>
  <c r="DP257" i="43"/>
  <c r="DQ257" i="43" s="1"/>
  <c r="DM257" i="43"/>
  <c r="DN257" i="43" s="1"/>
  <c r="DO258" i="43"/>
  <c r="DH258" i="43"/>
  <c r="DK258" i="43"/>
  <c r="DG259" i="43"/>
  <c r="DI558" i="43"/>
  <c r="DI856" i="43"/>
  <c r="DO856" i="43"/>
  <c r="DP855" i="43"/>
  <c r="DK856" i="43"/>
  <c r="CQ59" i="33"/>
  <c r="DB59" i="33"/>
  <c r="CE41" i="33"/>
  <c r="CC40" i="33"/>
  <c r="DK259" i="43" l="1"/>
  <c r="DP258" i="43"/>
  <c r="DQ258" i="43" s="1"/>
  <c r="DM258" i="43"/>
  <c r="DN258" i="43" s="1"/>
  <c r="DH259" i="43"/>
  <c r="DO259" i="43"/>
  <c r="DS256" i="43"/>
  <c r="DR257" i="43"/>
  <c r="DG260" i="43"/>
  <c r="DI857" i="43"/>
  <c r="DO857" i="43"/>
  <c r="DK857" i="43"/>
  <c r="DP856" i="43"/>
  <c r="DB58" i="33"/>
  <c r="CQ58" i="33"/>
  <c r="CE40" i="33"/>
  <c r="CC39" i="33"/>
  <c r="DR258" i="43" l="1"/>
  <c r="DS257" i="43"/>
  <c r="DP259" i="43"/>
  <c r="DQ259" i="43" s="1"/>
  <c r="DM259" i="43"/>
  <c r="DN259" i="43" s="1"/>
  <c r="DO260" i="43"/>
  <c r="DH260" i="43"/>
  <c r="DK260" i="43"/>
  <c r="DG261" i="43"/>
  <c r="DI560" i="43"/>
  <c r="DP857" i="43"/>
  <c r="DI858" i="43"/>
  <c r="DO858" i="43"/>
  <c r="DK858" i="43"/>
  <c r="CQ57" i="33"/>
  <c r="DB57" i="33"/>
  <c r="CE39" i="33"/>
  <c r="CC38" i="33"/>
  <c r="DO261" i="43" l="1"/>
  <c r="DH261" i="43"/>
  <c r="DK261" i="43"/>
  <c r="DP260" i="43"/>
  <c r="DQ260" i="43" s="1"/>
  <c r="DM260" i="43"/>
  <c r="DN260" i="43" s="1"/>
  <c r="DS258" i="43"/>
  <c r="DR259" i="43"/>
  <c r="DG262" i="43"/>
  <c r="DK859" i="43"/>
  <c r="DI859" i="43"/>
  <c r="DO859" i="43"/>
  <c r="DP858" i="43"/>
  <c r="CQ56" i="33"/>
  <c r="DB56" i="33"/>
  <c r="CE38" i="33"/>
  <c r="CC37" i="33"/>
  <c r="DK262" i="43" l="1"/>
  <c r="DS259" i="43"/>
  <c r="DR260" i="43"/>
  <c r="DH262" i="43"/>
  <c r="DO262" i="43"/>
  <c r="DP261" i="43"/>
  <c r="DQ261" i="43" s="1"/>
  <c r="DM261" i="43"/>
  <c r="DN261" i="43" s="1"/>
  <c r="DG263" i="43"/>
  <c r="DK263" i="43" s="1"/>
  <c r="DI860" i="43"/>
  <c r="DO860" i="43"/>
  <c r="DP859" i="43"/>
  <c r="DK860" i="43"/>
  <c r="CQ55" i="33"/>
  <c r="DB55" i="33"/>
  <c r="CE37" i="33"/>
  <c r="CC36" i="33"/>
  <c r="DP262" i="43" l="1"/>
  <c r="DQ262" i="43" s="1"/>
  <c r="DM262" i="43"/>
  <c r="DN262" i="43" s="1"/>
  <c r="DS260" i="43"/>
  <c r="DR261" i="43"/>
  <c r="DH263" i="43"/>
  <c r="DO263" i="43"/>
  <c r="DG264" i="43"/>
  <c r="DK264" i="43" s="1"/>
  <c r="DP860" i="43"/>
  <c r="DI861" i="43"/>
  <c r="DO861" i="43"/>
  <c r="DK861" i="43"/>
  <c r="CQ54" i="33"/>
  <c r="DB54" i="33"/>
  <c r="CE36" i="33"/>
  <c r="CC35" i="33"/>
  <c r="DP263" i="43" l="1"/>
  <c r="DQ263" i="43" s="1"/>
  <c r="DM263" i="43"/>
  <c r="DN263" i="43" s="1"/>
  <c r="DS261" i="43"/>
  <c r="DR262" i="43"/>
  <c r="DH264" i="43"/>
  <c r="DO264" i="43"/>
  <c r="DG265" i="43"/>
  <c r="DK265" i="43" s="1"/>
  <c r="DI862" i="43"/>
  <c r="DO862" i="43"/>
  <c r="DK862" i="43"/>
  <c r="DP861" i="43"/>
  <c r="CQ53" i="33"/>
  <c r="DB53" i="33"/>
  <c r="CE35" i="33"/>
  <c r="CC34" i="33"/>
  <c r="DP264" i="43" l="1"/>
  <c r="DQ264" i="43" s="1"/>
  <c r="DM264" i="43"/>
  <c r="DN264" i="43" s="1"/>
  <c r="DR263" i="43"/>
  <c r="DS262" i="43"/>
  <c r="DO265" i="43"/>
  <c r="DH265" i="43"/>
  <c r="DG266" i="43"/>
  <c r="DK266" i="43" s="1"/>
  <c r="DI565" i="43"/>
  <c r="DI863" i="43"/>
  <c r="DO863" i="43"/>
  <c r="DK863" i="43"/>
  <c r="DP862" i="43"/>
  <c r="CQ52" i="33"/>
  <c r="DB52" i="33"/>
  <c r="CE34" i="33"/>
  <c r="CC33" i="33"/>
  <c r="DR264" i="43" l="1"/>
  <c r="DS263" i="43"/>
  <c r="DP265" i="43"/>
  <c r="DQ265" i="43" s="1"/>
  <c r="DM265" i="43"/>
  <c r="DN265" i="43" s="1"/>
  <c r="DH266" i="43"/>
  <c r="DO266" i="43"/>
  <c r="DG267" i="43"/>
  <c r="DI566" i="43"/>
  <c r="DI864" i="43"/>
  <c r="DO864" i="43"/>
  <c r="DK864" i="43"/>
  <c r="DP863" i="43"/>
  <c r="CQ51" i="33"/>
  <c r="DB51" i="33"/>
  <c r="CE33" i="33"/>
  <c r="CC32" i="33"/>
  <c r="DP266" i="43" l="1"/>
  <c r="DQ266" i="43" s="1"/>
  <c r="DM266" i="43"/>
  <c r="DN266" i="43" s="1"/>
  <c r="DH267" i="43"/>
  <c r="DO267" i="43"/>
  <c r="DR265" i="43"/>
  <c r="DS264" i="43"/>
  <c r="DK267" i="43"/>
  <c r="DG268" i="43"/>
  <c r="DI865" i="43"/>
  <c r="DO865" i="43"/>
  <c r="DK865" i="43"/>
  <c r="DP864" i="43"/>
  <c r="CQ50" i="33"/>
  <c r="DB50" i="33"/>
  <c r="CE32" i="33"/>
  <c r="CC31" i="33"/>
  <c r="DK268" i="43" l="1"/>
  <c r="DR266" i="43"/>
  <c r="DS265" i="43"/>
  <c r="DP267" i="43"/>
  <c r="DQ267" i="43" s="1"/>
  <c r="DM267" i="43"/>
  <c r="DN267" i="43" s="1"/>
  <c r="DH268" i="43"/>
  <c r="DO268" i="43"/>
  <c r="DG269" i="43"/>
  <c r="DI866" i="43"/>
  <c r="DO866" i="43"/>
  <c r="DK866" i="43"/>
  <c r="DP865" i="43"/>
  <c r="CQ49" i="33"/>
  <c r="DB49" i="33"/>
  <c r="CE31" i="33"/>
  <c r="CC30" i="33"/>
  <c r="DP268" i="43" l="1"/>
  <c r="DQ268" i="43" s="1"/>
  <c r="DM268" i="43"/>
  <c r="DN268" i="43" s="1"/>
  <c r="DS266" i="43"/>
  <c r="DR267" i="43"/>
  <c r="DH269" i="43"/>
  <c r="DO269" i="43"/>
  <c r="DK269" i="43"/>
  <c r="DG270" i="43"/>
  <c r="DI867" i="43"/>
  <c r="DO867" i="43"/>
  <c r="DP866" i="43"/>
  <c r="DK867" i="43"/>
  <c r="CQ48" i="33"/>
  <c r="DB48" i="33"/>
  <c r="CE30" i="33"/>
  <c r="CC29" i="33"/>
  <c r="DK270" i="43" l="1"/>
  <c r="DP269" i="43"/>
  <c r="DQ269" i="43" s="1"/>
  <c r="DM269" i="43"/>
  <c r="DN269" i="43" s="1"/>
  <c r="DS267" i="43"/>
  <c r="DR268" i="43"/>
  <c r="DO270" i="43"/>
  <c r="DH270" i="43"/>
  <c r="DG271" i="43"/>
  <c r="DI570" i="43"/>
  <c r="DI868" i="43"/>
  <c r="DO868" i="43"/>
  <c r="DP867" i="43"/>
  <c r="DK868" i="43"/>
  <c r="DB47" i="33"/>
  <c r="CQ47" i="33"/>
  <c r="CE29" i="33"/>
  <c r="CC28" i="33"/>
  <c r="DP270" i="43" l="1"/>
  <c r="DQ270" i="43" s="1"/>
  <c r="DM270" i="43"/>
  <c r="DN270" i="43" s="1"/>
  <c r="DS268" i="43"/>
  <c r="DR269" i="43"/>
  <c r="DH271" i="43"/>
  <c r="DO271" i="43"/>
  <c r="DK271" i="43"/>
  <c r="DG272" i="43"/>
  <c r="DI571" i="43"/>
  <c r="DI869" i="43"/>
  <c r="DO869" i="43"/>
  <c r="DK869" i="43"/>
  <c r="DP868" i="43"/>
  <c r="DB46" i="33"/>
  <c r="CQ46" i="33"/>
  <c r="CC27" i="33"/>
  <c r="CE28" i="33"/>
  <c r="DP271" i="43" l="1"/>
  <c r="DQ271" i="43" s="1"/>
  <c r="DM271" i="43"/>
  <c r="DN271" i="43" s="1"/>
  <c r="DS269" i="43"/>
  <c r="DR270" i="43"/>
  <c r="DK272" i="43"/>
  <c r="DH272" i="43"/>
  <c r="DO272" i="43"/>
  <c r="DG273" i="43"/>
  <c r="DI870" i="43"/>
  <c r="DO870" i="43"/>
  <c r="DP869" i="43"/>
  <c r="DK870" i="43"/>
  <c r="DB45" i="33"/>
  <c r="CQ45" i="33"/>
  <c r="CC26" i="33"/>
  <c r="CE27" i="33"/>
  <c r="DP272" i="43" l="1"/>
  <c r="DQ272" i="43" s="1"/>
  <c r="DM272" i="43"/>
  <c r="DN272" i="43" s="1"/>
  <c r="DK273" i="43"/>
  <c r="DR271" i="43"/>
  <c r="DS270" i="43"/>
  <c r="DH273" i="43"/>
  <c r="DO273" i="43"/>
  <c r="DG274" i="43"/>
  <c r="DP870" i="43"/>
  <c r="DI871" i="43"/>
  <c r="DO871" i="43"/>
  <c r="DK871" i="43"/>
  <c r="DB44" i="33"/>
  <c r="CQ44" i="33"/>
  <c r="CE26" i="33"/>
  <c r="CC25" i="33"/>
  <c r="DO274" i="43" l="1"/>
  <c r="DH274" i="43"/>
  <c r="DP273" i="43"/>
  <c r="DQ273" i="43" s="1"/>
  <c r="DM273" i="43"/>
  <c r="DN273" i="43" s="1"/>
  <c r="DS271" i="43"/>
  <c r="DR272" i="43"/>
  <c r="DK274" i="43"/>
  <c r="DG275" i="43"/>
  <c r="DI872" i="43"/>
  <c r="DO872" i="43"/>
  <c r="DP871" i="43"/>
  <c r="DK872" i="43"/>
  <c r="CQ43" i="33"/>
  <c r="DB43" i="33"/>
  <c r="CC24" i="33"/>
  <c r="CE25" i="33"/>
  <c r="DK275" i="43" l="1"/>
  <c r="DR273" i="43"/>
  <c r="DS272" i="43"/>
  <c r="DH275" i="43"/>
  <c r="DO275" i="43"/>
  <c r="DP274" i="43"/>
  <c r="DQ274" i="43" s="1"/>
  <c r="DM274" i="43"/>
  <c r="DN274" i="43" s="1"/>
  <c r="DG276" i="43"/>
  <c r="DI873" i="43"/>
  <c r="DO873" i="43"/>
  <c r="DK873" i="43"/>
  <c r="DP872" i="43"/>
  <c r="DB42" i="33"/>
  <c r="CQ42" i="33"/>
  <c r="CE24" i="33"/>
  <c r="CC23" i="33"/>
  <c r="DP275" i="43" l="1"/>
  <c r="DQ275" i="43" s="1"/>
  <c r="DM275" i="43"/>
  <c r="DN275" i="43" s="1"/>
  <c r="DS273" i="43"/>
  <c r="DR274" i="43"/>
  <c r="DO276" i="43"/>
  <c r="DH276" i="43"/>
  <c r="DK276" i="43"/>
  <c r="DG277" i="43"/>
  <c r="DI874" i="43"/>
  <c r="DO874" i="43"/>
  <c r="DK874" i="43"/>
  <c r="DP873" i="43"/>
  <c r="CQ41" i="33"/>
  <c r="DB41" i="33"/>
  <c r="CE23" i="33"/>
  <c r="CC22" i="33"/>
  <c r="DK277" i="43" l="1"/>
  <c r="DH277" i="43"/>
  <c r="DO277" i="43"/>
  <c r="DP276" i="43"/>
  <c r="DQ276" i="43" s="1"/>
  <c r="DM276" i="43"/>
  <c r="DN276" i="43" s="1"/>
  <c r="DR275" i="43"/>
  <c r="DS274" i="43"/>
  <c r="DG278" i="43"/>
  <c r="DP874" i="43"/>
  <c r="DI875" i="43"/>
  <c r="DO875" i="43"/>
  <c r="DK875" i="43"/>
  <c r="CQ40" i="33"/>
  <c r="DB40" i="33"/>
  <c r="CC21" i="33"/>
  <c r="CE22" i="33"/>
  <c r="DP277" i="43" l="1"/>
  <c r="DQ277" i="43" s="1"/>
  <c r="DM277" i="43"/>
  <c r="DN277" i="43" s="1"/>
  <c r="DS275" i="43"/>
  <c r="DR276" i="43"/>
  <c r="DO278" i="43"/>
  <c r="DH278" i="43"/>
  <c r="DK278" i="43"/>
  <c r="DG279" i="43"/>
  <c r="DI876" i="43"/>
  <c r="DO876" i="43"/>
  <c r="DK876" i="43"/>
  <c r="DP875" i="43"/>
  <c r="CQ39" i="33"/>
  <c r="DB39" i="33"/>
  <c r="CE21" i="33"/>
  <c r="CC20" i="33"/>
  <c r="DH279" i="43" l="1"/>
  <c r="DO279" i="43"/>
  <c r="DP278" i="43"/>
  <c r="DQ278" i="43" s="1"/>
  <c r="DM278" i="43"/>
  <c r="DN278" i="43" s="1"/>
  <c r="DK279" i="43"/>
  <c r="DR277" i="43"/>
  <c r="DS276" i="43"/>
  <c r="DG280" i="43"/>
  <c r="DP876" i="43"/>
  <c r="DI877" i="43"/>
  <c r="DO877" i="43"/>
  <c r="DK877" i="43"/>
  <c r="DB38" i="33"/>
  <c r="CQ38" i="33"/>
  <c r="CE20" i="33"/>
  <c r="CC19" i="33"/>
  <c r="DK280" i="43" l="1"/>
  <c r="DP279" i="43"/>
  <c r="DQ279" i="43" s="1"/>
  <c r="DM279" i="43"/>
  <c r="DN279" i="43" s="1"/>
  <c r="DR278" i="43"/>
  <c r="DS277" i="43"/>
  <c r="DH280" i="43"/>
  <c r="DO280" i="43"/>
  <c r="DG281" i="43"/>
  <c r="DI580" i="43"/>
  <c r="DK878" i="43"/>
  <c r="DP877" i="43"/>
  <c r="DI878" i="43"/>
  <c r="DO878" i="43"/>
  <c r="DB37" i="33"/>
  <c r="CQ37" i="33"/>
  <c r="CE19" i="33"/>
  <c r="CC18" i="33"/>
  <c r="DS278" i="43" l="1"/>
  <c r="DR279" i="43"/>
  <c r="DH281" i="43"/>
  <c r="DO281" i="43"/>
  <c r="DP280" i="43"/>
  <c r="DQ280" i="43" s="1"/>
  <c r="DM280" i="43"/>
  <c r="DN280" i="43" s="1"/>
  <c r="DK281" i="43"/>
  <c r="DG282" i="43"/>
  <c r="DI879" i="43"/>
  <c r="DO879" i="43"/>
  <c r="DP878" i="43"/>
  <c r="DK879" i="43"/>
  <c r="DB36" i="33"/>
  <c r="CQ36" i="33"/>
  <c r="CE18" i="33"/>
  <c r="CC17" i="33"/>
  <c r="DH282" i="43" l="1"/>
  <c r="DO282" i="43"/>
  <c r="DK282" i="43"/>
  <c r="DP281" i="43"/>
  <c r="DQ281" i="43" s="1"/>
  <c r="DM281" i="43"/>
  <c r="DN281" i="43" s="1"/>
  <c r="DS279" i="43"/>
  <c r="DR280" i="43"/>
  <c r="DG283" i="43"/>
  <c r="DK880" i="43"/>
  <c r="DP879" i="43"/>
  <c r="DI880" i="43"/>
  <c r="DO880" i="43"/>
  <c r="CQ35" i="33"/>
  <c r="DB35" i="33"/>
  <c r="CE17" i="33"/>
  <c r="CC16" i="33"/>
  <c r="DK283" i="43" l="1"/>
  <c r="DS280" i="43"/>
  <c r="DR281" i="43"/>
  <c r="DP282" i="43"/>
  <c r="DQ282" i="43" s="1"/>
  <c r="DM282" i="43"/>
  <c r="DN282" i="43" s="1"/>
  <c r="DO283" i="43"/>
  <c r="DH283" i="43"/>
  <c r="DG284" i="43"/>
  <c r="DI583" i="43"/>
  <c r="DI881" i="43"/>
  <c r="DO881" i="43"/>
  <c r="DP880" i="43"/>
  <c r="DK881" i="43"/>
  <c r="DB34" i="33"/>
  <c r="CQ34" i="33"/>
  <c r="CE16" i="33"/>
  <c r="CC15" i="33"/>
  <c r="DP283" i="43" l="1"/>
  <c r="DQ283" i="43" s="1"/>
  <c r="DM283" i="43"/>
  <c r="DN283" i="43" s="1"/>
  <c r="DO284" i="43"/>
  <c r="DH284" i="43"/>
  <c r="DR282" i="43"/>
  <c r="DS281" i="43"/>
  <c r="DK284" i="43"/>
  <c r="DG285" i="43"/>
  <c r="DP881" i="43"/>
  <c r="DI882" i="43"/>
  <c r="DO882" i="43"/>
  <c r="DK882" i="43"/>
  <c r="DB33" i="33"/>
  <c r="CQ33" i="33"/>
  <c r="CE15" i="33"/>
  <c r="CC14" i="33"/>
  <c r="DK285" i="43" l="1"/>
  <c r="DH285" i="43"/>
  <c r="DO285" i="43"/>
  <c r="DR283" i="43"/>
  <c r="DS282" i="43"/>
  <c r="DP284" i="43"/>
  <c r="DQ284" i="43" s="1"/>
  <c r="DM284" i="43"/>
  <c r="DN284" i="43" s="1"/>
  <c r="DG286" i="43"/>
  <c r="DI883" i="43"/>
  <c r="DO883" i="43"/>
  <c r="DP882" i="43"/>
  <c r="DK883" i="43"/>
  <c r="DB32" i="33"/>
  <c r="CQ32" i="33"/>
  <c r="CE14" i="33"/>
  <c r="CC13" i="33"/>
  <c r="DK286" i="43" l="1"/>
  <c r="DH286" i="43"/>
  <c r="DO286" i="43"/>
  <c r="DR284" i="43"/>
  <c r="DS283" i="43"/>
  <c r="DP285" i="43"/>
  <c r="DQ285" i="43" s="1"/>
  <c r="DM285" i="43"/>
  <c r="DN285" i="43" s="1"/>
  <c r="DG287" i="43"/>
  <c r="DK287" i="43" s="1"/>
  <c r="DK884" i="43"/>
  <c r="DP883" i="43"/>
  <c r="DI884" i="43"/>
  <c r="DO884" i="43"/>
  <c r="DB31" i="33"/>
  <c r="CQ31" i="33"/>
  <c r="CE13" i="33"/>
  <c r="CC12" i="33"/>
  <c r="DR285" i="43" l="1"/>
  <c r="DS284" i="43"/>
  <c r="DP286" i="43"/>
  <c r="DQ286" i="43" s="1"/>
  <c r="DM286" i="43"/>
  <c r="DN286" i="43" s="1"/>
  <c r="DH287" i="43"/>
  <c r="DO287" i="43"/>
  <c r="DG288" i="43"/>
  <c r="DI587" i="43"/>
  <c r="DI885" i="43"/>
  <c r="DO885" i="43"/>
  <c r="DP884" i="43"/>
  <c r="DK885" i="43"/>
  <c r="DB30" i="33"/>
  <c r="CQ30" i="33"/>
  <c r="CE12" i="33"/>
  <c r="CC11" i="33"/>
  <c r="DP287" i="43" l="1"/>
  <c r="DQ287" i="43" s="1"/>
  <c r="DM287" i="43"/>
  <c r="DN287" i="43" s="1"/>
  <c r="DS285" i="43"/>
  <c r="DR286" i="43"/>
  <c r="DH288" i="43"/>
  <c r="DO288" i="43"/>
  <c r="DK288" i="43"/>
  <c r="DG289" i="43"/>
  <c r="DI886" i="43"/>
  <c r="DO886" i="43"/>
  <c r="DK886" i="43"/>
  <c r="DP885" i="43"/>
  <c r="CE11" i="33"/>
  <c r="CE9" i="33" s="1" a="1"/>
  <c r="CE9" i="33" s="1"/>
  <c r="CQ29" i="33"/>
  <c r="DB29" i="33"/>
  <c r="DP288" i="43" l="1"/>
  <c r="DQ288" i="43" s="1"/>
  <c r="DM288" i="43"/>
  <c r="DN288" i="43" s="1"/>
  <c r="DH289" i="43"/>
  <c r="DO289" i="43"/>
  <c r="DS286" i="43"/>
  <c r="DR287" i="43"/>
  <c r="DK289" i="43"/>
  <c r="DG290" i="43"/>
  <c r="DP886" i="43"/>
  <c r="DI887" i="43"/>
  <c r="DO887" i="43"/>
  <c r="DK887" i="43"/>
  <c r="CX13" i="33"/>
  <c r="G48" i="33"/>
  <c r="CW19" i="33" a="1"/>
  <c r="CW19" i="33" s="1"/>
  <c r="CW16" i="33"/>
  <c r="G49" i="33" s="1"/>
  <c r="CB9" i="33"/>
  <c r="DA13" i="33"/>
  <c r="DH37" i="33" s="1"/>
  <c r="CW17" i="33"/>
  <c r="G50" i="33" s="1"/>
  <c r="CZ19" i="33" a="1"/>
  <c r="CZ19" i="33" s="1"/>
  <c r="CZ13" i="33"/>
  <c r="C79" i="40" a="1"/>
  <c r="C80" i="40" a="1"/>
  <c r="C81" i="40" a="1"/>
  <c r="DK290" i="43" l="1"/>
  <c r="DP289" i="43"/>
  <c r="DQ289" i="43" s="1"/>
  <c r="DM289" i="43"/>
  <c r="DN289" i="43" s="1"/>
  <c r="DR288" i="43"/>
  <c r="DS287" i="43"/>
  <c r="DH290" i="43"/>
  <c r="DO290" i="43"/>
  <c r="DG291" i="43"/>
  <c r="DP887" i="43"/>
  <c r="DI888" i="43"/>
  <c r="DO888" i="43"/>
  <c r="DK888" i="43"/>
  <c r="C79" i="40"/>
  <c r="C81" i="40"/>
  <c r="C80" i="40"/>
  <c r="AU42" i="33"/>
  <c r="AV42" i="33" s="1"/>
  <c r="G51" i="33"/>
  <c r="C82" i="40" a="1"/>
  <c r="C83" i="40" a="1"/>
  <c r="DP290" i="43" l="1"/>
  <c r="DQ290" i="43" s="1"/>
  <c r="DM290" i="43"/>
  <c r="DN290" i="43" s="1"/>
  <c r="DH291" i="43"/>
  <c r="DO291" i="43"/>
  <c r="DK291" i="43"/>
  <c r="DR289" i="43"/>
  <c r="DS288" i="43"/>
  <c r="DG292" i="43"/>
  <c r="DI591" i="43"/>
  <c r="DI889" i="43"/>
  <c r="DO889" i="43"/>
  <c r="DK889" i="43"/>
  <c r="DP888" i="43"/>
  <c r="C82" i="40"/>
  <c r="C83" i="40"/>
  <c r="DR290" i="43" l="1"/>
  <c r="DS289" i="43"/>
  <c r="DK292" i="43"/>
  <c r="DP291" i="43"/>
  <c r="DQ291" i="43" s="1"/>
  <c r="DM291" i="43"/>
  <c r="DN291" i="43" s="1"/>
  <c r="DH292" i="43"/>
  <c r="DO292" i="43"/>
  <c r="DG293" i="43"/>
  <c r="DI592" i="43"/>
  <c r="DK890" i="43"/>
  <c r="DP889" i="43"/>
  <c r="DI890" i="43"/>
  <c r="DO890" i="43"/>
  <c r="AW44" i="33"/>
  <c r="DL45" i="33" s="1"/>
  <c r="G56" i="33" s="1"/>
  <c r="C87" i="40" a="1"/>
  <c r="DK293" i="43" l="1"/>
  <c r="DP292" i="43"/>
  <c r="DQ292" i="43" s="1"/>
  <c r="DM292" i="43"/>
  <c r="DN292" i="43" s="1"/>
  <c r="DH293" i="43"/>
  <c r="DO293" i="43"/>
  <c r="DR291" i="43"/>
  <c r="DS290" i="43"/>
  <c r="C87" i="40"/>
  <c r="F56" i="33"/>
  <c r="DG294" i="43"/>
  <c r="DK294" i="43" s="1"/>
  <c r="DI593" i="43"/>
  <c r="DI891" i="43"/>
  <c r="DO891" i="43"/>
  <c r="DP890" i="43"/>
  <c r="DK891" i="43"/>
  <c r="AX44" i="33"/>
  <c r="AU41" i="33"/>
  <c r="AV41" i="33" s="1"/>
  <c r="AV44" i="33" s="1"/>
  <c r="DL48" i="33" s="1"/>
  <c r="G57" i="33" s="1"/>
  <c r="B87" i="40" a="1"/>
  <c r="DR292" i="43" l="1"/>
  <c r="DS291" i="43"/>
  <c r="DP293" i="43"/>
  <c r="DQ293" i="43" s="1"/>
  <c r="DM293" i="43"/>
  <c r="DN293" i="43" s="1"/>
  <c r="DH294" i="43"/>
  <c r="DO294" i="43"/>
  <c r="DI37" i="33"/>
  <c r="G55" i="33"/>
  <c r="B87" i="40"/>
  <c r="F57" i="33"/>
  <c r="DG295" i="43"/>
  <c r="DI594" i="43"/>
  <c r="DI892" i="43"/>
  <c r="DO892" i="43"/>
  <c r="DK892" i="43"/>
  <c r="DP891" i="43"/>
  <c r="DN41" i="33"/>
  <c r="C88" i="40" a="1"/>
  <c r="B88" i="40" a="1"/>
  <c r="C86" i="40" a="1"/>
  <c r="DH295" i="43" l="1"/>
  <c r="DO295" i="43"/>
  <c r="DK295" i="43"/>
  <c r="DP294" i="43"/>
  <c r="DQ294" i="43" s="1"/>
  <c r="DM294" i="43"/>
  <c r="DN294" i="43" s="1"/>
  <c r="DS292" i="43"/>
  <c r="DR293" i="43"/>
  <c r="C86" i="40"/>
  <c r="B88" i="40"/>
  <c r="DG296" i="43"/>
  <c r="DI893" i="43"/>
  <c r="DO893" i="43"/>
  <c r="DK893" i="43"/>
  <c r="DP892" i="43"/>
  <c r="C88" i="40"/>
  <c r="DR294" i="43" l="1"/>
  <c r="DS293" i="43"/>
  <c r="DH296" i="43"/>
  <c r="DO296" i="43"/>
  <c r="DK296" i="43"/>
  <c r="DP295" i="43"/>
  <c r="DQ295" i="43" s="1"/>
  <c r="DM295" i="43"/>
  <c r="DN295" i="43" s="1"/>
  <c r="DG297" i="43"/>
  <c r="DI894" i="43"/>
  <c r="DO894" i="43"/>
  <c r="DK894" i="43"/>
  <c r="DP893" i="43"/>
  <c r="DK297" i="43" l="1"/>
  <c r="DP296" i="43"/>
  <c r="DQ296" i="43" s="1"/>
  <c r="DM296" i="43"/>
  <c r="DN296" i="43" s="1"/>
  <c r="DH297" i="43"/>
  <c r="DO297" i="43"/>
  <c r="DS294" i="43"/>
  <c r="DR295" i="43"/>
  <c r="DG298" i="43"/>
  <c r="DI895" i="43"/>
  <c r="DO895" i="43"/>
  <c r="DK895" i="43"/>
  <c r="DP894" i="43"/>
  <c r="DH298" i="43" l="1"/>
  <c r="DO298" i="43"/>
  <c r="DR296" i="43"/>
  <c r="DS295" i="43"/>
  <c r="DP297" i="43"/>
  <c r="DQ297" i="43" s="1"/>
  <c r="DM297" i="43"/>
  <c r="DN297" i="43" s="1"/>
  <c r="DK298" i="43"/>
  <c r="DG299" i="43"/>
  <c r="DI896" i="43"/>
  <c r="DO896" i="43"/>
  <c r="DP895" i="43"/>
  <c r="DK896" i="43"/>
  <c r="DK299" i="43" l="1"/>
  <c r="DH299" i="43"/>
  <c r="DO299" i="43"/>
  <c r="DS296" i="43"/>
  <c r="DR297" i="43"/>
  <c r="DP298" i="43"/>
  <c r="DQ298" i="43" s="1"/>
  <c r="DM298" i="43"/>
  <c r="DN298" i="43" s="1"/>
  <c r="DG300" i="43"/>
  <c r="DI897" i="43"/>
  <c r="DO897" i="43"/>
  <c r="DK897" i="43"/>
  <c r="DP896" i="43"/>
  <c r="DS297" i="43" l="1"/>
  <c r="DR298" i="43"/>
  <c r="DH300" i="43"/>
  <c r="DO300" i="43"/>
  <c r="DP299" i="43"/>
  <c r="DQ299" i="43" s="1"/>
  <c r="DM299" i="43"/>
  <c r="DN299" i="43" s="1"/>
  <c r="DK300" i="43"/>
  <c r="DG301" i="43"/>
  <c r="DI898" i="43"/>
  <c r="DO898" i="43"/>
  <c r="DP897" i="43"/>
  <c r="DK898" i="43"/>
  <c r="DK301" i="43" l="1"/>
  <c r="DR299" i="43"/>
  <c r="DS298" i="43"/>
  <c r="DP300" i="43"/>
  <c r="DQ300" i="43" s="1"/>
  <c r="DM300" i="43"/>
  <c r="DN300" i="43" s="1"/>
  <c r="BX38" i="43" s="1" a="1"/>
  <c r="BX38" i="43" s="1"/>
  <c r="DH301" i="43"/>
  <c r="DO301" i="43"/>
  <c r="DG302" i="43"/>
  <c r="DI899" i="43"/>
  <c r="DO899" i="43"/>
  <c r="DK899" i="43"/>
  <c r="DP898" i="43"/>
  <c r="DP301" i="43" l="1"/>
  <c r="DQ301" i="43" s="1"/>
  <c r="DM301" i="43"/>
  <c r="DN301" i="43" s="1"/>
  <c r="DS299" i="43"/>
  <c r="DR300" i="43"/>
  <c r="DO302" i="43"/>
  <c r="DH302" i="43"/>
  <c r="DK302" i="43"/>
  <c r="DG303" i="43"/>
  <c r="DI900" i="43"/>
  <c r="DO900" i="43"/>
  <c r="DP899" i="43"/>
  <c r="DK900" i="43"/>
  <c r="DO303" i="43" l="1"/>
  <c r="DH303" i="43"/>
  <c r="DP302" i="43"/>
  <c r="DQ302" i="43" s="1"/>
  <c r="DM302" i="43"/>
  <c r="DN302" i="43" s="1"/>
  <c r="DR301" i="43"/>
  <c r="DS300" i="43"/>
  <c r="DK303" i="43"/>
  <c r="DG304" i="43"/>
  <c r="DK901" i="43"/>
  <c r="DP900" i="43"/>
  <c r="DI901" i="43"/>
  <c r="DO901" i="43"/>
  <c r="DK304" i="43" l="1"/>
  <c r="DR302" i="43"/>
  <c r="DS301" i="43"/>
  <c r="DH304" i="43"/>
  <c r="DO304" i="43"/>
  <c r="DP303" i="43"/>
  <c r="DQ303" i="43" s="1"/>
  <c r="DM303" i="43"/>
  <c r="DN303" i="43" s="1"/>
  <c r="DG305" i="43"/>
  <c r="DI902" i="43"/>
  <c r="DO902" i="43"/>
  <c r="DP901" i="43"/>
  <c r="DK902" i="43"/>
  <c r="DS302" i="43" l="1"/>
  <c r="DR303" i="43"/>
  <c r="DH305" i="43"/>
  <c r="DO305" i="43"/>
  <c r="DK305" i="43"/>
  <c r="DP304" i="43"/>
  <c r="DQ304" i="43" s="1"/>
  <c r="DM304" i="43"/>
  <c r="DN304" i="43" s="1"/>
  <c r="DG306" i="43"/>
  <c r="DI903" i="43"/>
  <c r="DO903" i="43"/>
  <c r="DK903" i="43"/>
  <c r="DP902" i="43"/>
  <c r="DK306" i="43" l="1"/>
  <c r="DR304" i="43"/>
  <c r="DS303" i="43"/>
  <c r="DP305" i="43"/>
  <c r="DQ305" i="43" s="1"/>
  <c r="DM305" i="43"/>
  <c r="DN305" i="43" s="1"/>
  <c r="DO306" i="43"/>
  <c r="DH306" i="43"/>
  <c r="DG307" i="43"/>
  <c r="DI904" i="43"/>
  <c r="DO904" i="43"/>
  <c r="DP903" i="43"/>
  <c r="DK904" i="43"/>
  <c r="DP306" i="43" l="1"/>
  <c r="DQ306" i="43" s="1"/>
  <c r="DM306" i="43"/>
  <c r="DN306" i="43" s="1"/>
  <c r="DS304" i="43"/>
  <c r="DR305" i="43"/>
  <c r="DH307" i="43"/>
  <c r="DO307" i="43"/>
  <c r="DK307" i="43"/>
  <c r="DG308" i="43"/>
  <c r="DP904" i="43"/>
  <c r="DI905" i="43"/>
  <c r="DO905" i="43"/>
  <c r="DK905" i="43"/>
  <c r="DP307" i="43" l="1"/>
  <c r="DQ307" i="43" s="1"/>
  <c r="DM307" i="43"/>
  <c r="DN307" i="43" s="1"/>
  <c r="DK308" i="43"/>
  <c r="DS305" i="43"/>
  <c r="DR306" i="43"/>
  <c r="DH308" i="43"/>
  <c r="DO308" i="43"/>
  <c r="DG309" i="43"/>
  <c r="DK906" i="43"/>
  <c r="DP905" i="43"/>
  <c r="DI906" i="43"/>
  <c r="DO906" i="43"/>
  <c r="DR307" i="43" l="1"/>
  <c r="DS306" i="43"/>
  <c r="DK309" i="43"/>
  <c r="DH309" i="43"/>
  <c r="DO309" i="43"/>
  <c r="DP308" i="43"/>
  <c r="DQ308" i="43" s="1"/>
  <c r="DM308" i="43"/>
  <c r="DN308" i="43" s="1"/>
  <c r="DG310" i="43"/>
  <c r="DI907" i="43"/>
  <c r="DO907" i="43"/>
  <c r="DP906" i="43"/>
  <c r="DK907" i="43"/>
  <c r="DP309" i="43" l="1"/>
  <c r="DQ309" i="43" s="1"/>
  <c r="DM309" i="43"/>
  <c r="DN309" i="43" s="1"/>
  <c r="DK310" i="43"/>
  <c r="DH310" i="43"/>
  <c r="DO310" i="43"/>
  <c r="DR308" i="43"/>
  <c r="DS307" i="43"/>
  <c r="DG311" i="43"/>
  <c r="DI908" i="43"/>
  <c r="DO908" i="43"/>
  <c r="DK908" i="43"/>
  <c r="DP907" i="43"/>
  <c r="DP310" i="43" l="1"/>
  <c r="DQ310" i="43" s="1"/>
  <c r="DM310" i="43"/>
  <c r="DN310" i="43" s="1"/>
  <c r="DS308" i="43"/>
  <c r="DR309" i="43"/>
  <c r="DK311" i="43"/>
  <c r="DH311" i="43"/>
  <c r="DO311" i="43"/>
  <c r="DG312" i="43"/>
  <c r="DK909" i="43"/>
  <c r="DI909" i="43"/>
  <c r="DO909" i="43"/>
  <c r="DP908" i="43"/>
  <c r="DP311" i="43" l="1"/>
  <c r="DQ311" i="43" s="1"/>
  <c r="DM311" i="43"/>
  <c r="DN311" i="43" s="1"/>
  <c r="DK312" i="43"/>
  <c r="DS309" i="43"/>
  <c r="DR310" i="43"/>
  <c r="DO312" i="43"/>
  <c r="DH312" i="43"/>
  <c r="DG313" i="43"/>
  <c r="DI910" i="43"/>
  <c r="DO910" i="43"/>
  <c r="DP909" i="43"/>
  <c r="DK910" i="43"/>
  <c r="DP312" i="43" l="1"/>
  <c r="DQ312" i="43" s="1"/>
  <c r="DM312" i="43"/>
  <c r="DN312" i="43" s="1"/>
  <c r="DR311" i="43"/>
  <c r="DS310" i="43"/>
  <c r="DK313" i="43"/>
  <c r="DH313" i="43"/>
  <c r="DO313" i="43"/>
  <c r="DG314" i="43"/>
  <c r="DI911" i="43"/>
  <c r="DO911" i="43"/>
  <c r="DP910" i="43"/>
  <c r="DK911" i="43"/>
  <c r="DP313" i="43" l="1"/>
  <c r="DQ313" i="43" s="1"/>
  <c r="DM313" i="43"/>
  <c r="DN313" i="43" s="1"/>
  <c r="DK314" i="43"/>
  <c r="DS311" i="43"/>
  <c r="DR312" i="43"/>
  <c r="DH314" i="43"/>
  <c r="DO314" i="43"/>
  <c r="DG315" i="43"/>
  <c r="DI912" i="43"/>
  <c r="DO912" i="43"/>
  <c r="DK912" i="43"/>
  <c r="DP911" i="43"/>
  <c r="DS312" i="43" l="1"/>
  <c r="DR313" i="43"/>
  <c r="DP314" i="43"/>
  <c r="DQ314" i="43" s="1"/>
  <c r="DM314" i="43"/>
  <c r="DN314" i="43" s="1"/>
  <c r="DK315" i="43"/>
  <c r="DO315" i="43"/>
  <c r="DH315" i="43"/>
  <c r="DG316" i="43"/>
  <c r="DK913" i="43"/>
  <c r="DP912" i="43"/>
  <c r="DI913" i="43"/>
  <c r="DO913" i="43"/>
  <c r="DP315" i="43" l="1"/>
  <c r="DQ315" i="43" s="1"/>
  <c r="DM315" i="43"/>
  <c r="DN315" i="43" s="1"/>
  <c r="DK316" i="43"/>
  <c r="DH316" i="43"/>
  <c r="DO316" i="43"/>
  <c r="DS313" i="43"/>
  <c r="DR314" i="43"/>
  <c r="DG317" i="43"/>
  <c r="DI914" i="43"/>
  <c r="DO914" i="43"/>
  <c r="DP913" i="43"/>
  <c r="DK914" i="43"/>
  <c r="DP316" i="43" l="1"/>
  <c r="DQ316" i="43" s="1"/>
  <c r="DM316" i="43"/>
  <c r="DN316" i="43" s="1"/>
  <c r="DK317" i="43"/>
  <c r="DO317" i="43"/>
  <c r="DH317" i="43"/>
  <c r="DS314" i="43"/>
  <c r="DR315" i="43"/>
  <c r="DG318" i="43"/>
  <c r="DI915" i="43"/>
  <c r="DO915" i="43"/>
  <c r="DK915" i="43"/>
  <c r="DP914" i="43"/>
  <c r="DR316" i="43" l="1"/>
  <c r="DS315" i="43"/>
  <c r="DP317" i="43"/>
  <c r="DQ317" i="43" s="1"/>
  <c r="DM317" i="43"/>
  <c r="DN317" i="43" s="1"/>
  <c r="DK318" i="43"/>
  <c r="DH318" i="43"/>
  <c r="DO318" i="43"/>
  <c r="DG319" i="43"/>
  <c r="DI916" i="43"/>
  <c r="DO916" i="43"/>
  <c r="DP915" i="43"/>
  <c r="DK916" i="43"/>
  <c r="DK319" i="43" l="1"/>
  <c r="DP318" i="43"/>
  <c r="DQ318" i="43" s="1"/>
  <c r="DM318" i="43"/>
  <c r="DN318" i="43" s="1"/>
  <c r="DO319" i="43"/>
  <c r="DH319" i="43"/>
  <c r="DS316" i="43"/>
  <c r="DR317" i="43"/>
  <c r="DG320" i="43"/>
  <c r="DK320" i="43" s="1"/>
  <c r="DI917" i="43"/>
  <c r="DO917" i="43"/>
  <c r="DK917" i="43"/>
  <c r="DP916" i="43"/>
  <c r="DS317" i="43" l="1"/>
  <c r="DR318" i="43"/>
  <c r="DP319" i="43"/>
  <c r="DQ319" i="43" s="1"/>
  <c r="DM319" i="43"/>
  <c r="DN319" i="43" s="1"/>
  <c r="DH320" i="43"/>
  <c r="DO320" i="43"/>
  <c r="DG321" i="43"/>
  <c r="DI918" i="43"/>
  <c r="DO918" i="43"/>
  <c r="DP917" i="43"/>
  <c r="DK918" i="43"/>
  <c r="DP320" i="43" l="1"/>
  <c r="DQ320" i="43" s="1"/>
  <c r="DM320" i="43"/>
  <c r="DN320" i="43" s="1"/>
  <c r="DR319" i="43"/>
  <c r="DS318" i="43"/>
  <c r="DO321" i="43"/>
  <c r="DH321" i="43"/>
  <c r="DK321" i="43"/>
  <c r="DG322" i="43"/>
  <c r="DI919" i="43"/>
  <c r="DO919" i="43"/>
  <c r="DP918" i="43"/>
  <c r="DK919" i="43"/>
  <c r="DK322" i="43" l="1"/>
  <c r="DR320" i="43"/>
  <c r="DS319" i="43"/>
  <c r="DP321" i="43"/>
  <c r="DQ321" i="43" s="1"/>
  <c r="DM321" i="43"/>
  <c r="DN321" i="43" s="1"/>
  <c r="DH322" i="43"/>
  <c r="DO322" i="43"/>
  <c r="DG323" i="43"/>
  <c r="DI920" i="43"/>
  <c r="DO920" i="43"/>
  <c r="DK920" i="43"/>
  <c r="DP919" i="43"/>
  <c r="DP322" i="43" l="1"/>
  <c r="DQ322" i="43" s="1"/>
  <c r="DM322" i="43"/>
  <c r="DN322" i="43" s="1"/>
  <c r="DS320" i="43"/>
  <c r="DR321" i="43"/>
  <c r="DH323" i="43"/>
  <c r="DO323" i="43"/>
  <c r="DK323" i="43"/>
  <c r="DG324" i="43"/>
  <c r="DI921" i="43"/>
  <c r="DO921" i="43"/>
  <c r="DK921" i="43"/>
  <c r="DP920" i="43"/>
  <c r="DR322" i="43" l="1"/>
  <c r="DS321" i="43"/>
  <c r="DK324" i="43"/>
  <c r="DO324" i="43"/>
  <c r="DH324" i="43"/>
  <c r="DP323" i="43"/>
  <c r="DQ323" i="43" s="1"/>
  <c r="DM323" i="43"/>
  <c r="DN323" i="43" s="1"/>
  <c r="DG325" i="43"/>
  <c r="DK922" i="43"/>
  <c r="DI922" i="43"/>
  <c r="DO922" i="43"/>
  <c r="DP921" i="43"/>
  <c r="DK325" i="43" l="1"/>
  <c r="DP324" i="43"/>
  <c r="DQ324" i="43" s="1"/>
  <c r="DM324" i="43"/>
  <c r="DN324" i="43" s="1"/>
  <c r="DH325" i="43"/>
  <c r="DO325" i="43"/>
  <c r="DS322" i="43"/>
  <c r="DR323" i="43"/>
  <c r="DG326" i="43"/>
  <c r="DI923" i="43"/>
  <c r="DO923" i="43"/>
  <c r="DP922" i="43"/>
  <c r="DK923" i="43"/>
  <c r="DP325" i="43" l="1"/>
  <c r="DQ325" i="43" s="1"/>
  <c r="DM325" i="43"/>
  <c r="DN325" i="43" s="1"/>
  <c r="DS323" i="43"/>
  <c r="DR324" i="43"/>
  <c r="DH326" i="43"/>
  <c r="DO326" i="43"/>
  <c r="DK326" i="43"/>
  <c r="DG327" i="43"/>
  <c r="DI924" i="43"/>
  <c r="DO924" i="43"/>
  <c r="DK924" i="43"/>
  <c r="DP923" i="43"/>
  <c r="DK327" i="43" l="1"/>
  <c r="DP326" i="43"/>
  <c r="DQ326" i="43" s="1"/>
  <c r="DM326" i="43"/>
  <c r="DN326" i="43" s="1"/>
  <c r="DS324" i="43"/>
  <c r="DR325" i="43"/>
  <c r="DH327" i="43"/>
  <c r="DO327" i="43"/>
  <c r="DG328" i="43"/>
  <c r="DK328" i="43" s="1"/>
  <c r="DI925" i="43"/>
  <c r="DO925" i="43"/>
  <c r="DK925" i="43"/>
  <c r="DP924" i="43"/>
  <c r="DR326" i="43" l="1"/>
  <c r="DS325" i="43"/>
  <c r="DP327" i="43"/>
  <c r="DQ327" i="43" s="1"/>
  <c r="DM327" i="43"/>
  <c r="DN327" i="43" s="1"/>
  <c r="DH328" i="43"/>
  <c r="DO328" i="43"/>
  <c r="DG329" i="43"/>
  <c r="DK329" i="43" s="1"/>
  <c r="DK926" i="43"/>
  <c r="DP925" i="43"/>
  <c r="DI926" i="43"/>
  <c r="DO926" i="43"/>
  <c r="DO329" i="43" l="1"/>
  <c r="DH329" i="43"/>
  <c r="DP328" i="43"/>
  <c r="DQ328" i="43" s="1"/>
  <c r="DM328" i="43"/>
  <c r="DN328" i="43" s="1"/>
  <c r="DS326" i="43"/>
  <c r="DR327" i="43"/>
  <c r="DG330" i="43"/>
  <c r="DI927" i="43"/>
  <c r="DO927" i="43"/>
  <c r="DP926" i="43"/>
  <c r="DK927" i="43"/>
  <c r="DP329" i="43" l="1"/>
  <c r="DQ329" i="43" s="1"/>
  <c r="DM329" i="43"/>
  <c r="DN329" i="43" s="1"/>
  <c r="DO330" i="43"/>
  <c r="DH330" i="43"/>
  <c r="DS327" i="43"/>
  <c r="DR328" i="43"/>
  <c r="DK330" i="43"/>
  <c r="DG331" i="43"/>
  <c r="DI928" i="43"/>
  <c r="DO928" i="43"/>
  <c r="DK928" i="43"/>
  <c r="DP927" i="43"/>
  <c r="DK331" i="43" l="1"/>
  <c r="DP330" i="43"/>
  <c r="DQ330" i="43" s="1"/>
  <c r="DM330" i="43"/>
  <c r="DN330" i="43" s="1"/>
  <c r="DR329" i="43"/>
  <c r="DS328" i="43"/>
  <c r="DH331" i="43"/>
  <c r="DO331" i="43"/>
  <c r="DG332" i="43"/>
  <c r="DI929" i="43"/>
  <c r="DO929" i="43"/>
  <c r="DP928" i="43"/>
  <c r="DK929" i="43"/>
  <c r="DR330" i="43" l="1"/>
  <c r="DS329" i="43"/>
  <c r="DH332" i="43"/>
  <c r="DO332" i="43"/>
  <c r="DP331" i="43"/>
  <c r="DQ331" i="43" s="1"/>
  <c r="DM331" i="43"/>
  <c r="DN331" i="43" s="1"/>
  <c r="DK332" i="43"/>
  <c r="DG333" i="43"/>
  <c r="DI930" i="43"/>
  <c r="DO930" i="43"/>
  <c r="DP929" i="43"/>
  <c r="DK930" i="43"/>
  <c r="DP332" i="43" l="1"/>
  <c r="DQ332" i="43" s="1"/>
  <c r="DM332" i="43"/>
  <c r="DN332" i="43" s="1"/>
  <c r="DK333" i="43"/>
  <c r="DH333" i="43"/>
  <c r="DO333" i="43"/>
  <c r="DS330" i="43"/>
  <c r="DR331" i="43"/>
  <c r="DG334" i="43"/>
  <c r="DI931" i="43"/>
  <c r="DO931" i="43"/>
  <c r="DK931" i="43"/>
  <c r="DP930" i="43"/>
  <c r="DK334" i="43" l="1"/>
  <c r="DP333" i="43"/>
  <c r="DQ333" i="43" s="1"/>
  <c r="DM333" i="43"/>
  <c r="DN333" i="43" s="1"/>
  <c r="DH334" i="43"/>
  <c r="DO334" i="43"/>
  <c r="DR332" i="43"/>
  <c r="DS331" i="43"/>
  <c r="DG335" i="43"/>
  <c r="DK335" i="43" s="1"/>
  <c r="DI932" i="43"/>
  <c r="DO932" i="43"/>
  <c r="DK932" i="43"/>
  <c r="DP931" i="43"/>
  <c r="DR333" i="43" l="1"/>
  <c r="DS332" i="43"/>
  <c r="DP334" i="43"/>
  <c r="DQ334" i="43" s="1"/>
  <c r="DM334" i="43"/>
  <c r="DN334" i="43" s="1"/>
  <c r="DH335" i="43"/>
  <c r="DO335" i="43"/>
  <c r="DG336" i="43"/>
  <c r="DI933" i="43"/>
  <c r="DO933" i="43"/>
  <c r="DK933" i="43"/>
  <c r="DP932" i="43"/>
  <c r="DP335" i="43" l="1"/>
  <c r="DQ335" i="43" s="1"/>
  <c r="DM335" i="43"/>
  <c r="DN335" i="43" s="1"/>
  <c r="DH336" i="43"/>
  <c r="DO336" i="43"/>
  <c r="DR334" i="43"/>
  <c r="DS333" i="43"/>
  <c r="DK336" i="43"/>
  <c r="DG337" i="43"/>
  <c r="DI934" i="43"/>
  <c r="DO934" i="43"/>
  <c r="DK934" i="43"/>
  <c r="DP933" i="43"/>
  <c r="DR335" i="43" l="1"/>
  <c r="DS334" i="43"/>
  <c r="DP336" i="43"/>
  <c r="DQ336" i="43" s="1"/>
  <c r="DM336" i="43"/>
  <c r="DN336" i="43" s="1"/>
  <c r="DK337" i="43"/>
  <c r="DH337" i="43"/>
  <c r="DO337" i="43"/>
  <c r="DG338" i="43"/>
  <c r="DI935" i="43"/>
  <c r="DO935" i="43"/>
  <c r="DK935" i="43"/>
  <c r="DP934" i="43"/>
  <c r="DK338" i="43" l="1"/>
  <c r="DP337" i="43"/>
  <c r="DQ337" i="43" s="1"/>
  <c r="DM337" i="43"/>
  <c r="DN337" i="43" s="1"/>
  <c r="DS335" i="43"/>
  <c r="DR336" i="43"/>
  <c r="DO338" i="43"/>
  <c r="DH338" i="43"/>
  <c r="DG339" i="43"/>
  <c r="DI936" i="43"/>
  <c r="DO936" i="43"/>
  <c r="DK936" i="43"/>
  <c r="DP935" i="43"/>
  <c r="DP338" i="43" l="1"/>
  <c r="DQ338" i="43" s="1"/>
  <c r="DM338" i="43"/>
  <c r="DN338" i="43" s="1"/>
  <c r="DS336" i="43"/>
  <c r="DR337" i="43"/>
  <c r="DH339" i="43"/>
  <c r="DO339" i="43"/>
  <c r="DK339" i="43"/>
  <c r="DG340" i="43"/>
  <c r="DI937" i="43"/>
  <c r="DO937" i="43"/>
  <c r="DK937" i="43"/>
  <c r="DP936" i="43"/>
  <c r="DP339" i="43" l="1"/>
  <c r="DQ339" i="43" s="1"/>
  <c r="DM339" i="43"/>
  <c r="DN339" i="43" s="1"/>
  <c r="DR338" i="43"/>
  <c r="DS337" i="43"/>
  <c r="DK340" i="43"/>
  <c r="DH340" i="43"/>
  <c r="DO340" i="43"/>
  <c r="DG341" i="43"/>
  <c r="DK938" i="43"/>
  <c r="DP937" i="43"/>
  <c r="DI938" i="43"/>
  <c r="DO938" i="43"/>
  <c r="DK341" i="43" l="1"/>
  <c r="DH341" i="43"/>
  <c r="DO341" i="43"/>
  <c r="DS338" i="43"/>
  <c r="DR339" i="43"/>
  <c r="DP340" i="43"/>
  <c r="DQ340" i="43" s="1"/>
  <c r="DM340" i="43"/>
  <c r="DN340" i="43" s="1"/>
  <c r="DG342" i="43"/>
  <c r="DP938" i="43"/>
  <c r="DI939" i="43"/>
  <c r="DO939" i="43"/>
  <c r="DK939" i="43"/>
  <c r="DK342" i="43" l="1"/>
  <c r="DS339" i="43"/>
  <c r="DR340" i="43"/>
  <c r="DP341" i="43"/>
  <c r="DQ341" i="43" s="1"/>
  <c r="DM341" i="43"/>
  <c r="DN341" i="43" s="1"/>
  <c r="DO342" i="43"/>
  <c r="DH342" i="43"/>
  <c r="DG343" i="43"/>
  <c r="DK940" i="43"/>
  <c r="DI940" i="43"/>
  <c r="DO940" i="43"/>
  <c r="DP939" i="43"/>
  <c r="DP342" i="43" l="1"/>
  <c r="DQ342" i="43" s="1"/>
  <c r="DM342" i="43"/>
  <c r="DN342" i="43" s="1"/>
  <c r="DO343" i="43"/>
  <c r="DH343" i="43"/>
  <c r="DK343" i="43"/>
  <c r="DR341" i="43"/>
  <c r="DS340" i="43"/>
  <c r="DG344" i="43"/>
  <c r="DI941" i="43"/>
  <c r="DO941" i="43"/>
  <c r="DK941" i="43"/>
  <c r="DP940" i="43"/>
  <c r="DP343" i="43" l="1"/>
  <c r="DQ343" i="43" s="1"/>
  <c r="DM343" i="43"/>
  <c r="DN343" i="43" s="1"/>
  <c r="DK344" i="43"/>
  <c r="DR342" i="43"/>
  <c r="DS341" i="43"/>
  <c r="DH344" i="43"/>
  <c r="DO344" i="43"/>
  <c r="DG345" i="43"/>
  <c r="DI942" i="43"/>
  <c r="DO942" i="43"/>
  <c r="DK942" i="43"/>
  <c r="DP941" i="43"/>
  <c r="DP344" i="43" l="1"/>
  <c r="DQ344" i="43" s="1"/>
  <c r="DM344" i="43"/>
  <c r="DN344" i="43" s="1"/>
  <c r="DR343" i="43"/>
  <c r="DS342" i="43"/>
  <c r="DH345" i="43"/>
  <c r="DO345" i="43"/>
  <c r="DK345" i="43"/>
  <c r="DG346" i="43"/>
  <c r="DK943" i="43"/>
  <c r="DP942" i="43"/>
  <c r="DI943" i="43"/>
  <c r="DO943" i="43"/>
  <c r="DR344" i="43" l="1"/>
  <c r="DS343" i="43"/>
  <c r="DK346" i="43"/>
  <c r="DH346" i="43"/>
  <c r="DO346" i="43"/>
  <c r="DP345" i="43"/>
  <c r="DQ345" i="43" s="1"/>
  <c r="DM345" i="43"/>
  <c r="DN345" i="43" s="1"/>
  <c r="DG347" i="43"/>
  <c r="DI944" i="43"/>
  <c r="DO944" i="43"/>
  <c r="DP943" i="43"/>
  <c r="DK944" i="43"/>
  <c r="DK347" i="43" l="1"/>
  <c r="DP346" i="43"/>
  <c r="DQ346" i="43" s="1"/>
  <c r="DM346" i="43"/>
  <c r="DN346" i="43" s="1"/>
  <c r="DH347" i="43"/>
  <c r="DO347" i="43"/>
  <c r="DR345" i="43"/>
  <c r="DS344" i="43"/>
  <c r="DG348" i="43"/>
  <c r="DK348" i="43" s="1"/>
  <c r="DI945" i="43"/>
  <c r="DO945" i="43"/>
  <c r="DK945" i="43"/>
  <c r="DP944" i="43"/>
  <c r="DR346" i="43" l="1"/>
  <c r="DS345" i="43"/>
  <c r="DP347" i="43"/>
  <c r="DQ347" i="43" s="1"/>
  <c r="DM347" i="43"/>
  <c r="DN347" i="43" s="1"/>
  <c r="DO348" i="43"/>
  <c r="DH348" i="43"/>
  <c r="DG349" i="43"/>
  <c r="DK349" i="43" s="1"/>
  <c r="DK946" i="43"/>
  <c r="DI946" i="43"/>
  <c r="DO946" i="43"/>
  <c r="DP945" i="43"/>
  <c r="DP348" i="43" l="1"/>
  <c r="DQ348" i="43" s="1"/>
  <c r="DM348" i="43"/>
  <c r="DN348" i="43" s="1"/>
  <c r="DH349" i="43"/>
  <c r="DO349" i="43"/>
  <c r="DS346" i="43"/>
  <c r="DR347" i="43"/>
  <c r="DG350" i="43"/>
  <c r="DI947" i="43"/>
  <c r="DO947" i="43"/>
  <c r="DP946" i="43"/>
  <c r="DK947" i="43"/>
  <c r="DP349" i="43" l="1"/>
  <c r="DQ349" i="43" s="1"/>
  <c r="DM349" i="43"/>
  <c r="DN349" i="43" s="1"/>
  <c r="DH350" i="43"/>
  <c r="DO350" i="43"/>
  <c r="DR348" i="43"/>
  <c r="DS347" i="43"/>
  <c r="DK350" i="43"/>
  <c r="DG351" i="43"/>
  <c r="DK948" i="43"/>
  <c r="DI948" i="43"/>
  <c r="DO948" i="43"/>
  <c r="DP947" i="43"/>
  <c r="DR349" i="43" l="1"/>
  <c r="DS348" i="43"/>
  <c r="DK351" i="43"/>
  <c r="DP350" i="43"/>
  <c r="DQ350" i="43" s="1"/>
  <c r="DM350" i="43"/>
  <c r="DN350" i="43" s="1"/>
  <c r="DH351" i="43"/>
  <c r="DO351" i="43"/>
  <c r="DG352" i="43"/>
  <c r="DI949" i="43"/>
  <c r="DO949" i="43"/>
  <c r="DP948" i="43"/>
  <c r="DK949" i="43"/>
  <c r="DK352" i="43" l="1"/>
  <c r="DP351" i="43"/>
  <c r="DQ351" i="43" s="1"/>
  <c r="DM351" i="43"/>
  <c r="DN351" i="43" s="1"/>
  <c r="DK353" i="43"/>
  <c r="DH352" i="43"/>
  <c r="DO352" i="43"/>
  <c r="DR350" i="43"/>
  <c r="DS349" i="43"/>
  <c r="DG353" i="43"/>
  <c r="DI950" i="43"/>
  <c r="DO950" i="43"/>
  <c r="DP949" i="43"/>
  <c r="DK950" i="43"/>
  <c r="DR351" i="43" l="1"/>
  <c r="DS350" i="43"/>
  <c r="DP352" i="43"/>
  <c r="DQ352" i="43" s="1"/>
  <c r="DM352" i="43"/>
  <c r="DN352" i="43" s="1"/>
  <c r="DH353" i="43"/>
  <c r="DO353" i="43"/>
  <c r="DG354" i="43"/>
  <c r="DK354" i="43" s="1"/>
  <c r="DI951" i="43"/>
  <c r="DO951" i="43"/>
  <c r="DK951" i="43"/>
  <c r="DP950" i="43"/>
  <c r="DP353" i="43" l="1"/>
  <c r="DQ353" i="43" s="1"/>
  <c r="DM353" i="43"/>
  <c r="DN353" i="43" s="1"/>
  <c r="DO354" i="43"/>
  <c r="DH354" i="43"/>
  <c r="DS351" i="43"/>
  <c r="DR352" i="43"/>
  <c r="DG355" i="43"/>
  <c r="DK355" i="43" s="1"/>
  <c r="DI952" i="43"/>
  <c r="DO952" i="43"/>
  <c r="DK952" i="43"/>
  <c r="DP951" i="43"/>
  <c r="DR353" i="43" l="1"/>
  <c r="DS352" i="43"/>
  <c r="DP354" i="43"/>
  <c r="DQ354" i="43" s="1"/>
  <c r="DM354" i="43"/>
  <c r="DN354" i="43" s="1"/>
  <c r="DO355" i="43"/>
  <c r="DH355" i="43"/>
  <c r="DG356" i="43"/>
  <c r="DI953" i="43"/>
  <c r="DO953" i="43"/>
  <c r="DK953" i="43"/>
  <c r="DP952" i="43"/>
  <c r="DS353" i="43" l="1"/>
  <c r="DR354" i="43"/>
  <c r="DP355" i="43"/>
  <c r="DQ355" i="43" s="1"/>
  <c r="DM355" i="43"/>
  <c r="DN355" i="43" s="1"/>
  <c r="DH356" i="43"/>
  <c r="DO356" i="43"/>
  <c r="DK356" i="43"/>
  <c r="DG357" i="43"/>
  <c r="DK954" i="43"/>
  <c r="DI954" i="43"/>
  <c r="DO954" i="43"/>
  <c r="DP953" i="43"/>
  <c r="DK357" i="43" l="1"/>
  <c r="DP356" i="43"/>
  <c r="DQ356" i="43" s="1"/>
  <c r="DM356" i="43"/>
  <c r="DN356" i="43" s="1"/>
  <c r="DR355" i="43"/>
  <c r="DS354" i="43"/>
  <c r="DO357" i="43"/>
  <c r="DH357" i="43"/>
  <c r="DG358" i="43"/>
  <c r="DI955" i="43"/>
  <c r="DO955" i="43"/>
  <c r="DP954" i="43"/>
  <c r="DK955" i="43"/>
  <c r="DP357" i="43" l="1"/>
  <c r="DQ357" i="43" s="1"/>
  <c r="DM357" i="43"/>
  <c r="DN357" i="43" s="1"/>
  <c r="DR356" i="43"/>
  <c r="DS355" i="43"/>
  <c r="DH358" i="43"/>
  <c r="DO358" i="43"/>
  <c r="DK358" i="43"/>
  <c r="DG359" i="43"/>
  <c r="DI956" i="43"/>
  <c r="DO956" i="43"/>
  <c r="DK956" i="43"/>
  <c r="DP955" i="43"/>
  <c r="DK359" i="43" l="1"/>
  <c r="DR357" i="43"/>
  <c r="DS356" i="43"/>
  <c r="DP358" i="43"/>
  <c r="DQ358" i="43" s="1"/>
  <c r="DM358" i="43"/>
  <c r="DN358" i="43" s="1"/>
  <c r="DH359" i="43"/>
  <c r="DO359" i="43"/>
  <c r="DG360" i="43"/>
  <c r="DI957" i="43"/>
  <c r="DO957" i="43"/>
  <c r="DK957" i="43"/>
  <c r="DP956" i="43"/>
  <c r="DP359" i="43" l="1"/>
  <c r="DQ359" i="43" s="1"/>
  <c r="DM359" i="43"/>
  <c r="DN359" i="43" s="1"/>
  <c r="DR358" i="43"/>
  <c r="DS357" i="43"/>
  <c r="DH360" i="43"/>
  <c r="DO360" i="43"/>
  <c r="DK360" i="43"/>
  <c r="DG361" i="43"/>
  <c r="DK958" i="43"/>
  <c r="DP957" i="43"/>
  <c r="DI958" i="43"/>
  <c r="DO958" i="43"/>
  <c r="DK361" i="43" l="1"/>
  <c r="DP360" i="43"/>
  <c r="DQ360" i="43" s="1"/>
  <c r="DM360" i="43"/>
  <c r="DN360" i="43" s="1"/>
  <c r="DR359" i="43"/>
  <c r="DS358" i="43"/>
  <c r="DH361" i="43"/>
  <c r="DO361" i="43"/>
  <c r="DG362" i="43"/>
  <c r="DI959" i="43"/>
  <c r="DO959" i="43"/>
  <c r="DP958" i="43"/>
  <c r="DK959" i="43"/>
  <c r="DP361" i="43" l="1"/>
  <c r="DQ361" i="43" s="1"/>
  <c r="DM361" i="43"/>
  <c r="DN361" i="43" s="1"/>
  <c r="DR360" i="43"/>
  <c r="DS359" i="43"/>
  <c r="DH362" i="43"/>
  <c r="DO362" i="43"/>
  <c r="DK362" i="43"/>
  <c r="DG363" i="43"/>
  <c r="DI960" i="43"/>
  <c r="DO960" i="43"/>
  <c r="DK960" i="43"/>
  <c r="DP959" i="43"/>
  <c r="DK363" i="43" l="1"/>
  <c r="DP362" i="43"/>
  <c r="DQ362" i="43" s="1"/>
  <c r="DM362" i="43"/>
  <c r="DN362" i="43" s="1"/>
  <c r="DR361" i="43"/>
  <c r="DS360" i="43"/>
  <c r="DH363" i="43"/>
  <c r="DO363" i="43"/>
  <c r="DG364" i="43"/>
  <c r="DI961" i="43"/>
  <c r="DO961" i="43"/>
  <c r="DP960" i="43"/>
  <c r="DK961" i="43"/>
  <c r="DP363" i="43" l="1"/>
  <c r="DQ363" i="43" s="1"/>
  <c r="DM363" i="43"/>
  <c r="DN363" i="43" s="1"/>
  <c r="DR362" i="43"/>
  <c r="DS361" i="43"/>
  <c r="DH364" i="43"/>
  <c r="DO364" i="43"/>
  <c r="DK364" i="43"/>
  <c r="DG365" i="43"/>
  <c r="DI962" i="43"/>
  <c r="DO962" i="43"/>
  <c r="DK962" i="43"/>
  <c r="DP961" i="43"/>
  <c r="DP364" i="43" l="1"/>
  <c r="DQ364" i="43" s="1"/>
  <c r="DM364" i="43"/>
  <c r="DN364" i="43" s="1"/>
  <c r="DK365" i="43"/>
  <c r="DR363" i="43"/>
  <c r="DS362" i="43"/>
  <c r="DH365" i="43"/>
  <c r="DO365" i="43"/>
  <c r="DG366" i="43"/>
  <c r="DI963" i="43"/>
  <c r="DO963" i="43"/>
  <c r="DK963" i="43"/>
  <c r="DP962" i="43"/>
  <c r="DP365" i="43" l="1"/>
  <c r="DQ365" i="43" s="1"/>
  <c r="DM365" i="43"/>
  <c r="DN365" i="43" s="1"/>
  <c r="DR364" i="43"/>
  <c r="DS363" i="43"/>
  <c r="DK366" i="43"/>
  <c r="DH366" i="43"/>
  <c r="DO366" i="43"/>
  <c r="DG367" i="43"/>
  <c r="DI964" i="43"/>
  <c r="DO964" i="43"/>
  <c r="DK964" i="43"/>
  <c r="DP963" i="43"/>
  <c r="DP366" i="43" l="1"/>
  <c r="DQ366" i="43" s="1"/>
  <c r="DM366" i="43"/>
  <c r="DN366" i="43" s="1"/>
  <c r="DK367" i="43"/>
  <c r="DS364" i="43"/>
  <c r="DR365" i="43"/>
  <c r="DH367" i="43"/>
  <c r="DO367" i="43"/>
  <c r="DG368" i="43"/>
  <c r="DI965" i="43"/>
  <c r="DO965" i="43"/>
  <c r="DK965" i="43"/>
  <c r="DP964" i="43"/>
  <c r="DP367" i="43" l="1"/>
  <c r="DQ367" i="43" s="1"/>
  <c r="DM367" i="43"/>
  <c r="DN367" i="43" s="1"/>
  <c r="DH368" i="43"/>
  <c r="DO368" i="43"/>
  <c r="DK368" i="43"/>
  <c r="DS365" i="43"/>
  <c r="DR366" i="43"/>
  <c r="DG369" i="43"/>
  <c r="DI966" i="43"/>
  <c r="DO966" i="43"/>
  <c r="DK966" i="43"/>
  <c r="DP965" i="43"/>
  <c r="DS366" i="43" l="1"/>
  <c r="DR367" i="43"/>
  <c r="DK369" i="43"/>
  <c r="DP368" i="43"/>
  <c r="DQ368" i="43" s="1"/>
  <c r="DM368" i="43"/>
  <c r="DN368" i="43" s="1"/>
  <c r="DH369" i="43"/>
  <c r="DO369" i="43"/>
  <c r="DG370" i="43"/>
  <c r="DI967" i="43"/>
  <c r="DO967" i="43"/>
  <c r="DK967" i="43"/>
  <c r="DP966" i="43"/>
  <c r="DP369" i="43" l="1"/>
  <c r="DQ369" i="43" s="1"/>
  <c r="DM369" i="43"/>
  <c r="DN369" i="43" s="1"/>
  <c r="DH370" i="43"/>
  <c r="DO370" i="43"/>
  <c r="DK370" i="43"/>
  <c r="DR368" i="43"/>
  <c r="DS367" i="43"/>
  <c r="DG371" i="43"/>
  <c r="DO968" i="43"/>
  <c r="DI968" i="43"/>
  <c r="DK968" i="43"/>
  <c r="DP967" i="43"/>
  <c r="DK371" i="43" l="1"/>
  <c r="DS368" i="43"/>
  <c r="DR369" i="43"/>
  <c r="DP370" i="43"/>
  <c r="DQ370" i="43" s="1"/>
  <c r="DM370" i="43"/>
  <c r="DN370" i="43" s="1"/>
  <c r="DH371" i="43"/>
  <c r="DO371" i="43"/>
  <c r="DG372" i="43"/>
  <c r="DI969" i="43"/>
  <c r="DO969" i="43"/>
  <c r="DK969" i="43"/>
  <c r="DP968" i="43"/>
  <c r="DP371" i="43" l="1"/>
  <c r="DQ371" i="43" s="1"/>
  <c r="DM371" i="43"/>
  <c r="DN371" i="43" s="1"/>
  <c r="DR370" i="43"/>
  <c r="DS369" i="43"/>
  <c r="DH372" i="43"/>
  <c r="DO372" i="43"/>
  <c r="DK372" i="43"/>
  <c r="DG373" i="43"/>
  <c r="DI970" i="43"/>
  <c r="DO970" i="43"/>
  <c r="DK970" i="43"/>
  <c r="DP969" i="43"/>
  <c r="DK373" i="43" l="1"/>
  <c r="DS370" i="43"/>
  <c r="DR371" i="43"/>
  <c r="DP372" i="43"/>
  <c r="DQ372" i="43" s="1"/>
  <c r="DM372" i="43"/>
  <c r="DN372" i="43" s="1"/>
  <c r="DO373" i="43"/>
  <c r="DH373" i="43"/>
  <c r="DG374" i="43"/>
  <c r="DI971" i="43"/>
  <c r="DO971" i="43"/>
  <c r="DK971" i="43"/>
  <c r="DP970" i="43"/>
  <c r="DP373" i="43" l="1"/>
  <c r="DQ373" i="43" s="1"/>
  <c r="DM373" i="43"/>
  <c r="DN373" i="43" s="1"/>
  <c r="DR372" i="43"/>
  <c r="DS371" i="43"/>
  <c r="DH374" i="43"/>
  <c r="DO374" i="43"/>
  <c r="DK374" i="43"/>
  <c r="DG375" i="43"/>
  <c r="DK972" i="43"/>
  <c r="DP971" i="43"/>
  <c r="DI972" i="43"/>
  <c r="DO972" i="43"/>
  <c r="DP374" i="43" l="1"/>
  <c r="DQ374" i="43" s="1"/>
  <c r="DM374" i="43"/>
  <c r="DN374" i="43" s="1"/>
  <c r="DS372" i="43"/>
  <c r="DR373" i="43"/>
  <c r="DK375" i="43"/>
  <c r="DH375" i="43"/>
  <c r="DO375" i="43"/>
  <c r="DG376" i="43"/>
  <c r="DI973" i="43"/>
  <c r="DO973" i="43"/>
  <c r="DP972" i="43"/>
  <c r="DK973" i="43"/>
  <c r="DK376" i="43" l="1"/>
  <c r="DP375" i="43"/>
  <c r="DQ375" i="43" s="1"/>
  <c r="DM375" i="43"/>
  <c r="DN375" i="43" s="1"/>
  <c r="DR374" i="43"/>
  <c r="DS373" i="43"/>
  <c r="DH376" i="43"/>
  <c r="DO376" i="43"/>
  <c r="DG377" i="43"/>
  <c r="DK377" i="43" s="1"/>
  <c r="DI974" i="43"/>
  <c r="DO974" i="43"/>
  <c r="DK974" i="43"/>
  <c r="DP973" i="43"/>
  <c r="DP376" i="43" l="1"/>
  <c r="DQ376" i="43" s="1"/>
  <c r="DM376" i="43"/>
  <c r="DN376" i="43" s="1"/>
  <c r="DS374" i="43"/>
  <c r="DR375" i="43"/>
  <c r="DH377" i="43"/>
  <c r="DO377" i="43"/>
  <c r="DG378" i="43"/>
  <c r="DK975" i="43"/>
  <c r="DP974" i="43"/>
  <c r="DI975" i="43"/>
  <c r="DO975" i="43"/>
  <c r="DR376" i="43" l="1"/>
  <c r="DS375" i="43"/>
  <c r="DP377" i="43"/>
  <c r="DQ377" i="43" s="1"/>
  <c r="DM377" i="43"/>
  <c r="DN377" i="43" s="1"/>
  <c r="DH378" i="43"/>
  <c r="DO378" i="43"/>
  <c r="DK378" i="43"/>
  <c r="DG379" i="43"/>
  <c r="DI976" i="43"/>
  <c r="DO976" i="43"/>
  <c r="DP975" i="43"/>
  <c r="DK976" i="43"/>
  <c r="DH379" i="43" l="1"/>
  <c r="DO379" i="43"/>
  <c r="DK379" i="43"/>
  <c r="DP378" i="43"/>
  <c r="DQ378" i="43" s="1"/>
  <c r="DM378" i="43"/>
  <c r="DN378" i="43" s="1"/>
  <c r="DS376" i="43"/>
  <c r="DR377" i="43"/>
  <c r="DG380" i="43"/>
  <c r="DI977" i="43"/>
  <c r="DO977" i="43"/>
  <c r="DP976" i="43"/>
  <c r="DK977" i="43"/>
  <c r="DK380" i="43" l="1"/>
  <c r="DH380" i="43"/>
  <c r="DO380" i="43"/>
  <c r="DP379" i="43"/>
  <c r="DQ379" i="43" s="1"/>
  <c r="DM379" i="43"/>
  <c r="DN379" i="43" s="1"/>
  <c r="DS377" i="43"/>
  <c r="DR378" i="43"/>
  <c r="DG381" i="43"/>
  <c r="DI978" i="43"/>
  <c r="DO978" i="43"/>
  <c r="DK978" i="43"/>
  <c r="DP977" i="43"/>
  <c r="DR379" i="43" l="1"/>
  <c r="DS378" i="43"/>
  <c r="DP380" i="43"/>
  <c r="DQ380" i="43" s="1"/>
  <c r="DM380" i="43"/>
  <c r="DN380" i="43" s="1"/>
  <c r="DO381" i="43"/>
  <c r="DH381" i="43"/>
  <c r="DK381" i="43"/>
  <c r="DG382" i="43"/>
  <c r="DK979" i="43"/>
  <c r="DP978" i="43"/>
  <c r="DI979" i="43"/>
  <c r="DO979" i="43"/>
  <c r="DK382" i="43" l="1"/>
  <c r="DP381" i="43"/>
  <c r="DQ381" i="43" s="1"/>
  <c r="DM381" i="43"/>
  <c r="DN381" i="43" s="1"/>
  <c r="DO382" i="43"/>
  <c r="DH382" i="43"/>
  <c r="DR380" i="43"/>
  <c r="DS379" i="43"/>
  <c r="DG383" i="43"/>
  <c r="DK383" i="43" s="1"/>
  <c r="DI980" i="43"/>
  <c r="DO980" i="43"/>
  <c r="DP979" i="43"/>
  <c r="DK980" i="43"/>
  <c r="DR381" i="43" l="1"/>
  <c r="DS380" i="43"/>
  <c r="DP382" i="43"/>
  <c r="DQ382" i="43" s="1"/>
  <c r="DM382" i="43"/>
  <c r="DN382" i="43" s="1"/>
  <c r="DH383" i="43"/>
  <c r="DO383" i="43"/>
  <c r="DG384" i="43"/>
  <c r="DI981" i="43"/>
  <c r="DO981" i="43"/>
  <c r="DP980" i="43"/>
  <c r="DK981" i="43"/>
  <c r="DR382" i="43" l="1"/>
  <c r="DS381" i="43"/>
  <c r="DH384" i="43"/>
  <c r="DO384" i="43"/>
  <c r="DP383" i="43"/>
  <c r="DQ383" i="43" s="1"/>
  <c r="DM383" i="43"/>
  <c r="DN383" i="43" s="1"/>
  <c r="DK384" i="43"/>
  <c r="DG385" i="43"/>
  <c r="DI982" i="43"/>
  <c r="DO982" i="43"/>
  <c r="DK982" i="43"/>
  <c r="DP981" i="43"/>
  <c r="DK385" i="43" l="1"/>
  <c r="DP384" i="43"/>
  <c r="DQ384" i="43" s="1"/>
  <c r="DM384" i="43"/>
  <c r="DN384" i="43" s="1"/>
  <c r="DH385" i="43"/>
  <c r="DO385" i="43"/>
  <c r="DR383" i="43"/>
  <c r="DS382" i="43"/>
  <c r="DG386" i="43"/>
  <c r="DK983" i="43"/>
  <c r="DP982" i="43"/>
  <c r="DI983" i="43"/>
  <c r="DO983" i="43"/>
  <c r="DR384" i="43" l="1"/>
  <c r="DS383" i="43"/>
  <c r="DP385" i="43"/>
  <c r="DQ385" i="43" s="1"/>
  <c r="DM385" i="43"/>
  <c r="DN385" i="43" s="1"/>
  <c r="DH386" i="43"/>
  <c r="DO386" i="43"/>
  <c r="DK386" i="43"/>
  <c r="DG387" i="43"/>
  <c r="DI984" i="43"/>
  <c r="DO984" i="43"/>
  <c r="DP983" i="43"/>
  <c r="DK984" i="43"/>
  <c r="DK387" i="43" l="1"/>
  <c r="DP386" i="43"/>
  <c r="DQ386" i="43" s="1"/>
  <c r="DM386" i="43"/>
  <c r="DN386" i="43" s="1"/>
  <c r="DH387" i="43"/>
  <c r="DO387" i="43"/>
  <c r="DR385" i="43"/>
  <c r="DS384" i="43"/>
  <c r="DG388" i="43"/>
  <c r="DK985" i="43"/>
  <c r="DP984" i="43"/>
  <c r="DI985" i="43"/>
  <c r="DO985" i="43"/>
  <c r="DP387" i="43" l="1"/>
  <c r="DQ387" i="43" s="1"/>
  <c r="DM387" i="43"/>
  <c r="DN387" i="43" s="1"/>
  <c r="DS385" i="43"/>
  <c r="DR386" i="43"/>
  <c r="DO388" i="43"/>
  <c r="DH388" i="43"/>
  <c r="DK388" i="43"/>
  <c r="DG389" i="43"/>
  <c r="DP985" i="43"/>
  <c r="DI986" i="43"/>
  <c r="DO986" i="43"/>
  <c r="DK986" i="43"/>
  <c r="DK389" i="43" l="1"/>
  <c r="DS386" i="43"/>
  <c r="DR387" i="43"/>
  <c r="DP388" i="43"/>
  <c r="DQ388" i="43" s="1"/>
  <c r="DM388" i="43"/>
  <c r="DN388" i="43" s="1"/>
  <c r="DH389" i="43"/>
  <c r="DO389" i="43"/>
  <c r="DG390" i="43"/>
  <c r="DI987" i="43"/>
  <c r="DO987" i="43"/>
  <c r="DP986" i="43"/>
  <c r="DK987" i="43"/>
  <c r="DR388" i="43" l="1"/>
  <c r="DS387" i="43"/>
  <c r="DO390" i="43"/>
  <c r="DH390" i="43"/>
  <c r="DP389" i="43"/>
  <c r="DQ389" i="43" s="1"/>
  <c r="DM389" i="43"/>
  <c r="DN389" i="43" s="1"/>
  <c r="DK390" i="43"/>
  <c r="DG391" i="43"/>
  <c r="DP987" i="43"/>
  <c r="DI988" i="43"/>
  <c r="DO988" i="43"/>
  <c r="DK988" i="43"/>
  <c r="DP390" i="43" l="1"/>
  <c r="DQ390" i="43" s="1"/>
  <c r="DM390" i="43"/>
  <c r="DN390" i="43" s="1"/>
  <c r="DO391" i="43"/>
  <c r="DH391" i="43"/>
  <c r="DK391" i="43"/>
  <c r="DR389" i="43"/>
  <c r="DS388" i="43"/>
  <c r="DG392" i="43"/>
  <c r="DI989" i="43"/>
  <c r="DO989" i="43"/>
  <c r="DK989" i="43"/>
  <c r="DP988" i="43"/>
  <c r="DK392" i="43" l="1"/>
  <c r="DS389" i="43"/>
  <c r="DR390" i="43"/>
  <c r="DP391" i="43"/>
  <c r="DQ391" i="43" s="1"/>
  <c r="DM391" i="43"/>
  <c r="DN391" i="43" s="1"/>
  <c r="DH392" i="43"/>
  <c r="DO392" i="43"/>
  <c r="DG393" i="43"/>
  <c r="DI990" i="43"/>
  <c r="DO990" i="43"/>
  <c r="DP989" i="43"/>
  <c r="DK990" i="43"/>
  <c r="DK393" i="43" l="1"/>
  <c r="DH393" i="43"/>
  <c r="DO393" i="43"/>
  <c r="DR391" i="43"/>
  <c r="DS390" i="43"/>
  <c r="DP392" i="43"/>
  <c r="DQ392" i="43" s="1"/>
  <c r="DM392" i="43"/>
  <c r="DN392" i="43" s="1"/>
  <c r="DG394" i="43"/>
  <c r="DI991" i="43"/>
  <c r="DO991" i="43"/>
  <c r="DK991" i="43"/>
  <c r="DP990" i="43"/>
  <c r="DS391" i="43" l="1"/>
  <c r="DR392" i="43"/>
  <c r="DP393" i="43"/>
  <c r="DQ393" i="43" s="1"/>
  <c r="DM393" i="43"/>
  <c r="DN393" i="43" s="1"/>
  <c r="DH394" i="43"/>
  <c r="DO394" i="43"/>
  <c r="DK394" i="43"/>
  <c r="DG395" i="43"/>
  <c r="DI992" i="43"/>
  <c r="DO992" i="43"/>
  <c r="DP991" i="43"/>
  <c r="DK992" i="43"/>
  <c r="DR393" i="43" l="1"/>
  <c r="DS392" i="43"/>
  <c r="DK395" i="43"/>
  <c r="DP394" i="43"/>
  <c r="DQ394" i="43" s="1"/>
  <c r="DM394" i="43"/>
  <c r="DN394" i="43" s="1"/>
  <c r="DH395" i="43"/>
  <c r="DO395" i="43"/>
  <c r="DG396" i="43"/>
  <c r="DK993" i="43"/>
  <c r="DP992" i="43"/>
  <c r="DI993" i="43"/>
  <c r="DO993" i="43"/>
  <c r="DK396" i="43" l="1"/>
  <c r="DH396" i="43"/>
  <c r="DO396" i="43"/>
  <c r="DS393" i="43"/>
  <c r="DR394" i="43"/>
  <c r="DP395" i="43"/>
  <c r="DQ395" i="43" s="1"/>
  <c r="DM395" i="43"/>
  <c r="DN395" i="43" s="1"/>
  <c r="DG397" i="43"/>
  <c r="DP993" i="43"/>
  <c r="DI994" i="43"/>
  <c r="DO994" i="43"/>
  <c r="DK994" i="43"/>
  <c r="DP396" i="43" l="1"/>
  <c r="DQ396" i="43" s="1"/>
  <c r="DM396" i="43"/>
  <c r="DN396" i="43" s="1"/>
  <c r="DS394" i="43"/>
  <c r="DR395" i="43"/>
  <c r="DH397" i="43"/>
  <c r="DO397" i="43"/>
  <c r="DK397" i="43"/>
  <c r="DG398" i="43"/>
  <c r="DK995" i="43"/>
  <c r="DP994" i="43"/>
  <c r="DI995" i="43"/>
  <c r="DO995" i="43"/>
  <c r="DK398" i="43" l="1"/>
  <c r="DS395" i="43"/>
  <c r="DR396" i="43"/>
  <c r="DP397" i="43"/>
  <c r="DQ397" i="43" s="1"/>
  <c r="DM397" i="43"/>
  <c r="DN397" i="43" s="1"/>
  <c r="DH398" i="43"/>
  <c r="DO398" i="43"/>
  <c r="DG399" i="43"/>
  <c r="DI996" i="43"/>
  <c r="DO996" i="43"/>
  <c r="DP995" i="43"/>
  <c r="DK996" i="43"/>
  <c r="DR397" i="43" l="1"/>
  <c r="DS396" i="43"/>
  <c r="DO399" i="43"/>
  <c r="DH399" i="43"/>
  <c r="DP398" i="43"/>
  <c r="DQ398" i="43" s="1"/>
  <c r="DM398" i="43"/>
  <c r="DN398" i="43" s="1"/>
  <c r="DK399" i="43"/>
  <c r="DG400" i="43"/>
  <c r="DI997" i="43"/>
  <c r="DO997" i="43"/>
  <c r="DK997" i="43"/>
  <c r="DP996" i="43"/>
  <c r="DH400" i="43" l="1"/>
  <c r="DO400" i="43"/>
  <c r="DS397" i="43"/>
  <c r="DR398" i="43"/>
  <c r="DK400" i="43"/>
  <c r="DP399" i="43"/>
  <c r="DQ399" i="43" s="1"/>
  <c r="DM399" i="43"/>
  <c r="DN399" i="43" s="1"/>
  <c r="DG401" i="43"/>
  <c r="DI998" i="43"/>
  <c r="DO998" i="43"/>
  <c r="DP997" i="43"/>
  <c r="DK998" i="43"/>
  <c r="DK401" i="43" l="1"/>
  <c r="DP400" i="43"/>
  <c r="DQ400" i="43" s="1"/>
  <c r="DM400" i="43"/>
  <c r="DN400" i="43" s="1"/>
  <c r="DR399" i="43"/>
  <c r="DS398" i="43"/>
  <c r="DH401" i="43"/>
  <c r="DO401" i="43"/>
  <c r="DG402" i="43"/>
  <c r="DI999" i="43"/>
  <c r="DO999" i="43"/>
  <c r="DK999" i="43"/>
  <c r="DP998" i="43"/>
  <c r="DR400" i="43" l="1"/>
  <c r="DS399" i="43"/>
  <c r="DP401" i="43"/>
  <c r="DQ401" i="43" s="1"/>
  <c r="DM401" i="43"/>
  <c r="DN401" i="43" s="1"/>
  <c r="DH402" i="43"/>
  <c r="DO402" i="43"/>
  <c r="DK402" i="43"/>
  <c r="DG403" i="43"/>
  <c r="DK1000" i="43"/>
  <c r="DI1000" i="43"/>
  <c r="DO1000" i="43"/>
  <c r="DP999" i="43"/>
  <c r="DK403" i="43" l="1"/>
  <c r="DP402" i="43"/>
  <c r="DQ402" i="43" s="1"/>
  <c r="DM402" i="43"/>
  <c r="DN402" i="43" s="1"/>
  <c r="DH403" i="43"/>
  <c r="DO403" i="43"/>
  <c r="DS400" i="43"/>
  <c r="DR401" i="43"/>
  <c r="DG404" i="43"/>
  <c r="DP1000" i="43"/>
  <c r="DI1001" i="43"/>
  <c r="DO1001" i="43"/>
  <c r="DK1001" i="43"/>
  <c r="DP403" i="43" l="1"/>
  <c r="DQ403" i="43" s="1"/>
  <c r="DM403" i="43"/>
  <c r="DN403" i="43" s="1"/>
  <c r="DH404" i="43"/>
  <c r="DO404" i="43"/>
  <c r="DR402" i="43"/>
  <c r="DS401" i="43"/>
  <c r="DK404" i="43"/>
  <c r="DG405" i="43"/>
  <c r="DI1002" i="43"/>
  <c r="DO1002" i="43"/>
  <c r="DK1002" i="43"/>
  <c r="DP1001" i="43"/>
  <c r="DH405" i="43" l="1"/>
  <c r="DO405" i="43"/>
  <c r="DK405" i="43"/>
  <c r="DS402" i="43"/>
  <c r="DR403" i="43"/>
  <c r="DP404" i="43"/>
  <c r="DQ404" i="43" s="1"/>
  <c r="DM404" i="43"/>
  <c r="DN404" i="43" s="1"/>
  <c r="DG406" i="43"/>
  <c r="DK1003" i="43"/>
  <c r="DI1003" i="43"/>
  <c r="DO1003" i="43"/>
  <c r="DP1002" i="43"/>
  <c r="DK406" i="43" l="1"/>
  <c r="DR404" i="43"/>
  <c r="DS403" i="43"/>
  <c r="DK407" i="43"/>
  <c r="DH406" i="43"/>
  <c r="DO406" i="43"/>
  <c r="DP405" i="43"/>
  <c r="DQ405" i="43" s="1"/>
  <c r="DM405" i="43"/>
  <c r="DN405" i="43" s="1"/>
  <c r="DG407" i="43"/>
  <c r="DI1004" i="43"/>
  <c r="DO1004" i="43"/>
  <c r="DP1003" i="43"/>
  <c r="DK1004" i="43"/>
  <c r="DP406" i="43" l="1"/>
  <c r="DQ406" i="43" s="1"/>
  <c r="DM406" i="43"/>
  <c r="DN406" i="43" s="1"/>
  <c r="DH407" i="43"/>
  <c r="DO407" i="43"/>
  <c r="DS404" i="43"/>
  <c r="DR405" i="43"/>
  <c r="DG408" i="43"/>
  <c r="DK408" i="43" s="1"/>
  <c r="DI1005" i="43"/>
  <c r="DO1005" i="43"/>
  <c r="DK1005" i="43"/>
  <c r="DP1004" i="43"/>
  <c r="DH408" i="43" l="1"/>
  <c r="DO408" i="43"/>
  <c r="DS405" i="43"/>
  <c r="DR406" i="43"/>
  <c r="DP407" i="43"/>
  <c r="DQ407" i="43" s="1"/>
  <c r="DM407" i="43"/>
  <c r="DN407" i="43" s="1"/>
  <c r="DG409" i="43"/>
  <c r="DI1006" i="43"/>
  <c r="DO1006" i="43"/>
  <c r="DK1006" i="43"/>
  <c r="DP1005" i="43"/>
  <c r="DP408" i="43" l="1"/>
  <c r="DQ408" i="43" s="1"/>
  <c r="DM408" i="43"/>
  <c r="DN408" i="43" s="1"/>
  <c r="DR407" i="43"/>
  <c r="DS406" i="43"/>
  <c r="DH409" i="43"/>
  <c r="DO409" i="43"/>
  <c r="DK409" i="43"/>
  <c r="DG410" i="43"/>
  <c r="DI1007" i="43"/>
  <c r="DO1007" i="43"/>
  <c r="DK1007" i="43"/>
  <c r="DP1006" i="43"/>
  <c r="DR408" i="43" l="1"/>
  <c r="DS407" i="43"/>
  <c r="DK410" i="43"/>
  <c r="DP409" i="43"/>
  <c r="DQ409" i="43" s="1"/>
  <c r="DM409" i="43"/>
  <c r="DN409" i="43" s="1"/>
  <c r="DH410" i="43"/>
  <c r="DO410" i="43"/>
  <c r="DG411" i="43"/>
  <c r="DK1008" i="43"/>
  <c r="DI1008" i="43"/>
  <c r="DO1008" i="43"/>
  <c r="DP1007" i="43"/>
  <c r="DH411" i="43" l="1"/>
  <c r="DO411" i="43"/>
  <c r="DK411" i="43"/>
  <c r="DP410" i="43"/>
  <c r="DQ410" i="43" s="1"/>
  <c r="DM410" i="43"/>
  <c r="DN410" i="43" s="1"/>
  <c r="DR409" i="43"/>
  <c r="DS408" i="43"/>
  <c r="DG412" i="43"/>
  <c r="DP1008" i="43"/>
  <c r="DI1009" i="43"/>
  <c r="DO1009" i="43"/>
  <c r="DK1009" i="43"/>
  <c r="DK412" i="43" l="1"/>
  <c r="DP411" i="43"/>
  <c r="DQ411" i="43" s="1"/>
  <c r="DM411" i="43"/>
  <c r="DN411" i="43" s="1"/>
  <c r="DR410" i="43"/>
  <c r="DS409" i="43"/>
  <c r="DH412" i="43"/>
  <c r="DO412" i="43"/>
  <c r="DG413" i="43"/>
  <c r="DP1009" i="43"/>
  <c r="DK1010" i="43"/>
  <c r="DI1010" i="43"/>
  <c r="DO1010" i="43"/>
  <c r="DR411" i="43" l="1"/>
  <c r="DS410" i="43"/>
  <c r="DK413" i="43"/>
  <c r="DH413" i="43"/>
  <c r="DO413" i="43"/>
  <c r="DP412" i="43"/>
  <c r="DQ412" i="43" s="1"/>
  <c r="DM412" i="43"/>
  <c r="DN412" i="43" s="1"/>
  <c r="DG414" i="43"/>
  <c r="DP1010" i="43"/>
  <c r="DI1011" i="43"/>
  <c r="DO1011" i="43"/>
  <c r="DK1011" i="43"/>
  <c r="DK414" i="43" l="1"/>
  <c r="DP413" i="43"/>
  <c r="DQ413" i="43" s="1"/>
  <c r="DM413" i="43"/>
  <c r="DN413" i="43" s="1"/>
  <c r="DO414" i="43"/>
  <c r="DH414" i="43"/>
  <c r="DR412" i="43"/>
  <c r="DS411" i="43"/>
  <c r="DG415" i="43"/>
  <c r="DI1012" i="43"/>
  <c r="DO1012" i="43"/>
  <c r="DP1011" i="43"/>
  <c r="DK1012" i="43"/>
  <c r="DS412" i="43" l="1"/>
  <c r="DR413" i="43"/>
  <c r="DP414" i="43"/>
  <c r="DQ414" i="43" s="1"/>
  <c r="DM414" i="43"/>
  <c r="DN414" i="43" s="1"/>
  <c r="DO415" i="43"/>
  <c r="DH415" i="43"/>
  <c r="DK415" i="43"/>
  <c r="DG416" i="43"/>
  <c r="DK1013" i="43"/>
  <c r="DI1013" i="43"/>
  <c r="DO1013" i="43"/>
  <c r="DP1012" i="43"/>
  <c r="DP415" i="43" l="1"/>
  <c r="DQ415" i="43" s="1"/>
  <c r="DM415" i="43"/>
  <c r="DN415" i="43" s="1"/>
  <c r="DR414" i="43"/>
  <c r="DS413" i="43"/>
  <c r="DK416" i="43"/>
  <c r="DH416" i="43"/>
  <c r="DO416" i="43"/>
  <c r="DG417" i="43"/>
  <c r="DI1014" i="43"/>
  <c r="DO1014" i="43"/>
  <c r="DP1013" i="43"/>
  <c r="DK1014" i="43"/>
  <c r="DK417" i="43" l="1"/>
  <c r="DR415" i="43"/>
  <c r="DS414" i="43"/>
  <c r="DO417" i="43"/>
  <c r="DH417" i="43"/>
  <c r="DP416" i="43"/>
  <c r="DQ416" i="43" s="1"/>
  <c r="DM416" i="43"/>
  <c r="DN416" i="43" s="1"/>
  <c r="DG418" i="43"/>
  <c r="DP1014" i="43"/>
  <c r="DI1015" i="43"/>
  <c r="DO1015" i="43"/>
  <c r="DK1015" i="43"/>
  <c r="DK418" i="43" l="1"/>
  <c r="DP417" i="43"/>
  <c r="DQ417" i="43" s="1"/>
  <c r="DM417" i="43"/>
  <c r="DN417" i="43" s="1"/>
  <c r="DH418" i="43"/>
  <c r="DO418" i="43"/>
  <c r="DS415" i="43"/>
  <c r="DR416" i="43"/>
  <c r="DG419" i="43"/>
  <c r="DK419" i="43" s="1"/>
  <c r="DK1016" i="43"/>
  <c r="DP1015" i="43"/>
  <c r="DI1016" i="43"/>
  <c r="DO1016" i="43"/>
  <c r="DP418" i="43" l="1"/>
  <c r="DQ418" i="43" s="1"/>
  <c r="DM418" i="43"/>
  <c r="DN418" i="43" s="1"/>
  <c r="DO419" i="43"/>
  <c r="DH419" i="43"/>
  <c r="DS416" i="43"/>
  <c r="DR417" i="43"/>
  <c r="DG420" i="43"/>
  <c r="DK420" i="43" s="1"/>
  <c r="DI1017" i="43"/>
  <c r="DO1017" i="43"/>
  <c r="DK1017" i="43"/>
  <c r="DP1016" i="43"/>
  <c r="DS417" i="43" l="1"/>
  <c r="DR418" i="43"/>
  <c r="DP419" i="43"/>
  <c r="DQ419" i="43" s="1"/>
  <c r="DM419" i="43"/>
  <c r="DN419" i="43" s="1"/>
  <c r="DH420" i="43"/>
  <c r="DO420" i="43"/>
  <c r="DG421" i="43"/>
  <c r="DI1018" i="43"/>
  <c r="DO1018" i="43"/>
  <c r="DP1017" i="43"/>
  <c r="DK1018" i="43"/>
  <c r="DS418" i="43" l="1"/>
  <c r="DR419" i="43"/>
  <c r="DP420" i="43"/>
  <c r="DQ420" i="43" s="1"/>
  <c r="DM420" i="43"/>
  <c r="DN420" i="43" s="1"/>
  <c r="DO421" i="43"/>
  <c r="DH421" i="43"/>
  <c r="DK421" i="43"/>
  <c r="DG422" i="43"/>
  <c r="DP1018" i="43"/>
  <c r="DI1019" i="43"/>
  <c r="DO1019" i="43"/>
  <c r="DK1019" i="43"/>
  <c r="DK422" i="43" l="1"/>
  <c r="DR420" i="43"/>
  <c r="DS419" i="43"/>
  <c r="DH422" i="43"/>
  <c r="DO422" i="43"/>
  <c r="DP421" i="43"/>
  <c r="DQ421" i="43" s="1"/>
  <c r="DM421" i="43"/>
  <c r="DN421" i="43" s="1"/>
  <c r="DG423" i="43"/>
  <c r="DI1020" i="43"/>
  <c r="DO1020" i="43"/>
  <c r="DK1020" i="43"/>
  <c r="DP1019" i="43"/>
  <c r="DP422" i="43" l="1"/>
  <c r="DQ422" i="43" s="1"/>
  <c r="DM422" i="43"/>
  <c r="DN422" i="43" s="1"/>
  <c r="DH423" i="43"/>
  <c r="DO423" i="43"/>
  <c r="DR421" i="43"/>
  <c r="DS420" i="43"/>
  <c r="DK423" i="43"/>
  <c r="DG424" i="43"/>
  <c r="DP1020" i="43"/>
  <c r="DI1021" i="43"/>
  <c r="DO1021" i="43"/>
  <c r="DK1021" i="43"/>
  <c r="DS421" i="43" l="1"/>
  <c r="DR422" i="43"/>
  <c r="DP423" i="43"/>
  <c r="DQ423" i="43" s="1"/>
  <c r="DM423" i="43"/>
  <c r="DN423" i="43" s="1"/>
  <c r="DK424" i="43"/>
  <c r="DH424" i="43"/>
  <c r="DO424" i="43"/>
  <c r="DG425" i="43"/>
  <c r="DK1022" i="43"/>
  <c r="DI1022" i="43"/>
  <c r="DO1022" i="43"/>
  <c r="DP1021" i="43"/>
  <c r="DK425" i="43" l="1"/>
  <c r="DH425" i="43"/>
  <c r="DO425" i="43"/>
  <c r="DS422" i="43"/>
  <c r="DR423" i="43"/>
  <c r="DP424" i="43"/>
  <c r="DQ424" i="43" s="1"/>
  <c r="DM424" i="43"/>
  <c r="DN424" i="43" s="1"/>
  <c r="DG426" i="43"/>
  <c r="DI1023" i="43"/>
  <c r="DO1023" i="43"/>
  <c r="DP1022" i="43"/>
  <c r="DK1023" i="43"/>
  <c r="DP425" i="43" l="1"/>
  <c r="DQ425" i="43" s="1"/>
  <c r="DM425" i="43"/>
  <c r="DN425" i="43" s="1"/>
  <c r="DR424" i="43"/>
  <c r="DS423" i="43"/>
  <c r="DH426" i="43"/>
  <c r="DO426" i="43"/>
  <c r="DK426" i="43"/>
  <c r="DG427" i="43"/>
  <c r="DI1024" i="43"/>
  <c r="DO1024" i="43"/>
  <c r="DK1024" i="43"/>
  <c r="DP1023" i="43"/>
  <c r="DK427" i="43" l="1"/>
  <c r="DP426" i="43"/>
  <c r="DQ426" i="43" s="1"/>
  <c r="DM426" i="43"/>
  <c r="DN426" i="43" s="1"/>
  <c r="DR425" i="43"/>
  <c r="DS424" i="43"/>
  <c r="DH427" i="43"/>
  <c r="DO427" i="43"/>
  <c r="DG428" i="43"/>
  <c r="DI1025" i="43"/>
  <c r="DO1025" i="43"/>
  <c r="DP1024" i="43"/>
  <c r="DK1025" i="43"/>
  <c r="DS425" i="43" l="1"/>
  <c r="DR426" i="43"/>
  <c r="DP427" i="43"/>
  <c r="DQ427" i="43" s="1"/>
  <c r="DM427" i="43"/>
  <c r="DN427" i="43" s="1"/>
  <c r="DO428" i="43"/>
  <c r="DH428" i="43"/>
  <c r="DK428" i="43"/>
  <c r="DG429" i="43"/>
  <c r="DI1026" i="43"/>
  <c r="DO1026" i="43"/>
  <c r="DP1025" i="43"/>
  <c r="DK1026" i="43"/>
  <c r="DP428" i="43" l="1"/>
  <c r="DQ428" i="43" s="1"/>
  <c r="DM428" i="43"/>
  <c r="DN428" i="43" s="1"/>
  <c r="DK429" i="43"/>
  <c r="DR427" i="43"/>
  <c r="DS426" i="43"/>
  <c r="DH429" i="43"/>
  <c r="DO429" i="43"/>
  <c r="DG430" i="43"/>
  <c r="DI1027" i="43"/>
  <c r="DO1027" i="43"/>
  <c r="DK1027" i="43"/>
  <c r="DP1026" i="43"/>
  <c r="DS427" i="43" l="1"/>
  <c r="DR428" i="43"/>
  <c r="DK430" i="43"/>
  <c r="DH430" i="43"/>
  <c r="DO430" i="43"/>
  <c r="DP429" i="43"/>
  <c r="DQ429" i="43" s="1"/>
  <c r="DM429" i="43"/>
  <c r="DN429" i="43" s="1"/>
  <c r="DG431" i="43"/>
  <c r="DI1028" i="43"/>
  <c r="DO1028" i="43"/>
  <c r="DP1027" i="43"/>
  <c r="DK1028" i="43"/>
  <c r="DK431" i="43" l="1"/>
  <c r="DO431" i="43"/>
  <c r="DH431" i="43"/>
  <c r="DR429" i="43"/>
  <c r="DS428" i="43"/>
  <c r="DP430" i="43"/>
  <c r="DQ430" i="43" s="1"/>
  <c r="DM430" i="43"/>
  <c r="DN430" i="43" s="1"/>
  <c r="DG432" i="43"/>
  <c r="DI1029" i="43"/>
  <c r="DO1029" i="43"/>
  <c r="DK1029" i="43"/>
  <c r="DP1028" i="43"/>
  <c r="DS429" i="43" l="1"/>
  <c r="DR430" i="43"/>
  <c r="DP431" i="43"/>
  <c r="DQ431" i="43" s="1"/>
  <c r="DM431" i="43"/>
  <c r="DN431" i="43" s="1"/>
  <c r="DH432" i="43"/>
  <c r="DO432" i="43"/>
  <c r="DK432" i="43"/>
  <c r="DG433" i="43"/>
  <c r="DI1030" i="43"/>
  <c r="DO1030" i="43"/>
  <c r="DK1030" i="43"/>
  <c r="DP1029" i="43"/>
  <c r="DP432" i="43" l="1"/>
  <c r="DQ432" i="43" s="1"/>
  <c r="DM432" i="43"/>
  <c r="DN432" i="43" s="1"/>
  <c r="DH433" i="43"/>
  <c r="DO433" i="43"/>
  <c r="DR431" i="43"/>
  <c r="DS430" i="43"/>
  <c r="DK433" i="43"/>
  <c r="DG434" i="43"/>
  <c r="DI1031" i="43"/>
  <c r="DO1031" i="43"/>
  <c r="DP1030" i="43"/>
  <c r="DK1031" i="43"/>
  <c r="DK434" i="43" l="1"/>
  <c r="DP433" i="43"/>
  <c r="DQ433" i="43" s="1"/>
  <c r="DM433" i="43"/>
  <c r="DN433" i="43" s="1"/>
  <c r="DH434" i="43"/>
  <c r="DO434" i="43"/>
  <c r="DK435" i="43"/>
  <c r="DR432" i="43"/>
  <c r="DS431" i="43"/>
  <c r="DG435" i="43"/>
  <c r="DI1032" i="43"/>
  <c r="DO1032" i="43"/>
  <c r="DK1032" i="43"/>
  <c r="DP1031" i="43"/>
  <c r="DR433" i="43" l="1"/>
  <c r="DS432" i="43"/>
  <c r="DP434" i="43"/>
  <c r="DQ434" i="43" s="1"/>
  <c r="DM434" i="43"/>
  <c r="DN434" i="43" s="1"/>
  <c r="DO435" i="43"/>
  <c r="DH435" i="43"/>
  <c r="DG436" i="43"/>
  <c r="DK436" i="43" s="1"/>
  <c r="DI1033" i="43"/>
  <c r="DO1033" i="43"/>
  <c r="DK1033" i="43"/>
  <c r="DP1032" i="43"/>
  <c r="DP435" i="43" l="1"/>
  <c r="DQ435" i="43" s="1"/>
  <c r="DM435" i="43"/>
  <c r="DN435" i="43" s="1"/>
  <c r="DH436" i="43"/>
  <c r="DO436" i="43"/>
  <c r="DS433" i="43"/>
  <c r="DR434" i="43"/>
  <c r="DG437" i="43"/>
  <c r="DI1034" i="43"/>
  <c r="DO1034" i="43"/>
  <c r="DP1033" i="43"/>
  <c r="DK1034" i="43"/>
  <c r="DP436" i="43" l="1"/>
  <c r="DQ436" i="43" s="1"/>
  <c r="DM436" i="43"/>
  <c r="DN436" i="43" s="1"/>
  <c r="DH437" i="43"/>
  <c r="DO437" i="43"/>
  <c r="DR435" i="43"/>
  <c r="DS434" i="43"/>
  <c r="DK437" i="43"/>
  <c r="DG438" i="43"/>
  <c r="DK1035" i="43"/>
  <c r="DI1035" i="43"/>
  <c r="DO1035" i="43"/>
  <c r="DP1034" i="43"/>
  <c r="DR436" i="43" l="1"/>
  <c r="DS435" i="43"/>
  <c r="DP437" i="43"/>
  <c r="DQ437" i="43" s="1"/>
  <c r="DM437" i="43"/>
  <c r="DN437" i="43" s="1"/>
  <c r="DK438" i="43"/>
  <c r="DH438" i="43"/>
  <c r="DO438" i="43"/>
  <c r="DG439" i="43"/>
  <c r="DI1036" i="43"/>
  <c r="DO1036" i="43"/>
  <c r="DP1035" i="43"/>
  <c r="DK1036" i="43"/>
  <c r="DP438" i="43" l="1"/>
  <c r="DQ438" i="43" s="1"/>
  <c r="DM438" i="43"/>
  <c r="DN438" i="43" s="1"/>
  <c r="DK439" i="43"/>
  <c r="DH439" i="43"/>
  <c r="DO439" i="43"/>
  <c r="DS436" i="43"/>
  <c r="DR437" i="43"/>
  <c r="DG440" i="43"/>
  <c r="DI1037" i="43"/>
  <c r="DO1037" i="43"/>
  <c r="DK1037" i="43"/>
  <c r="DP1036" i="43"/>
  <c r="DP439" i="43" l="1"/>
  <c r="DQ439" i="43" s="1"/>
  <c r="DM439" i="43"/>
  <c r="DN439" i="43" s="1"/>
  <c r="DR438" i="43"/>
  <c r="DS437" i="43"/>
  <c r="DK440" i="43"/>
  <c r="DH440" i="43"/>
  <c r="DO440" i="43"/>
  <c r="DG441" i="43"/>
  <c r="DI1038" i="43"/>
  <c r="DO1038" i="43"/>
  <c r="DK1038" i="43"/>
  <c r="DP1037" i="43"/>
  <c r="DK441" i="43" l="1"/>
  <c r="DS438" i="43"/>
  <c r="DR439" i="43"/>
  <c r="DH441" i="43"/>
  <c r="DO441" i="43"/>
  <c r="DP440" i="43"/>
  <c r="DQ440" i="43" s="1"/>
  <c r="DM440" i="43"/>
  <c r="DN440" i="43" s="1"/>
  <c r="DG442" i="43"/>
  <c r="DI1039" i="43"/>
  <c r="DO1039" i="43"/>
  <c r="DK1039" i="43"/>
  <c r="DP1038" i="43"/>
  <c r="DP441" i="43" l="1"/>
  <c r="DQ441" i="43" s="1"/>
  <c r="DM441" i="43"/>
  <c r="DN441" i="43" s="1"/>
  <c r="DR440" i="43"/>
  <c r="DS439" i="43"/>
  <c r="DH442" i="43"/>
  <c r="DO442" i="43"/>
  <c r="DK442" i="43"/>
  <c r="DG443" i="43"/>
  <c r="DI1040" i="43"/>
  <c r="DO1040" i="43"/>
  <c r="DK1040" i="43"/>
  <c r="DP1039" i="43"/>
  <c r="DK443" i="43" l="1"/>
  <c r="DS440" i="43"/>
  <c r="DR441" i="43"/>
  <c r="DP442" i="43"/>
  <c r="DQ442" i="43" s="1"/>
  <c r="DM442" i="43"/>
  <c r="DN442" i="43" s="1"/>
  <c r="DH443" i="43"/>
  <c r="DO443" i="43"/>
  <c r="DG444" i="43"/>
  <c r="DI1041" i="43"/>
  <c r="DO1041" i="43"/>
  <c r="DK1041" i="43"/>
  <c r="DP1040" i="43"/>
  <c r="DH444" i="43" l="1"/>
  <c r="DO444" i="43"/>
  <c r="DR442" i="43"/>
  <c r="DS441" i="43"/>
  <c r="DP443" i="43"/>
  <c r="DQ443" i="43" s="1"/>
  <c r="DM443" i="43"/>
  <c r="DN443" i="43" s="1"/>
  <c r="DK444" i="43"/>
  <c r="DG445" i="43"/>
  <c r="DI1042" i="43"/>
  <c r="DO1042" i="43"/>
  <c r="DK1042" i="43"/>
  <c r="DP1041" i="43"/>
  <c r="DK445" i="43" l="1"/>
  <c r="DP444" i="43"/>
  <c r="DQ444" i="43" s="1"/>
  <c r="DM444" i="43"/>
  <c r="DN444" i="43" s="1"/>
  <c r="DR443" i="43"/>
  <c r="DS442" i="43"/>
  <c r="DO445" i="43"/>
  <c r="DH445" i="43"/>
  <c r="DG446" i="43"/>
  <c r="DK1043" i="43"/>
  <c r="DP1042" i="43"/>
  <c r="DI1043" i="43"/>
  <c r="DO1043" i="43"/>
  <c r="DP445" i="43" l="1"/>
  <c r="DQ445" i="43" s="1"/>
  <c r="DM445" i="43"/>
  <c r="DN445" i="43" s="1"/>
  <c r="DS443" i="43"/>
  <c r="DR444" i="43"/>
  <c r="DH446" i="43"/>
  <c r="DO446" i="43"/>
  <c r="DK446" i="43"/>
  <c r="DG447" i="43"/>
  <c r="DI1044" i="43"/>
  <c r="DO1044" i="43"/>
  <c r="DP1043" i="43"/>
  <c r="DK1044" i="43"/>
  <c r="DK447" i="43" l="1"/>
  <c r="DS444" i="43"/>
  <c r="DR445" i="43"/>
  <c r="DP446" i="43"/>
  <c r="DQ446" i="43" s="1"/>
  <c r="DM446" i="43"/>
  <c r="DN446" i="43" s="1"/>
  <c r="DH447" i="43"/>
  <c r="DO447" i="43"/>
  <c r="DG448" i="43"/>
  <c r="DI1045" i="43"/>
  <c r="DO1045" i="43"/>
  <c r="DK1045" i="43"/>
  <c r="DP1044" i="43"/>
  <c r="DR446" i="43" l="1"/>
  <c r="DS445" i="43"/>
  <c r="DH448" i="43"/>
  <c r="DO448" i="43"/>
  <c r="DP447" i="43"/>
  <c r="DQ447" i="43" s="1"/>
  <c r="DM447" i="43"/>
  <c r="DN447" i="43" s="1"/>
  <c r="DK448" i="43"/>
  <c r="DG449" i="43"/>
  <c r="DI1046" i="43"/>
  <c r="DO1046" i="43"/>
  <c r="DP1045" i="43"/>
  <c r="DK1046" i="43"/>
  <c r="DK449" i="43" l="1"/>
  <c r="DP448" i="43"/>
  <c r="DQ448" i="43" s="1"/>
  <c r="DM448" i="43"/>
  <c r="DN448" i="43" s="1"/>
  <c r="DH449" i="43"/>
  <c r="DO449" i="43"/>
  <c r="DS446" i="43"/>
  <c r="DR447" i="43"/>
  <c r="DG450" i="43"/>
  <c r="DI1047" i="43"/>
  <c r="DO1047" i="43"/>
  <c r="DK1047" i="43"/>
  <c r="DP1046" i="43"/>
  <c r="DP449" i="43" l="1"/>
  <c r="DQ449" i="43" s="1"/>
  <c r="DM449" i="43"/>
  <c r="DN449" i="43" s="1"/>
  <c r="DH450" i="43"/>
  <c r="DO450" i="43"/>
  <c r="DK450" i="43"/>
  <c r="DR448" i="43"/>
  <c r="DS447" i="43"/>
  <c r="DG451" i="43"/>
  <c r="DI1048" i="43"/>
  <c r="DO1048" i="43"/>
  <c r="DK1048" i="43"/>
  <c r="DP1047" i="43"/>
  <c r="DR449" i="43" l="1"/>
  <c r="DS448" i="43"/>
  <c r="DK451" i="43"/>
  <c r="DP450" i="43"/>
  <c r="DQ450" i="43" s="1"/>
  <c r="DM450" i="43"/>
  <c r="DN450" i="43" s="1"/>
  <c r="DO451" i="43"/>
  <c r="DH451" i="43"/>
  <c r="DG452" i="43"/>
  <c r="DI1049" i="43"/>
  <c r="DO1049" i="43"/>
  <c r="DK1049" i="43"/>
  <c r="DP1048" i="43"/>
  <c r="DP451" i="43" l="1"/>
  <c r="DQ451" i="43" s="1"/>
  <c r="DM451" i="43"/>
  <c r="DN451" i="43" s="1"/>
  <c r="DH452" i="43"/>
  <c r="DO452" i="43"/>
  <c r="DK452" i="43"/>
  <c r="DS449" i="43"/>
  <c r="DR450" i="43"/>
  <c r="DG453" i="43"/>
  <c r="DP1049" i="43"/>
  <c r="DI1050" i="43"/>
  <c r="DO1050" i="43"/>
  <c r="DK1050" i="43"/>
  <c r="DK453" i="43" l="1"/>
  <c r="DP452" i="43"/>
  <c r="DQ452" i="43" s="1"/>
  <c r="DM452" i="43"/>
  <c r="DN452" i="43" s="1"/>
  <c r="DR451" i="43"/>
  <c r="DS450" i="43"/>
  <c r="DO453" i="43"/>
  <c r="DH453" i="43"/>
  <c r="DG454" i="43"/>
  <c r="DK1051" i="43"/>
  <c r="DI1051" i="43"/>
  <c r="DO1051" i="43"/>
  <c r="DP1050" i="43"/>
  <c r="DP453" i="43" l="1"/>
  <c r="DQ453" i="43" s="1"/>
  <c r="DM453" i="43"/>
  <c r="DN453" i="43" s="1"/>
  <c r="DR452" i="43"/>
  <c r="DS451" i="43"/>
  <c r="DH454" i="43"/>
  <c r="DO454" i="43"/>
  <c r="DK454" i="43"/>
  <c r="DG455" i="43"/>
  <c r="DI1052" i="43"/>
  <c r="DO1052" i="43"/>
  <c r="DP1051" i="43"/>
  <c r="DK1052" i="43"/>
  <c r="DS452" i="43" l="1"/>
  <c r="DR453" i="43"/>
  <c r="DP454" i="43"/>
  <c r="DQ454" i="43" s="1"/>
  <c r="DM454" i="43"/>
  <c r="DN454" i="43" s="1"/>
  <c r="DH455" i="43"/>
  <c r="DO455" i="43"/>
  <c r="DK455" i="43"/>
  <c r="DG456" i="43"/>
  <c r="DK1053" i="43"/>
  <c r="DI1053" i="43"/>
  <c r="DO1053" i="43"/>
  <c r="DP1052" i="43"/>
  <c r="DK456" i="43" l="1"/>
  <c r="DP455" i="43"/>
  <c r="DQ455" i="43" s="1"/>
  <c r="DM455" i="43"/>
  <c r="DN455" i="43" s="1"/>
  <c r="DO456" i="43"/>
  <c r="DH456" i="43"/>
  <c r="DR454" i="43"/>
  <c r="DS453" i="43"/>
  <c r="DK457" i="43"/>
  <c r="DG457" i="43"/>
  <c r="DI1054" i="43"/>
  <c r="DO1054" i="43"/>
  <c r="DP1053" i="43"/>
  <c r="DK1054" i="43"/>
  <c r="DS454" i="43" l="1"/>
  <c r="DR455" i="43"/>
  <c r="DP456" i="43"/>
  <c r="DQ456" i="43" s="1"/>
  <c r="DM456" i="43"/>
  <c r="DN456" i="43" s="1"/>
  <c r="DH457" i="43"/>
  <c r="DO457" i="43"/>
  <c r="DG458" i="43"/>
  <c r="DI1055" i="43"/>
  <c r="DO1055" i="43"/>
  <c r="DK1055" i="43"/>
  <c r="DP1054" i="43"/>
  <c r="DR456" i="43" l="1"/>
  <c r="DS455" i="43"/>
  <c r="DH458" i="43"/>
  <c r="DO458" i="43"/>
  <c r="DP457" i="43"/>
  <c r="DQ457" i="43" s="1"/>
  <c r="DM457" i="43"/>
  <c r="DN457" i="43" s="1"/>
  <c r="DK458" i="43"/>
  <c r="DG459" i="43"/>
  <c r="DI1056" i="43"/>
  <c r="DO1056" i="43"/>
  <c r="DK1056" i="43"/>
  <c r="DP1055" i="43"/>
  <c r="DK459" i="43" l="1"/>
  <c r="DP458" i="43"/>
  <c r="DQ458" i="43" s="1"/>
  <c r="DM458" i="43"/>
  <c r="DN458" i="43" s="1"/>
  <c r="DH459" i="43"/>
  <c r="DO459" i="43"/>
  <c r="DS456" i="43"/>
  <c r="DR457" i="43"/>
  <c r="DG460" i="43"/>
  <c r="DI1057" i="43"/>
  <c r="DO1057" i="43"/>
  <c r="DP1056" i="43"/>
  <c r="DK1057" i="43"/>
  <c r="DK460" i="43" l="1"/>
  <c r="DP459" i="43"/>
  <c r="DQ459" i="43" s="1"/>
  <c r="DM459" i="43"/>
  <c r="DN459" i="43" s="1"/>
  <c r="DH460" i="43"/>
  <c r="DO460" i="43"/>
  <c r="DR458" i="43"/>
  <c r="DS457" i="43"/>
  <c r="DG461" i="43"/>
  <c r="DK1058" i="43"/>
  <c r="DI1058" i="43"/>
  <c r="DO1058" i="43"/>
  <c r="DP1057" i="43"/>
  <c r="DR459" i="43" l="1"/>
  <c r="DS458" i="43"/>
  <c r="DK461" i="43"/>
  <c r="DP460" i="43"/>
  <c r="DQ460" i="43" s="1"/>
  <c r="DM460" i="43"/>
  <c r="DN460" i="43" s="1"/>
  <c r="DH461" i="43"/>
  <c r="DO461" i="43"/>
  <c r="DG462" i="43"/>
  <c r="DI1059" i="43"/>
  <c r="DO1059" i="43"/>
  <c r="DP1058" i="43"/>
  <c r="DK1059" i="43"/>
  <c r="DK462" i="43" l="1"/>
  <c r="DH462" i="43"/>
  <c r="DO462" i="43"/>
  <c r="DK463" i="43"/>
  <c r="DP461" i="43"/>
  <c r="DQ461" i="43" s="1"/>
  <c r="DM461" i="43"/>
  <c r="DN461" i="43" s="1"/>
  <c r="DS459" i="43"/>
  <c r="DR460" i="43"/>
  <c r="DG463" i="43"/>
  <c r="DI1060" i="43"/>
  <c r="DO1060" i="43"/>
  <c r="DK1060" i="43"/>
  <c r="DP1059" i="43"/>
  <c r="DS460" i="43" l="1"/>
  <c r="DR461" i="43"/>
  <c r="DP462" i="43"/>
  <c r="DQ462" i="43" s="1"/>
  <c r="DM462" i="43"/>
  <c r="DN462" i="43" s="1"/>
  <c r="DO463" i="43"/>
  <c r="DH463" i="43"/>
  <c r="DG464" i="43"/>
  <c r="DK464" i="43" s="1"/>
  <c r="DI1061" i="43"/>
  <c r="DO1061" i="43"/>
  <c r="DK1061" i="43"/>
  <c r="DP1060" i="43"/>
  <c r="DP463" i="43" l="1"/>
  <c r="DQ463" i="43" s="1"/>
  <c r="DM463" i="43"/>
  <c r="DN463" i="43" s="1"/>
  <c r="DH464" i="43"/>
  <c r="DO464" i="43"/>
  <c r="DS461" i="43"/>
  <c r="DR462" i="43"/>
  <c r="DG465" i="43"/>
  <c r="DK465" i="43" s="1"/>
  <c r="DO1062" i="43"/>
  <c r="DI1062" i="43"/>
  <c r="DK1062" i="43"/>
  <c r="DP1061" i="43"/>
  <c r="DP464" i="43" l="1"/>
  <c r="DQ464" i="43" s="1"/>
  <c r="DM464" i="43"/>
  <c r="DN464" i="43" s="1"/>
  <c r="DS462" i="43"/>
  <c r="DR463" i="43"/>
  <c r="DO465" i="43"/>
  <c r="DH465" i="43"/>
  <c r="DG466" i="43"/>
  <c r="DI1063" i="43"/>
  <c r="DO1063" i="43"/>
  <c r="DK1063" i="43"/>
  <c r="DP1062" i="43"/>
  <c r="DP465" i="43" l="1"/>
  <c r="DQ465" i="43" s="1"/>
  <c r="DM465" i="43"/>
  <c r="DN465" i="43" s="1"/>
  <c r="DR464" i="43"/>
  <c r="DS463" i="43"/>
  <c r="DO466" i="43"/>
  <c r="DH466" i="43"/>
  <c r="DK466" i="43"/>
  <c r="DG467" i="43"/>
  <c r="DI1064" i="43"/>
  <c r="DO1064" i="43"/>
  <c r="DP1063" i="43"/>
  <c r="DK1064" i="43"/>
  <c r="DP466" i="43" l="1"/>
  <c r="DQ466" i="43" s="1"/>
  <c r="DM466" i="43"/>
  <c r="DN466" i="43" s="1"/>
  <c r="DS464" i="43"/>
  <c r="DR465" i="43"/>
  <c r="DH467" i="43"/>
  <c r="DO467" i="43"/>
  <c r="DK467" i="43"/>
  <c r="DG468" i="43"/>
  <c r="DI1065" i="43"/>
  <c r="DO1065" i="43"/>
  <c r="DK1065" i="43"/>
  <c r="DP1064" i="43"/>
  <c r="DK468" i="43" l="1"/>
  <c r="DP467" i="43"/>
  <c r="DQ467" i="43" s="1"/>
  <c r="DM467" i="43"/>
  <c r="DN467" i="43" s="1"/>
  <c r="DR466" i="43"/>
  <c r="DS465" i="43"/>
  <c r="DH468" i="43"/>
  <c r="DO468" i="43"/>
  <c r="DG469" i="43"/>
  <c r="DK469" i="43" s="1"/>
  <c r="DI1066" i="43"/>
  <c r="DO1066" i="43"/>
  <c r="DK1066" i="43"/>
  <c r="DP1065" i="43"/>
  <c r="DP468" i="43" l="1"/>
  <c r="DQ468" i="43" s="1"/>
  <c r="DM468" i="43"/>
  <c r="DN468" i="43" s="1"/>
  <c r="DR467" i="43"/>
  <c r="DS466" i="43"/>
  <c r="DH469" i="43"/>
  <c r="DO469" i="43"/>
  <c r="DG470" i="43"/>
  <c r="DP1066" i="43"/>
  <c r="DI1067" i="43"/>
  <c r="DO1067" i="43"/>
  <c r="DK1067" i="43"/>
  <c r="DP469" i="43" l="1"/>
  <c r="DQ469" i="43" s="1"/>
  <c r="DM469" i="43"/>
  <c r="DN469" i="43" s="1"/>
  <c r="DR468" i="43"/>
  <c r="DS467" i="43"/>
  <c r="DH470" i="43"/>
  <c r="DO470" i="43"/>
  <c r="DK470" i="43"/>
  <c r="DG471" i="43"/>
  <c r="DI1068" i="43"/>
  <c r="DO1068" i="43"/>
  <c r="DP1067" i="43"/>
  <c r="DK1068" i="43"/>
  <c r="DP470" i="43" l="1"/>
  <c r="DQ470" i="43" s="1"/>
  <c r="DM470" i="43"/>
  <c r="DN470" i="43" s="1"/>
  <c r="DK471" i="43"/>
  <c r="DS468" i="43"/>
  <c r="DR469" i="43"/>
  <c r="DO471" i="43"/>
  <c r="DH471" i="43"/>
  <c r="DG472" i="43"/>
  <c r="DP1068" i="43"/>
  <c r="DI1069" i="43"/>
  <c r="DO1069" i="43"/>
  <c r="DK1069" i="43"/>
  <c r="DK472" i="43" l="1"/>
  <c r="DP471" i="43"/>
  <c r="DQ471" i="43" s="1"/>
  <c r="DM471" i="43"/>
  <c r="DN471" i="43" s="1"/>
  <c r="DS469" i="43"/>
  <c r="DR470" i="43"/>
  <c r="DO472" i="43"/>
  <c r="DH472" i="43"/>
  <c r="DG473" i="43"/>
  <c r="DK473" i="43" s="1"/>
  <c r="DK1070" i="43"/>
  <c r="DP1069" i="43"/>
  <c r="DI1070" i="43"/>
  <c r="DO1070" i="43"/>
  <c r="DP472" i="43" l="1"/>
  <c r="DQ472" i="43" s="1"/>
  <c r="DM472" i="43"/>
  <c r="DN472" i="43" s="1"/>
  <c r="DS470" i="43"/>
  <c r="DR471" i="43"/>
  <c r="DH473" i="43"/>
  <c r="DO473" i="43"/>
  <c r="DG474" i="43"/>
  <c r="DI1071" i="43"/>
  <c r="DO1071" i="43"/>
  <c r="DP1070" i="43"/>
  <c r="DK1071" i="43"/>
  <c r="DP473" i="43" l="1"/>
  <c r="DQ473" i="43" s="1"/>
  <c r="DM473" i="43"/>
  <c r="DN473" i="43" s="1"/>
  <c r="DR472" i="43"/>
  <c r="DS471" i="43"/>
  <c r="DO474" i="43"/>
  <c r="DH474" i="43"/>
  <c r="DK474" i="43"/>
  <c r="DG475" i="43"/>
  <c r="DI1072" i="43"/>
  <c r="DO1072" i="43"/>
  <c r="DK1072" i="43"/>
  <c r="DP1071" i="43"/>
  <c r="DP474" i="43" l="1"/>
  <c r="DQ474" i="43" s="1"/>
  <c r="DM474" i="43"/>
  <c r="DN474" i="43" s="1"/>
  <c r="DS472" i="43"/>
  <c r="DR473" i="43"/>
  <c r="DH475" i="43"/>
  <c r="DO475" i="43"/>
  <c r="DK475" i="43"/>
  <c r="DG476" i="43"/>
  <c r="DI1073" i="43"/>
  <c r="DO1073" i="43"/>
  <c r="DK1073" i="43"/>
  <c r="DP1072" i="43"/>
  <c r="DK476" i="43" l="1"/>
  <c r="DP475" i="43"/>
  <c r="DQ475" i="43" s="1"/>
  <c r="DM475" i="43"/>
  <c r="DN475" i="43" s="1"/>
  <c r="DH476" i="43"/>
  <c r="DO476" i="43"/>
  <c r="DR474" i="43"/>
  <c r="DS473" i="43"/>
  <c r="DG477" i="43"/>
  <c r="DK477" i="43" s="1"/>
  <c r="DI1074" i="43"/>
  <c r="DO1074" i="43"/>
  <c r="DP1073" i="43"/>
  <c r="DK1074" i="43"/>
  <c r="DS474" i="43" l="1"/>
  <c r="DR475" i="43"/>
  <c r="DP476" i="43"/>
  <c r="DQ476" i="43" s="1"/>
  <c r="DM476" i="43"/>
  <c r="DN476" i="43" s="1"/>
  <c r="DO477" i="43"/>
  <c r="DH477" i="43"/>
  <c r="DG478" i="43"/>
  <c r="DI1075" i="43"/>
  <c r="DO1075" i="43"/>
  <c r="DK1075" i="43"/>
  <c r="DP1074" i="43"/>
  <c r="DP477" i="43" l="1"/>
  <c r="DQ477" i="43" s="1"/>
  <c r="DM477" i="43"/>
  <c r="DN477" i="43" s="1"/>
  <c r="DR476" i="43"/>
  <c r="DS475" i="43"/>
  <c r="DH478" i="43"/>
  <c r="DO478" i="43"/>
  <c r="DK478" i="43"/>
  <c r="DG479" i="43"/>
  <c r="DI1076" i="43"/>
  <c r="DO1076" i="43"/>
  <c r="DK1076" i="43"/>
  <c r="DP1075" i="43"/>
  <c r="DK479" i="43" l="1"/>
  <c r="DP478" i="43"/>
  <c r="DQ478" i="43" s="1"/>
  <c r="DM478" i="43"/>
  <c r="DN478" i="43" s="1"/>
  <c r="DS476" i="43"/>
  <c r="DR477" i="43"/>
  <c r="DO479" i="43"/>
  <c r="DH479" i="43"/>
  <c r="DG480" i="43"/>
  <c r="DI1077" i="43"/>
  <c r="DO1077" i="43"/>
  <c r="DK1077" i="43"/>
  <c r="DP1076" i="43"/>
  <c r="DR478" i="43" l="1"/>
  <c r="DS477" i="43"/>
  <c r="DP479" i="43"/>
  <c r="DQ479" i="43" s="1"/>
  <c r="DM479" i="43"/>
  <c r="DN479" i="43" s="1"/>
  <c r="DH480" i="43"/>
  <c r="DO480" i="43"/>
  <c r="DK480" i="43"/>
  <c r="DG481" i="43"/>
  <c r="DI1078" i="43"/>
  <c r="DO1078" i="43"/>
  <c r="DK1078" i="43"/>
  <c r="DP1077" i="43"/>
  <c r="DK481" i="43" l="1"/>
  <c r="DP480" i="43"/>
  <c r="DQ480" i="43" s="1"/>
  <c r="DM480" i="43"/>
  <c r="DN480" i="43" s="1"/>
  <c r="DO481" i="43"/>
  <c r="DH481" i="43"/>
  <c r="DS478" i="43"/>
  <c r="DR479" i="43"/>
  <c r="DG482" i="43"/>
  <c r="DP1078" i="43"/>
  <c r="DI1079" i="43"/>
  <c r="DO1079" i="43"/>
  <c r="DK1079" i="43"/>
  <c r="DK482" i="43" l="1"/>
  <c r="DP481" i="43"/>
  <c r="DQ481" i="43" s="1"/>
  <c r="DM481" i="43"/>
  <c r="DN481" i="43" s="1"/>
  <c r="DH482" i="43"/>
  <c r="DO482" i="43"/>
  <c r="DS479" i="43"/>
  <c r="DR480" i="43"/>
  <c r="DG483" i="43"/>
  <c r="DI1080" i="43"/>
  <c r="DO1080" i="43"/>
  <c r="DK1080" i="43"/>
  <c r="DP1079" i="43"/>
  <c r="DS480" i="43" l="1"/>
  <c r="DR481" i="43"/>
  <c r="DP482" i="43"/>
  <c r="DQ482" i="43" s="1"/>
  <c r="DM482" i="43"/>
  <c r="DN482" i="43" s="1"/>
  <c r="DH483" i="43"/>
  <c r="DO483" i="43"/>
  <c r="DK483" i="43"/>
  <c r="DG484" i="43"/>
  <c r="DI1081" i="43"/>
  <c r="DO1081" i="43"/>
  <c r="DK1081" i="43"/>
  <c r="DP1080" i="43"/>
  <c r="DK484" i="43" l="1"/>
  <c r="DP483" i="43"/>
  <c r="DQ483" i="43" s="1"/>
  <c r="DM483" i="43"/>
  <c r="DN483" i="43" s="1"/>
  <c r="DH484" i="43"/>
  <c r="DO484" i="43"/>
  <c r="DR482" i="43"/>
  <c r="DS481" i="43"/>
  <c r="DG485" i="43"/>
  <c r="DP1081" i="43"/>
  <c r="DI1082" i="43"/>
  <c r="DO1082" i="43"/>
  <c r="DK1082" i="43"/>
  <c r="DP484" i="43" l="1"/>
  <c r="DQ484" i="43" s="1"/>
  <c r="DM484" i="43"/>
  <c r="DN484" i="43" s="1"/>
  <c r="DS482" i="43"/>
  <c r="DR483" i="43"/>
  <c r="DH485" i="43"/>
  <c r="DO485" i="43"/>
  <c r="DK485" i="43"/>
  <c r="DG486" i="43"/>
  <c r="DI1083" i="43"/>
  <c r="DO1083" i="43"/>
  <c r="DK1083" i="43"/>
  <c r="DP1082" i="43"/>
  <c r="DP485" i="43" l="1"/>
  <c r="DQ485" i="43" s="1"/>
  <c r="DM485" i="43"/>
  <c r="DN485" i="43" s="1"/>
  <c r="DS483" i="43"/>
  <c r="DR484" i="43"/>
  <c r="DK486" i="43"/>
  <c r="DH486" i="43"/>
  <c r="DO486" i="43"/>
  <c r="DG487" i="43"/>
  <c r="DP1083" i="43"/>
  <c r="DI1084" i="43"/>
  <c r="DO1084" i="43"/>
  <c r="DK1084" i="43"/>
  <c r="DK487" i="43" l="1"/>
  <c r="DR485" i="43"/>
  <c r="DS484" i="43"/>
  <c r="DH487" i="43"/>
  <c r="DO487" i="43"/>
  <c r="DP486" i="43"/>
  <c r="DQ486" i="43" s="1"/>
  <c r="DM486" i="43"/>
  <c r="DN486" i="43" s="1"/>
  <c r="DG488" i="43"/>
  <c r="DK488" i="43" s="1"/>
  <c r="DI1085" i="43"/>
  <c r="DO1085" i="43"/>
  <c r="DK1085" i="43"/>
  <c r="DP1084" i="43"/>
  <c r="DP487" i="43" l="1"/>
  <c r="DQ487" i="43" s="1"/>
  <c r="DM487" i="43"/>
  <c r="DN487" i="43" s="1"/>
  <c r="DH488" i="43"/>
  <c r="DO488" i="43"/>
  <c r="DS485" i="43"/>
  <c r="DR486" i="43"/>
  <c r="DG489" i="43"/>
  <c r="DK489" i="43" s="1"/>
  <c r="DI1086" i="43"/>
  <c r="DO1086" i="43"/>
  <c r="DP1085" i="43"/>
  <c r="DK1086" i="43"/>
  <c r="DP488" i="43" l="1"/>
  <c r="DQ488" i="43" s="1"/>
  <c r="DM488" i="43"/>
  <c r="DN488" i="43" s="1"/>
  <c r="DH489" i="43"/>
  <c r="DO489" i="43"/>
  <c r="DR487" i="43"/>
  <c r="DS486" i="43"/>
  <c r="DG490" i="43"/>
  <c r="DP1086" i="43"/>
  <c r="DI1087" i="43"/>
  <c r="DO1087" i="43"/>
  <c r="DK1087" i="43"/>
  <c r="DS487" i="43" l="1"/>
  <c r="DR488" i="43"/>
  <c r="DP489" i="43"/>
  <c r="DQ489" i="43" s="1"/>
  <c r="DM489" i="43"/>
  <c r="DN489" i="43" s="1"/>
  <c r="DH490" i="43"/>
  <c r="DO490" i="43"/>
  <c r="DK490" i="43"/>
  <c r="DG491" i="43"/>
  <c r="DI1088" i="43"/>
  <c r="DO1088" i="43"/>
  <c r="DK1088" i="43"/>
  <c r="DP1087" i="43"/>
  <c r="DP490" i="43" l="1"/>
  <c r="DQ490" i="43" s="1"/>
  <c r="DM490" i="43"/>
  <c r="DN490" i="43" s="1"/>
  <c r="DK491" i="43"/>
  <c r="DS488" i="43"/>
  <c r="DR489" i="43"/>
  <c r="DH491" i="43"/>
  <c r="DO491" i="43"/>
  <c r="DG492" i="43"/>
  <c r="DI1089" i="43"/>
  <c r="DO1089" i="43"/>
  <c r="DK1089" i="43"/>
  <c r="DP1088" i="43"/>
  <c r="DK492" i="43" l="1"/>
  <c r="DH492" i="43"/>
  <c r="DO492" i="43"/>
  <c r="DR490" i="43"/>
  <c r="DS489" i="43"/>
  <c r="DP491" i="43"/>
  <c r="DQ491" i="43" s="1"/>
  <c r="DM491" i="43"/>
  <c r="DN491" i="43" s="1"/>
  <c r="DG493" i="43"/>
  <c r="DI1090" i="43"/>
  <c r="DO1090" i="43"/>
  <c r="DP1089" i="43"/>
  <c r="DK1090" i="43"/>
  <c r="DS490" i="43" l="1"/>
  <c r="DR491" i="43"/>
  <c r="DP492" i="43"/>
  <c r="DQ492" i="43" s="1"/>
  <c r="DM492" i="43"/>
  <c r="DN492" i="43" s="1"/>
  <c r="DH493" i="43"/>
  <c r="DO493" i="43"/>
  <c r="DK493" i="43"/>
  <c r="DG494" i="43"/>
  <c r="DI1091" i="43"/>
  <c r="DO1091" i="43"/>
  <c r="DK1091" i="43"/>
  <c r="DP1090" i="43"/>
  <c r="DK494" i="43" l="1"/>
  <c r="DP493" i="43"/>
  <c r="DQ493" i="43" s="1"/>
  <c r="DM493" i="43"/>
  <c r="DN493" i="43" s="1"/>
  <c r="DH494" i="43"/>
  <c r="DO494" i="43"/>
  <c r="DS491" i="43"/>
  <c r="DR492" i="43"/>
  <c r="DG495" i="43"/>
  <c r="DI1092" i="43"/>
  <c r="DO1092" i="43"/>
  <c r="DK1092" i="43"/>
  <c r="DP1091" i="43"/>
  <c r="DS492" i="43" l="1"/>
  <c r="DR493" i="43"/>
  <c r="DP494" i="43"/>
  <c r="DQ494" i="43" s="1"/>
  <c r="DM494" i="43"/>
  <c r="DN494" i="43" s="1"/>
  <c r="DH495" i="43"/>
  <c r="DO495" i="43"/>
  <c r="DK495" i="43"/>
  <c r="DG496" i="43"/>
  <c r="DI1093" i="43"/>
  <c r="DO1093" i="43"/>
  <c r="DK1093" i="43"/>
  <c r="DP1092" i="43"/>
  <c r="DS493" i="43" l="1"/>
  <c r="DR494" i="43"/>
  <c r="DK496" i="43"/>
  <c r="DP495" i="43"/>
  <c r="DQ495" i="43" s="1"/>
  <c r="DM495" i="43"/>
  <c r="DN495" i="43" s="1"/>
  <c r="DH496" i="43"/>
  <c r="DO496" i="43"/>
  <c r="DG497" i="43"/>
  <c r="DP1093" i="43"/>
  <c r="DI1094" i="43"/>
  <c r="DO1094" i="43"/>
  <c r="DK1094" i="43"/>
  <c r="DH497" i="43" l="1"/>
  <c r="DO497" i="43"/>
  <c r="DK497" i="43"/>
  <c r="DR495" i="43"/>
  <c r="DS494" i="43"/>
  <c r="DP496" i="43"/>
  <c r="DQ496" i="43" s="1"/>
  <c r="DM496" i="43"/>
  <c r="DN496" i="43" s="1"/>
  <c r="DG498" i="43"/>
  <c r="DI1095" i="43"/>
  <c r="DO1095" i="43"/>
  <c r="DK1095" i="43"/>
  <c r="DP1094" i="43"/>
  <c r="DK498" i="43" l="1"/>
  <c r="DS495" i="43"/>
  <c r="DR496" i="43"/>
  <c r="DP497" i="43"/>
  <c r="DQ497" i="43" s="1"/>
  <c r="DM497" i="43"/>
  <c r="DN497" i="43" s="1"/>
  <c r="DH498" i="43"/>
  <c r="DO498" i="43"/>
  <c r="DG499" i="43"/>
  <c r="DI1096" i="43"/>
  <c r="DO1096" i="43"/>
  <c r="DP1095" i="43"/>
  <c r="DK1096" i="43"/>
  <c r="DS496" i="43" l="1"/>
  <c r="DR497" i="43"/>
  <c r="DH499" i="43"/>
  <c r="DO499" i="43"/>
  <c r="DP498" i="43"/>
  <c r="DQ498" i="43" s="1"/>
  <c r="DM498" i="43"/>
  <c r="DN498" i="43" s="1"/>
  <c r="DK499" i="43"/>
  <c r="DG500" i="43"/>
  <c r="DI1097" i="43"/>
  <c r="DO1097" i="43"/>
  <c r="DK1097" i="43"/>
  <c r="DP1096" i="43"/>
  <c r="DK500" i="43" l="1"/>
  <c r="DP499" i="43"/>
  <c r="DQ499" i="43" s="1"/>
  <c r="DM499" i="43"/>
  <c r="DN499" i="43" s="1"/>
  <c r="DR498" i="43"/>
  <c r="DS497" i="43"/>
  <c r="DH500" i="43"/>
  <c r="DO500" i="43"/>
  <c r="DG501" i="43"/>
  <c r="DI1098" i="43"/>
  <c r="DO1098" i="43"/>
  <c r="DP1097" i="43"/>
  <c r="DK1098" i="43"/>
  <c r="DS498" i="43" l="1"/>
  <c r="DR499" i="43"/>
  <c r="DH501" i="43"/>
  <c r="DO501" i="43"/>
  <c r="DP500" i="43"/>
  <c r="DQ500" i="43" s="1"/>
  <c r="DM500" i="43"/>
  <c r="DN500" i="43" s="1"/>
  <c r="DK501" i="43"/>
  <c r="DG502" i="43"/>
  <c r="DJ801" i="43"/>
  <c r="DI1099" i="43"/>
  <c r="DO1099" i="43"/>
  <c r="DP1098" i="43"/>
  <c r="DK1099" i="43"/>
  <c r="DP501" i="43" l="1"/>
  <c r="DQ501" i="43" s="1"/>
  <c r="DM501" i="43"/>
  <c r="DN501" i="43" s="1"/>
  <c r="DH502" i="43"/>
  <c r="DO502" i="43"/>
  <c r="DR500" i="43"/>
  <c r="DS499" i="43"/>
  <c r="DK502" i="43"/>
  <c r="DG503" i="43"/>
  <c r="DI1100" i="43"/>
  <c r="DO1100" i="43"/>
  <c r="DK1100" i="43"/>
  <c r="DP1099" i="43"/>
  <c r="DK503" i="43" l="1"/>
  <c r="DR501" i="43"/>
  <c r="DS500" i="43"/>
  <c r="DH503" i="43"/>
  <c r="DO503" i="43"/>
  <c r="DP502" i="43"/>
  <c r="DQ502" i="43" s="1"/>
  <c r="DM502" i="43"/>
  <c r="DN502" i="43" s="1"/>
  <c r="DG504" i="43"/>
  <c r="DI1101" i="43"/>
  <c r="DO1101" i="43"/>
  <c r="DP1100" i="43"/>
  <c r="DK1101" i="43"/>
  <c r="DP503" i="43" l="1"/>
  <c r="DQ503" i="43" s="1"/>
  <c r="DM503" i="43"/>
  <c r="DN503" i="43" s="1"/>
  <c r="DS501" i="43"/>
  <c r="DR502" i="43"/>
  <c r="DH504" i="43"/>
  <c r="DO504" i="43"/>
  <c r="DK504" i="43"/>
  <c r="DG505" i="43"/>
  <c r="DI1102" i="43"/>
  <c r="DO1102" i="43"/>
  <c r="DK1102" i="43"/>
  <c r="DP1101" i="43"/>
  <c r="DS502" i="43" l="1"/>
  <c r="DR503" i="43"/>
  <c r="DK505" i="43"/>
  <c r="DP504" i="43"/>
  <c r="DQ504" i="43" s="1"/>
  <c r="DM504" i="43"/>
  <c r="DN504" i="43" s="1"/>
  <c r="DH505" i="43"/>
  <c r="DO505" i="43"/>
  <c r="DG506" i="43"/>
  <c r="DO1103" i="43"/>
  <c r="DI1103" i="43"/>
  <c r="DP1102" i="43"/>
  <c r="DK1103" i="43"/>
  <c r="DK506" i="43" l="1"/>
  <c r="DH506" i="43"/>
  <c r="DO506" i="43"/>
  <c r="DS503" i="43"/>
  <c r="DR504" i="43"/>
  <c r="DK507" i="43"/>
  <c r="DP505" i="43"/>
  <c r="DQ505" i="43" s="1"/>
  <c r="DM505" i="43"/>
  <c r="DN505" i="43" s="1"/>
  <c r="DG507" i="43"/>
  <c r="DK1104" i="43"/>
  <c r="DI1104" i="43"/>
  <c r="DO1104" i="43"/>
  <c r="DP1103" i="43"/>
  <c r="DP506" i="43" l="1"/>
  <c r="DQ506" i="43" s="1"/>
  <c r="DM506" i="43"/>
  <c r="DN506" i="43" s="1"/>
  <c r="DR505" i="43"/>
  <c r="DS504" i="43"/>
  <c r="DO507" i="43"/>
  <c r="DH507" i="43"/>
  <c r="DG508" i="43"/>
  <c r="DK508" i="43" s="1"/>
  <c r="DP1104" i="43"/>
  <c r="DI1105" i="43"/>
  <c r="DO1105" i="43"/>
  <c r="DK1105" i="43"/>
  <c r="DS505" i="43" l="1"/>
  <c r="DR506" i="43"/>
  <c r="DP507" i="43"/>
  <c r="DQ507" i="43" s="1"/>
  <c r="DM507" i="43"/>
  <c r="DN507" i="43" s="1"/>
  <c r="DH508" i="43"/>
  <c r="DO508" i="43"/>
  <c r="DG509" i="43"/>
  <c r="DK509" i="43" s="1"/>
  <c r="DI1106" i="43"/>
  <c r="DO1106" i="43"/>
  <c r="DK1106" i="43"/>
  <c r="DP1105" i="43"/>
  <c r="DP508" i="43" l="1"/>
  <c r="DQ508" i="43" s="1"/>
  <c r="DM508" i="43"/>
  <c r="DN508" i="43" s="1"/>
  <c r="DS506" i="43"/>
  <c r="DR507" i="43"/>
  <c r="DH509" i="43"/>
  <c r="DO509" i="43"/>
  <c r="DG510" i="43"/>
  <c r="DK510" i="43" s="1"/>
  <c r="DP1106" i="43"/>
  <c r="DI1107" i="43"/>
  <c r="DO1107" i="43"/>
  <c r="DK1107" i="43"/>
  <c r="DS507" i="43" l="1"/>
  <c r="DR508" i="43"/>
  <c r="DH510" i="43"/>
  <c r="DO510" i="43"/>
  <c r="DP509" i="43"/>
  <c r="DQ509" i="43" s="1"/>
  <c r="DM509" i="43"/>
  <c r="DN509" i="43" s="1"/>
  <c r="DG511" i="43"/>
  <c r="DP1107" i="43"/>
  <c r="DI1108" i="43"/>
  <c r="DO1108" i="43"/>
  <c r="DK1108" i="43"/>
  <c r="DP510" i="43" l="1"/>
  <c r="DQ510" i="43" s="1"/>
  <c r="DM510" i="43"/>
  <c r="DN510" i="43" s="1"/>
  <c r="DH511" i="43"/>
  <c r="DO511" i="43"/>
  <c r="DS508" i="43"/>
  <c r="DR509" i="43"/>
  <c r="DK511" i="43"/>
  <c r="DG512" i="43"/>
  <c r="DI1109" i="43"/>
  <c r="DO1109" i="43"/>
  <c r="DK1109" i="43"/>
  <c r="DP1108" i="43"/>
  <c r="DR510" i="43" l="1"/>
  <c r="DS509" i="43"/>
  <c r="DP511" i="43"/>
  <c r="DQ511" i="43" s="1"/>
  <c r="DM511" i="43"/>
  <c r="DN511" i="43" s="1"/>
  <c r="DK512" i="43"/>
  <c r="DH512" i="43"/>
  <c r="DO512" i="43"/>
  <c r="DG513" i="43"/>
  <c r="DI1110" i="43"/>
  <c r="DO1110" i="43"/>
  <c r="DK1110" i="43"/>
  <c r="DP1109" i="43"/>
  <c r="DK513" i="43" l="1"/>
  <c r="DH513" i="43"/>
  <c r="DO513" i="43"/>
  <c r="DP512" i="43"/>
  <c r="DQ512" i="43" s="1"/>
  <c r="DM512" i="43"/>
  <c r="DN512" i="43" s="1"/>
  <c r="DR511" i="43"/>
  <c r="DS510" i="43"/>
  <c r="DG514" i="43"/>
  <c r="DI1111" i="43"/>
  <c r="DO1111" i="43"/>
  <c r="DP1110" i="43"/>
  <c r="DK1111" i="43"/>
  <c r="DP513" i="43" l="1"/>
  <c r="DQ513" i="43" s="1"/>
  <c r="DM513" i="43"/>
  <c r="DN513" i="43" s="1"/>
  <c r="DR512" i="43"/>
  <c r="DS511" i="43"/>
  <c r="DO514" i="43"/>
  <c r="DH514" i="43"/>
  <c r="DK514" i="43"/>
  <c r="DG515" i="43"/>
  <c r="DI1112" i="43"/>
  <c r="DO1112" i="43"/>
  <c r="DK1112" i="43"/>
  <c r="DP1111" i="43"/>
  <c r="DO515" i="43" l="1"/>
  <c r="DH515" i="43"/>
  <c r="DP514" i="43"/>
  <c r="DQ514" i="43" s="1"/>
  <c r="DM514" i="43"/>
  <c r="DN514" i="43" s="1"/>
  <c r="DK515" i="43"/>
  <c r="DR513" i="43"/>
  <c r="DS512" i="43"/>
  <c r="DG516" i="43"/>
  <c r="DI1113" i="43"/>
  <c r="DO1113" i="43"/>
  <c r="DP1112" i="43"/>
  <c r="DK1113" i="43"/>
  <c r="DK516" i="43" l="1"/>
  <c r="DR514" i="43"/>
  <c r="DS513" i="43"/>
  <c r="DK517" i="43"/>
  <c r="DH516" i="43"/>
  <c r="DO516" i="43"/>
  <c r="DP515" i="43"/>
  <c r="DQ515" i="43" s="1"/>
  <c r="DM515" i="43"/>
  <c r="DN515" i="43" s="1"/>
  <c r="DG517" i="43"/>
  <c r="DP1113" i="43"/>
  <c r="DI1114" i="43"/>
  <c r="DO1114" i="43"/>
  <c r="DK1114" i="43"/>
  <c r="DR515" i="43" l="1"/>
  <c r="DS514" i="43"/>
  <c r="DP516" i="43"/>
  <c r="DQ516" i="43" s="1"/>
  <c r="DM516" i="43"/>
  <c r="DN516" i="43" s="1"/>
  <c r="DH517" i="43"/>
  <c r="DO517" i="43"/>
  <c r="DG518" i="43"/>
  <c r="DK518" i="43" s="1"/>
  <c r="DK1115" i="43"/>
  <c r="DI1115" i="43"/>
  <c r="DO1115" i="43"/>
  <c r="DP1114" i="43"/>
  <c r="DH518" i="43" l="1"/>
  <c r="DO518" i="43"/>
  <c r="DP517" i="43"/>
  <c r="DQ517" i="43" s="1"/>
  <c r="DM517" i="43"/>
  <c r="DN517" i="43" s="1"/>
  <c r="DR516" i="43"/>
  <c r="DS515" i="43"/>
  <c r="DG519" i="43"/>
  <c r="DI1116" i="43"/>
  <c r="DO1116" i="43"/>
  <c r="DP1115" i="43"/>
  <c r="DK1116" i="43"/>
  <c r="DS516" i="43" l="1"/>
  <c r="DR517" i="43"/>
  <c r="DP518" i="43"/>
  <c r="DQ518" i="43" s="1"/>
  <c r="DM518" i="43"/>
  <c r="DN518" i="43" s="1"/>
  <c r="DO519" i="43"/>
  <c r="DH519" i="43"/>
  <c r="DK519" i="43"/>
  <c r="DG520" i="43"/>
  <c r="DI1117" i="43"/>
  <c r="DO1117" i="43"/>
  <c r="DP1116" i="43"/>
  <c r="DK1117" i="43"/>
  <c r="DK520" i="43" l="1"/>
  <c r="DS517" i="43"/>
  <c r="DR518" i="43"/>
  <c r="DP519" i="43"/>
  <c r="DQ519" i="43" s="1"/>
  <c r="DM519" i="43"/>
  <c r="DN519" i="43" s="1"/>
  <c r="DO520" i="43"/>
  <c r="DH520" i="43"/>
  <c r="DG521" i="43"/>
  <c r="DI1118" i="43"/>
  <c r="DO1118" i="43"/>
  <c r="DP1117" i="43"/>
  <c r="DK1118" i="43"/>
  <c r="DP520" i="43" l="1"/>
  <c r="DQ520" i="43" s="1"/>
  <c r="DM520" i="43"/>
  <c r="DN520" i="43" s="1"/>
  <c r="DS518" i="43"/>
  <c r="DR519" i="43"/>
  <c r="DO521" i="43"/>
  <c r="DH521" i="43"/>
  <c r="DK521" i="43"/>
  <c r="DG522" i="43"/>
  <c r="DI1119" i="43"/>
  <c r="DO1119" i="43"/>
  <c r="DP1118" i="43"/>
  <c r="DK1119" i="43"/>
  <c r="DO522" i="43" l="1"/>
  <c r="DH522" i="43"/>
  <c r="DK522" i="43"/>
  <c r="DP521" i="43"/>
  <c r="DQ521" i="43" s="1"/>
  <c r="DM521" i="43"/>
  <c r="DN521" i="43" s="1"/>
  <c r="DS519" i="43"/>
  <c r="DR520" i="43"/>
  <c r="DG523" i="43"/>
  <c r="DP1119" i="43"/>
  <c r="DI1120" i="43"/>
  <c r="DO1120" i="43"/>
  <c r="DK1120" i="43"/>
  <c r="DR521" i="43" l="1"/>
  <c r="DS520" i="43"/>
  <c r="DK523" i="43"/>
  <c r="DH523" i="43"/>
  <c r="DO523" i="43"/>
  <c r="DP522" i="43"/>
  <c r="DQ522" i="43" s="1"/>
  <c r="DM522" i="43"/>
  <c r="DN522" i="43" s="1"/>
  <c r="DG524" i="43"/>
  <c r="DI1121" i="43"/>
  <c r="DO1121" i="43"/>
  <c r="DK1121" i="43"/>
  <c r="DP1120" i="43"/>
  <c r="DP523" i="43" l="1"/>
  <c r="DQ523" i="43" s="1"/>
  <c r="DM523" i="43"/>
  <c r="DN523" i="43" s="1"/>
  <c r="DK524" i="43"/>
  <c r="DH524" i="43"/>
  <c r="DO524" i="43"/>
  <c r="DR522" i="43"/>
  <c r="DS521" i="43"/>
  <c r="DG525" i="43"/>
  <c r="DI1122" i="43"/>
  <c r="DO1122" i="43"/>
  <c r="DK1122" i="43"/>
  <c r="DP1121" i="43"/>
  <c r="DK525" i="43" l="1"/>
  <c r="DP524" i="43"/>
  <c r="DQ524" i="43" s="1"/>
  <c r="DM524" i="43"/>
  <c r="DN524" i="43" s="1"/>
  <c r="DR523" i="43"/>
  <c r="DS522" i="43"/>
  <c r="DK526" i="43"/>
  <c r="DH525" i="43"/>
  <c r="DO525" i="43"/>
  <c r="DG526" i="43"/>
  <c r="DI1123" i="43"/>
  <c r="DO1123" i="43"/>
  <c r="DK1123" i="43"/>
  <c r="DP1122" i="43"/>
  <c r="DP525" i="43" l="1"/>
  <c r="DQ525" i="43" s="1"/>
  <c r="DM525" i="43"/>
  <c r="DN525" i="43" s="1"/>
  <c r="DS523" i="43"/>
  <c r="DR524" i="43"/>
  <c r="DH526" i="43"/>
  <c r="DO526" i="43"/>
  <c r="DG527" i="43"/>
  <c r="DI1124" i="43"/>
  <c r="DO1124" i="43"/>
  <c r="DK1124" i="43"/>
  <c r="DP1123" i="43"/>
  <c r="DH527" i="43" l="1"/>
  <c r="DO527" i="43"/>
  <c r="DP526" i="43"/>
  <c r="DQ526" i="43" s="1"/>
  <c r="DM526" i="43"/>
  <c r="DN526" i="43" s="1"/>
  <c r="DK527" i="43"/>
  <c r="DS524" i="43"/>
  <c r="DR525" i="43"/>
  <c r="DG528" i="43"/>
  <c r="DK1125" i="43"/>
  <c r="DI1125" i="43"/>
  <c r="DO1125" i="43"/>
  <c r="DP1124" i="43"/>
  <c r="DR526" i="43" l="1"/>
  <c r="DS525" i="43"/>
  <c r="DK528" i="43"/>
  <c r="DP527" i="43"/>
  <c r="DQ527" i="43" s="1"/>
  <c r="DM527" i="43"/>
  <c r="DN527" i="43" s="1"/>
  <c r="DO528" i="43"/>
  <c r="DH528" i="43"/>
  <c r="DG529" i="43"/>
  <c r="DI1126" i="43"/>
  <c r="DO1126" i="43"/>
  <c r="DK1126" i="43"/>
  <c r="DP1125" i="43"/>
  <c r="DK529" i="43" l="1"/>
  <c r="DP528" i="43"/>
  <c r="DQ528" i="43" s="1"/>
  <c r="DM528" i="43"/>
  <c r="DN528" i="43" s="1"/>
  <c r="DH529" i="43"/>
  <c r="DO529" i="43"/>
  <c r="DS526" i="43"/>
  <c r="DR527" i="43"/>
  <c r="DG530" i="43"/>
  <c r="DI1127" i="43"/>
  <c r="DO1127" i="43"/>
  <c r="DP1126" i="43"/>
  <c r="DK1127" i="43"/>
  <c r="DH530" i="43" l="1"/>
  <c r="DO530" i="43"/>
  <c r="DR528" i="43"/>
  <c r="DS527" i="43"/>
  <c r="DP529" i="43"/>
  <c r="DQ529" i="43" s="1"/>
  <c r="DM529" i="43"/>
  <c r="DN529" i="43" s="1"/>
  <c r="DK530" i="43"/>
  <c r="DG531" i="43"/>
  <c r="DI1128" i="43"/>
  <c r="DO1128" i="43"/>
  <c r="DK1128" i="43"/>
  <c r="DP1127" i="43"/>
  <c r="DO531" i="43" l="1"/>
  <c r="DH531" i="43"/>
  <c r="DK531" i="43"/>
  <c r="DR529" i="43"/>
  <c r="DS528" i="43"/>
  <c r="DP530" i="43"/>
  <c r="DQ530" i="43" s="1"/>
  <c r="DM530" i="43"/>
  <c r="DN530" i="43" s="1"/>
  <c r="DG532" i="43"/>
  <c r="DI1129" i="43"/>
  <c r="DO1129" i="43"/>
  <c r="DK1129" i="43"/>
  <c r="DP1128" i="43"/>
  <c r="DK532" i="43" l="1"/>
  <c r="DR530" i="43"/>
  <c r="DS529" i="43"/>
  <c r="DH532" i="43"/>
  <c r="DO532" i="43"/>
  <c r="DP531" i="43"/>
  <c r="DQ531" i="43" s="1"/>
  <c r="DM531" i="43"/>
  <c r="DN531" i="43" s="1"/>
  <c r="DG533" i="43"/>
  <c r="DK533" i="43" s="1"/>
  <c r="DI1130" i="43"/>
  <c r="DO1130" i="43"/>
  <c r="DK1130" i="43"/>
  <c r="DP1129" i="43"/>
  <c r="DP532" i="43" l="1"/>
  <c r="DQ532" i="43" s="1"/>
  <c r="DM532" i="43"/>
  <c r="DN532" i="43" s="1"/>
  <c r="DO533" i="43"/>
  <c r="DH533" i="43"/>
  <c r="DS530" i="43"/>
  <c r="DR531" i="43"/>
  <c r="DG534" i="43"/>
  <c r="DI1131" i="43"/>
  <c r="DO1131" i="43"/>
  <c r="DK1131" i="43"/>
  <c r="DP1130" i="43"/>
  <c r="DP533" i="43" l="1"/>
  <c r="DQ533" i="43" s="1"/>
  <c r="DM533" i="43"/>
  <c r="DN533" i="43" s="1"/>
  <c r="DH534" i="43"/>
  <c r="DO534" i="43"/>
  <c r="DR532" i="43"/>
  <c r="DS531" i="43"/>
  <c r="DK534" i="43"/>
  <c r="DG535" i="43"/>
  <c r="DI1132" i="43"/>
  <c r="DO1132" i="43"/>
  <c r="DP1131" i="43"/>
  <c r="DK1132" i="43"/>
  <c r="DK535" i="43" l="1"/>
  <c r="DS532" i="43"/>
  <c r="DR533" i="43"/>
  <c r="DP534" i="43"/>
  <c r="DQ534" i="43" s="1"/>
  <c r="DM534" i="43"/>
  <c r="DN534" i="43" s="1"/>
  <c r="DH535" i="43"/>
  <c r="DO535" i="43"/>
  <c r="DG536" i="43"/>
  <c r="DI1133" i="43"/>
  <c r="DO1133" i="43"/>
  <c r="DK1133" i="43"/>
  <c r="DP1132" i="43"/>
  <c r="DP535" i="43" l="1"/>
  <c r="DQ535" i="43" s="1"/>
  <c r="DM535" i="43"/>
  <c r="DN535" i="43" s="1"/>
  <c r="DR534" i="43"/>
  <c r="DS533" i="43"/>
  <c r="DH536" i="43"/>
  <c r="DO536" i="43"/>
  <c r="DK536" i="43"/>
  <c r="DG537" i="43"/>
  <c r="DP1133" i="43"/>
  <c r="DI1134" i="43"/>
  <c r="DO1134" i="43"/>
  <c r="DK1134" i="43"/>
  <c r="DP536" i="43" l="1"/>
  <c r="DQ536" i="43" s="1"/>
  <c r="DM536" i="43"/>
  <c r="DN536" i="43" s="1"/>
  <c r="DS534" i="43"/>
  <c r="DR535" i="43"/>
  <c r="DK537" i="43"/>
  <c r="DH537" i="43"/>
  <c r="DO537" i="43"/>
  <c r="DG538" i="43"/>
  <c r="DI1135" i="43"/>
  <c r="DO1135" i="43"/>
  <c r="DK1135" i="43"/>
  <c r="DP1134" i="43"/>
  <c r="DK538" i="43" l="1"/>
  <c r="DS535" i="43"/>
  <c r="DR536" i="43"/>
  <c r="DO538" i="43"/>
  <c r="DH538" i="43"/>
  <c r="DP537" i="43"/>
  <c r="DQ537" i="43" s="1"/>
  <c r="DM537" i="43"/>
  <c r="DN537" i="43" s="1"/>
  <c r="DG539" i="43"/>
  <c r="DK539" i="43" s="1"/>
  <c r="DK1136" i="43"/>
  <c r="DP1135" i="43"/>
  <c r="DI1136" i="43"/>
  <c r="DO1136" i="43"/>
  <c r="DP538" i="43" l="1"/>
  <c r="DQ538" i="43" s="1"/>
  <c r="DM538" i="43"/>
  <c r="DN538" i="43" s="1"/>
  <c r="DS536" i="43"/>
  <c r="DR537" i="43"/>
  <c r="DH539" i="43"/>
  <c r="DO539" i="43"/>
  <c r="DG540" i="43"/>
  <c r="DK540" i="43" s="1"/>
  <c r="DI1137" i="43"/>
  <c r="DO1137" i="43"/>
  <c r="DP1136" i="43"/>
  <c r="DK1137" i="43"/>
  <c r="DR538" i="43" l="1"/>
  <c r="DS537" i="43"/>
  <c r="DH540" i="43"/>
  <c r="DO540" i="43"/>
  <c r="DP539" i="43"/>
  <c r="DQ539" i="43" s="1"/>
  <c r="DM539" i="43"/>
  <c r="DN539" i="43" s="1"/>
  <c r="DG541" i="43"/>
  <c r="DK541" i="43" s="1"/>
  <c r="DK1138" i="43"/>
  <c r="DI1138" i="43"/>
  <c r="DO1138" i="43"/>
  <c r="DP1137" i="43"/>
  <c r="DP540" i="43" l="1"/>
  <c r="DQ540" i="43" s="1"/>
  <c r="DM540" i="43"/>
  <c r="DN540" i="43" s="1"/>
  <c r="DH541" i="43"/>
  <c r="DO541" i="43"/>
  <c r="DR539" i="43"/>
  <c r="DS538" i="43"/>
  <c r="DG542" i="43"/>
  <c r="DP1138" i="43"/>
  <c r="DI1139" i="43"/>
  <c r="DO1139" i="43"/>
  <c r="DK1139" i="43"/>
  <c r="DS539" i="43" l="1"/>
  <c r="DR540" i="43"/>
  <c r="DP541" i="43"/>
  <c r="DQ541" i="43" s="1"/>
  <c r="DM541" i="43"/>
  <c r="DN541" i="43" s="1"/>
  <c r="DH542" i="43"/>
  <c r="DO542" i="43"/>
  <c r="DK542" i="43"/>
  <c r="DG543" i="43"/>
  <c r="DI1140" i="43"/>
  <c r="DO1140" i="43"/>
  <c r="DK1140" i="43"/>
  <c r="DP1139" i="43"/>
  <c r="DK543" i="43" l="1"/>
  <c r="DP542" i="43"/>
  <c r="DQ542" i="43" s="1"/>
  <c r="DM542" i="43"/>
  <c r="DN542" i="43" s="1"/>
  <c r="DH543" i="43"/>
  <c r="DO543" i="43"/>
  <c r="DS540" i="43"/>
  <c r="DR541" i="43"/>
  <c r="DG544" i="43"/>
  <c r="DI1141" i="43"/>
  <c r="DO1141" i="43"/>
  <c r="DK1141" i="43"/>
  <c r="DP1140" i="43"/>
  <c r="DH544" i="43" l="1"/>
  <c r="DO544" i="43"/>
  <c r="DP543" i="43"/>
  <c r="DQ543" i="43" s="1"/>
  <c r="DM543" i="43"/>
  <c r="DN543" i="43" s="1"/>
  <c r="DS541" i="43"/>
  <c r="DR542" i="43"/>
  <c r="DK544" i="43"/>
  <c r="DG545" i="43"/>
  <c r="DI1142" i="43"/>
  <c r="DO1142" i="43"/>
  <c r="DK1142" i="43"/>
  <c r="DP1141" i="43"/>
  <c r="DK545" i="43" l="1"/>
  <c r="DR543" i="43"/>
  <c r="DS542" i="43"/>
  <c r="DO545" i="43"/>
  <c r="DH545" i="43"/>
  <c r="DP544" i="43"/>
  <c r="DQ544" i="43" s="1"/>
  <c r="DM544" i="43"/>
  <c r="DN544" i="43" s="1"/>
  <c r="DG546" i="43"/>
  <c r="DI1143" i="43"/>
  <c r="DO1143" i="43"/>
  <c r="DK1143" i="43"/>
  <c r="DP1142" i="43"/>
  <c r="DH546" i="43" l="1"/>
  <c r="DO546" i="43"/>
  <c r="DP545" i="43"/>
  <c r="DQ545" i="43" s="1"/>
  <c r="DM545" i="43"/>
  <c r="DN545" i="43" s="1"/>
  <c r="DR544" i="43"/>
  <c r="DS543" i="43"/>
  <c r="DK546" i="43"/>
  <c r="DG547" i="43"/>
  <c r="DK1144" i="43"/>
  <c r="DP1143" i="43"/>
  <c r="DI1144" i="43"/>
  <c r="DO1144" i="43"/>
  <c r="DH547" i="43" l="1"/>
  <c r="DO547" i="43"/>
  <c r="DK547" i="43"/>
  <c r="DR545" i="43"/>
  <c r="DS544" i="43"/>
  <c r="DP546" i="43"/>
  <c r="DQ546" i="43" s="1"/>
  <c r="DM546" i="43"/>
  <c r="DN546" i="43" s="1"/>
  <c r="DG548" i="43"/>
  <c r="DI1145" i="43"/>
  <c r="DO1145" i="43"/>
  <c r="DP1144" i="43"/>
  <c r="DK1145" i="43"/>
  <c r="DS545" i="43" l="1"/>
  <c r="DR546" i="43"/>
  <c r="DK548" i="43"/>
  <c r="DP547" i="43"/>
  <c r="DQ547" i="43" s="1"/>
  <c r="DM547" i="43"/>
  <c r="DN547" i="43" s="1"/>
  <c r="DH548" i="43"/>
  <c r="DO548" i="43"/>
  <c r="DG549" i="43"/>
  <c r="DI1146" i="43"/>
  <c r="DO1146" i="43"/>
  <c r="DP1145" i="43"/>
  <c r="DK1146" i="43"/>
  <c r="DP548" i="43" l="1"/>
  <c r="DQ548" i="43" s="1"/>
  <c r="DM548" i="43"/>
  <c r="DN548" i="43" s="1"/>
  <c r="DK549" i="43"/>
  <c r="DS546" i="43"/>
  <c r="DR547" i="43"/>
  <c r="DO549" i="43"/>
  <c r="DH549" i="43"/>
  <c r="DG550" i="43"/>
  <c r="DK1147" i="43"/>
  <c r="DP1146" i="43"/>
  <c r="DI1147" i="43"/>
  <c r="DO1147" i="43"/>
  <c r="DP549" i="43" l="1"/>
  <c r="DQ549" i="43" s="1"/>
  <c r="DM549" i="43"/>
  <c r="DN549" i="43" s="1"/>
  <c r="DR548" i="43"/>
  <c r="DS547" i="43"/>
  <c r="DK550" i="43"/>
  <c r="DH550" i="43"/>
  <c r="DO550" i="43"/>
  <c r="DG551" i="43"/>
  <c r="DI1148" i="43"/>
  <c r="DO1148" i="43"/>
  <c r="DP1147" i="43"/>
  <c r="DK1148" i="43"/>
  <c r="DK551" i="43" l="1"/>
  <c r="DP550" i="43"/>
  <c r="DQ550" i="43" s="1"/>
  <c r="DM550" i="43"/>
  <c r="DN550" i="43" s="1"/>
  <c r="DR549" i="43"/>
  <c r="DS548" i="43"/>
  <c r="DH551" i="43"/>
  <c r="DO551" i="43"/>
  <c r="DG552" i="43"/>
  <c r="DK1149" i="43"/>
  <c r="DI1149" i="43"/>
  <c r="DO1149" i="43"/>
  <c r="DP1148" i="43"/>
  <c r="DP551" i="43" l="1"/>
  <c r="DQ551" i="43" s="1"/>
  <c r="DM551" i="43"/>
  <c r="DN551" i="43" s="1"/>
  <c r="DS549" i="43"/>
  <c r="DR550" i="43"/>
  <c r="DO552" i="43"/>
  <c r="DH552" i="43"/>
  <c r="DK552" i="43"/>
  <c r="DG553" i="43"/>
  <c r="DI1150" i="43"/>
  <c r="DO1150" i="43"/>
  <c r="DP1149" i="43"/>
  <c r="DK1150" i="43"/>
  <c r="DK553" i="43" l="1"/>
  <c r="DR551" i="43"/>
  <c r="DS550" i="43"/>
  <c r="DP552" i="43"/>
  <c r="DQ552" i="43" s="1"/>
  <c r="DM552" i="43"/>
  <c r="DN552" i="43" s="1"/>
  <c r="DH553" i="43"/>
  <c r="DO553" i="43"/>
  <c r="DG554" i="43"/>
  <c r="DI1151" i="43"/>
  <c r="DO1151" i="43"/>
  <c r="DP1150" i="43"/>
  <c r="DK1151" i="43"/>
  <c r="DP553" i="43" l="1"/>
  <c r="DQ553" i="43" s="1"/>
  <c r="DM553" i="43"/>
  <c r="DN553" i="43" s="1"/>
  <c r="DS551" i="43"/>
  <c r="DR552" i="43"/>
  <c r="DH554" i="43"/>
  <c r="DO554" i="43"/>
  <c r="DK554" i="43"/>
  <c r="DG555" i="43"/>
  <c r="DK1152" i="43"/>
  <c r="DP1151" i="43"/>
  <c r="DI1152" i="43"/>
  <c r="DO1152" i="43"/>
  <c r="DK555" i="43" l="1"/>
  <c r="DP554" i="43"/>
  <c r="DQ554" i="43" s="1"/>
  <c r="DM554" i="43"/>
  <c r="DN554" i="43" s="1"/>
  <c r="DR553" i="43"/>
  <c r="DS552" i="43"/>
  <c r="DH555" i="43"/>
  <c r="DO555" i="43"/>
  <c r="DG556" i="43"/>
  <c r="DP1152" i="43"/>
  <c r="DI1153" i="43"/>
  <c r="DO1153" i="43"/>
  <c r="DK1153" i="43"/>
  <c r="DP555" i="43" l="1"/>
  <c r="DQ555" i="43" s="1"/>
  <c r="DM555" i="43"/>
  <c r="DN555" i="43" s="1"/>
  <c r="DS553" i="43"/>
  <c r="DR554" i="43"/>
  <c r="DH556" i="43"/>
  <c r="DO556" i="43"/>
  <c r="DK556" i="43"/>
  <c r="DG557" i="43"/>
  <c r="DI1154" i="43"/>
  <c r="DO1154" i="43"/>
  <c r="DK1154" i="43"/>
  <c r="DP1153" i="43"/>
  <c r="DK557" i="43" l="1"/>
  <c r="DP556" i="43"/>
  <c r="DQ556" i="43" s="1"/>
  <c r="DM556" i="43"/>
  <c r="DN556" i="43" s="1"/>
  <c r="DS554" i="43"/>
  <c r="DR555" i="43"/>
  <c r="DH557" i="43"/>
  <c r="DO557" i="43"/>
  <c r="DG558" i="43"/>
  <c r="DI1155" i="43"/>
  <c r="DO1155" i="43"/>
  <c r="DK1155" i="43"/>
  <c r="DP1154" i="43"/>
  <c r="DP557" i="43" l="1"/>
  <c r="DQ557" i="43" s="1"/>
  <c r="DM557" i="43"/>
  <c r="DN557" i="43" s="1"/>
  <c r="DS555" i="43"/>
  <c r="DR556" i="43"/>
  <c r="DH558" i="43"/>
  <c r="DO558" i="43"/>
  <c r="DK558" i="43"/>
  <c r="DG559" i="43"/>
  <c r="DK1156" i="43"/>
  <c r="DP1155" i="43"/>
  <c r="DI1156" i="43"/>
  <c r="DO1156" i="43"/>
  <c r="DK559" i="43" l="1"/>
  <c r="DS556" i="43"/>
  <c r="DR557" i="43"/>
  <c r="DH559" i="43"/>
  <c r="DO559" i="43"/>
  <c r="DP558" i="43"/>
  <c r="DQ558" i="43" s="1"/>
  <c r="DM558" i="43"/>
  <c r="DN558" i="43" s="1"/>
  <c r="DG560" i="43"/>
  <c r="DI1157" i="43"/>
  <c r="DO1157" i="43"/>
  <c r="DP1156" i="43"/>
  <c r="DK1157" i="43"/>
  <c r="DP559" i="43" l="1"/>
  <c r="DQ559" i="43" s="1"/>
  <c r="DM559" i="43"/>
  <c r="DN559" i="43" s="1"/>
  <c r="DR558" i="43"/>
  <c r="DS557" i="43"/>
  <c r="DH560" i="43"/>
  <c r="DO560" i="43"/>
  <c r="DK560" i="43"/>
  <c r="DG561" i="43"/>
  <c r="DK1158" i="43"/>
  <c r="DI1158" i="43"/>
  <c r="DO1158" i="43"/>
  <c r="DP1157" i="43"/>
  <c r="DK561" i="43" l="1"/>
  <c r="DP560" i="43"/>
  <c r="DQ560" i="43" s="1"/>
  <c r="DM560" i="43"/>
  <c r="DN560" i="43" s="1"/>
  <c r="DO561" i="43"/>
  <c r="DH561" i="43"/>
  <c r="DS558" i="43"/>
  <c r="DR559" i="43"/>
  <c r="DG562" i="43"/>
  <c r="DI1159" i="43"/>
  <c r="DO1159" i="43"/>
  <c r="DP1158" i="43"/>
  <c r="DK1159" i="43"/>
  <c r="DP561" i="43" l="1"/>
  <c r="DQ561" i="43" s="1"/>
  <c r="DM561" i="43"/>
  <c r="DN561" i="43" s="1"/>
  <c r="DH562" i="43"/>
  <c r="DO562" i="43"/>
  <c r="DS559" i="43"/>
  <c r="DR560" i="43"/>
  <c r="DK562" i="43"/>
  <c r="DG563" i="43"/>
  <c r="DI1160" i="43"/>
  <c r="DO1160" i="43"/>
  <c r="DK1160" i="43"/>
  <c r="DP1159" i="43"/>
  <c r="DS560" i="43" l="1"/>
  <c r="DR561" i="43"/>
  <c r="DK563" i="43"/>
  <c r="DP562" i="43"/>
  <c r="DQ562" i="43" s="1"/>
  <c r="DM562" i="43"/>
  <c r="DN562" i="43" s="1"/>
  <c r="DH563" i="43"/>
  <c r="DO563" i="43"/>
  <c r="DG564" i="43"/>
  <c r="DI1161" i="43"/>
  <c r="DO1161" i="43"/>
  <c r="DP1160" i="43"/>
  <c r="DK1161" i="43"/>
  <c r="DK564" i="43" l="1"/>
  <c r="DP563" i="43"/>
  <c r="DQ563" i="43" s="1"/>
  <c r="DM563" i="43"/>
  <c r="DN563" i="43" s="1"/>
  <c r="DS561" i="43"/>
  <c r="DR562" i="43"/>
  <c r="DK565" i="43"/>
  <c r="DO564" i="43"/>
  <c r="DH564" i="43"/>
  <c r="DG565" i="43"/>
  <c r="DK1162" i="43"/>
  <c r="DP1161" i="43"/>
  <c r="DI1162" i="43"/>
  <c r="DO1162" i="43"/>
  <c r="DR563" i="43" l="1"/>
  <c r="DS562" i="43"/>
  <c r="DP564" i="43"/>
  <c r="DQ564" i="43" s="1"/>
  <c r="DM564" i="43"/>
  <c r="DN564" i="43" s="1"/>
  <c r="DH565" i="43"/>
  <c r="DO565" i="43"/>
  <c r="DG566" i="43"/>
  <c r="DI1163" i="43"/>
  <c r="DO1163" i="43"/>
  <c r="DP1162" i="43"/>
  <c r="DK1163" i="43"/>
  <c r="DP565" i="43" l="1"/>
  <c r="DQ565" i="43" s="1"/>
  <c r="DM565" i="43"/>
  <c r="DN565" i="43" s="1"/>
  <c r="DS563" i="43"/>
  <c r="DR564" i="43"/>
  <c r="DH566" i="43"/>
  <c r="DO566" i="43"/>
  <c r="DK566" i="43"/>
  <c r="DG567" i="43"/>
  <c r="DI1164" i="43"/>
  <c r="DO1164" i="43"/>
  <c r="DK1164" i="43"/>
  <c r="DP1163" i="43"/>
  <c r="DK567" i="43" l="1"/>
  <c r="DS564" i="43"/>
  <c r="DR565" i="43"/>
  <c r="DP566" i="43"/>
  <c r="DQ566" i="43" s="1"/>
  <c r="DM566" i="43"/>
  <c r="DN566" i="43" s="1"/>
  <c r="DH567" i="43"/>
  <c r="DO567" i="43"/>
  <c r="DG568" i="43"/>
  <c r="DI1165" i="43"/>
  <c r="DO1165" i="43"/>
  <c r="DP1164" i="43"/>
  <c r="DK1165" i="43"/>
  <c r="DP567" i="43" l="1"/>
  <c r="DQ567" i="43" s="1"/>
  <c r="DM567" i="43"/>
  <c r="DN567" i="43" s="1"/>
  <c r="DS565" i="43"/>
  <c r="DR566" i="43"/>
  <c r="DH568" i="43"/>
  <c r="DO568" i="43"/>
  <c r="DK568" i="43"/>
  <c r="DG569" i="43"/>
  <c r="DO1166" i="43"/>
  <c r="DI1166" i="43"/>
  <c r="DK1166" i="43"/>
  <c r="DP1165" i="43"/>
  <c r="DK569" i="43" l="1"/>
  <c r="DP568" i="43"/>
  <c r="DQ568" i="43" s="1"/>
  <c r="DM568" i="43"/>
  <c r="DN568" i="43" s="1"/>
  <c r="DR567" i="43"/>
  <c r="DS566" i="43"/>
  <c r="DH569" i="43"/>
  <c r="DO569" i="43"/>
  <c r="DG570" i="43"/>
  <c r="DI1167" i="43"/>
  <c r="DO1167" i="43"/>
  <c r="DK1167" i="43"/>
  <c r="DP1166" i="43"/>
  <c r="DP569" i="43" l="1"/>
  <c r="DQ569" i="43" s="1"/>
  <c r="DM569" i="43"/>
  <c r="DN569" i="43" s="1"/>
  <c r="DR568" i="43"/>
  <c r="DS567" i="43"/>
  <c r="DH570" i="43"/>
  <c r="DO570" i="43"/>
  <c r="DK570" i="43"/>
  <c r="DG571" i="43"/>
  <c r="DI1168" i="43"/>
  <c r="DO1168" i="43"/>
  <c r="DP1167" i="43"/>
  <c r="DK1168" i="43"/>
  <c r="DK571" i="43" l="1"/>
  <c r="DR569" i="43"/>
  <c r="DS568" i="43"/>
  <c r="DP570" i="43"/>
  <c r="DQ570" i="43" s="1"/>
  <c r="DM570" i="43"/>
  <c r="DN570" i="43" s="1"/>
  <c r="DO571" i="43"/>
  <c r="DH571" i="43"/>
  <c r="DG572" i="43"/>
  <c r="DP1168" i="43"/>
  <c r="DI1169" i="43"/>
  <c r="DO1169" i="43"/>
  <c r="DK1169" i="43"/>
  <c r="DP571" i="43" l="1"/>
  <c r="DQ571" i="43" s="1"/>
  <c r="DM571" i="43"/>
  <c r="DN571" i="43" s="1"/>
  <c r="DO572" i="43"/>
  <c r="DH572" i="43"/>
  <c r="DR570" i="43"/>
  <c r="DS569" i="43"/>
  <c r="DK572" i="43"/>
  <c r="DG573" i="43"/>
  <c r="DK1170" i="43"/>
  <c r="DI1170" i="43"/>
  <c r="DO1170" i="43"/>
  <c r="DP1169" i="43"/>
  <c r="DP572" i="43" l="1"/>
  <c r="DQ572" i="43" s="1"/>
  <c r="DM572" i="43"/>
  <c r="DN572" i="43" s="1"/>
  <c r="DK573" i="43"/>
  <c r="DR571" i="43"/>
  <c r="DS570" i="43"/>
  <c r="DH573" i="43"/>
  <c r="DO573" i="43"/>
  <c r="DG574" i="43"/>
  <c r="DI1171" i="43"/>
  <c r="DO1171" i="43"/>
  <c r="DP1170" i="43"/>
  <c r="DK1171" i="43"/>
  <c r="DP573" i="43" l="1"/>
  <c r="DQ573" i="43" s="1"/>
  <c r="DM573" i="43"/>
  <c r="DN573" i="43" s="1"/>
  <c r="DK574" i="43"/>
  <c r="DR572" i="43"/>
  <c r="DS571" i="43"/>
  <c r="DO574" i="43"/>
  <c r="DH574" i="43"/>
  <c r="DG575" i="43"/>
  <c r="DI1172" i="43"/>
  <c r="DO1172" i="43"/>
  <c r="DK1172" i="43"/>
  <c r="DP1171" i="43"/>
  <c r="DP574" i="43" l="1"/>
  <c r="DQ574" i="43" s="1"/>
  <c r="DM574" i="43"/>
  <c r="DN574" i="43" s="1"/>
  <c r="DR573" i="43"/>
  <c r="DS572" i="43"/>
  <c r="DK575" i="43"/>
  <c r="DH575" i="43"/>
  <c r="DO575" i="43"/>
  <c r="DG576" i="43"/>
  <c r="DI1173" i="43"/>
  <c r="DO1173" i="43"/>
  <c r="DK1173" i="43"/>
  <c r="DP1172" i="43"/>
  <c r="DK576" i="43" l="1"/>
  <c r="DP575" i="43"/>
  <c r="DQ575" i="43" s="1"/>
  <c r="DM575" i="43"/>
  <c r="DN575" i="43" s="1"/>
  <c r="DR574" i="43"/>
  <c r="DS573" i="43"/>
  <c r="DK577" i="43"/>
  <c r="DH576" i="43"/>
  <c r="DO576" i="43"/>
  <c r="DG577" i="43"/>
  <c r="DI1174" i="43"/>
  <c r="DO1174" i="43"/>
  <c r="DK1174" i="43"/>
  <c r="DP1173" i="43"/>
  <c r="DP576" i="43" l="1"/>
  <c r="DQ576" i="43" s="1"/>
  <c r="DM576" i="43"/>
  <c r="DN576" i="43" s="1"/>
  <c r="DS574" i="43"/>
  <c r="DR575" i="43"/>
  <c r="DH577" i="43"/>
  <c r="DO577" i="43"/>
  <c r="DG578" i="43"/>
  <c r="DI1175" i="43"/>
  <c r="DO1175" i="43"/>
  <c r="DK1175" i="43"/>
  <c r="DP1174" i="43"/>
  <c r="DP577" i="43" l="1"/>
  <c r="DQ577" i="43" s="1"/>
  <c r="DM577" i="43"/>
  <c r="DN577" i="43" s="1"/>
  <c r="DR576" i="43"/>
  <c r="DS575" i="43"/>
  <c r="DO578" i="43"/>
  <c r="DH578" i="43"/>
  <c r="DK578" i="43"/>
  <c r="DG579" i="43"/>
  <c r="DI1176" i="43"/>
  <c r="DO1176" i="43"/>
  <c r="DK1176" i="43"/>
  <c r="DP1175" i="43"/>
  <c r="DK579" i="43" l="1"/>
  <c r="DP578" i="43"/>
  <c r="DQ578" i="43" s="1"/>
  <c r="DM578" i="43"/>
  <c r="DN578" i="43" s="1"/>
  <c r="DR577" i="43"/>
  <c r="DS576" i="43"/>
  <c r="DO579" i="43"/>
  <c r="DH579" i="43"/>
  <c r="DG580" i="43"/>
  <c r="DI1177" i="43"/>
  <c r="DO1177" i="43"/>
  <c r="DK1177" i="43"/>
  <c r="DP1176" i="43"/>
  <c r="DP579" i="43" l="1"/>
  <c r="DQ579" i="43" s="1"/>
  <c r="DM579" i="43"/>
  <c r="DN579" i="43" s="1"/>
  <c r="DS577" i="43"/>
  <c r="DR578" i="43"/>
  <c r="DH580" i="43"/>
  <c r="DO580" i="43"/>
  <c r="DK580" i="43"/>
  <c r="DG581" i="43"/>
  <c r="DI1178" i="43"/>
  <c r="DO1178" i="43"/>
  <c r="DP1177" i="43"/>
  <c r="DK1178" i="43"/>
  <c r="DK581" i="43" l="1"/>
  <c r="DS578" i="43"/>
  <c r="DR579" i="43"/>
  <c r="DP580" i="43"/>
  <c r="DQ580" i="43" s="1"/>
  <c r="DM580" i="43"/>
  <c r="DN580" i="43" s="1"/>
  <c r="DH581" i="43"/>
  <c r="DO581" i="43"/>
  <c r="DG582" i="43"/>
  <c r="DI1179" i="43"/>
  <c r="DO1179" i="43"/>
  <c r="DK1179" i="43"/>
  <c r="DP1178" i="43"/>
  <c r="DP581" i="43" l="1"/>
  <c r="DQ581" i="43" s="1"/>
  <c r="DM581" i="43"/>
  <c r="DN581" i="43" s="1"/>
  <c r="DR580" i="43"/>
  <c r="DS579" i="43"/>
  <c r="DO582" i="43"/>
  <c r="DH582" i="43"/>
  <c r="DK582" i="43"/>
  <c r="DG583" i="43"/>
  <c r="DI1180" i="43"/>
  <c r="DO1180" i="43"/>
  <c r="DK1180" i="43"/>
  <c r="DP1179" i="43"/>
  <c r="DP582" i="43" l="1"/>
  <c r="DQ582" i="43" s="1"/>
  <c r="DM582" i="43"/>
  <c r="DN582" i="43" s="1"/>
  <c r="DS580" i="43"/>
  <c r="DR581" i="43"/>
  <c r="DK583" i="43"/>
  <c r="DH583" i="43"/>
  <c r="DO583" i="43"/>
  <c r="DG584" i="43"/>
  <c r="DK1181" i="43"/>
  <c r="DP1180" i="43"/>
  <c r="DI1181" i="43"/>
  <c r="DO1181" i="43"/>
  <c r="DP583" i="43" l="1"/>
  <c r="DQ583" i="43" s="1"/>
  <c r="DM583" i="43"/>
  <c r="DN583" i="43" s="1"/>
  <c r="DK584" i="43"/>
  <c r="DS581" i="43"/>
  <c r="DR582" i="43"/>
  <c r="DH584" i="43"/>
  <c r="DO584" i="43"/>
  <c r="DG585" i="43"/>
  <c r="DP1181" i="43"/>
  <c r="DI1182" i="43"/>
  <c r="DO1182" i="43"/>
  <c r="DK1182" i="43"/>
  <c r="DP584" i="43" l="1"/>
  <c r="DQ584" i="43" s="1"/>
  <c r="DM584" i="43"/>
  <c r="DN584" i="43" s="1"/>
  <c r="DS582" i="43"/>
  <c r="DR583" i="43"/>
  <c r="DK585" i="43"/>
  <c r="DH585" i="43"/>
  <c r="DO585" i="43"/>
  <c r="DG586" i="43"/>
  <c r="DI1183" i="43"/>
  <c r="DO1183" i="43"/>
  <c r="DK1183" i="43"/>
  <c r="DP1182" i="43"/>
  <c r="DK586" i="43" l="1"/>
  <c r="DP585" i="43"/>
  <c r="DQ585" i="43" s="1"/>
  <c r="DM585" i="43"/>
  <c r="DN585" i="43" s="1"/>
  <c r="DR584" i="43"/>
  <c r="DS583" i="43"/>
  <c r="DO586" i="43"/>
  <c r="DH586" i="43"/>
  <c r="DG587" i="43"/>
  <c r="DK587" i="43" s="1"/>
  <c r="DP1183" i="43"/>
  <c r="DI1184" i="43"/>
  <c r="DO1184" i="43"/>
  <c r="DK1184" i="43"/>
  <c r="DP586" i="43" l="1"/>
  <c r="DQ586" i="43" s="1"/>
  <c r="DM586" i="43"/>
  <c r="DN586" i="43" s="1"/>
  <c r="DS584" i="43"/>
  <c r="DR585" i="43"/>
  <c r="DH587" i="43"/>
  <c r="DO587" i="43"/>
  <c r="DG588" i="43"/>
  <c r="DK588" i="43" s="1"/>
  <c r="DK1185" i="43"/>
  <c r="DI1185" i="43"/>
  <c r="DO1185" i="43"/>
  <c r="DP1184" i="43"/>
  <c r="DP587" i="43" l="1"/>
  <c r="DQ587" i="43" s="1"/>
  <c r="DM587" i="43"/>
  <c r="DN587" i="43" s="1"/>
  <c r="DR586" i="43"/>
  <c r="DS585" i="43"/>
  <c r="DH588" i="43"/>
  <c r="DO588" i="43"/>
  <c r="DG589" i="43"/>
  <c r="DK589" i="43" s="1"/>
  <c r="DI1186" i="43"/>
  <c r="DO1186" i="43"/>
  <c r="DP1185" i="43"/>
  <c r="DK1186" i="43"/>
  <c r="DR587" i="43" l="1"/>
  <c r="DS586" i="43"/>
  <c r="DP588" i="43"/>
  <c r="DQ588" i="43" s="1"/>
  <c r="DM588" i="43"/>
  <c r="DN588" i="43" s="1"/>
  <c r="DH589" i="43"/>
  <c r="DO589" i="43"/>
  <c r="DG590" i="43"/>
  <c r="DK1187" i="43"/>
  <c r="DP1186" i="43"/>
  <c r="DI1187" i="43"/>
  <c r="DO1187" i="43"/>
  <c r="DH590" i="43" l="1"/>
  <c r="DO590" i="43"/>
  <c r="DP589" i="43"/>
  <c r="DQ589" i="43" s="1"/>
  <c r="DM589" i="43"/>
  <c r="DN589" i="43" s="1"/>
  <c r="DS587" i="43"/>
  <c r="DR588" i="43"/>
  <c r="DK590" i="43"/>
  <c r="DG591" i="43"/>
  <c r="DP1187" i="43"/>
  <c r="DI1188" i="43"/>
  <c r="DO1188" i="43"/>
  <c r="DK1188" i="43"/>
  <c r="DK591" i="43" l="1"/>
  <c r="DR589" i="43"/>
  <c r="DS588" i="43"/>
  <c r="DP590" i="43"/>
  <c r="DQ590" i="43" s="1"/>
  <c r="DM590" i="43"/>
  <c r="DN590" i="43" s="1"/>
  <c r="DO591" i="43"/>
  <c r="DH591" i="43"/>
  <c r="DG592" i="43"/>
  <c r="DI1189" i="43"/>
  <c r="DO1189" i="43"/>
  <c r="DP1188" i="43"/>
  <c r="DK1189" i="43"/>
  <c r="DP591" i="43" l="1"/>
  <c r="DQ591" i="43" s="1"/>
  <c r="DM591" i="43"/>
  <c r="DN591" i="43" s="1"/>
  <c r="DS589" i="43"/>
  <c r="DR590" i="43"/>
  <c r="DH592" i="43"/>
  <c r="DO592" i="43"/>
  <c r="DK592" i="43"/>
  <c r="DG593" i="43"/>
  <c r="DI1190" i="43"/>
  <c r="DO1190" i="43"/>
  <c r="DP1189" i="43"/>
  <c r="DK1190" i="43"/>
  <c r="DK593" i="43" l="1"/>
  <c r="DS590" i="43"/>
  <c r="DR591" i="43"/>
  <c r="DP592" i="43"/>
  <c r="DQ592" i="43" s="1"/>
  <c r="DM592" i="43"/>
  <c r="DN592" i="43" s="1"/>
  <c r="DH593" i="43"/>
  <c r="DO593" i="43"/>
  <c r="DG594" i="43"/>
  <c r="DI1191" i="43"/>
  <c r="DO1191" i="43"/>
  <c r="DK1191" i="43"/>
  <c r="DP1190" i="43"/>
  <c r="DP593" i="43" l="1"/>
  <c r="DQ593" i="43" s="1"/>
  <c r="DM593" i="43"/>
  <c r="DN593" i="43" s="1"/>
  <c r="DS591" i="43"/>
  <c r="DR592" i="43"/>
  <c r="DH594" i="43"/>
  <c r="DO594" i="43"/>
  <c r="DK594" i="43"/>
  <c r="DG595" i="43"/>
  <c r="DP1191" i="43"/>
  <c r="DI1192" i="43"/>
  <c r="DO1192" i="43"/>
  <c r="DK1192" i="43"/>
  <c r="DP594" i="43" l="1"/>
  <c r="DQ594" i="43" s="1"/>
  <c r="DM594" i="43"/>
  <c r="DN594" i="43" s="1"/>
  <c r="DR593" i="43"/>
  <c r="DS592" i="43"/>
  <c r="DK595" i="43"/>
  <c r="DO595" i="43"/>
  <c r="DH595" i="43"/>
  <c r="DG596" i="43"/>
  <c r="DI1193" i="43"/>
  <c r="DO1193" i="43"/>
  <c r="DK1193" i="43"/>
  <c r="DP1192" i="43"/>
  <c r="DK596" i="43" l="1"/>
  <c r="DH596" i="43"/>
  <c r="DO596" i="43"/>
  <c r="DS593" i="43"/>
  <c r="DR594" i="43"/>
  <c r="DP595" i="43"/>
  <c r="DQ595" i="43" s="1"/>
  <c r="DM595" i="43"/>
  <c r="DN595" i="43" s="1"/>
  <c r="DG597" i="43"/>
  <c r="DP1193" i="43"/>
  <c r="DI1194" i="43"/>
  <c r="DO1194" i="43"/>
  <c r="DK1194" i="43"/>
  <c r="DS594" i="43" l="1"/>
  <c r="DR595" i="43"/>
  <c r="DP596" i="43"/>
  <c r="DQ596" i="43" s="1"/>
  <c r="DM596" i="43"/>
  <c r="DN596" i="43" s="1"/>
  <c r="DH597" i="43"/>
  <c r="DO597" i="43"/>
  <c r="DK597" i="43"/>
  <c r="DG598" i="43"/>
  <c r="DK1195" i="43"/>
  <c r="DI1195" i="43"/>
  <c r="DO1195" i="43"/>
  <c r="DP1194" i="43"/>
  <c r="DK598" i="43" l="1"/>
  <c r="DP597" i="43"/>
  <c r="DQ597" i="43" s="1"/>
  <c r="DM597" i="43"/>
  <c r="DN597" i="43" s="1"/>
  <c r="DH598" i="43"/>
  <c r="DO598" i="43"/>
  <c r="DS595" i="43"/>
  <c r="DR596" i="43"/>
  <c r="DG599" i="43"/>
  <c r="DI1196" i="43"/>
  <c r="DO1196" i="43"/>
  <c r="DP1195" i="43"/>
  <c r="DK1196" i="43"/>
  <c r="DP598" i="43" l="1"/>
  <c r="DQ598" i="43" s="1"/>
  <c r="DM598" i="43"/>
  <c r="DN598" i="43" s="1"/>
  <c r="DS596" i="43"/>
  <c r="DR597" i="43"/>
  <c r="DH599" i="43"/>
  <c r="DO599" i="43"/>
  <c r="DK599" i="43"/>
  <c r="DG600" i="43"/>
  <c r="DI1197" i="43"/>
  <c r="DO1197" i="43"/>
  <c r="DK1197" i="43"/>
  <c r="DP1196" i="43"/>
  <c r="DK600" i="43" l="1"/>
  <c r="DR598" i="43"/>
  <c r="DS597" i="43"/>
  <c r="DP599" i="43"/>
  <c r="DQ599" i="43" s="1"/>
  <c r="DM599" i="43"/>
  <c r="DN599" i="43" s="1"/>
  <c r="DO600" i="43"/>
  <c r="DH600" i="43"/>
  <c r="DG601" i="43"/>
  <c r="DJ601" i="43" s="1"/>
  <c r="DI1198" i="43"/>
  <c r="DO1198" i="43"/>
  <c r="DK1198" i="43"/>
  <c r="DP1197" i="43"/>
  <c r="DP600" i="43" l="1"/>
  <c r="DQ600" i="43" s="1"/>
  <c r="DM600" i="43"/>
  <c r="DN600" i="43" s="1"/>
  <c r="BX20" i="43" s="1" a="1"/>
  <c r="BX20" i="43" s="1"/>
  <c r="DS598" i="43"/>
  <c r="DR599" i="43"/>
  <c r="DK601" i="43"/>
  <c r="DG602" i="43"/>
  <c r="DQ601" i="43"/>
  <c r="DM602" i="43"/>
  <c r="DT602" i="43"/>
  <c r="DI1199" i="43"/>
  <c r="DO1199" i="43"/>
  <c r="DP1198" i="43"/>
  <c r="DK1199" i="43"/>
  <c r="DK602" i="43" l="1"/>
  <c r="DK603" i="43" s="1"/>
  <c r="DS599" i="43"/>
  <c r="DR600" i="43"/>
  <c r="DQ602" i="43"/>
  <c r="DG603" i="43"/>
  <c r="DU602" i="43"/>
  <c r="DT603" i="43"/>
  <c r="DN602" i="43"/>
  <c r="DM603" i="43"/>
  <c r="DP1199" i="43"/>
  <c r="DI1200" i="43"/>
  <c r="DO1200" i="43"/>
  <c r="DK1200" i="43"/>
  <c r="DR602" i="43"/>
  <c r="DS600" i="43" l="1"/>
  <c r="DR601" i="43"/>
  <c r="DS601" i="43" s="1"/>
  <c r="DQ603" i="43"/>
  <c r="DG604" i="43"/>
  <c r="DU603" i="43"/>
  <c r="DT604" i="43"/>
  <c r="DN603" i="43"/>
  <c r="DM604" i="43"/>
  <c r="DL1201" i="43"/>
  <c r="DL1200" i="43" s="1"/>
  <c r="DL1199" i="43" s="1"/>
  <c r="DL1198" i="43" s="1"/>
  <c r="DL1197" i="43" s="1"/>
  <c r="DL1196" i="43" s="1"/>
  <c r="DL1195" i="43" s="1"/>
  <c r="DL1194" i="43" s="1"/>
  <c r="DL1193" i="43" s="1"/>
  <c r="DL1192" i="43" s="1"/>
  <c r="DL1191" i="43" s="1"/>
  <c r="DL1190" i="43" s="1"/>
  <c r="DL1189" i="43" s="1"/>
  <c r="DL1188" i="43" s="1"/>
  <c r="DL1187" i="43" s="1"/>
  <c r="DL1186" i="43" s="1"/>
  <c r="DL1185" i="43" s="1"/>
  <c r="DL1184" i="43" s="1"/>
  <c r="DL1183" i="43" s="1"/>
  <c r="DL1182" i="43" s="1"/>
  <c r="DL1181" i="43" s="1"/>
  <c r="DL1180" i="43" s="1"/>
  <c r="DL1179" i="43" s="1"/>
  <c r="DL1178" i="43" s="1"/>
  <c r="DL1177" i="43" s="1"/>
  <c r="DL1176" i="43" s="1"/>
  <c r="DL1175" i="43" s="1"/>
  <c r="DL1174" i="43" s="1"/>
  <c r="DL1173" i="43" s="1"/>
  <c r="DL1172" i="43" s="1"/>
  <c r="DL1171" i="43" s="1"/>
  <c r="DL1170" i="43" s="1"/>
  <c r="DL1169" i="43" s="1"/>
  <c r="DL1168" i="43" s="1"/>
  <c r="DL1167" i="43" s="1"/>
  <c r="DL1166" i="43" s="1"/>
  <c r="DL1165" i="43" s="1"/>
  <c r="DL1164" i="43" s="1"/>
  <c r="DL1163" i="43" s="1"/>
  <c r="DL1162" i="43" s="1"/>
  <c r="DL1161" i="43" s="1"/>
  <c r="DL1160" i="43" s="1"/>
  <c r="DL1159" i="43" s="1"/>
  <c r="DL1158" i="43" s="1"/>
  <c r="DL1157" i="43" s="1"/>
  <c r="DL1156" i="43" s="1"/>
  <c r="DL1155" i="43" s="1"/>
  <c r="DL1154" i="43" s="1"/>
  <c r="DL1153" i="43" s="1"/>
  <c r="DL1152" i="43" s="1"/>
  <c r="DL1151" i="43" s="1"/>
  <c r="DL1150" i="43" s="1"/>
  <c r="DL1149" i="43" s="1"/>
  <c r="DL1148" i="43" s="1"/>
  <c r="DL1147" i="43" s="1"/>
  <c r="DL1146" i="43" s="1"/>
  <c r="DL1145" i="43" s="1"/>
  <c r="DL1144" i="43" s="1"/>
  <c r="DL1143" i="43" s="1"/>
  <c r="DL1142" i="43" s="1"/>
  <c r="DL1141" i="43" s="1"/>
  <c r="DL1140" i="43" s="1"/>
  <c r="DL1139" i="43" s="1"/>
  <c r="DL1138" i="43" s="1"/>
  <c r="DL1137" i="43" s="1"/>
  <c r="DL1136" i="43" s="1"/>
  <c r="DL1135" i="43" s="1"/>
  <c r="DL1134" i="43" s="1"/>
  <c r="DL1133" i="43" s="1"/>
  <c r="DL1132" i="43" s="1"/>
  <c r="DL1131" i="43" s="1"/>
  <c r="DL1130" i="43" s="1"/>
  <c r="DL1129" i="43" s="1"/>
  <c r="DL1128" i="43" s="1"/>
  <c r="DL1127" i="43" s="1"/>
  <c r="DL1126" i="43" s="1"/>
  <c r="DL1125" i="43" s="1"/>
  <c r="DL1124" i="43" s="1"/>
  <c r="DL1123" i="43" s="1"/>
  <c r="DL1122" i="43" s="1"/>
  <c r="DL1121" i="43" s="1"/>
  <c r="DL1120" i="43" s="1"/>
  <c r="DL1119" i="43" s="1"/>
  <c r="DL1118" i="43" s="1"/>
  <c r="DL1117" i="43" s="1"/>
  <c r="DL1116" i="43" s="1"/>
  <c r="DL1115" i="43" s="1"/>
  <c r="DL1114" i="43" s="1"/>
  <c r="DL1113" i="43" s="1"/>
  <c r="DL1112" i="43" s="1"/>
  <c r="DL1111" i="43" s="1"/>
  <c r="DL1110" i="43" s="1"/>
  <c r="DL1109" i="43" s="1"/>
  <c r="DL1108" i="43" s="1"/>
  <c r="DL1107" i="43" s="1"/>
  <c r="DL1106" i="43" s="1"/>
  <c r="DL1105" i="43" s="1"/>
  <c r="DL1104" i="43" s="1"/>
  <c r="DL1103" i="43" s="1"/>
  <c r="DL1102" i="43" s="1"/>
  <c r="DL1101" i="43" s="1"/>
  <c r="DL1100" i="43" s="1"/>
  <c r="DL1099" i="43" s="1"/>
  <c r="DL1098" i="43" s="1"/>
  <c r="DL1097" i="43" s="1"/>
  <c r="DL1096" i="43" s="1"/>
  <c r="DL1095" i="43" s="1"/>
  <c r="DL1094" i="43" s="1"/>
  <c r="DL1093" i="43" s="1"/>
  <c r="DL1092" i="43" s="1"/>
  <c r="DL1091" i="43" s="1"/>
  <c r="DL1090" i="43" s="1"/>
  <c r="DL1089" i="43" s="1"/>
  <c r="DL1088" i="43" s="1"/>
  <c r="DL1087" i="43" s="1"/>
  <c r="DL1086" i="43" s="1"/>
  <c r="DL1085" i="43" s="1"/>
  <c r="DL1084" i="43" s="1"/>
  <c r="DL1083" i="43" s="1"/>
  <c r="DL1082" i="43" s="1"/>
  <c r="DL1081" i="43" s="1"/>
  <c r="DL1080" i="43" s="1"/>
  <c r="DL1079" i="43" s="1"/>
  <c r="DL1078" i="43" s="1"/>
  <c r="DL1077" i="43" s="1"/>
  <c r="DL1076" i="43" s="1"/>
  <c r="DL1075" i="43" s="1"/>
  <c r="DL1074" i="43" s="1"/>
  <c r="DL1073" i="43" s="1"/>
  <c r="DL1072" i="43" s="1"/>
  <c r="DL1071" i="43" s="1"/>
  <c r="DL1070" i="43" s="1"/>
  <c r="DL1069" i="43" s="1"/>
  <c r="DL1068" i="43" s="1"/>
  <c r="DL1067" i="43" s="1"/>
  <c r="DL1066" i="43" s="1"/>
  <c r="DL1065" i="43" s="1"/>
  <c r="DL1064" i="43" s="1"/>
  <c r="DL1063" i="43" s="1"/>
  <c r="DL1062" i="43" s="1"/>
  <c r="DL1061" i="43" s="1"/>
  <c r="DL1060" i="43" s="1"/>
  <c r="DL1059" i="43" s="1"/>
  <c r="DL1058" i="43" s="1"/>
  <c r="DL1057" i="43" s="1"/>
  <c r="DL1056" i="43" s="1"/>
  <c r="DL1055" i="43" s="1"/>
  <c r="DL1054" i="43" s="1"/>
  <c r="DL1053" i="43" s="1"/>
  <c r="DL1052" i="43" s="1"/>
  <c r="DL1051" i="43" s="1"/>
  <c r="DL1050" i="43" s="1"/>
  <c r="DL1049" i="43" s="1"/>
  <c r="DL1048" i="43" s="1"/>
  <c r="DL1047" i="43" s="1"/>
  <c r="DL1046" i="43" s="1"/>
  <c r="DL1045" i="43" s="1"/>
  <c r="DL1044" i="43" s="1"/>
  <c r="DL1043" i="43" s="1"/>
  <c r="DL1042" i="43" s="1"/>
  <c r="DL1041" i="43" s="1"/>
  <c r="DL1040" i="43" s="1"/>
  <c r="DL1039" i="43" s="1"/>
  <c r="DL1038" i="43" s="1"/>
  <c r="DL1037" i="43" s="1"/>
  <c r="DL1036" i="43" s="1"/>
  <c r="DL1035" i="43" s="1"/>
  <c r="DL1034" i="43" s="1"/>
  <c r="DL1033" i="43" s="1"/>
  <c r="DL1032" i="43" s="1"/>
  <c r="DL1031" i="43" s="1"/>
  <c r="DL1030" i="43" s="1"/>
  <c r="DL1029" i="43" s="1"/>
  <c r="DL1028" i="43" s="1"/>
  <c r="DL1027" i="43" s="1"/>
  <c r="DL1026" i="43" s="1"/>
  <c r="DL1025" i="43" s="1"/>
  <c r="DL1024" i="43" s="1"/>
  <c r="DL1023" i="43" s="1"/>
  <c r="DL1022" i="43" s="1"/>
  <c r="DL1021" i="43" s="1"/>
  <c r="DL1020" i="43" s="1"/>
  <c r="DL1019" i="43" s="1"/>
  <c r="DL1018" i="43" s="1"/>
  <c r="DL1017" i="43" s="1"/>
  <c r="DL1016" i="43" s="1"/>
  <c r="DL1015" i="43" s="1"/>
  <c r="DL1014" i="43" s="1"/>
  <c r="DL1013" i="43" s="1"/>
  <c r="DL1012" i="43" s="1"/>
  <c r="DL1011" i="43" s="1"/>
  <c r="DL1010" i="43" s="1"/>
  <c r="DL1009" i="43" s="1"/>
  <c r="DL1008" i="43" s="1"/>
  <c r="DL1007" i="43" s="1"/>
  <c r="DL1006" i="43" s="1"/>
  <c r="DL1005" i="43" s="1"/>
  <c r="DL1004" i="43" s="1"/>
  <c r="DL1003" i="43" s="1"/>
  <c r="DL1002" i="43" s="1"/>
  <c r="DL1001" i="43" s="1"/>
  <c r="DL1000" i="43" s="1"/>
  <c r="DL999" i="43" s="1"/>
  <c r="DL998" i="43" s="1"/>
  <c r="DL997" i="43" s="1"/>
  <c r="DL996" i="43" s="1"/>
  <c r="DL995" i="43" s="1"/>
  <c r="DL994" i="43" s="1"/>
  <c r="DL993" i="43" s="1"/>
  <c r="DL992" i="43" s="1"/>
  <c r="DL991" i="43" s="1"/>
  <c r="DL990" i="43" s="1"/>
  <c r="DL989" i="43" s="1"/>
  <c r="DL988" i="43" s="1"/>
  <c r="DL987" i="43" s="1"/>
  <c r="DL986" i="43" s="1"/>
  <c r="DL985" i="43" s="1"/>
  <c r="DL984" i="43" s="1"/>
  <c r="DL983" i="43" s="1"/>
  <c r="DL982" i="43" s="1"/>
  <c r="DL981" i="43" s="1"/>
  <c r="DL980" i="43" s="1"/>
  <c r="DL979" i="43" s="1"/>
  <c r="DL978" i="43" s="1"/>
  <c r="DL977" i="43" s="1"/>
  <c r="DL976" i="43" s="1"/>
  <c r="DL975" i="43" s="1"/>
  <c r="DL974" i="43" s="1"/>
  <c r="DL973" i="43" s="1"/>
  <c r="DL972" i="43" s="1"/>
  <c r="DL971" i="43" s="1"/>
  <c r="DL970" i="43" s="1"/>
  <c r="DL969" i="43" s="1"/>
  <c r="DL968" i="43" s="1"/>
  <c r="DL967" i="43" s="1"/>
  <c r="DL966" i="43" s="1"/>
  <c r="DL965" i="43" s="1"/>
  <c r="DL964" i="43" s="1"/>
  <c r="DL963" i="43" s="1"/>
  <c r="DL962" i="43" s="1"/>
  <c r="DL961" i="43" s="1"/>
  <c r="DL960" i="43" s="1"/>
  <c r="DL959" i="43" s="1"/>
  <c r="DL958" i="43" s="1"/>
  <c r="DL957" i="43" s="1"/>
  <c r="DL956" i="43" s="1"/>
  <c r="DL955" i="43" s="1"/>
  <c r="DL954" i="43" s="1"/>
  <c r="DL953" i="43" s="1"/>
  <c r="DL952" i="43" s="1"/>
  <c r="DL951" i="43" s="1"/>
  <c r="DL950" i="43" s="1"/>
  <c r="DL949" i="43" s="1"/>
  <c r="DL948" i="43" s="1"/>
  <c r="DL947" i="43" s="1"/>
  <c r="DL946" i="43" s="1"/>
  <c r="DL945" i="43" s="1"/>
  <c r="DL944" i="43" s="1"/>
  <c r="DL943" i="43" s="1"/>
  <c r="DL942" i="43" s="1"/>
  <c r="DL941" i="43" s="1"/>
  <c r="DL940" i="43" s="1"/>
  <c r="DL939" i="43" s="1"/>
  <c r="DL938" i="43" s="1"/>
  <c r="DL937" i="43" s="1"/>
  <c r="DL936" i="43" s="1"/>
  <c r="DL935" i="43" s="1"/>
  <c r="DL934" i="43" s="1"/>
  <c r="DL933" i="43" s="1"/>
  <c r="DL932" i="43" s="1"/>
  <c r="DL931" i="43" s="1"/>
  <c r="DL930" i="43" s="1"/>
  <c r="DL929" i="43" s="1"/>
  <c r="DL928" i="43" s="1"/>
  <c r="DL927" i="43" s="1"/>
  <c r="DL926" i="43" s="1"/>
  <c r="DL925" i="43" s="1"/>
  <c r="DL924" i="43" s="1"/>
  <c r="DL923" i="43" s="1"/>
  <c r="DL922" i="43" s="1"/>
  <c r="DL921" i="43" s="1"/>
  <c r="DL920" i="43" s="1"/>
  <c r="DL919" i="43" s="1"/>
  <c r="DL918" i="43" s="1"/>
  <c r="DL917" i="43" s="1"/>
  <c r="DL916" i="43" s="1"/>
  <c r="DL915" i="43" s="1"/>
  <c r="DL914" i="43" s="1"/>
  <c r="DL913" i="43" s="1"/>
  <c r="DL912" i="43" s="1"/>
  <c r="DL911" i="43" s="1"/>
  <c r="DL910" i="43" s="1"/>
  <c r="DL909" i="43" s="1"/>
  <c r="DL908" i="43" s="1"/>
  <c r="DL907" i="43" s="1"/>
  <c r="DL906" i="43" s="1"/>
  <c r="DL905" i="43" s="1"/>
  <c r="DL904" i="43" s="1"/>
  <c r="DL903" i="43" s="1"/>
  <c r="DL902" i="43" s="1"/>
  <c r="DL901" i="43" s="1"/>
  <c r="DL900" i="43" s="1"/>
  <c r="DL899" i="43" s="1"/>
  <c r="DL898" i="43" s="1"/>
  <c r="DL897" i="43" s="1"/>
  <c r="DL896" i="43" s="1"/>
  <c r="DL895" i="43" s="1"/>
  <c r="DL894" i="43" s="1"/>
  <c r="DL893" i="43" s="1"/>
  <c r="DL892" i="43" s="1"/>
  <c r="DL891" i="43" s="1"/>
  <c r="DL890" i="43" s="1"/>
  <c r="DL889" i="43" s="1"/>
  <c r="DL888" i="43" s="1"/>
  <c r="DL887" i="43" s="1"/>
  <c r="DL886" i="43" s="1"/>
  <c r="DL885" i="43" s="1"/>
  <c r="DL884" i="43" s="1"/>
  <c r="DL883" i="43" s="1"/>
  <c r="DL882" i="43" s="1"/>
  <c r="DL881" i="43" s="1"/>
  <c r="DL880" i="43" s="1"/>
  <c r="DL879" i="43" s="1"/>
  <c r="DL878" i="43" s="1"/>
  <c r="DL877" i="43" s="1"/>
  <c r="DL876" i="43" s="1"/>
  <c r="DL875" i="43" s="1"/>
  <c r="DL874" i="43" s="1"/>
  <c r="DL873" i="43" s="1"/>
  <c r="DL872" i="43" s="1"/>
  <c r="DL871" i="43" s="1"/>
  <c r="DL870" i="43" s="1"/>
  <c r="DL869" i="43" s="1"/>
  <c r="DL868" i="43" s="1"/>
  <c r="DL867" i="43" s="1"/>
  <c r="DL866" i="43" s="1"/>
  <c r="DL865" i="43" s="1"/>
  <c r="DL864" i="43" s="1"/>
  <c r="DL863" i="43" s="1"/>
  <c r="DL862" i="43" s="1"/>
  <c r="DL861" i="43" s="1"/>
  <c r="DL860" i="43" s="1"/>
  <c r="DL859" i="43" s="1"/>
  <c r="DL858" i="43" s="1"/>
  <c r="DL857" i="43" s="1"/>
  <c r="DL856" i="43" s="1"/>
  <c r="DL855" i="43" s="1"/>
  <c r="DL854" i="43" s="1"/>
  <c r="DL853" i="43" s="1"/>
  <c r="DL852" i="43" s="1"/>
  <c r="DL851" i="43" s="1"/>
  <c r="DL850" i="43" s="1"/>
  <c r="DL849" i="43" s="1"/>
  <c r="DL848" i="43" s="1"/>
  <c r="DL847" i="43" s="1"/>
  <c r="DL846" i="43" s="1"/>
  <c r="DL845" i="43" s="1"/>
  <c r="DL844" i="43" s="1"/>
  <c r="DL843" i="43" s="1"/>
  <c r="DL842" i="43" s="1"/>
  <c r="DL841" i="43" s="1"/>
  <c r="DL840" i="43" s="1"/>
  <c r="DL839" i="43" s="1"/>
  <c r="DL838" i="43" s="1"/>
  <c r="DL837" i="43" s="1"/>
  <c r="DL836" i="43" s="1"/>
  <c r="DL835" i="43" s="1"/>
  <c r="DL834" i="43" s="1"/>
  <c r="DL833" i="43" s="1"/>
  <c r="DL832" i="43" s="1"/>
  <c r="DL831" i="43" s="1"/>
  <c r="DL830" i="43" s="1"/>
  <c r="DL829" i="43" s="1"/>
  <c r="DL828" i="43" s="1"/>
  <c r="DL827" i="43" s="1"/>
  <c r="DL826" i="43" s="1"/>
  <c r="DL825" i="43" s="1"/>
  <c r="DL824" i="43" s="1"/>
  <c r="DL823" i="43" s="1"/>
  <c r="DL822" i="43" s="1"/>
  <c r="DL821" i="43" s="1"/>
  <c r="DL820" i="43" s="1"/>
  <c r="DL819" i="43" s="1"/>
  <c r="DL818" i="43" s="1"/>
  <c r="DL817" i="43" s="1"/>
  <c r="DL816" i="43" s="1"/>
  <c r="DL815" i="43" s="1"/>
  <c r="DL814" i="43" s="1"/>
  <c r="DL813" i="43" s="1"/>
  <c r="DL812" i="43" s="1"/>
  <c r="DL811" i="43" s="1"/>
  <c r="DL810" i="43" s="1"/>
  <c r="DL809" i="43" s="1"/>
  <c r="DL808" i="43" s="1"/>
  <c r="DL807" i="43" s="1"/>
  <c r="DL806" i="43" s="1"/>
  <c r="DL805" i="43" s="1"/>
  <c r="DL804" i="43" s="1"/>
  <c r="DL803" i="43" s="1"/>
  <c r="DL802" i="43" s="1"/>
  <c r="DL801" i="43" s="1"/>
  <c r="DL800" i="43" s="1"/>
  <c r="DL799" i="43" s="1"/>
  <c r="DL798" i="43" s="1"/>
  <c r="DL797" i="43" s="1"/>
  <c r="DL796" i="43" s="1"/>
  <c r="DL795" i="43" s="1"/>
  <c r="DL794" i="43" s="1"/>
  <c r="DL793" i="43" s="1"/>
  <c r="DL792" i="43" s="1"/>
  <c r="DL791" i="43" s="1"/>
  <c r="DL790" i="43" s="1"/>
  <c r="DL789" i="43" s="1"/>
  <c r="DL788" i="43" s="1"/>
  <c r="DL787" i="43" s="1"/>
  <c r="DL786" i="43" s="1"/>
  <c r="DL785" i="43" s="1"/>
  <c r="DL784" i="43" s="1"/>
  <c r="DL783" i="43" s="1"/>
  <c r="DL782" i="43" s="1"/>
  <c r="DL781" i="43" s="1"/>
  <c r="DL780" i="43" s="1"/>
  <c r="DL779" i="43" s="1"/>
  <c r="DL778" i="43" s="1"/>
  <c r="DL777" i="43" s="1"/>
  <c r="DL776" i="43" s="1"/>
  <c r="DL775" i="43" s="1"/>
  <c r="DL774" i="43" s="1"/>
  <c r="DL773" i="43" s="1"/>
  <c r="DL772" i="43" s="1"/>
  <c r="DL771" i="43" s="1"/>
  <c r="DL770" i="43" s="1"/>
  <c r="DL769" i="43" s="1"/>
  <c r="DL768" i="43" s="1"/>
  <c r="DL767" i="43" s="1"/>
  <c r="DL766" i="43" s="1"/>
  <c r="DL765" i="43" s="1"/>
  <c r="DL764" i="43" s="1"/>
  <c r="DL763" i="43" s="1"/>
  <c r="DL762" i="43" s="1"/>
  <c r="DL761" i="43" s="1"/>
  <c r="DL760" i="43" s="1"/>
  <c r="DL759" i="43" s="1"/>
  <c r="DL758" i="43" s="1"/>
  <c r="DL757" i="43" s="1"/>
  <c r="DL756" i="43" s="1"/>
  <c r="DL755" i="43" s="1"/>
  <c r="DL754" i="43" s="1"/>
  <c r="DL753" i="43" s="1"/>
  <c r="DL752" i="43" s="1"/>
  <c r="DL751" i="43" s="1"/>
  <c r="DL750" i="43" s="1"/>
  <c r="DL749" i="43" s="1"/>
  <c r="DL748" i="43" s="1"/>
  <c r="DL747" i="43" s="1"/>
  <c r="DL746" i="43" s="1"/>
  <c r="DL745" i="43" s="1"/>
  <c r="DL744" i="43" s="1"/>
  <c r="DL743" i="43" s="1"/>
  <c r="DL742" i="43" s="1"/>
  <c r="DL741" i="43" s="1"/>
  <c r="DL740" i="43" s="1"/>
  <c r="DL739" i="43" s="1"/>
  <c r="DL738" i="43" s="1"/>
  <c r="DL737" i="43" s="1"/>
  <c r="DL736" i="43" s="1"/>
  <c r="DL735" i="43" s="1"/>
  <c r="DL734" i="43" s="1"/>
  <c r="DL733" i="43" s="1"/>
  <c r="DL732" i="43" s="1"/>
  <c r="DL731" i="43" s="1"/>
  <c r="DL730" i="43" s="1"/>
  <c r="DL729" i="43" s="1"/>
  <c r="DL728" i="43" s="1"/>
  <c r="DL727" i="43" s="1"/>
  <c r="DL726" i="43" s="1"/>
  <c r="DL725" i="43" s="1"/>
  <c r="DL724" i="43" s="1"/>
  <c r="DL723" i="43" s="1"/>
  <c r="DL722" i="43" s="1"/>
  <c r="DL721" i="43" s="1"/>
  <c r="DL720" i="43" s="1"/>
  <c r="DL719" i="43" s="1"/>
  <c r="DL718" i="43" s="1"/>
  <c r="DL717" i="43" s="1"/>
  <c r="DL716" i="43" s="1"/>
  <c r="DL715" i="43" s="1"/>
  <c r="DL714" i="43" s="1"/>
  <c r="DL713" i="43" s="1"/>
  <c r="DL712" i="43" s="1"/>
  <c r="DL711" i="43" s="1"/>
  <c r="DL710" i="43" s="1"/>
  <c r="DL709" i="43" s="1"/>
  <c r="DL708" i="43" s="1"/>
  <c r="DL707" i="43" s="1"/>
  <c r="DL706" i="43" s="1"/>
  <c r="DL705" i="43" s="1"/>
  <c r="DL704" i="43" s="1"/>
  <c r="DL703" i="43" s="1"/>
  <c r="DL702" i="43" s="1"/>
  <c r="DL701" i="43" s="1"/>
  <c r="DL700" i="43" s="1"/>
  <c r="DL699" i="43" s="1"/>
  <c r="DL698" i="43" s="1"/>
  <c r="DL697" i="43" s="1"/>
  <c r="DL696" i="43" s="1"/>
  <c r="DL695" i="43" s="1"/>
  <c r="DL694" i="43" s="1"/>
  <c r="DL693" i="43" s="1"/>
  <c r="DL692" i="43" s="1"/>
  <c r="DL691" i="43" s="1"/>
  <c r="DL690" i="43" s="1"/>
  <c r="DL689" i="43" s="1"/>
  <c r="DL688" i="43" s="1"/>
  <c r="DL687" i="43" s="1"/>
  <c r="DL686" i="43" s="1"/>
  <c r="DL685" i="43" s="1"/>
  <c r="DL684" i="43" s="1"/>
  <c r="DL683" i="43" s="1"/>
  <c r="DL682" i="43" s="1"/>
  <c r="DL681" i="43" s="1"/>
  <c r="DL680" i="43" s="1"/>
  <c r="DL679" i="43" s="1"/>
  <c r="DL678" i="43" s="1"/>
  <c r="DL677" i="43" s="1"/>
  <c r="DL676" i="43" s="1"/>
  <c r="DL675" i="43" s="1"/>
  <c r="DL674" i="43" s="1"/>
  <c r="DL673" i="43" s="1"/>
  <c r="DL672" i="43" s="1"/>
  <c r="DL671" i="43" s="1"/>
  <c r="DL670" i="43" s="1"/>
  <c r="DL669" i="43" s="1"/>
  <c r="DL668" i="43" s="1"/>
  <c r="DL667" i="43" s="1"/>
  <c r="DL666" i="43" s="1"/>
  <c r="DL665" i="43" s="1"/>
  <c r="DL664" i="43" s="1"/>
  <c r="DL663" i="43" s="1"/>
  <c r="DL662" i="43" s="1"/>
  <c r="DL661" i="43" s="1"/>
  <c r="DL660" i="43" s="1"/>
  <c r="DL659" i="43" s="1"/>
  <c r="DL658" i="43" s="1"/>
  <c r="DL657" i="43" s="1"/>
  <c r="DL656" i="43" s="1"/>
  <c r="DL655" i="43" s="1"/>
  <c r="DL654" i="43" s="1"/>
  <c r="DL653" i="43" s="1"/>
  <c r="DL652" i="43" s="1"/>
  <c r="DL651" i="43" s="1"/>
  <c r="DL650" i="43" s="1"/>
  <c r="DL649" i="43" s="1"/>
  <c r="DL648" i="43" s="1"/>
  <c r="DL647" i="43" s="1"/>
  <c r="DL646" i="43" s="1"/>
  <c r="DL645" i="43" s="1"/>
  <c r="DL644" i="43" s="1"/>
  <c r="DL643" i="43" s="1"/>
  <c r="DL642" i="43" s="1"/>
  <c r="DL641" i="43" s="1"/>
  <c r="DL640" i="43" s="1"/>
  <c r="DL639" i="43" s="1"/>
  <c r="DL638" i="43" s="1"/>
  <c r="DL637" i="43" s="1"/>
  <c r="DL636" i="43" s="1"/>
  <c r="DL635" i="43" s="1"/>
  <c r="DL634" i="43" s="1"/>
  <c r="DL633" i="43" s="1"/>
  <c r="DL632" i="43" s="1"/>
  <c r="DL631" i="43" s="1"/>
  <c r="DL630" i="43" s="1"/>
  <c r="DL629" i="43" s="1"/>
  <c r="DL628" i="43" s="1"/>
  <c r="DL627" i="43" s="1"/>
  <c r="DL626" i="43" s="1"/>
  <c r="DL625" i="43" s="1"/>
  <c r="DL624" i="43" s="1"/>
  <c r="DL623" i="43" s="1"/>
  <c r="DL622" i="43" s="1"/>
  <c r="DL621" i="43" s="1"/>
  <c r="DL620" i="43" s="1"/>
  <c r="DL619" i="43" s="1"/>
  <c r="DL618" i="43" s="1"/>
  <c r="DL617" i="43" s="1"/>
  <c r="DL616" i="43" s="1"/>
  <c r="DL615" i="43" s="1"/>
  <c r="DL614" i="43" s="1"/>
  <c r="DL613" i="43" s="1"/>
  <c r="DL612" i="43" s="1"/>
  <c r="DL611" i="43" s="1"/>
  <c r="DL610" i="43" s="1"/>
  <c r="DL609" i="43" s="1"/>
  <c r="DL608" i="43" s="1"/>
  <c r="DL607" i="43" s="1"/>
  <c r="DL606" i="43" s="1"/>
  <c r="DL605" i="43" s="1"/>
  <c r="DL604" i="43" s="1"/>
  <c r="DL603" i="43" s="1"/>
  <c r="DL602" i="43" s="1"/>
  <c r="DJ1201" i="43"/>
  <c r="DS602" i="43"/>
  <c r="DR603" i="43"/>
  <c r="DK1201" i="43"/>
  <c r="DP1200" i="43"/>
  <c r="CR7" i="43" l="1" a="1"/>
  <c r="CR7" i="43" s="1"/>
  <c r="CD7" i="43" a="1"/>
  <c r="CD7" i="43" s="1"/>
  <c r="DG605" i="43"/>
  <c r="DQ604" i="43"/>
  <c r="DT1201" i="43"/>
  <c r="DU1201" i="43" s="1"/>
  <c r="BY40" i="43" s="1" a="1"/>
  <c r="BY40" i="43" s="1"/>
  <c r="DN604" i="43"/>
  <c r="DM605" i="43"/>
  <c r="DU604" i="43"/>
  <c r="DT605" i="43"/>
  <c r="DL601" i="43"/>
  <c r="DL600" i="43" s="1"/>
  <c r="DL599" i="43" s="1"/>
  <c r="DL598" i="43" s="1"/>
  <c r="DL597" i="43" s="1"/>
  <c r="DL596" i="43" s="1"/>
  <c r="DL595" i="43" s="1"/>
  <c r="DL594" i="43" s="1"/>
  <c r="DL593" i="43" s="1"/>
  <c r="DL592" i="43" s="1"/>
  <c r="DL591" i="43" s="1"/>
  <c r="DL590" i="43" s="1"/>
  <c r="DL589" i="43" s="1"/>
  <c r="DL588" i="43" s="1"/>
  <c r="DL587" i="43" s="1"/>
  <c r="DL586" i="43" s="1"/>
  <c r="DL585" i="43" s="1"/>
  <c r="DL584" i="43" s="1"/>
  <c r="DL583" i="43" s="1"/>
  <c r="DL582" i="43" s="1"/>
  <c r="DL581" i="43" s="1"/>
  <c r="DL580" i="43" s="1"/>
  <c r="DL579" i="43" s="1"/>
  <c r="DL578" i="43" s="1"/>
  <c r="DL577" i="43" s="1"/>
  <c r="DL576" i="43" s="1"/>
  <c r="DL575" i="43" s="1"/>
  <c r="DL574" i="43" s="1"/>
  <c r="DL573" i="43" s="1"/>
  <c r="DL572" i="43" s="1"/>
  <c r="DL571" i="43" s="1"/>
  <c r="DL570" i="43" s="1"/>
  <c r="DL569" i="43" s="1"/>
  <c r="DL568" i="43" s="1"/>
  <c r="DL567" i="43" s="1"/>
  <c r="DL566" i="43" s="1"/>
  <c r="DL565" i="43" s="1"/>
  <c r="DL564" i="43" s="1"/>
  <c r="DL563" i="43" s="1"/>
  <c r="DL562" i="43" s="1"/>
  <c r="DL561" i="43" s="1"/>
  <c r="DL560" i="43" s="1"/>
  <c r="DL559" i="43" s="1"/>
  <c r="DL558" i="43" s="1"/>
  <c r="DL557" i="43" s="1"/>
  <c r="DL556" i="43" s="1"/>
  <c r="DL555" i="43" s="1"/>
  <c r="DL554" i="43" s="1"/>
  <c r="DL553" i="43" s="1"/>
  <c r="DL552" i="43" s="1"/>
  <c r="DL551" i="43" s="1"/>
  <c r="DL550" i="43" s="1"/>
  <c r="DL549" i="43" s="1"/>
  <c r="DL548" i="43" s="1"/>
  <c r="DL547" i="43" s="1"/>
  <c r="DL546" i="43" s="1"/>
  <c r="DL545" i="43" s="1"/>
  <c r="DL544" i="43" s="1"/>
  <c r="DL543" i="43" s="1"/>
  <c r="DL542" i="43" s="1"/>
  <c r="DL541" i="43" s="1"/>
  <c r="DL540" i="43" s="1"/>
  <c r="DL539" i="43" s="1"/>
  <c r="DL538" i="43" s="1"/>
  <c r="DL537" i="43" s="1"/>
  <c r="DL536" i="43" s="1"/>
  <c r="DL535" i="43" s="1"/>
  <c r="DL534" i="43" s="1"/>
  <c r="DL533" i="43" s="1"/>
  <c r="DL532" i="43" s="1"/>
  <c r="DL531" i="43" s="1"/>
  <c r="DL530" i="43" s="1"/>
  <c r="DL529" i="43" s="1"/>
  <c r="DL528" i="43" s="1"/>
  <c r="DL527" i="43" s="1"/>
  <c r="DL526" i="43" s="1"/>
  <c r="DL525" i="43" s="1"/>
  <c r="DL524" i="43" s="1"/>
  <c r="DL523" i="43" s="1"/>
  <c r="DL522" i="43" s="1"/>
  <c r="DL521" i="43" s="1"/>
  <c r="DL520" i="43" s="1"/>
  <c r="DL519" i="43" s="1"/>
  <c r="DL518" i="43" s="1"/>
  <c r="DL517" i="43" s="1"/>
  <c r="DL516" i="43" s="1"/>
  <c r="DL515" i="43" s="1"/>
  <c r="DL514" i="43" s="1"/>
  <c r="DL513" i="43" s="1"/>
  <c r="DL512" i="43" s="1"/>
  <c r="DL511" i="43" s="1"/>
  <c r="DL510" i="43" s="1"/>
  <c r="DL509" i="43" s="1"/>
  <c r="DL508" i="43" s="1"/>
  <c r="DL507" i="43" s="1"/>
  <c r="DL506" i="43" s="1"/>
  <c r="DL505" i="43" s="1"/>
  <c r="DL504" i="43" s="1"/>
  <c r="DL503" i="43" s="1"/>
  <c r="DL502" i="43" s="1"/>
  <c r="DL501" i="43" s="1"/>
  <c r="DL500" i="43" s="1"/>
  <c r="DL499" i="43" s="1"/>
  <c r="DL498" i="43" s="1"/>
  <c r="DL497" i="43" s="1"/>
  <c r="DL496" i="43" s="1"/>
  <c r="DL495" i="43" s="1"/>
  <c r="DL494" i="43" s="1"/>
  <c r="DL493" i="43" s="1"/>
  <c r="DL492" i="43" s="1"/>
  <c r="DL491" i="43" s="1"/>
  <c r="DL490" i="43" s="1"/>
  <c r="DL489" i="43" s="1"/>
  <c r="DL488" i="43" s="1"/>
  <c r="DL487" i="43" s="1"/>
  <c r="DL486" i="43" s="1"/>
  <c r="DL485" i="43" s="1"/>
  <c r="DL484" i="43" s="1"/>
  <c r="DL483" i="43" s="1"/>
  <c r="DL482" i="43" s="1"/>
  <c r="DL481" i="43" s="1"/>
  <c r="DL480" i="43" s="1"/>
  <c r="DL479" i="43" s="1"/>
  <c r="DL478" i="43" s="1"/>
  <c r="DL477" i="43" s="1"/>
  <c r="DL476" i="43" s="1"/>
  <c r="DL475" i="43" s="1"/>
  <c r="DL474" i="43" s="1"/>
  <c r="DL473" i="43" s="1"/>
  <c r="DL472" i="43" s="1"/>
  <c r="DL471" i="43" s="1"/>
  <c r="DL470" i="43" s="1"/>
  <c r="DL469" i="43" s="1"/>
  <c r="DL468" i="43" s="1"/>
  <c r="DL467" i="43" s="1"/>
  <c r="DL466" i="43" s="1"/>
  <c r="DL465" i="43" s="1"/>
  <c r="DL464" i="43" s="1"/>
  <c r="DL463" i="43" s="1"/>
  <c r="DL462" i="43" s="1"/>
  <c r="DL461" i="43" s="1"/>
  <c r="DL460" i="43" s="1"/>
  <c r="DL459" i="43" s="1"/>
  <c r="DL458" i="43" s="1"/>
  <c r="DL457" i="43" s="1"/>
  <c r="DL456" i="43" s="1"/>
  <c r="DL455" i="43" s="1"/>
  <c r="DL454" i="43" s="1"/>
  <c r="DL453" i="43" s="1"/>
  <c r="DL452" i="43" s="1"/>
  <c r="DL451" i="43" s="1"/>
  <c r="DL450" i="43" s="1"/>
  <c r="DL449" i="43" s="1"/>
  <c r="DL448" i="43" s="1"/>
  <c r="DL447" i="43" s="1"/>
  <c r="DL446" i="43" s="1"/>
  <c r="DL445" i="43" s="1"/>
  <c r="DL444" i="43" s="1"/>
  <c r="DL443" i="43" s="1"/>
  <c r="DL442" i="43" s="1"/>
  <c r="DL441" i="43" s="1"/>
  <c r="DL440" i="43" s="1"/>
  <c r="DL439" i="43" s="1"/>
  <c r="DL438" i="43" s="1"/>
  <c r="DL437" i="43" s="1"/>
  <c r="DL436" i="43" s="1"/>
  <c r="DL435" i="43" s="1"/>
  <c r="DL434" i="43" s="1"/>
  <c r="DL433" i="43" s="1"/>
  <c r="DL432" i="43" s="1"/>
  <c r="DL431" i="43" s="1"/>
  <c r="DL430" i="43" s="1"/>
  <c r="DL429" i="43" s="1"/>
  <c r="DL428" i="43" s="1"/>
  <c r="DL427" i="43" s="1"/>
  <c r="DL426" i="43" s="1"/>
  <c r="DL425" i="43" s="1"/>
  <c r="DL424" i="43" s="1"/>
  <c r="DL423" i="43" s="1"/>
  <c r="DL422" i="43" s="1"/>
  <c r="DL421" i="43" s="1"/>
  <c r="DL420" i="43" s="1"/>
  <c r="DL419" i="43" s="1"/>
  <c r="DL418" i="43" s="1"/>
  <c r="DL417" i="43" s="1"/>
  <c r="DL416" i="43" s="1"/>
  <c r="DL415" i="43" s="1"/>
  <c r="DL414" i="43" s="1"/>
  <c r="DL413" i="43" s="1"/>
  <c r="DL412" i="43" s="1"/>
  <c r="DL411" i="43" s="1"/>
  <c r="DL410" i="43" s="1"/>
  <c r="DL409" i="43" s="1"/>
  <c r="DL408" i="43" s="1"/>
  <c r="DL407" i="43" s="1"/>
  <c r="DL406" i="43" s="1"/>
  <c r="DL405" i="43" s="1"/>
  <c r="DL404" i="43" s="1"/>
  <c r="DL403" i="43" s="1"/>
  <c r="DL402" i="43" s="1"/>
  <c r="DL401" i="43" s="1"/>
  <c r="DL400" i="43" s="1"/>
  <c r="DL399" i="43" s="1"/>
  <c r="DL398" i="43" s="1"/>
  <c r="DL397" i="43" s="1"/>
  <c r="DL396" i="43" s="1"/>
  <c r="DL395" i="43" s="1"/>
  <c r="DL394" i="43" s="1"/>
  <c r="DL393" i="43" s="1"/>
  <c r="DL392" i="43" s="1"/>
  <c r="DL391" i="43" s="1"/>
  <c r="DL390" i="43" s="1"/>
  <c r="DL389" i="43" s="1"/>
  <c r="DL388" i="43" s="1"/>
  <c r="DL387" i="43" s="1"/>
  <c r="DL386" i="43" s="1"/>
  <c r="DL385" i="43" s="1"/>
  <c r="DL384" i="43" s="1"/>
  <c r="DL383" i="43" s="1"/>
  <c r="DL382" i="43" s="1"/>
  <c r="DL381" i="43" s="1"/>
  <c r="DL380" i="43" s="1"/>
  <c r="DL379" i="43" s="1"/>
  <c r="DL378" i="43" s="1"/>
  <c r="DL377" i="43" s="1"/>
  <c r="DL376" i="43" s="1"/>
  <c r="DL375" i="43" s="1"/>
  <c r="DL374" i="43" s="1"/>
  <c r="DL373" i="43" s="1"/>
  <c r="DL372" i="43" s="1"/>
  <c r="DL371" i="43" s="1"/>
  <c r="DL370" i="43" s="1"/>
  <c r="DL369" i="43" s="1"/>
  <c r="DL368" i="43" s="1"/>
  <c r="DL367" i="43" s="1"/>
  <c r="DL366" i="43" s="1"/>
  <c r="DL365" i="43" s="1"/>
  <c r="DL364" i="43" s="1"/>
  <c r="DL363" i="43" s="1"/>
  <c r="DL362" i="43" s="1"/>
  <c r="DL361" i="43" s="1"/>
  <c r="DL360" i="43" s="1"/>
  <c r="DL359" i="43" s="1"/>
  <c r="DL358" i="43" s="1"/>
  <c r="DL357" i="43" s="1"/>
  <c r="DL356" i="43" s="1"/>
  <c r="DL355" i="43" s="1"/>
  <c r="DL354" i="43" s="1"/>
  <c r="DL353" i="43" s="1"/>
  <c r="DL352" i="43" s="1"/>
  <c r="DL351" i="43" s="1"/>
  <c r="DL350" i="43" s="1"/>
  <c r="DL349" i="43" s="1"/>
  <c r="DL348" i="43" s="1"/>
  <c r="DL347" i="43" s="1"/>
  <c r="DL346" i="43" s="1"/>
  <c r="DL345" i="43" s="1"/>
  <c r="DL344" i="43" s="1"/>
  <c r="DL343" i="43" s="1"/>
  <c r="DL342" i="43" s="1"/>
  <c r="DL341" i="43" s="1"/>
  <c r="DL340" i="43" s="1"/>
  <c r="DL339" i="43" s="1"/>
  <c r="DL338" i="43" s="1"/>
  <c r="DL337" i="43" s="1"/>
  <c r="DL336" i="43" s="1"/>
  <c r="DL335" i="43" s="1"/>
  <c r="DL334" i="43" s="1"/>
  <c r="DL333" i="43" s="1"/>
  <c r="DL332" i="43" s="1"/>
  <c r="DL331" i="43" s="1"/>
  <c r="DL330" i="43" s="1"/>
  <c r="DL329" i="43" s="1"/>
  <c r="DL328" i="43" s="1"/>
  <c r="DL327" i="43" s="1"/>
  <c r="DL326" i="43" s="1"/>
  <c r="DL325" i="43" s="1"/>
  <c r="DL324" i="43" s="1"/>
  <c r="DL323" i="43" s="1"/>
  <c r="DL322" i="43" s="1"/>
  <c r="DL321" i="43" s="1"/>
  <c r="DL320" i="43" s="1"/>
  <c r="DL319" i="43" s="1"/>
  <c r="DL318" i="43" s="1"/>
  <c r="DL317" i="43" s="1"/>
  <c r="DL316" i="43" s="1"/>
  <c r="DL315" i="43" s="1"/>
  <c r="DL314" i="43" s="1"/>
  <c r="DL313" i="43" s="1"/>
  <c r="DL312" i="43" s="1"/>
  <c r="DL311" i="43" s="1"/>
  <c r="DL310" i="43" s="1"/>
  <c r="DL309" i="43" s="1"/>
  <c r="DL308" i="43" s="1"/>
  <c r="DL307" i="43" s="1"/>
  <c r="DL306" i="43" s="1"/>
  <c r="DL305" i="43" s="1"/>
  <c r="DL304" i="43" s="1"/>
  <c r="DL303" i="43" s="1"/>
  <c r="DL302" i="43" s="1"/>
  <c r="DL301" i="43" s="1"/>
  <c r="DL300" i="43" s="1"/>
  <c r="DL299" i="43" s="1"/>
  <c r="DL298" i="43" s="1"/>
  <c r="DL297" i="43" s="1"/>
  <c r="DL296" i="43" s="1"/>
  <c r="DL295" i="43" s="1"/>
  <c r="DL294" i="43" s="1"/>
  <c r="DL293" i="43" s="1"/>
  <c r="DL292" i="43" s="1"/>
  <c r="DL291" i="43" s="1"/>
  <c r="DL290" i="43" s="1"/>
  <c r="DL289" i="43" s="1"/>
  <c r="DL288" i="43" s="1"/>
  <c r="DL287" i="43" s="1"/>
  <c r="DL286" i="43" s="1"/>
  <c r="DL285" i="43" s="1"/>
  <c r="DL284" i="43" s="1"/>
  <c r="DL283" i="43" s="1"/>
  <c r="DL282" i="43" s="1"/>
  <c r="DL281" i="43" s="1"/>
  <c r="DL280" i="43" s="1"/>
  <c r="DL279" i="43" s="1"/>
  <c r="DL278" i="43" s="1"/>
  <c r="DL277" i="43" s="1"/>
  <c r="DL276" i="43" s="1"/>
  <c r="DL275" i="43" s="1"/>
  <c r="DL274" i="43" s="1"/>
  <c r="DL273" i="43" s="1"/>
  <c r="DL272" i="43" s="1"/>
  <c r="DL271" i="43" s="1"/>
  <c r="DL270" i="43" s="1"/>
  <c r="DL269" i="43" s="1"/>
  <c r="DL268" i="43" s="1"/>
  <c r="DL267" i="43" s="1"/>
  <c r="DL266" i="43" s="1"/>
  <c r="DL265" i="43" s="1"/>
  <c r="DL264" i="43" s="1"/>
  <c r="DL263" i="43" s="1"/>
  <c r="DL262" i="43" s="1"/>
  <c r="DL261" i="43" s="1"/>
  <c r="DL260" i="43" s="1"/>
  <c r="DL259" i="43" s="1"/>
  <c r="DL258" i="43" s="1"/>
  <c r="DL257" i="43" s="1"/>
  <c r="DL256" i="43" s="1"/>
  <c r="DL255" i="43" s="1"/>
  <c r="DL254" i="43" s="1"/>
  <c r="DL253" i="43" s="1"/>
  <c r="DL252" i="43" s="1"/>
  <c r="DL251" i="43" s="1"/>
  <c r="DL250" i="43" s="1"/>
  <c r="DL249" i="43" s="1"/>
  <c r="DL248" i="43" s="1"/>
  <c r="DL247" i="43" s="1"/>
  <c r="DL246" i="43" s="1"/>
  <c r="DL245" i="43" s="1"/>
  <c r="DL244" i="43" s="1"/>
  <c r="DL243" i="43" s="1"/>
  <c r="DL242" i="43" s="1"/>
  <c r="DL241" i="43" s="1"/>
  <c r="DL240" i="43" s="1"/>
  <c r="DL239" i="43" s="1"/>
  <c r="DL238" i="43" s="1"/>
  <c r="DL237" i="43" s="1"/>
  <c r="DL236" i="43" s="1"/>
  <c r="DL235" i="43" s="1"/>
  <c r="DL234" i="43" s="1"/>
  <c r="DL233" i="43" s="1"/>
  <c r="DL232" i="43" s="1"/>
  <c r="DL231" i="43" s="1"/>
  <c r="DL230" i="43" s="1"/>
  <c r="DL229" i="43" s="1"/>
  <c r="DL228" i="43" s="1"/>
  <c r="DL227" i="43" s="1"/>
  <c r="DL226" i="43" s="1"/>
  <c r="DL225" i="43" s="1"/>
  <c r="DL224" i="43" s="1"/>
  <c r="DL223" i="43" s="1"/>
  <c r="DL222" i="43" s="1"/>
  <c r="DL221" i="43" s="1"/>
  <c r="DL220" i="43" s="1"/>
  <c r="DL219" i="43" s="1"/>
  <c r="DL218" i="43" s="1"/>
  <c r="DL217" i="43" s="1"/>
  <c r="DL216" i="43" s="1"/>
  <c r="DL215" i="43" s="1"/>
  <c r="DL214" i="43" s="1"/>
  <c r="DL213" i="43" s="1"/>
  <c r="DL212" i="43" s="1"/>
  <c r="DL211" i="43" s="1"/>
  <c r="DL210" i="43" s="1"/>
  <c r="DL209" i="43" s="1"/>
  <c r="DL208" i="43" s="1"/>
  <c r="DL207" i="43" s="1"/>
  <c r="DL206" i="43" s="1"/>
  <c r="DL205" i="43" s="1"/>
  <c r="DL204" i="43" s="1"/>
  <c r="DL203" i="43" s="1"/>
  <c r="DL202" i="43" s="1"/>
  <c r="DL201" i="43" s="1"/>
  <c r="DL200" i="43" s="1"/>
  <c r="DL199" i="43" s="1"/>
  <c r="DL198" i="43" s="1"/>
  <c r="DL197" i="43" s="1"/>
  <c r="DL196" i="43" s="1"/>
  <c r="DL195" i="43" s="1"/>
  <c r="DL194" i="43" s="1"/>
  <c r="DL193" i="43" s="1"/>
  <c r="DL192" i="43" s="1"/>
  <c r="DL191" i="43" s="1"/>
  <c r="DL190" i="43" s="1"/>
  <c r="DL189" i="43" s="1"/>
  <c r="DL188" i="43" s="1"/>
  <c r="DL187" i="43" s="1"/>
  <c r="DL186" i="43" s="1"/>
  <c r="DL185" i="43" s="1"/>
  <c r="DL184" i="43" s="1"/>
  <c r="DL183" i="43" s="1"/>
  <c r="DL182" i="43" s="1"/>
  <c r="DL181" i="43" s="1"/>
  <c r="DL180" i="43" s="1"/>
  <c r="DL179" i="43" s="1"/>
  <c r="DL178" i="43" s="1"/>
  <c r="DL177" i="43" s="1"/>
  <c r="DL176" i="43" s="1"/>
  <c r="DL175" i="43" s="1"/>
  <c r="DL174" i="43" s="1"/>
  <c r="DL173" i="43" s="1"/>
  <c r="DL172" i="43" s="1"/>
  <c r="DL171" i="43" s="1"/>
  <c r="DL170" i="43" s="1"/>
  <c r="DL169" i="43" s="1"/>
  <c r="DL168" i="43" s="1"/>
  <c r="DL167" i="43" s="1"/>
  <c r="DL166" i="43" s="1"/>
  <c r="DL165" i="43" s="1"/>
  <c r="DL164" i="43" s="1"/>
  <c r="DL163" i="43" s="1"/>
  <c r="DL162" i="43" s="1"/>
  <c r="DL161" i="43" s="1"/>
  <c r="DL160" i="43" s="1"/>
  <c r="DL159" i="43" s="1"/>
  <c r="DL158" i="43" s="1"/>
  <c r="DL157" i="43" s="1"/>
  <c r="DL156" i="43" s="1"/>
  <c r="DL155" i="43" s="1"/>
  <c r="DL154" i="43" s="1"/>
  <c r="DL153" i="43" s="1"/>
  <c r="DL152" i="43" s="1"/>
  <c r="DL151" i="43" s="1"/>
  <c r="DL150" i="43" s="1"/>
  <c r="DL149" i="43" s="1"/>
  <c r="DL148" i="43" s="1"/>
  <c r="DL147" i="43" s="1"/>
  <c r="DL146" i="43" s="1"/>
  <c r="DL145" i="43" s="1"/>
  <c r="DL144" i="43" s="1"/>
  <c r="DL143" i="43" s="1"/>
  <c r="DL142" i="43" s="1"/>
  <c r="DL141" i="43" s="1"/>
  <c r="DL140" i="43" s="1"/>
  <c r="DL139" i="43" s="1"/>
  <c r="DL138" i="43" s="1"/>
  <c r="DL137" i="43" s="1"/>
  <c r="DL136" i="43" s="1"/>
  <c r="DL135" i="43" s="1"/>
  <c r="DL134" i="43" s="1"/>
  <c r="DL133" i="43" s="1"/>
  <c r="DL132" i="43" s="1"/>
  <c r="DL131" i="43" s="1"/>
  <c r="DL130" i="43" s="1"/>
  <c r="DL129" i="43" s="1"/>
  <c r="DL128" i="43" s="1"/>
  <c r="DL127" i="43" s="1"/>
  <c r="DL126" i="43" s="1"/>
  <c r="DL125" i="43" s="1"/>
  <c r="DL124" i="43" s="1"/>
  <c r="DL123" i="43" s="1"/>
  <c r="DL122" i="43" s="1"/>
  <c r="DL121" i="43" s="1"/>
  <c r="DL120" i="43" s="1"/>
  <c r="DL119" i="43" s="1"/>
  <c r="DL118" i="43" s="1"/>
  <c r="DL117" i="43" s="1"/>
  <c r="DL116" i="43" s="1"/>
  <c r="DL115" i="43" s="1"/>
  <c r="DL114" i="43" s="1"/>
  <c r="DL113" i="43" s="1"/>
  <c r="DL112" i="43" s="1"/>
  <c r="DL111" i="43" s="1"/>
  <c r="DL110" i="43" s="1"/>
  <c r="DL109" i="43" s="1"/>
  <c r="DL108" i="43" s="1"/>
  <c r="DL107" i="43" s="1"/>
  <c r="DL106" i="43" s="1"/>
  <c r="DL105" i="43" s="1"/>
  <c r="DL104" i="43" s="1"/>
  <c r="DL103" i="43" s="1"/>
  <c r="DL102" i="43" s="1"/>
  <c r="DL101" i="43" s="1"/>
  <c r="DL100" i="43" s="1"/>
  <c r="DL99" i="43" s="1"/>
  <c r="DL98" i="43" s="1"/>
  <c r="DL97" i="43" s="1"/>
  <c r="DL96" i="43" s="1"/>
  <c r="DL95" i="43" s="1"/>
  <c r="DL94" i="43" s="1"/>
  <c r="DL93" i="43" s="1"/>
  <c r="DL92" i="43" s="1"/>
  <c r="DL91" i="43" s="1"/>
  <c r="DL90" i="43" s="1"/>
  <c r="DL89" i="43" s="1"/>
  <c r="DL88" i="43" s="1"/>
  <c r="DL87" i="43" s="1"/>
  <c r="DL86" i="43" s="1"/>
  <c r="DL85" i="43" s="1"/>
  <c r="DL84" i="43" s="1"/>
  <c r="DL83" i="43" s="1"/>
  <c r="DL82" i="43" s="1"/>
  <c r="DL81" i="43" s="1"/>
  <c r="DL80" i="43" s="1"/>
  <c r="DL79" i="43" s="1"/>
  <c r="DL78" i="43" s="1"/>
  <c r="DL77" i="43" s="1"/>
  <c r="DL76" i="43" s="1"/>
  <c r="DL75" i="43" s="1"/>
  <c r="DL74" i="43" s="1"/>
  <c r="DL73" i="43" s="1"/>
  <c r="DL72" i="43" s="1"/>
  <c r="DL71" i="43" s="1"/>
  <c r="DL70" i="43" s="1"/>
  <c r="DL69" i="43" s="1"/>
  <c r="DL68" i="43" s="1"/>
  <c r="DL67" i="43" s="1"/>
  <c r="DL66" i="43" s="1"/>
  <c r="DL65" i="43" s="1"/>
  <c r="DL64" i="43" s="1"/>
  <c r="DL63" i="43" s="1"/>
  <c r="DL62" i="43" s="1"/>
  <c r="DL61" i="43" s="1"/>
  <c r="DL60" i="43" s="1"/>
  <c r="DL59" i="43" s="1"/>
  <c r="DL58" i="43" s="1"/>
  <c r="DL57" i="43" s="1"/>
  <c r="DL56" i="43" s="1"/>
  <c r="DL55" i="43" s="1"/>
  <c r="DL54" i="43" s="1"/>
  <c r="DL53" i="43" s="1"/>
  <c r="DL52" i="43" s="1"/>
  <c r="DL51" i="43" s="1"/>
  <c r="DL50" i="43" s="1"/>
  <c r="DL49" i="43" s="1"/>
  <c r="DL48" i="43" s="1"/>
  <c r="DS603" i="43"/>
  <c r="DR604" i="43"/>
  <c r="DG606" i="43" l="1"/>
  <c r="DQ605" i="43"/>
  <c r="DL47" i="43"/>
  <c r="DL46" i="43" s="1"/>
  <c r="DL45" i="43" s="1"/>
  <c r="CK7" i="43" a="1"/>
  <c r="CK7" i="43" s="1"/>
  <c r="DU605" i="43"/>
  <c r="DT606" i="43"/>
  <c r="DN605" i="43"/>
  <c r="DM606" i="43"/>
  <c r="DW1200" i="43"/>
  <c r="DS604" i="43"/>
  <c r="DR605" i="43"/>
  <c r="DQ606" i="43" l="1"/>
  <c r="DG607" i="43"/>
  <c r="DL44" i="43"/>
  <c r="DL43" i="43" s="1"/>
  <c r="DL42" i="43" s="1"/>
  <c r="DL41" i="43" s="1"/>
  <c r="DL40" i="43" s="1"/>
  <c r="DL39" i="43" s="1"/>
  <c r="DL38" i="43" s="1"/>
  <c r="DL37" i="43" s="1"/>
  <c r="DL36" i="43" s="1"/>
  <c r="DL35" i="43" s="1"/>
  <c r="DL34" i="43" s="1"/>
  <c r="DL33" i="43" s="1"/>
  <c r="DL32" i="43" s="1"/>
  <c r="DL31" i="43" s="1"/>
  <c r="DL30" i="43" s="1"/>
  <c r="DL29" i="43" s="1"/>
  <c r="DL28" i="43" s="1"/>
  <c r="DL27" i="43" s="1"/>
  <c r="DL26" i="43" s="1"/>
  <c r="DL25" i="43" s="1"/>
  <c r="DL24" i="43" s="1"/>
  <c r="DL23" i="43" s="1"/>
  <c r="DL22" i="43" s="1"/>
  <c r="DL21" i="43" s="1"/>
  <c r="DL20" i="43" s="1"/>
  <c r="DL19" i="43" s="1"/>
  <c r="DL18" i="43" s="1"/>
  <c r="DL17" i="43" s="1"/>
  <c r="DL16" i="43" s="1"/>
  <c r="DL15" i="43" s="1"/>
  <c r="DL14" i="43" s="1"/>
  <c r="DL13" i="43" s="1"/>
  <c r="DL12" i="43" s="1"/>
  <c r="DL11" i="43" s="1"/>
  <c r="DL10" i="43" s="1"/>
  <c r="DL9" i="43" s="1"/>
  <c r="DL8" i="43" s="1"/>
  <c r="DL7" i="43" s="1"/>
  <c r="DL6" i="43" s="1"/>
  <c r="DL5" i="43" s="1"/>
  <c r="DL4" i="43" s="1"/>
  <c r="DL3" i="43" s="1"/>
  <c r="DL2" i="43" s="1"/>
  <c r="DN606" i="43"/>
  <c r="DM607" i="43"/>
  <c r="DU606" i="43"/>
  <c r="DT607" i="43"/>
  <c r="DS605" i="43"/>
  <c r="DR606" i="43"/>
  <c r="DW1199" i="43"/>
  <c r="DG608" i="43" l="1"/>
  <c r="DQ607" i="43"/>
  <c r="DN607" i="43"/>
  <c r="DM608" i="43"/>
  <c r="DU607" i="43"/>
  <c r="DT608" i="43"/>
  <c r="DW1198" i="43"/>
  <c r="DS606" i="43"/>
  <c r="DR607" i="43"/>
  <c r="DG609" i="43" l="1"/>
  <c r="DQ608" i="43"/>
  <c r="DN608" i="43"/>
  <c r="DM609" i="43"/>
  <c r="DU608" i="43"/>
  <c r="DT609" i="43"/>
  <c r="DS607" i="43"/>
  <c r="DR608" i="43"/>
  <c r="DW1197" i="43"/>
  <c r="DQ609" i="43" l="1"/>
  <c r="DG610" i="43"/>
  <c r="DN609" i="43"/>
  <c r="DM610" i="43"/>
  <c r="DU609" i="43"/>
  <c r="DT610" i="43"/>
  <c r="DW1196" i="43"/>
  <c r="DS608" i="43"/>
  <c r="DR609" i="43"/>
  <c r="DQ610" i="43" l="1"/>
  <c r="DG611" i="43"/>
  <c r="DN610" i="43"/>
  <c r="DM611" i="43"/>
  <c r="DU610" i="43"/>
  <c r="DT611" i="43"/>
  <c r="DS609" i="43"/>
  <c r="DR610" i="43"/>
  <c r="DW1195" i="43"/>
  <c r="DG612" i="43" l="1"/>
  <c r="DQ611" i="43"/>
  <c r="DU611" i="43"/>
  <c r="DT612" i="43"/>
  <c r="DN611" i="43"/>
  <c r="DM612" i="43"/>
  <c r="DS610" i="43"/>
  <c r="DR611" i="43"/>
  <c r="DW1194" i="43"/>
  <c r="DQ612" i="43" l="1"/>
  <c r="DG613" i="43"/>
  <c r="DN612" i="43"/>
  <c r="DM613" i="43"/>
  <c r="DU612" i="43"/>
  <c r="DT613" i="43"/>
  <c r="DS611" i="43"/>
  <c r="DR612" i="43"/>
  <c r="DW1193" i="43"/>
  <c r="DG614" i="43" l="1"/>
  <c r="DQ613" i="43"/>
  <c r="DU613" i="43"/>
  <c r="DT614" i="43"/>
  <c r="DN613" i="43"/>
  <c r="DM614" i="43"/>
  <c r="DW1192" i="43"/>
  <c r="DS612" i="43"/>
  <c r="DR613" i="43"/>
  <c r="DQ614" i="43" l="1"/>
  <c r="DG615" i="43"/>
  <c r="DN614" i="43"/>
  <c r="DM615" i="43"/>
  <c r="DU614" i="43"/>
  <c r="DT615" i="43"/>
  <c r="DS613" i="43"/>
  <c r="DR614" i="43"/>
  <c r="DW1191" i="43"/>
  <c r="DG616" i="43" l="1"/>
  <c r="DQ615" i="43"/>
  <c r="DU615" i="43"/>
  <c r="DT616" i="43"/>
  <c r="DN615" i="43"/>
  <c r="DM616" i="43"/>
  <c r="DW1190" i="43"/>
  <c r="DS614" i="43"/>
  <c r="DR615" i="43"/>
  <c r="DG617" i="43" l="1"/>
  <c r="DQ616" i="43"/>
  <c r="DN616" i="43"/>
  <c r="DM617" i="43"/>
  <c r="DU616" i="43"/>
  <c r="DT617" i="43"/>
  <c r="DS615" i="43"/>
  <c r="DR616" i="43"/>
  <c r="DW1189" i="43"/>
  <c r="DQ617" i="43" l="1"/>
  <c r="DG618" i="43"/>
  <c r="DN617" i="43"/>
  <c r="DM618" i="43"/>
  <c r="DU617" i="43"/>
  <c r="DT618" i="43"/>
  <c r="DW1188" i="43"/>
  <c r="DS616" i="43"/>
  <c r="DR617" i="43"/>
  <c r="DQ618" i="43" l="1"/>
  <c r="DG619" i="43"/>
  <c r="DN618" i="43"/>
  <c r="DM619" i="43"/>
  <c r="DU618" i="43"/>
  <c r="DT619" i="43"/>
  <c r="DS617" i="43"/>
  <c r="DR618" i="43"/>
  <c r="DW1187" i="43"/>
  <c r="DG620" i="43" l="1"/>
  <c r="DQ619" i="43"/>
  <c r="DN619" i="43"/>
  <c r="DM620" i="43"/>
  <c r="DU619" i="43"/>
  <c r="DT620" i="43"/>
  <c r="DW1186" i="43"/>
  <c r="DS618" i="43"/>
  <c r="DR619" i="43"/>
  <c r="DG621" i="43" l="1"/>
  <c r="DQ620" i="43"/>
  <c r="DU620" i="43"/>
  <c r="DT621" i="43"/>
  <c r="DN620" i="43"/>
  <c r="DM621" i="43"/>
  <c r="DS619" i="43"/>
  <c r="DR620" i="43"/>
  <c r="DW1185" i="43"/>
  <c r="DG622" i="43" l="1"/>
  <c r="DQ621" i="43"/>
  <c r="DN621" i="43"/>
  <c r="DM622" i="43"/>
  <c r="DU621" i="43"/>
  <c r="DT622" i="43"/>
  <c r="DS620" i="43"/>
  <c r="DR621" i="43"/>
  <c r="DW1184" i="43"/>
  <c r="DQ622" i="43" l="1"/>
  <c r="DG623" i="43"/>
  <c r="DU622" i="43"/>
  <c r="DT623" i="43"/>
  <c r="DN622" i="43"/>
  <c r="DM623" i="43"/>
  <c r="DW1183" i="43"/>
  <c r="DS621" i="43"/>
  <c r="DR622" i="43"/>
  <c r="DQ623" i="43" l="1"/>
  <c r="DG624" i="43"/>
  <c r="DU623" i="43"/>
  <c r="DT624" i="43"/>
  <c r="DN623" i="43"/>
  <c r="DM624" i="43"/>
  <c r="DS622" i="43"/>
  <c r="DR623" i="43"/>
  <c r="DW1182" i="43"/>
  <c r="DG625" i="43" l="1"/>
  <c r="DQ624" i="43"/>
  <c r="DN624" i="43"/>
  <c r="DM625" i="43"/>
  <c r="DU624" i="43"/>
  <c r="DT625" i="43"/>
  <c r="DW1181" i="43"/>
  <c r="DS623" i="43"/>
  <c r="DR624" i="43"/>
  <c r="DQ625" i="43" l="1"/>
  <c r="DG626" i="43"/>
  <c r="DU625" i="43"/>
  <c r="DT626" i="43"/>
  <c r="DN625" i="43"/>
  <c r="DM626" i="43"/>
  <c r="DS624" i="43"/>
  <c r="DR625" i="43"/>
  <c r="DW1180" i="43"/>
  <c r="DG627" i="43" l="1"/>
  <c r="DQ626" i="43"/>
  <c r="DU626" i="43"/>
  <c r="DT627" i="43"/>
  <c r="DN626" i="43"/>
  <c r="DM627" i="43"/>
  <c r="DW1179" i="43"/>
  <c r="DS625" i="43"/>
  <c r="DR626" i="43"/>
  <c r="DQ627" i="43" l="1"/>
  <c r="DG628" i="43"/>
  <c r="DN627" i="43"/>
  <c r="DM628" i="43"/>
  <c r="DU627" i="43"/>
  <c r="DT628" i="43"/>
  <c r="DS626" i="43"/>
  <c r="DR627" i="43"/>
  <c r="DW1178" i="43"/>
  <c r="DQ628" i="43" l="1"/>
  <c r="DG629" i="43"/>
  <c r="DU628" i="43"/>
  <c r="DT629" i="43"/>
  <c r="DN628" i="43"/>
  <c r="DM629" i="43"/>
  <c r="DS627" i="43"/>
  <c r="DR628" i="43"/>
  <c r="DW1177" i="43"/>
  <c r="DG630" i="43" l="1"/>
  <c r="DQ629" i="43"/>
  <c r="DN629" i="43"/>
  <c r="DM630" i="43"/>
  <c r="DU629" i="43"/>
  <c r="DT630" i="43"/>
  <c r="DW1176" i="43"/>
  <c r="DS628" i="43"/>
  <c r="DR629" i="43"/>
  <c r="DQ630" i="43" l="1"/>
  <c r="DG631" i="43"/>
  <c r="DU630" i="43"/>
  <c r="DT631" i="43"/>
  <c r="DN630" i="43"/>
  <c r="DM631" i="43"/>
  <c r="DS629" i="43"/>
  <c r="DR630" i="43"/>
  <c r="DW1175" i="43"/>
  <c r="DQ631" i="43" l="1"/>
  <c r="DG632" i="43"/>
  <c r="DN631" i="43"/>
  <c r="DM632" i="43"/>
  <c r="DU631" i="43"/>
  <c r="DT632" i="43"/>
  <c r="DS630" i="43"/>
  <c r="DR631" i="43"/>
  <c r="DW1174" i="43"/>
  <c r="DG633" i="43" l="1"/>
  <c r="DQ632" i="43"/>
  <c r="DN632" i="43"/>
  <c r="DM633" i="43"/>
  <c r="DU632" i="43"/>
  <c r="DT633" i="43"/>
  <c r="DS631" i="43"/>
  <c r="DR632" i="43"/>
  <c r="DW1173" i="43"/>
  <c r="DG634" i="43" l="1"/>
  <c r="DQ633" i="43"/>
  <c r="DU633" i="43"/>
  <c r="DT634" i="43"/>
  <c r="DN633" i="43"/>
  <c r="DM634" i="43"/>
  <c r="DS632" i="43"/>
  <c r="DR633" i="43"/>
  <c r="DW1172" i="43"/>
  <c r="DQ634" i="43" l="1"/>
  <c r="DG635" i="43"/>
  <c r="DU634" i="43"/>
  <c r="DT635" i="43"/>
  <c r="DN634" i="43"/>
  <c r="DM635" i="43"/>
  <c r="DW1171" i="43"/>
  <c r="DS633" i="43"/>
  <c r="DR634" i="43"/>
  <c r="DG636" i="43" l="1"/>
  <c r="DQ635" i="43"/>
  <c r="DN635" i="43"/>
  <c r="DM636" i="43"/>
  <c r="DU635" i="43"/>
  <c r="DT636" i="43"/>
  <c r="DS634" i="43"/>
  <c r="DR635" i="43"/>
  <c r="DW1170" i="43"/>
  <c r="DG637" i="43" l="1"/>
  <c r="DQ636" i="43"/>
  <c r="DU636" i="43"/>
  <c r="DT637" i="43"/>
  <c r="DN636" i="43"/>
  <c r="DM637" i="43"/>
  <c r="DS635" i="43"/>
  <c r="DR636" i="43"/>
  <c r="DW1169" i="43"/>
  <c r="DQ637" i="43" l="1"/>
  <c r="DG638" i="43"/>
  <c r="DU637" i="43"/>
  <c r="DT638" i="43"/>
  <c r="DN637" i="43"/>
  <c r="DM638" i="43"/>
  <c r="DS636" i="43"/>
  <c r="DR637" i="43"/>
  <c r="DW1168" i="43"/>
  <c r="DQ638" i="43" l="1"/>
  <c r="DG639" i="43"/>
  <c r="DU638" i="43"/>
  <c r="DT639" i="43"/>
  <c r="DN638" i="43"/>
  <c r="DM639" i="43"/>
  <c r="DW1167" i="43"/>
  <c r="DS637" i="43"/>
  <c r="DR638" i="43"/>
  <c r="DG640" i="43" l="1"/>
  <c r="DQ639" i="43"/>
  <c r="DN639" i="43"/>
  <c r="DM640" i="43"/>
  <c r="DU639" i="43"/>
  <c r="DT640" i="43"/>
  <c r="DS638" i="43"/>
  <c r="DR639" i="43"/>
  <c r="DW1166" i="43"/>
  <c r="DG641" i="43" l="1"/>
  <c r="DQ640" i="43"/>
  <c r="DN640" i="43"/>
  <c r="DM641" i="43"/>
  <c r="DU640" i="43"/>
  <c r="DT641" i="43"/>
  <c r="DS639" i="43"/>
  <c r="DR640" i="43"/>
  <c r="DW1165" i="43"/>
  <c r="DG642" i="43" l="1"/>
  <c r="DQ641" i="43"/>
  <c r="DU641" i="43"/>
  <c r="DT642" i="43"/>
  <c r="DN641" i="43"/>
  <c r="DM642" i="43"/>
  <c r="DW1164" i="43"/>
  <c r="DS640" i="43"/>
  <c r="DR641" i="43"/>
  <c r="DG643" i="43" l="1"/>
  <c r="DQ642" i="43"/>
  <c r="DN642" i="43"/>
  <c r="DM643" i="43"/>
  <c r="DU642" i="43"/>
  <c r="DT643" i="43"/>
  <c r="DS641" i="43"/>
  <c r="DR642" i="43"/>
  <c r="DW1163" i="43"/>
  <c r="DQ643" i="43" l="1"/>
  <c r="DG644" i="43"/>
  <c r="DU643" i="43"/>
  <c r="DT644" i="43"/>
  <c r="DN643" i="43"/>
  <c r="DM644" i="43"/>
  <c r="DS642" i="43"/>
  <c r="DR643" i="43"/>
  <c r="DW1162" i="43"/>
  <c r="DG645" i="43" l="1"/>
  <c r="DQ644" i="43"/>
  <c r="DN644" i="43"/>
  <c r="DM645" i="43"/>
  <c r="DU644" i="43"/>
  <c r="DT645" i="43"/>
  <c r="DS643" i="43"/>
  <c r="DR644" i="43"/>
  <c r="DW1161" i="43"/>
  <c r="DG646" i="43" l="1"/>
  <c r="DQ645" i="43"/>
  <c r="DN645" i="43"/>
  <c r="DM646" i="43"/>
  <c r="DU645" i="43"/>
  <c r="DT646" i="43"/>
  <c r="DW1160" i="43"/>
  <c r="DS644" i="43"/>
  <c r="DR645" i="43"/>
  <c r="DQ646" i="43" l="1"/>
  <c r="DG647" i="43"/>
  <c r="DU646" i="43"/>
  <c r="DT647" i="43"/>
  <c r="DN646" i="43"/>
  <c r="DM647" i="43"/>
  <c r="DS645" i="43"/>
  <c r="DR646" i="43"/>
  <c r="DW1159" i="43"/>
  <c r="DQ647" i="43" l="1"/>
  <c r="DG648" i="43"/>
  <c r="DN647" i="43"/>
  <c r="DM648" i="43"/>
  <c r="DU647" i="43"/>
  <c r="DT648" i="43"/>
  <c r="DS646" i="43"/>
  <c r="DR647" i="43"/>
  <c r="DW1158" i="43"/>
  <c r="DQ648" i="43" l="1"/>
  <c r="DG649" i="43"/>
  <c r="DN648" i="43"/>
  <c r="DM649" i="43"/>
  <c r="DU648" i="43"/>
  <c r="DT649" i="43"/>
  <c r="DS647" i="43"/>
  <c r="DR648" i="43"/>
  <c r="DW1157" i="43"/>
  <c r="DG650" i="43" l="1"/>
  <c r="DQ649" i="43"/>
  <c r="DU649" i="43"/>
  <c r="DT650" i="43"/>
  <c r="DN649" i="43"/>
  <c r="DM650" i="43"/>
  <c r="DS648" i="43"/>
  <c r="DR649" i="43"/>
  <c r="DW1156" i="43"/>
  <c r="DG651" i="43" l="1"/>
  <c r="DQ650" i="43"/>
  <c r="DN650" i="43"/>
  <c r="DM651" i="43"/>
  <c r="DU650" i="43"/>
  <c r="DT651" i="43"/>
  <c r="DW1155" i="43"/>
  <c r="DS649" i="43"/>
  <c r="DR650" i="43"/>
  <c r="DG652" i="43" l="1"/>
  <c r="DQ651" i="43"/>
  <c r="DU651" i="43"/>
  <c r="DT652" i="43"/>
  <c r="DN651" i="43"/>
  <c r="DM652" i="43"/>
  <c r="DS650" i="43"/>
  <c r="DR651" i="43"/>
  <c r="DW1154" i="43"/>
  <c r="DQ652" i="43" l="1"/>
  <c r="DG653" i="43"/>
  <c r="DN652" i="43"/>
  <c r="DM653" i="43"/>
  <c r="DU652" i="43"/>
  <c r="DT653" i="43"/>
  <c r="DS651" i="43"/>
  <c r="DR652" i="43"/>
  <c r="DW1153" i="43"/>
  <c r="DQ653" i="43" l="1"/>
  <c r="DG654" i="43"/>
  <c r="DN653" i="43"/>
  <c r="DM654" i="43"/>
  <c r="DU653" i="43"/>
  <c r="DT654" i="43"/>
  <c r="DS652" i="43"/>
  <c r="DR653" i="43"/>
  <c r="DW1152" i="43"/>
  <c r="DG655" i="43" l="1"/>
  <c r="DQ654" i="43"/>
  <c r="DN654" i="43"/>
  <c r="DM655" i="43"/>
  <c r="DU654" i="43"/>
  <c r="DT655" i="43"/>
  <c r="DW1151" i="43"/>
  <c r="DS653" i="43"/>
  <c r="DR654" i="43"/>
  <c r="DQ655" i="43" l="1"/>
  <c r="DG656" i="43"/>
  <c r="DN655" i="43"/>
  <c r="DM656" i="43"/>
  <c r="DU655" i="43"/>
  <c r="DT656" i="43"/>
  <c r="DS654" i="43"/>
  <c r="DR655" i="43"/>
  <c r="DW1150" i="43"/>
  <c r="DG657" i="43" l="1"/>
  <c r="DQ656" i="43"/>
  <c r="DN656" i="43"/>
  <c r="DM657" i="43"/>
  <c r="DU656" i="43"/>
  <c r="DT657" i="43"/>
  <c r="DS655" i="43"/>
  <c r="DR656" i="43"/>
  <c r="DW1149" i="43"/>
  <c r="DQ657" i="43" l="1"/>
  <c r="DG658" i="43"/>
  <c r="DU657" i="43"/>
  <c r="DT658" i="43"/>
  <c r="DN657" i="43"/>
  <c r="DM658" i="43"/>
  <c r="DS656" i="43"/>
  <c r="DR657" i="43"/>
  <c r="DW1148" i="43"/>
  <c r="DQ658" i="43" l="1"/>
  <c r="DG659" i="43"/>
  <c r="DN658" i="43"/>
  <c r="DM659" i="43"/>
  <c r="DU658" i="43"/>
  <c r="DT659" i="43"/>
  <c r="DS657" i="43"/>
  <c r="DR658" i="43"/>
  <c r="DW1147" i="43"/>
  <c r="DQ659" i="43" l="1"/>
  <c r="DG660" i="43"/>
  <c r="DN659" i="43"/>
  <c r="DM660" i="43"/>
  <c r="DU659" i="43"/>
  <c r="DT660" i="43"/>
  <c r="DW1146" i="43"/>
  <c r="DS658" i="43"/>
  <c r="DR659" i="43"/>
  <c r="DQ660" i="43" l="1"/>
  <c r="DG661" i="43"/>
  <c r="DU660" i="43"/>
  <c r="DT661" i="43"/>
  <c r="DN660" i="43"/>
  <c r="DM661" i="43"/>
  <c r="DS659" i="43"/>
  <c r="DR660" i="43"/>
  <c r="DW1145" i="43"/>
  <c r="DG662" i="43" l="1"/>
  <c r="DQ661" i="43"/>
  <c r="DN661" i="43"/>
  <c r="DM662" i="43"/>
  <c r="DU661" i="43"/>
  <c r="DT662" i="43"/>
  <c r="DS660" i="43"/>
  <c r="DR661" i="43"/>
  <c r="DW1144" i="43"/>
  <c r="DQ662" i="43" l="1"/>
  <c r="DG663" i="43"/>
  <c r="DU662" i="43"/>
  <c r="DT663" i="43"/>
  <c r="DN662" i="43"/>
  <c r="DM663" i="43"/>
  <c r="DW1143" i="43"/>
  <c r="DS661" i="43"/>
  <c r="DR662" i="43"/>
  <c r="DG664" i="43" l="1"/>
  <c r="DQ663" i="43"/>
  <c r="DN663" i="43"/>
  <c r="DM664" i="43"/>
  <c r="DU663" i="43"/>
  <c r="DT664" i="43"/>
  <c r="DS662" i="43"/>
  <c r="DR663" i="43"/>
  <c r="DW1142" i="43"/>
  <c r="DG665" i="43" l="1"/>
  <c r="DQ664" i="43"/>
  <c r="DN664" i="43"/>
  <c r="DM665" i="43"/>
  <c r="DU664" i="43"/>
  <c r="DT665" i="43"/>
  <c r="DS663" i="43"/>
  <c r="DR664" i="43"/>
  <c r="DW1141" i="43"/>
  <c r="DG666" i="43" l="1"/>
  <c r="DQ665" i="43"/>
  <c r="DU665" i="43"/>
  <c r="DT666" i="43"/>
  <c r="DN665" i="43"/>
  <c r="DM666" i="43"/>
  <c r="DW1140" i="43"/>
  <c r="DS664" i="43"/>
  <c r="DR665" i="43"/>
  <c r="DQ666" i="43" l="1"/>
  <c r="DG667" i="43"/>
  <c r="DN666" i="43"/>
  <c r="DM667" i="43"/>
  <c r="DU666" i="43"/>
  <c r="DT667" i="43"/>
  <c r="DS665" i="43"/>
  <c r="DR666" i="43"/>
  <c r="DW1139" i="43"/>
  <c r="DG668" i="43" l="1"/>
  <c r="DQ667" i="43"/>
  <c r="DU667" i="43"/>
  <c r="DT668" i="43"/>
  <c r="DN667" i="43"/>
  <c r="DM668" i="43"/>
  <c r="DS666" i="43"/>
  <c r="DR667" i="43"/>
  <c r="DW1138" i="43"/>
  <c r="DQ668" i="43" l="1"/>
  <c r="DG669" i="43"/>
  <c r="DN668" i="43"/>
  <c r="DM669" i="43"/>
  <c r="DU668" i="43"/>
  <c r="DT669" i="43"/>
  <c r="DS667" i="43"/>
  <c r="DR668" i="43"/>
  <c r="DW1137" i="43"/>
  <c r="DG670" i="43" l="1"/>
  <c r="DQ669" i="43"/>
  <c r="DN669" i="43"/>
  <c r="DM670" i="43"/>
  <c r="DU669" i="43"/>
  <c r="DT670" i="43"/>
  <c r="DW1136" i="43"/>
  <c r="DS668" i="43"/>
  <c r="DR669" i="43"/>
  <c r="DQ670" i="43" l="1"/>
  <c r="DG671" i="43"/>
  <c r="DU670" i="43"/>
  <c r="DT671" i="43"/>
  <c r="DN670" i="43"/>
  <c r="DM671" i="43"/>
  <c r="DS669" i="43"/>
  <c r="DR670" i="43"/>
  <c r="DW1135" i="43"/>
  <c r="DG672" i="43" l="1"/>
  <c r="DQ671" i="43"/>
  <c r="DN671" i="43"/>
  <c r="DM672" i="43"/>
  <c r="DU671" i="43"/>
  <c r="DT672" i="43"/>
  <c r="DS670" i="43"/>
  <c r="DR671" i="43"/>
  <c r="DW1134" i="43"/>
  <c r="DQ672" i="43" l="1"/>
  <c r="DG673" i="43"/>
  <c r="DU672" i="43"/>
  <c r="DT673" i="43"/>
  <c r="DN672" i="43"/>
  <c r="DM673" i="43"/>
  <c r="DS671" i="43"/>
  <c r="DR672" i="43"/>
  <c r="DW1133" i="43"/>
  <c r="DQ673" i="43" l="1"/>
  <c r="DG674" i="43"/>
  <c r="DN673" i="43"/>
  <c r="DM674" i="43"/>
  <c r="DU673" i="43"/>
  <c r="DT674" i="43"/>
  <c r="DS672" i="43"/>
  <c r="DR673" i="43"/>
  <c r="DW1132" i="43"/>
  <c r="DG675" i="43" l="1"/>
  <c r="DQ674" i="43"/>
  <c r="DN674" i="43"/>
  <c r="DM675" i="43"/>
  <c r="DU674" i="43"/>
  <c r="DT675" i="43"/>
  <c r="DS673" i="43"/>
  <c r="DR674" i="43"/>
  <c r="DW1131" i="43"/>
  <c r="DG676" i="43" l="1"/>
  <c r="DQ675" i="43"/>
  <c r="DU675" i="43"/>
  <c r="DT676" i="43"/>
  <c r="DN675" i="43"/>
  <c r="DM676" i="43"/>
  <c r="DS674" i="43"/>
  <c r="DR675" i="43"/>
  <c r="DW1130" i="43"/>
  <c r="DG677" i="43" l="1"/>
  <c r="DQ676" i="43"/>
  <c r="DN676" i="43"/>
  <c r="DM677" i="43"/>
  <c r="DU676" i="43"/>
  <c r="DT677" i="43"/>
  <c r="DS675" i="43"/>
  <c r="DR676" i="43"/>
  <c r="DW1129" i="43"/>
  <c r="DQ677" i="43" l="1"/>
  <c r="DG678" i="43"/>
  <c r="DU677" i="43"/>
  <c r="DT678" i="43"/>
  <c r="DN677" i="43"/>
  <c r="DM678" i="43"/>
  <c r="DS676" i="43"/>
  <c r="DR677" i="43"/>
  <c r="DW1128" i="43"/>
  <c r="DG679" i="43" l="1"/>
  <c r="DQ678" i="43"/>
  <c r="DN678" i="43"/>
  <c r="DM679" i="43"/>
  <c r="DU678" i="43"/>
  <c r="DT679" i="43"/>
  <c r="DS677" i="43"/>
  <c r="DR678" i="43"/>
  <c r="DW1127" i="43"/>
  <c r="DQ679" i="43" l="1"/>
  <c r="DG680" i="43"/>
  <c r="DU679" i="43"/>
  <c r="DT680" i="43"/>
  <c r="DN679" i="43"/>
  <c r="DM680" i="43"/>
  <c r="DW1126" i="43"/>
  <c r="DS678" i="43"/>
  <c r="DR679" i="43"/>
  <c r="DQ680" i="43" l="1"/>
  <c r="DG681" i="43"/>
  <c r="DN680" i="43"/>
  <c r="DM681" i="43"/>
  <c r="DU680" i="43"/>
  <c r="DT681" i="43"/>
  <c r="DS679" i="43"/>
  <c r="DR680" i="43"/>
  <c r="DW1125" i="43"/>
  <c r="DQ681" i="43" l="1"/>
  <c r="DG682" i="43"/>
  <c r="DU681" i="43"/>
  <c r="DT682" i="43"/>
  <c r="DN681" i="43"/>
  <c r="DM682" i="43"/>
  <c r="DW1124" i="43"/>
  <c r="DS680" i="43"/>
  <c r="DR681" i="43"/>
  <c r="DQ682" i="43" l="1"/>
  <c r="DG683" i="43"/>
  <c r="DN682" i="43"/>
  <c r="DM683" i="43"/>
  <c r="DU682" i="43"/>
  <c r="DT683" i="43"/>
  <c r="DS681" i="43"/>
  <c r="DR682" i="43"/>
  <c r="DW1123" i="43"/>
  <c r="DQ683" i="43" l="1"/>
  <c r="DG684" i="43"/>
  <c r="DU683" i="43"/>
  <c r="DT684" i="43"/>
  <c r="DN683" i="43"/>
  <c r="DM684" i="43"/>
  <c r="DS682" i="43"/>
  <c r="DR683" i="43"/>
  <c r="DW1122" i="43"/>
  <c r="DQ684" i="43" l="1"/>
  <c r="DG685" i="43"/>
  <c r="DN684" i="43"/>
  <c r="DM685" i="43"/>
  <c r="DU684" i="43"/>
  <c r="DT685" i="43"/>
  <c r="DS683" i="43"/>
  <c r="DR684" i="43"/>
  <c r="DW1121" i="43"/>
  <c r="DQ685" i="43" l="1"/>
  <c r="DG686" i="43"/>
  <c r="DU685" i="43"/>
  <c r="DT686" i="43"/>
  <c r="DN685" i="43"/>
  <c r="DM686" i="43"/>
  <c r="DW1120" i="43"/>
  <c r="DS684" i="43"/>
  <c r="DR685" i="43"/>
  <c r="DQ686" i="43" l="1"/>
  <c r="DG687" i="43"/>
  <c r="DU686" i="43"/>
  <c r="DT687" i="43"/>
  <c r="DN686" i="43"/>
  <c r="DM687" i="43"/>
  <c r="DS685" i="43"/>
  <c r="DR686" i="43"/>
  <c r="DW1119" i="43"/>
  <c r="DQ687" i="43" l="1"/>
  <c r="DG688" i="43"/>
  <c r="DN687" i="43"/>
  <c r="DM688" i="43"/>
  <c r="DU687" i="43"/>
  <c r="DT688" i="43"/>
  <c r="DW1118" i="43"/>
  <c r="DS686" i="43"/>
  <c r="DR687" i="43"/>
  <c r="DQ688" i="43" l="1"/>
  <c r="DG689" i="43"/>
  <c r="DU688" i="43"/>
  <c r="DT689" i="43"/>
  <c r="DN688" i="43"/>
  <c r="DM689" i="43"/>
  <c r="DS687" i="43"/>
  <c r="DR688" i="43"/>
  <c r="DW1117" i="43"/>
  <c r="DQ689" i="43" l="1"/>
  <c r="DG690" i="43"/>
  <c r="DN689" i="43"/>
  <c r="DM690" i="43"/>
  <c r="DU689" i="43"/>
  <c r="DT690" i="43"/>
  <c r="DS688" i="43"/>
  <c r="DR689" i="43"/>
  <c r="DW1116" i="43"/>
  <c r="DG691" i="43" l="1"/>
  <c r="DQ690" i="43"/>
  <c r="DU690" i="43"/>
  <c r="DT691" i="43"/>
  <c r="DN690" i="43"/>
  <c r="DM691" i="43"/>
  <c r="DW1115" i="43"/>
  <c r="DS689" i="43"/>
  <c r="DR690" i="43"/>
  <c r="DG692" i="43" l="1"/>
  <c r="DQ691" i="43"/>
  <c r="DU691" i="43"/>
  <c r="DT692" i="43"/>
  <c r="DN691" i="43"/>
  <c r="DM692" i="43"/>
  <c r="DS690" i="43"/>
  <c r="DR691" i="43"/>
  <c r="DW1114" i="43"/>
  <c r="DG693" i="43" l="1"/>
  <c r="DQ692" i="43"/>
  <c r="DN692" i="43"/>
  <c r="DM693" i="43"/>
  <c r="DU692" i="43"/>
  <c r="DT693" i="43"/>
  <c r="DS691" i="43"/>
  <c r="DR692" i="43"/>
  <c r="DW1113" i="43"/>
  <c r="DG694" i="43" l="1"/>
  <c r="DQ693" i="43"/>
  <c r="DN693" i="43"/>
  <c r="DM694" i="43"/>
  <c r="DU693" i="43"/>
  <c r="DT694" i="43"/>
  <c r="DW1112" i="43"/>
  <c r="DS692" i="43"/>
  <c r="DR693" i="43"/>
  <c r="DQ694" i="43" l="1"/>
  <c r="DG695" i="43"/>
  <c r="DN694" i="43"/>
  <c r="DM695" i="43"/>
  <c r="DU694" i="43"/>
  <c r="DT695" i="43"/>
  <c r="DS693" i="43"/>
  <c r="DR694" i="43"/>
  <c r="DW1111" i="43"/>
  <c r="DG696" i="43" l="1"/>
  <c r="DQ695" i="43"/>
  <c r="DN695" i="43"/>
  <c r="DM696" i="43"/>
  <c r="DU695" i="43"/>
  <c r="DT696" i="43"/>
  <c r="DW1110" i="43"/>
  <c r="DS694" i="43"/>
  <c r="DR695" i="43"/>
  <c r="DG697" i="43" l="1"/>
  <c r="DQ696" i="43"/>
  <c r="DU696" i="43"/>
  <c r="DT697" i="43"/>
  <c r="DN696" i="43"/>
  <c r="DM697" i="43"/>
  <c r="DS695" i="43"/>
  <c r="DR696" i="43"/>
  <c r="DW1109" i="43"/>
  <c r="DQ697" i="43" l="1"/>
  <c r="DG698" i="43"/>
  <c r="DU697" i="43"/>
  <c r="DT698" i="43"/>
  <c r="DN697" i="43"/>
  <c r="DM698" i="43"/>
  <c r="DW1108" i="43"/>
  <c r="DS696" i="43"/>
  <c r="DR697" i="43"/>
  <c r="DQ698" i="43" l="1"/>
  <c r="DG699" i="43"/>
  <c r="DN698" i="43"/>
  <c r="DM699" i="43"/>
  <c r="DU698" i="43"/>
  <c r="DT699" i="43"/>
  <c r="DS697" i="43"/>
  <c r="DR698" i="43"/>
  <c r="DW1107" i="43"/>
  <c r="DQ699" i="43" l="1"/>
  <c r="DG700" i="43"/>
  <c r="DN699" i="43"/>
  <c r="DM700" i="43"/>
  <c r="DU699" i="43"/>
  <c r="DT700" i="43"/>
  <c r="DS698" i="43"/>
  <c r="DR699" i="43"/>
  <c r="DW1106" i="43"/>
  <c r="DQ700" i="43" l="1"/>
  <c r="DG701" i="43"/>
  <c r="DN700" i="43"/>
  <c r="DM701" i="43"/>
  <c r="DU700" i="43"/>
  <c r="DT701" i="43"/>
  <c r="DW1105" i="43"/>
  <c r="DS699" i="43"/>
  <c r="DR700" i="43"/>
  <c r="DQ701" i="43" l="1"/>
  <c r="DG702" i="43"/>
  <c r="DN701" i="43"/>
  <c r="DM702" i="43"/>
  <c r="DU701" i="43"/>
  <c r="DT702" i="43"/>
  <c r="DS700" i="43"/>
  <c r="DR701" i="43"/>
  <c r="DW1104" i="43"/>
  <c r="DQ702" i="43" l="1"/>
  <c r="DG703" i="43"/>
  <c r="DN702" i="43"/>
  <c r="DM703" i="43"/>
  <c r="DU702" i="43"/>
  <c r="DT703" i="43"/>
  <c r="DW1103" i="43"/>
  <c r="DS701" i="43"/>
  <c r="DR702" i="43"/>
  <c r="DQ703" i="43" l="1"/>
  <c r="DG704" i="43"/>
  <c r="DU703" i="43"/>
  <c r="DT704" i="43"/>
  <c r="DN703" i="43"/>
  <c r="DM704" i="43"/>
  <c r="DS702" i="43"/>
  <c r="DR703" i="43"/>
  <c r="DW1102" i="43"/>
  <c r="DQ704" i="43" l="1"/>
  <c r="DG705" i="43"/>
  <c r="DN704" i="43"/>
  <c r="DM705" i="43"/>
  <c r="DU704" i="43"/>
  <c r="DT705" i="43"/>
  <c r="DW1101" i="43"/>
  <c r="DS703" i="43"/>
  <c r="DR704" i="43"/>
  <c r="DQ705" i="43" l="1"/>
  <c r="DG706" i="43"/>
  <c r="DU705" i="43"/>
  <c r="DT706" i="43"/>
  <c r="DN705" i="43"/>
  <c r="DM706" i="43"/>
  <c r="DS704" i="43"/>
  <c r="DR705" i="43"/>
  <c r="DW1100" i="43"/>
  <c r="DG707" i="43" l="1"/>
  <c r="DQ706" i="43"/>
  <c r="DN706" i="43"/>
  <c r="DM707" i="43"/>
  <c r="DU706" i="43"/>
  <c r="DT707" i="43"/>
  <c r="DW1099" i="43"/>
  <c r="DS705" i="43"/>
  <c r="DR706" i="43"/>
  <c r="DG708" i="43" l="1"/>
  <c r="DQ707" i="43"/>
  <c r="DU707" i="43"/>
  <c r="DT708" i="43"/>
  <c r="DN707" i="43"/>
  <c r="DM708" i="43"/>
  <c r="DS706" i="43"/>
  <c r="DR707" i="43"/>
  <c r="DW1098" i="43"/>
  <c r="DQ708" i="43" l="1"/>
  <c r="DG709" i="43"/>
  <c r="DN708" i="43"/>
  <c r="DM709" i="43"/>
  <c r="DU708" i="43"/>
  <c r="DT709" i="43"/>
  <c r="DW1097" i="43"/>
  <c r="DS707" i="43"/>
  <c r="DR708" i="43"/>
  <c r="DQ709" i="43" l="1"/>
  <c r="DG710" i="43"/>
  <c r="DU709" i="43"/>
  <c r="DT710" i="43"/>
  <c r="DN709" i="43"/>
  <c r="DM710" i="43"/>
  <c r="DS708" i="43"/>
  <c r="DR709" i="43"/>
  <c r="DW1096" i="43"/>
  <c r="DG711" i="43" l="1"/>
  <c r="DQ710" i="43"/>
  <c r="DN710" i="43"/>
  <c r="DM711" i="43"/>
  <c r="DU710" i="43"/>
  <c r="DT711" i="43"/>
  <c r="DW1095" i="43"/>
  <c r="DS709" i="43"/>
  <c r="DR710" i="43"/>
  <c r="DQ711" i="43" l="1"/>
  <c r="DG712" i="43"/>
  <c r="DU711" i="43"/>
  <c r="DT712" i="43"/>
  <c r="DN711" i="43"/>
  <c r="DM712" i="43"/>
  <c r="DS710" i="43"/>
  <c r="DR711" i="43"/>
  <c r="DW1094" i="43"/>
  <c r="DQ712" i="43" l="1"/>
  <c r="DG713" i="43"/>
  <c r="DN712" i="43"/>
  <c r="DM713" i="43"/>
  <c r="DU712" i="43"/>
  <c r="DT713" i="43"/>
  <c r="DW1093" i="43"/>
  <c r="DS711" i="43"/>
  <c r="DR712" i="43"/>
  <c r="DQ713" i="43" l="1"/>
  <c r="DG714" i="43"/>
  <c r="DU713" i="43"/>
  <c r="DT714" i="43"/>
  <c r="DN713" i="43"/>
  <c r="DM714" i="43"/>
  <c r="DS712" i="43"/>
  <c r="DR713" i="43"/>
  <c r="DW1092" i="43"/>
  <c r="DG715" i="43" l="1"/>
  <c r="DQ714" i="43"/>
  <c r="DN714" i="43"/>
  <c r="DM715" i="43"/>
  <c r="DU714" i="43"/>
  <c r="DT715" i="43"/>
  <c r="DW1091" i="43"/>
  <c r="DS713" i="43"/>
  <c r="DR714" i="43"/>
  <c r="DQ715" i="43" l="1"/>
  <c r="DG716" i="43"/>
  <c r="DU715" i="43"/>
  <c r="DT716" i="43"/>
  <c r="DN715" i="43"/>
  <c r="DM716" i="43"/>
  <c r="DS714" i="43"/>
  <c r="DR715" i="43"/>
  <c r="DW1090" i="43"/>
  <c r="DQ716" i="43" l="1"/>
  <c r="DG717" i="43"/>
  <c r="DN716" i="43"/>
  <c r="DM717" i="43"/>
  <c r="DU716" i="43"/>
  <c r="DT717" i="43"/>
  <c r="DW1089" i="43"/>
  <c r="DS715" i="43"/>
  <c r="DR716" i="43"/>
  <c r="DG718" i="43" l="1"/>
  <c r="DQ717" i="43"/>
  <c r="DU717" i="43"/>
  <c r="DT718" i="43"/>
  <c r="DN717" i="43"/>
  <c r="DM718" i="43"/>
  <c r="DS716" i="43"/>
  <c r="DR717" i="43"/>
  <c r="DW1088" i="43"/>
  <c r="DQ718" i="43" l="1"/>
  <c r="DG719" i="43"/>
  <c r="DN718" i="43"/>
  <c r="DM719" i="43"/>
  <c r="DU718" i="43"/>
  <c r="DT719" i="43"/>
  <c r="DW1087" i="43"/>
  <c r="DS717" i="43"/>
  <c r="DR718" i="43"/>
  <c r="DQ719" i="43" l="1"/>
  <c r="DG720" i="43"/>
  <c r="DN719" i="43"/>
  <c r="DM720" i="43"/>
  <c r="DU719" i="43"/>
  <c r="DT720" i="43"/>
  <c r="DS718" i="43"/>
  <c r="DR719" i="43"/>
  <c r="DW1086" i="43"/>
  <c r="DQ720" i="43" l="1"/>
  <c r="DG721" i="43"/>
  <c r="DN720" i="43"/>
  <c r="DM721" i="43"/>
  <c r="DU720" i="43"/>
  <c r="DT721" i="43"/>
  <c r="DW1085" i="43"/>
  <c r="DS719" i="43"/>
  <c r="DR720" i="43"/>
  <c r="DG722" i="43" l="1"/>
  <c r="DQ721" i="43"/>
  <c r="DN721" i="43"/>
  <c r="DM722" i="43"/>
  <c r="DU721" i="43"/>
  <c r="DT722" i="43"/>
  <c r="DS720" i="43"/>
  <c r="DR721" i="43"/>
  <c r="DW1084" i="43"/>
  <c r="DG723" i="43" l="1"/>
  <c r="DQ722" i="43"/>
  <c r="DN722" i="43"/>
  <c r="DM723" i="43"/>
  <c r="DU722" i="43"/>
  <c r="DT723" i="43"/>
  <c r="DW1083" i="43"/>
  <c r="DS721" i="43"/>
  <c r="DR722" i="43"/>
  <c r="DQ723" i="43" l="1"/>
  <c r="DG724" i="43"/>
  <c r="DU723" i="43"/>
  <c r="DT724" i="43"/>
  <c r="DN723" i="43"/>
  <c r="DM724" i="43"/>
  <c r="DS722" i="43"/>
  <c r="DR723" i="43"/>
  <c r="DW1082" i="43"/>
  <c r="DQ724" i="43" l="1"/>
  <c r="DG725" i="43"/>
  <c r="DN724" i="43"/>
  <c r="DM725" i="43"/>
  <c r="DU724" i="43"/>
  <c r="DT725" i="43"/>
  <c r="DW1081" i="43"/>
  <c r="DS723" i="43"/>
  <c r="DR724" i="43"/>
  <c r="DG726" i="43" l="1"/>
  <c r="DQ725" i="43"/>
  <c r="DU725" i="43"/>
  <c r="DT726" i="43"/>
  <c r="DN725" i="43"/>
  <c r="DM726" i="43"/>
  <c r="DS724" i="43"/>
  <c r="DR725" i="43"/>
  <c r="DW1080" i="43"/>
  <c r="DQ726" i="43" l="1"/>
  <c r="DG727" i="43"/>
  <c r="DN726" i="43"/>
  <c r="DM727" i="43"/>
  <c r="DU726" i="43"/>
  <c r="DT727" i="43"/>
  <c r="DW1079" i="43"/>
  <c r="DS725" i="43"/>
  <c r="DR726" i="43"/>
  <c r="DG728" i="43" l="1"/>
  <c r="DQ727" i="43"/>
  <c r="DU727" i="43"/>
  <c r="DT728" i="43"/>
  <c r="DN727" i="43"/>
  <c r="DM728" i="43"/>
  <c r="DS726" i="43"/>
  <c r="DR727" i="43"/>
  <c r="DW1078" i="43"/>
  <c r="DG729" i="43" l="1"/>
  <c r="DQ728" i="43"/>
  <c r="DU728" i="43"/>
  <c r="DT729" i="43"/>
  <c r="DN728" i="43"/>
  <c r="DM729" i="43"/>
  <c r="DW1077" i="43"/>
  <c r="DS727" i="43"/>
  <c r="DR728" i="43"/>
  <c r="DQ729" i="43" l="1"/>
  <c r="DG730" i="43"/>
  <c r="DN729" i="43"/>
  <c r="DM730" i="43"/>
  <c r="DU729" i="43"/>
  <c r="DT730" i="43"/>
  <c r="DS728" i="43"/>
  <c r="DR729" i="43"/>
  <c r="DW1076" i="43"/>
  <c r="DG731" i="43" l="1"/>
  <c r="DQ730" i="43"/>
  <c r="DU730" i="43"/>
  <c r="DT731" i="43"/>
  <c r="DN730" i="43"/>
  <c r="DM731" i="43"/>
  <c r="DS729" i="43"/>
  <c r="DR730" i="43"/>
  <c r="DW1075" i="43"/>
  <c r="DG732" i="43" l="1"/>
  <c r="DQ731" i="43"/>
  <c r="DN731" i="43"/>
  <c r="DM732" i="43"/>
  <c r="DU731" i="43"/>
  <c r="DT732" i="43"/>
  <c r="DS730" i="43"/>
  <c r="DR731" i="43"/>
  <c r="DW1074" i="43"/>
  <c r="DG733" i="43" l="1"/>
  <c r="DQ732" i="43"/>
  <c r="DU732" i="43"/>
  <c r="DT733" i="43"/>
  <c r="DN732" i="43"/>
  <c r="DM733" i="43"/>
  <c r="DS731" i="43"/>
  <c r="DR732" i="43"/>
  <c r="DW1073" i="43"/>
  <c r="DG734" i="43" l="1"/>
  <c r="DQ733" i="43"/>
  <c r="DN733" i="43"/>
  <c r="DM734" i="43"/>
  <c r="DU733" i="43"/>
  <c r="DT734" i="43"/>
  <c r="DS732" i="43"/>
  <c r="DR733" i="43"/>
  <c r="DW1072" i="43"/>
  <c r="DQ734" i="43" l="1"/>
  <c r="DG735" i="43"/>
  <c r="DU734" i="43"/>
  <c r="DT735" i="43"/>
  <c r="DN734" i="43"/>
  <c r="DM735" i="43"/>
  <c r="DS733" i="43"/>
  <c r="DR734" i="43"/>
  <c r="DW1071" i="43"/>
  <c r="DQ735" i="43" l="1"/>
  <c r="DG736" i="43"/>
  <c r="DN735" i="43"/>
  <c r="DM736" i="43"/>
  <c r="DU735" i="43"/>
  <c r="DT736" i="43"/>
  <c r="DW1070" i="43"/>
  <c r="DS734" i="43"/>
  <c r="DR735" i="43"/>
  <c r="DQ736" i="43" l="1"/>
  <c r="DG737" i="43"/>
  <c r="DU736" i="43"/>
  <c r="DT737" i="43"/>
  <c r="DN736" i="43"/>
  <c r="DM737" i="43"/>
  <c r="DS735" i="43"/>
  <c r="DR736" i="43"/>
  <c r="DW1069" i="43"/>
  <c r="DG738" i="43" l="1"/>
  <c r="DQ737" i="43"/>
  <c r="DN737" i="43"/>
  <c r="DM738" i="43"/>
  <c r="DU737" i="43"/>
  <c r="DT738" i="43"/>
  <c r="DW1068" i="43"/>
  <c r="DS736" i="43"/>
  <c r="DR737" i="43"/>
  <c r="DQ738" i="43" l="1"/>
  <c r="DG739" i="43"/>
  <c r="DU738" i="43"/>
  <c r="DT739" i="43"/>
  <c r="DN738" i="43"/>
  <c r="DM739" i="43"/>
  <c r="DS737" i="43"/>
  <c r="DR738" i="43"/>
  <c r="DW1067" i="43"/>
  <c r="DG740" i="43" l="1"/>
  <c r="DQ739" i="43"/>
  <c r="DN739" i="43"/>
  <c r="DM740" i="43"/>
  <c r="DU739" i="43"/>
  <c r="DT740" i="43"/>
  <c r="DS738" i="43"/>
  <c r="DR739" i="43"/>
  <c r="DW1066" i="43"/>
  <c r="DQ740" i="43" l="1"/>
  <c r="DG741" i="43"/>
  <c r="DU740" i="43"/>
  <c r="DT741" i="43"/>
  <c r="DN740" i="43"/>
  <c r="DM741" i="43"/>
  <c r="DS739" i="43"/>
  <c r="DR740" i="43"/>
  <c r="DW1065" i="43"/>
  <c r="DQ741" i="43" l="1"/>
  <c r="DG742" i="43"/>
  <c r="DN741" i="43"/>
  <c r="DM742" i="43"/>
  <c r="DU741" i="43"/>
  <c r="DT742" i="43"/>
  <c r="DS740" i="43"/>
  <c r="DR741" i="43"/>
  <c r="DW1064" i="43"/>
  <c r="DG743" i="43" l="1"/>
  <c r="DQ742" i="43"/>
  <c r="DN742" i="43"/>
  <c r="DM743" i="43"/>
  <c r="DU742" i="43"/>
  <c r="DT743" i="43"/>
  <c r="DS741" i="43"/>
  <c r="DR742" i="43"/>
  <c r="DW1063" i="43"/>
  <c r="DG744" i="43" l="1"/>
  <c r="DQ743" i="43"/>
  <c r="DU743" i="43"/>
  <c r="DT744" i="43"/>
  <c r="DN743" i="43"/>
  <c r="DM744" i="43"/>
  <c r="DS742" i="43"/>
  <c r="DR743" i="43"/>
  <c r="DW1062" i="43"/>
  <c r="DQ744" i="43" l="1"/>
  <c r="DG745" i="43"/>
  <c r="DU744" i="43"/>
  <c r="DT745" i="43"/>
  <c r="DN744" i="43"/>
  <c r="DM745" i="43"/>
  <c r="DS743" i="43"/>
  <c r="DR744" i="43"/>
  <c r="DW1061" i="43"/>
  <c r="DG746" i="43" l="1"/>
  <c r="DQ745" i="43"/>
  <c r="DN745" i="43"/>
  <c r="DM746" i="43"/>
  <c r="DU745" i="43"/>
  <c r="DT746" i="43"/>
  <c r="DS744" i="43"/>
  <c r="DR745" i="43"/>
  <c r="DW1060" i="43"/>
  <c r="DQ746" i="43" l="1"/>
  <c r="DG747" i="43"/>
  <c r="DN746" i="43"/>
  <c r="DM747" i="43"/>
  <c r="DU746" i="43"/>
  <c r="DT747" i="43"/>
  <c r="DS745" i="43"/>
  <c r="DR746" i="43"/>
  <c r="DW1059" i="43"/>
  <c r="DQ747" i="43" l="1"/>
  <c r="DG748" i="43"/>
  <c r="DU747" i="43"/>
  <c r="DT748" i="43"/>
  <c r="DN747" i="43"/>
  <c r="DM748" i="43"/>
  <c r="DS746" i="43"/>
  <c r="DR747" i="43"/>
  <c r="DW1058" i="43"/>
  <c r="DG749" i="43" l="1"/>
  <c r="DQ748" i="43"/>
  <c r="DN748" i="43"/>
  <c r="DM749" i="43"/>
  <c r="DU748" i="43"/>
  <c r="DT749" i="43"/>
  <c r="DS747" i="43"/>
  <c r="DR748" i="43"/>
  <c r="DW1057" i="43"/>
  <c r="DG750" i="43" l="1"/>
  <c r="DQ749" i="43"/>
  <c r="DU749" i="43"/>
  <c r="DT750" i="43"/>
  <c r="DN749" i="43"/>
  <c r="DM750" i="43"/>
  <c r="DS748" i="43"/>
  <c r="DR749" i="43"/>
  <c r="DW1056" i="43"/>
  <c r="DG751" i="43" l="1"/>
  <c r="DQ750" i="43"/>
  <c r="DN750" i="43"/>
  <c r="DM751" i="43"/>
  <c r="DU750" i="43"/>
  <c r="DT751" i="43"/>
  <c r="DS749" i="43"/>
  <c r="DR750" i="43"/>
  <c r="DW1055" i="43"/>
  <c r="DQ751" i="43" l="1"/>
  <c r="DG752" i="43"/>
  <c r="DN751" i="43"/>
  <c r="DM752" i="43"/>
  <c r="DU751" i="43"/>
  <c r="DT752" i="43"/>
  <c r="DW1054" i="43"/>
  <c r="DS750" i="43"/>
  <c r="DR751" i="43"/>
  <c r="DG753" i="43" l="1"/>
  <c r="DQ752" i="43"/>
  <c r="DN752" i="43"/>
  <c r="DM753" i="43"/>
  <c r="DU752" i="43"/>
  <c r="DT753" i="43"/>
  <c r="DS751" i="43"/>
  <c r="DR752" i="43"/>
  <c r="DW1053" i="43"/>
  <c r="DQ753" i="43" l="1"/>
  <c r="DG754" i="43"/>
  <c r="DU753" i="43"/>
  <c r="DT754" i="43"/>
  <c r="DN753" i="43"/>
  <c r="DM754" i="43"/>
  <c r="DW1052" i="43"/>
  <c r="DS752" i="43"/>
  <c r="DR753" i="43"/>
  <c r="DQ754" i="43" l="1"/>
  <c r="DG755" i="43"/>
  <c r="DU754" i="43"/>
  <c r="DT755" i="43"/>
  <c r="DN754" i="43"/>
  <c r="DM755" i="43"/>
  <c r="DS753" i="43"/>
  <c r="DR754" i="43"/>
  <c r="DW1051" i="43"/>
  <c r="DQ755" i="43" l="1"/>
  <c r="DG756" i="43"/>
  <c r="DN755" i="43"/>
  <c r="DM756" i="43"/>
  <c r="DU755" i="43"/>
  <c r="DT756" i="43"/>
  <c r="DW1050" i="43"/>
  <c r="DS754" i="43"/>
  <c r="DR755" i="43"/>
  <c r="DQ756" i="43" l="1"/>
  <c r="DG757" i="43"/>
  <c r="DN756" i="43"/>
  <c r="DM757" i="43"/>
  <c r="DU756" i="43"/>
  <c r="DT757" i="43"/>
  <c r="DS755" i="43"/>
  <c r="DR756" i="43"/>
  <c r="DW1049" i="43"/>
  <c r="DG758" i="43" l="1"/>
  <c r="DQ757" i="43"/>
  <c r="DN757" i="43"/>
  <c r="DM758" i="43"/>
  <c r="DU757" i="43"/>
  <c r="DT758" i="43"/>
  <c r="DW1048" i="43"/>
  <c r="DS756" i="43"/>
  <c r="DR757" i="43"/>
  <c r="DQ758" i="43" l="1"/>
  <c r="DG759" i="43"/>
  <c r="DU758" i="43"/>
  <c r="DT759" i="43"/>
  <c r="DN758" i="43"/>
  <c r="DM759" i="43"/>
  <c r="DS757" i="43"/>
  <c r="DR758" i="43"/>
  <c r="DW1047" i="43"/>
  <c r="DG760" i="43" l="1"/>
  <c r="DQ759" i="43"/>
  <c r="DN759" i="43"/>
  <c r="DM760" i="43"/>
  <c r="DU759" i="43"/>
  <c r="DT760" i="43"/>
  <c r="DS758" i="43"/>
  <c r="DR759" i="43"/>
  <c r="DW1046" i="43"/>
  <c r="DG761" i="43" l="1"/>
  <c r="DQ760" i="43"/>
  <c r="DU760" i="43"/>
  <c r="DT761" i="43"/>
  <c r="DN760" i="43"/>
  <c r="DM761" i="43"/>
  <c r="DW1045" i="43"/>
  <c r="DS759" i="43"/>
  <c r="DR760" i="43"/>
  <c r="DQ761" i="43" l="1"/>
  <c r="DG762" i="43"/>
  <c r="DU761" i="43"/>
  <c r="DT762" i="43"/>
  <c r="DN761" i="43"/>
  <c r="DM762" i="43"/>
  <c r="DS760" i="43"/>
  <c r="DR761" i="43"/>
  <c r="DW1044" i="43"/>
  <c r="DG763" i="43" l="1"/>
  <c r="DQ762" i="43"/>
  <c r="DU762" i="43"/>
  <c r="DT763" i="43"/>
  <c r="DN762" i="43"/>
  <c r="DM763" i="43"/>
  <c r="DS761" i="43"/>
  <c r="DR762" i="43"/>
  <c r="DW1043" i="43"/>
  <c r="DQ763" i="43" l="1"/>
  <c r="DG764" i="43"/>
  <c r="DU763" i="43"/>
  <c r="DT764" i="43"/>
  <c r="DN763" i="43"/>
  <c r="DM764" i="43"/>
  <c r="DS762" i="43"/>
  <c r="DR763" i="43"/>
  <c r="DW1042" i="43"/>
  <c r="DQ764" i="43" l="1"/>
  <c r="DG765" i="43"/>
  <c r="DU764" i="43"/>
  <c r="DT765" i="43"/>
  <c r="DN764" i="43"/>
  <c r="DM765" i="43"/>
  <c r="DS763" i="43"/>
  <c r="DR764" i="43"/>
  <c r="DW1041" i="43"/>
  <c r="DQ765" i="43" l="1"/>
  <c r="DG766" i="43"/>
  <c r="DN765" i="43"/>
  <c r="DM766" i="43"/>
  <c r="DU765" i="43"/>
  <c r="DT766" i="43"/>
  <c r="DS764" i="43"/>
  <c r="DR765" i="43"/>
  <c r="DW1040" i="43"/>
  <c r="DQ766" i="43" l="1"/>
  <c r="DG767" i="43"/>
  <c r="DU766" i="43"/>
  <c r="DT767" i="43"/>
  <c r="DN766" i="43"/>
  <c r="DM767" i="43"/>
  <c r="DW1039" i="43"/>
  <c r="DS765" i="43"/>
  <c r="DR766" i="43"/>
  <c r="DQ767" i="43" l="1"/>
  <c r="DG768" i="43"/>
  <c r="DN767" i="43"/>
  <c r="DM768" i="43"/>
  <c r="DU767" i="43"/>
  <c r="DT768" i="43"/>
  <c r="DS766" i="43"/>
  <c r="DR767" i="43"/>
  <c r="DW1038" i="43"/>
  <c r="DQ768" i="43" l="1"/>
  <c r="DG769" i="43"/>
  <c r="DU768" i="43"/>
  <c r="DT769" i="43"/>
  <c r="DN768" i="43"/>
  <c r="DM769" i="43"/>
  <c r="DW1037" i="43"/>
  <c r="DS767" i="43"/>
  <c r="DR768" i="43"/>
  <c r="DG770" i="43" l="1"/>
  <c r="DQ769" i="43"/>
  <c r="DU769" i="43"/>
  <c r="DT770" i="43"/>
  <c r="DN769" i="43"/>
  <c r="DM770" i="43"/>
  <c r="DS768" i="43"/>
  <c r="DR769" i="43"/>
  <c r="DW1036" i="43"/>
  <c r="DG771" i="43" l="1"/>
  <c r="DQ770" i="43"/>
  <c r="DN770" i="43"/>
  <c r="DM771" i="43"/>
  <c r="DU770" i="43"/>
  <c r="DT771" i="43"/>
  <c r="DW1035" i="43"/>
  <c r="DS769" i="43"/>
  <c r="DR770" i="43"/>
  <c r="DQ771" i="43" l="1"/>
  <c r="DG772" i="43"/>
  <c r="DU771" i="43"/>
  <c r="DT772" i="43"/>
  <c r="DN771" i="43"/>
  <c r="DM772" i="43"/>
  <c r="DS770" i="43"/>
  <c r="DR771" i="43"/>
  <c r="DW1034" i="43"/>
  <c r="DG773" i="43" l="1"/>
  <c r="DQ772" i="43"/>
  <c r="DN772" i="43"/>
  <c r="DM773" i="43"/>
  <c r="DU772" i="43"/>
  <c r="DT773" i="43"/>
  <c r="DW1033" i="43"/>
  <c r="DS771" i="43"/>
  <c r="DR772" i="43"/>
  <c r="DG774" i="43" l="1"/>
  <c r="DQ773" i="43"/>
  <c r="DU773" i="43"/>
  <c r="DT774" i="43"/>
  <c r="DN773" i="43"/>
  <c r="DM774" i="43"/>
  <c r="DS772" i="43"/>
  <c r="DR773" i="43"/>
  <c r="DW1032" i="43"/>
  <c r="DQ774" i="43" l="1"/>
  <c r="DG775" i="43"/>
  <c r="DN774" i="43"/>
  <c r="DM775" i="43"/>
  <c r="DU774" i="43"/>
  <c r="DT775" i="43"/>
  <c r="DW1031" i="43"/>
  <c r="DS773" i="43"/>
  <c r="DR774" i="43"/>
  <c r="DQ775" i="43" l="1"/>
  <c r="DG776" i="43"/>
  <c r="DU775" i="43"/>
  <c r="DT776" i="43"/>
  <c r="DN775" i="43"/>
  <c r="DM776" i="43"/>
  <c r="DS774" i="43"/>
  <c r="DR775" i="43"/>
  <c r="DW1030" i="43"/>
  <c r="DQ776" i="43" l="1"/>
  <c r="DG777" i="43"/>
  <c r="DN776" i="43"/>
  <c r="DM777" i="43"/>
  <c r="DU776" i="43"/>
  <c r="DT777" i="43"/>
  <c r="DW1029" i="43"/>
  <c r="DS775" i="43"/>
  <c r="DR776" i="43"/>
  <c r="DQ777" i="43" l="1"/>
  <c r="DG778" i="43"/>
  <c r="DU777" i="43"/>
  <c r="DT778" i="43"/>
  <c r="DN777" i="43"/>
  <c r="DM778" i="43"/>
  <c r="DS776" i="43"/>
  <c r="DR777" i="43"/>
  <c r="DW1028" i="43"/>
  <c r="DG779" i="43" l="1"/>
  <c r="DQ778" i="43"/>
  <c r="DN778" i="43"/>
  <c r="DM779" i="43"/>
  <c r="DU778" i="43"/>
  <c r="DT779" i="43"/>
  <c r="DW1027" i="43"/>
  <c r="DS777" i="43"/>
  <c r="DR778" i="43"/>
  <c r="DG780" i="43" l="1"/>
  <c r="DQ779" i="43"/>
  <c r="DU779" i="43"/>
  <c r="DT780" i="43"/>
  <c r="DN779" i="43"/>
  <c r="DM780" i="43"/>
  <c r="DS778" i="43"/>
  <c r="DR779" i="43"/>
  <c r="DW1026" i="43"/>
  <c r="DQ780" i="43" l="1"/>
  <c r="DG781" i="43"/>
  <c r="DN780" i="43"/>
  <c r="DM781" i="43"/>
  <c r="DU780" i="43"/>
  <c r="DT781" i="43"/>
  <c r="DW1025" i="43"/>
  <c r="DS779" i="43"/>
  <c r="DR780" i="43"/>
  <c r="DG782" i="43" l="1"/>
  <c r="DQ781" i="43"/>
  <c r="DN781" i="43"/>
  <c r="DM782" i="43"/>
  <c r="DU781" i="43"/>
  <c r="DT782" i="43"/>
  <c r="DS780" i="43"/>
  <c r="DR781" i="43"/>
  <c r="DW1024" i="43"/>
  <c r="DG783" i="43" l="1"/>
  <c r="DQ782" i="43"/>
  <c r="DU782" i="43"/>
  <c r="DT783" i="43"/>
  <c r="DN782" i="43"/>
  <c r="DM783" i="43"/>
  <c r="DW1023" i="43"/>
  <c r="DS781" i="43"/>
  <c r="DR782" i="43"/>
  <c r="DQ783" i="43" l="1"/>
  <c r="DG784" i="43"/>
  <c r="DU783" i="43"/>
  <c r="DT784" i="43"/>
  <c r="DN783" i="43"/>
  <c r="DM784" i="43"/>
  <c r="DS782" i="43"/>
  <c r="DR783" i="43"/>
  <c r="DW1022" i="43"/>
  <c r="DG785" i="43" l="1"/>
  <c r="DQ784" i="43"/>
  <c r="DN784" i="43"/>
  <c r="DM785" i="43"/>
  <c r="DU784" i="43"/>
  <c r="DT785" i="43"/>
  <c r="DW1021" i="43"/>
  <c r="DS783" i="43"/>
  <c r="DR784" i="43"/>
  <c r="DG786" i="43" l="1"/>
  <c r="DQ785" i="43"/>
  <c r="DN785" i="43"/>
  <c r="DM786" i="43"/>
  <c r="DU785" i="43"/>
  <c r="DT786" i="43"/>
  <c r="DS784" i="43"/>
  <c r="DR785" i="43"/>
  <c r="DW1020" i="43"/>
  <c r="DG787" i="43" l="1"/>
  <c r="DQ786" i="43"/>
  <c r="DN786" i="43"/>
  <c r="DM787" i="43"/>
  <c r="DU786" i="43"/>
  <c r="DT787" i="43"/>
  <c r="DW1019" i="43"/>
  <c r="DS785" i="43"/>
  <c r="DR786" i="43"/>
  <c r="DQ787" i="43" l="1"/>
  <c r="DG788" i="43"/>
  <c r="DU787" i="43"/>
  <c r="DT788" i="43"/>
  <c r="DN787" i="43"/>
  <c r="DM788" i="43"/>
  <c r="DS786" i="43"/>
  <c r="DR787" i="43"/>
  <c r="DW1018" i="43"/>
  <c r="DG789" i="43" l="1"/>
  <c r="DQ788" i="43"/>
  <c r="DU788" i="43"/>
  <c r="DT789" i="43"/>
  <c r="DN788" i="43"/>
  <c r="DM789" i="43"/>
  <c r="DW1017" i="43"/>
  <c r="DS787" i="43"/>
  <c r="DR788" i="43"/>
  <c r="DQ789" i="43" l="1"/>
  <c r="DG790" i="43"/>
  <c r="DU789" i="43"/>
  <c r="DT790" i="43"/>
  <c r="DN789" i="43"/>
  <c r="DM790" i="43"/>
  <c r="DS788" i="43"/>
  <c r="DR789" i="43"/>
  <c r="DW1016" i="43"/>
  <c r="DQ790" i="43" l="1"/>
  <c r="DG791" i="43"/>
  <c r="DN790" i="43"/>
  <c r="DM791" i="43"/>
  <c r="DU790" i="43"/>
  <c r="DT791" i="43"/>
  <c r="DS789" i="43"/>
  <c r="DR790" i="43"/>
  <c r="DW1015" i="43"/>
  <c r="DG792" i="43" l="1"/>
  <c r="DQ791" i="43"/>
  <c r="DU791" i="43"/>
  <c r="DT792" i="43"/>
  <c r="DN791" i="43"/>
  <c r="DM792" i="43"/>
  <c r="DS790" i="43"/>
  <c r="DR791" i="43"/>
  <c r="DW1014" i="43"/>
  <c r="DG793" i="43" l="1"/>
  <c r="DQ792" i="43"/>
  <c r="DN792" i="43"/>
  <c r="DM793" i="43"/>
  <c r="DU792" i="43"/>
  <c r="DT793" i="43"/>
  <c r="DW1013" i="43"/>
  <c r="DS791" i="43"/>
  <c r="DR792" i="43"/>
  <c r="DG794" i="43" l="1"/>
  <c r="DQ793" i="43"/>
  <c r="DN793" i="43"/>
  <c r="DM794" i="43"/>
  <c r="DU793" i="43"/>
  <c r="DT794" i="43"/>
  <c r="DS792" i="43"/>
  <c r="DR793" i="43"/>
  <c r="DW1012" i="43"/>
  <c r="DG795" i="43" l="1"/>
  <c r="DQ794" i="43"/>
  <c r="DN794" i="43"/>
  <c r="DM795" i="43"/>
  <c r="DU794" i="43"/>
  <c r="DT795" i="43"/>
  <c r="DW1011" i="43"/>
  <c r="DS793" i="43"/>
  <c r="DR794" i="43"/>
  <c r="DG796" i="43" l="1"/>
  <c r="DQ795" i="43"/>
  <c r="DU795" i="43"/>
  <c r="DT796" i="43"/>
  <c r="DN795" i="43"/>
  <c r="DM796" i="43"/>
  <c r="DS794" i="43"/>
  <c r="DR795" i="43"/>
  <c r="DW1010" i="43"/>
  <c r="DQ796" i="43" l="1"/>
  <c r="DG797" i="43"/>
  <c r="DN796" i="43"/>
  <c r="DM797" i="43"/>
  <c r="DU796" i="43"/>
  <c r="DT797" i="43"/>
  <c r="DW1009" i="43"/>
  <c r="DS795" i="43"/>
  <c r="DR796" i="43"/>
  <c r="DG798" i="43" l="1"/>
  <c r="DQ797" i="43"/>
  <c r="DU797" i="43"/>
  <c r="DT798" i="43"/>
  <c r="DN797" i="43"/>
  <c r="DM798" i="43"/>
  <c r="DS796" i="43"/>
  <c r="DR797" i="43"/>
  <c r="DW1008" i="43"/>
  <c r="DQ798" i="43" l="1"/>
  <c r="DG799" i="43"/>
  <c r="DN798" i="43"/>
  <c r="DM799" i="43"/>
  <c r="DU798" i="43"/>
  <c r="DT799" i="43"/>
  <c r="DW1007" i="43"/>
  <c r="DS797" i="43"/>
  <c r="DR798" i="43"/>
  <c r="DQ799" i="43" l="1"/>
  <c r="DG800" i="43"/>
  <c r="DU799" i="43"/>
  <c r="DT800" i="43"/>
  <c r="DN799" i="43"/>
  <c r="DM800" i="43"/>
  <c r="DS798" i="43"/>
  <c r="DR799" i="43"/>
  <c r="DW1006" i="43"/>
  <c r="DG801" i="43" l="1"/>
  <c r="DQ800" i="43"/>
  <c r="DU800" i="43"/>
  <c r="DT801" i="43"/>
  <c r="DN800" i="43"/>
  <c r="DM801" i="43"/>
  <c r="DW1005" i="43"/>
  <c r="DS799" i="43"/>
  <c r="DR800" i="43"/>
  <c r="DQ801" i="43" l="1"/>
  <c r="DG802" i="43"/>
  <c r="DN801" i="43"/>
  <c r="DM802" i="43"/>
  <c r="DU801" i="43"/>
  <c r="DT802" i="43"/>
  <c r="DS800" i="43"/>
  <c r="DR801" i="43"/>
  <c r="DW1004" i="43"/>
  <c r="DG803" i="43" l="1"/>
  <c r="DQ802" i="43"/>
  <c r="DU802" i="43"/>
  <c r="DT803" i="43"/>
  <c r="DN802" i="43"/>
  <c r="DM803" i="43"/>
  <c r="DW1003" i="43"/>
  <c r="DS801" i="43"/>
  <c r="DR802" i="43"/>
  <c r="DG804" i="43" l="1"/>
  <c r="DQ803" i="43"/>
  <c r="DU803" i="43"/>
  <c r="DT804" i="43"/>
  <c r="DN803" i="43"/>
  <c r="DM804" i="43"/>
  <c r="DS802" i="43"/>
  <c r="DR803" i="43"/>
  <c r="DW1002" i="43"/>
  <c r="DG805" i="43" l="1"/>
  <c r="DQ804" i="43"/>
  <c r="DN804" i="43"/>
  <c r="DM805" i="43"/>
  <c r="DU804" i="43"/>
  <c r="DT805" i="43"/>
  <c r="DS803" i="43"/>
  <c r="DR804" i="43"/>
  <c r="DW1001" i="43"/>
  <c r="DQ805" i="43" l="1"/>
  <c r="DG806" i="43"/>
  <c r="DU805" i="43"/>
  <c r="DT806" i="43"/>
  <c r="DN805" i="43"/>
  <c r="DM806" i="43"/>
  <c r="DS804" i="43"/>
  <c r="DR805" i="43"/>
  <c r="DW1000" i="43"/>
  <c r="DQ806" i="43" l="1"/>
  <c r="DG807" i="43"/>
  <c r="DU806" i="43"/>
  <c r="DT807" i="43"/>
  <c r="DN806" i="43"/>
  <c r="DM807" i="43"/>
  <c r="DW999" i="43"/>
  <c r="DS805" i="43"/>
  <c r="DR806" i="43"/>
  <c r="DG808" i="43" l="1"/>
  <c r="DQ807" i="43"/>
  <c r="DU807" i="43"/>
  <c r="DT808" i="43"/>
  <c r="DN807" i="43"/>
  <c r="DM808" i="43"/>
  <c r="DS806" i="43"/>
  <c r="DR807" i="43"/>
  <c r="DW998" i="43"/>
  <c r="DQ808" i="43" l="1"/>
  <c r="DG809" i="43"/>
  <c r="DU808" i="43"/>
  <c r="DT809" i="43"/>
  <c r="DN808" i="43"/>
  <c r="DM809" i="43"/>
  <c r="DS807" i="43"/>
  <c r="DR808" i="43"/>
  <c r="DW997" i="43"/>
  <c r="DG810" i="43" l="1"/>
  <c r="DQ809" i="43"/>
  <c r="DN809" i="43"/>
  <c r="DM810" i="43"/>
  <c r="DU809" i="43"/>
  <c r="DT810" i="43"/>
  <c r="DW996" i="43"/>
  <c r="DS808" i="43"/>
  <c r="DR809" i="43"/>
  <c r="DG811" i="43" l="1"/>
  <c r="DQ810" i="43"/>
  <c r="DN810" i="43"/>
  <c r="DM811" i="43"/>
  <c r="DU810" i="43"/>
  <c r="DT811" i="43"/>
  <c r="DS809" i="43"/>
  <c r="DR810" i="43"/>
  <c r="DW995" i="43"/>
  <c r="DQ811" i="43" l="1"/>
  <c r="DG812" i="43"/>
  <c r="DU811" i="43"/>
  <c r="DT812" i="43"/>
  <c r="DN811" i="43"/>
  <c r="DM812" i="43"/>
  <c r="DW994" i="43"/>
  <c r="DS810" i="43"/>
  <c r="DR811" i="43"/>
  <c r="DG813" i="43" l="1"/>
  <c r="DQ812" i="43"/>
  <c r="DN812" i="43"/>
  <c r="DM813" i="43"/>
  <c r="DU812" i="43"/>
  <c r="DT813" i="43"/>
  <c r="DS811" i="43"/>
  <c r="DR812" i="43"/>
  <c r="DW993" i="43"/>
  <c r="DG814" i="43" l="1"/>
  <c r="DQ813" i="43"/>
  <c r="DU813" i="43"/>
  <c r="DT814" i="43"/>
  <c r="DN813" i="43"/>
  <c r="DM814" i="43"/>
  <c r="DW992" i="43"/>
  <c r="DS812" i="43"/>
  <c r="DR813" i="43"/>
  <c r="DG815" i="43" l="1"/>
  <c r="DQ814" i="43"/>
  <c r="DU814" i="43"/>
  <c r="DT815" i="43"/>
  <c r="DN814" i="43"/>
  <c r="DM815" i="43"/>
  <c r="DS813" i="43"/>
  <c r="DR814" i="43"/>
  <c r="DW991" i="43"/>
  <c r="DG816" i="43" l="1"/>
  <c r="DQ815" i="43"/>
  <c r="DN815" i="43"/>
  <c r="DM816" i="43"/>
  <c r="DU815" i="43"/>
  <c r="DT816" i="43"/>
  <c r="DW990" i="43"/>
  <c r="DS814" i="43"/>
  <c r="DR815" i="43"/>
  <c r="DG817" i="43" l="1"/>
  <c r="DQ816" i="43"/>
  <c r="DN816" i="43"/>
  <c r="DM817" i="43"/>
  <c r="DU816" i="43"/>
  <c r="DT817" i="43"/>
  <c r="DS815" i="43"/>
  <c r="DR816" i="43"/>
  <c r="DW989" i="43"/>
  <c r="DG818" i="43" l="1"/>
  <c r="DQ817" i="43"/>
  <c r="DU817" i="43"/>
  <c r="DT818" i="43"/>
  <c r="DN817" i="43"/>
  <c r="DM818" i="43"/>
  <c r="DW988" i="43"/>
  <c r="DS816" i="43"/>
  <c r="DR817" i="43"/>
  <c r="DQ818" i="43" l="1"/>
  <c r="DG819" i="43"/>
  <c r="DN818" i="43"/>
  <c r="DM819" i="43"/>
  <c r="DU818" i="43"/>
  <c r="DT819" i="43"/>
  <c r="DS817" i="43"/>
  <c r="DR818" i="43"/>
  <c r="DW987" i="43"/>
  <c r="DG820" i="43" l="1"/>
  <c r="DQ819" i="43"/>
  <c r="DN819" i="43"/>
  <c r="DM820" i="43"/>
  <c r="DU819" i="43"/>
  <c r="DT820" i="43"/>
  <c r="DS818" i="43"/>
  <c r="DR819" i="43"/>
  <c r="DW986" i="43"/>
  <c r="DQ820" i="43" l="1"/>
  <c r="DG821" i="43"/>
  <c r="DU820" i="43"/>
  <c r="DT821" i="43"/>
  <c r="DN820" i="43"/>
  <c r="DM821" i="43"/>
  <c r="DW985" i="43"/>
  <c r="DS819" i="43"/>
  <c r="DR820" i="43"/>
  <c r="DG822" i="43" l="1"/>
  <c r="DQ821" i="43"/>
  <c r="DN821" i="43"/>
  <c r="DM822" i="43"/>
  <c r="DU821" i="43"/>
  <c r="DT822" i="43"/>
  <c r="DS820" i="43"/>
  <c r="DR821" i="43"/>
  <c r="DW984" i="43"/>
  <c r="DG823" i="43" l="1"/>
  <c r="DQ822" i="43"/>
  <c r="DN822" i="43"/>
  <c r="DM823" i="43"/>
  <c r="DU822" i="43"/>
  <c r="DT823" i="43"/>
  <c r="DS821" i="43"/>
  <c r="DR822" i="43"/>
  <c r="DW983" i="43"/>
  <c r="DQ823" i="43" l="1"/>
  <c r="DG824" i="43"/>
  <c r="DN823" i="43"/>
  <c r="DM824" i="43"/>
  <c r="DU823" i="43"/>
  <c r="DT824" i="43"/>
  <c r="DW982" i="43"/>
  <c r="DS822" i="43"/>
  <c r="DR823" i="43"/>
  <c r="DG825" i="43" l="1"/>
  <c r="DQ824" i="43"/>
  <c r="DU824" i="43"/>
  <c r="DT825" i="43"/>
  <c r="DN824" i="43"/>
  <c r="DM825" i="43"/>
  <c r="DS823" i="43"/>
  <c r="DR824" i="43"/>
  <c r="DW981" i="43"/>
  <c r="DQ825" i="43" l="1"/>
  <c r="DG826" i="43"/>
  <c r="DN825" i="43"/>
  <c r="DM826" i="43"/>
  <c r="DU825" i="43"/>
  <c r="DT826" i="43"/>
  <c r="DW980" i="43"/>
  <c r="DS824" i="43"/>
  <c r="DR825" i="43"/>
  <c r="DG827" i="43" l="1"/>
  <c r="DQ826" i="43"/>
  <c r="DN826" i="43"/>
  <c r="DM827" i="43"/>
  <c r="DU826" i="43"/>
  <c r="DT827" i="43"/>
  <c r="DS825" i="43"/>
  <c r="DR826" i="43"/>
  <c r="DW979" i="43"/>
  <c r="DG828" i="43" l="1"/>
  <c r="DQ827" i="43"/>
  <c r="DN827" i="43"/>
  <c r="DM828" i="43"/>
  <c r="DU827" i="43"/>
  <c r="DT828" i="43"/>
  <c r="DS826" i="43"/>
  <c r="DR827" i="43"/>
  <c r="DW978" i="43"/>
  <c r="DG829" i="43" l="1"/>
  <c r="DQ828" i="43"/>
  <c r="DN828" i="43"/>
  <c r="DM829" i="43"/>
  <c r="DU828" i="43"/>
  <c r="DT829" i="43"/>
  <c r="DS827" i="43"/>
  <c r="DR828" i="43"/>
  <c r="DW977" i="43"/>
  <c r="DQ829" i="43" l="1"/>
  <c r="DG830" i="43"/>
  <c r="DN829" i="43"/>
  <c r="DM830" i="43"/>
  <c r="DU829" i="43"/>
  <c r="DT830" i="43"/>
  <c r="DW976" i="43"/>
  <c r="DS828" i="43"/>
  <c r="DR829" i="43"/>
  <c r="DG831" i="43" l="1"/>
  <c r="DQ830" i="43"/>
  <c r="DU830" i="43"/>
  <c r="DT831" i="43"/>
  <c r="DN830" i="43"/>
  <c r="DM831" i="43"/>
  <c r="DS829" i="43"/>
  <c r="DR830" i="43"/>
  <c r="DW975" i="43"/>
  <c r="DG832" i="43" l="1"/>
  <c r="DQ831" i="43"/>
  <c r="DN831" i="43"/>
  <c r="DM832" i="43"/>
  <c r="DU831" i="43"/>
  <c r="DT832" i="43"/>
  <c r="DW974" i="43"/>
  <c r="DS830" i="43"/>
  <c r="DR831" i="43"/>
  <c r="DG833" i="43" l="1"/>
  <c r="DQ832" i="43"/>
  <c r="DU832" i="43"/>
  <c r="DT833" i="43"/>
  <c r="DN832" i="43"/>
  <c r="DM833" i="43"/>
  <c r="DS831" i="43"/>
  <c r="DR832" i="43"/>
  <c r="DW973" i="43"/>
  <c r="DG834" i="43" l="1"/>
  <c r="DQ833" i="43"/>
  <c r="DN833" i="43"/>
  <c r="DM834" i="43"/>
  <c r="DU833" i="43"/>
  <c r="DT834" i="43"/>
  <c r="DW972" i="43"/>
  <c r="DS832" i="43"/>
  <c r="DR833" i="43"/>
  <c r="DQ834" i="43" l="1"/>
  <c r="DG835" i="43"/>
  <c r="DN834" i="43"/>
  <c r="DM835" i="43"/>
  <c r="DU834" i="43"/>
  <c r="DT835" i="43"/>
  <c r="DS833" i="43"/>
  <c r="DR834" i="43"/>
  <c r="DW971" i="43"/>
  <c r="DQ835" i="43" l="1"/>
  <c r="DG836" i="43"/>
  <c r="DN835" i="43"/>
  <c r="DM836" i="43"/>
  <c r="DU835" i="43"/>
  <c r="DT836" i="43"/>
  <c r="DW970" i="43"/>
  <c r="DS834" i="43"/>
  <c r="DR835" i="43"/>
  <c r="DQ836" i="43" l="1"/>
  <c r="DG837" i="43"/>
  <c r="DN836" i="43"/>
  <c r="DM837" i="43"/>
  <c r="DU836" i="43"/>
  <c r="DT837" i="43"/>
  <c r="DS835" i="43"/>
  <c r="DR836" i="43"/>
  <c r="DW969" i="43"/>
  <c r="DG838" i="43" l="1"/>
  <c r="DQ837" i="43"/>
  <c r="DN837" i="43"/>
  <c r="DM838" i="43"/>
  <c r="DU837" i="43"/>
  <c r="DT838" i="43"/>
  <c r="DW968" i="43"/>
  <c r="DS836" i="43"/>
  <c r="DR837" i="43"/>
  <c r="DQ838" i="43" l="1"/>
  <c r="DG839" i="43"/>
  <c r="DN838" i="43"/>
  <c r="DM839" i="43"/>
  <c r="DU838" i="43"/>
  <c r="DT839" i="43"/>
  <c r="DS837" i="43"/>
  <c r="DR838" i="43"/>
  <c r="DW967" i="43"/>
  <c r="DQ839" i="43" l="1"/>
  <c r="DG840" i="43"/>
  <c r="DU839" i="43"/>
  <c r="DT840" i="43"/>
  <c r="DN839" i="43"/>
  <c r="DM840" i="43"/>
  <c r="DW966" i="43"/>
  <c r="DS838" i="43"/>
  <c r="DR839" i="43"/>
  <c r="DG841" i="43" l="1"/>
  <c r="DQ840" i="43"/>
  <c r="DN840" i="43"/>
  <c r="DM841" i="43"/>
  <c r="DU840" i="43"/>
  <c r="DT841" i="43"/>
  <c r="DS839" i="43"/>
  <c r="DR840" i="43"/>
  <c r="DW965" i="43"/>
  <c r="DQ841" i="43" l="1"/>
  <c r="DG842" i="43"/>
  <c r="DN841" i="43"/>
  <c r="DM842" i="43"/>
  <c r="DU841" i="43"/>
  <c r="DT842" i="43"/>
  <c r="DW964" i="43"/>
  <c r="DS840" i="43"/>
  <c r="DR841" i="43"/>
  <c r="DQ842" i="43" l="1"/>
  <c r="DG843" i="43"/>
  <c r="DN842" i="43"/>
  <c r="DM843" i="43"/>
  <c r="DU842" i="43"/>
  <c r="DT843" i="43"/>
  <c r="DS841" i="43"/>
  <c r="DR842" i="43"/>
  <c r="DW963" i="43"/>
  <c r="DQ843" i="43" l="1"/>
  <c r="DG844" i="43"/>
  <c r="DU843" i="43"/>
  <c r="DT844" i="43"/>
  <c r="DN843" i="43"/>
  <c r="DM844" i="43"/>
  <c r="DW962" i="43"/>
  <c r="DS842" i="43"/>
  <c r="DR843" i="43"/>
  <c r="DG845" i="43" l="1"/>
  <c r="DQ844" i="43"/>
  <c r="DN844" i="43"/>
  <c r="DM845" i="43"/>
  <c r="DU844" i="43"/>
  <c r="DT845" i="43"/>
  <c r="DS843" i="43"/>
  <c r="DR844" i="43"/>
  <c r="DW961" i="43"/>
  <c r="DG846" i="43" l="1"/>
  <c r="DQ845" i="43"/>
  <c r="DU845" i="43"/>
  <c r="DT846" i="43"/>
  <c r="DN845" i="43"/>
  <c r="DM846" i="43"/>
  <c r="DW960" i="43"/>
  <c r="DS844" i="43"/>
  <c r="DR845" i="43"/>
  <c r="DQ846" i="43" l="1"/>
  <c r="DG847" i="43"/>
  <c r="DN846" i="43"/>
  <c r="DM847" i="43"/>
  <c r="DU846" i="43"/>
  <c r="DT847" i="43"/>
  <c r="DS845" i="43"/>
  <c r="DR846" i="43"/>
  <c r="DW959" i="43"/>
  <c r="DQ847" i="43" l="1"/>
  <c r="DG848" i="43"/>
  <c r="DU847" i="43"/>
  <c r="DT848" i="43"/>
  <c r="DN847" i="43"/>
  <c r="DM848" i="43"/>
  <c r="DS846" i="43"/>
  <c r="DR847" i="43"/>
  <c r="DW958" i="43"/>
  <c r="DG849" i="43" l="1"/>
  <c r="DQ848" i="43"/>
  <c r="DU848" i="43"/>
  <c r="DT849" i="43"/>
  <c r="DN848" i="43"/>
  <c r="DM849" i="43"/>
  <c r="DW957" i="43"/>
  <c r="DS847" i="43"/>
  <c r="DR848" i="43"/>
  <c r="DQ849" i="43" l="1"/>
  <c r="DG850" i="43"/>
  <c r="DN849" i="43"/>
  <c r="DM850" i="43"/>
  <c r="DU849" i="43"/>
  <c r="DT850" i="43"/>
  <c r="DS848" i="43"/>
  <c r="DR849" i="43"/>
  <c r="DW956" i="43"/>
  <c r="DG851" i="43" l="1"/>
  <c r="DQ850" i="43"/>
  <c r="DU850" i="43"/>
  <c r="DT851" i="43"/>
  <c r="DN850" i="43"/>
  <c r="DM851" i="43"/>
  <c r="DW955" i="43"/>
  <c r="DS849" i="43"/>
  <c r="DR850" i="43"/>
  <c r="DQ851" i="43" l="1"/>
  <c r="DG852" i="43"/>
  <c r="DU851" i="43"/>
  <c r="DT852" i="43"/>
  <c r="DN851" i="43"/>
  <c r="DM852" i="43"/>
  <c r="DS850" i="43"/>
  <c r="DR851" i="43"/>
  <c r="DW954" i="43"/>
  <c r="DG853" i="43" l="1"/>
  <c r="DQ852" i="43"/>
  <c r="DN852" i="43"/>
  <c r="DM853" i="43"/>
  <c r="DU852" i="43"/>
  <c r="DT853" i="43"/>
  <c r="DS851" i="43"/>
  <c r="DR852" i="43"/>
  <c r="DW953" i="43"/>
  <c r="DG854" i="43" l="1"/>
  <c r="DQ853" i="43"/>
  <c r="DU853" i="43"/>
  <c r="DT854" i="43"/>
  <c r="DN853" i="43"/>
  <c r="DM854" i="43"/>
  <c r="DS852" i="43"/>
  <c r="DR853" i="43"/>
  <c r="DW952" i="43"/>
  <c r="DG855" i="43" l="1"/>
  <c r="DQ854" i="43"/>
  <c r="DN854" i="43"/>
  <c r="DM855" i="43"/>
  <c r="DU854" i="43"/>
  <c r="DT855" i="43"/>
  <c r="DW951" i="43"/>
  <c r="DS853" i="43"/>
  <c r="DR854" i="43"/>
  <c r="DQ855" i="43" l="1"/>
  <c r="DG856" i="43"/>
  <c r="DN855" i="43"/>
  <c r="DM856" i="43"/>
  <c r="DU855" i="43"/>
  <c r="DT856" i="43"/>
  <c r="DS854" i="43"/>
  <c r="DR855" i="43"/>
  <c r="DW950" i="43"/>
  <c r="DG857" i="43" l="1"/>
  <c r="DQ856" i="43"/>
  <c r="DN856" i="43"/>
  <c r="DM857" i="43"/>
  <c r="DU856" i="43"/>
  <c r="DT857" i="43"/>
  <c r="DW949" i="43"/>
  <c r="DS855" i="43"/>
  <c r="DR856" i="43"/>
  <c r="DG858" i="43" l="1"/>
  <c r="DQ857" i="43"/>
  <c r="DU857" i="43"/>
  <c r="DT858" i="43"/>
  <c r="DN857" i="43"/>
  <c r="DM858" i="43"/>
  <c r="DS856" i="43"/>
  <c r="DR857" i="43"/>
  <c r="DW948" i="43"/>
  <c r="DG859" i="43" l="1"/>
  <c r="DQ858" i="43"/>
  <c r="DU858" i="43"/>
  <c r="DT859" i="43"/>
  <c r="DN858" i="43"/>
  <c r="DM859" i="43"/>
  <c r="DW947" i="43"/>
  <c r="DS857" i="43"/>
  <c r="DR858" i="43"/>
  <c r="DQ859" i="43" l="1"/>
  <c r="DG860" i="43"/>
  <c r="DN859" i="43"/>
  <c r="DM860" i="43"/>
  <c r="DU859" i="43"/>
  <c r="DT860" i="43"/>
  <c r="DS858" i="43"/>
  <c r="DR859" i="43"/>
  <c r="DW946" i="43"/>
  <c r="DQ860" i="43" l="1"/>
  <c r="DG861" i="43"/>
  <c r="DU860" i="43"/>
  <c r="DT861" i="43"/>
  <c r="DN860" i="43"/>
  <c r="DM861" i="43"/>
  <c r="DW945" i="43"/>
  <c r="DS859" i="43"/>
  <c r="DR860" i="43"/>
  <c r="DG862" i="43" l="1"/>
  <c r="DQ861" i="43"/>
  <c r="DN861" i="43"/>
  <c r="DM862" i="43"/>
  <c r="DU861" i="43"/>
  <c r="DT862" i="43"/>
  <c r="DS860" i="43"/>
  <c r="DR861" i="43"/>
  <c r="DW944" i="43"/>
  <c r="DQ862" i="43" l="1"/>
  <c r="DG863" i="43"/>
  <c r="DU862" i="43"/>
  <c r="DT863" i="43"/>
  <c r="DN862" i="43"/>
  <c r="DM863" i="43"/>
  <c r="DW943" i="43"/>
  <c r="DS861" i="43"/>
  <c r="DR862" i="43"/>
  <c r="DQ863" i="43" l="1"/>
  <c r="DG864" i="43"/>
  <c r="DN863" i="43"/>
  <c r="DM864" i="43"/>
  <c r="DU863" i="43"/>
  <c r="DT864" i="43"/>
  <c r="DS862" i="43"/>
  <c r="DR863" i="43"/>
  <c r="DW942" i="43"/>
  <c r="DQ864" i="43" l="1"/>
  <c r="DG865" i="43"/>
  <c r="DU864" i="43"/>
  <c r="DT865" i="43"/>
  <c r="DN864" i="43"/>
  <c r="DM865" i="43"/>
  <c r="DS863" i="43"/>
  <c r="DR864" i="43"/>
  <c r="DW941" i="43"/>
  <c r="DG866" i="43" l="1"/>
  <c r="DQ865" i="43"/>
  <c r="DU865" i="43"/>
  <c r="DT866" i="43"/>
  <c r="DN865" i="43"/>
  <c r="DM866" i="43"/>
  <c r="DW940" i="43"/>
  <c r="DS864" i="43"/>
  <c r="DR865" i="43"/>
  <c r="DG867" i="43" l="1"/>
  <c r="DQ866" i="43"/>
  <c r="DU866" i="43"/>
  <c r="DT867" i="43"/>
  <c r="DN866" i="43"/>
  <c r="DM867" i="43"/>
  <c r="DS865" i="43"/>
  <c r="DR866" i="43"/>
  <c r="DW939" i="43"/>
  <c r="DG868" i="43" l="1"/>
  <c r="DQ867" i="43"/>
  <c r="DN867" i="43"/>
  <c r="DM868" i="43"/>
  <c r="DU867" i="43"/>
  <c r="DT868" i="43"/>
  <c r="DW938" i="43"/>
  <c r="DS866" i="43"/>
  <c r="DR867" i="43"/>
  <c r="DG869" i="43" l="1"/>
  <c r="DQ868" i="43"/>
  <c r="DN868" i="43"/>
  <c r="DM869" i="43"/>
  <c r="DU868" i="43"/>
  <c r="DT869" i="43"/>
  <c r="DS867" i="43"/>
  <c r="DR868" i="43"/>
  <c r="DW937" i="43"/>
  <c r="DQ869" i="43" l="1"/>
  <c r="DG870" i="43"/>
  <c r="DU869" i="43"/>
  <c r="DT870" i="43"/>
  <c r="DN869" i="43"/>
  <c r="DM870" i="43"/>
  <c r="DS868" i="43"/>
  <c r="DR869" i="43"/>
  <c r="DW936" i="43"/>
  <c r="DG871" i="43" l="1"/>
  <c r="DQ870" i="43"/>
  <c r="DN870" i="43"/>
  <c r="DM871" i="43"/>
  <c r="DU870" i="43"/>
  <c r="DT871" i="43"/>
  <c r="DW935" i="43"/>
  <c r="DS869" i="43"/>
  <c r="DR870" i="43"/>
  <c r="DG872" i="43" l="1"/>
  <c r="DQ871" i="43"/>
  <c r="DN871" i="43"/>
  <c r="DM872" i="43"/>
  <c r="DU871" i="43"/>
  <c r="DT872" i="43"/>
  <c r="DS870" i="43"/>
  <c r="DR871" i="43"/>
  <c r="DW934" i="43"/>
  <c r="DQ872" i="43" l="1"/>
  <c r="DG873" i="43"/>
  <c r="DU872" i="43"/>
  <c r="DT873" i="43"/>
  <c r="DN872" i="43"/>
  <c r="DM873" i="43"/>
  <c r="DW933" i="43"/>
  <c r="DS871" i="43"/>
  <c r="DR872" i="43"/>
  <c r="DG874" i="43" l="1"/>
  <c r="DQ873" i="43"/>
  <c r="DN873" i="43"/>
  <c r="DM874" i="43"/>
  <c r="DU873" i="43"/>
  <c r="DT874" i="43"/>
  <c r="DS872" i="43"/>
  <c r="DR873" i="43"/>
  <c r="DW932" i="43"/>
  <c r="DG875" i="43" l="1"/>
  <c r="DQ874" i="43"/>
  <c r="DN874" i="43"/>
  <c r="DM875" i="43"/>
  <c r="DU874" i="43"/>
  <c r="DT875" i="43"/>
  <c r="DW931" i="43"/>
  <c r="DS873" i="43"/>
  <c r="DR874" i="43"/>
  <c r="DQ875" i="43" l="1"/>
  <c r="DG876" i="43"/>
  <c r="DU875" i="43"/>
  <c r="DT876" i="43"/>
  <c r="DN875" i="43"/>
  <c r="DM876" i="43"/>
  <c r="DS874" i="43"/>
  <c r="DR875" i="43"/>
  <c r="DW930" i="43"/>
  <c r="DQ876" i="43" l="1"/>
  <c r="DG877" i="43"/>
  <c r="DN876" i="43"/>
  <c r="DM877" i="43"/>
  <c r="DU876" i="43"/>
  <c r="DT877" i="43"/>
  <c r="DW929" i="43"/>
  <c r="DS875" i="43"/>
  <c r="DR876" i="43"/>
  <c r="DG878" i="43" l="1"/>
  <c r="DQ877" i="43"/>
  <c r="DN877" i="43"/>
  <c r="DM878" i="43"/>
  <c r="DU877" i="43"/>
  <c r="DT878" i="43"/>
  <c r="DS876" i="43"/>
  <c r="DR877" i="43"/>
  <c r="DW928" i="43"/>
  <c r="DQ878" i="43" l="1"/>
  <c r="DG879" i="43"/>
  <c r="DU878" i="43"/>
  <c r="DT879" i="43"/>
  <c r="DN878" i="43"/>
  <c r="DM879" i="43"/>
  <c r="DW927" i="43"/>
  <c r="DS877" i="43"/>
  <c r="DR878" i="43"/>
  <c r="DG880" i="43" l="1"/>
  <c r="DQ879" i="43"/>
  <c r="DN879" i="43"/>
  <c r="DM880" i="43"/>
  <c r="DU879" i="43"/>
  <c r="DT880" i="43"/>
  <c r="DS878" i="43"/>
  <c r="DR879" i="43"/>
  <c r="DW926" i="43"/>
  <c r="DG881" i="43" l="1"/>
  <c r="DQ880" i="43"/>
  <c r="DU880" i="43"/>
  <c r="DT881" i="43"/>
  <c r="DN880" i="43"/>
  <c r="DM881" i="43"/>
  <c r="DS879" i="43"/>
  <c r="DR880" i="43"/>
  <c r="DW925" i="43"/>
  <c r="DG882" i="43" l="1"/>
  <c r="DQ881" i="43"/>
  <c r="DU881" i="43"/>
  <c r="DT882" i="43"/>
  <c r="DN881" i="43"/>
  <c r="DM882" i="43"/>
  <c r="DW924" i="43"/>
  <c r="DS880" i="43"/>
  <c r="DR881" i="43"/>
  <c r="DQ882" i="43" l="1"/>
  <c r="DG883" i="43"/>
  <c r="DN882" i="43"/>
  <c r="DM883" i="43"/>
  <c r="DU882" i="43"/>
  <c r="DT883" i="43"/>
  <c r="DS881" i="43"/>
  <c r="DR882" i="43"/>
  <c r="DW923" i="43"/>
  <c r="DQ883" i="43" l="1"/>
  <c r="DG884" i="43"/>
  <c r="DU883" i="43"/>
  <c r="DT884" i="43"/>
  <c r="DN883" i="43"/>
  <c r="DM884" i="43"/>
  <c r="DS882" i="43"/>
  <c r="DR883" i="43"/>
  <c r="DW922" i="43"/>
  <c r="DQ884" i="43" l="1"/>
  <c r="DG885" i="43"/>
  <c r="DU884" i="43"/>
  <c r="DT885" i="43"/>
  <c r="DN884" i="43"/>
  <c r="DM885" i="43"/>
  <c r="DW921" i="43"/>
  <c r="DS883" i="43"/>
  <c r="DR884" i="43"/>
  <c r="DG886" i="43" l="1"/>
  <c r="DQ885" i="43"/>
  <c r="DU885" i="43"/>
  <c r="DT886" i="43"/>
  <c r="DN885" i="43"/>
  <c r="DM886" i="43"/>
  <c r="DS884" i="43"/>
  <c r="DR885" i="43"/>
  <c r="DW920" i="43"/>
  <c r="DG887" i="43" l="1"/>
  <c r="DQ886" i="43"/>
  <c r="DN886" i="43"/>
  <c r="DM887" i="43"/>
  <c r="DU886" i="43"/>
  <c r="DT887" i="43"/>
  <c r="DW919" i="43"/>
  <c r="DS885" i="43"/>
  <c r="DR886" i="43"/>
  <c r="DQ887" i="43" l="1"/>
  <c r="DG888" i="43"/>
  <c r="DU887" i="43"/>
  <c r="DT888" i="43"/>
  <c r="DN887" i="43"/>
  <c r="DM888" i="43"/>
  <c r="DS886" i="43"/>
  <c r="DR887" i="43"/>
  <c r="DW918" i="43"/>
  <c r="DG889" i="43" l="1"/>
  <c r="DQ888" i="43"/>
  <c r="DN888" i="43"/>
  <c r="DM889" i="43"/>
  <c r="DU888" i="43"/>
  <c r="DT889" i="43"/>
  <c r="DW917" i="43"/>
  <c r="DS887" i="43"/>
  <c r="DR888" i="43"/>
  <c r="DQ889" i="43" l="1"/>
  <c r="DG890" i="43"/>
  <c r="DU889" i="43"/>
  <c r="DT890" i="43"/>
  <c r="DN889" i="43"/>
  <c r="DM890" i="43"/>
  <c r="DS888" i="43"/>
  <c r="DR889" i="43"/>
  <c r="DW916" i="43"/>
  <c r="DQ890" i="43" l="1"/>
  <c r="DG891" i="43"/>
  <c r="DU890" i="43"/>
  <c r="DT891" i="43"/>
  <c r="DN890" i="43"/>
  <c r="DM891" i="43"/>
  <c r="DW915" i="43"/>
  <c r="DS889" i="43"/>
  <c r="DR890" i="43"/>
  <c r="DQ891" i="43" l="1"/>
  <c r="DG892" i="43"/>
  <c r="DU891" i="43"/>
  <c r="DT892" i="43"/>
  <c r="DN891" i="43"/>
  <c r="DM892" i="43"/>
  <c r="DS890" i="43"/>
  <c r="DR891" i="43"/>
  <c r="DW914" i="43"/>
  <c r="DG893" i="43" l="1"/>
  <c r="DQ892" i="43"/>
  <c r="DN892" i="43"/>
  <c r="DM893" i="43"/>
  <c r="DU892" i="43"/>
  <c r="DT893" i="43"/>
  <c r="DS891" i="43"/>
  <c r="DR892" i="43"/>
  <c r="DW913" i="43"/>
  <c r="DG894" i="43" l="1"/>
  <c r="DQ893" i="43"/>
  <c r="DN893" i="43"/>
  <c r="DM894" i="43"/>
  <c r="DU893" i="43"/>
  <c r="DT894" i="43"/>
  <c r="DW912" i="43"/>
  <c r="DS892" i="43"/>
  <c r="DR893" i="43"/>
  <c r="DQ894" i="43" l="1"/>
  <c r="DG895" i="43"/>
  <c r="DN894" i="43"/>
  <c r="DM895" i="43"/>
  <c r="DU894" i="43"/>
  <c r="DT895" i="43"/>
  <c r="DS893" i="43"/>
  <c r="DR894" i="43"/>
  <c r="DW911" i="43"/>
  <c r="DG896" i="43" l="1"/>
  <c r="DQ895" i="43"/>
  <c r="DU895" i="43"/>
  <c r="DT896" i="43"/>
  <c r="DN895" i="43"/>
  <c r="DM896" i="43"/>
  <c r="DW910" i="43"/>
  <c r="DS894" i="43"/>
  <c r="DR895" i="43"/>
  <c r="DQ896" i="43" l="1"/>
  <c r="DG897" i="43"/>
  <c r="DU896" i="43"/>
  <c r="DT897" i="43"/>
  <c r="DN896" i="43"/>
  <c r="DM897" i="43"/>
  <c r="DS895" i="43"/>
  <c r="DR896" i="43"/>
  <c r="DW909" i="43"/>
  <c r="DG898" i="43" l="1"/>
  <c r="DQ897" i="43"/>
  <c r="DN897" i="43"/>
  <c r="DM898" i="43"/>
  <c r="DU897" i="43"/>
  <c r="DT898" i="43"/>
  <c r="DW908" i="43"/>
  <c r="DS896" i="43"/>
  <c r="DR897" i="43"/>
  <c r="DQ898" i="43" l="1"/>
  <c r="DG899" i="43"/>
  <c r="DU898" i="43"/>
  <c r="DT899" i="43"/>
  <c r="DN898" i="43"/>
  <c r="DM899" i="43"/>
  <c r="DS897" i="43"/>
  <c r="DR898" i="43"/>
  <c r="DW907" i="43"/>
  <c r="DQ899" i="43" l="1"/>
  <c r="DG900" i="43"/>
  <c r="DU899" i="43"/>
  <c r="DT900" i="43"/>
  <c r="DN899" i="43"/>
  <c r="DM900" i="43"/>
  <c r="DW906" i="43"/>
  <c r="DS898" i="43"/>
  <c r="DR899" i="43"/>
  <c r="DQ900" i="43" l="1"/>
  <c r="DG901" i="43"/>
  <c r="DU900" i="43"/>
  <c r="DT901" i="43"/>
  <c r="DN900" i="43"/>
  <c r="DM901" i="43"/>
  <c r="DS899" i="43"/>
  <c r="DR900" i="43"/>
  <c r="DW905" i="43"/>
  <c r="DG902" i="43" l="1"/>
  <c r="DQ901" i="43"/>
  <c r="DN901" i="43"/>
  <c r="DM902" i="43"/>
  <c r="DU901" i="43"/>
  <c r="DT902" i="43"/>
  <c r="DS900" i="43"/>
  <c r="DR901" i="43"/>
  <c r="DW904" i="43"/>
  <c r="DG903" i="43" l="1"/>
  <c r="DQ902" i="43"/>
  <c r="DU902" i="43"/>
  <c r="DT903" i="43"/>
  <c r="DN902" i="43"/>
  <c r="DM903" i="43"/>
  <c r="DW903" i="43"/>
  <c r="DS901" i="43"/>
  <c r="DR902" i="43"/>
  <c r="DG904" i="43" l="1"/>
  <c r="DQ903" i="43"/>
  <c r="DU903" i="43"/>
  <c r="DT904" i="43"/>
  <c r="DN903" i="43"/>
  <c r="DM904" i="43"/>
  <c r="DS902" i="43"/>
  <c r="DR903" i="43"/>
  <c r="DW902" i="43"/>
  <c r="DQ904" i="43" l="1"/>
  <c r="DG905" i="43"/>
  <c r="DN904" i="43"/>
  <c r="DM905" i="43"/>
  <c r="DU904" i="43"/>
  <c r="DT905" i="43"/>
  <c r="DW901" i="43"/>
  <c r="DS903" i="43"/>
  <c r="DR904" i="43"/>
  <c r="DQ905" i="43" l="1"/>
  <c r="DG906" i="43"/>
  <c r="DU905" i="43"/>
  <c r="DT906" i="43"/>
  <c r="DN905" i="43"/>
  <c r="DM906" i="43"/>
  <c r="DS904" i="43"/>
  <c r="DR905" i="43"/>
  <c r="DW900" i="43"/>
  <c r="DQ906" i="43" l="1"/>
  <c r="DG907" i="43"/>
  <c r="DN906" i="43"/>
  <c r="DM907" i="43"/>
  <c r="DU906" i="43"/>
  <c r="DT907" i="43"/>
  <c r="DW899" i="43"/>
  <c r="DS905" i="43"/>
  <c r="DR906" i="43"/>
  <c r="DQ907" i="43" l="1"/>
  <c r="DG908" i="43"/>
  <c r="DU907" i="43"/>
  <c r="DT908" i="43"/>
  <c r="DN907" i="43"/>
  <c r="DM908" i="43"/>
  <c r="DS906" i="43"/>
  <c r="DR907" i="43"/>
  <c r="DW898" i="43"/>
  <c r="DQ908" i="43" l="1"/>
  <c r="DG909" i="43"/>
  <c r="DN908" i="43"/>
  <c r="DM909" i="43"/>
  <c r="DU908" i="43"/>
  <c r="DT909" i="43"/>
  <c r="DW897" i="43"/>
  <c r="DS907" i="43"/>
  <c r="DR908" i="43"/>
  <c r="DG910" i="43" l="1"/>
  <c r="DQ909" i="43"/>
  <c r="DU909" i="43"/>
  <c r="DT910" i="43"/>
  <c r="DN909" i="43"/>
  <c r="DM910" i="43"/>
  <c r="DS908" i="43"/>
  <c r="DR909" i="43"/>
  <c r="DW896" i="43"/>
  <c r="DQ910" i="43" l="1"/>
  <c r="DG911" i="43"/>
  <c r="DU910" i="43"/>
  <c r="DT911" i="43"/>
  <c r="DN910" i="43"/>
  <c r="DM911" i="43"/>
  <c r="DS909" i="43"/>
  <c r="DR910" i="43"/>
  <c r="DW895" i="43"/>
  <c r="DQ911" i="43" l="1"/>
  <c r="DG912" i="43"/>
  <c r="DN911" i="43"/>
  <c r="DM912" i="43"/>
  <c r="DU911" i="43"/>
  <c r="DT912" i="43"/>
  <c r="DW894" i="43"/>
  <c r="DS910" i="43"/>
  <c r="DR911" i="43"/>
  <c r="DQ912" i="43" l="1"/>
  <c r="DG913" i="43"/>
  <c r="DU912" i="43"/>
  <c r="DT913" i="43"/>
  <c r="DN912" i="43"/>
  <c r="DM913" i="43"/>
  <c r="DS911" i="43"/>
  <c r="DR912" i="43"/>
  <c r="DW893" i="43"/>
  <c r="DQ913" i="43" l="1"/>
  <c r="DG914" i="43"/>
  <c r="DU913" i="43"/>
  <c r="DT914" i="43"/>
  <c r="DN913" i="43"/>
  <c r="DM914" i="43"/>
  <c r="DW892" i="43"/>
  <c r="DS912" i="43"/>
  <c r="DR913" i="43"/>
  <c r="DQ914" i="43" l="1"/>
  <c r="DG915" i="43"/>
  <c r="DN914" i="43"/>
  <c r="DM915" i="43"/>
  <c r="DU914" i="43"/>
  <c r="DT915" i="43"/>
  <c r="DS913" i="43"/>
  <c r="DR914" i="43"/>
  <c r="DW891" i="43"/>
  <c r="DQ915" i="43" l="1"/>
  <c r="DG916" i="43"/>
  <c r="DN915" i="43"/>
  <c r="DM916" i="43"/>
  <c r="DU915" i="43"/>
  <c r="DT916" i="43"/>
  <c r="DW890" i="43"/>
  <c r="DS914" i="43"/>
  <c r="DR915" i="43"/>
  <c r="DQ916" i="43" l="1"/>
  <c r="DG917" i="43"/>
  <c r="DU916" i="43"/>
  <c r="DT917" i="43"/>
  <c r="DN916" i="43"/>
  <c r="DM917" i="43"/>
  <c r="DS915" i="43"/>
  <c r="DR916" i="43"/>
  <c r="DW889" i="43"/>
  <c r="DQ917" i="43" l="1"/>
  <c r="DG918" i="43"/>
  <c r="DN917" i="43"/>
  <c r="DM918" i="43"/>
  <c r="DU917" i="43"/>
  <c r="DT918" i="43"/>
  <c r="DW888" i="43"/>
  <c r="DS916" i="43"/>
  <c r="DR917" i="43"/>
  <c r="DQ918" i="43" l="1"/>
  <c r="DG919" i="43"/>
  <c r="DU918" i="43"/>
  <c r="DT919" i="43"/>
  <c r="DN918" i="43"/>
  <c r="DM919" i="43"/>
  <c r="DS917" i="43"/>
  <c r="DR918" i="43"/>
  <c r="DW887" i="43"/>
  <c r="DG920" i="43" l="1"/>
  <c r="DQ919" i="43"/>
  <c r="DU919" i="43"/>
  <c r="DT920" i="43"/>
  <c r="DN919" i="43"/>
  <c r="DM920" i="43"/>
  <c r="DW886" i="43"/>
  <c r="DS918" i="43"/>
  <c r="DR919" i="43"/>
  <c r="DQ920" i="43" l="1"/>
  <c r="DG921" i="43"/>
  <c r="DN920" i="43"/>
  <c r="DM921" i="43"/>
  <c r="DU920" i="43"/>
  <c r="DT921" i="43"/>
  <c r="DS919" i="43"/>
  <c r="DR920" i="43"/>
  <c r="DW885" i="43"/>
  <c r="DQ921" i="43" l="1"/>
  <c r="DG922" i="43"/>
  <c r="DN921" i="43"/>
  <c r="DM922" i="43"/>
  <c r="DU921" i="43"/>
  <c r="DT922" i="43"/>
  <c r="DW884" i="43"/>
  <c r="DS920" i="43"/>
  <c r="DR921" i="43"/>
  <c r="DQ922" i="43" l="1"/>
  <c r="DG923" i="43"/>
  <c r="DU922" i="43"/>
  <c r="DT923" i="43"/>
  <c r="DN922" i="43"/>
  <c r="DM923" i="43"/>
  <c r="DS921" i="43"/>
  <c r="DR922" i="43"/>
  <c r="DW883" i="43"/>
  <c r="DQ923" i="43" l="1"/>
  <c r="DG924" i="43"/>
  <c r="DU923" i="43"/>
  <c r="DT924" i="43"/>
  <c r="DN923" i="43"/>
  <c r="DM924" i="43"/>
  <c r="DW882" i="43"/>
  <c r="DS922" i="43"/>
  <c r="DR923" i="43"/>
  <c r="DQ924" i="43" l="1"/>
  <c r="DG925" i="43"/>
  <c r="DN924" i="43"/>
  <c r="DM925" i="43"/>
  <c r="DU924" i="43"/>
  <c r="DT925" i="43"/>
  <c r="DS923" i="43"/>
  <c r="DR924" i="43"/>
  <c r="DW881" i="43"/>
  <c r="DG926" i="43" l="1"/>
  <c r="DQ925" i="43"/>
  <c r="DU925" i="43"/>
  <c r="DT926" i="43"/>
  <c r="DN925" i="43"/>
  <c r="DM926" i="43"/>
  <c r="DS924" i="43"/>
  <c r="DR925" i="43"/>
  <c r="DW880" i="43"/>
  <c r="DQ926" i="43" l="1"/>
  <c r="DG927" i="43"/>
  <c r="DN926" i="43"/>
  <c r="DM927" i="43"/>
  <c r="DU926" i="43"/>
  <c r="DT927" i="43"/>
  <c r="DS925" i="43"/>
  <c r="DR926" i="43"/>
  <c r="DW879" i="43"/>
  <c r="DQ927" i="43" l="1"/>
  <c r="DG928" i="43"/>
  <c r="DU927" i="43"/>
  <c r="DT928" i="43"/>
  <c r="DN927" i="43"/>
  <c r="DM928" i="43"/>
  <c r="DS926" i="43"/>
  <c r="DR927" i="43"/>
  <c r="DW878" i="43"/>
  <c r="DQ928" i="43" l="1"/>
  <c r="DG929" i="43"/>
  <c r="DN928" i="43"/>
  <c r="DM929" i="43"/>
  <c r="DU928" i="43"/>
  <c r="DT929" i="43"/>
  <c r="DS927" i="43"/>
  <c r="DR928" i="43"/>
  <c r="DW877" i="43"/>
  <c r="DQ929" i="43" l="1"/>
  <c r="DG930" i="43"/>
  <c r="DU929" i="43"/>
  <c r="DT930" i="43"/>
  <c r="DN929" i="43"/>
  <c r="DM930" i="43"/>
  <c r="DW876" i="43"/>
  <c r="DS928" i="43"/>
  <c r="DR929" i="43"/>
  <c r="DQ930" i="43" l="1"/>
  <c r="DG931" i="43"/>
  <c r="DN930" i="43"/>
  <c r="DM931" i="43"/>
  <c r="DU930" i="43"/>
  <c r="DT931" i="43"/>
  <c r="DS929" i="43"/>
  <c r="DR930" i="43"/>
  <c r="DW875" i="43"/>
  <c r="DG932" i="43" l="1"/>
  <c r="DQ931" i="43"/>
  <c r="DN931" i="43"/>
  <c r="DM932" i="43"/>
  <c r="DU931" i="43"/>
  <c r="DT932" i="43"/>
  <c r="DW874" i="43"/>
  <c r="DS930" i="43"/>
  <c r="DR931" i="43"/>
  <c r="DG933" i="43" l="1"/>
  <c r="DQ932" i="43"/>
  <c r="DN932" i="43"/>
  <c r="DM933" i="43"/>
  <c r="DU932" i="43"/>
  <c r="DT933" i="43"/>
  <c r="DS931" i="43"/>
  <c r="DR932" i="43"/>
  <c r="DW873" i="43"/>
  <c r="DQ933" i="43" l="1"/>
  <c r="DG934" i="43"/>
  <c r="DN933" i="43"/>
  <c r="DM934" i="43"/>
  <c r="DU933" i="43"/>
  <c r="DT934" i="43"/>
  <c r="DW872" i="43"/>
  <c r="DS932" i="43"/>
  <c r="DR933" i="43"/>
  <c r="DG935" i="43" l="1"/>
  <c r="DQ934" i="43"/>
  <c r="DU934" i="43"/>
  <c r="DT935" i="43"/>
  <c r="DN934" i="43"/>
  <c r="DM935" i="43"/>
  <c r="DS933" i="43"/>
  <c r="DR934" i="43"/>
  <c r="DW871" i="43"/>
  <c r="DQ935" i="43" l="1"/>
  <c r="DG936" i="43"/>
  <c r="DU935" i="43"/>
  <c r="DT936" i="43"/>
  <c r="DN935" i="43"/>
  <c r="DM936" i="43"/>
  <c r="DW870" i="43"/>
  <c r="DS934" i="43"/>
  <c r="DR935" i="43"/>
  <c r="DG937" i="43" l="1"/>
  <c r="DQ936" i="43"/>
  <c r="DN936" i="43"/>
  <c r="DM937" i="43"/>
  <c r="DU936" i="43"/>
  <c r="DT937" i="43"/>
  <c r="DS935" i="43"/>
  <c r="DR936" i="43"/>
  <c r="DW869" i="43"/>
  <c r="DQ937" i="43" l="1"/>
  <c r="DG938" i="43"/>
  <c r="DU937" i="43"/>
  <c r="DT938" i="43"/>
  <c r="DN937" i="43"/>
  <c r="DM938" i="43"/>
  <c r="DW868" i="43"/>
  <c r="DS936" i="43"/>
  <c r="DR937" i="43"/>
  <c r="DG939" i="43" l="1"/>
  <c r="DQ938" i="43"/>
  <c r="DU938" i="43"/>
  <c r="DT939" i="43"/>
  <c r="DN938" i="43"/>
  <c r="DM939" i="43"/>
  <c r="DS937" i="43"/>
  <c r="DR938" i="43"/>
  <c r="DW867" i="43"/>
  <c r="DQ939" i="43" l="1"/>
  <c r="DG940" i="43"/>
  <c r="DU939" i="43"/>
  <c r="DT940" i="43"/>
  <c r="DN939" i="43"/>
  <c r="DM940" i="43"/>
  <c r="DW866" i="43"/>
  <c r="DS938" i="43"/>
  <c r="DR939" i="43"/>
  <c r="DQ940" i="43" l="1"/>
  <c r="DG941" i="43"/>
  <c r="DN940" i="43"/>
  <c r="DM941" i="43"/>
  <c r="DU940" i="43"/>
  <c r="DT941" i="43"/>
  <c r="DS939" i="43"/>
  <c r="DR940" i="43"/>
  <c r="DW865" i="43"/>
  <c r="DG942" i="43" l="1"/>
  <c r="DQ941" i="43"/>
  <c r="DN941" i="43"/>
  <c r="DM942" i="43"/>
  <c r="DU941" i="43"/>
  <c r="DT942" i="43"/>
  <c r="DW864" i="43"/>
  <c r="DS940" i="43"/>
  <c r="DR941" i="43"/>
  <c r="DQ942" i="43" l="1"/>
  <c r="DG943" i="43"/>
  <c r="DU942" i="43"/>
  <c r="DT943" i="43"/>
  <c r="DN942" i="43"/>
  <c r="DM943" i="43"/>
  <c r="DS941" i="43"/>
  <c r="DR942" i="43"/>
  <c r="DW863" i="43"/>
  <c r="DQ943" i="43" l="1"/>
  <c r="DG944" i="43"/>
  <c r="DN943" i="43"/>
  <c r="DM944" i="43"/>
  <c r="DU943" i="43"/>
  <c r="DT944" i="43"/>
  <c r="DW862" i="43"/>
  <c r="DS942" i="43"/>
  <c r="DR943" i="43"/>
  <c r="DQ944" i="43" l="1"/>
  <c r="DG945" i="43"/>
  <c r="DN944" i="43"/>
  <c r="DM945" i="43"/>
  <c r="DU944" i="43"/>
  <c r="DT945" i="43"/>
  <c r="DS943" i="43"/>
  <c r="DR944" i="43"/>
  <c r="DW861" i="43"/>
  <c r="DQ945" i="43" l="1"/>
  <c r="DG946" i="43"/>
  <c r="DU945" i="43"/>
  <c r="DT946" i="43"/>
  <c r="DN945" i="43"/>
  <c r="DM946" i="43"/>
  <c r="DW860" i="43"/>
  <c r="DS944" i="43"/>
  <c r="DR945" i="43"/>
  <c r="DQ946" i="43" l="1"/>
  <c r="DG947" i="43"/>
  <c r="DN946" i="43"/>
  <c r="DM947" i="43"/>
  <c r="DU946" i="43"/>
  <c r="DT947" i="43"/>
  <c r="DS945" i="43"/>
  <c r="DR946" i="43"/>
  <c r="DW859" i="43"/>
  <c r="DG948" i="43" l="1"/>
  <c r="DQ947" i="43"/>
  <c r="DU947" i="43"/>
  <c r="DT948" i="43"/>
  <c r="DN947" i="43"/>
  <c r="DM948" i="43"/>
  <c r="DW858" i="43"/>
  <c r="DS946" i="43"/>
  <c r="DR947" i="43"/>
  <c r="DG949" i="43" l="1"/>
  <c r="DQ948" i="43"/>
  <c r="DN948" i="43"/>
  <c r="DM949" i="43"/>
  <c r="DU948" i="43"/>
  <c r="DT949" i="43"/>
  <c r="DS947" i="43"/>
  <c r="DR948" i="43"/>
  <c r="DW857" i="43"/>
  <c r="DQ949" i="43" l="1"/>
  <c r="DG950" i="43"/>
  <c r="DN949" i="43"/>
  <c r="DM950" i="43"/>
  <c r="DU949" i="43"/>
  <c r="DT950" i="43"/>
  <c r="DS948" i="43"/>
  <c r="DR949" i="43"/>
  <c r="DW856" i="43"/>
  <c r="DQ950" i="43" l="1"/>
  <c r="DG951" i="43"/>
  <c r="DU950" i="43"/>
  <c r="DT951" i="43"/>
  <c r="DN950" i="43"/>
  <c r="DM951" i="43"/>
  <c r="DW855" i="43"/>
  <c r="DS949" i="43"/>
  <c r="DR950" i="43"/>
  <c r="DG952" i="43" l="1"/>
  <c r="DQ951" i="43"/>
  <c r="DN951" i="43"/>
  <c r="DM952" i="43"/>
  <c r="DU951" i="43"/>
  <c r="DT952" i="43"/>
  <c r="DS950" i="43"/>
  <c r="DR951" i="43"/>
  <c r="DW854" i="43"/>
  <c r="DQ952" i="43" l="1"/>
  <c r="DG953" i="43"/>
  <c r="DU952" i="43"/>
  <c r="DT953" i="43"/>
  <c r="DN952" i="43"/>
  <c r="DM953" i="43"/>
  <c r="DS951" i="43"/>
  <c r="DR952" i="43"/>
  <c r="DW853" i="43"/>
  <c r="DQ953" i="43" l="1"/>
  <c r="DG954" i="43"/>
  <c r="DN953" i="43"/>
  <c r="DM954" i="43"/>
  <c r="DU953" i="43"/>
  <c r="DT954" i="43"/>
  <c r="DS952" i="43"/>
  <c r="DR953" i="43"/>
  <c r="DW852" i="43"/>
  <c r="DQ954" i="43" l="1"/>
  <c r="DG955" i="43"/>
  <c r="DU954" i="43"/>
  <c r="DT955" i="43"/>
  <c r="DN954" i="43"/>
  <c r="DM955" i="43"/>
  <c r="DW851" i="43"/>
  <c r="DS953" i="43"/>
  <c r="DR954" i="43"/>
  <c r="DQ955" i="43" l="1"/>
  <c r="DG956" i="43"/>
  <c r="DN955" i="43"/>
  <c r="DM956" i="43"/>
  <c r="DU955" i="43"/>
  <c r="DT956" i="43"/>
  <c r="DS954" i="43"/>
  <c r="DR955" i="43"/>
  <c r="DW850" i="43"/>
  <c r="DQ956" i="43" l="1"/>
  <c r="DG957" i="43"/>
  <c r="DU956" i="43"/>
  <c r="DT957" i="43"/>
  <c r="DN956" i="43"/>
  <c r="DM957" i="43"/>
  <c r="DS955" i="43"/>
  <c r="DR956" i="43"/>
  <c r="DW849" i="43"/>
  <c r="DG958" i="43" l="1"/>
  <c r="DQ957" i="43"/>
  <c r="DN957" i="43"/>
  <c r="DM958" i="43"/>
  <c r="DU957" i="43"/>
  <c r="DT958" i="43"/>
  <c r="DW848" i="43"/>
  <c r="DS956" i="43"/>
  <c r="DR957" i="43"/>
  <c r="DQ958" i="43" l="1"/>
  <c r="DG959" i="43"/>
  <c r="DN958" i="43"/>
  <c r="DM959" i="43"/>
  <c r="DU958" i="43"/>
  <c r="DT959" i="43"/>
  <c r="DS957" i="43"/>
  <c r="DR958" i="43"/>
  <c r="DW847" i="43"/>
  <c r="DQ959" i="43" l="1"/>
  <c r="DG960" i="43"/>
  <c r="DU959" i="43"/>
  <c r="DT960" i="43"/>
  <c r="DN959" i="43"/>
  <c r="DM960" i="43"/>
  <c r="DW846" i="43"/>
  <c r="DS958" i="43"/>
  <c r="DR959" i="43"/>
  <c r="DG961" i="43" l="1"/>
  <c r="DQ960" i="43"/>
  <c r="DN960" i="43"/>
  <c r="DM961" i="43"/>
  <c r="DU960" i="43"/>
  <c r="DT961" i="43"/>
  <c r="DS959" i="43"/>
  <c r="DR960" i="43"/>
  <c r="DW845" i="43"/>
  <c r="DQ961" i="43" l="1"/>
  <c r="DG962" i="43"/>
  <c r="DN961" i="43"/>
  <c r="DM962" i="43"/>
  <c r="DU961" i="43"/>
  <c r="DT962" i="43"/>
  <c r="DW844" i="43"/>
  <c r="DS960" i="43"/>
  <c r="DR961" i="43"/>
  <c r="DG963" i="43" l="1"/>
  <c r="DQ962" i="43"/>
  <c r="DU962" i="43"/>
  <c r="DT963" i="43"/>
  <c r="DN962" i="43"/>
  <c r="DM963" i="43"/>
  <c r="DS961" i="43"/>
  <c r="DR962" i="43"/>
  <c r="DW843" i="43"/>
  <c r="DG964" i="43" l="1"/>
  <c r="DQ963" i="43"/>
  <c r="DN963" i="43"/>
  <c r="DM964" i="43"/>
  <c r="DU963" i="43"/>
  <c r="DT964" i="43"/>
  <c r="DW842" i="43"/>
  <c r="DS962" i="43"/>
  <c r="DR963" i="43"/>
  <c r="DQ964" i="43" l="1"/>
  <c r="DG965" i="43"/>
  <c r="DN964" i="43"/>
  <c r="DM965" i="43"/>
  <c r="DU964" i="43"/>
  <c r="DT965" i="43"/>
  <c r="DS963" i="43"/>
  <c r="DR964" i="43"/>
  <c r="DW841" i="43"/>
  <c r="DG966" i="43" l="1"/>
  <c r="DQ965" i="43"/>
  <c r="DN965" i="43"/>
  <c r="DM966" i="43"/>
  <c r="DU965" i="43"/>
  <c r="DT966" i="43"/>
  <c r="DS964" i="43"/>
  <c r="DR965" i="43"/>
  <c r="DW840" i="43"/>
  <c r="DG967" i="43" l="1"/>
  <c r="DQ966" i="43"/>
  <c r="DU966" i="43"/>
  <c r="DT967" i="43"/>
  <c r="DN966" i="43"/>
  <c r="DM967" i="43"/>
  <c r="DW839" i="43"/>
  <c r="DS965" i="43"/>
  <c r="DR966" i="43"/>
  <c r="DQ967" i="43" l="1"/>
  <c r="DG968" i="43"/>
  <c r="DN967" i="43"/>
  <c r="DM968" i="43"/>
  <c r="DU967" i="43"/>
  <c r="DT968" i="43"/>
  <c r="DS966" i="43"/>
  <c r="DR967" i="43"/>
  <c r="DW838" i="43"/>
  <c r="DQ968" i="43" l="1"/>
  <c r="DG969" i="43"/>
  <c r="DU968" i="43"/>
  <c r="DT969" i="43"/>
  <c r="DN968" i="43"/>
  <c r="DM969" i="43"/>
  <c r="DS967" i="43"/>
  <c r="DR968" i="43"/>
  <c r="DW837" i="43"/>
  <c r="DQ969" i="43" l="1"/>
  <c r="DG970" i="43"/>
  <c r="DN969" i="43"/>
  <c r="DM970" i="43"/>
  <c r="DU969" i="43"/>
  <c r="DT970" i="43"/>
  <c r="DW836" i="43"/>
  <c r="DS968" i="43"/>
  <c r="DR969" i="43"/>
  <c r="DG971" i="43" l="1"/>
  <c r="DQ970" i="43"/>
  <c r="DU970" i="43"/>
  <c r="DT971" i="43"/>
  <c r="DN970" i="43"/>
  <c r="DM971" i="43"/>
  <c r="DS969" i="43"/>
  <c r="DR970" i="43"/>
  <c r="DW835" i="43"/>
  <c r="DQ971" i="43" l="1"/>
  <c r="DG972" i="43"/>
  <c r="DN971" i="43"/>
  <c r="DM972" i="43"/>
  <c r="DU971" i="43"/>
  <c r="DT972" i="43"/>
  <c r="DW834" i="43"/>
  <c r="DS970" i="43"/>
  <c r="DR971" i="43"/>
  <c r="DQ972" i="43" l="1"/>
  <c r="DG973" i="43"/>
  <c r="DU972" i="43"/>
  <c r="DT973" i="43"/>
  <c r="DN972" i="43"/>
  <c r="DM973" i="43"/>
  <c r="DS971" i="43"/>
  <c r="DR972" i="43"/>
  <c r="DW833" i="43"/>
  <c r="DG974" i="43" l="1"/>
  <c r="DQ973" i="43"/>
  <c r="DU973" i="43"/>
  <c r="DT974" i="43"/>
  <c r="DN973" i="43"/>
  <c r="DM974" i="43"/>
  <c r="DW832" i="43"/>
  <c r="DS972" i="43"/>
  <c r="DR973" i="43"/>
  <c r="DG975" i="43" l="1"/>
  <c r="DQ974" i="43"/>
  <c r="DU974" i="43"/>
  <c r="DT975" i="43"/>
  <c r="DN974" i="43"/>
  <c r="DM975" i="43"/>
  <c r="DS973" i="43"/>
  <c r="DR974" i="43"/>
  <c r="DW831" i="43"/>
  <c r="DQ975" i="43" l="1"/>
  <c r="DG976" i="43"/>
  <c r="DN975" i="43"/>
  <c r="DM976" i="43"/>
  <c r="DU975" i="43"/>
  <c r="DT976" i="43"/>
  <c r="DW830" i="43"/>
  <c r="DS974" i="43"/>
  <c r="DR975" i="43"/>
  <c r="DQ976" i="43" l="1"/>
  <c r="DG977" i="43"/>
  <c r="DN976" i="43"/>
  <c r="DM977" i="43"/>
  <c r="DU976" i="43"/>
  <c r="DT977" i="43"/>
  <c r="DS975" i="43"/>
  <c r="DR976" i="43"/>
  <c r="DW829" i="43"/>
  <c r="DQ977" i="43" l="1"/>
  <c r="DG978" i="43"/>
  <c r="DN977" i="43"/>
  <c r="DM978" i="43"/>
  <c r="DU977" i="43"/>
  <c r="DT978" i="43"/>
  <c r="DW828" i="43"/>
  <c r="DS976" i="43"/>
  <c r="DR977" i="43"/>
  <c r="DQ978" i="43" l="1"/>
  <c r="DG979" i="43"/>
  <c r="DU978" i="43"/>
  <c r="DT979" i="43"/>
  <c r="DN978" i="43"/>
  <c r="DM979" i="43"/>
  <c r="DS977" i="43"/>
  <c r="DR978" i="43"/>
  <c r="DW827" i="43"/>
  <c r="DQ979" i="43" l="1"/>
  <c r="DG980" i="43"/>
  <c r="DN979" i="43"/>
  <c r="DM980" i="43"/>
  <c r="DU979" i="43"/>
  <c r="DT980" i="43"/>
  <c r="DW826" i="43"/>
  <c r="DS978" i="43"/>
  <c r="DR979" i="43"/>
  <c r="DQ980" i="43" l="1"/>
  <c r="DG981" i="43"/>
  <c r="DU980" i="43"/>
  <c r="DT981" i="43"/>
  <c r="DN980" i="43"/>
  <c r="DM981" i="43"/>
  <c r="DS979" i="43"/>
  <c r="DR980" i="43"/>
  <c r="DW825" i="43"/>
  <c r="DG982" i="43" l="1"/>
  <c r="DQ981" i="43"/>
  <c r="DN981" i="43"/>
  <c r="DM982" i="43"/>
  <c r="DU981" i="43"/>
  <c r="DT982" i="43"/>
  <c r="DW824" i="43"/>
  <c r="DS980" i="43"/>
  <c r="DR981" i="43"/>
  <c r="DG983" i="43" l="1"/>
  <c r="DQ982" i="43"/>
  <c r="DU982" i="43"/>
  <c r="DT983" i="43"/>
  <c r="DN982" i="43"/>
  <c r="DM983" i="43"/>
  <c r="DS981" i="43"/>
  <c r="DR982" i="43"/>
  <c r="DW823" i="43"/>
  <c r="DG984" i="43" l="1"/>
  <c r="DQ983" i="43"/>
  <c r="DN983" i="43"/>
  <c r="DM984" i="43"/>
  <c r="DU983" i="43"/>
  <c r="DT984" i="43"/>
  <c r="DW822" i="43"/>
  <c r="DS982" i="43"/>
  <c r="DR983" i="43"/>
  <c r="DQ984" i="43" l="1"/>
  <c r="DG985" i="43"/>
  <c r="DN984" i="43"/>
  <c r="DM985" i="43"/>
  <c r="DU984" i="43"/>
  <c r="DT985" i="43"/>
  <c r="DS983" i="43"/>
  <c r="DR984" i="43"/>
  <c r="DW821" i="43"/>
  <c r="DG986" i="43" l="1"/>
  <c r="DQ985" i="43"/>
  <c r="DU985" i="43"/>
  <c r="DT986" i="43"/>
  <c r="DN985" i="43"/>
  <c r="DM986" i="43"/>
  <c r="DW820" i="43"/>
  <c r="DS984" i="43"/>
  <c r="DR985" i="43"/>
  <c r="DQ986" i="43" l="1"/>
  <c r="DG987" i="43"/>
  <c r="DN986" i="43"/>
  <c r="DM987" i="43"/>
  <c r="DU986" i="43"/>
  <c r="DT987" i="43"/>
  <c r="DS985" i="43"/>
  <c r="DR986" i="43"/>
  <c r="DW819" i="43"/>
  <c r="DG988" i="43" l="1"/>
  <c r="DQ987" i="43"/>
  <c r="DN987" i="43"/>
  <c r="DM988" i="43"/>
  <c r="DU987" i="43"/>
  <c r="DT988" i="43"/>
  <c r="DW818" i="43"/>
  <c r="DS986" i="43"/>
  <c r="DR987" i="43"/>
  <c r="DG989" i="43" l="1"/>
  <c r="DQ988" i="43"/>
  <c r="DU988" i="43"/>
  <c r="DT989" i="43"/>
  <c r="DN988" i="43"/>
  <c r="DM989" i="43"/>
  <c r="DS987" i="43"/>
  <c r="DR988" i="43"/>
  <c r="DW817" i="43"/>
  <c r="DQ989" i="43" l="1"/>
  <c r="DG990" i="43"/>
  <c r="DU989" i="43"/>
  <c r="DT990" i="43"/>
  <c r="DN989" i="43"/>
  <c r="DM990" i="43"/>
  <c r="DS988" i="43"/>
  <c r="DR989" i="43"/>
  <c r="DW816" i="43"/>
  <c r="DQ990" i="43" l="1"/>
  <c r="DG991" i="43"/>
  <c r="DN990" i="43"/>
  <c r="DM991" i="43"/>
  <c r="DU990" i="43"/>
  <c r="DT991" i="43"/>
  <c r="DW815" i="43"/>
  <c r="DS989" i="43"/>
  <c r="DR990" i="43"/>
  <c r="DQ991" i="43" l="1"/>
  <c r="DG992" i="43"/>
  <c r="DU991" i="43"/>
  <c r="DT992" i="43"/>
  <c r="DN991" i="43"/>
  <c r="DM992" i="43"/>
  <c r="DS990" i="43"/>
  <c r="DR991" i="43"/>
  <c r="DW814" i="43"/>
  <c r="DG993" i="43" l="1"/>
  <c r="DQ992" i="43"/>
  <c r="DN992" i="43"/>
  <c r="DM993" i="43"/>
  <c r="DU992" i="43"/>
  <c r="DT993" i="43"/>
  <c r="DW813" i="43"/>
  <c r="DS991" i="43"/>
  <c r="DR992" i="43"/>
  <c r="DG994" i="43" l="1"/>
  <c r="DQ993" i="43"/>
  <c r="DU993" i="43"/>
  <c r="DT994" i="43"/>
  <c r="DN993" i="43"/>
  <c r="DM994" i="43"/>
  <c r="DS992" i="43"/>
  <c r="DR993" i="43"/>
  <c r="DW812" i="43"/>
  <c r="DQ994" i="43" l="1"/>
  <c r="DG995" i="43"/>
  <c r="DN994" i="43"/>
  <c r="DM995" i="43"/>
  <c r="DU994" i="43"/>
  <c r="DT995" i="43"/>
  <c r="DW811" i="43"/>
  <c r="DS993" i="43"/>
  <c r="DR994" i="43"/>
  <c r="DQ995" i="43" l="1"/>
  <c r="DG996" i="43"/>
  <c r="DN995" i="43"/>
  <c r="DM996" i="43"/>
  <c r="DU995" i="43"/>
  <c r="DT996" i="43"/>
  <c r="DS994" i="43"/>
  <c r="DR995" i="43"/>
  <c r="DW810" i="43"/>
  <c r="DQ996" i="43" l="1"/>
  <c r="DG997" i="43"/>
  <c r="DN996" i="43"/>
  <c r="DM997" i="43"/>
  <c r="DU996" i="43"/>
  <c r="DT997" i="43"/>
  <c r="DW809" i="43"/>
  <c r="DS995" i="43"/>
  <c r="DR996" i="43"/>
  <c r="DQ997" i="43" l="1"/>
  <c r="DG998" i="43"/>
  <c r="DU997" i="43"/>
  <c r="DT998" i="43"/>
  <c r="DN997" i="43"/>
  <c r="DM998" i="43"/>
  <c r="DS996" i="43"/>
  <c r="DR997" i="43"/>
  <c r="DW808" i="43"/>
  <c r="DG999" i="43" l="1"/>
  <c r="DQ998" i="43"/>
  <c r="DU998" i="43"/>
  <c r="DT999" i="43"/>
  <c r="DN998" i="43"/>
  <c r="DM999" i="43"/>
  <c r="DS997" i="43"/>
  <c r="DR998" i="43"/>
  <c r="DW807" i="43"/>
  <c r="DG1000" i="43" l="1"/>
  <c r="DQ999" i="43"/>
  <c r="DU999" i="43"/>
  <c r="DT1000" i="43"/>
  <c r="DN999" i="43"/>
  <c r="DM1000" i="43"/>
  <c r="DS998" i="43"/>
  <c r="DR999" i="43"/>
  <c r="DW806" i="43"/>
  <c r="DQ1000" i="43" l="1"/>
  <c r="DG1001" i="43"/>
  <c r="DN1000" i="43"/>
  <c r="DM1001" i="43"/>
  <c r="DU1000" i="43"/>
  <c r="DT1001" i="43"/>
  <c r="DS999" i="43"/>
  <c r="DR1000" i="43"/>
  <c r="DW805" i="43"/>
  <c r="DQ1001" i="43" l="1"/>
  <c r="DG1002" i="43"/>
  <c r="DU1001" i="43"/>
  <c r="DT1002" i="43"/>
  <c r="DN1001" i="43"/>
  <c r="DM1002" i="43"/>
  <c r="DS1000" i="43"/>
  <c r="DR1001" i="43"/>
  <c r="DW804" i="43"/>
  <c r="DQ1002" i="43" l="1"/>
  <c r="DG1003" i="43"/>
  <c r="DN1002" i="43"/>
  <c r="DM1003" i="43"/>
  <c r="DU1002" i="43"/>
  <c r="DT1003" i="43"/>
  <c r="DS1001" i="43"/>
  <c r="DR1002" i="43"/>
  <c r="DW803" i="43"/>
  <c r="DQ1003" i="43" l="1"/>
  <c r="DG1004" i="43"/>
  <c r="DN1003" i="43"/>
  <c r="DM1004" i="43"/>
  <c r="DU1003" i="43"/>
  <c r="DT1004" i="43"/>
  <c r="DS1002" i="43"/>
  <c r="DR1003" i="43"/>
  <c r="DW802" i="43"/>
  <c r="DQ1004" i="43" l="1"/>
  <c r="DG1005" i="43"/>
  <c r="DU1004" i="43"/>
  <c r="DT1005" i="43"/>
  <c r="DN1004" i="43"/>
  <c r="DM1005" i="43"/>
  <c r="DS1003" i="43"/>
  <c r="DR1004" i="43"/>
  <c r="DW801" i="43"/>
  <c r="DQ1005" i="43" l="1"/>
  <c r="DG1006" i="43"/>
  <c r="DU1005" i="43"/>
  <c r="DT1006" i="43"/>
  <c r="DN1005" i="43"/>
  <c r="DM1006" i="43"/>
  <c r="DS1004" i="43"/>
  <c r="DR1005" i="43"/>
  <c r="DW800" i="43"/>
  <c r="DG1007" i="43" l="1"/>
  <c r="DQ1006" i="43"/>
  <c r="DN1006" i="43"/>
  <c r="DM1007" i="43"/>
  <c r="DU1006" i="43"/>
  <c r="DT1007" i="43"/>
  <c r="DS1005" i="43"/>
  <c r="DR1006" i="43"/>
  <c r="DW799" i="43"/>
  <c r="DQ1007" i="43" l="1"/>
  <c r="DG1008" i="43"/>
  <c r="DU1007" i="43"/>
  <c r="DT1008" i="43"/>
  <c r="DN1007" i="43"/>
  <c r="DM1008" i="43"/>
  <c r="DS1006" i="43"/>
  <c r="DR1007" i="43"/>
  <c r="DW798" i="43"/>
  <c r="DG1009" i="43" l="1"/>
  <c r="DQ1008" i="43"/>
  <c r="DN1008" i="43"/>
  <c r="DM1009" i="43"/>
  <c r="DU1008" i="43"/>
  <c r="DT1009" i="43"/>
  <c r="DS1007" i="43"/>
  <c r="DR1008" i="43"/>
  <c r="DW797" i="43"/>
  <c r="DG1010" i="43" l="1"/>
  <c r="DQ1009" i="43"/>
  <c r="DU1009" i="43"/>
  <c r="DT1010" i="43"/>
  <c r="DN1009" i="43"/>
  <c r="DM1010" i="43"/>
  <c r="DW796" i="43"/>
  <c r="DS1008" i="43"/>
  <c r="DR1009" i="43"/>
  <c r="DQ1010" i="43" l="1"/>
  <c r="DG1011" i="43"/>
  <c r="DN1010" i="43"/>
  <c r="DM1011" i="43"/>
  <c r="DU1010" i="43"/>
  <c r="DT1011" i="43"/>
  <c r="DS1009" i="43"/>
  <c r="DR1010" i="43"/>
  <c r="DW795" i="43"/>
  <c r="DQ1011" i="43" l="1"/>
  <c r="DG1012" i="43"/>
  <c r="DU1011" i="43"/>
  <c r="DT1012" i="43"/>
  <c r="DN1011" i="43"/>
  <c r="DM1012" i="43"/>
  <c r="DS1010" i="43"/>
  <c r="DR1011" i="43"/>
  <c r="DW794" i="43"/>
  <c r="DQ1012" i="43" l="1"/>
  <c r="DG1013" i="43"/>
  <c r="DN1012" i="43"/>
  <c r="DM1013" i="43"/>
  <c r="DU1012" i="43"/>
  <c r="DT1013" i="43"/>
  <c r="DW793" i="43"/>
  <c r="DS1011" i="43"/>
  <c r="DR1012" i="43"/>
  <c r="DQ1013" i="43" l="1"/>
  <c r="DG1014" i="43"/>
  <c r="DU1013" i="43"/>
  <c r="DT1014" i="43"/>
  <c r="DN1013" i="43"/>
  <c r="DM1014" i="43"/>
  <c r="DS1012" i="43"/>
  <c r="DR1013" i="43"/>
  <c r="DW792" i="43"/>
  <c r="DQ1014" i="43" l="1"/>
  <c r="DG1015" i="43"/>
  <c r="DN1014" i="43"/>
  <c r="DM1015" i="43"/>
  <c r="DU1014" i="43"/>
  <c r="DT1015" i="43"/>
  <c r="DS1013" i="43"/>
  <c r="DR1014" i="43"/>
  <c r="DW791" i="43"/>
  <c r="DQ1015" i="43" l="1"/>
  <c r="DG1016" i="43"/>
  <c r="DU1015" i="43"/>
  <c r="DT1016" i="43"/>
  <c r="DN1015" i="43"/>
  <c r="DM1016" i="43"/>
  <c r="DW790" i="43"/>
  <c r="DS1014" i="43"/>
  <c r="DR1015" i="43"/>
  <c r="DQ1016" i="43" l="1"/>
  <c r="DG1017" i="43"/>
  <c r="DU1016" i="43"/>
  <c r="DT1017" i="43"/>
  <c r="DN1016" i="43"/>
  <c r="DM1017" i="43"/>
  <c r="DS1015" i="43"/>
  <c r="DR1016" i="43"/>
  <c r="DW789" i="43"/>
  <c r="DQ1017" i="43" l="1"/>
  <c r="DG1018" i="43"/>
  <c r="DU1017" i="43"/>
  <c r="DT1018" i="43"/>
  <c r="DN1017" i="43"/>
  <c r="DM1018" i="43"/>
  <c r="DS1016" i="43"/>
  <c r="DR1017" i="43"/>
  <c r="DW788" i="43"/>
  <c r="DQ1018" i="43" l="1"/>
  <c r="DG1019" i="43"/>
  <c r="DU1018" i="43"/>
  <c r="DT1019" i="43"/>
  <c r="DN1018" i="43"/>
  <c r="DM1019" i="43"/>
  <c r="DS1017" i="43"/>
  <c r="DR1018" i="43"/>
  <c r="DW787" i="43"/>
  <c r="DG1020" i="43" l="1"/>
  <c r="DQ1019" i="43"/>
  <c r="DU1019" i="43"/>
  <c r="DT1020" i="43"/>
  <c r="DN1019" i="43"/>
  <c r="DM1020" i="43"/>
  <c r="DS1018" i="43"/>
  <c r="DR1019" i="43"/>
  <c r="DW786" i="43"/>
  <c r="DG1021" i="43" l="1"/>
  <c r="DQ1020" i="43"/>
  <c r="DU1020" i="43"/>
  <c r="DT1021" i="43"/>
  <c r="DN1020" i="43"/>
  <c r="DM1021" i="43"/>
  <c r="DS1019" i="43"/>
  <c r="DR1020" i="43"/>
  <c r="DW785" i="43"/>
  <c r="DG1022" i="43" l="1"/>
  <c r="DQ1021" i="43"/>
  <c r="DN1021" i="43"/>
  <c r="DM1022" i="43"/>
  <c r="DU1021" i="43"/>
  <c r="DT1022" i="43"/>
  <c r="DS1020" i="43"/>
  <c r="DR1021" i="43"/>
  <c r="DW784" i="43"/>
  <c r="DG1023" i="43" l="1"/>
  <c r="DQ1022" i="43"/>
  <c r="DU1022" i="43"/>
  <c r="DT1023" i="43"/>
  <c r="DN1022" i="43"/>
  <c r="DM1023" i="43"/>
  <c r="DS1021" i="43"/>
  <c r="DR1022" i="43"/>
  <c r="DW783" i="43"/>
  <c r="DQ1023" i="43" l="1"/>
  <c r="DG1024" i="43"/>
  <c r="DU1023" i="43"/>
  <c r="DT1024" i="43"/>
  <c r="DN1023" i="43"/>
  <c r="DM1024" i="43"/>
  <c r="DS1022" i="43"/>
  <c r="DR1023" i="43"/>
  <c r="DW782" i="43"/>
  <c r="DQ1024" i="43" l="1"/>
  <c r="DG1025" i="43"/>
  <c r="DN1024" i="43"/>
  <c r="DM1025" i="43"/>
  <c r="DU1024" i="43"/>
  <c r="DT1025" i="43"/>
  <c r="DS1023" i="43"/>
  <c r="DR1024" i="43"/>
  <c r="DW781" i="43"/>
  <c r="DG1026" i="43" l="1"/>
  <c r="DQ1025" i="43"/>
  <c r="DU1025" i="43"/>
  <c r="DT1026" i="43"/>
  <c r="DN1025" i="43"/>
  <c r="DM1026" i="43"/>
  <c r="DS1024" i="43"/>
  <c r="DR1025" i="43"/>
  <c r="DW780" i="43"/>
  <c r="DQ1026" i="43" l="1"/>
  <c r="DG1027" i="43"/>
  <c r="DU1026" i="43"/>
  <c r="DT1027" i="43"/>
  <c r="DN1026" i="43"/>
  <c r="DM1027" i="43"/>
  <c r="DW779" i="43"/>
  <c r="DS1025" i="43"/>
  <c r="DR1026" i="43"/>
  <c r="DG1028" i="43" l="1"/>
  <c r="DQ1027" i="43"/>
  <c r="DN1027" i="43"/>
  <c r="DM1028" i="43"/>
  <c r="DU1027" i="43"/>
  <c r="DT1028" i="43"/>
  <c r="DS1026" i="43"/>
  <c r="DR1027" i="43"/>
  <c r="DW778" i="43"/>
  <c r="DG1029" i="43" l="1"/>
  <c r="DQ1028" i="43"/>
  <c r="DU1028" i="43"/>
  <c r="DT1029" i="43"/>
  <c r="DN1028" i="43"/>
  <c r="DM1029" i="43"/>
  <c r="DS1027" i="43"/>
  <c r="DR1028" i="43"/>
  <c r="DW777" i="43"/>
  <c r="DG1030" i="43" l="1"/>
  <c r="DQ1029" i="43"/>
  <c r="DN1029" i="43"/>
  <c r="DM1030" i="43"/>
  <c r="DU1029" i="43"/>
  <c r="DT1030" i="43"/>
  <c r="DW776" i="43"/>
  <c r="DS1028" i="43"/>
  <c r="DR1029" i="43"/>
  <c r="DG1031" i="43" l="1"/>
  <c r="DQ1030" i="43"/>
  <c r="DN1030" i="43"/>
  <c r="DM1031" i="43"/>
  <c r="DU1030" i="43"/>
  <c r="DT1031" i="43"/>
  <c r="DS1029" i="43"/>
  <c r="DR1030" i="43"/>
  <c r="DW775" i="43"/>
  <c r="DQ1031" i="43" l="1"/>
  <c r="DG1032" i="43"/>
  <c r="DU1031" i="43"/>
  <c r="DT1032" i="43"/>
  <c r="DN1031" i="43"/>
  <c r="DM1032" i="43"/>
  <c r="DS1030" i="43"/>
  <c r="DR1031" i="43"/>
  <c r="DW774" i="43"/>
  <c r="DG1033" i="43" l="1"/>
  <c r="DQ1032" i="43"/>
  <c r="DU1032" i="43"/>
  <c r="DT1033" i="43"/>
  <c r="DN1032" i="43"/>
  <c r="DM1033" i="43"/>
  <c r="DS1031" i="43"/>
  <c r="DR1032" i="43"/>
  <c r="DW773" i="43"/>
  <c r="DG1034" i="43" l="1"/>
  <c r="DQ1033" i="43"/>
  <c r="DN1033" i="43"/>
  <c r="DM1034" i="43"/>
  <c r="DU1033" i="43"/>
  <c r="DT1034" i="43"/>
  <c r="DW772" i="43"/>
  <c r="DS1032" i="43"/>
  <c r="DR1033" i="43"/>
  <c r="DQ1034" i="43" l="1"/>
  <c r="DG1035" i="43"/>
  <c r="DN1034" i="43"/>
  <c r="DM1035" i="43"/>
  <c r="DU1034" i="43"/>
  <c r="DT1035" i="43"/>
  <c r="DS1033" i="43"/>
  <c r="DR1034" i="43"/>
  <c r="DW771" i="43"/>
  <c r="DG1036" i="43" l="1"/>
  <c r="DQ1035" i="43"/>
  <c r="DU1035" i="43"/>
  <c r="DT1036" i="43"/>
  <c r="DN1035" i="43"/>
  <c r="DM1036" i="43"/>
  <c r="DW770" i="43"/>
  <c r="DS1034" i="43"/>
  <c r="DR1035" i="43"/>
  <c r="DG1037" i="43" l="1"/>
  <c r="DQ1036" i="43"/>
  <c r="DU1036" i="43"/>
  <c r="DT1037" i="43"/>
  <c r="DN1036" i="43"/>
  <c r="DM1037" i="43"/>
  <c r="DS1035" i="43"/>
  <c r="DR1036" i="43"/>
  <c r="DW769" i="43"/>
  <c r="DQ1037" i="43" l="1"/>
  <c r="DG1038" i="43"/>
  <c r="DU1037" i="43"/>
  <c r="DT1038" i="43"/>
  <c r="DN1037" i="43"/>
  <c r="DM1038" i="43"/>
  <c r="DW768" i="43"/>
  <c r="DS1036" i="43"/>
  <c r="DR1037" i="43"/>
  <c r="DQ1038" i="43" l="1"/>
  <c r="DG1039" i="43"/>
  <c r="DN1038" i="43"/>
  <c r="DM1039" i="43"/>
  <c r="DU1038" i="43"/>
  <c r="DT1039" i="43"/>
  <c r="DS1037" i="43"/>
  <c r="DR1038" i="43"/>
  <c r="DW767" i="43"/>
  <c r="DQ1039" i="43" l="1"/>
  <c r="DG1040" i="43"/>
  <c r="DN1039" i="43"/>
  <c r="DM1040" i="43"/>
  <c r="DU1039" i="43"/>
  <c r="DT1040" i="43"/>
  <c r="DS1038" i="43"/>
  <c r="DR1039" i="43"/>
  <c r="DW766" i="43"/>
  <c r="DG1041" i="43" l="1"/>
  <c r="DQ1040" i="43"/>
  <c r="DN1040" i="43"/>
  <c r="DM1041" i="43"/>
  <c r="DU1040" i="43"/>
  <c r="DT1041" i="43"/>
  <c r="DS1039" i="43"/>
  <c r="DR1040" i="43"/>
  <c r="DW765" i="43"/>
  <c r="DG1042" i="43" l="1"/>
  <c r="DQ1041" i="43"/>
  <c r="DU1041" i="43"/>
  <c r="DT1042" i="43"/>
  <c r="DN1041" i="43"/>
  <c r="DM1042" i="43"/>
  <c r="DS1040" i="43"/>
  <c r="DR1041" i="43"/>
  <c r="DW764" i="43"/>
  <c r="DQ1042" i="43" l="1"/>
  <c r="DG1043" i="43"/>
  <c r="DN1042" i="43"/>
  <c r="DM1043" i="43"/>
  <c r="DU1042" i="43"/>
  <c r="DT1043" i="43"/>
  <c r="DW763" i="43"/>
  <c r="DS1041" i="43"/>
  <c r="DR1042" i="43"/>
  <c r="DQ1043" i="43" l="1"/>
  <c r="DG1044" i="43"/>
  <c r="DU1043" i="43"/>
  <c r="DT1044" i="43"/>
  <c r="DN1043" i="43"/>
  <c r="DM1044" i="43"/>
  <c r="DS1042" i="43"/>
  <c r="DR1043" i="43"/>
  <c r="DW762" i="43"/>
  <c r="DQ1044" i="43" l="1"/>
  <c r="DG1045" i="43"/>
  <c r="DU1044" i="43"/>
  <c r="DT1045" i="43"/>
  <c r="DN1044" i="43"/>
  <c r="DM1045" i="43"/>
  <c r="DS1043" i="43"/>
  <c r="DR1044" i="43"/>
  <c r="DW761" i="43"/>
  <c r="DG1046" i="43" l="1"/>
  <c r="DQ1045" i="43"/>
  <c r="DN1045" i="43"/>
  <c r="DM1046" i="43"/>
  <c r="DU1045" i="43"/>
  <c r="DT1046" i="43"/>
  <c r="DW760" i="43"/>
  <c r="DS1044" i="43"/>
  <c r="DR1045" i="43"/>
  <c r="DG1047" i="43" l="1"/>
  <c r="DQ1046" i="43"/>
  <c r="DN1046" i="43"/>
  <c r="DM1047" i="43"/>
  <c r="DU1046" i="43"/>
  <c r="DT1047" i="43"/>
  <c r="DS1045" i="43"/>
  <c r="DR1046" i="43"/>
  <c r="DW759" i="43"/>
  <c r="DG1048" i="43" l="1"/>
  <c r="DQ1047" i="43"/>
  <c r="DU1047" i="43"/>
  <c r="DT1048" i="43"/>
  <c r="DN1047" i="43"/>
  <c r="DM1048" i="43"/>
  <c r="DW758" i="43"/>
  <c r="DS1046" i="43"/>
  <c r="DR1047" i="43"/>
  <c r="DQ1048" i="43" l="1"/>
  <c r="DG1049" i="43"/>
  <c r="DN1048" i="43"/>
  <c r="DM1049" i="43"/>
  <c r="DU1048" i="43"/>
  <c r="DT1049" i="43"/>
  <c r="DS1047" i="43"/>
  <c r="DR1048" i="43"/>
  <c r="DW757" i="43"/>
  <c r="DG1050" i="43" l="1"/>
  <c r="DQ1049" i="43"/>
  <c r="DN1049" i="43"/>
  <c r="DM1050" i="43"/>
  <c r="DU1049" i="43"/>
  <c r="DT1050" i="43"/>
  <c r="DS1048" i="43"/>
  <c r="DR1049" i="43"/>
  <c r="DW756" i="43"/>
  <c r="DG1051" i="43" l="1"/>
  <c r="DQ1050" i="43"/>
  <c r="DU1050" i="43"/>
  <c r="DT1051" i="43"/>
  <c r="DN1050" i="43"/>
  <c r="DM1051" i="43"/>
  <c r="DW755" i="43"/>
  <c r="DS1049" i="43"/>
  <c r="DR1050" i="43"/>
  <c r="DG1052" i="43" l="1"/>
  <c r="DQ1051" i="43"/>
  <c r="DN1051" i="43"/>
  <c r="DM1052" i="43"/>
  <c r="DU1051" i="43"/>
  <c r="DT1052" i="43"/>
  <c r="DS1050" i="43"/>
  <c r="DR1051" i="43"/>
  <c r="DW754" i="43"/>
  <c r="DG1053" i="43" l="1"/>
  <c r="DQ1052" i="43"/>
  <c r="DU1052" i="43"/>
  <c r="DT1053" i="43"/>
  <c r="DN1052" i="43"/>
  <c r="DM1053" i="43"/>
  <c r="DW753" i="43"/>
  <c r="DS1051" i="43"/>
  <c r="DR1052" i="43"/>
  <c r="DQ1053" i="43" l="1"/>
  <c r="DG1054" i="43"/>
  <c r="DN1053" i="43"/>
  <c r="DM1054" i="43"/>
  <c r="DU1053" i="43"/>
  <c r="DT1054" i="43"/>
  <c r="DS1052" i="43"/>
  <c r="DR1053" i="43"/>
  <c r="DW752" i="43"/>
  <c r="DG1055" i="43" l="1"/>
  <c r="DQ1054" i="43"/>
  <c r="DU1054" i="43"/>
  <c r="DT1055" i="43"/>
  <c r="DN1054" i="43"/>
  <c r="DM1055" i="43"/>
  <c r="DS1053" i="43"/>
  <c r="DR1054" i="43"/>
  <c r="DW751" i="43"/>
  <c r="DQ1055" i="43" l="1"/>
  <c r="DG1056" i="43"/>
  <c r="DU1055" i="43"/>
  <c r="DT1056" i="43"/>
  <c r="DN1055" i="43"/>
  <c r="DM1056" i="43"/>
  <c r="DS1054" i="43"/>
  <c r="DR1055" i="43"/>
  <c r="DW750" i="43"/>
  <c r="DG1057" i="43" l="1"/>
  <c r="DQ1056" i="43"/>
  <c r="DN1056" i="43"/>
  <c r="DM1057" i="43"/>
  <c r="DU1056" i="43"/>
  <c r="DT1057" i="43"/>
  <c r="DW749" i="43"/>
  <c r="DS1055" i="43"/>
  <c r="DR1056" i="43"/>
  <c r="DG1058" i="43" l="1"/>
  <c r="DQ1057" i="43"/>
  <c r="DU1057" i="43"/>
  <c r="DT1058" i="43"/>
  <c r="DN1057" i="43"/>
  <c r="DM1058" i="43"/>
  <c r="DS1056" i="43"/>
  <c r="DR1057" i="43"/>
  <c r="DW748" i="43"/>
  <c r="DQ1058" i="43" l="1"/>
  <c r="DG1059" i="43"/>
  <c r="DN1058" i="43"/>
  <c r="DM1059" i="43"/>
  <c r="DU1058" i="43"/>
  <c r="DT1059" i="43"/>
  <c r="DS1057" i="43"/>
  <c r="DR1058" i="43"/>
  <c r="DW747" i="43"/>
  <c r="DQ1059" i="43" l="1"/>
  <c r="DG1060" i="43"/>
  <c r="DU1059" i="43"/>
  <c r="DT1060" i="43"/>
  <c r="DN1059" i="43"/>
  <c r="DM1060" i="43"/>
  <c r="DW746" i="43"/>
  <c r="DS1058" i="43"/>
  <c r="DR1059" i="43"/>
  <c r="DQ1060" i="43" l="1"/>
  <c r="DG1061" i="43"/>
  <c r="DU1060" i="43"/>
  <c r="DT1061" i="43"/>
  <c r="DN1060" i="43"/>
  <c r="DM1061" i="43"/>
  <c r="DS1059" i="43"/>
  <c r="DR1060" i="43"/>
  <c r="DW745" i="43"/>
  <c r="DQ1061" i="43" l="1"/>
  <c r="DG1062" i="43"/>
  <c r="DN1061" i="43"/>
  <c r="DM1062" i="43"/>
  <c r="DU1061" i="43"/>
  <c r="DT1062" i="43"/>
  <c r="DW744" i="43"/>
  <c r="DS1060" i="43"/>
  <c r="DR1061" i="43"/>
  <c r="DQ1062" i="43" l="1"/>
  <c r="DG1063" i="43"/>
  <c r="DU1062" i="43"/>
  <c r="DT1063" i="43"/>
  <c r="DN1062" i="43"/>
  <c r="DM1063" i="43"/>
  <c r="DS1061" i="43"/>
  <c r="DR1062" i="43"/>
  <c r="DW743" i="43"/>
  <c r="DQ1063" i="43" l="1"/>
  <c r="DG1064" i="43"/>
  <c r="DN1063" i="43"/>
  <c r="DM1064" i="43"/>
  <c r="DU1063" i="43"/>
  <c r="DT1064" i="43"/>
  <c r="DW742" i="43"/>
  <c r="DS1062" i="43"/>
  <c r="DR1063" i="43"/>
  <c r="DQ1064" i="43" l="1"/>
  <c r="DG1065" i="43"/>
  <c r="DU1064" i="43"/>
  <c r="DT1065" i="43"/>
  <c r="DN1064" i="43"/>
  <c r="DM1065" i="43"/>
  <c r="DS1063" i="43"/>
  <c r="DR1064" i="43"/>
  <c r="DW741" i="43"/>
  <c r="DQ1065" i="43" l="1"/>
  <c r="DG1066" i="43"/>
  <c r="DN1065" i="43"/>
  <c r="DM1066" i="43"/>
  <c r="DU1065" i="43"/>
  <c r="DT1066" i="43"/>
  <c r="DW740" i="43"/>
  <c r="DS1064" i="43"/>
  <c r="DR1065" i="43"/>
  <c r="DQ1066" i="43" l="1"/>
  <c r="DG1067" i="43"/>
  <c r="DU1066" i="43"/>
  <c r="DT1067" i="43"/>
  <c r="DN1066" i="43"/>
  <c r="DM1067" i="43"/>
  <c r="DS1065" i="43"/>
  <c r="DR1066" i="43"/>
  <c r="DW739" i="43"/>
  <c r="DG1068" i="43" l="1"/>
  <c r="DQ1067" i="43"/>
  <c r="DN1067" i="43"/>
  <c r="DM1068" i="43"/>
  <c r="DU1067" i="43"/>
  <c r="DT1068" i="43"/>
  <c r="DS1066" i="43"/>
  <c r="DR1067" i="43"/>
  <c r="DW738" i="43"/>
  <c r="DQ1068" i="43" l="1"/>
  <c r="DG1069" i="43"/>
  <c r="DU1068" i="43"/>
  <c r="DT1069" i="43"/>
  <c r="DN1068" i="43"/>
  <c r="DM1069" i="43"/>
  <c r="DW737" i="43"/>
  <c r="DS1067" i="43"/>
  <c r="DR1068" i="43"/>
  <c r="DQ1069" i="43" l="1"/>
  <c r="DG1070" i="43"/>
  <c r="DN1069" i="43"/>
  <c r="DM1070" i="43"/>
  <c r="DU1069" i="43"/>
  <c r="DT1070" i="43"/>
  <c r="DS1068" i="43"/>
  <c r="DR1069" i="43"/>
  <c r="DW736" i="43"/>
  <c r="DQ1070" i="43" l="1"/>
  <c r="DG1071" i="43"/>
  <c r="DN1070" i="43"/>
  <c r="DM1071" i="43"/>
  <c r="DU1070" i="43"/>
  <c r="DT1071" i="43"/>
  <c r="DS1069" i="43"/>
  <c r="DR1070" i="43"/>
  <c r="DW735" i="43"/>
  <c r="DQ1071" i="43" l="1"/>
  <c r="DG1072" i="43"/>
  <c r="DU1071" i="43"/>
  <c r="DT1072" i="43"/>
  <c r="DN1071" i="43"/>
  <c r="DM1072" i="43"/>
  <c r="DW734" i="43"/>
  <c r="DS1070" i="43"/>
  <c r="DR1071" i="43"/>
  <c r="DG1073" i="43" l="1"/>
  <c r="DQ1072" i="43"/>
  <c r="DN1072" i="43"/>
  <c r="DM1073" i="43"/>
  <c r="DU1072" i="43"/>
  <c r="DT1073" i="43"/>
  <c r="DS1071" i="43"/>
  <c r="DR1072" i="43"/>
  <c r="DW733" i="43"/>
  <c r="DG1074" i="43" l="1"/>
  <c r="DQ1073" i="43"/>
  <c r="DU1073" i="43"/>
  <c r="DT1074" i="43"/>
  <c r="DN1073" i="43"/>
  <c r="DM1074" i="43"/>
  <c r="DW732" i="43"/>
  <c r="DS1072" i="43"/>
  <c r="DR1073" i="43"/>
  <c r="DQ1074" i="43" l="1"/>
  <c r="DG1075" i="43"/>
  <c r="DN1074" i="43"/>
  <c r="DM1075" i="43"/>
  <c r="DU1074" i="43"/>
  <c r="DT1075" i="43"/>
  <c r="DS1073" i="43"/>
  <c r="DR1074" i="43"/>
  <c r="DW731" i="43"/>
  <c r="DG1076" i="43" l="1"/>
  <c r="DQ1075" i="43"/>
  <c r="DU1075" i="43"/>
  <c r="DT1076" i="43"/>
  <c r="DN1075" i="43"/>
  <c r="DM1076" i="43"/>
  <c r="DW730" i="43"/>
  <c r="DS1074" i="43"/>
  <c r="DR1075" i="43"/>
  <c r="DQ1076" i="43" l="1"/>
  <c r="DG1077" i="43"/>
  <c r="DN1076" i="43"/>
  <c r="DM1077" i="43"/>
  <c r="DU1076" i="43"/>
  <c r="DT1077" i="43"/>
  <c r="DS1075" i="43"/>
  <c r="DR1076" i="43"/>
  <c r="DW729" i="43"/>
  <c r="DG1078" i="43" l="1"/>
  <c r="DQ1077" i="43"/>
  <c r="DU1077" i="43"/>
  <c r="DT1078" i="43"/>
  <c r="DN1077" i="43"/>
  <c r="DM1078" i="43"/>
  <c r="DW728" i="43"/>
  <c r="DS1076" i="43"/>
  <c r="DR1077" i="43"/>
  <c r="DQ1078" i="43" l="1"/>
  <c r="DG1079" i="43"/>
  <c r="DN1078" i="43"/>
  <c r="DM1079" i="43"/>
  <c r="DU1078" i="43"/>
  <c r="DT1079" i="43"/>
  <c r="DS1077" i="43"/>
  <c r="DR1078" i="43"/>
  <c r="DW727" i="43"/>
  <c r="DQ1079" i="43" l="1"/>
  <c r="DG1080" i="43"/>
  <c r="DU1079" i="43"/>
  <c r="DT1080" i="43"/>
  <c r="DN1079" i="43"/>
  <c r="DM1080" i="43"/>
  <c r="DS1078" i="43"/>
  <c r="DR1079" i="43"/>
  <c r="DW726" i="43"/>
  <c r="DQ1080" i="43" l="1"/>
  <c r="DG1081" i="43"/>
  <c r="DN1080" i="43"/>
  <c r="DM1081" i="43"/>
  <c r="DU1080" i="43"/>
  <c r="DT1081" i="43"/>
  <c r="DS1079" i="43"/>
  <c r="DR1080" i="43"/>
  <c r="DW725" i="43"/>
  <c r="DQ1081" i="43" l="1"/>
  <c r="DG1082" i="43"/>
  <c r="DU1081" i="43"/>
  <c r="DT1082" i="43"/>
  <c r="DN1081" i="43"/>
  <c r="DM1082" i="43"/>
  <c r="DW724" i="43"/>
  <c r="DS1080" i="43"/>
  <c r="DR1081" i="43"/>
  <c r="DQ1082" i="43" l="1"/>
  <c r="DG1083" i="43"/>
  <c r="DN1082" i="43"/>
  <c r="DM1083" i="43"/>
  <c r="DU1082" i="43"/>
  <c r="DT1083" i="43"/>
  <c r="DS1081" i="43"/>
  <c r="DR1082" i="43"/>
  <c r="DW723" i="43"/>
  <c r="DG1084" i="43" l="1"/>
  <c r="DQ1083" i="43"/>
  <c r="DU1083" i="43"/>
  <c r="DT1084" i="43"/>
  <c r="DN1083" i="43"/>
  <c r="DM1084" i="43"/>
  <c r="DW722" i="43"/>
  <c r="DS1082" i="43"/>
  <c r="DR1083" i="43"/>
  <c r="DG1085" i="43" l="1"/>
  <c r="DQ1084" i="43"/>
  <c r="DN1084" i="43"/>
  <c r="DM1085" i="43"/>
  <c r="DU1084" i="43"/>
  <c r="DT1085" i="43"/>
  <c r="DS1083" i="43"/>
  <c r="DR1084" i="43"/>
  <c r="DW721" i="43"/>
  <c r="DG1086" i="43" l="1"/>
  <c r="DQ1085" i="43"/>
  <c r="DU1085" i="43"/>
  <c r="DT1086" i="43"/>
  <c r="DN1085" i="43"/>
  <c r="DM1086" i="43"/>
  <c r="DW720" i="43"/>
  <c r="DS1084" i="43"/>
  <c r="DR1085" i="43"/>
  <c r="DG1087" i="43" l="1"/>
  <c r="DQ1086" i="43"/>
  <c r="DN1086" i="43"/>
  <c r="DM1087" i="43"/>
  <c r="DU1086" i="43"/>
  <c r="DT1087" i="43"/>
  <c r="DS1085" i="43"/>
  <c r="DR1086" i="43"/>
  <c r="DW719" i="43"/>
  <c r="DG1088" i="43" l="1"/>
  <c r="DQ1087" i="43"/>
  <c r="DN1087" i="43"/>
  <c r="DM1088" i="43"/>
  <c r="DU1087" i="43"/>
  <c r="DT1088" i="43"/>
  <c r="DW718" i="43"/>
  <c r="DS1086" i="43"/>
  <c r="DR1087" i="43"/>
  <c r="DG1089" i="43" l="1"/>
  <c r="DQ1088" i="43"/>
  <c r="DU1088" i="43"/>
  <c r="DT1089" i="43"/>
  <c r="DN1088" i="43"/>
  <c r="DM1089" i="43"/>
  <c r="DS1087" i="43"/>
  <c r="DR1088" i="43"/>
  <c r="DW717" i="43"/>
  <c r="DQ1089" i="43" l="1"/>
  <c r="DG1090" i="43"/>
  <c r="DU1089" i="43"/>
  <c r="DT1090" i="43"/>
  <c r="DN1089" i="43"/>
  <c r="DM1090" i="43"/>
  <c r="DW716" i="43"/>
  <c r="DS1088" i="43"/>
  <c r="DR1089" i="43"/>
  <c r="DQ1090" i="43" l="1"/>
  <c r="DG1091" i="43"/>
  <c r="DN1090" i="43"/>
  <c r="DM1091" i="43"/>
  <c r="DU1090" i="43"/>
  <c r="DT1091" i="43"/>
  <c r="DS1089" i="43"/>
  <c r="DR1090" i="43"/>
  <c r="DW715" i="43"/>
  <c r="DG1092" i="43" l="1"/>
  <c r="DQ1091" i="43"/>
  <c r="DU1091" i="43"/>
  <c r="DT1092" i="43"/>
  <c r="DN1091" i="43"/>
  <c r="DM1092" i="43"/>
  <c r="DS1090" i="43"/>
  <c r="DR1091" i="43"/>
  <c r="DW714" i="43"/>
  <c r="DQ1092" i="43" l="1"/>
  <c r="DG1093" i="43"/>
  <c r="DN1092" i="43"/>
  <c r="DM1093" i="43"/>
  <c r="DU1092" i="43"/>
  <c r="DT1093" i="43"/>
  <c r="DS1091" i="43"/>
  <c r="DR1092" i="43"/>
  <c r="DW713" i="43"/>
  <c r="DQ1093" i="43" l="1"/>
  <c r="DG1094" i="43"/>
  <c r="DU1093" i="43"/>
  <c r="DT1094" i="43"/>
  <c r="DN1093" i="43"/>
  <c r="DM1094" i="43"/>
  <c r="DW712" i="43"/>
  <c r="DS1092" i="43"/>
  <c r="DR1093" i="43"/>
  <c r="DG1095" i="43" l="1"/>
  <c r="DQ1094" i="43"/>
  <c r="DN1094" i="43"/>
  <c r="DM1095" i="43"/>
  <c r="DU1094" i="43"/>
  <c r="DT1095" i="43"/>
  <c r="DS1093" i="43"/>
  <c r="DR1094" i="43"/>
  <c r="DW711" i="43"/>
  <c r="DQ1095" i="43" l="1"/>
  <c r="DG1096" i="43"/>
  <c r="DU1095" i="43"/>
  <c r="DT1096" i="43"/>
  <c r="DN1095" i="43"/>
  <c r="DM1096" i="43"/>
  <c r="DW710" i="43"/>
  <c r="DS1094" i="43"/>
  <c r="DR1095" i="43"/>
  <c r="DG1097" i="43" l="1"/>
  <c r="DQ1096" i="43"/>
  <c r="DN1096" i="43"/>
  <c r="DM1097" i="43"/>
  <c r="DU1096" i="43"/>
  <c r="DT1097" i="43"/>
  <c r="DS1095" i="43"/>
  <c r="DR1096" i="43"/>
  <c r="DW709" i="43"/>
  <c r="DG1098" i="43" l="1"/>
  <c r="DQ1097" i="43"/>
  <c r="DU1097" i="43"/>
  <c r="DT1098" i="43"/>
  <c r="DN1097" i="43"/>
  <c r="DM1098" i="43"/>
  <c r="DW708" i="43"/>
  <c r="DS1096" i="43"/>
  <c r="DR1097" i="43"/>
  <c r="DQ1098" i="43" l="1"/>
  <c r="DG1099" i="43"/>
  <c r="DN1098" i="43"/>
  <c r="DM1099" i="43"/>
  <c r="DU1098" i="43"/>
  <c r="DT1099" i="43"/>
  <c r="DS1097" i="43"/>
  <c r="DR1098" i="43"/>
  <c r="DW707" i="43"/>
  <c r="DG1100" i="43" l="1"/>
  <c r="DQ1099" i="43"/>
  <c r="DU1099" i="43"/>
  <c r="DT1100" i="43"/>
  <c r="DN1099" i="43"/>
  <c r="DM1100" i="43"/>
  <c r="DW706" i="43"/>
  <c r="DS1098" i="43"/>
  <c r="DR1099" i="43"/>
  <c r="DQ1100" i="43" l="1"/>
  <c r="DG1101" i="43"/>
  <c r="DN1100" i="43"/>
  <c r="DM1101" i="43"/>
  <c r="DU1100" i="43"/>
  <c r="DT1101" i="43"/>
  <c r="DS1099" i="43"/>
  <c r="DR1100" i="43"/>
  <c r="DW705" i="43"/>
  <c r="DG1102" i="43" l="1"/>
  <c r="DQ1101" i="43"/>
  <c r="DN1101" i="43"/>
  <c r="DM1102" i="43"/>
  <c r="DU1101" i="43"/>
  <c r="DT1102" i="43"/>
  <c r="DS1100" i="43"/>
  <c r="DR1101" i="43"/>
  <c r="DW704" i="43"/>
  <c r="DG1103" i="43" l="1"/>
  <c r="DQ1102" i="43"/>
  <c r="DU1102" i="43"/>
  <c r="DT1103" i="43"/>
  <c r="DN1102" i="43"/>
  <c r="DM1103" i="43"/>
  <c r="DW703" i="43"/>
  <c r="DS1101" i="43"/>
  <c r="DR1102" i="43"/>
  <c r="DQ1103" i="43" l="1"/>
  <c r="DG1104" i="43"/>
  <c r="DN1103" i="43"/>
  <c r="DM1104" i="43"/>
  <c r="DU1103" i="43"/>
  <c r="DT1104" i="43"/>
  <c r="DS1102" i="43"/>
  <c r="DR1103" i="43"/>
  <c r="DW702" i="43"/>
  <c r="DG1105" i="43" l="1"/>
  <c r="DQ1104" i="43"/>
  <c r="DN1104" i="43"/>
  <c r="DM1105" i="43"/>
  <c r="DU1104" i="43"/>
  <c r="DT1105" i="43"/>
  <c r="DW701" i="43"/>
  <c r="DS1103" i="43"/>
  <c r="DR1104" i="43"/>
  <c r="DQ1105" i="43" l="1"/>
  <c r="DG1106" i="43"/>
  <c r="DN1105" i="43"/>
  <c r="DM1106" i="43"/>
  <c r="DU1105" i="43"/>
  <c r="DT1106" i="43"/>
  <c r="DS1104" i="43"/>
  <c r="DR1105" i="43"/>
  <c r="DW700" i="43"/>
  <c r="DG1107" i="43" l="1"/>
  <c r="DQ1106" i="43"/>
  <c r="DU1106" i="43"/>
  <c r="DT1107" i="43"/>
  <c r="DN1106" i="43"/>
  <c r="DM1107" i="43"/>
  <c r="DW699" i="43"/>
  <c r="DS1105" i="43"/>
  <c r="DR1106" i="43"/>
  <c r="DQ1107" i="43" l="1"/>
  <c r="DG1108" i="43"/>
  <c r="DN1107" i="43"/>
  <c r="DM1108" i="43"/>
  <c r="DU1107" i="43"/>
  <c r="DT1108" i="43"/>
  <c r="DS1106" i="43"/>
  <c r="DR1107" i="43"/>
  <c r="DW698" i="43"/>
  <c r="DG1109" i="43" l="1"/>
  <c r="DQ1108" i="43"/>
  <c r="DU1108" i="43"/>
  <c r="DT1109" i="43"/>
  <c r="DN1108" i="43"/>
  <c r="DM1109" i="43"/>
  <c r="DW697" i="43"/>
  <c r="DS1107" i="43"/>
  <c r="DR1108" i="43"/>
  <c r="DG1110" i="43" l="1"/>
  <c r="DQ1109" i="43"/>
  <c r="DN1109" i="43"/>
  <c r="DM1110" i="43"/>
  <c r="DU1109" i="43"/>
  <c r="DT1110" i="43"/>
  <c r="DS1108" i="43"/>
  <c r="DR1109" i="43"/>
  <c r="DW696" i="43"/>
  <c r="DG1111" i="43" l="1"/>
  <c r="DQ1110" i="43"/>
  <c r="DU1110" i="43"/>
  <c r="DT1111" i="43"/>
  <c r="DN1110" i="43"/>
  <c r="DM1111" i="43"/>
  <c r="DW695" i="43"/>
  <c r="DS1109" i="43"/>
  <c r="DR1110" i="43"/>
  <c r="DG1112" i="43" l="1"/>
  <c r="DQ1111" i="43"/>
  <c r="DN1111" i="43"/>
  <c r="DM1112" i="43"/>
  <c r="DU1111" i="43"/>
  <c r="DT1112" i="43"/>
  <c r="DS1110" i="43"/>
  <c r="DR1111" i="43"/>
  <c r="DW694" i="43"/>
  <c r="DG1113" i="43" l="1"/>
  <c r="DQ1112" i="43"/>
  <c r="DU1112" i="43"/>
  <c r="DT1113" i="43"/>
  <c r="DN1112" i="43"/>
  <c r="DM1113" i="43"/>
  <c r="DW693" i="43"/>
  <c r="DS1111" i="43"/>
  <c r="DR1112" i="43"/>
  <c r="DQ1113" i="43" l="1"/>
  <c r="DG1114" i="43"/>
  <c r="DN1113" i="43"/>
  <c r="DM1114" i="43"/>
  <c r="DU1113" i="43"/>
  <c r="DT1114" i="43"/>
  <c r="DS1112" i="43"/>
  <c r="DR1113" i="43"/>
  <c r="DW692" i="43"/>
  <c r="DQ1114" i="43" l="1"/>
  <c r="DG1115" i="43"/>
  <c r="DU1114" i="43"/>
  <c r="DT1115" i="43"/>
  <c r="DN1114" i="43"/>
  <c r="DM1115" i="43"/>
  <c r="DW691" i="43"/>
  <c r="DS1113" i="43"/>
  <c r="DR1114" i="43"/>
  <c r="DG1116" i="43" l="1"/>
  <c r="DQ1115" i="43"/>
  <c r="DN1115" i="43"/>
  <c r="DM1116" i="43"/>
  <c r="DU1115" i="43"/>
  <c r="DT1116" i="43"/>
  <c r="DS1114" i="43"/>
  <c r="DR1115" i="43"/>
  <c r="DW690" i="43"/>
  <c r="DQ1116" i="43" l="1"/>
  <c r="DG1117" i="43"/>
  <c r="DU1116" i="43"/>
  <c r="DT1117" i="43"/>
  <c r="DN1116" i="43"/>
  <c r="DM1117" i="43"/>
  <c r="DS1115" i="43"/>
  <c r="DR1116" i="43"/>
  <c r="DW689" i="43"/>
  <c r="DQ1117" i="43" l="1"/>
  <c r="DG1118" i="43"/>
  <c r="DU1117" i="43"/>
  <c r="DT1118" i="43"/>
  <c r="DN1117" i="43"/>
  <c r="DM1118" i="43"/>
  <c r="DW688" i="43"/>
  <c r="DS1116" i="43"/>
  <c r="DR1117" i="43"/>
  <c r="DQ1118" i="43" l="1"/>
  <c r="DG1119" i="43"/>
  <c r="DN1118" i="43"/>
  <c r="DM1119" i="43"/>
  <c r="DU1118" i="43"/>
  <c r="DT1119" i="43"/>
  <c r="DS1117" i="43"/>
  <c r="DR1118" i="43"/>
  <c r="DW687" i="43"/>
  <c r="DG1120" i="43" l="1"/>
  <c r="DQ1119" i="43"/>
  <c r="DU1119" i="43"/>
  <c r="DT1120" i="43"/>
  <c r="DN1119" i="43"/>
  <c r="DM1120" i="43"/>
  <c r="DS1118" i="43"/>
  <c r="DR1119" i="43"/>
  <c r="DW686" i="43"/>
  <c r="DG1121" i="43" l="1"/>
  <c r="DQ1120" i="43"/>
  <c r="DN1120" i="43"/>
  <c r="DM1121" i="43"/>
  <c r="DU1120" i="43"/>
  <c r="DT1121" i="43"/>
  <c r="DW685" i="43"/>
  <c r="DS1119" i="43"/>
  <c r="DR1120" i="43"/>
  <c r="DQ1121" i="43" l="1"/>
  <c r="DG1122" i="43"/>
  <c r="DU1121" i="43"/>
  <c r="DT1122" i="43"/>
  <c r="DN1121" i="43"/>
  <c r="DM1122" i="43"/>
  <c r="DS1120" i="43"/>
  <c r="DR1121" i="43"/>
  <c r="DW684" i="43"/>
  <c r="DG1123" i="43" l="1"/>
  <c r="DQ1122" i="43"/>
  <c r="DN1122" i="43"/>
  <c r="DM1123" i="43"/>
  <c r="DU1122" i="43"/>
  <c r="DT1123" i="43"/>
  <c r="DS1121" i="43"/>
  <c r="DR1122" i="43"/>
  <c r="DW683" i="43"/>
  <c r="DG1124" i="43" l="1"/>
  <c r="DQ1123" i="43"/>
  <c r="DU1123" i="43"/>
  <c r="DT1124" i="43"/>
  <c r="DN1123" i="43"/>
  <c r="DM1124" i="43"/>
  <c r="DW682" i="43"/>
  <c r="DS1122" i="43"/>
  <c r="DR1123" i="43"/>
  <c r="DQ1124" i="43" l="1"/>
  <c r="DG1125" i="43"/>
  <c r="DU1124" i="43"/>
  <c r="DT1125" i="43"/>
  <c r="DN1124" i="43"/>
  <c r="DM1125" i="43"/>
  <c r="DS1123" i="43"/>
  <c r="DR1124" i="43"/>
  <c r="DW681" i="43"/>
  <c r="DQ1125" i="43" l="1"/>
  <c r="DG1126" i="43"/>
  <c r="DN1125" i="43"/>
  <c r="DM1126" i="43"/>
  <c r="DU1125" i="43"/>
  <c r="DT1126" i="43"/>
  <c r="DW680" i="43"/>
  <c r="DS1124" i="43"/>
  <c r="DR1125" i="43"/>
  <c r="DQ1126" i="43" l="1"/>
  <c r="DG1127" i="43"/>
  <c r="DN1126" i="43"/>
  <c r="DM1127" i="43"/>
  <c r="DU1126" i="43"/>
  <c r="DT1127" i="43"/>
  <c r="DS1125" i="43"/>
  <c r="DR1126" i="43"/>
  <c r="DW679" i="43"/>
  <c r="DQ1127" i="43" l="1"/>
  <c r="DG1128" i="43"/>
  <c r="DU1127" i="43"/>
  <c r="DT1128" i="43"/>
  <c r="DN1127" i="43"/>
  <c r="DM1128" i="43"/>
  <c r="DW678" i="43"/>
  <c r="DS1126" i="43"/>
  <c r="DR1127" i="43"/>
  <c r="DQ1128" i="43" l="1"/>
  <c r="DG1129" i="43"/>
  <c r="DU1128" i="43"/>
  <c r="DT1129" i="43"/>
  <c r="DN1128" i="43"/>
  <c r="DM1129" i="43"/>
  <c r="DS1127" i="43"/>
  <c r="DR1128" i="43"/>
  <c r="DW677" i="43"/>
  <c r="DQ1129" i="43" l="1"/>
  <c r="DG1130" i="43"/>
  <c r="DN1129" i="43"/>
  <c r="DM1130" i="43"/>
  <c r="DU1129" i="43"/>
  <c r="DT1130" i="43"/>
  <c r="DS1128" i="43"/>
  <c r="DR1129" i="43"/>
  <c r="DW676" i="43"/>
  <c r="DG1131" i="43" l="1"/>
  <c r="DQ1130" i="43"/>
  <c r="DU1130" i="43"/>
  <c r="DT1131" i="43"/>
  <c r="DN1130" i="43"/>
  <c r="DM1131" i="43"/>
  <c r="DS1129" i="43"/>
  <c r="DR1130" i="43"/>
  <c r="DW675" i="43"/>
  <c r="DG1132" i="43" l="1"/>
  <c r="DQ1131" i="43"/>
  <c r="DN1131" i="43"/>
  <c r="DM1132" i="43"/>
  <c r="DU1131" i="43"/>
  <c r="DT1132" i="43"/>
  <c r="DW674" i="43"/>
  <c r="DS1130" i="43"/>
  <c r="DR1131" i="43"/>
  <c r="DQ1132" i="43" l="1"/>
  <c r="DG1133" i="43"/>
  <c r="DN1132" i="43"/>
  <c r="DM1133" i="43"/>
  <c r="DU1132" i="43"/>
  <c r="DT1133" i="43"/>
  <c r="DS1131" i="43"/>
  <c r="DR1132" i="43"/>
  <c r="DW673" i="43"/>
  <c r="DQ1133" i="43" l="1"/>
  <c r="DG1134" i="43"/>
  <c r="DN1133" i="43"/>
  <c r="DM1134" i="43"/>
  <c r="DU1133" i="43"/>
  <c r="DT1134" i="43"/>
  <c r="DW672" i="43"/>
  <c r="DS1132" i="43"/>
  <c r="DR1133" i="43"/>
  <c r="DQ1134" i="43" l="1"/>
  <c r="DG1135" i="43"/>
  <c r="DU1134" i="43"/>
  <c r="DT1135" i="43"/>
  <c r="DN1134" i="43"/>
  <c r="DM1135" i="43"/>
  <c r="DS1133" i="43"/>
  <c r="DR1134" i="43"/>
  <c r="DW671" i="43"/>
  <c r="DQ1135" i="43" l="1"/>
  <c r="DG1136" i="43"/>
  <c r="DU1135" i="43"/>
  <c r="DT1136" i="43"/>
  <c r="DN1135" i="43"/>
  <c r="DM1136" i="43"/>
  <c r="DW670" i="43"/>
  <c r="DS1134" i="43"/>
  <c r="DR1135" i="43"/>
  <c r="DG1137" i="43" l="1"/>
  <c r="DQ1136" i="43"/>
  <c r="DN1136" i="43"/>
  <c r="DM1137" i="43"/>
  <c r="DU1136" i="43"/>
  <c r="DT1137" i="43"/>
  <c r="DS1135" i="43"/>
  <c r="DR1136" i="43"/>
  <c r="DW669" i="43"/>
  <c r="DQ1137" i="43" l="1"/>
  <c r="DG1138" i="43"/>
  <c r="DU1137" i="43"/>
  <c r="DT1138" i="43"/>
  <c r="DN1137" i="43"/>
  <c r="DM1138" i="43"/>
  <c r="DW668" i="43"/>
  <c r="DS1136" i="43"/>
  <c r="DR1137" i="43"/>
  <c r="DG1139" i="43" l="1"/>
  <c r="DQ1138" i="43"/>
  <c r="DN1138" i="43"/>
  <c r="DM1139" i="43"/>
  <c r="DU1138" i="43"/>
  <c r="DT1139" i="43"/>
  <c r="DS1137" i="43"/>
  <c r="DR1138" i="43"/>
  <c r="DW667" i="43"/>
  <c r="DQ1139" i="43" l="1"/>
  <c r="DG1140" i="43"/>
  <c r="DU1139" i="43"/>
  <c r="DT1140" i="43"/>
  <c r="DN1139" i="43"/>
  <c r="DM1140" i="43"/>
  <c r="DW666" i="43"/>
  <c r="DS1138" i="43"/>
  <c r="DR1139" i="43"/>
  <c r="DQ1140" i="43" l="1"/>
  <c r="DG1141" i="43"/>
  <c r="DN1140" i="43"/>
  <c r="DM1141" i="43"/>
  <c r="DU1140" i="43"/>
  <c r="DT1141" i="43"/>
  <c r="DS1139" i="43"/>
  <c r="DR1140" i="43"/>
  <c r="DW665" i="43"/>
  <c r="DQ1141" i="43" l="1"/>
  <c r="DG1142" i="43"/>
  <c r="DU1141" i="43"/>
  <c r="DT1142" i="43"/>
  <c r="DN1141" i="43"/>
  <c r="DM1142" i="43"/>
  <c r="DS1140" i="43"/>
  <c r="DR1141" i="43"/>
  <c r="DW664" i="43"/>
  <c r="DQ1142" i="43" l="1"/>
  <c r="DG1143" i="43"/>
  <c r="DN1142" i="43"/>
  <c r="DM1143" i="43"/>
  <c r="DU1142" i="43"/>
  <c r="DT1143" i="43"/>
  <c r="DS1141" i="43"/>
  <c r="DR1142" i="43"/>
  <c r="DW663" i="43"/>
  <c r="DG1144" i="43" l="1"/>
  <c r="DQ1143" i="43"/>
  <c r="DU1143" i="43"/>
  <c r="DT1144" i="43"/>
  <c r="DN1143" i="43"/>
  <c r="DM1144" i="43"/>
  <c r="DS1142" i="43"/>
  <c r="DR1143" i="43"/>
  <c r="DW662" i="43"/>
  <c r="DQ1144" i="43" l="1"/>
  <c r="DG1145" i="43"/>
  <c r="DU1144" i="43"/>
  <c r="DT1145" i="43"/>
  <c r="DN1144" i="43"/>
  <c r="DM1145" i="43"/>
  <c r="DW661" i="43"/>
  <c r="DS1143" i="43"/>
  <c r="DR1144" i="43"/>
  <c r="DG1146" i="43" l="1"/>
  <c r="DQ1145" i="43"/>
  <c r="DU1145" i="43"/>
  <c r="DT1146" i="43"/>
  <c r="DN1145" i="43"/>
  <c r="DM1146" i="43"/>
  <c r="DS1144" i="43"/>
  <c r="DR1145" i="43"/>
  <c r="DW660" i="43"/>
  <c r="DG1147" i="43" l="1"/>
  <c r="DQ1146" i="43"/>
  <c r="DN1146" i="43"/>
  <c r="DM1147" i="43"/>
  <c r="DU1146" i="43"/>
  <c r="DT1147" i="43"/>
  <c r="DW659" i="43"/>
  <c r="DS1145" i="43"/>
  <c r="DR1146" i="43"/>
  <c r="DQ1147" i="43" l="1"/>
  <c r="DG1148" i="43"/>
  <c r="DU1147" i="43"/>
  <c r="DT1148" i="43"/>
  <c r="DN1147" i="43"/>
  <c r="DM1148" i="43"/>
  <c r="DS1146" i="43"/>
  <c r="DR1147" i="43"/>
  <c r="DW658" i="43"/>
  <c r="DQ1148" i="43" l="1"/>
  <c r="DG1149" i="43"/>
  <c r="DU1148" i="43"/>
  <c r="DT1149" i="43"/>
  <c r="DN1148" i="43"/>
  <c r="DM1149" i="43"/>
  <c r="DW657" i="43"/>
  <c r="DS1147" i="43"/>
  <c r="DR1148" i="43"/>
  <c r="DQ1149" i="43" l="1"/>
  <c r="DG1150" i="43"/>
  <c r="DU1149" i="43"/>
  <c r="DT1150" i="43"/>
  <c r="DN1149" i="43"/>
  <c r="DM1150" i="43"/>
  <c r="DS1148" i="43"/>
  <c r="DR1149" i="43"/>
  <c r="DW656" i="43"/>
  <c r="DG1151" i="43" l="1"/>
  <c r="DQ1150" i="43"/>
  <c r="DU1150" i="43"/>
  <c r="DT1151" i="43"/>
  <c r="DN1150" i="43"/>
  <c r="DM1151" i="43"/>
  <c r="DW655" i="43"/>
  <c r="DS1149" i="43"/>
  <c r="DR1150" i="43"/>
  <c r="DQ1151" i="43" l="1"/>
  <c r="DG1152" i="43"/>
  <c r="DN1151" i="43"/>
  <c r="DM1152" i="43"/>
  <c r="DU1151" i="43"/>
  <c r="DT1152" i="43"/>
  <c r="DS1150" i="43"/>
  <c r="DR1151" i="43"/>
  <c r="DW654" i="43"/>
  <c r="DQ1152" i="43" l="1"/>
  <c r="DG1153" i="43"/>
  <c r="DN1152" i="43"/>
  <c r="DM1153" i="43"/>
  <c r="DU1152" i="43"/>
  <c r="DT1153" i="43"/>
  <c r="DW653" i="43"/>
  <c r="DS1151" i="43"/>
  <c r="DR1152" i="43"/>
  <c r="DQ1153" i="43" l="1"/>
  <c r="DG1154" i="43"/>
  <c r="DU1153" i="43"/>
  <c r="DT1154" i="43"/>
  <c r="DN1153" i="43"/>
  <c r="DM1154" i="43"/>
  <c r="DS1152" i="43"/>
  <c r="DR1153" i="43"/>
  <c r="DW652" i="43"/>
  <c r="DG1155" i="43" l="1"/>
  <c r="DQ1154" i="43"/>
  <c r="DN1154" i="43"/>
  <c r="DM1155" i="43"/>
  <c r="DU1154" i="43"/>
  <c r="DT1155" i="43"/>
  <c r="DW651" i="43"/>
  <c r="DS1153" i="43"/>
  <c r="DR1154" i="43"/>
  <c r="DQ1155" i="43" l="1"/>
  <c r="DG1156" i="43"/>
  <c r="DN1155" i="43"/>
  <c r="DM1156" i="43"/>
  <c r="DU1155" i="43"/>
  <c r="DT1156" i="43"/>
  <c r="DS1154" i="43"/>
  <c r="DR1155" i="43"/>
  <c r="DW650" i="43"/>
  <c r="DG1157" i="43" l="1"/>
  <c r="DQ1156" i="43"/>
  <c r="DU1156" i="43"/>
  <c r="DT1157" i="43"/>
  <c r="DN1156" i="43"/>
  <c r="DM1157" i="43"/>
  <c r="DW649" i="43"/>
  <c r="DS1155" i="43"/>
  <c r="DR1156" i="43"/>
  <c r="DQ1157" i="43" l="1"/>
  <c r="DG1158" i="43"/>
  <c r="DN1157" i="43"/>
  <c r="DM1158" i="43"/>
  <c r="DU1157" i="43"/>
  <c r="DT1158" i="43"/>
  <c r="DS1156" i="43"/>
  <c r="DR1157" i="43"/>
  <c r="DW648" i="43"/>
  <c r="DQ1158" i="43" l="1"/>
  <c r="DG1159" i="43"/>
  <c r="DU1158" i="43"/>
  <c r="DT1159" i="43"/>
  <c r="DN1158" i="43"/>
  <c r="DM1159" i="43"/>
  <c r="DW647" i="43"/>
  <c r="DS1157" i="43"/>
  <c r="DR1158" i="43"/>
  <c r="DQ1159" i="43" l="1"/>
  <c r="DG1160" i="43"/>
  <c r="DU1159" i="43"/>
  <c r="DT1160" i="43"/>
  <c r="DN1159" i="43"/>
  <c r="DM1160" i="43"/>
  <c r="DS1158" i="43"/>
  <c r="DR1159" i="43"/>
  <c r="DW646" i="43"/>
  <c r="DQ1160" i="43" l="1"/>
  <c r="DG1161" i="43"/>
  <c r="DN1160" i="43"/>
  <c r="DM1161" i="43"/>
  <c r="DU1160" i="43"/>
  <c r="DT1161" i="43"/>
  <c r="DW645" i="43"/>
  <c r="DS1159" i="43"/>
  <c r="DR1160" i="43"/>
  <c r="DQ1161" i="43" l="1"/>
  <c r="DG1162" i="43"/>
  <c r="DU1161" i="43"/>
  <c r="DT1162" i="43"/>
  <c r="DN1161" i="43"/>
  <c r="DM1162" i="43"/>
  <c r="DS1160" i="43"/>
  <c r="DR1161" i="43"/>
  <c r="DW644" i="43"/>
  <c r="DG1163" i="43" l="1"/>
  <c r="DQ1162" i="43"/>
  <c r="DN1162" i="43"/>
  <c r="DM1163" i="43"/>
  <c r="DU1162" i="43"/>
  <c r="DT1163" i="43"/>
  <c r="DS1161" i="43"/>
  <c r="DR1162" i="43"/>
  <c r="DW643" i="43"/>
  <c r="DQ1163" i="43" l="1"/>
  <c r="DG1164" i="43"/>
  <c r="DN1163" i="43"/>
  <c r="DM1164" i="43"/>
  <c r="DU1163" i="43"/>
  <c r="DT1164" i="43"/>
  <c r="DW642" i="43"/>
  <c r="DS1162" i="43"/>
  <c r="DR1163" i="43"/>
  <c r="DQ1164" i="43" l="1"/>
  <c r="DG1165" i="43"/>
  <c r="DU1164" i="43"/>
  <c r="DT1165" i="43"/>
  <c r="DN1164" i="43"/>
  <c r="DM1165" i="43"/>
  <c r="DS1163" i="43"/>
  <c r="DR1164" i="43"/>
  <c r="DW641" i="43"/>
  <c r="DQ1165" i="43" l="1"/>
  <c r="DG1166" i="43"/>
  <c r="DU1165" i="43"/>
  <c r="DT1166" i="43"/>
  <c r="DN1165" i="43"/>
  <c r="DM1166" i="43"/>
  <c r="DW640" i="43"/>
  <c r="DS1164" i="43"/>
  <c r="DR1165" i="43"/>
  <c r="DQ1166" i="43" l="1"/>
  <c r="DG1167" i="43"/>
  <c r="DU1166" i="43"/>
  <c r="DT1167" i="43"/>
  <c r="DN1166" i="43"/>
  <c r="DM1167" i="43"/>
  <c r="DS1165" i="43"/>
  <c r="DR1166" i="43"/>
  <c r="DW639" i="43"/>
  <c r="DQ1167" i="43" l="1"/>
  <c r="DG1168" i="43"/>
  <c r="DN1167" i="43"/>
  <c r="DM1168" i="43"/>
  <c r="DU1167" i="43"/>
  <c r="DT1168" i="43"/>
  <c r="DW638" i="43"/>
  <c r="DS1166" i="43"/>
  <c r="DR1167" i="43"/>
  <c r="DQ1168" i="43" l="1"/>
  <c r="DG1169" i="43"/>
  <c r="DU1168" i="43"/>
  <c r="DT1169" i="43"/>
  <c r="DN1168" i="43"/>
  <c r="DM1169" i="43"/>
  <c r="DS1167" i="43"/>
  <c r="DR1168" i="43"/>
  <c r="DW637" i="43"/>
  <c r="DQ1169" i="43" l="1"/>
  <c r="DG1170" i="43"/>
  <c r="DU1169" i="43"/>
  <c r="DT1170" i="43"/>
  <c r="DN1169" i="43"/>
  <c r="DM1170" i="43"/>
  <c r="DS1168" i="43"/>
  <c r="DR1169" i="43"/>
  <c r="DW636" i="43"/>
  <c r="DQ1170" i="43" l="1"/>
  <c r="DG1171" i="43"/>
  <c r="DN1170" i="43"/>
  <c r="DM1171" i="43"/>
  <c r="DU1170" i="43"/>
  <c r="DT1171" i="43"/>
  <c r="DW635" i="43"/>
  <c r="DS1169" i="43"/>
  <c r="DR1170" i="43"/>
  <c r="DQ1171" i="43" l="1"/>
  <c r="DG1172" i="43"/>
  <c r="DU1171" i="43"/>
  <c r="DT1172" i="43"/>
  <c r="DN1171" i="43"/>
  <c r="DM1172" i="43"/>
  <c r="DW634" i="43"/>
  <c r="DS1170" i="43"/>
  <c r="DR1171" i="43"/>
  <c r="DG1173" i="43" l="1"/>
  <c r="DQ1172" i="43"/>
  <c r="DN1172" i="43"/>
  <c r="DM1173" i="43"/>
  <c r="DU1172" i="43"/>
  <c r="DT1173" i="43"/>
  <c r="DS1171" i="43"/>
  <c r="DR1172" i="43"/>
  <c r="DW633" i="43"/>
  <c r="DG1174" i="43" l="1"/>
  <c r="DQ1173" i="43"/>
  <c r="DU1173" i="43"/>
  <c r="DT1174" i="43"/>
  <c r="DN1173" i="43"/>
  <c r="DM1174" i="43"/>
  <c r="DS1172" i="43"/>
  <c r="DR1173" i="43"/>
  <c r="DW632" i="43"/>
  <c r="DG1175" i="43" l="1"/>
  <c r="DQ1174" i="43"/>
  <c r="DN1174" i="43"/>
  <c r="DM1175" i="43"/>
  <c r="DU1174" i="43"/>
  <c r="DT1175" i="43"/>
  <c r="DS1173" i="43"/>
  <c r="DR1174" i="43"/>
  <c r="DW631" i="43"/>
  <c r="DQ1175" i="43" l="1"/>
  <c r="DG1176" i="43"/>
  <c r="DU1175" i="43"/>
  <c r="DT1176" i="43"/>
  <c r="DN1175" i="43"/>
  <c r="DM1176" i="43"/>
  <c r="DW630" i="43"/>
  <c r="DS1174" i="43"/>
  <c r="DR1175" i="43"/>
  <c r="DG1177" i="43" l="1"/>
  <c r="DQ1176" i="43"/>
  <c r="DN1176" i="43"/>
  <c r="DM1177" i="43"/>
  <c r="DU1176" i="43"/>
  <c r="DT1177" i="43"/>
  <c r="DS1175" i="43"/>
  <c r="DR1176" i="43"/>
  <c r="DW629" i="43"/>
  <c r="DQ1177" i="43" l="1"/>
  <c r="DG1178" i="43"/>
  <c r="DU1177" i="43"/>
  <c r="DT1178" i="43"/>
  <c r="DN1177" i="43"/>
  <c r="DM1178" i="43"/>
  <c r="DW628" i="43"/>
  <c r="DS1176" i="43"/>
  <c r="DR1177" i="43"/>
  <c r="DQ1178" i="43" l="1"/>
  <c r="DG1179" i="43"/>
  <c r="DN1178" i="43"/>
  <c r="DM1179" i="43"/>
  <c r="DU1178" i="43"/>
  <c r="DT1179" i="43"/>
  <c r="DS1177" i="43"/>
  <c r="DR1178" i="43"/>
  <c r="DW627" i="43"/>
  <c r="DG1180" i="43" l="1"/>
  <c r="DQ1179" i="43"/>
  <c r="DN1179" i="43"/>
  <c r="DM1180" i="43"/>
  <c r="DU1179" i="43"/>
  <c r="DT1180" i="43"/>
  <c r="DW626" i="43"/>
  <c r="DS1178" i="43"/>
  <c r="DR1179" i="43"/>
  <c r="DG1181" i="43" l="1"/>
  <c r="DQ1180" i="43"/>
  <c r="DU1180" i="43"/>
  <c r="DT1181" i="43"/>
  <c r="DN1180" i="43"/>
  <c r="DM1181" i="43"/>
  <c r="DS1179" i="43"/>
  <c r="DR1180" i="43"/>
  <c r="DW625" i="43"/>
  <c r="DG1182" i="43" l="1"/>
  <c r="DQ1181" i="43"/>
  <c r="DU1181" i="43"/>
  <c r="DT1182" i="43"/>
  <c r="DN1181" i="43"/>
  <c r="DM1182" i="43"/>
  <c r="DW624" i="43"/>
  <c r="DS1180" i="43"/>
  <c r="DR1181" i="43"/>
  <c r="DG1183" i="43" l="1"/>
  <c r="DQ1182" i="43"/>
  <c r="DN1182" i="43"/>
  <c r="DM1183" i="43"/>
  <c r="DU1182" i="43"/>
  <c r="DT1183" i="43"/>
  <c r="DS1181" i="43"/>
  <c r="DR1182" i="43"/>
  <c r="DW623" i="43"/>
  <c r="DQ1183" i="43" l="1"/>
  <c r="DG1184" i="43"/>
  <c r="DU1183" i="43"/>
  <c r="DT1184" i="43"/>
  <c r="DN1183" i="43"/>
  <c r="DM1184" i="43"/>
  <c r="DW622" i="43"/>
  <c r="DS1182" i="43"/>
  <c r="DR1183" i="43"/>
  <c r="DQ1184" i="43" l="1"/>
  <c r="DG1185" i="43"/>
  <c r="DN1184" i="43"/>
  <c r="DM1185" i="43"/>
  <c r="DU1184" i="43"/>
  <c r="DT1185" i="43"/>
  <c r="DS1183" i="43"/>
  <c r="DR1184" i="43"/>
  <c r="DW621" i="43"/>
  <c r="DQ1185" i="43" l="1"/>
  <c r="DG1186" i="43"/>
  <c r="DU1185" i="43"/>
  <c r="DT1186" i="43"/>
  <c r="DN1185" i="43"/>
  <c r="DM1186" i="43"/>
  <c r="DW620" i="43"/>
  <c r="DS1184" i="43"/>
  <c r="DR1185" i="43"/>
  <c r="DG1187" i="43" l="1"/>
  <c r="DQ1186" i="43"/>
  <c r="DU1186" i="43"/>
  <c r="DT1187" i="43"/>
  <c r="DN1186" i="43"/>
  <c r="DM1187" i="43"/>
  <c r="DS1185" i="43"/>
  <c r="DR1186" i="43"/>
  <c r="DW619" i="43"/>
  <c r="DG1188" i="43" l="1"/>
  <c r="DQ1187" i="43"/>
  <c r="DN1187" i="43"/>
  <c r="DM1188" i="43"/>
  <c r="DU1187" i="43"/>
  <c r="DT1188" i="43"/>
  <c r="DS1186" i="43"/>
  <c r="DR1187" i="43"/>
  <c r="DW618" i="43"/>
  <c r="DQ1188" i="43" l="1"/>
  <c r="DG1189" i="43"/>
  <c r="DN1188" i="43"/>
  <c r="DM1189" i="43"/>
  <c r="DU1188" i="43"/>
  <c r="DT1189" i="43"/>
  <c r="DW617" i="43"/>
  <c r="DS1187" i="43"/>
  <c r="DR1188" i="43"/>
  <c r="DQ1189" i="43" l="1"/>
  <c r="DG1190" i="43"/>
  <c r="DN1189" i="43"/>
  <c r="DM1190" i="43"/>
  <c r="DU1189" i="43"/>
  <c r="DT1190" i="43"/>
  <c r="DS1188" i="43"/>
  <c r="DR1189" i="43"/>
  <c r="DW616" i="43"/>
  <c r="DG1191" i="43" l="1"/>
  <c r="DQ1190" i="43"/>
  <c r="DU1190" i="43"/>
  <c r="DT1191" i="43"/>
  <c r="DN1190" i="43"/>
  <c r="DM1191" i="43"/>
  <c r="DS1189" i="43"/>
  <c r="DR1190" i="43"/>
  <c r="DW615" i="43"/>
  <c r="DQ1191" i="43" l="1"/>
  <c r="DG1192" i="43"/>
  <c r="DU1191" i="43"/>
  <c r="DT1192" i="43"/>
  <c r="DN1191" i="43"/>
  <c r="DM1192" i="43"/>
  <c r="DW614" i="43"/>
  <c r="DS1190" i="43"/>
  <c r="DR1191" i="43"/>
  <c r="DQ1192" i="43" l="1"/>
  <c r="DG1193" i="43"/>
  <c r="DN1192" i="43"/>
  <c r="DM1193" i="43"/>
  <c r="DU1192" i="43"/>
  <c r="DT1193" i="43"/>
  <c r="DS1191" i="43"/>
  <c r="DR1192" i="43"/>
  <c r="DW613" i="43"/>
  <c r="DG1194" i="43" l="1"/>
  <c r="DQ1193" i="43"/>
  <c r="DU1193" i="43"/>
  <c r="DT1194" i="43"/>
  <c r="DN1193" i="43"/>
  <c r="DM1194" i="43"/>
  <c r="DW612" i="43"/>
  <c r="DS1192" i="43"/>
  <c r="DR1193" i="43"/>
  <c r="DG1195" i="43" l="1"/>
  <c r="DQ1194" i="43"/>
  <c r="DN1194" i="43"/>
  <c r="DM1195" i="43"/>
  <c r="DU1194" i="43"/>
  <c r="DT1195" i="43"/>
  <c r="DS1193" i="43"/>
  <c r="DR1194" i="43"/>
  <c r="DW611" i="43"/>
  <c r="DQ1195" i="43" l="1"/>
  <c r="DG1196" i="43"/>
  <c r="DN1195" i="43"/>
  <c r="DM1196" i="43"/>
  <c r="DU1195" i="43"/>
  <c r="DT1196" i="43"/>
  <c r="DW610" i="43"/>
  <c r="DS1194" i="43"/>
  <c r="DR1195" i="43"/>
  <c r="DQ1196" i="43" l="1"/>
  <c r="DG1197" i="43"/>
  <c r="DN1196" i="43"/>
  <c r="DM1197" i="43"/>
  <c r="DU1196" i="43"/>
  <c r="DT1197" i="43"/>
  <c r="DS1195" i="43"/>
  <c r="DR1196" i="43"/>
  <c r="DW609" i="43"/>
  <c r="DG1198" i="43" l="1"/>
  <c r="DQ1197" i="43"/>
  <c r="DN1197" i="43"/>
  <c r="DM1198" i="43"/>
  <c r="DU1197" i="43"/>
  <c r="DT1198" i="43"/>
  <c r="DW608" i="43"/>
  <c r="DS1196" i="43"/>
  <c r="DR1197" i="43"/>
  <c r="DG1199" i="43" l="1"/>
  <c r="DQ1198" i="43"/>
  <c r="DN1198" i="43"/>
  <c r="DM1199" i="43"/>
  <c r="DU1198" i="43"/>
  <c r="DT1199" i="43"/>
  <c r="DS1197" i="43"/>
  <c r="DR1198" i="43"/>
  <c r="DW607" i="43"/>
  <c r="DQ1199" i="43" l="1"/>
  <c r="DG1200" i="43"/>
  <c r="DN1199" i="43"/>
  <c r="DM1200" i="43"/>
  <c r="DN1200" i="43" s="1"/>
  <c r="BX29" i="43" s="1" a="1"/>
  <c r="BX29" i="43" s="1"/>
  <c r="DU1199" i="43"/>
  <c r="DT1200" i="43"/>
  <c r="DU1200" i="43" s="1"/>
  <c r="BS31" i="43" s="1" a="1"/>
  <c r="BS31" i="43" s="1"/>
  <c r="DW606" i="43"/>
  <c r="DS1198" i="43"/>
  <c r="DR1199" i="43"/>
  <c r="DG1201" i="43" l="1"/>
  <c r="DQ1200" i="43"/>
  <c r="DV1200" i="43" s="1"/>
  <c r="DV1199" i="43" s="1"/>
  <c r="DV1198" i="43" s="1"/>
  <c r="DV1197" i="43" s="1"/>
  <c r="DV1196" i="43" s="1"/>
  <c r="DV1195" i="43" s="1"/>
  <c r="DV1194" i="43" s="1"/>
  <c r="DV1193" i="43" s="1"/>
  <c r="DV1192" i="43" s="1"/>
  <c r="DV1191" i="43" s="1"/>
  <c r="DV1190" i="43" s="1"/>
  <c r="DV1189" i="43" s="1"/>
  <c r="DV1188" i="43" s="1"/>
  <c r="DV1187" i="43" s="1"/>
  <c r="DV1186" i="43" s="1"/>
  <c r="DV1185" i="43" s="1"/>
  <c r="DV1184" i="43" s="1"/>
  <c r="DV1183" i="43" s="1"/>
  <c r="DV1182" i="43" s="1"/>
  <c r="DV1181" i="43" s="1"/>
  <c r="DV1180" i="43" s="1"/>
  <c r="DV1179" i="43" s="1"/>
  <c r="DV1178" i="43" s="1"/>
  <c r="DV1177" i="43" s="1"/>
  <c r="DV1176" i="43" s="1"/>
  <c r="DV1175" i="43" s="1"/>
  <c r="DV1174" i="43" s="1"/>
  <c r="DV1173" i="43" s="1"/>
  <c r="DV1172" i="43" s="1"/>
  <c r="DV1171" i="43" s="1"/>
  <c r="DV1170" i="43" s="1"/>
  <c r="DV1169" i="43" s="1"/>
  <c r="DV1168" i="43" s="1"/>
  <c r="DV1167" i="43" s="1"/>
  <c r="DV1166" i="43" s="1"/>
  <c r="DV1165" i="43" s="1"/>
  <c r="DV1164" i="43" s="1"/>
  <c r="DV1163" i="43" s="1"/>
  <c r="DV1162" i="43" s="1"/>
  <c r="DV1161" i="43" s="1"/>
  <c r="DV1160" i="43" s="1"/>
  <c r="DV1159" i="43" s="1"/>
  <c r="DV1158" i="43" s="1"/>
  <c r="DV1157" i="43" s="1"/>
  <c r="DV1156" i="43" s="1"/>
  <c r="DV1155" i="43" s="1"/>
  <c r="DV1154" i="43" s="1"/>
  <c r="DV1153" i="43" s="1"/>
  <c r="DV1152" i="43" s="1"/>
  <c r="DV1151" i="43" s="1"/>
  <c r="DV1150" i="43" s="1"/>
  <c r="DV1149" i="43" s="1"/>
  <c r="DV1148" i="43" s="1"/>
  <c r="DV1147" i="43" s="1"/>
  <c r="DV1146" i="43" s="1"/>
  <c r="DV1145" i="43" s="1"/>
  <c r="DV1144" i="43" s="1"/>
  <c r="DV1143" i="43" s="1"/>
  <c r="DV1142" i="43" s="1"/>
  <c r="DV1141" i="43" s="1"/>
  <c r="DV1140" i="43" s="1"/>
  <c r="DV1139" i="43" s="1"/>
  <c r="DV1138" i="43" s="1"/>
  <c r="DV1137" i="43" s="1"/>
  <c r="DV1136" i="43" s="1"/>
  <c r="DV1135" i="43" s="1"/>
  <c r="DV1134" i="43" s="1"/>
  <c r="DV1133" i="43" s="1"/>
  <c r="DV1132" i="43" s="1"/>
  <c r="DV1131" i="43" s="1"/>
  <c r="DV1130" i="43" s="1"/>
  <c r="DV1129" i="43" s="1"/>
  <c r="DV1128" i="43" s="1"/>
  <c r="DV1127" i="43" s="1"/>
  <c r="DV1126" i="43" s="1"/>
  <c r="DV1125" i="43" s="1"/>
  <c r="DV1124" i="43" s="1"/>
  <c r="DV1123" i="43" s="1"/>
  <c r="DV1122" i="43" s="1"/>
  <c r="DV1121" i="43" s="1"/>
  <c r="DV1120" i="43" s="1"/>
  <c r="DV1119" i="43" s="1"/>
  <c r="DV1118" i="43" s="1"/>
  <c r="DV1117" i="43" s="1"/>
  <c r="DV1116" i="43" s="1"/>
  <c r="DV1115" i="43" s="1"/>
  <c r="DV1114" i="43" s="1"/>
  <c r="DV1113" i="43" s="1"/>
  <c r="DV1112" i="43" s="1"/>
  <c r="DV1111" i="43" s="1"/>
  <c r="DV1110" i="43" s="1"/>
  <c r="DV1109" i="43" s="1"/>
  <c r="DV1108" i="43" s="1"/>
  <c r="DV1107" i="43" s="1"/>
  <c r="DV1106" i="43" s="1"/>
  <c r="DV1105" i="43" s="1"/>
  <c r="DV1104" i="43" s="1"/>
  <c r="DV1103" i="43" s="1"/>
  <c r="DV1102" i="43" s="1"/>
  <c r="DV1101" i="43" s="1"/>
  <c r="DV1100" i="43" s="1"/>
  <c r="DV1099" i="43" s="1"/>
  <c r="DV1098" i="43" s="1"/>
  <c r="DV1097" i="43" s="1"/>
  <c r="DV1096" i="43" s="1"/>
  <c r="DV1095" i="43" s="1"/>
  <c r="DV1094" i="43" s="1"/>
  <c r="DV1093" i="43" s="1"/>
  <c r="DV1092" i="43" s="1"/>
  <c r="DV1091" i="43" s="1"/>
  <c r="DV1090" i="43" s="1"/>
  <c r="DV1089" i="43" s="1"/>
  <c r="DV1088" i="43" s="1"/>
  <c r="DV1087" i="43" s="1"/>
  <c r="DV1086" i="43" s="1"/>
  <c r="DV1085" i="43" s="1"/>
  <c r="DV1084" i="43" s="1"/>
  <c r="DV1083" i="43" s="1"/>
  <c r="DV1082" i="43" s="1"/>
  <c r="DV1081" i="43" s="1"/>
  <c r="DV1080" i="43" s="1"/>
  <c r="DV1079" i="43" s="1"/>
  <c r="DV1078" i="43" s="1"/>
  <c r="DV1077" i="43" s="1"/>
  <c r="DV1076" i="43" s="1"/>
  <c r="DV1075" i="43" s="1"/>
  <c r="DV1074" i="43" s="1"/>
  <c r="DV1073" i="43" s="1"/>
  <c r="DV1072" i="43" s="1"/>
  <c r="DV1071" i="43" s="1"/>
  <c r="DV1070" i="43" s="1"/>
  <c r="DV1069" i="43" s="1"/>
  <c r="DV1068" i="43" s="1"/>
  <c r="DV1067" i="43" s="1"/>
  <c r="DV1066" i="43" s="1"/>
  <c r="DV1065" i="43" s="1"/>
  <c r="DV1064" i="43" s="1"/>
  <c r="DV1063" i="43" s="1"/>
  <c r="DV1062" i="43" s="1"/>
  <c r="DV1061" i="43" s="1"/>
  <c r="DV1060" i="43" s="1"/>
  <c r="DV1059" i="43" s="1"/>
  <c r="DV1058" i="43" s="1"/>
  <c r="DV1057" i="43" s="1"/>
  <c r="DV1056" i="43" s="1"/>
  <c r="DV1055" i="43" s="1"/>
  <c r="DV1054" i="43" s="1"/>
  <c r="DV1053" i="43" s="1"/>
  <c r="DV1052" i="43" s="1"/>
  <c r="DV1051" i="43" s="1"/>
  <c r="DV1050" i="43" s="1"/>
  <c r="DV1049" i="43" s="1"/>
  <c r="DV1048" i="43" s="1"/>
  <c r="DV1047" i="43" s="1"/>
  <c r="DV1046" i="43" s="1"/>
  <c r="DV1045" i="43" s="1"/>
  <c r="DV1044" i="43" s="1"/>
  <c r="DV1043" i="43" s="1"/>
  <c r="DV1042" i="43" s="1"/>
  <c r="DV1041" i="43" s="1"/>
  <c r="DV1040" i="43" s="1"/>
  <c r="DV1039" i="43" s="1"/>
  <c r="DV1038" i="43" s="1"/>
  <c r="DV1037" i="43" s="1"/>
  <c r="DV1036" i="43" s="1"/>
  <c r="DV1035" i="43" s="1"/>
  <c r="DV1034" i="43" s="1"/>
  <c r="DV1033" i="43" s="1"/>
  <c r="DV1032" i="43" s="1"/>
  <c r="DV1031" i="43" s="1"/>
  <c r="DV1030" i="43" s="1"/>
  <c r="DV1029" i="43" s="1"/>
  <c r="DV1028" i="43" s="1"/>
  <c r="DV1027" i="43" s="1"/>
  <c r="DV1026" i="43" s="1"/>
  <c r="DV1025" i="43" s="1"/>
  <c r="DV1024" i="43" s="1"/>
  <c r="DV1023" i="43" s="1"/>
  <c r="DV1022" i="43" s="1"/>
  <c r="DV1021" i="43" s="1"/>
  <c r="DV1020" i="43" s="1"/>
  <c r="DV1019" i="43" s="1"/>
  <c r="DV1018" i="43" s="1"/>
  <c r="DV1017" i="43" s="1"/>
  <c r="DV1016" i="43" s="1"/>
  <c r="DV1015" i="43" s="1"/>
  <c r="DV1014" i="43" s="1"/>
  <c r="DV1013" i="43" s="1"/>
  <c r="DV1012" i="43" s="1"/>
  <c r="DV1011" i="43" s="1"/>
  <c r="DV1010" i="43" s="1"/>
  <c r="DV1009" i="43" s="1"/>
  <c r="DV1008" i="43" s="1"/>
  <c r="DV1007" i="43" s="1"/>
  <c r="DV1006" i="43" s="1"/>
  <c r="DV1005" i="43" s="1"/>
  <c r="DV1004" i="43" s="1"/>
  <c r="DV1003" i="43" s="1"/>
  <c r="DV1002" i="43" s="1"/>
  <c r="DV1001" i="43" s="1"/>
  <c r="DV1000" i="43" s="1"/>
  <c r="DV999" i="43" s="1"/>
  <c r="DV998" i="43" s="1"/>
  <c r="DV997" i="43" s="1"/>
  <c r="DV996" i="43" s="1"/>
  <c r="DV995" i="43" s="1"/>
  <c r="DV994" i="43" s="1"/>
  <c r="DV993" i="43" s="1"/>
  <c r="DV992" i="43" s="1"/>
  <c r="DV991" i="43" s="1"/>
  <c r="DV990" i="43" s="1"/>
  <c r="DV989" i="43" s="1"/>
  <c r="DV988" i="43" s="1"/>
  <c r="DV987" i="43" s="1"/>
  <c r="DV986" i="43" s="1"/>
  <c r="DV985" i="43" s="1"/>
  <c r="DV984" i="43" s="1"/>
  <c r="DV983" i="43" s="1"/>
  <c r="DV982" i="43" s="1"/>
  <c r="DV981" i="43" s="1"/>
  <c r="DV980" i="43" s="1"/>
  <c r="DV979" i="43" s="1"/>
  <c r="DV978" i="43" s="1"/>
  <c r="DV977" i="43" s="1"/>
  <c r="DV976" i="43" s="1"/>
  <c r="DV975" i="43" s="1"/>
  <c r="DV974" i="43" s="1"/>
  <c r="DV973" i="43" s="1"/>
  <c r="DV972" i="43" s="1"/>
  <c r="DV971" i="43" s="1"/>
  <c r="DV970" i="43" s="1"/>
  <c r="DV969" i="43" s="1"/>
  <c r="DV968" i="43" s="1"/>
  <c r="DV967" i="43" s="1"/>
  <c r="DV966" i="43" s="1"/>
  <c r="DV965" i="43" s="1"/>
  <c r="DV964" i="43" s="1"/>
  <c r="DV963" i="43" s="1"/>
  <c r="DV962" i="43" s="1"/>
  <c r="DV961" i="43" s="1"/>
  <c r="DV960" i="43" s="1"/>
  <c r="DV959" i="43" s="1"/>
  <c r="DV958" i="43" s="1"/>
  <c r="DV957" i="43" s="1"/>
  <c r="DV956" i="43" s="1"/>
  <c r="DV955" i="43" s="1"/>
  <c r="DV954" i="43" s="1"/>
  <c r="DV953" i="43" s="1"/>
  <c r="DV952" i="43" s="1"/>
  <c r="DV951" i="43" s="1"/>
  <c r="DV950" i="43" s="1"/>
  <c r="DV949" i="43" s="1"/>
  <c r="DV948" i="43" s="1"/>
  <c r="DV947" i="43" s="1"/>
  <c r="DV946" i="43" s="1"/>
  <c r="DV945" i="43" s="1"/>
  <c r="DV944" i="43" s="1"/>
  <c r="DV943" i="43" s="1"/>
  <c r="DV942" i="43" s="1"/>
  <c r="DV941" i="43" s="1"/>
  <c r="DV940" i="43" s="1"/>
  <c r="DV939" i="43" s="1"/>
  <c r="DV938" i="43" s="1"/>
  <c r="DV937" i="43" s="1"/>
  <c r="DV936" i="43" s="1"/>
  <c r="DV935" i="43" s="1"/>
  <c r="DV934" i="43" s="1"/>
  <c r="DV933" i="43" s="1"/>
  <c r="DV932" i="43" s="1"/>
  <c r="DV931" i="43" s="1"/>
  <c r="DV930" i="43" s="1"/>
  <c r="DV929" i="43" s="1"/>
  <c r="DV928" i="43" s="1"/>
  <c r="DV927" i="43" s="1"/>
  <c r="DV926" i="43" s="1"/>
  <c r="DV925" i="43" s="1"/>
  <c r="DV924" i="43" s="1"/>
  <c r="DV923" i="43" s="1"/>
  <c r="DV922" i="43" s="1"/>
  <c r="DV921" i="43" s="1"/>
  <c r="DV920" i="43" s="1"/>
  <c r="DV919" i="43" s="1"/>
  <c r="DV918" i="43" s="1"/>
  <c r="DV917" i="43" s="1"/>
  <c r="DV916" i="43" s="1"/>
  <c r="DV915" i="43" s="1"/>
  <c r="DV914" i="43" s="1"/>
  <c r="DV913" i="43" s="1"/>
  <c r="DV912" i="43" s="1"/>
  <c r="DV911" i="43" s="1"/>
  <c r="DV910" i="43" s="1"/>
  <c r="DV909" i="43" s="1"/>
  <c r="DV908" i="43" s="1"/>
  <c r="DV907" i="43" s="1"/>
  <c r="DV906" i="43" s="1"/>
  <c r="DV905" i="43" s="1"/>
  <c r="DV904" i="43" s="1"/>
  <c r="DV903" i="43" s="1"/>
  <c r="DV902" i="43" s="1"/>
  <c r="DV901" i="43" s="1"/>
  <c r="DV900" i="43" s="1"/>
  <c r="DV899" i="43" s="1"/>
  <c r="DV898" i="43" s="1"/>
  <c r="DV897" i="43" s="1"/>
  <c r="DV896" i="43" s="1"/>
  <c r="DV895" i="43" s="1"/>
  <c r="DV894" i="43" s="1"/>
  <c r="DV893" i="43" s="1"/>
  <c r="DV892" i="43" s="1"/>
  <c r="DV891" i="43" s="1"/>
  <c r="DV890" i="43" s="1"/>
  <c r="DV889" i="43" s="1"/>
  <c r="DV888" i="43" s="1"/>
  <c r="DV887" i="43" s="1"/>
  <c r="DV886" i="43" s="1"/>
  <c r="DV885" i="43" s="1"/>
  <c r="DV884" i="43" s="1"/>
  <c r="DV883" i="43" s="1"/>
  <c r="DV882" i="43" s="1"/>
  <c r="DV881" i="43" s="1"/>
  <c r="DV880" i="43" s="1"/>
  <c r="DV879" i="43" s="1"/>
  <c r="DV878" i="43" s="1"/>
  <c r="DV877" i="43" s="1"/>
  <c r="DV876" i="43" s="1"/>
  <c r="DV875" i="43" s="1"/>
  <c r="DV874" i="43" s="1"/>
  <c r="DV873" i="43" s="1"/>
  <c r="DV872" i="43" s="1"/>
  <c r="DV871" i="43" s="1"/>
  <c r="DV870" i="43" s="1"/>
  <c r="DV869" i="43" s="1"/>
  <c r="DV868" i="43" s="1"/>
  <c r="DV867" i="43" s="1"/>
  <c r="DV866" i="43" s="1"/>
  <c r="DV865" i="43" s="1"/>
  <c r="DV864" i="43" s="1"/>
  <c r="DV863" i="43" s="1"/>
  <c r="DV862" i="43" s="1"/>
  <c r="DV861" i="43" s="1"/>
  <c r="DV860" i="43" s="1"/>
  <c r="DV859" i="43" s="1"/>
  <c r="DV858" i="43" s="1"/>
  <c r="DV857" i="43" s="1"/>
  <c r="DV856" i="43" s="1"/>
  <c r="DV855" i="43" s="1"/>
  <c r="DV854" i="43" s="1"/>
  <c r="DV853" i="43" s="1"/>
  <c r="DV852" i="43" s="1"/>
  <c r="DV851" i="43" s="1"/>
  <c r="DV850" i="43" s="1"/>
  <c r="DV849" i="43" s="1"/>
  <c r="DV848" i="43" s="1"/>
  <c r="DV847" i="43" s="1"/>
  <c r="DV846" i="43" s="1"/>
  <c r="DV845" i="43" s="1"/>
  <c r="DV844" i="43" s="1"/>
  <c r="DV843" i="43" s="1"/>
  <c r="DV842" i="43" s="1"/>
  <c r="DV841" i="43" s="1"/>
  <c r="DV840" i="43" s="1"/>
  <c r="DV839" i="43" s="1"/>
  <c r="DV838" i="43" s="1"/>
  <c r="DV837" i="43" s="1"/>
  <c r="DV836" i="43" s="1"/>
  <c r="DV835" i="43" s="1"/>
  <c r="DV834" i="43" s="1"/>
  <c r="DV833" i="43" s="1"/>
  <c r="DV832" i="43" s="1"/>
  <c r="DV831" i="43" s="1"/>
  <c r="DV830" i="43" s="1"/>
  <c r="DV829" i="43" s="1"/>
  <c r="DV828" i="43" s="1"/>
  <c r="DV827" i="43" s="1"/>
  <c r="DV826" i="43" s="1"/>
  <c r="DV825" i="43" s="1"/>
  <c r="DV824" i="43" s="1"/>
  <c r="DV823" i="43" s="1"/>
  <c r="DV822" i="43" s="1"/>
  <c r="DV821" i="43" s="1"/>
  <c r="DV820" i="43" s="1"/>
  <c r="DV819" i="43" s="1"/>
  <c r="DV818" i="43" s="1"/>
  <c r="DV817" i="43" s="1"/>
  <c r="DV816" i="43" s="1"/>
  <c r="DV815" i="43" s="1"/>
  <c r="DV814" i="43" s="1"/>
  <c r="DV813" i="43" s="1"/>
  <c r="DV812" i="43" s="1"/>
  <c r="DV811" i="43" s="1"/>
  <c r="DV810" i="43" s="1"/>
  <c r="DV809" i="43" s="1"/>
  <c r="DV808" i="43" s="1"/>
  <c r="DV807" i="43" s="1"/>
  <c r="DV806" i="43" s="1"/>
  <c r="DV805" i="43" s="1"/>
  <c r="DV804" i="43" s="1"/>
  <c r="DV803" i="43" s="1"/>
  <c r="DV802" i="43" s="1"/>
  <c r="DV801" i="43" s="1"/>
  <c r="DV800" i="43" s="1"/>
  <c r="DV799" i="43" s="1"/>
  <c r="DV798" i="43" s="1"/>
  <c r="DV797" i="43" s="1"/>
  <c r="DV796" i="43" s="1"/>
  <c r="DV795" i="43" s="1"/>
  <c r="DV794" i="43" s="1"/>
  <c r="DV793" i="43" s="1"/>
  <c r="DV792" i="43" s="1"/>
  <c r="DV791" i="43" s="1"/>
  <c r="DV790" i="43" s="1"/>
  <c r="DV789" i="43" s="1"/>
  <c r="DV788" i="43" s="1"/>
  <c r="DV787" i="43" s="1"/>
  <c r="DV786" i="43" s="1"/>
  <c r="DV785" i="43" s="1"/>
  <c r="DV784" i="43" s="1"/>
  <c r="DV783" i="43" s="1"/>
  <c r="DV782" i="43" s="1"/>
  <c r="DV781" i="43" s="1"/>
  <c r="DV780" i="43" s="1"/>
  <c r="DV779" i="43" s="1"/>
  <c r="DV778" i="43" s="1"/>
  <c r="DV777" i="43" s="1"/>
  <c r="DV776" i="43" s="1"/>
  <c r="DV775" i="43" s="1"/>
  <c r="DV774" i="43" s="1"/>
  <c r="DV773" i="43" s="1"/>
  <c r="DV772" i="43" s="1"/>
  <c r="DV771" i="43" s="1"/>
  <c r="DV770" i="43" s="1"/>
  <c r="DV769" i="43" s="1"/>
  <c r="DV768" i="43" s="1"/>
  <c r="DV767" i="43" s="1"/>
  <c r="DV766" i="43" s="1"/>
  <c r="DV765" i="43" s="1"/>
  <c r="DV764" i="43" s="1"/>
  <c r="DV763" i="43" s="1"/>
  <c r="DV762" i="43" s="1"/>
  <c r="DV761" i="43" s="1"/>
  <c r="DV760" i="43" s="1"/>
  <c r="DV759" i="43" s="1"/>
  <c r="DV758" i="43" s="1"/>
  <c r="DV757" i="43" s="1"/>
  <c r="DV756" i="43" s="1"/>
  <c r="DV755" i="43" s="1"/>
  <c r="DV754" i="43" s="1"/>
  <c r="DV753" i="43" s="1"/>
  <c r="DV752" i="43" s="1"/>
  <c r="DV751" i="43" s="1"/>
  <c r="DV750" i="43" s="1"/>
  <c r="DV749" i="43" s="1"/>
  <c r="DV748" i="43" s="1"/>
  <c r="DV747" i="43" s="1"/>
  <c r="DV746" i="43" s="1"/>
  <c r="DV745" i="43" s="1"/>
  <c r="DV744" i="43" s="1"/>
  <c r="DV743" i="43" s="1"/>
  <c r="DV742" i="43" s="1"/>
  <c r="DV741" i="43" s="1"/>
  <c r="DV740" i="43" s="1"/>
  <c r="DV739" i="43" s="1"/>
  <c r="DV738" i="43" s="1"/>
  <c r="DV737" i="43" s="1"/>
  <c r="DV736" i="43" s="1"/>
  <c r="DV735" i="43" s="1"/>
  <c r="DV734" i="43" s="1"/>
  <c r="DV733" i="43" s="1"/>
  <c r="DV732" i="43" s="1"/>
  <c r="DV731" i="43" s="1"/>
  <c r="DV730" i="43" s="1"/>
  <c r="DV729" i="43" s="1"/>
  <c r="DV728" i="43" s="1"/>
  <c r="DV727" i="43" s="1"/>
  <c r="DV726" i="43" s="1"/>
  <c r="DV725" i="43" s="1"/>
  <c r="DV724" i="43" s="1"/>
  <c r="DV723" i="43" s="1"/>
  <c r="DV722" i="43" s="1"/>
  <c r="DV721" i="43" s="1"/>
  <c r="DV720" i="43" s="1"/>
  <c r="DV719" i="43" s="1"/>
  <c r="DV718" i="43" s="1"/>
  <c r="DV717" i="43" s="1"/>
  <c r="DV716" i="43" s="1"/>
  <c r="DV715" i="43" s="1"/>
  <c r="DV714" i="43" s="1"/>
  <c r="DV713" i="43" s="1"/>
  <c r="DV712" i="43" s="1"/>
  <c r="DV711" i="43" s="1"/>
  <c r="DV710" i="43" s="1"/>
  <c r="DV709" i="43" s="1"/>
  <c r="DV708" i="43" s="1"/>
  <c r="DV707" i="43" s="1"/>
  <c r="DV706" i="43" s="1"/>
  <c r="DV705" i="43" s="1"/>
  <c r="DV704" i="43" s="1"/>
  <c r="DV703" i="43" s="1"/>
  <c r="DV702" i="43" s="1"/>
  <c r="DV701" i="43" s="1"/>
  <c r="DV700" i="43" s="1"/>
  <c r="DV699" i="43" s="1"/>
  <c r="DV698" i="43" s="1"/>
  <c r="DV697" i="43" s="1"/>
  <c r="DV696" i="43" s="1"/>
  <c r="DV695" i="43" s="1"/>
  <c r="DV694" i="43" s="1"/>
  <c r="DV693" i="43" s="1"/>
  <c r="DV692" i="43" s="1"/>
  <c r="DV691" i="43" s="1"/>
  <c r="DV690" i="43" s="1"/>
  <c r="DV689" i="43" s="1"/>
  <c r="DV688" i="43" s="1"/>
  <c r="DV687" i="43" s="1"/>
  <c r="DV686" i="43" s="1"/>
  <c r="DV685" i="43" s="1"/>
  <c r="DV684" i="43" s="1"/>
  <c r="DV683" i="43" s="1"/>
  <c r="DV682" i="43" s="1"/>
  <c r="DV681" i="43" s="1"/>
  <c r="DV680" i="43" s="1"/>
  <c r="DV679" i="43" s="1"/>
  <c r="DV678" i="43" s="1"/>
  <c r="DV677" i="43" s="1"/>
  <c r="DV676" i="43" s="1"/>
  <c r="DV675" i="43" s="1"/>
  <c r="DV674" i="43" s="1"/>
  <c r="DV673" i="43" s="1"/>
  <c r="DV672" i="43" s="1"/>
  <c r="DV671" i="43" s="1"/>
  <c r="DV670" i="43" s="1"/>
  <c r="DV669" i="43" s="1"/>
  <c r="DV668" i="43" s="1"/>
  <c r="DV667" i="43" s="1"/>
  <c r="DV666" i="43" s="1"/>
  <c r="DV665" i="43" s="1"/>
  <c r="DV664" i="43" s="1"/>
  <c r="DV663" i="43" s="1"/>
  <c r="DV662" i="43" s="1"/>
  <c r="DV661" i="43" s="1"/>
  <c r="DV660" i="43" s="1"/>
  <c r="DV659" i="43" s="1"/>
  <c r="DV658" i="43" s="1"/>
  <c r="DV657" i="43" s="1"/>
  <c r="DV656" i="43" s="1"/>
  <c r="DV655" i="43" s="1"/>
  <c r="DV654" i="43" s="1"/>
  <c r="DV653" i="43" s="1"/>
  <c r="DV652" i="43" s="1"/>
  <c r="DV651" i="43" s="1"/>
  <c r="DV650" i="43" s="1"/>
  <c r="DV649" i="43" s="1"/>
  <c r="DV648" i="43" s="1"/>
  <c r="DV647" i="43" s="1"/>
  <c r="DV646" i="43" s="1"/>
  <c r="DV645" i="43" s="1"/>
  <c r="DV644" i="43" s="1"/>
  <c r="DV643" i="43" s="1"/>
  <c r="DV642" i="43" s="1"/>
  <c r="DV641" i="43" s="1"/>
  <c r="DV640" i="43" s="1"/>
  <c r="DV639" i="43" s="1"/>
  <c r="DV638" i="43" s="1"/>
  <c r="DV637" i="43" s="1"/>
  <c r="DV636" i="43" s="1"/>
  <c r="DV635" i="43" s="1"/>
  <c r="DV634" i="43" s="1"/>
  <c r="DV633" i="43" s="1"/>
  <c r="DV632" i="43" s="1"/>
  <c r="DV631" i="43" s="1"/>
  <c r="DV630" i="43" s="1"/>
  <c r="DV629" i="43" s="1"/>
  <c r="DV628" i="43" s="1"/>
  <c r="DV627" i="43" s="1"/>
  <c r="DV626" i="43" s="1"/>
  <c r="DV625" i="43" s="1"/>
  <c r="DV624" i="43" s="1"/>
  <c r="DV623" i="43" s="1"/>
  <c r="DV622" i="43" s="1"/>
  <c r="DV621" i="43" s="1"/>
  <c r="DV620" i="43" s="1"/>
  <c r="DV619" i="43" s="1"/>
  <c r="DV618" i="43" s="1"/>
  <c r="DV617" i="43" s="1"/>
  <c r="DV616" i="43" s="1"/>
  <c r="DV615" i="43" s="1"/>
  <c r="DV614" i="43" s="1"/>
  <c r="DV613" i="43" s="1"/>
  <c r="DV612" i="43" s="1"/>
  <c r="DV611" i="43" s="1"/>
  <c r="DV610" i="43" s="1"/>
  <c r="DV609" i="43" s="1"/>
  <c r="DV608" i="43" s="1"/>
  <c r="DV607" i="43" s="1"/>
  <c r="DV606" i="43" s="1"/>
  <c r="DV605" i="43" s="1"/>
  <c r="DV604" i="43" s="1"/>
  <c r="DS1199" i="43"/>
  <c r="DR1200" i="43"/>
  <c r="DW605" i="43"/>
  <c r="DO1201" i="43" l="1"/>
  <c r="CY83" i="43" a="1"/>
  <c r="CY83" i="43" s="1"/>
  <c r="DS1200" i="43"/>
  <c r="DR1201" i="43"/>
  <c r="DS1201" i="43" s="1"/>
  <c r="DV603" i="43"/>
  <c r="DW604" i="43"/>
  <c r="CS4" i="43" l="1" a="1"/>
  <c r="CS4" i="43" s="1"/>
  <c r="CF4" i="43" a="1"/>
  <c r="CF4" i="43" s="1"/>
  <c r="DP1201" i="43"/>
  <c r="DQ1201" i="43" s="1"/>
  <c r="CY2" i="43" a="1"/>
  <c r="CY2" i="43" s="1"/>
  <c r="DM601" i="43" s="1"/>
  <c r="DN601" i="43" s="1"/>
  <c r="BZ29" i="43" s="1" a="1"/>
  <c r="BZ29" i="43" s="1"/>
  <c r="CY3" i="43" a="1"/>
  <c r="CY3" i="43" s="1"/>
  <c r="DM1201" i="43" s="1"/>
  <c r="DN1201" i="43" s="1"/>
  <c r="BZ38" i="43" s="1" a="1"/>
  <c r="BZ38" i="43" s="1"/>
  <c r="CU7" i="43"/>
  <c r="DV602" i="43"/>
  <c r="DW603" i="43"/>
  <c r="C109" i="40" a="1"/>
  <c r="CL10" i="43" l="1"/>
  <c r="G52" i="43"/>
  <c r="CG7" i="43"/>
  <c r="CY5" i="43" a="1"/>
  <c r="CY5" i="43" s="1"/>
  <c r="CY4" i="43" a="1"/>
  <c r="CY4" i="43" s="1"/>
  <c r="C109" i="40"/>
  <c r="DV601" i="43"/>
  <c r="DW602" i="43"/>
  <c r="C107" i="40" a="1"/>
  <c r="C107" i="40" l="1"/>
  <c r="DT201" i="43"/>
  <c r="DT601" i="43"/>
  <c r="DU601" i="43" s="1"/>
  <c r="BY31" i="43" s="1" a="1"/>
  <c r="BY31" i="43" s="1"/>
  <c r="CF10" i="43" s="1"/>
  <c r="DV600" i="43"/>
  <c r="DW601" i="43"/>
  <c r="DU201" i="43" l="1"/>
  <c r="DT202" i="43"/>
  <c r="DV599" i="43"/>
  <c r="DW600" i="43"/>
  <c r="DU202" i="43" l="1"/>
  <c r="DT203" i="43"/>
  <c r="DV598" i="43"/>
  <c r="DW599" i="43"/>
  <c r="DT204" i="43" l="1"/>
  <c r="DU203" i="43"/>
  <c r="DV597" i="43"/>
  <c r="DW598" i="43"/>
  <c r="DU204" i="43" l="1"/>
  <c r="DT205" i="43"/>
  <c r="DW597" i="43"/>
  <c r="DV596" i="43"/>
  <c r="DT206" i="43" l="1"/>
  <c r="DU205" i="43"/>
  <c r="DW596" i="43"/>
  <c r="DV595" i="43"/>
  <c r="DT207" i="43" l="1"/>
  <c r="DU206" i="43"/>
  <c r="DW595" i="43"/>
  <c r="DV594" i="43"/>
  <c r="DU207" i="43" l="1"/>
  <c r="DT208" i="43"/>
  <c r="DV593" i="43"/>
  <c r="DW594" i="43"/>
  <c r="DU208" i="43" l="1"/>
  <c r="DT209" i="43"/>
  <c r="DV592" i="43"/>
  <c r="DW593" i="43"/>
  <c r="DT210" i="43" l="1"/>
  <c r="DU209" i="43"/>
  <c r="DV591" i="43"/>
  <c r="DW592" i="43"/>
  <c r="DT211" i="43" l="1"/>
  <c r="DU210" i="43"/>
  <c r="DW591" i="43"/>
  <c r="DV590" i="43"/>
  <c r="DT212" i="43" l="1"/>
  <c r="DU211" i="43"/>
  <c r="DW590" i="43"/>
  <c r="DV589" i="43"/>
  <c r="DT213" i="43" l="1"/>
  <c r="DU212" i="43"/>
  <c r="DV588" i="43"/>
  <c r="DW589" i="43"/>
  <c r="DT214" i="43" l="1"/>
  <c r="DU213" i="43"/>
  <c r="DW588" i="43"/>
  <c r="DV587" i="43"/>
  <c r="DT215" i="43" l="1"/>
  <c r="DU214" i="43"/>
  <c r="DV586" i="43"/>
  <c r="DW587" i="43"/>
  <c r="DT216" i="43" l="1"/>
  <c r="DU215" i="43"/>
  <c r="DW586" i="43"/>
  <c r="DV585" i="43"/>
  <c r="DU216" i="43" l="1"/>
  <c r="DT217" i="43"/>
  <c r="DW585" i="43"/>
  <c r="DV584" i="43"/>
  <c r="DU217" i="43" l="1"/>
  <c r="DT218" i="43"/>
  <c r="DV583" i="43"/>
  <c r="DW584" i="43"/>
  <c r="DT219" i="43" l="1"/>
  <c r="DU218" i="43"/>
  <c r="DV582" i="43"/>
  <c r="DW583" i="43"/>
  <c r="DU219" i="43" l="1"/>
  <c r="DT220" i="43"/>
  <c r="DV581" i="43"/>
  <c r="DW582" i="43"/>
  <c r="DU220" i="43" l="1"/>
  <c r="DT221" i="43"/>
  <c r="DV580" i="43"/>
  <c r="DW581" i="43"/>
  <c r="DT222" i="43" l="1"/>
  <c r="DU221" i="43"/>
  <c r="DW580" i="43"/>
  <c r="DV579" i="43"/>
  <c r="DU222" i="43" l="1"/>
  <c r="DT223" i="43"/>
  <c r="DW579" i="43"/>
  <c r="DV578" i="43"/>
  <c r="DT224" i="43" l="1"/>
  <c r="DU223" i="43"/>
  <c r="DW578" i="43"/>
  <c r="DV577" i="43"/>
  <c r="DU224" i="43" l="1"/>
  <c r="DT225" i="43"/>
  <c r="DV576" i="43"/>
  <c r="DW577" i="43"/>
  <c r="DU225" i="43" l="1"/>
  <c r="DT226" i="43"/>
  <c r="DV575" i="43"/>
  <c r="DW576" i="43"/>
  <c r="DU226" i="43" l="1"/>
  <c r="DT227" i="43"/>
  <c r="DW575" i="43"/>
  <c r="DV574" i="43"/>
  <c r="DU227" i="43" l="1"/>
  <c r="DT228" i="43"/>
  <c r="DW574" i="43"/>
  <c r="DV573" i="43"/>
  <c r="DU228" i="43" l="1"/>
  <c r="DT229" i="43"/>
  <c r="DV572" i="43"/>
  <c r="DW573" i="43"/>
  <c r="DT230" i="43" l="1"/>
  <c r="DU229" i="43"/>
  <c r="DW572" i="43"/>
  <c r="DV571" i="43"/>
  <c r="DU230" i="43" l="1"/>
  <c r="DT231" i="43"/>
  <c r="DV570" i="43"/>
  <c r="DW571" i="43"/>
  <c r="DT232" i="43" l="1"/>
  <c r="DU231" i="43"/>
  <c r="DV569" i="43"/>
  <c r="DW570" i="43"/>
  <c r="DT233" i="43" l="1"/>
  <c r="DU232" i="43"/>
  <c r="DW569" i="43"/>
  <c r="DV568" i="43"/>
  <c r="DU233" i="43" l="1"/>
  <c r="DT234" i="43"/>
  <c r="DW568" i="43"/>
  <c r="DV567" i="43"/>
  <c r="DU234" i="43" l="1"/>
  <c r="DT235" i="43"/>
  <c r="DW567" i="43"/>
  <c r="DV566" i="43"/>
  <c r="DT236" i="43" l="1"/>
  <c r="DU235" i="43"/>
  <c r="DW566" i="43"/>
  <c r="DV565" i="43"/>
  <c r="DT237" i="43" l="1"/>
  <c r="DU236" i="43"/>
  <c r="DV564" i="43"/>
  <c r="DW565" i="43"/>
  <c r="DT238" i="43" l="1"/>
  <c r="DU237" i="43"/>
  <c r="DV563" i="43"/>
  <c r="DW564" i="43"/>
  <c r="DU238" i="43" l="1"/>
  <c r="DT239" i="43"/>
  <c r="DW563" i="43"/>
  <c r="DV562" i="43"/>
  <c r="DU239" i="43" l="1"/>
  <c r="DT240" i="43"/>
  <c r="DW562" i="43"/>
  <c r="DV561" i="43"/>
  <c r="DU240" i="43" l="1"/>
  <c r="DT241" i="43"/>
  <c r="DV560" i="43"/>
  <c r="DW561" i="43"/>
  <c r="DU241" i="43" l="1"/>
  <c r="DT242" i="43"/>
  <c r="DW560" i="43"/>
  <c r="DV559" i="43"/>
  <c r="DU242" i="43" l="1"/>
  <c r="DT243" i="43"/>
  <c r="DV558" i="43"/>
  <c r="DW559" i="43"/>
  <c r="DT244" i="43" l="1"/>
  <c r="DU243" i="43"/>
  <c r="DV557" i="43"/>
  <c r="DW558" i="43"/>
  <c r="DT245" i="43" l="1"/>
  <c r="DU244" i="43"/>
  <c r="DV556" i="43"/>
  <c r="DW557" i="43"/>
  <c r="DU245" i="43" l="1"/>
  <c r="DT246" i="43"/>
  <c r="DW556" i="43"/>
  <c r="DV555" i="43"/>
  <c r="DT247" i="43" l="1"/>
  <c r="DU246" i="43"/>
  <c r="DW555" i="43"/>
  <c r="DV554" i="43"/>
  <c r="DT248" i="43" l="1"/>
  <c r="DU247" i="43"/>
  <c r="DW554" i="43"/>
  <c r="DV553" i="43"/>
  <c r="DT249" i="43" l="1"/>
  <c r="DU248" i="43"/>
  <c r="DW553" i="43"/>
  <c r="DV552" i="43"/>
  <c r="DU249" i="43" l="1"/>
  <c r="DT250" i="43"/>
  <c r="DV551" i="43"/>
  <c r="DW552" i="43"/>
  <c r="DT251" i="43" l="1"/>
  <c r="DU250" i="43"/>
  <c r="DV550" i="43"/>
  <c r="DW551" i="43"/>
  <c r="DU251" i="43" l="1"/>
  <c r="DT252" i="43"/>
  <c r="DV549" i="43"/>
  <c r="DW550" i="43"/>
  <c r="DT253" i="43" l="1"/>
  <c r="DU252" i="43"/>
  <c r="DV548" i="43"/>
  <c r="DW549" i="43"/>
  <c r="DU253" i="43" l="1"/>
  <c r="DT254" i="43"/>
  <c r="DW548" i="43"/>
  <c r="DV547" i="43"/>
  <c r="DT255" i="43" l="1"/>
  <c r="DU254" i="43"/>
  <c r="DW547" i="43"/>
  <c r="DV546" i="43"/>
  <c r="DU255" i="43" l="1"/>
  <c r="DT256" i="43"/>
  <c r="DV545" i="43"/>
  <c r="DW546" i="43"/>
  <c r="DU256" i="43" l="1"/>
  <c r="DT257" i="43"/>
  <c r="DV544" i="43"/>
  <c r="DW545" i="43"/>
  <c r="DT258" i="43" l="1"/>
  <c r="DU257" i="43"/>
  <c r="DW544" i="43"/>
  <c r="DV543" i="43"/>
  <c r="DU258" i="43" l="1"/>
  <c r="DT259" i="43"/>
  <c r="DW543" i="43"/>
  <c r="DV542" i="43"/>
  <c r="DU259" i="43" l="1"/>
  <c r="DT260" i="43"/>
  <c r="DV541" i="43"/>
  <c r="DW542" i="43"/>
  <c r="DT261" i="43" l="1"/>
  <c r="DU260" i="43"/>
  <c r="DV540" i="43"/>
  <c r="DW541" i="43"/>
  <c r="DT262" i="43" l="1"/>
  <c r="DU261" i="43"/>
  <c r="DW540" i="43"/>
  <c r="DV539" i="43"/>
  <c r="DT263" i="43" l="1"/>
  <c r="DU262" i="43"/>
  <c r="DV538" i="43"/>
  <c r="DW539" i="43"/>
  <c r="DU263" i="43" l="1"/>
  <c r="DT264" i="43"/>
  <c r="DV537" i="43"/>
  <c r="DW538" i="43"/>
  <c r="DU264" i="43" l="1"/>
  <c r="DT265" i="43"/>
  <c r="DV536" i="43"/>
  <c r="DW537" i="43"/>
  <c r="DU265" i="43" l="1"/>
  <c r="DT266" i="43"/>
  <c r="DW536" i="43"/>
  <c r="DV535" i="43"/>
  <c r="DT267" i="43" l="1"/>
  <c r="DU266" i="43"/>
  <c r="DV534" i="43"/>
  <c r="DW535" i="43"/>
  <c r="DU267" i="43" l="1"/>
  <c r="DT268" i="43"/>
  <c r="DV533" i="43"/>
  <c r="DW534" i="43"/>
  <c r="DT269" i="43" l="1"/>
  <c r="DU268" i="43"/>
  <c r="DV532" i="43"/>
  <c r="DW533" i="43"/>
  <c r="DU269" i="43" l="1"/>
  <c r="DT270" i="43"/>
  <c r="DV531" i="43"/>
  <c r="DW532" i="43"/>
  <c r="DU270" i="43" l="1"/>
  <c r="DT271" i="43"/>
  <c r="DW531" i="43"/>
  <c r="DV530" i="43"/>
  <c r="DU271" i="43" l="1"/>
  <c r="DT272" i="43"/>
  <c r="DW530" i="43"/>
  <c r="DV529" i="43"/>
  <c r="DT273" i="43" l="1"/>
  <c r="DU272" i="43"/>
  <c r="DV528" i="43"/>
  <c r="DW529" i="43"/>
  <c r="DU273" i="43" l="1"/>
  <c r="DT274" i="43"/>
  <c r="DW528" i="43"/>
  <c r="DV527" i="43"/>
  <c r="DU274" i="43" l="1"/>
  <c r="DT275" i="43"/>
  <c r="DW527" i="43"/>
  <c r="DV526" i="43"/>
  <c r="DU275" i="43" l="1"/>
  <c r="DT276" i="43"/>
  <c r="DW526" i="43"/>
  <c r="DV525" i="43"/>
  <c r="DT277" i="43" l="1"/>
  <c r="DU276" i="43"/>
  <c r="DV524" i="43"/>
  <c r="DW525" i="43"/>
  <c r="DT278" i="43" l="1"/>
  <c r="DU277" i="43"/>
  <c r="DW524" i="43"/>
  <c r="DV523" i="43"/>
  <c r="DT279" i="43" l="1"/>
  <c r="DU278" i="43"/>
  <c r="DV522" i="43"/>
  <c r="DW523" i="43"/>
  <c r="DU279" i="43" l="1"/>
  <c r="DT280" i="43"/>
  <c r="DV521" i="43"/>
  <c r="DW522" i="43"/>
  <c r="DT281" i="43" l="1"/>
  <c r="DU280" i="43"/>
  <c r="DV520" i="43"/>
  <c r="DW521" i="43"/>
  <c r="DU281" i="43" l="1"/>
  <c r="DT282" i="43"/>
  <c r="DV519" i="43"/>
  <c r="DW520" i="43"/>
  <c r="DT283" i="43" l="1"/>
  <c r="DU282" i="43"/>
  <c r="DW519" i="43"/>
  <c r="DV518" i="43"/>
  <c r="DT284" i="43" l="1"/>
  <c r="DU283" i="43"/>
  <c r="DV517" i="43"/>
  <c r="DW518" i="43"/>
  <c r="DU284" i="43" l="1"/>
  <c r="DT285" i="43"/>
  <c r="DV516" i="43"/>
  <c r="DW517" i="43"/>
  <c r="DT286" i="43" l="1"/>
  <c r="DU285" i="43"/>
  <c r="DV515" i="43"/>
  <c r="DW516" i="43"/>
  <c r="DU286" i="43" l="1"/>
  <c r="DT287" i="43"/>
  <c r="DV514" i="43"/>
  <c r="DW515" i="43"/>
  <c r="DT288" i="43" l="1"/>
  <c r="DU287" i="43"/>
  <c r="DV513" i="43"/>
  <c r="DW514" i="43"/>
  <c r="DT289" i="43" l="1"/>
  <c r="DU288" i="43"/>
  <c r="DV512" i="43"/>
  <c r="DW513" i="43"/>
  <c r="DU289" i="43" l="1"/>
  <c r="DT290" i="43"/>
  <c r="DV511" i="43"/>
  <c r="DW512" i="43"/>
  <c r="DU290" i="43" l="1"/>
  <c r="DT291" i="43"/>
  <c r="DV510" i="43"/>
  <c r="DW511" i="43"/>
  <c r="DU291" i="43" l="1"/>
  <c r="DT292" i="43"/>
  <c r="DV509" i="43"/>
  <c r="DW510" i="43"/>
  <c r="DU292" i="43" l="1"/>
  <c r="DT293" i="43"/>
  <c r="DW509" i="43"/>
  <c r="DV508" i="43"/>
  <c r="DU293" i="43" l="1"/>
  <c r="DT294" i="43"/>
  <c r="DW508" i="43"/>
  <c r="DV507" i="43"/>
  <c r="DU294" i="43" l="1"/>
  <c r="DT295" i="43"/>
  <c r="DV506" i="43"/>
  <c r="DW507" i="43"/>
  <c r="DU295" i="43" l="1"/>
  <c r="DT296" i="43"/>
  <c r="DV505" i="43"/>
  <c r="DW506" i="43"/>
  <c r="DU296" i="43" l="1"/>
  <c r="DT297" i="43"/>
  <c r="DV504" i="43"/>
  <c r="DW505" i="43"/>
  <c r="DT298" i="43" l="1"/>
  <c r="DU297" i="43"/>
  <c r="DW504" i="43"/>
  <c r="DV503" i="43"/>
  <c r="DU298" i="43" l="1"/>
  <c r="DT299" i="43"/>
  <c r="DW503" i="43"/>
  <c r="DV502" i="43"/>
  <c r="DT300" i="43" l="1"/>
  <c r="DU299" i="43"/>
  <c r="DW502" i="43"/>
  <c r="DV501" i="43"/>
  <c r="DT301" i="43" l="1"/>
  <c r="DU300" i="43"/>
  <c r="DW501" i="43"/>
  <c r="DV500" i="43"/>
  <c r="DU301" i="43" l="1"/>
  <c r="BS40" i="43" s="1" a="1"/>
  <c r="BS40" i="43" s="1"/>
  <c r="DT302" i="43"/>
  <c r="DV499" i="43"/>
  <c r="DW500" i="43"/>
  <c r="DU302" i="43" l="1"/>
  <c r="DT303" i="43"/>
  <c r="DW499" i="43"/>
  <c r="DV498" i="43"/>
  <c r="DU303" i="43" l="1"/>
  <c r="DT304" i="43"/>
  <c r="DV497" i="43"/>
  <c r="DW498" i="43"/>
  <c r="DU304" i="43" l="1"/>
  <c r="DT305" i="43"/>
  <c r="DV496" i="43"/>
  <c r="DW497" i="43"/>
  <c r="DU305" i="43" l="1"/>
  <c r="DT306" i="43"/>
  <c r="DV495" i="43"/>
  <c r="DW496" i="43"/>
  <c r="DU306" i="43" l="1"/>
  <c r="DT307" i="43"/>
  <c r="DV494" i="43"/>
  <c r="DW495" i="43"/>
  <c r="DU307" i="43" l="1"/>
  <c r="DT308" i="43"/>
  <c r="DV493" i="43"/>
  <c r="DW494" i="43"/>
  <c r="DU308" i="43" l="1"/>
  <c r="DT309" i="43"/>
  <c r="DV492" i="43"/>
  <c r="DW493" i="43"/>
  <c r="DU309" i="43" l="1"/>
  <c r="DT310" i="43"/>
  <c r="DW492" i="43"/>
  <c r="DV491" i="43"/>
  <c r="DU310" i="43" l="1"/>
  <c r="DT311" i="43"/>
  <c r="DV490" i="43"/>
  <c r="DW491" i="43"/>
  <c r="DU311" i="43" l="1"/>
  <c r="DT312" i="43"/>
  <c r="DV489" i="43"/>
  <c r="DW490" i="43"/>
  <c r="DU312" i="43" l="1"/>
  <c r="DT313" i="43"/>
  <c r="DV488" i="43"/>
  <c r="DW489" i="43"/>
  <c r="DU313" i="43" l="1"/>
  <c r="DT314" i="43"/>
  <c r="DV487" i="43"/>
  <c r="DW488" i="43"/>
  <c r="DU314" i="43" l="1"/>
  <c r="DT315" i="43"/>
  <c r="DV486" i="43"/>
  <c r="DW487" i="43"/>
  <c r="DU315" i="43" l="1"/>
  <c r="DT316" i="43"/>
  <c r="DV485" i="43"/>
  <c r="DW486" i="43"/>
  <c r="DU316" i="43" l="1"/>
  <c r="DT317" i="43"/>
  <c r="DW485" i="43"/>
  <c r="DV484" i="43"/>
  <c r="DU317" i="43" l="1"/>
  <c r="DT318" i="43"/>
  <c r="DW484" i="43"/>
  <c r="DV483" i="43"/>
  <c r="DU318" i="43" l="1"/>
  <c r="DT319" i="43"/>
  <c r="DW483" i="43"/>
  <c r="DV482" i="43"/>
  <c r="DU319" i="43" l="1"/>
  <c r="DT320" i="43"/>
  <c r="DW482" i="43"/>
  <c r="DV481" i="43"/>
  <c r="DU320" i="43" l="1"/>
  <c r="DT321" i="43"/>
  <c r="DV480" i="43"/>
  <c r="DW481" i="43"/>
  <c r="DU321" i="43" l="1"/>
  <c r="DT322" i="43"/>
  <c r="DW480" i="43"/>
  <c r="DV479" i="43"/>
  <c r="DU322" i="43" l="1"/>
  <c r="DT323" i="43"/>
  <c r="DV478" i="43"/>
  <c r="DW479" i="43"/>
  <c r="DU323" i="43" l="1"/>
  <c r="DT324" i="43"/>
  <c r="DV477" i="43"/>
  <c r="DW478" i="43"/>
  <c r="DU324" i="43" l="1"/>
  <c r="DT325" i="43"/>
  <c r="DV476" i="43"/>
  <c r="DW477" i="43"/>
  <c r="DU325" i="43" l="1"/>
  <c r="DT326" i="43"/>
  <c r="DW476" i="43"/>
  <c r="DV475" i="43"/>
  <c r="DU326" i="43" l="1"/>
  <c r="DT327" i="43"/>
  <c r="DW475" i="43"/>
  <c r="DV474" i="43"/>
  <c r="DU327" i="43" l="1"/>
  <c r="DT328" i="43"/>
  <c r="DV473" i="43"/>
  <c r="DW474" i="43"/>
  <c r="DU328" i="43" l="1"/>
  <c r="DT329" i="43"/>
  <c r="DV472" i="43"/>
  <c r="DW473" i="43"/>
  <c r="DU329" i="43" l="1"/>
  <c r="DT330" i="43"/>
  <c r="DW472" i="43"/>
  <c r="DV471" i="43"/>
  <c r="DU330" i="43" l="1"/>
  <c r="DT331" i="43"/>
  <c r="DV470" i="43"/>
  <c r="DW471" i="43"/>
  <c r="DU331" i="43" l="1"/>
  <c r="DT332" i="43"/>
  <c r="DV469" i="43"/>
  <c r="DW470" i="43"/>
  <c r="DU332" i="43" l="1"/>
  <c r="DT333" i="43"/>
  <c r="DV468" i="43"/>
  <c r="DW469" i="43"/>
  <c r="DU333" i="43" l="1"/>
  <c r="DT334" i="43"/>
  <c r="DW468" i="43"/>
  <c r="DV467" i="43"/>
  <c r="DU334" i="43" l="1"/>
  <c r="DT335" i="43"/>
  <c r="DW467" i="43"/>
  <c r="DV466" i="43"/>
  <c r="DU335" i="43" l="1"/>
  <c r="DT336" i="43"/>
  <c r="DW466" i="43"/>
  <c r="DV465" i="43"/>
  <c r="DU336" i="43" l="1"/>
  <c r="DT337" i="43"/>
  <c r="DV464" i="43"/>
  <c r="DW465" i="43"/>
  <c r="DU337" i="43" l="1"/>
  <c r="DT338" i="43"/>
  <c r="DW464" i="43"/>
  <c r="DV463" i="43"/>
  <c r="DU338" i="43" l="1"/>
  <c r="DT339" i="43"/>
  <c r="DW463" i="43"/>
  <c r="DV462" i="43"/>
  <c r="DU339" i="43" l="1"/>
  <c r="DT340" i="43"/>
  <c r="DV461" i="43"/>
  <c r="DW462" i="43"/>
  <c r="DU340" i="43" l="1"/>
  <c r="DT341" i="43"/>
  <c r="DV460" i="43"/>
  <c r="DW461" i="43"/>
  <c r="DU341" i="43" l="1"/>
  <c r="DT342" i="43"/>
  <c r="DV459" i="43"/>
  <c r="DW460" i="43"/>
  <c r="DU342" i="43" l="1"/>
  <c r="DT343" i="43"/>
  <c r="DV458" i="43"/>
  <c r="DW459" i="43"/>
  <c r="DU343" i="43" l="1"/>
  <c r="DT344" i="43"/>
  <c r="DW458" i="43"/>
  <c r="DV457" i="43"/>
  <c r="DU344" i="43" l="1"/>
  <c r="DT345" i="43"/>
  <c r="DW457" i="43"/>
  <c r="DV456" i="43"/>
  <c r="DU345" i="43" l="1"/>
  <c r="DT346" i="43"/>
  <c r="DV455" i="43"/>
  <c r="DW456" i="43"/>
  <c r="DU346" i="43" l="1"/>
  <c r="DT347" i="43"/>
  <c r="DW455" i="43"/>
  <c r="DV454" i="43"/>
  <c r="DU347" i="43" l="1"/>
  <c r="DT348" i="43"/>
  <c r="DW454" i="43"/>
  <c r="DV453" i="43"/>
  <c r="DU348" i="43" l="1"/>
  <c r="DT349" i="43"/>
  <c r="DV452" i="43"/>
  <c r="DW453" i="43"/>
  <c r="DU349" i="43" l="1"/>
  <c r="DT350" i="43"/>
  <c r="DV451" i="43"/>
  <c r="DW452" i="43"/>
  <c r="DU350" i="43" l="1"/>
  <c r="DT351" i="43"/>
  <c r="DW451" i="43"/>
  <c r="DV450" i="43"/>
  <c r="DU351" i="43" l="1"/>
  <c r="DT352" i="43"/>
  <c r="DV449" i="43"/>
  <c r="DW450" i="43"/>
  <c r="DU352" i="43" l="1"/>
  <c r="DT353" i="43"/>
  <c r="DW449" i="43"/>
  <c r="DV448" i="43"/>
  <c r="DU353" i="43" l="1"/>
  <c r="DT354" i="43"/>
  <c r="DV447" i="43"/>
  <c r="DW448" i="43"/>
  <c r="DU354" i="43" l="1"/>
  <c r="DT355" i="43"/>
  <c r="DV446" i="43"/>
  <c r="DW447" i="43"/>
  <c r="DU355" i="43" l="1"/>
  <c r="DT356" i="43"/>
  <c r="DV445" i="43"/>
  <c r="DW446" i="43"/>
  <c r="DU356" i="43" l="1"/>
  <c r="DT357" i="43"/>
  <c r="DW445" i="43"/>
  <c r="DV444" i="43"/>
  <c r="DU357" i="43" l="1"/>
  <c r="DT358" i="43"/>
  <c r="DV443" i="43"/>
  <c r="DW444" i="43"/>
  <c r="DU358" i="43" l="1"/>
  <c r="DT359" i="43"/>
  <c r="DV442" i="43"/>
  <c r="DW443" i="43"/>
  <c r="DU359" i="43" l="1"/>
  <c r="DT360" i="43"/>
  <c r="DV441" i="43"/>
  <c r="DW442" i="43"/>
  <c r="DU360" i="43" l="1"/>
  <c r="DT361" i="43"/>
  <c r="DV440" i="43"/>
  <c r="DW441" i="43"/>
  <c r="DU361" i="43" l="1"/>
  <c r="DT362" i="43"/>
  <c r="DW440" i="43"/>
  <c r="DV439" i="43"/>
  <c r="DU362" i="43" l="1"/>
  <c r="DT363" i="43"/>
  <c r="DW439" i="43"/>
  <c r="DV438" i="43"/>
  <c r="DU363" i="43" l="1"/>
  <c r="DT364" i="43"/>
  <c r="DV437" i="43"/>
  <c r="DW438" i="43"/>
  <c r="DU364" i="43" l="1"/>
  <c r="DT365" i="43"/>
  <c r="DV436" i="43"/>
  <c r="DW437" i="43"/>
  <c r="DU365" i="43" l="1"/>
  <c r="DT366" i="43"/>
  <c r="DV435" i="43"/>
  <c r="DW436" i="43"/>
  <c r="DU366" i="43" l="1"/>
  <c r="DT367" i="43"/>
  <c r="DV434" i="43"/>
  <c r="DW435" i="43"/>
  <c r="DU367" i="43" l="1"/>
  <c r="DT368" i="43"/>
  <c r="DV433" i="43"/>
  <c r="DW434" i="43"/>
  <c r="DU368" i="43" l="1"/>
  <c r="DT369" i="43"/>
  <c r="DV432" i="43"/>
  <c r="DW433" i="43"/>
  <c r="DU369" i="43" l="1"/>
  <c r="DT370" i="43"/>
  <c r="DV431" i="43"/>
  <c r="DW432" i="43"/>
  <c r="DU370" i="43" l="1"/>
  <c r="DT371" i="43"/>
  <c r="DV430" i="43"/>
  <c r="DW431" i="43"/>
  <c r="DU371" i="43" l="1"/>
  <c r="DT372" i="43"/>
  <c r="DW430" i="43"/>
  <c r="DV429" i="43"/>
  <c r="DU372" i="43" l="1"/>
  <c r="DT373" i="43"/>
  <c r="DV428" i="43"/>
  <c r="DW429" i="43"/>
  <c r="DU373" i="43" l="1"/>
  <c r="DT374" i="43"/>
  <c r="DW428" i="43"/>
  <c r="DV427" i="43"/>
  <c r="DU374" i="43" l="1"/>
  <c r="DT375" i="43"/>
  <c r="DW427" i="43"/>
  <c r="DV426" i="43"/>
  <c r="DU375" i="43" l="1"/>
  <c r="DT376" i="43"/>
  <c r="DV425" i="43"/>
  <c r="DW426" i="43"/>
  <c r="DU376" i="43" l="1"/>
  <c r="DT377" i="43"/>
  <c r="DV424" i="43"/>
  <c r="DW425" i="43"/>
  <c r="DU377" i="43" l="1"/>
  <c r="DT378" i="43"/>
  <c r="DW424" i="43"/>
  <c r="DV423" i="43"/>
  <c r="DU378" i="43" l="1"/>
  <c r="DT379" i="43"/>
  <c r="DV422" i="43"/>
  <c r="DW423" i="43"/>
  <c r="DU379" i="43" l="1"/>
  <c r="DT380" i="43"/>
  <c r="DV421" i="43"/>
  <c r="DW422" i="43"/>
  <c r="DU380" i="43" l="1"/>
  <c r="DT381" i="43"/>
  <c r="DW421" i="43"/>
  <c r="DV420" i="43"/>
  <c r="DU381" i="43" l="1"/>
  <c r="DT382" i="43"/>
  <c r="DW420" i="43"/>
  <c r="DV419" i="43"/>
  <c r="DU382" i="43" l="1"/>
  <c r="DT383" i="43"/>
  <c r="DV418" i="43"/>
  <c r="DW419" i="43"/>
  <c r="DU383" i="43" l="1"/>
  <c r="DT384" i="43"/>
  <c r="DV417" i="43"/>
  <c r="DW418" i="43"/>
  <c r="DU384" i="43" l="1"/>
  <c r="DT385" i="43"/>
  <c r="DV416" i="43"/>
  <c r="DW417" i="43"/>
  <c r="DU385" i="43" l="1"/>
  <c r="DT386" i="43"/>
  <c r="DV415" i="43"/>
  <c r="DW416" i="43"/>
  <c r="DU386" i="43" l="1"/>
  <c r="DT387" i="43"/>
  <c r="DV414" i="43"/>
  <c r="DW415" i="43"/>
  <c r="DU387" i="43" l="1"/>
  <c r="DT388" i="43"/>
  <c r="DV413" i="43"/>
  <c r="DW414" i="43"/>
  <c r="DU388" i="43" l="1"/>
  <c r="DT389" i="43"/>
  <c r="DV412" i="43"/>
  <c r="DW413" i="43"/>
  <c r="DU389" i="43" l="1"/>
  <c r="DT390" i="43"/>
  <c r="DV411" i="43"/>
  <c r="DW412" i="43"/>
  <c r="DU390" i="43" l="1"/>
  <c r="DT391" i="43"/>
  <c r="DV410" i="43"/>
  <c r="DW411" i="43"/>
  <c r="DU391" i="43" l="1"/>
  <c r="DT392" i="43"/>
  <c r="DV409" i="43"/>
  <c r="DW410" i="43"/>
  <c r="DU392" i="43" l="1"/>
  <c r="DT393" i="43"/>
  <c r="DW409" i="43"/>
  <c r="DV408" i="43"/>
  <c r="DU393" i="43" l="1"/>
  <c r="DT394" i="43"/>
  <c r="DV407" i="43"/>
  <c r="DW408" i="43"/>
  <c r="DU394" i="43" l="1"/>
  <c r="DT395" i="43"/>
  <c r="DW407" i="43"/>
  <c r="DV406" i="43"/>
  <c r="DU395" i="43" l="1"/>
  <c r="DT396" i="43"/>
  <c r="DV405" i="43"/>
  <c r="DW406" i="43"/>
  <c r="DU396" i="43" l="1"/>
  <c r="DT397" i="43"/>
  <c r="DV404" i="43"/>
  <c r="DW405" i="43"/>
  <c r="DU397" i="43" l="1"/>
  <c r="DT398" i="43"/>
  <c r="DW404" i="43"/>
  <c r="DV403" i="43"/>
  <c r="DU398" i="43" l="1"/>
  <c r="DT399" i="43"/>
  <c r="DW403" i="43"/>
  <c r="DV402" i="43"/>
  <c r="DU399" i="43" l="1"/>
  <c r="DT400" i="43"/>
  <c r="DV401" i="43"/>
  <c r="DW402" i="43"/>
  <c r="DU400" i="43" l="1"/>
  <c r="DT401" i="43"/>
  <c r="DW401" i="43"/>
  <c r="DV400" i="43"/>
  <c r="DU401" i="43" l="1"/>
  <c r="DT402" i="43"/>
  <c r="DV399" i="43"/>
  <c r="DW400" i="43"/>
  <c r="DU402" i="43" l="1"/>
  <c r="DT403" i="43"/>
  <c r="DW399" i="43"/>
  <c r="DV398" i="43"/>
  <c r="DU403" i="43" l="1"/>
  <c r="DT404" i="43"/>
  <c r="DV397" i="43"/>
  <c r="DW398" i="43"/>
  <c r="DU404" i="43" l="1"/>
  <c r="DT405" i="43"/>
  <c r="DV396" i="43"/>
  <c r="DW397" i="43"/>
  <c r="DU405" i="43" l="1"/>
  <c r="DT406" i="43"/>
  <c r="DV395" i="43"/>
  <c r="DW396" i="43"/>
  <c r="DU406" i="43" l="1"/>
  <c r="DT407" i="43"/>
  <c r="DW395" i="43"/>
  <c r="DV394" i="43"/>
  <c r="DU407" i="43" l="1"/>
  <c r="DT408" i="43"/>
  <c r="DW394" i="43"/>
  <c r="DV393" i="43"/>
  <c r="DU408" i="43" l="1"/>
  <c r="DT409" i="43"/>
  <c r="DV392" i="43"/>
  <c r="DW393" i="43"/>
  <c r="DU409" i="43" l="1"/>
  <c r="DT410" i="43"/>
  <c r="DV391" i="43"/>
  <c r="DW392" i="43"/>
  <c r="DU410" i="43" l="1"/>
  <c r="DT411" i="43"/>
  <c r="DW391" i="43"/>
  <c r="DV390" i="43"/>
  <c r="DU411" i="43" l="1"/>
  <c r="DT412" i="43"/>
  <c r="DW390" i="43"/>
  <c r="DV389" i="43"/>
  <c r="DU412" i="43" l="1"/>
  <c r="DT413" i="43"/>
  <c r="DW389" i="43"/>
  <c r="DV388" i="43"/>
  <c r="DU413" i="43" l="1"/>
  <c r="DT414" i="43"/>
  <c r="DV387" i="43"/>
  <c r="DW388" i="43"/>
  <c r="DU414" i="43" l="1"/>
  <c r="DT415" i="43"/>
  <c r="DV386" i="43"/>
  <c r="DW387" i="43"/>
  <c r="DU415" i="43" l="1"/>
  <c r="DT416" i="43"/>
  <c r="DV385" i="43"/>
  <c r="DW386" i="43"/>
  <c r="DU416" i="43" l="1"/>
  <c r="DT417" i="43"/>
  <c r="DW385" i="43"/>
  <c r="DV384" i="43"/>
  <c r="DU417" i="43" l="1"/>
  <c r="DT418" i="43"/>
  <c r="DW384" i="43"/>
  <c r="DV383" i="43"/>
  <c r="DU418" i="43" l="1"/>
  <c r="DT419" i="43"/>
  <c r="DV382" i="43"/>
  <c r="DW383" i="43"/>
  <c r="DU419" i="43" l="1"/>
  <c r="DT420" i="43"/>
  <c r="DV381" i="43"/>
  <c r="DW382" i="43"/>
  <c r="DU420" i="43" l="1"/>
  <c r="DT421" i="43"/>
  <c r="DV380" i="43"/>
  <c r="DW381" i="43"/>
  <c r="DU421" i="43" l="1"/>
  <c r="DT422" i="43"/>
  <c r="DV379" i="43"/>
  <c r="DW380" i="43"/>
  <c r="DU422" i="43" l="1"/>
  <c r="DT423" i="43"/>
  <c r="DV378" i="43"/>
  <c r="DW379" i="43"/>
  <c r="DU423" i="43" l="1"/>
  <c r="DT424" i="43"/>
  <c r="DV377" i="43"/>
  <c r="DW378" i="43"/>
  <c r="DU424" i="43" l="1"/>
  <c r="DT425" i="43"/>
  <c r="DW377" i="43"/>
  <c r="DV376" i="43"/>
  <c r="DU425" i="43" l="1"/>
  <c r="DT426" i="43"/>
  <c r="DV375" i="43"/>
  <c r="DW376" i="43"/>
  <c r="DU426" i="43" l="1"/>
  <c r="DT427" i="43"/>
  <c r="DV374" i="43"/>
  <c r="DW375" i="43"/>
  <c r="DU427" i="43" l="1"/>
  <c r="DT428" i="43"/>
  <c r="DV373" i="43"/>
  <c r="DW374" i="43"/>
  <c r="DU428" i="43" l="1"/>
  <c r="DT429" i="43"/>
  <c r="DW373" i="43"/>
  <c r="DV372" i="43"/>
  <c r="DU429" i="43" l="1"/>
  <c r="DT430" i="43"/>
  <c r="DW372" i="43"/>
  <c r="DV371" i="43"/>
  <c r="DU430" i="43" l="1"/>
  <c r="DT431" i="43"/>
  <c r="DW371" i="43"/>
  <c r="DV370" i="43"/>
  <c r="DU431" i="43" l="1"/>
  <c r="DT432" i="43"/>
  <c r="DW370" i="43"/>
  <c r="DV369" i="43"/>
  <c r="DU432" i="43" l="1"/>
  <c r="DT433" i="43"/>
  <c r="DV368" i="43"/>
  <c r="DW369" i="43"/>
  <c r="DU433" i="43" l="1"/>
  <c r="DT434" i="43"/>
  <c r="DW368" i="43"/>
  <c r="DV367" i="43"/>
  <c r="DU434" i="43" l="1"/>
  <c r="DT435" i="43"/>
  <c r="DV366" i="43"/>
  <c r="DW367" i="43"/>
  <c r="DU435" i="43" l="1"/>
  <c r="DT436" i="43"/>
  <c r="DV365" i="43"/>
  <c r="DW366" i="43"/>
  <c r="DU436" i="43" l="1"/>
  <c r="DT437" i="43"/>
  <c r="DW365" i="43"/>
  <c r="DV364" i="43"/>
  <c r="DU437" i="43" l="1"/>
  <c r="DT438" i="43"/>
  <c r="DV363" i="43"/>
  <c r="DW364" i="43"/>
  <c r="DU438" i="43" l="1"/>
  <c r="DT439" i="43"/>
  <c r="DV362" i="43"/>
  <c r="DW363" i="43"/>
  <c r="DU439" i="43" l="1"/>
  <c r="DT440" i="43"/>
  <c r="DV361" i="43"/>
  <c r="DW362" i="43"/>
  <c r="CL4" i="43" s="1" a="1"/>
  <c r="CL4" i="43" s="1"/>
  <c r="DU440" i="43" l="1"/>
  <c r="DT441" i="43"/>
  <c r="CN7" i="43"/>
  <c r="DV360" i="43"/>
  <c r="DW361" i="43"/>
  <c r="C108" i="40" a="1"/>
  <c r="DU441" i="43" l="1"/>
  <c r="DT442" i="43"/>
  <c r="C108" i="40"/>
  <c r="DW360" i="43"/>
  <c r="DV359" i="43"/>
  <c r="DU442" i="43" l="1"/>
  <c r="DT443" i="43"/>
  <c r="DV358" i="43"/>
  <c r="DW359" i="43"/>
  <c r="DU443" i="43" l="1"/>
  <c r="DT444" i="43"/>
  <c r="DV357" i="43"/>
  <c r="DW358" i="43"/>
  <c r="DU444" i="43" l="1"/>
  <c r="DT445" i="43"/>
  <c r="DV356" i="43"/>
  <c r="DW357" i="43"/>
  <c r="DU445" i="43" l="1"/>
  <c r="DT446" i="43"/>
  <c r="DW356" i="43"/>
  <c r="DV355" i="43"/>
  <c r="DU446" i="43" l="1"/>
  <c r="DT447" i="43"/>
  <c r="DV354" i="43"/>
  <c r="DW355" i="43"/>
  <c r="DU447" i="43" l="1"/>
  <c r="DT448" i="43"/>
  <c r="DV353" i="43"/>
  <c r="DW354" i="43"/>
  <c r="DU448" i="43" l="1"/>
  <c r="DT449" i="43"/>
  <c r="DV352" i="43"/>
  <c r="DW353" i="43"/>
  <c r="DU449" i="43" l="1"/>
  <c r="DT450" i="43"/>
  <c r="DV351" i="43"/>
  <c r="DW352" i="43"/>
  <c r="DU450" i="43" l="1"/>
  <c r="DT451" i="43"/>
  <c r="DV350" i="43"/>
  <c r="DW351" i="43"/>
  <c r="DU451" i="43" l="1"/>
  <c r="DT452" i="43"/>
  <c r="DW350" i="43"/>
  <c r="DV349" i="43"/>
  <c r="DU452" i="43" l="1"/>
  <c r="DT453" i="43"/>
  <c r="DW349" i="43"/>
  <c r="DV348" i="43"/>
  <c r="DU453" i="43" l="1"/>
  <c r="DT454" i="43"/>
  <c r="DV347" i="43"/>
  <c r="DW348" i="43"/>
  <c r="DU454" i="43" l="1"/>
  <c r="DT455" i="43"/>
  <c r="DW347" i="43"/>
  <c r="DV346" i="43"/>
  <c r="DU455" i="43" l="1"/>
  <c r="DT456" i="43"/>
  <c r="DW346" i="43"/>
  <c r="DV345" i="43"/>
  <c r="DU456" i="43" l="1"/>
  <c r="DT457" i="43"/>
  <c r="DV344" i="43"/>
  <c r="DW345" i="43"/>
  <c r="DU457" i="43" l="1"/>
  <c r="DT458" i="43"/>
  <c r="DW344" i="43"/>
  <c r="DV343" i="43"/>
  <c r="DU458" i="43" l="1"/>
  <c r="DT459" i="43"/>
  <c r="DV342" i="43"/>
  <c r="DW343" i="43"/>
  <c r="DU459" i="43" l="1"/>
  <c r="DT460" i="43"/>
  <c r="DW342" i="43"/>
  <c r="DV341" i="43"/>
  <c r="DU460" i="43" l="1"/>
  <c r="DT461" i="43"/>
  <c r="DW341" i="43"/>
  <c r="DV340" i="43"/>
  <c r="DU461" i="43" l="1"/>
  <c r="DT462" i="43"/>
  <c r="DV339" i="43"/>
  <c r="DW340" i="43"/>
  <c r="DU462" i="43" l="1"/>
  <c r="DT463" i="43"/>
  <c r="DV338" i="43"/>
  <c r="DW339" i="43"/>
  <c r="DU463" i="43" l="1"/>
  <c r="DT464" i="43"/>
  <c r="DW338" i="43"/>
  <c r="DV337" i="43"/>
  <c r="DU464" i="43" l="1"/>
  <c r="DT465" i="43"/>
  <c r="DV336" i="43"/>
  <c r="DW337" i="43"/>
  <c r="DU465" i="43" l="1"/>
  <c r="DT466" i="43"/>
  <c r="DV335" i="43"/>
  <c r="DW336" i="43"/>
  <c r="DU466" i="43" l="1"/>
  <c r="DT467" i="43"/>
  <c r="DW335" i="43"/>
  <c r="DV334" i="43"/>
  <c r="DU467" i="43" l="1"/>
  <c r="DT468" i="43"/>
  <c r="DW334" i="43"/>
  <c r="DV333" i="43"/>
  <c r="DU468" i="43" l="1"/>
  <c r="DT469" i="43"/>
  <c r="DW333" i="43"/>
  <c r="DV332" i="43"/>
  <c r="DU469" i="43" l="1"/>
  <c r="DT470" i="43"/>
  <c r="DW332" i="43"/>
  <c r="DV331" i="43"/>
  <c r="DU470" i="43" l="1"/>
  <c r="DT471" i="43"/>
  <c r="DV330" i="43"/>
  <c r="DW331" i="43"/>
  <c r="DU471" i="43" l="1"/>
  <c r="DT472" i="43"/>
  <c r="DW330" i="43"/>
  <c r="DV329" i="43"/>
  <c r="DU472" i="43" l="1"/>
  <c r="DT473" i="43"/>
  <c r="DV328" i="43"/>
  <c r="DW329" i="43"/>
  <c r="DU473" i="43" l="1"/>
  <c r="DT474" i="43"/>
  <c r="DV327" i="43"/>
  <c r="DW328" i="43"/>
  <c r="DU474" i="43" l="1"/>
  <c r="DT475" i="43"/>
  <c r="DV326" i="43"/>
  <c r="DW327" i="43"/>
  <c r="DU475" i="43" l="1"/>
  <c r="DT476" i="43"/>
  <c r="DW326" i="43"/>
  <c r="DV325" i="43"/>
  <c r="DU476" i="43" l="1"/>
  <c r="DT477" i="43"/>
  <c r="DV324" i="43"/>
  <c r="DW325" i="43"/>
  <c r="DU477" i="43" l="1"/>
  <c r="DT478" i="43"/>
  <c r="DW324" i="43"/>
  <c r="DV323" i="43"/>
  <c r="DU478" i="43" l="1"/>
  <c r="DT479" i="43"/>
  <c r="DV322" i="43"/>
  <c r="DW323" i="43"/>
  <c r="DU479" i="43" l="1"/>
  <c r="DT480" i="43"/>
  <c r="DV321" i="43"/>
  <c r="DW322" i="43"/>
  <c r="DU480" i="43" l="1"/>
  <c r="DT481" i="43"/>
  <c r="DW321" i="43"/>
  <c r="DV320" i="43"/>
  <c r="DU481" i="43" l="1"/>
  <c r="DT482" i="43"/>
  <c r="DV319" i="43"/>
  <c r="DW320" i="43"/>
  <c r="DU482" i="43" l="1"/>
  <c r="DT483" i="43"/>
  <c r="DV318" i="43"/>
  <c r="DW319" i="43"/>
  <c r="DU483" i="43" l="1"/>
  <c r="DT484" i="43"/>
  <c r="DW318" i="43"/>
  <c r="DV317" i="43"/>
  <c r="DU484" i="43" l="1"/>
  <c r="DT485" i="43"/>
  <c r="DV316" i="43"/>
  <c r="DW317" i="43"/>
  <c r="DU485" i="43" l="1"/>
  <c r="DT486" i="43"/>
  <c r="DV315" i="43"/>
  <c r="DW316" i="43"/>
  <c r="DU486" i="43" l="1"/>
  <c r="DT487" i="43"/>
  <c r="DW315" i="43"/>
  <c r="DV314" i="43"/>
  <c r="DU487" i="43" l="1"/>
  <c r="DT488" i="43"/>
  <c r="DW314" i="43"/>
  <c r="DV313" i="43"/>
  <c r="DU488" i="43" l="1"/>
  <c r="DT489" i="43"/>
  <c r="DV312" i="43"/>
  <c r="DW313" i="43"/>
  <c r="DU489" i="43" l="1"/>
  <c r="DT490" i="43"/>
  <c r="DV311" i="43"/>
  <c r="DW312" i="43"/>
  <c r="DU490" i="43" l="1"/>
  <c r="DT491" i="43"/>
  <c r="DW311" i="43"/>
  <c r="DV310" i="43"/>
  <c r="DU491" i="43" l="1"/>
  <c r="DT492" i="43"/>
  <c r="DV309" i="43"/>
  <c r="DW310" i="43"/>
  <c r="DU492" i="43" l="1"/>
  <c r="DT493" i="43"/>
  <c r="DV308" i="43"/>
  <c r="DW309" i="43"/>
  <c r="DU493" i="43" l="1"/>
  <c r="DT494" i="43"/>
  <c r="DW308" i="43"/>
  <c r="DV307" i="43"/>
  <c r="DU494" i="43" l="1"/>
  <c r="DT495" i="43"/>
  <c r="DV306" i="43"/>
  <c r="DW307" i="43"/>
  <c r="DU495" i="43" l="1"/>
  <c r="DT496" i="43"/>
  <c r="DW306" i="43"/>
  <c r="DV305" i="43"/>
  <c r="DU496" i="43" l="1"/>
  <c r="DT497" i="43"/>
  <c r="DV304" i="43"/>
  <c r="DW305" i="43"/>
  <c r="DU497" i="43" l="1"/>
  <c r="DT498" i="43"/>
  <c r="DW304" i="43"/>
  <c r="DV303" i="43"/>
  <c r="DU498" i="43" l="1"/>
  <c r="DT499" i="43"/>
  <c r="DV302" i="43"/>
  <c r="DW303" i="43"/>
  <c r="DU499" i="43" l="1"/>
  <c r="DT500" i="43"/>
  <c r="DV301" i="43"/>
  <c r="DW302" i="43"/>
  <c r="DU500" i="43" l="1"/>
  <c r="DT501" i="43"/>
  <c r="DW301" i="43"/>
  <c r="DV300" i="43"/>
  <c r="DU501" i="43" l="1"/>
  <c r="DT502" i="43"/>
  <c r="DV299" i="43"/>
  <c r="DW300" i="43"/>
  <c r="DU502" i="43" l="1"/>
  <c r="DT503" i="43"/>
  <c r="DV298" i="43"/>
  <c r="DW299" i="43"/>
  <c r="DU503" i="43" l="1"/>
  <c r="DT504" i="43"/>
  <c r="DV297" i="43"/>
  <c r="DW298" i="43"/>
  <c r="DU504" i="43" l="1"/>
  <c r="DT505" i="43"/>
  <c r="DV296" i="43"/>
  <c r="DW297" i="43"/>
  <c r="DU505" i="43" l="1"/>
  <c r="DT506" i="43"/>
  <c r="DW296" i="43"/>
  <c r="DV295" i="43"/>
  <c r="DU506" i="43" l="1"/>
  <c r="DT507" i="43"/>
  <c r="DV294" i="43"/>
  <c r="DW295" i="43"/>
  <c r="DU507" i="43" l="1"/>
  <c r="DT508" i="43"/>
  <c r="DV293" i="43"/>
  <c r="DW294" i="43"/>
  <c r="DU508" i="43" l="1"/>
  <c r="DT509" i="43"/>
  <c r="DV292" i="43"/>
  <c r="DW293" i="43"/>
  <c r="DU509" i="43" l="1"/>
  <c r="DT510" i="43"/>
  <c r="DV291" i="43"/>
  <c r="DW292" i="43"/>
  <c r="DU510" i="43" l="1"/>
  <c r="DT511" i="43"/>
  <c r="DW291" i="43"/>
  <c r="DV290" i="43"/>
  <c r="DU511" i="43" l="1"/>
  <c r="DT512" i="43"/>
  <c r="DV289" i="43"/>
  <c r="DW290" i="43"/>
  <c r="DU512" i="43" l="1"/>
  <c r="DT513" i="43"/>
  <c r="DV288" i="43"/>
  <c r="DW289" i="43"/>
  <c r="DU513" i="43" l="1"/>
  <c r="DT514" i="43"/>
  <c r="DV287" i="43"/>
  <c r="DW288" i="43"/>
  <c r="DU514" i="43" l="1"/>
  <c r="DT515" i="43"/>
  <c r="DV286" i="43"/>
  <c r="DW287" i="43"/>
  <c r="DU515" i="43" l="1"/>
  <c r="DT516" i="43"/>
  <c r="DV285" i="43"/>
  <c r="DW286" i="43"/>
  <c r="DU516" i="43" l="1"/>
  <c r="DT517" i="43"/>
  <c r="DV284" i="43"/>
  <c r="DW285" i="43"/>
  <c r="DU517" i="43" l="1"/>
  <c r="DT518" i="43"/>
  <c r="DW284" i="43"/>
  <c r="DV283" i="43"/>
  <c r="DU518" i="43" l="1"/>
  <c r="DT519" i="43"/>
  <c r="DW283" i="43"/>
  <c r="DV282" i="43"/>
  <c r="DU519" i="43" l="1"/>
  <c r="DT520" i="43"/>
  <c r="DV281" i="43"/>
  <c r="DW282" i="43"/>
  <c r="DU520" i="43" l="1"/>
  <c r="DT521" i="43"/>
  <c r="DW281" i="43"/>
  <c r="DV280" i="43"/>
  <c r="DU521" i="43" l="1"/>
  <c r="DT522" i="43"/>
  <c r="DW280" i="43"/>
  <c r="DV279" i="43"/>
  <c r="DU522" i="43" l="1"/>
  <c r="DT523" i="43"/>
  <c r="DW279" i="43"/>
  <c r="DV278" i="43"/>
  <c r="DU523" i="43" l="1"/>
  <c r="DT524" i="43"/>
  <c r="DV277" i="43"/>
  <c r="DW278" i="43"/>
  <c r="DU524" i="43" l="1"/>
  <c r="DT525" i="43"/>
  <c r="DV276" i="43"/>
  <c r="DW277" i="43"/>
  <c r="DU525" i="43" l="1"/>
  <c r="DT526" i="43"/>
  <c r="DW276" i="43"/>
  <c r="DV275" i="43"/>
  <c r="DU526" i="43" l="1"/>
  <c r="DT527" i="43"/>
  <c r="DV274" i="43"/>
  <c r="DW275" i="43"/>
  <c r="DU527" i="43" l="1"/>
  <c r="DT528" i="43"/>
  <c r="DV273" i="43"/>
  <c r="DW274" i="43"/>
  <c r="DU528" i="43" l="1"/>
  <c r="DT529" i="43"/>
  <c r="DW273" i="43"/>
  <c r="DV272" i="43"/>
  <c r="DU529" i="43" l="1"/>
  <c r="DT530" i="43"/>
  <c r="DW272" i="43"/>
  <c r="DV271" i="43"/>
  <c r="DU530" i="43" l="1"/>
  <c r="DT531" i="43"/>
  <c r="DW271" i="43"/>
  <c r="DV270" i="43"/>
  <c r="DU531" i="43" l="1"/>
  <c r="DT532" i="43"/>
  <c r="DW270" i="43"/>
  <c r="DV269" i="43"/>
  <c r="DU532" i="43" l="1"/>
  <c r="DT533" i="43"/>
  <c r="DV268" i="43"/>
  <c r="DW269" i="43"/>
  <c r="DU533" i="43" l="1"/>
  <c r="DT534" i="43"/>
  <c r="DW268" i="43"/>
  <c r="DV267" i="43"/>
  <c r="DU534" i="43" l="1"/>
  <c r="DT535" i="43"/>
  <c r="DV266" i="43"/>
  <c r="DW267" i="43"/>
  <c r="DU535" i="43" l="1"/>
  <c r="DT536" i="43"/>
  <c r="DV265" i="43"/>
  <c r="DW266" i="43"/>
  <c r="DU536" i="43" l="1"/>
  <c r="DT537" i="43"/>
  <c r="DV264" i="43"/>
  <c r="DW265" i="43"/>
  <c r="DU537" i="43" l="1"/>
  <c r="DT538" i="43"/>
  <c r="DV263" i="43"/>
  <c r="DW264" i="43"/>
  <c r="DU538" i="43" l="1"/>
  <c r="DT539" i="43"/>
  <c r="DV262" i="43"/>
  <c r="DW263" i="43"/>
  <c r="DU539" i="43" l="1"/>
  <c r="DT540" i="43"/>
  <c r="DW262" i="43"/>
  <c r="DV261" i="43"/>
  <c r="DU540" i="43" l="1"/>
  <c r="DT541" i="43"/>
  <c r="DV260" i="43"/>
  <c r="DW261" i="43"/>
  <c r="DU541" i="43" l="1"/>
  <c r="DT542" i="43"/>
  <c r="DV259" i="43"/>
  <c r="DW260" i="43"/>
  <c r="DU542" i="43" l="1"/>
  <c r="DT543" i="43"/>
  <c r="DW259" i="43"/>
  <c r="DV258" i="43"/>
  <c r="DU543" i="43" l="1"/>
  <c r="DT544" i="43"/>
  <c r="DV257" i="43"/>
  <c r="DW258" i="43"/>
  <c r="DU544" i="43" l="1"/>
  <c r="DT545" i="43"/>
  <c r="DV256" i="43"/>
  <c r="DW257" i="43"/>
  <c r="DU545" i="43" l="1"/>
  <c r="DT546" i="43"/>
  <c r="DV255" i="43"/>
  <c r="DW256" i="43"/>
  <c r="DU546" i="43" l="1"/>
  <c r="DT547" i="43"/>
  <c r="DW255" i="43"/>
  <c r="DV254" i="43"/>
  <c r="DU547" i="43" l="1"/>
  <c r="DT548" i="43"/>
  <c r="DV253" i="43"/>
  <c r="DW254" i="43"/>
  <c r="DU548" i="43" l="1"/>
  <c r="DT549" i="43"/>
  <c r="DV252" i="43"/>
  <c r="DW253" i="43"/>
  <c r="DU549" i="43" l="1"/>
  <c r="DT550" i="43"/>
  <c r="DV251" i="43"/>
  <c r="DW252" i="43"/>
  <c r="DU550" i="43" l="1"/>
  <c r="DT551" i="43"/>
  <c r="DV250" i="43"/>
  <c r="DW251" i="43"/>
  <c r="DU551" i="43" l="1"/>
  <c r="DT552" i="43"/>
  <c r="DV249" i="43"/>
  <c r="DW250" i="43"/>
  <c r="DU552" i="43" l="1"/>
  <c r="DT553" i="43"/>
  <c r="DV248" i="43"/>
  <c r="DW249" i="43"/>
  <c r="DU553" i="43" l="1"/>
  <c r="DT554" i="43"/>
  <c r="DV247" i="43"/>
  <c r="DW248" i="43"/>
  <c r="DU554" i="43" l="1"/>
  <c r="DT555" i="43"/>
  <c r="DV246" i="43"/>
  <c r="DW247" i="43"/>
  <c r="DU555" i="43" l="1"/>
  <c r="DT556" i="43"/>
  <c r="DV245" i="43"/>
  <c r="DW246" i="43"/>
  <c r="DU556" i="43" l="1"/>
  <c r="DT557" i="43"/>
  <c r="DV244" i="43"/>
  <c r="DW245" i="43"/>
  <c r="DU557" i="43" l="1"/>
  <c r="DT558" i="43"/>
  <c r="DW244" i="43"/>
  <c r="DV243" i="43"/>
  <c r="DU558" i="43" l="1"/>
  <c r="DT559" i="43"/>
  <c r="DV242" i="43"/>
  <c r="DW243" i="43"/>
  <c r="DU559" i="43" l="1"/>
  <c r="DT560" i="43"/>
  <c r="DW242" i="43"/>
  <c r="DV241" i="43"/>
  <c r="DU560" i="43" l="1"/>
  <c r="DT561" i="43"/>
  <c r="DW241" i="43"/>
  <c r="DV240" i="43"/>
  <c r="DU561" i="43" l="1"/>
  <c r="DT562" i="43"/>
  <c r="DW240" i="43"/>
  <c r="DV239" i="43"/>
  <c r="DU562" i="43" l="1"/>
  <c r="DT563" i="43"/>
  <c r="DV238" i="43"/>
  <c r="DW239" i="43"/>
  <c r="DU563" i="43" l="1"/>
  <c r="DT564" i="43"/>
  <c r="DW238" i="43"/>
  <c r="DV237" i="43"/>
  <c r="DU564" i="43" l="1"/>
  <c r="DT565" i="43"/>
  <c r="DV236" i="43"/>
  <c r="DW237" i="43"/>
  <c r="DU565" i="43" l="1"/>
  <c r="DT566" i="43"/>
  <c r="DV235" i="43"/>
  <c r="DW236" i="43"/>
  <c r="DU566" i="43" l="1"/>
  <c r="DT567" i="43"/>
  <c r="DW235" i="43"/>
  <c r="DV234" i="43"/>
  <c r="DU567" i="43" l="1"/>
  <c r="DT568" i="43"/>
  <c r="DV233" i="43"/>
  <c r="DW234" i="43"/>
  <c r="DU568" i="43" l="1"/>
  <c r="DT569" i="43"/>
  <c r="DV232" i="43"/>
  <c r="DW233" i="43"/>
  <c r="DU569" i="43" l="1"/>
  <c r="DT570" i="43"/>
  <c r="DV231" i="43"/>
  <c r="DW232" i="43"/>
  <c r="DU570" i="43" l="1"/>
  <c r="DT571" i="43"/>
  <c r="DV230" i="43"/>
  <c r="DW231" i="43"/>
  <c r="DU571" i="43" l="1"/>
  <c r="DT572" i="43"/>
  <c r="DV229" i="43"/>
  <c r="DW230" i="43"/>
  <c r="DU572" i="43" l="1"/>
  <c r="DT573" i="43"/>
  <c r="DV228" i="43"/>
  <c r="DW229" i="43"/>
  <c r="DU573" i="43" l="1"/>
  <c r="DT574" i="43"/>
  <c r="DV227" i="43"/>
  <c r="DW228" i="43"/>
  <c r="DU574" i="43" l="1"/>
  <c r="DT575" i="43"/>
  <c r="DV226" i="43"/>
  <c r="DW227" i="43"/>
  <c r="DU575" i="43" l="1"/>
  <c r="DT576" i="43"/>
  <c r="DV225" i="43"/>
  <c r="DW226" i="43"/>
  <c r="DU576" i="43" l="1"/>
  <c r="DT577" i="43"/>
  <c r="DV224" i="43"/>
  <c r="DW225" i="43"/>
  <c r="DU577" i="43" l="1"/>
  <c r="DT578" i="43"/>
  <c r="DW224" i="43"/>
  <c r="DV223" i="43"/>
  <c r="DU578" i="43" l="1"/>
  <c r="DT579" i="43"/>
  <c r="DV222" i="43"/>
  <c r="DW223" i="43"/>
  <c r="DU579" i="43" l="1"/>
  <c r="DT580" i="43"/>
  <c r="DV221" i="43"/>
  <c r="DW222" i="43"/>
  <c r="DU580" i="43" l="1"/>
  <c r="DT581" i="43"/>
  <c r="DV220" i="43"/>
  <c r="DW221" i="43"/>
  <c r="DU581" i="43" l="1"/>
  <c r="DT582" i="43"/>
  <c r="DV219" i="43"/>
  <c r="DW220" i="43"/>
  <c r="DU582" i="43" l="1"/>
  <c r="DT583" i="43"/>
  <c r="DV218" i="43"/>
  <c r="DW219" i="43"/>
  <c r="DU583" i="43" l="1"/>
  <c r="DT584" i="43"/>
  <c r="DW218" i="43"/>
  <c r="DV217" i="43"/>
  <c r="DU584" i="43" l="1"/>
  <c r="DT585" i="43"/>
  <c r="DW217" i="43"/>
  <c r="DV216" i="43"/>
  <c r="DU585" i="43" l="1"/>
  <c r="DT586" i="43"/>
  <c r="DV215" i="43"/>
  <c r="DW216" i="43"/>
  <c r="DU586" i="43" l="1"/>
  <c r="DT587" i="43"/>
  <c r="DV214" i="43"/>
  <c r="DW215" i="43"/>
  <c r="DU587" i="43" l="1"/>
  <c r="DT588" i="43"/>
  <c r="DV213" i="43"/>
  <c r="DW214" i="43"/>
  <c r="DU588" i="43" l="1"/>
  <c r="DT589" i="43"/>
  <c r="DV212" i="43"/>
  <c r="DW213" i="43"/>
  <c r="DU589" i="43" l="1"/>
  <c r="DT590" i="43"/>
  <c r="DV211" i="43"/>
  <c r="DW212" i="43"/>
  <c r="DU590" i="43" l="1"/>
  <c r="DT591" i="43"/>
  <c r="DW211" i="43"/>
  <c r="DV210" i="43"/>
  <c r="DU591" i="43" l="1"/>
  <c r="DT592" i="43"/>
  <c r="DW210" i="43"/>
  <c r="DV209" i="43"/>
  <c r="DU592" i="43" l="1"/>
  <c r="DT593" i="43"/>
  <c r="DV208" i="43"/>
  <c r="DW209" i="43"/>
  <c r="DU593" i="43" l="1"/>
  <c r="DT594" i="43"/>
  <c r="DV207" i="43"/>
  <c r="DW208" i="43"/>
  <c r="DU594" i="43" l="1"/>
  <c r="DT595" i="43"/>
  <c r="DW207" i="43"/>
  <c r="DV206" i="43"/>
  <c r="DU595" i="43" l="1"/>
  <c r="DT596" i="43"/>
  <c r="DW206" i="43"/>
  <c r="DV205" i="43"/>
  <c r="DU596" i="43" l="1"/>
  <c r="DT597" i="43"/>
  <c r="DW205" i="43"/>
  <c r="DV204" i="43"/>
  <c r="DU597" i="43" l="1"/>
  <c r="DT598" i="43"/>
  <c r="DW204" i="43"/>
  <c r="DV203" i="43"/>
  <c r="DU598" i="43" l="1"/>
  <c r="DT599" i="43"/>
  <c r="DV202" i="43"/>
  <c r="DW203" i="43"/>
  <c r="DU599" i="43" l="1"/>
  <c r="DT600" i="43"/>
  <c r="DU600" i="43" s="1"/>
  <c r="BS22" i="43" s="1" a="1"/>
  <c r="BS22" i="43" s="1"/>
  <c r="DW202" i="43"/>
  <c r="DV201" i="43"/>
  <c r="DW201" i="43" l="1"/>
  <c r="DV200" i="43"/>
  <c r="DV199" i="43" l="1"/>
  <c r="DW200" i="43"/>
  <c r="DW199" i="43" l="1"/>
  <c r="DV198" i="43"/>
  <c r="DW198" i="43" l="1"/>
  <c r="DV197" i="43"/>
  <c r="DV196" i="43" l="1"/>
  <c r="DW197" i="43"/>
  <c r="DW196" i="43" l="1"/>
  <c r="DV195" i="43"/>
  <c r="DV194" i="43" l="1"/>
  <c r="DW195" i="43"/>
  <c r="DV193" i="43" l="1"/>
  <c r="DW194" i="43"/>
  <c r="DV192" i="43" l="1"/>
  <c r="DW193" i="43"/>
  <c r="DV191" i="43" l="1"/>
  <c r="DW192" i="43"/>
  <c r="DV190" i="43" l="1"/>
  <c r="DW191" i="43"/>
  <c r="DV189" i="43" l="1"/>
  <c r="DW190" i="43"/>
  <c r="DV188" i="43" l="1"/>
  <c r="DW189" i="43"/>
  <c r="DV187" i="43" l="1"/>
  <c r="DW188" i="43"/>
  <c r="DV186" i="43" l="1"/>
  <c r="DW187" i="43"/>
  <c r="DW186" i="43" l="1"/>
  <c r="DV185" i="43"/>
  <c r="DV184" i="43" l="1"/>
  <c r="DW185" i="43"/>
  <c r="DW184" i="43" l="1"/>
  <c r="DV183" i="43"/>
  <c r="DV182" i="43" l="1"/>
  <c r="DW183" i="43"/>
  <c r="DV181" i="43" l="1"/>
  <c r="DW182" i="43"/>
  <c r="DV180" i="43" l="1"/>
  <c r="DW181" i="43"/>
  <c r="DV179" i="43" l="1"/>
  <c r="DW180" i="43"/>
  <c r="DV178" i="43" l="1"/>
  <c r="DW179" i="43"/>
  <c r="DW178" i="43" l="1"/>
  <c r="DV177" i="43"/>
  <c r="DV176" i="43" l="1"/>
  <c r="DW177" i="43"/>
  <c r="DW176" i="43" l="1"/>
  <c r="DV175" i="43"/>
  <c r="DW175" i="43" l="1"/>
  <c r="DV174" i="43"/>
  <c r="DV173" i="43" l="1"/>
  <c r="DW174" i="43"/>
  <c r="DV172" i="43" l="1"/>
  <c r="DW173" i="43"/>
  <c r="DV171" i="43" l="1"/>
  <c r="DW172" i="43"/>
  <c r="DV170" i="43" l="1"/>
  <c r="DW171" i="43"/>
  <c r="DV169" i="43" l="1"/>
  <c r="DW170" i="43"/>
  <c r="DV168" i="43" l="1"/>
  <c r="DW169" i="43"/>
  <c r="DV167" i="43" l="1"/>
  <c r="DW168" i="43"/>
  <c r="DW167" i="43" l="1"/>
  <c r="DV166" i="43"/>
  <c r="DW166" i="43" l="1"/>
  <c r="DV165" i="43"/>
  <c r="DV164" i="43" l="1"/>
  <c r="DW165" i="43"/>
  <c r="DW164" i="43" l="1"/>
  <c r="DV163" i="43"/>
  <c r="DW163" i="43" l="1"/>
  <c r="DV162" i="43"/>
  <c r="DV161" i="43" l="1"/>
  <c r="DW162" i="43"/>
  <c r="DV160" i="43" l="1"/>
  <c r="DW161" i="43"/>
  <c r="DV159" i="43" l="1"/>
  <c r="DW160" i="43"/>
  <c r="DV158" i="43" l="1"/>
  <c r="DW159" i="43"/>
  <c r="DW158" i="43" l="1"/>
  <c r="DV157" i="43"/>
  <c r="DV156" i="43" l="1"/>
  <c r="DW157" i="43"/>
  <c r="DV155" i="43" l="1"/>
  <c r="DW156" i="43"/>
  <c r="DV154" i="43" l="1"/>
  <c r="DW155" i="43"/>
  <c r="DW154" i="43" l="1"/>
  <c r="DV153" i="43"/>
  <c r="DW153" i="43" l="1"/>
  <c r="DV152" i="43"/>
  <c r="DW152" i="43" l="1"/>
  <c r="DV151" i="43"/>
  <c r="DV150" i="43" l="1"/>
  <c r="DW151" i="43"/>
  <c r="DW150" i="43" l="1"/>
  <c r="DV149" i="43"/>
  <c r="DV148" i="43" l="1"/>
  <c r="DW149" i="43"/>
  <c r="DV147" i="43" l="1"/>
  <c r="DW148" i="43"/>
  <c r="DV146" i="43" l="1"/>
  <c r="DW147" i="43"/>
  <c r="DW146" i="43" l="1"/>
  <c r="DV145" i="43"/>
  <c r="DV144" i="43" l="1"/>
  <c r="DW145" i="43"/>
  <c r="DW144" i="43" l="1"/>
  <c r="DV143" i="43"/>
  <c r="DV142" i="43" l="1"/>
  <c r="DW143" i="43"/>
  <c r="DW142" i="43" l="1"/>
  <c r="DV141" i="43"/>
  <c r="DW141" i="43" l="1"/>
  <c r="DV140" i="43"/>
  <c r="DW140" i="43" l="1"/>
  <c r="DV139" i="43"/>
  <c r="DV138" i="43" l="1"/>
  <c r="DW139" i="43"/>
  <c r="DV137" i="43" l="1"/>
  <c r="DW138" i="43"/>
  <c r="DW137" i="43" l="1"/>
  <c r="DV136" i="43"/>
  <c r="DV135" i="43" l="1"/>
  <c r="DW136" i="43"/>
  <c r="DV134" i="43" l="1"/>
  <c r="DW135" i="43"/>
  <c r="DV133" i="43" l="1"/>
  <c r="DW134" i="43"/>
  <c r="DV132" i="43" l="1"/>
  <c r="DW133" i="43"/>
  <c r="DW132" i="43" l="1"/>
  <c r="DV131" i="43"/>
  <c r="DV130" i="43" l="1"/>
  <c r="DW131" i="43"/>
  <c r="DV129" i="43" l="1"/>
  <c r="DW130" i="43"/>
  <c r="DW129" i="43" l="1"/>
  <c r="DV128" i="43"/>
  <c r="DW128" i="43" l="1"/>
  <c r="DV127" i="43"/>
  <c r="DW127" i="43" l="1"/>
  <c r="DV126" i="43"/>
  <c r="DV125" i="43" l="1"/>
  <c r="DW126" i="43"/>
  <c r="DV124" i="43" l="1"/>
  <c r="DW125" i="43"/>
  <c r="DW124" i="43" l="1"/>
  <c r="DV123" i="43"/>
  <c r="DW123" i="43" l="1"/>
  <c r="DV122" i="43"/>
  <c r="DW122" i="43" l="1"/>
  <c r="DV121" i="43"/>
  <c r="DW121" i="43" l="1"/>
  <c r="DV120" i="43"/>
  <c r="DV119" i="43" l="1"/>
  <c r="DW120" i="43"/>
  <c r="DV118" i="43" l="1"/>
  <c r="DW119" i="43"/>
  <c r="DV117" i="43" l="1"/>
  <c r="DW118" i="43"/>
  <c r="DW117" i="43" l="1"/>
  <c r="DV116" i="43"/>
  <c r="DW116" i="43" l="1"/>
  <c r="DV115" i="43"/>
  <c r="DW115" i="43" l="1"/>
  <c r="DV114" i="43"/>
  <c r="DV113" i="43" l="1"/>
  <c r="DW114" i="43"/>
  <c r="DV112" i="43" l="1"/>
  <c r="DW113" i="43"/>
  <c r="DV111" i="43" l="1"/>
  <c r="DW112" i="43"/>
  <c r="DV110" i="43" l="1"/>
  <c r="DW111" i="43"/>
  <c r="DW110" i="43" l="1"/>
  <c r="DV109" i="43"/>
  <c r="DV108" i="43" l="1"/>
  <c r="DW109" i="43"/>
  <c r="DV107" i="43" l="1"/>
  <c r="DW108" i="43"/>
  <c r="DW107" i="43" l="1"/>
  <c r="DV106" i="43"/>
  <c r="DW106" i="43" l="1"/>
  <c r="DV105" i="43"/>
  <c r="DW105" i="43" l="1"/>
  <c r="DV104" i="43"/>
  <c r="DV103" i="43" l="1"/>
  <c r="DW104" i="43"/>
  <c r="DW103" i="43" l="1"/>
  <c r="DV102" i="43"/>
  <c r="DW102" i="43" l="1"/>
  <c r="DV101" i="43"/>
  <c r="DW101" i="43" l="1"/>
  <c r="DV100" i="43"/>
  <c r="DV99" i="43" l="1"/>
  <c r="DW100" i="43"/>
  <c r="DV98" i="43" l="1"/>
  <c r="DW99" i="43"/>
  <c r="DV97" i="43" l="1"/>
  <c r="DW98" i="43"/>
  <c r="DV96" i="43" l="1"/>
  <c r="DW97" i="43"/>
  <c r="DV95" i="43" l="1"/>
  <c r="DW96" i="43"/>
  <c r="DV94" i="43" l="1"/>
  <c r="DW95" i="43"/>
  <c r="DW94" i="43" l="1"/>
  <c r="DV93" i="43"/>
  <c r="DV92" i="43" l="1"/>
  <c r="DW93" i="43"/>
  <c r="DW92" i="43" l="1"/>
  <c r="DV91" i="43"/>
  <c r="DV90" i="43" l="1"/>
  <c r="DW91" i="43"/>
  <c r="DW90" i="43" l="1"/>
  <c r="DV89" i="43"/>
  <c r="DV88" i="43" l="1"/>
  <c r="DW89" i="43"/>
  <c r="DV87" i="43" l="1"/>
  <c r="DW88" i="43"/>
  <c r="DV86" i="43" l="1"/>
  <c r="DW87" i="43"/>
  <c r="DW86" i="43" l="1"/>
  <c r="DV85" i="43"/>
  <c r="DV84" i="43" l="1"/>
  <c r="DW85" i="43"/>
  <c r="DV83" i="43" l="1"/>
  <c r="DW84" i="43"/>
  <c r="DW83" i="43" l="1"/>
  <c r="DV82" i="43"/>
  <c r="DW82" i="43" l="1"/>
  <c r="DV81" i="43"/>
  <c r="DW81" i="43" l="1"/>
  <c r="DV80" i="43"/>
  <c r="DV79" i="43" l="1"/>
  <c r="DW80" i="43"/>
  <c r="DV78" i="43" l="1"/>
  <c r="DW79" i="43"/>
  <c r="DW78" i="43" l="1"/>
  <c r="DV77" i="43"/>
  <c r="DV76" i="43" l="1"/>
  <c r="DW77" i="43"/>
  <c r="DV75" i="43" l="1"/>
  <c r="DW76" i="43"/>
  <c r="DW75" i="43" l="1"/>
  <c r="DV74" i="43"/>
  <c r="DV73" i="43" l="1"/>
  <c r="DW74" i="43"/>
  <c r="DW73" i="43" l="1"/>
  <c r="DV72" i="43"/>
  <c r="DV71" i="43" l="1"/>
  <c r="DW72" i="43"/>
  <c r="DV70" i="43" l="1"/>
  <c r="DW71" i="43"/>
  <c r="DW70" i="43" l="1"/>
  <c r="DV69" i="43"/>
  <c r="DV68" i="43" l="1"/>
  <c r="DW69" i="43"/>
  <c r="DW68" i="43" l="1"/>
  <c r="DV67" i="43"/>
  <c r="DW67" i="43" l="1"/>
  <c r="DV66" i="43"/>
  <c r="DV65" i="43" l="1"/>
  <c r="DW66" i="43"/>
  <c r="DW65" i="43" l="1"/>
  <c r="DV64" i="43"/>
  <c r="DV63" i="43" l="1"/>
  <c r="DW64" i="43"/>
  <c r="DV62" i="43" l="1"/>
  <c r="DW63" i="43"/>
  <c r="DV61" i="43" l="1"/>
  <c r="DW62" i="43"/>
  <c r="DV60" i="43" l="1"/>
  <c r="DW61" i="43"/>
  <c r="DV59" i="43" l="1"/>
  <c r="DW60" i="43"/>
  <c r="DV58" i="43" l="1"/>
  <c r="DW59" i="43"/>
  <c r="DV57" i="43" l="1"/>
  <c r="DW58" i="43"/>
  <c r="DV56" i="43" l="1"/>
  <c r="DW57" i="43"/>
  <c r="DV55" i="43" l="1"/>
  <c r="DW56" i="43"/>
  <c r="DV54" i="43" l="1"/>
  <c r="DW55" i="43"/>
  <c r="DW54" i="43" l="1"/>
  <c r="DV53" i="43"/>
  <c r="DV52" i="43" l="1"/>
  <c r="DW53" i="43"/>
  <c r="DW52" i="43" l="1"/>
  <c r="DV51" i="43"/>
  <c r="DW51" i="43" l="1"/>
  <c r="DV50" i="43"/>
  <c r="DV49" i="43" l="1"/>
  <c r="DW50" i="43"/>
  <c r="DV48" i="43" l="1"/>
  <c r="DW49" i="43"/>
  <c r="DV47" i="43" l="1"/>
  <c r="DW48" i="43"/>
  <c r="DV46" i="43" l="1"/>
  <c r="DW47" i="43"/>
  <c r="DV45" i="43" l="1"/>
  <c r="DW46" i="43"/>
  <c r="DV44" i="43" l="1"/>
  <c r="DW45" i="43"/>
  <c r="DV43" i="43" l="1"/>
  <c r="DW44" i="43"/>
  <c r="DW43" i="43" l="1"/>
  <c r="DV42" i="43"/>
  <c r="DW42" i="43" l="1"/>
  <c r="DV41" i="43"/>
  <c r="DW41" i="43" l="1"/>
  <c r="DV40" i="43"/>
  <c r="DV39" i="43" l="1"/>
  <c r="DW40" i="43"/>
  <c r="DV38" i="43" l="1"/>
  <c r="DW39" i="43"/>
  <c r="DV37" i="43" l="1"/>
  <c r="DW38" i="43"/>
  <c r="DV36" i="43" l="1"/>
  <c r="DW37" i="43"/>
  <c r="DV35" i="43" l="1"/>
  <c r="DW36" i="43"/>
  <c r="DV34" i="43" l="1"/>
  <c r="DW35" i="43"/>
  <c r="DV33" i="43" l="1"/>
  <c r="DW34" i="43"/>
  <c r="DV32" i="43" l="1"/>
  <c r="DW33" i="43"/>
  <c r="DW32" i="43" l="1"/>
  <c r="DV31" i="43"/>
  <c r="DV30" i="43" l="1"/>
  <c r="DW31" i="43"/>
  <c r="DV29" i="43" l="1"/>
  <c r="DW30" i="43"/>
  <c r="DW29" i="43" l="1"/>
  <c r="DV28" i="43"/>
  <c r="DV27" i="43" l="1"/>
  <c r="DW28" i="43"/>
  <c r="DV26" i="43" l="1"/>
  <c r="DW27" i="43"/>
  <c r="DW26" i="43" l="1"/>
  <c r="DV25" i="43"/>
  <c r="DV24" i="43" l="1"/>
  <c r="DW25" i="43"/>
  <c r="DW24" i="43" l="1"/>
  <c r="DV23" i="43"/>
  <c r="DW23" i="43" l="1"/>
  <c r="DV22" i="43"/>
  <c r="DV21" i="43" l="1"/>
  <c r="DW22" i="43"/>
  <c r="DV20" i="43" l="1"/>
  <c r="DW21" i="43"/>
  <c r="DV19" i="43" l="1"/>
  <c r="DW20" i="43"/>
  <c r="DW19" i="43" l="1"/>
  <c r="DV18" i="43"/>
  <c r="DV17" i="43" l="1"/>
  <c r="DW18" i="43"/>
  <c r="DW17" i="43" l="1"/>
  <c r="DV16" i="43"/>
  <c r="DV15" i="43" l="1"/>
  <c r="DW16" i="43"/>
  <c r="DV14" i="43" l="1"/>
  <c r="DW15" i="43"/>
  <c r="DV13" i="43" l="1"/>
  <c r="DW14" i="43"/>
  <c r="DW13" i="43" l="1"/>
  <c r="DV12" i="43"/>
  <c r="DV11" i="43" l="1"/>
  <c r="DW12" i="43"/>
  <c r="DW11" i="43" l="1"/>
  <c r="DV10" i="43"/>
  <c r="DV9" i="43" l="1"/>
  <c r="DW10" i="43"/>
  <c r="DW9" i="43" l="1"/>
  <c r="DV8" i="43"/>
  <c r="DW8" i="43" l="1"/>
  <c r="DV7" i="43"/>
  <c r="DV6" i="43" l="1"/>
  <c r="DW7" i="43"/>
  <c r="DV5" i="43" l="1"/>
  <c r="DW6" i="43"/>
  <c r="DW5" i="43" l="1"/>
  <c r="DV4" i="43"/>
  <c r="DV3" i="43" l="1"/>
  <c r="DW4" i="43"/>
  <c r="DV2" i="43" l="1"/>
  <c r="DW2" i="43" s="1"/>
  <c r="DW3" i="43"/>
  <c r="CG23" i="19" l="1"/>
  <c r="AF1" i="19"/>
  <c r="CG27" i="19" l="1"/>
  <c r="G43" i="19"/>
  <c r="C24" i="40" a="1"/>
  <c r="C24" i="40" l="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Ian Cox-Smith</author>
  </authors>
  <commentList>
    <comment ref="CK4" authorId="0" shapeId="0" xr:uid="{5BC414E2-A849-4989-8061-601170CE8DA4}">
      <text>
        <r>
          <rPr>
            <sz val="9"/>
            <color indexed="81"/>
            <rFont val="Tahoma"/>
            <family val="2"/>
          </rPr>
          <t>1  single layer
2  two layers</t>
        </r>
      </text>
    </comment>
    <comment ref="DB4" authorId="0" shapeId="0" xr:uid="{24A51DED-CE6E-4B3A-93B1-E9377983C0E3}">
      <text>
        <r>
          <rPr>
            <sz val="9"/>
            <color indexed="81"/>
            <rFont val="Tahoma"/>
            <family val="2"/>
          </rPr>
          <t>PC version:      Can be copied and pasted (select then triple click) into conductivity drop-down box below
Web version:   Can be copied and pasted into conductivity entry box
Mac version:    Can't use copy and paste</t>
        </r>
      </text>
    </comment>
    <comment ref="CZ5" authorId="0" shapeId="0" xr:uid="{9E11D23D-26C8-482B-B2A6-66EAE2B94407}">
      <text>
        <r>
          <rPr>
            <sz val="9"/>
            <color indexed="81"/>
            <rFont val="Tahoma"/>
            <family val="2"/>
          </rPr>
          <t>PC version:      Can be copied and pasted (select then triple click) into R-value drop-down box below
Web version:   Can be copied and pasted into R-value entry box
Mac version:    Can't use copy and paste</t>
        </r>
      </text>
    </comment>
    <comment ref="CP6" authorId="0" shapeId="0" xr:uid="{680E772B-28B4-46D7-89AE-53E513A8C9DE}">
      <text>
        <r>
          <rPr>
            <sz val="9"/>
            <color indexed="81"/>
            <rFont val="Tahoma"/>
            <family val="2"/>
          </rPr>
          <t>1  Profiled Metal
2  Clay Tiles</t>
        </r>
      </text>
    </comment>
    <comment ref="CP8" authorId="0" shapeId="0" xr:uid="{6DABE0F7-E9BE-4DE0-8093-4832CA16BCB5}">
      <text>
        <r>
          <rPr>
            <sz val="9"/>
            <color indexed="81"/>
            <rFont val="Tahoma"/>
            <family val="2"/>
          </rPr>
          <t xml:space="preserve">1   90 mm
2  140 mm
</t>
        </r>
      </text>
    </comment>
    <comment ref="CP10" authorId="0" shapeId="0" xr:uid="{3648E30F-97B5-49BE-9DBB-21BE97D570FC}">
      <text>
        <r>
          <rPr>
            <sz val="9"/>
            <color indexed="81"/>
            <rFont val="Tahoma"/>
            <family val="2"/>
          </rPr>
          <t>0.0200 - 0.0650
steps 0.0001</t>
        </r>
      </text>
    </comment>
    <comment ref="CW10" authorId="0" shapeId="0" xr:uid="{DC8F15EE-C63E-4398-AB80-82EF49F55005}">
      <text>
        <r>
          <rPr>
            <sz val="9"/>
            <color indexed="81"/>
            <rFont val="Tahoma"/>
            <family val="2"/>
          </rPr>
          <t>1  900  1200
2  600    900
3  400    600</t>
        </r>
      </text>
    </comment>
    <comment ref="CK13" authorId="0" shapeId="0" xr:uid="{C3469CFC-3910-43AA-80F7-BC585560E689}">
      <text>
        <r>
          <rPr>
            <sz val="9"/>
            <color indexed="81"/>
            <rFont val="Tahoma"/>
            <family val="2"/>
          </rPr>
          <t>2.5 - 10
steps 0.1</t>
        </r>
      </text>
    </comment>
    <comment ref="CP13" authorId="0" shapeId="0" xr:uid="{FB723DBD-270C-431B-8BDB-A95305A66598}">
      <text>
        <r>
          <rPr>
            <sz val="9"/>
            <color indexed="81"/>
            <rFont val="Tahoma"/>
            <family val="2"/>
          </rPr>
          <t>1.5  -  3.4  (110 mm)
2.2  -  5.0  (160 mm)</t>
        </r>
      </text>
    </comment>
    <comment ref="CW13" authorId="0" shapeId="0" xr:uid="{65743EC3-AC5D-481D-83CB-C11B0F11D603}">
      <text>
        <r>
          <rPr>
            <sz val="9"/>
            <color indexed="81"/>
            <rFont val="Tahoma"/>
            <family val="2"/>
          </rPr>
          <t>1.5 - 9
steps 0.1</t>
        </r>
      </text>
    </comment>
    <comment ref="CP16" authorId="0" shapeId="0" xr:uid="{CA0A3F2C-E3F0-475E-94EA-2510DF14D674}">
      <text>
        <r>
          <rPr>
            <sz val="9"/>
            <color indexed="81"/>
            <rFont val="Tahoma"/>
            <family val="2"/>
          </rPr>
          <t>0  none
1  ISIL un-framed
2  ISIL framed</t>
        </r>
      </text>
    </comment>
    <comment ref="CQ17" authorId="0" shapeId="0" xr:uid="{23D6C87F-DD1D-4B5B-9C52-3779C9EC31EE}">
      <text>
        <r>
          <rPr>
            <sz val="11"/>
            <color theme="1"/>
            <rFont val="Calibri"/>
            <family val="2"/>
            <scheme val="minor"/>
          </rPr>
          <t xml:space="preserve">0.01 - 3.00
steps 0.01
</t>
        </r>
      </text>
    </comment>
    <comment ref="CQ18" authorId="0" shapeId="0" xr:uid="{1EA5977C-AE1B-4091-B2E0-4F98B6569DEB}">
      <text>
        <r>
          <rPr>
            <sz val="11"/>
            <color theme="1"/>
            <rFont val="Calibri"/>
            <family val="2"/>
            <scheme val="minor"/>
          </rPr>
          <t>1 - 95
steps 1 mm</t>
        </r>
      </text>
    </comment>
    <comment ref="CQ19" authorId="0" shapeId="0" xr:uid="{862937CE-8793-4580-B98F-A05579B5E40D}">
      <text>
        <r>
          <rPr>
            <sz val="11"/>
            <color theme="1"/>
            <rFont val="Calibri"/>
            <family val="2"/>
            <scheme val="minor"/>
          </rPr>
          <t>1.0 - 25.0
steps 0.1 %</t>
        </r>
      </text>
    </comment>
    <comment ref="CO22" authorId="0" shapeId="0" xr:uid="{6FFDAD90-881D-485D-A722-611B91A38FDC}">
      <text>
        <r>
          <rPr>
            <sz val="9"/>
            <color indexed="81"/>
            <rFont val="Tahoma"/>
            <family val="2"/>
          </rPr>
          <t>0  none
1  7 mm plywood
2  13 mm plywood
3  10 mm plasterboard
4  13 mm plasterboard</t>
        </r>
      </text>
    </comment>
    <comment ref="DL32" authorId="0" shapeId="0" xr:uid="{46FFC075-EE2A-44B7-B807-F38F637B29FA}">
      <text>
        <r>
          <rPr>
            <sz val="11"/>
            <color theme="1"/>
            <rFont val="Calibri"/>
            <family val="2"/>
            <scheme val="minor"/>
          </rPr>
          <t>0 - 5.0
steps 0.1</t>
        </r>
      </text>
    </comment>
    <comment ref="DL34" authorId="0" shapeId="0" xr:uid="{B63F3AE1-48D5-4404-A119-AFC9CE47885F}">
      <text>
        <r>
          <rPr>
            <sz val="11"/>
            <color theme="1"/>
            <rFont val="Calibri"/>
            <family val="2"/>
            <scheme val="minor"/>
          </rPr>
          <t>300 - 950
steps 50</t>
        </r>
      </text>
    </comment>
    <comment ref="DK39" authorId="0" shapeId="0" xr:uid="{6E89D54C-DD6E-463C-B945-F3349AC8EDE4}">
      <text>
        <r>
          <rPr>
            <sz val="9"/>
            <color indexed="81"/>
            <rFont val="Tahoma"/>
            <family val="2"/>
          </rPr>
          <t>1  full thickness compressed
2  only top layer compressed</t>
        </r>
      </text>
    </comment>
    <comment ref="DM41" authorId="0" shapeId="0" xr:uid="{9C374E9D-72CE-44E1-A53F-5A3A46382DE7}">
      <text>
        <r>
          <rPr>
            <sz val="11"/>
            <color theme="1"/>
            <rFont val="Calibri"/>
            <family val="2"/>
            <scheme val="minor"/>
          </rPr>
          <t>2.5 - 10
steps 0.1</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Ian Cox-Smith</author>
  </authors>
  <commentList>
    <comment ref="CC4" authorId="0" shapeId="0" xr:uid="{1B143D36-CF39-45E5-B068-341188DCE0E1}">
      <text>
        <r>
          <rPr>
            <sz val="9"/>
            <color indexed="81"/>
            <rFont val="Tahoma"/>
            <family val="2"/>
          </rPr>
          <t>10 - 1200
steps 10</t>
        </r>
      </text>
    </comment>
    <comment ref="BU5" authorId="0" shapeId="0" xr:uid="{59025F0E-C6F8-4773-8745-123182E6511C}">
      <text>
        <r>
          <rPr>
            <sz val="9"/>
            <color indexed="81"/>
            <rFont val="Tahoma"/>
            <family val="2"/>
          </rPr>
          <t>PC version:      Can be copied and pasted (select then triple click) into thickness drop-down box below
Web version:   Can be copied and pasted into thickness entry box
Mac version:    Can't use copy and paste</t>
        </r>
      </text>
    </comment>
    <comment ref="BW6" authorId="0" shapeId="0" xr:uid="{2B031CA6-7564-40E7-8203-00C9D9C125EF}">
      <text>
        <r>
          <rPr>
            <sz val="9"/>
            <color indexed="81"/>
            <rFont val="Tahoma"/>
            <family val="2"/>
          </rPr>
          <t>PC version:      Can be copied and pasted (select then triple click) into conductivity drop-down box below
Web version:   Can be copied and pasted into conductivity entry box
Mac version:    Can't use copy and paste</t>
        </r>
      </text>
    </comment>
    <comment ref="BU7" authorId="0" shapeId="0" xr:uid="{9BFCDAA1-6E8B-4FBD-AB4C-B6A8C4182BC3}">
      <text>
        <r>
          <rPr>
            <sz val="9"/>
            <color indexed="81"/>
            <rFont val="Tahoma"/>
            <family val="2"/>
          </rPr>
          <t>PC version:      Can be copied and pasted (select then triple click) into R-value drop-down box below
Web version:   Can be copied and pasted into R-value entry box
Mac version:    Can't use copy and paste</t>
        </r>
      </text>
    </comment>
    <comment ref="BT10" authorId="0" shapeId="0" xr:uid="{1B87EB70-1C02-45B2-B6E7-032A5DFD8800}">
      <text>
        <r>
          <rPr>
            <sz val="9"/>
            <color indexed="81"/>
            <rFont val="Tahoma"/>
            <family val="2"/>
          </rPr>
          <t>0 - 30 deg
steps 0.5</t>
        </r>
      </text>
    </comment>
    <comment ref="BT12" authorId="0" shapeId="0" xr:uid="{1EF9DB27-E75A-4CDA-98EA-F9911911058F}">
      <text>
        <r>
          <rPr>
            <sz val="9"/>
            <color indexed="81"/>
            <rFont val="Tahoma"/>
            <family val="2"/>
          </rPr>
          <t>10 - 500
steps 5</t>
        </r>
      </text>
    </comment>
    <comment ref="BS16" authorId="0" shapeId="0" xr:uid="{EB7A4E89-5205-4AA2-A8EE-E99293B86DA3}">
      <text>
        <r>
          <rPr>
            <sz val="9"/>
            <color indexed="81"/>
            <rFont val="Tahoma"/>
            <family val="2"/>
          </rPr>
          <t>1:  glasswool fibre
2:  polyester/wool
3:  rigid insulation</t>
        </r>
      </text>
    </comment>
    <comment ref="BX16" authorId="0" shapeId="0" xr:uid="{B1CC9A17-CEE0-4814-AAEB-60E7E3FD42A5}">
      <text>
        <r>
          <rPr>
            <sz val="9"/>
            <color indexed="81"/>
            <rFont val="Tahoma"/>
            <family val="2"/>
          </rPr>
          <t>0.0200 - 0.0650
steps 0.0001</t>
        </r>
      </text>
    </comment>
    <comment ref="BT18" authorId="0" shapeId="0" xr:uid="{36DB56EB-FF83-4F45-A778-876281060B2F}">
      <text>
        <r>
          <rPr>
            <sz val="9"/>
            <color indexed="81"/>
            <rFont val="Tahoma"/>
            <family val="2"/>
          </rPr>
          <t xml:space="preserve">10 - 500
steps 5
</t>
        </r>
      </text>
    </comment>
    <comment ref="BT20" authorId="0" shapeId="0" xr:uid="{0D7204A3-364F-4F09-8E99-FF5F9313A626}">
      <text>
        <r>
          <rPr>
            <sz val="9"/>
            <color indexed="81"/>
            <rFont val="Tahoma"/>
            <family val="2"/>
          </rPr>
          <t>10 - 1200
steps 10</t>
        </r>
      </text>
    </comment>
    <comment ref="BS25" authorId="0" shapeId="0" xr:uid="{C09E775E-9DE0-4D32-8681-3778C9DE838C}">
      <text>
        <r>
          <rPr>
            <sz val="9"/>
            <color indexed="81"/>
            <rFont val="Tahoma"/>
            <family val="2"/>
          </rPr>
          <t>1:  glasswool fibre
2:  polyester/wool
3:  rigid insulation</t>
        </r>
      </text>
    </comment>
    <comment ref="BX25" authorId="0" shapeId="0" xr:uid="{6356275E-AB1B-4AAE-B044-B31705F639BA}">
      <text>
        <r>
          <rPr>
            <sz val="9"/>
            <color indexed="81"/>
            <rFont val="Tahoma"/>
            <family val="2"/>
          </rPr>
          <t>0.0200 - 0.0650
steps 0.0001</t>
        </r>
      </text>
    </comment>
    <comment ref="BT27" authorId="0" shapeId="0" xr:uid="{D9791D80-AB14-44FB-868F-09A49CA5A1B7}">
      <text>
        <r>
          <rPr>
            <sz val="9"/>
            <color indexed="81"/>
            <rFont val="Tahoma"/>
            <family val="2"/>
          </rPr>
          <t>10 - 500
steps 5</t>
        </r>
      </text>
    </comment>
    <comment ref="BT29" authorId="0" shapeId="0" xr:uid="{0FBB5278-C551-45D6-A340-8019DC5E20B3}">
      <text>
        <r>
          <rPr>
            <sz val="9"/>
            <color indexed="81"/>
            <rFont val="Tahoma"/>
            <family val="2"/>
          </rPr>
          <t>10 - 1200
steps 10</t>
        </r>
      </text>
    </comment>
    <comment ref="BS34" authorId="0" shapeId="0" xr:uid="{851854CD-FC76-4FEA-B5AD-A226D11125A5}">
      <text>
        <r>
          <rPr>
            <sz val="9"/>
            <color indexed="81"/>
            <rFont val="Tahoma"/>
            <family val="2"/>
          </rPr>
          <t>1:  glasswool fibre
2:  polyester/wool
3:  rigid insulation</t>
        </r>
      </text>
    </comment>
    <comment ref="BX34" authorId="0" shapeId="0" xr:uid="{4CF7C6F8-AC7E-4570-8EEF-7A95EA1E342A}">
      <text>
        <r>
          <rPr>
            <sz val="9"/>
            <color indexed="81"/>
            <rFont val="Tahoma"/>
            <family val="2"/>
          </rPr>
          <t>0.0200 - 0.0650
steps 0.0001</t>
        </r>
      </text>
    </comment>
    <comment ref="BT36" authorId="0" shapeId="0" xr:uid="{13F9DA40-3D71-4BF7-A53A-15CCC778308D}">
      <text>
        <r>
          <rPr>
            <sz val="9"/>
            <color indexed="81"/>
            <rFont val="Tahoma"/>
            <family val="2"/>
          </rPr>
          <t>10 - 500
steps 5</t>
        </r>
      </text>
    </comment>
    <comment ref="BT38" authorId="0" shapeId="0" xr:uid="{6B4E9D2C-2C1C-46F6-9B83-7702001A6C8B}">
      <text>
        <r>
          <rPr>
            <sz val="9"/>
            <color indexed="81"/>
            <rFont val="Tahoma"/>
            <family val="2"/>
          </rPr>
          <t>10 - 1200
steps 10</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Ian Cox-Smith</author>
  </authors>
  <commentList>
    <comment ref="CG4" authorId="0" shapeId="0" xr:uid="{89CED88A-4462-41CF-BF52-012CBFD9ECEA}">
      <text>
        <r>
          <rPr>
            <sz val="9"/>
            <color indexed="81"/>
            <rFont val="Tahoma"/>
            <family val="2"/>
          </rPr>
          <t>PC version:      Can be copied and pasted (select then triple click) into conductivity drop-down box below
Web version:   Can be copied and pasted into conductivity entry box
Mac version:    Can't use copy and paste</t>
        </r>
      </text>
    </comment>
    <comment ref="CE5" authorId="0" shapeId="0" xr:uid="{A4DAD3E6-F687-4BCB-A94C-F092AE2F81E0}">
      <text>
        <r>
          <rPr>
            <sz val="9"/>
            <color indexed="81"/>
            <rFont val="Tahoma"/>
            <family val="2"/>
          </rPr>
          <t>PC version:      Can be copied and pasted (select then triple click) into R-value drop-down box below
Web version:   Can be copied and pasted into R-value entry box
Mac version:    Can't use copy and paste</t>
        </r>
      </text>
    </comment>
    <comment ref="CE8" authorId="0" shapeId="0" xr:uid="{B4FD4AAE-C74B-4F2B-90CA-C3D6EB3C111A}">
      <text>
        <r>
          <rPr>
            <sz val="9"/>
            <color indexed="81"/>
            <rFont val="Tahoma"/>
            <family val="2"/>
          </rPr>
          <t>1  Concrete or clay tiles
2  Metal tiles / profiled metal
3  Low slope metal
4  Membrane</t>
        </r>
      </text>
    </comment>
    <comment ref="CK9" authorId="0" shapeId="0" xr:uid="{6E2685EC-146B-49DB-879D-968D4DCC39BD}">
      <text>
        <r>
          <rPr>
            <sz val="9"/>
            <color indexed="81"/>
            <rFont val="Tahoma"/>
            <family val="2"/>
          </rPr>
          <t>1  900  1200
2  900    900
3  600    600
4  400    400</t>
        </r>
      </text>
    </comment>
    <comment ref="CE10" authorId="0" shapeId="0" xr:uid="{18A8A394-84BC-4DD3-B361-CADDB5EFA521}">
      <text>
        <r>
          <rPr>
            <sz val="9"/>
            <color indexed="81"/>
            <rFont val="Tahoma"/>
            <family val="2"/>
          </rPr>
          <t>1  290 mm
2  240 mm
3  190 mm
4  140 mm</t>
        </r>
      </text>
    </comment>
    <comment ref="CE12" authorId="0" shapeId="0" xr:uid="{D8E37BE0-00DE-4BB9-B5FE-C035693F6811}">
      <text>
        <r>
          <rPr>
            <sz val="9"/>
            <color indexed="81"/>
            <rFont val="Tahoma"/>
            <family val="2"/>
          </rPr>
          <t>1  Battens
2  Dwangs</t>
        </r>
      </text>
    </comment>
    <comment ref="CK13" authorId="0" shapeId="0" xr:uid="{8D413D8F-5E10-470A-B3BF-31073C7A9CC1}">
      <text>
        <r>
          <rPr>
            <sz val="11"/>
            <color theme="1"/>
            <rFont val="Calibri"/>
            <family val="2"/>
            <scheme val="minor"/>
          </rPr>
          <t>2.0 - 9.8
steps 0.1</t>
        </r>
      </text>
    </comment>
    <comment ref="BZ14" authorId="0" shapeId="0" xr:uid="{557057AB-0A9F-48EC-A24A-4F96825F8B6E}">
      <text>
        <r>
          <rPr>
            <sz val="11"/>
            <color theme="1"/>
            <rFont val="Calibri"/>
            <family val="2"/>
            <scheme val="minor"/>
          </rPr>
          <t>2.0 - 9.8
steps 0.1</t>
        </r>
      </text>
    </comment>
    <comment ref="CE14" authorId="0" shapeId="0" xr:uid="{2E8E528E-E071-447B-856F-E5C71B935422}">
      <text>
        <r>
          <rPr>
            <sz val="9"/>
            <color indexed="81"/>
            <rFont val="Tahoma"/>
            <family val="2"/>
          </rPr>
          <t>0.0200 - 0.0650
steps 0.0001</t>
        </r>
      </text>
    </comment>
    <comment ref="CE16" authorId="0" shapeId="0" xr:uid="{C2C19A5B-E455-40EE-9153-5BBDE91DF2DA}">
      <text>
        <r>
          <rPr>
            <sz val="9"/>
            <color indexed="81"/>
            <rFont val="Tahoma"/>
            <family val="2"/>
          </rPr>
          <t>0  none
1  no frame
2  frame</t>
        </r>
      </text>
    </comment>
    <comment ref="CF17" authorId="0" shapeId="0" xr:uid="{861F8ABE-CE34-470B-8660-E796003A3DB6}">
      <text>
        <r>
          <rPr>
            <sz val="11"/>
            <color theme="1"/>
            <rFont val="Calibri"/>
            <family val="2"/>
            <scheme val="minor"/>
          </rPr>
          <t xml:space="preserve">0.01 - 3.00
steps 0.01
</t>
        </r>
      </text>
    </comment>
    <comment ref="CF18" authorId="0" shapeId="0" xr:uid="{807AA05A-462F-4D93-9D93-B135288A44A4}">
      <text>
        <r>
          <rPr>
            <sz val="11"/>
            <color theme="1"/>
            <rFont val="Calibri"/>
            <family val="2"/>
            <scheme val="minor"/>
          </rPr>
          <t>1 - 95
steps 1 mm</t>
        </r>
      </text>
    </comment>
    <comment ref="CF19" authorId="0" shapeId="0" xr:uid="{0689FADC-4E61-46D4-81FB-EDE8A7FF4C53}">
      <text>
        <r>
          <rPr>
            <sz val="11"/>
            <color theme="1"/>
            <rFont val="Calibri"/>
            <family val="2"/>
            <scheme val="minor"/>
          </rPr>
          <t>1.0 - 25.0
steps 0.1 %</t>
        </r>
      </text>
    </comment>
    <comment ref="CD22" authorId="0" shapeId="0" xr:uid="{2155E2A8-6AAD-4A11-9CD4-3284E4AEE957}">
      <text>
        <r>
          <rPr>
            <sz val="9"/>
            <color indexed="81"/>
            <rFont val="Tahoma"/>
            <family val="2"/>
          </rPr>
          <t>0  none
1  7 mm plywood
2  13 mm plywood
3  10 mm plasterboard
4  13 mm plasterboard</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Ian Cox-Smith</author>
  </authors>
  <commentList>
    <comment ref="DN3" authorId="0" shapeId="0" xr:uid="{4C6AE9D0-E8E6-4F12-BD60-848178186E42}">
      <text>
        <r>
          <rPr>
            <sz val="9"/>
            <color indexed="81"/>
            <rFont val="Tahoma"/>
            <family val="2"/>
          </rPr>
          <t xml:space="preserve">0  none
1  BevelBacked WB
2  Rusticated WB
3  FibreCement WB
4  FibreCement sheet
5  Profiled metal
6  Masonry Veneer
7  Plaster
</t>
        </r>
      </text>
    </comment>
    <comment ref="DR3" authorId="0" shapeId="0" xr:uid="{4F2C79B5-18BD-4E41-BD02-BA3A4346AA8E}">
      <text>
        <r>
          <rPr>
            <sz val="9"/>
            <color indexed="81"/>
            <rFont val="Tahoma"/>
            <family val="2"/>
          </rPr>
          <t>0  none
1  un-framed insulation
2  timber frame
3  steel frame</t>
        </r>
      </text>
    </comment>
    <comment ref="DV3" authorId="0" shapeId="0" xr:uid="{2613E92C-91CD-4E24-B847-0654E1E32E56}">
      <text>
        <r>
          <rPr>
            <sz val="9"/>
            <color indexed="81"/>
            <rFont val="Tahoma"/>
            <family val="2"/>
          </rPr>
          <t xml:space="preserve">0  none
1  7 mm plywood
2  13 mm plywood
3  6 mm fibrecement
4  7.5 mm fibrecement
5  9 mm fibrecement
6  10 mm HD plasterboard
7  13 mm HD plasterboard
8  R-0.38 insulated RAB
</t>
        </r>
      </text>
    </comment>
    <comment ref="DZ3" authorId="0" shapeId="0" xr:uid="{388B003D-BFBC-4A0D-94A3-B5881F14738F}">
      <text>
        <r>
          <rPr>
            <sz val="9"/>
            <color indexed="81"/>
            <rFont val="Tahoma"/>
            <family val="2"/>
          </rPr>
          <t>1  90mm timber
2  140mm timber
3  90mm steel &amp; thermal break
4  140mm steel &amp; thermal break
5  190mm timber
6  140mm staggered 90mm timber
7  180mm staggered 90mm timber</t>
        </r>
      </text>
    </comment>
    <comment ref="EE3" authorId="0" shapeId="0" xr:uid="{B422E5B8-BE52-4FD0-A2D4-E2607FA81E4A}">
      <text>
        <r>
          <rPr>
            <sz val="9"/>
            <color indexed="81"/>
            <rFont val="Tahoma"/>
            <family val="2"/>
          </rPr>
          <t>0  none
1  7 mm plywood
2  13 mm plywood
3  10 mm plasterboard
4  13 mm plasterboard</t>
        </r>
      </text>
    </comment>
    <comment ref="EI3" authorId="0" shapeId="0" xr:uid="{D84CAF4A-28D3-4C4F-AABD-C9A62200793B}">
      <text>
        <r>
          <rPr>
            <sz val="9"/>
            <color indexed="81"/>
            <rFont val="Tahoma"/>
            <family val="2"/>
          </rPr>
          <t>0  none
1  un-framed insulation
2  timber frame offset
3  steel frame offset
4  timber frame inline
5  steel frame inline</t>
        </r>
      </text>
    </comment>
    <comment ref="EM3" authorId="0" shapeId="0" xr:uid="{B2864996-2D0C-4CAA-9A5D-A29AE1C4A92C}">
      <text>
        <r>
          <rPr>
            <sz val="9"/>
            <color indexed="81"/>
            <rFont val="Tahoma"/>
            <family val="2"/>
          </rPr>
          <t xml:space="preserve">0  none
1  7 mm plywood
2  13 mm plywood
3  10 mm plasterboard
4  13 mm plasterboard
</t>
        </r>
      </text>
    </comment>
    <comment ref="DT5" authorId="0" shapeId="0" xr:uid="{BA01624C-2668-4A48-A5D1-0810A4C5635B}">
      <text>
        <r>
          <rPr>
            <sz val="11"/>
            <color theme="1"/>
            <rFont val="Calibri"/>
            <family val="2"/>
            <scheme val="minor"/>
          </rPr>
          <t xml:space="preserve">0.01 - 3.00
steps 0.01
</t>
        </r>
      </text>
    </comment>
    <comment ref="EC5" authorId="0" shapeId="0" xr:uid="{4D0C94F2-F54A-437A-AE55-2BDFE7E4E5DC}">
      <text>
        <r>
          <rPr>
            <sz val="9"/>
            <color indexed="81"/>
            <rFont val="Tahoma"/>
            <family val="2"/>
          </rPr>
          <t>0  no insulation
1  medium R-value
2  high R-value</t>
        </r>
      </text>
    </comment>
    <comment ref="EK5" authorId="0" shapeId="0" xr:uid="{C1845D70-3026-41D8-AA3A-572C0CCFE982}">
      <text>
        <r>
          <rPr>
            <sz val="11"/>
            <color theme="1"/>
            <rFont val="Calibri"/>
            <family val="2"/>
            <scheme val="minor"/>
          </rPr>
          <t>0.01 - 3.00
steps 0.01</t>
        </r>
      </text>
    </comment>
    <comment ref="DN6" authorId="0" shapeId="0" xr:uid="{257B099A-38EA-4763-A0F2-9026D09BBC1B}">
      <text>
        <r>
          <rPr>
            <sz val="9"/>
            <color indexed="81"/>
            <rFont val="Tahoma"/>
            <family val="2"/>
          </rPr>
          <t xml:space="preserve">0  no cavity
1  only cladding on cavity
2  cladding &amp; ESIL on cavity
</t>
        </r>
      </text>
    </comment>
    <comment ref="DT6" authorId="0" shapeId="0" xr:uid="{51D79F87-C2A3-4878-AA02-2B7EC88DA30F}">
      <text>
        <r>
          <rPr>
            <sz val="11"/>
            <color theme="1"/>
            <rFont val="Calibri"/>
            <family val="2"/>
            <scheme val="minor"/>
          </rPr>
          <t>1 - 95
steps 1 mm</t>
        </r>
      </text>
    </comment>
    <comment ref="EC6" authorId="0" shapeId="0" xr:uid="{04651BEF-F261-49A4-8B1F-1FF22507B4F3}">
      <text>
        <r>
          <rPr>
            <sz val="9"/>
            <color indexed="81"/>
            <rFont val="Tahoma"/>
            <family val="2"/>
          </rPr>
          <t>1  0.55 mm
2  0.75 mm
3  0.95 mm
4  1.15 mm</t>
        </r>
      </text>
    </comment>
    <comment ref="EK6" authorId="0" shapeId="0" xr:uid="{65BCB8B0-4B43-4D82-9BF0-C17099194107}">
      <text>
        <r>
          <rPr>
            <sz val="11"/>
            <color theme="1"/>
            <rFont val="Calibri"/>
            <family val="2"/>
            <scheme val="minor"/>
          </rPr>
          <t>1 - 95
steps 1 mm</t>
        </r>
      </text>
    </comment>
    <comment ref="DT7" authorId="0" shapeId="0" xr:uid="{8E454875-EDA4-40B1-A17E-A55EF7E85312}">
      <text>
        <r>
          <rPr>
            <sz val="11"/>
            <color theme="1"/>
            <rFont val="Calibri"/>
            <family val="2"/>
            <scheme val="minor"/>
          </rPr>
          <t>1.0 - 25.0
steps 0.1 %</t>
        </r>
      </text>
    </comment>
    <comment ref="EK7" authorId="0" shapeId="0" xr:uid="{5DD6330A-42EB-4F4C-9F19-4EBE492163BE}">
      <text>
        <r>
          <rPr>
            <sz val="11"/>
            <color theme="1"/>
            <rFont val="Calibri"/>
            <family val="2"/>
            <scheme val="minor"/>
          </rPr>
          <t>1.0 - 25.0
steps 0.1 %</t>
        </r>
      </text>
    </comment>
    <comment ref="DT8" authorId="0" shapeId="0" xr:uid="{A2771814-E17E-4F0D-BE1D-33E4B685491B}">
      <text>
        <r>
          <rPr>
            <sz val="9"/>
            <color indexed="81"/>
            <rFont val="Tahoma"/>
            <family val="2"/>
          </rPr>
          <t>1  0.55 mm
2  0.75 mm
3  0.95 mm
4  1.15 mm</t>
        </r>
      </text>
    </comment>
    <comment ref="EK8" authorId="0" shapeId="0" xr:uid="{F60EA343-52E8-4F99-AE28-AE810F5F0613}">
      <text>
        <r>
          <rPr>
            <sz val="9"/>
            <color indexed="81"/>
            <rFont val="Tahoma"/>
            <family val="2"/>
          </rPr>
          <t>1  0.55 mm
2  0.75 mm
3  0.95 mm
4  1.15 mm</t>
        </r>
      </text>
    </comment>
    <comment ref="DV11" authorId="0" shapeId="0" xr:uid="{D0F2B2A2-B594-42EE-B75F-4EE2C97B3277}">
      <text>
        <r>
          <rPr>
            <sz val="11"/>
            <color theme="1"/>
            <rFont val="Calibri"/>
            <family val="2"/>
            <scheme val="minor"/>
          </rPr>
          <t>1.4 - 6.0
steps 0.1</t>
        </r>
      </text>
    </comment>
    <comment ref="EK14" authorId="0" shapeId="0" xr:uid="{6C6DBB02-F036-4086-92B1-054FEF234801}">
      <text>
        <r>
          <rPr>
            <sz val="11"/>
            <color theme="1"/>
            <rFont val="Calibri"/>
            <family val="2"/>
            <scheme val="minor"/>
          </rPr>
          <t xml:space="preserve">1.8 - 2.8
2.4 - 3.4 / 3.4 - 4.4
3.6 - 4.6 / 4.6 - 5.6
3.9 - 4.9 / 4.9 - 5.9
steps 0.1
</t>
        </r>
      </text>
    </comment>
    <comment ref="EK17" authorId="0" shapeId="0" xr:uid="{CFA9E873-2BCF-436A-93A1-56943320CCCD}">
      <text>
        <r>
          <rPr>
            <sz val="11"/>
            <color theme="1"/>
            <rFont val="Calibri"/>
            <family val="2"/>
            <scheme val="minor"/>
          </rPr>
          <t>0
14 - 56 %</t>
        </r>
      </text>
    </comment>
    <comment ref="EJ19" authorId="0" shapeId="0" xr:uid="{DFF77CC3-DE61-469E-A040-CC0CCF4BFC81}">
      <text>
        <r>
          <rPr>
            <sz val="9"/>
            <color indexed="81"/>
            <rFont val="Tahoma"/>
            <family val="2"/>
          </rPr>
          <t>1  frame manufacturer
2  from plans
3  nominal stud spacing
4  other</t>
        </r>
      </text>
    </comment>
    <comment ref="EJ21" authorId="0" shapeId="0" xr:uid="{BBAA3FD4-CDB9-4096-96D1-3041A2D9C998}">
      <text>
        <r>
          <rPr>
            <sz val="9"/>
            <color indexed="81"/>
            <rFont val="Tahoma"/>
            <family val="2"/>
          </rPr>
          <t xml:space="preserve">1  all framing
2  all studs-nogs-plates
3  nogs &amp; plates but excludes some studs
</t>
        </r>
      </text>
    </comment>
    <comment ref="EK25" authorId="0" shapeId="0" xr:uid="{41C8ACC0-6F42-4BFA-80DE-3EA649919F81}">
      <text>
        <r>
          <rPr>
            <sz val="11"/>
            <color theme="1"/>
            <rFont val="Calibri"/>
            <family val="2"/>
            <scheme val="minor"/>
          </rPr>
          <t>2.4 - 4.0 m
steps 0.1 m</t>
        </r>
      </text>
    </comment>
    <comment ref="EK26" authorId="0" shapeId="0" xr:uid="{8F106B9C-7889-4836-A4CE-6BCB7A6A84D1}">
      <text>
        <r>
          <rPr>
            <sz val="11"/>
            <color theme="1"/>
            <rFont val="Calibri"/>
            <family val="2"/>
            <scheme val="minor"/>
          </rPr>
          <t>2.4 - 20.0 m
steps 0.1 m</t>
        </r>
      </text>
    </comment>
    <comment ref="EK27" authorId="0" shapeId="0" xr:uid="{12D9D8F0-089E-4A52-90FB-2EFA40FFA926}">
      <text>
        <r>
          <rPr>
            <sz val="11"/>
            <color theme="1"/>
            <rFont val="Calibri"/>
            <family val="2"/>
            <scheme val="minor"/>
          </rPr>
          <t>250 - 1200 mm
steps 10 mm</t>
        </r>
      </text>
    </comment>
    <comment ref="EK28" authorId="0" shapeId="0" xr:uid="{5C189CEE-1944-4DB7-BE0E-057BAD15AE91}">
      <text>
        <r>
          <rPr>
            <sz val="11"/>
            <color theme="1"/>
            <rFont val="Calibri"/>
            <family val="2"/>
            <scheme val="minor"/>
          </rPr>
          <t>0 - 6</t>
        </r>
      </text>
    </comment>
    <comment ref="EK29" authorId="0" shapeId="0" xr:uid="{19A001F3-3ABD-4EAB-A25B-471F9AE4283F}">
      <text>
        <r>
          <rPr>
            <sz val="11"/>
            <color theme="1"/>
            <rFont val="Calibri"/>
            <family val="2"/>
            <scheme val="minor"/>
          </rPr>
          <t>0 - 10</t>
        </r>
      </text>
    </comment>
    <comment ref="EK32" authorId="0" shapeId="0" xr:uid="{76B87F67-5598-4779-AC5A-ABDE6B06D5D5}">
      <text>
        <r>
          <rPr>
            <sz val="11"/>
            <color theme="1"/>
            <rFont val="Calibri"/>
            <family val="2"/>
            <scheme val="minor"/>
          </rPr>
          <t>1  -  50 %
steps 0.1%</t>
        </r>
      </text>
    </comment>
    <comment ref="EK35" authorId="0" shapeId="0" xr:uid="{6634029B-95CA-4E16-A7C1-C3AFAA2FBA3F}">
      <text>
        <r>
          <rPr>
            <sz val="11"/>
            <color theme="1"/>
            <rFont val="Calibri"/>
            <family val="2"/>
            <scheme val="minor"/>
          </rPr>
          <t>0  -  5.0 steps 0.1</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Ian Cox-Smith</author>
  </authors>
  <commentList>
    <comment ref="BT4" authorId="0" shapeId="0" xr:uid="{8FBAF2B3-3C52-466F-9D74-C05BE7EF92D7}">
      <text>
        <r>
          <rPr>
            <sz val="9"/>
            <color indexed="81"/>
            <rFont val="Tahoma"/>
            <family val="2"/>
          </rPr>
          <t>PC version:      Can be copied and pasted (select then triple click) into conductivity drop-down box below
Web version:   Can be copied and pasted into conductivity entry box
Mac version:    Can't use copy and paste</t>
        </r>
      </text>
    </comment>
    <comment ref="BR5" authorId="0" shapeId="0" xr:uid="{01FC73EF-1902-4663-8C79-EA70624F4A9C}">
      <text>
        <r>
          <rPr>
            <sz val="9"/>
            <color indexed="81"/>
            <rFont val="Tahoma"/>
            <family val="2"/>
          </rPr>
          <t>PC version:      Can be copied and pasted (select then triple click) into R-value drop-down box below
Web version:   Can be copied and pasted into R-value entry box
Mac version:    Can't use copy and paste</t>
        </r>
      </text>
    </comment>
    <comment ref="BM8" authorId="0" shapeId="0" xr:uid="{DB350177-77BF-4ED1-A950-DB9F5BA695CF}">
      <text>
        <r>
          <rPr>
            <sz val="9"/>
            <color indexed="81"/>
            <rFont val="Tahoma"/>
            <family val="2"/>
          </rPr>
          <t>R 2.5 zones 1 - 3
R 2.8 zone 4
R 3.0 zones 5 &amp; 6</t>
        </r>
      </text>
    </comment>
    <comment ref="BR8" authorId="0" shapeId="0" xr:uid="{31AC3CC1-20E3-44D8-9147-5A8049A8316E}">
      <text>
        <r>
          <rPr>
            <sz val="9"/>
            <color indexed="81"/>
            <rFont val="Tahoma"/>
            <family val="2"/>
          </rPr>
          <t>1  joist 90 mm
2  joist 140 mm
3  joist 190 mm
4  joist 290 mm
5  I-beam 225 mm</t>
        </r>
      </text>
    </comment>
    <comment ref="BX8" authorId="0" shapeId="0" xr:uid="{110E46C7-BD21-427A-86F1-9F8ADFEF3FFD}">
      <text>
        <r>
          <rPr>
            <sz val="9"/>
            <color indexed="81"/>
            <rFont val="Tahoma"/>
            <family val="2"/>
          </rPr>
          <t>1  600
2  550
3  500
4  450
5  400</t>
        </r>
      </text>
    </comment>
    <comment ref="BR10" authorId="0" shapeId="0" xr:uid="{F9FD7B93-5127-48CF-8F9B-33BE52E258A1}">
      <text>
        <r>
          <rPr>
            <sz val="9"/>
            <color indexed="81"/>
            <rFont val="Tahoma"/>
            <family val="2"/>
          </rPr>
          <t xml:space="preserve"> 0.0200 - 0.0650
steps 0.0001</t>
        </r>
      </text>
    </comment>
    <comment ref="BX10" authorId="0" shapeId="0" xr:uid="{B9047A18-C310-4459-AA91-2AEF1AC8E55B}">
      <text>
        <r>
          <rPr>
            <sz val="11"/>
            <color theme="1"/>
            <rFont val="Calibri"/>
            <family val="2"/>
            <scheme val="minor"/>
          </rPr>
          <t>1.0 - 7.2
steps 0.1</t>
        </r>
      </text>
    </comment>
    <comment ref="BM11" authorId="0" shapeId="0" xr:uid="{DD22E6DB-F26C-4573-9A00-6AEF63075831}">
      <text>
        <r>
          <rPr>
            <sz val="11"/>
            <color theme="1"/>
            <rFont val="Calibri"/>
            <family val="2"/>
            <scheme val="minor"/>
          </rPr>
          <t>1.0 - 7.2
steps 0.1</t>
        </r>
      </text>
    </comment>
    <comment ref="BR12" authorId="0" shapeId="0" xr:uid="{57124238-93D8-4DE5-8BF9-036F43BB745E}">
      <text>
        <r>
          <rPr>
            <sz val="9"/>
            <color indexed="81"/>
            <rFont val="Tahoma"/>
            <family val="2"/>
          </rPr>
          <t>0  Un-lined
1  Lined</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Ian Cox-Smith</author>
  </authors>
  <commentList>
    <comment ref="BQ3" authorId="0" shapeId="0" xr:uid="{2B44AF37-079F-43C5-B0E7-4A4494186056}">
      <text>
        <r>
          <rPr>
            <sz val="9"/>
            <color indexed="81"/>
            <rFont val="Tahoma"/>
            <family val="2"/>
          </rPr>
          <t>1  Other than masonry veneer
2  Masonry veneer</t>
        </r>
      </text>
    </comment>
    <comment ref="BY3" authorId="0" shapeId="0" xr:uid="{A94ABBFA-BFC4-4122-8867-BB7D35D9D734}">
      <text>
        <r>
          <rPr>
            <sz val="9"/>
            <color indexed="81"/>
            <rFont val="Tahoma"/>
            <family val="2"/>
          </rPr>
          <t>1  300+
2  250+
3  180+
4  140+
5  90+</t>
        </r>
      </text>
    </comment>
    <comment ref="BQ5" authorId="0" shapeId="0" xr:uid="{546E5AC0-32D8-4A4A-A000-31718AB2152B}">
      <text>
        <r>
          <rPr>
            <sz val="9"/>
            <color indexed="81"/>
            <rFont val="Tahoma"/>
            <family val="2"/>
          </rPr>
          <t>0  none
1  R1.0 m2.K/W</t>
        </r>
      </text>
    </comment>
    <comment ref="BY5" authorId="0" shapeId="0" xr:uid="{A561C6BB-3526-4FC4-B6BC-741D81AF660F}">
      <text>
        <r>
          <rPr>
            <sz val="9"/>
            <color indexed="81"/>
            <rFont val="Tahoma"/>
            <family val="2"/>
          </rPr>
          <t>0.6 - 10
steps 0.1</t>
        </r>
      </text>
    </comment>
    <comment ref="BQ7" authorId="0" shapeId="0" xr:uid="{5568E5A3-BAE0-411F-85ED-985459D5BF5F}">
      <text>
        <r>
          <rPr>
            <sz val="9"/>
            <color indexed="81"/>
            <rFont val="Tahoma"/>
            <family val="2"/>
          </rPr>
          <t>0  none
1  vert. edge R1
2  vert edge, &amp; under foundation
3  vert edge, under, &amp; inner vert edge</t>
        </r>
      </text>
    </comment>
    <comment ref="BQ9" authorId="0" shapeId="0" xr:uid="{8EACF9CA-3C9F-444F-9C22-77746194FA14}">
      <text>
        <r>
          <rPr>
            <sz val="9"/>
            <color indexed="81"/>
            <rFont val="Tahoma"/>
            <family val="2"/>
          </rPr>
          <t>1  slab floor without insulation
2  slab floor with 1.2m wide strip of R1.2 underslab
3  slab floor with full cover R1.2 underslab
4  slab floor with 1.2m wide strip of R2.4 underslab
5  slab floor with full cover R 2.4 underslab
6  concrete raft foundation
7  concrete raft full cover R1.2 underslab
8  concrete raft full cover R2.4 underslab</t>
        </r>
      </text>
    </comment>
    <comment ref="BN12" authorId="0" shapeId="0" xr:uid="{0412AFD0-6313-4C23-BCAF-7EABED7EC26E}">
      <text>
        <r>
          <rPr>
            <sz val="9"/>
            <color indexed="81"/>
            <rFont val="Tahoma"/>
            <family val="2"/>
          </rPr>
          <t>R 1.5 zones 1 - 4
R 1.6 zone 5
R 1.7 zone 6
Heated Floor
R 2.5 zones 1 - 3
R 2.8 zone 4
R 3.0 zones 5 &amp; 6</t>
        </r>
      </text>
    </comment>
    <comment ref="BN16" authorId="0" shapeId="0" xr:uid="{CD890B93-72AE-4FF5-ADD2-725A6FDEAD5D}">
      <text>
        <r>
          <rPr>
            <sz val="9"/>
            <color indexed="81"/>
            <rFont val="Tahoma"/>
            <family val="2"/>
          </rPr>
          <t>0.5 - 6.0
steps 0.1</t>
        </r>
      </text>
    </comment>
    <comment ref="CG25" authorId="0" shapeId="0" xr:uid="{E73E31B0-8003-462C-BE17-D2E9FD5F8D5E}">
      <text>
        <r>
          <rPr>
            <sz val="9"/>
            <color indexed="81"/>
            <rFont val="Tahoma"/>
            <family val="2"/>
          </rPr>
          <t>0  -  50 (%)</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Ian Cox-Smith</author>
  </authors>
  <commentList>
    <comment ref="B2" authorId="0" shapeId="0" xr:uid="{5E695EC9-E90D-427D-9BF0-3FC111F736C8}">
      <text>
        <r>
          <rPr>
            <sz val="9"/>
            <color indexed="81"/>
            <rFont val="Tahoma"/>
            <family val="2"/>
          </rPr>
          <t>0  -  50 (%)</t>
        </r>
      </text>
    </comment>
    <comment ref="AA4" authorId="0" shapeId="0" xr:uid="{29D55895-B144-4AE4-B9A3-75208425747B}">
      <text>
        <r>
          <rPr>
            <sz val="9"/>
            <color indexed="81"/>
            <rFont val="Tahoma"/>
            <family val="2"/>
          </rPr>
          <t xml:space="preserve">18  - 42 mm
</t>
        </r>
      </text>
    </comment>
    <comment ref="AM9" authorId="0" shapeId="0" xr:uid="{C3EB502E-3556-4B83-B143-4166D9610927}">
      <text>
        <r>
          <rPr>
            <sz val="9"/>
            <color indexed="81"/>
            <rFont val="Tahoma"/>
            <family val="2"/>
          </rPr>
          <t>1900  -  2700 mm
steps 10 mm</t>
        </r>
      </text>
    </comment>
    <comment ref="AM12" authorId="0" shapeId="0" xr:uid="{85B0B1A7-A07D-4F64-8800-3262153D2ED1}">
      <text>
        <r>
          <rPr>
            <sz val="9"/>
            <color indexed="81"/>
            <rFont val="Tahoma"/>
            <family val="2"/>
          </rPr>
          <t>750  -  1100 mm
steps  of 5 mm</t>
        </r>
      </text>
    </comment>
    <comment ref="AL15" authorId="0" shapeId="0" xr:uid="{05A7ADBF-3720-4B6A-944D-65F4A36280B6}">
      <text>
        <r>
          <rPr>
            <sz val="9"/>
            <color indexed="81"/>
            <rFont val="Tahoma"/>
            <family val="2"/>
          </rPr>
          <t xml:space="preserve">1  -  Alu no thermal break
2  -  Alu with thermal break
3  -  Timber
4  -  PVC
</t>
        </r>
      </text>
    </comment>
    <comment ref="AM20" authorId="0" shapeId="0" xr:uid="{3D968018-A2A7-40AE-AA14-213B4E4CF446}">
      <text>
        <r>
          <rPr>
            <sz val="9"/>
            <color indexed="81"/>
            <rFont val="Tahoma"/>
            <family val="2"/>
          </rPr>
          <t>0.050  -  1.200 steps 0.001</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Ian Cox-Smith</author>
  </authors>
  <commentList>
    <comment ref="C5" authorId="0" shapeId="0" xr:uid="{B326270E-4829-4A17-8575-D2E8C8C6B805}">
      <text>
        <r>
          <rPr>
            <sz val="9"/>
            <color indexed="81"/>
            <rFont val="Tahoma"/>
            <family val="2"/>
          </rPr>
          <t>Making copies of sheets will automatically create new columns</t>
        </r>
      </text>
    </comment>
    <comment ref="D5" authorId="0" shapeId="0" xr:uid="{5F278C0A-624D-4775-92FC-13678F168750}">
      <text>
        <r>
          <rPr>
            <b/>
            <sz val="9"/>
            <color indexed="81"/>
            <rFont val="Tahoma"/>
            <family val="2"/>
          </rPr>
          <t>Making copies of sheets will automatically create new columns</t>
        </r>
      </text>
    </comment>
  </commentList>
</comments>
</file>

<file path=xl/metadata.xml><?xml version="1.0" encoding="utf-8"?>
<metadata xmlns="http://schemas.openxmlformats.org/spreadsheetml/2006/main" xmlns:xlrd="http://schemas.microsoft.com/office/spreadsheetml/2017/richdata" xmlns:xda="http://schemas.microsoft.com/office/spreadsheetml/2017/dynamicarray">
  <metadataTypes count="2">
    <metadataType name="XLDAPR" minSupportedVersion="120000" copy="1" pasteAll="1" pasteValues="1" merge="1" splitFirst="1" rowColShift="1" clearFormats="1" clearComments="1" assign="1" coerce="1" cellMeta="1"/>
    <metadataType name="XLRICHVALUE" minSupportedVersion="120000" copy="1" pasteAll="1" pasteValues="1" merge="1" splitFirst="1" rowColShift="1" clearFormats="1" clearComments="1" assign="1" coerce="1"/>
  </metadataTypes>
  <futureMetadata name="XLDAPR" count="1">
    <bk>
      <extLst>
        <ext uri="{bdbb8cdc-fa1e-496e-a857-3c3f30c029c3}">
          <xda:dynamicArrayProperties fDynamic="1" fCollapsed="0"/>
        </ext>
      </extLst>
    </bk>
  </futureMetadata>
  <futureMetadata name="XLRICHVALUE" count="1108">
    <bk>
      <extLst>
        <ext uri="{3e2802c4-a4d2-4d8b-9148-e3be6c30e623}">
          <xlrd:rvb i="0"/>
        </ext>
      </extLst>
    </bk>
    <bk>
      <extLst>
        <ext uri="{3e2802c4-a4d2-4d8b-9148-e3be6c30e623}">
          <xlrd:rvb i="1"/>
        </ext>
      </extLst>
    </bk>
    <bk>
      <extLst>
        <ext uri="{3e2802c4-a4d2-4d8b-9148-e3be6c30e623}">
          <xlrd:rvb i="2"/>
        </ext>
      </extLst>
    </bk>
    <bk>
      <extLst>
        <ext uri="{3e2802c4-a4d2-4d8b-9148-e3be6c30e623}">
          <xlrd:rvb i="3"/>
        </ext>
      </extLst>
    </bk>
    <bk>
      <extLst>
        <ext uri="{3e2802c4-a4d2-4d8b-9148-e3be6c30e623}">
          <xlrd:rvb i="4"/>
        </ext>
      </extLst>
    </bk>
    <bk>
      <extLst>
        <ext uri="{3e2802c4-a4d2-4d8b-9148-e3be6c30e623}">
          <xlrd:rvb i="5"/>
        </ext>
      </extLst>
    </bk>
    <bk>
      <extLst>
        <ext uri="{3e2802c4-a4d2-4d8b-9148-e3be6c30e623}">
          <xlrd:rvb i="6"/>
        </ext>
      </extLst>
    </bk>
    <bk>
      <extLst>
        <ext uri="{3e2802c4-a4d2-4d8b-9148-e3be6c30e623}">
          <xlrd:rvb i="7"/>
        </ext>
      </extLst>
    </bk>
    <bk>
      <extLst>
        <ext uri="{3e2802c4-a4d2-4d8b-9148-e3be6c30e623}">
          <xlrd:rvb i="8"/>
        </ext>
      </extLst>
    </bk>
    <bk>
      <extLst>
        <ext uri="{3e2802c4-a4d2-4d8b-9148-e3be6c30e623}">
          <xlrd:rvb i="9"/>
        </ext>
      </extLst>
    </bk>
    <bk>
      <extLst>
        <ext uri="{3e2802c4-a4d2-4d8b-9148-e3be6c30e623}">
          <xlrd:rvb i="10"/>
        </ext>
      </extLst>
    </bk>
    <bk>
      <extLst>
        <ext uri="{3e2802c4-a4d2-4d8b-9148-e3be6c30e623}">
          <xlrd:rvb i="11"/>
        </ext>
      </extLst>
    </bk>
    <bk>
      <extLst>
        <ext uri="{3e2802c4-a4d2-4d8b-9148-e3be6c30e623}">
          <xlrd:rvb i="12"/>
        </ext>
      </extLst>
    </bk>
    <bk>
      <extLst>
        <ext uri="{3e2802c4-a4d2-4d8b-9148-e3be6c30e623}">
          <xlrd:rvb i="13"/>
        </ext>
      </extLst>
    </bk>
    <bk>
      <extLst>
        <ext uri="{3e2802c4-a4d2-4d8b-9148-e3be6c30e623}">
          <xlrd:rvb i="14"/>
        </ext>
      </extLst>
    </bk>
    <bk>
      <extLst>
        <ext uri="{3e2802c4-a4d2-4d8b-9148-e3be6c30e623}">
          <xlrd:rvb i="15"/>
        </ext>
      </extLst>
    </bk>
    <bk>
      <extLst>
        <ext uri="{3e2802c4-a4d2-4d8b-9148-e3be6c30e623}">
          <xlrd:rvb i="16"/>
        </ext>
      </extLst>
    </bk>
    <bk>
      <extLst>
        <ext uri="{3e2802c4-a4d2-4d8b-9148-e3be6c30e623}">
          <xlrd:rvb i="17"/>
        </ext>
      </extLst>
    </bk>
    <bk>
      <extLst>
        <ext uri="{3e2802c4-a4d2-4d8b-9148-e3be6c30e623}">
          <xlrd:rvb i="18"/>
        </ext>
      </extLst>
    </bk>
    <bk>
      <extLst>
        <ext uri="{3e2802c4-a4d2-4d8b-9148-e3be6c30e623}">
          <xlrd:rvb i="19"/>
        </ext>
      </extLst>
    </bk>
    <bk>
      <extLst>
        <ext uri="{3e2802c4-a4d2-4d8b-9148-e3be6c30e623}">
          <xlrd:rvb i="20"/>
        </ext>
      </extLst>
    </bk>
    <bk>
      <extLst>
        <ext uri="{3e2802c4-a4d2-4d8b-9148-e3be6c30e623}">
          <xlrd:rvb i="21"/>
        </ext>
      </extLst>
    </bk>
    <bk>
      <extLst>
        <ext uri="{3e2802c4-a4d2-4d8b-9148-e3be6c30e623}">
          <xlrd:rvb i="22"/>
        </ext>
      </extLst>
    </bk>
    <bk>
      <extLst>
        <ext uri="{3e2802c4-a4d2-4d8b-9148-e3be6c30e623}">
          <xlrd:rvb i="23"/>
        </ext>
      </extLst>
    </bk>
    <bk>
      <extLst>
        <ext uri="{3e2802c4-a4d2-4d8b-9148-e3be6c30e623}">
          <xlrd:rvb i="24"/>
        </ext>
      </extLst>
    </bk>
    <bk>
      <extLst>
        <ext uri="{3e2802c4-a4d2-4d8b-9148-e3be6c30e623}">
          <xlrd:rvb i="25"/>
        </ext>
      </extLst>
    </bk>
    <bk>
      <extLst>
        <ext uri="{3e2802c4-a4d2-4d8b-9148-e3be6c30e623}">
          <xlrd:rvb i="26"/>
        </ext>
      </extLst>
    </bk>
    <bk>
      <extLst>
        <ext uri="{3e2802c4-a4d2-4d8b-9148-e3be6c30e623}">
          <xlrd:rvb i="27"/>
        </ext>
      </extLst>
    </bk>
    <bk>
      <extLst>
        <ext uri="{3e2802c4-a4d2-4d8b-9148-e3be6c30e623}">
          <xlrd:rvb i="28"/>
        </ext>
      </extLst>
    </bk>
    <bk>
      <extLst>
        <ext uri="{3e2802c4-a4d2-4d8b-9148-e3be6c30e623}">
          <xlrd:rvb i="29"/>
        </ext>
      </extLst>
    </bk>
    <bk>
      <extLst>
        <ext uri="{3e2802c4-a4d2-4d8b-9148-e3be6c30e623}">
          <xlrd:rvb i="30"/>
        </ext>
      </extLst>
    </bk>
    <bk>
      <extLst>
        <ext uri="{3e2802c4-a4d2-4d8b-9148-e3be6c30e623}">
          <xlrd:rvb i="31"/>
        </ext>
      </extLst>
    </bk>
    <bk>
      <extLst>
        <ext uri="{3e2802c4-a4d2-4d8b-9148-e3be6c30e623}">
          <xlrd:rvb i="32"/>
        </ext>
      </extLst>
    </bk>
    <bk>
      <extLst>
        <ext uri="{3e2802c4-a4d2-4d8b-9148-e3be6c30e623}">
          <xlrd:rvb i="33"/>
        </ext>
      </extLst>
    </bk>
    <bk>
      <extLst>
        <ext uri="{3e2802c4-a4d2-4d8b-9148-e3be6c30e623}">
          <xlrd:rvb i="34"/>
        </ext>
      </extLst>
    </bk>
    <bk>
      <extLst>
        <ext uri="{3e2802c4-a4d2-4d8b-9148-e3be6c30e623}">
          <xlrd:rvb i="35"/>
        </ext>
      </extLst>
    </bk>
    <bk>
      <extLst>
        <ext uri="{3e2802c4-a4d2-4d8b-9148-e3be6c30e623}">
          <xlrd:rvb i="36"/>
        </ext>
      </extLst>
    </bk>
    <bk>
      <extLst>
        <ext uri="{3e2802c4-a4d2-4d8b-9148-e3be6c30e623}">
          <xlrd:rvb i="37"/>
        </ext>
      </extLst>
    </bk>
    <bk>
      <extLst>
        <ext uri="{3e2802c4-a4d2-4d8b-9148-e3be6c30e623}">
          <xlrd:rvb i="38"/>
        </ext>
      </extLst>
    </bk>
    <bk>
      <extLst>
        <ext uri="{3e2802c4-a4d2-4d8b-9148-e3be6c30e623}">
          <xlrd:rvb i="39"/>
        </ext>
      </extLst>
    </bk>
    <bk>
      <extLst>
        <ext uri="{3e2802c4-a4d2-4d8b-9148-e3be6c30e623}">
          <xlrd:rvb i="40"/>
        </ext>
      </extLst>
    </bk>
    <bk>
      <extLst>
        <ext uri="{3e2802c4-a4d2-4d8b-9148-e3be6c30e623}">
          <xlrd:rvb i="41"/>
        </ext>
      </extLst>
    </bk>
    <bk>
      <extLst>
        <ext uri="{3e2802c4-a4d2-4d8b-9148-e3be6c30e623}">
          <xlrd:rvb i="42"/>
        </ext>
      </extLst>
    </bk>
    <bk>
      <extLst>
        <ext uri="{3e2802c4-a4d2-4d8b-9148-e3be6c30e623}">
          <xlrd:rvb i="43"/>
        </ext>
      </extLst>
    </bk>
    <bk>
      <extLst>
        <ext uri="{3e2802c4-a4d2-4d8b-9148-e3be6c30e623}">
          <xlrd:rvb i="44"/>
        </ext>
      </extLst>
    </bk>
    <bk>
      <extLst>
        <ext uri="{3e2802c4-a4d2-4d8b-9148-e3be6c30e623}">
          <xlrd:rvb i="45"/>
        </ext>
      </extLst>
    </bk>
    <bk>
      <extLst>
        <ext uri="{3e2802c4-a4d2-4d8b-9148-e3be6c30e623}">
          <xlrd:rvb i="46"/>
        </ext>
      </extLst>
    </bk>
    <bk>
      <extLst>
        <ext uri="{3e2802c4-a4d2-4d8b-9148-e3be6c30e623}">
          <xlrd:rvb i="47"/>
        </ext>
      </extLst>
    </bk>
    <bk>
      <extLst>
        <ext uri="{3e2802c4-a4d2-4d8b-9148-e3be6c30e623}">
          <xlrd:rvb i="48"/>
        </ext>
      </extLst>
    </bk>
    <bk>
      <extLst>
        <ext uri="{3e2802c4-a4d2-4d8b-9148-e3be6c30e623}">
          <xlrd:rvb i="49"/>
        </ext>
      </extLst>
    </bk>
    <bk>
      <extLst>
        <ext uri="{3e2802c4-a4d2-4d8b-9148-e3be6c30e623}">
          <xlrd:rvb i="50"/>
        </ext>
      </extLst>
    </bk>
    <bk>
      <extLst>
        <ext uri="{3e2802c4-a4d2-4d8b-9148-e3be6c30e623}">
          <xlrd:rvb i="51"/>
        </ext>
      </extLst>
    </bk>
    <bk>
      <extLst>
        <ext uri="{3e2802c4-a4d2-4d8b-9148-e3be6c30e623}">
          <xlrd:rvb i="52"/>
        </ext>
      </extLst>
    </bk>
    <bk>
      <extLst>
        <ext uri="{3e2802c4-a4d2-4d8b-9148-e3be6c30e623}">
          <xlrd:rvb i="53"/>
        </ext>
      </extLst>
    </bk>
    <bk>
      <extLst>
        <ext uri="{3e2802c4-a4d2-4d8b-9148-e3be6c30e623}">
          <xlrd:rvb i="54"/>
        </ext>
      </extLst>
    </bk>
    <bk>
      <extLst>
        <ext uri="{3e2802c4-a4d2-4d8b-9148-e3be6c30e623}">
          <xlrd:rvb i="55"/>
        </ext>
      </extLst>
    </bk>
    <bk>
      <extLst>
        <ext uri="{3e2802c4-a4d2-4d8b-9148-e3be6c30e623}">
          <xlrd:rvb i="56"/>
        </ext>
      </extLst>
    </bk>
    <bk>
      <extLst>
        <ext uri="{3e2802c4-a4d2-4d8b-9148-e3be6c30e623}">
          <xlrd:rvb i="57"/>
        </ext>
      </extLst>
    </bk>
    <bk>
      <extLst>
        <ext uri="{3e2802c4-a4d2-4d8b-9148-e3be6c30e623}">
          <xlrd:rvb i="58"/>
        </ext>
      </extLst>
    </bk>
    <bk>
      <extLst>
        <ext uri="{3e2802c4-a4d2-4d8b-9148-e3be6c30e623}">
          <xlrd:rvb i="59"/>
        </ext>
      </extLst>
    </bk>
    <bk>
      <extLst>
        <ext uri="{3e2802c4-a4d2-4d8b-9148-e3be6c30e623}">
          <xlrd:rvb i="60"/>
        </ext>
      </extLst>
    </bk>
    <bk>
      <extLst>
        <ext uri="{3e2802c4-a4d2-4d8b-9148-e3be6c30e623}">
          <xlrd:rvb i="61"/>
        </ext>
      </extLst>
    </bk>
    <bk>
      <extLst>
        <ext uri="{3e2802c4-a4d2-4d8b-9148-e3be6c30e623}">
          <xlrd:rvb i="62"/>
        </ext>
      </extLst>
    </bk>
    <bk>
      <extLst>
        <ext uri="{3e2802c4-a4d2-4d8b-9148-e3be6c30e623}">
          <xlrd:rvb i="63"/>
        </ext>
      </extLst>
    </bk>
    <bk>
      <extLst>
        <ext uri="{3e2802c4-a4d2-4d8b-9148-e3be6c30e623}">
          <xlrd:rvb i="64"/>
        </ext>
      </extLst>
    </bk>
    <bk>
      <extLst>
        <ext uri="{3e2802c4-a4d2-4d8b-9148-e3be6c30e623}">
          <xlrd:rvb i="65"/>
        </ext>
      </extLst>
    </bk>
    <bk>
      <extLst>
        <ext uri="{3e2802c4-a4d2-4d8b-9148-e3be6c30e623}">
          <xlrd:rvb i="66"/>
        </ext>
      </extLst>
    </bk>
    <bk>
      <extLst>
        <ext uri="{3e2802c4-a4d2-4d8b-9148-e3be6c30e623}">
          <xlrd:rvb i="67"/>
        </ext>
      </extLst>
    </bk>
    <bk>
      <extLst>
        <ext uri="{3e2802c4-a4d2-4d8b-9148-e3be6c30e623}">
          <xlrd:rvb i="68"/>
        </ext>
      </extLst>
    </bk>
    <bk>
      <extLst>
        <ext uri="{3e2802c4-a4d2-4d8b-9148-e3be6c30e623}">
          <xlrd:rvb i="69"/>
        </ext>
      </extLst>
    </bk>
    <bk>
      <extLst>
        <ext uri="{3e2802c4-a4d2-4d8b-9148-e3be6c30e623}">
          <xlrd:rvb i="70"/>
        </ext>
      </extLst>
    </bk>
    <bk>
      <extLst>
        <ext uri="{3e2802c4-a4d2-4d8b-9148-e3be6c30e623}">
          <xlrd:rvb i="71"/>
        </ext>
      </extLst>
    </bk>
    <bk>
      <extLst>
        <ext uri="{3e2802c4-a4d2-4d8b-9148-e3be6c30e623}">
          <xlrd:rvb i="72"/>
        </ext>
      </extLst>
    </bk>
    <bk>
      <extLst>
        <ext uri="{3e2802c4-a4d2-4d8b-9148-e3be6c30e623}">
          <xlrd:rvb i="73"/>
        </ext>
      </extLst>
    </bk>
    <bk>
      <extLst>
        <ext uri="{3e2802c4-a4d2-4d8b-9148-e3be6c30e623}">
          <xlrd:rvb i="74"/>
        </ext>
      </extLst>
    </bk>
    <bk>
      <extLst>
        <ext uri="{3e2802c4-a4d2-4d8b-9148-e3be6c30e623}">
          <xlrd:rvb i="75"/>
        </ext>
      </extLst>
    </bk>
    <bk>
      <extLst>
        <ext uri="{3e2802c4-a4d2-4d8b-9148-e3be6c30e623}">
          <xlrd:rvb i="76"/>
        </ext>
      </extLst>
    </bk>
    <bk>
      <extLst>
        <ext uri="{3e2802c4-a4d2-4d8b-9148-e3be6c30e623}">
          <xlrd:rvb i="77"/>
        </ext>
      </extLst>
    </bk>
    <bk>
      <extLst>
        <ext uri="{3e2802c4-a4d2-4d8b-9148-e3be6c30e623}">
          <xlrd:rvb i="78"/>
        </ext>
      </extLst>
    </bk>
    <bk>
      <extLst>
        <ext uri="{3e2802c4-a4d2-4d8b-9148-e3be6c30e623}">
          <xlrd:rvb i="79"/>
        </ext>
      </extLst>
    </bk>
    <bk>
      <extLst>
        <ext uri="{3e2802c4-a4d2-4d8b-9148-e3be6c30e623}">
          <xlrd:rvb i="80"/>
        </ext>
      </extLst>
    </bk>
    <bk>
      <extLst>
        <ext uri="{3e2802c4-a4d2-4d8b-9148-e3be6c30e623}">
          <xlrd:rvb i="81"/>
        </ext>
      </extLst>
    </bk>
    <bk>
      <extLst>
        <ext uri="{3e2802c4-a4d2-4d8b-9148-e3be6c30e623}">
          <xlrd:rvb i="82"/>
        </ext>
      </extLst>
    </bk>
    <bk>
      <extLst>
        <ext uri="{3e2802c4-a4d2-4d8b-9148-e3be6c30e623}">
          <xlrd:rvb i="83"/>
        </ext>
      </extLst>
    </bk>
    <bk>
      <extLst>
        <ext uri="{3e2802c4-a4d2-4d8b-9148-e3be6c30e623}">
          <xlrd:rvb i="84"/>
        </ext>
      </extLst>
    </bk>
    <bk>
      <extLst>
        <ext uri="{3e2802c4-a4d2-4d8b-9148-e3be6c30e623}">
          <xlrd:rvb i="85"/>
        </ext>
      </extLst>
    </bk>
    <bk>
      <extLst>
        <ext uri="{3e2802c4-a4d2-4d8b-9148-e3be6c30e623}">
          <xlrd:rvb i="86"/>
        </ext>
      </extLst>
    </bk>
    <bk>
      <extLst>
        <ext uri="{3e2802c4-a4d2-4d8b-9148-e3be6c30e623}">
          <xlrd:rvb i="87"/>
        </ext>
      </extLst>
    </bk>
    <bk>
      <extLst>
        <ext uri="{3e2802c4-a4d2-4d8b-9148-e3be6c30e623}">
          <xlrd:rvb i="88"/>
        </ext>
      </extLst>
    </bk>
    <bk>
      <extLst>
        <ext uri="{3e2802c4-a4d2-4d8b-9148-e3be6c30e623}">
          <xlrd:rvb i="89"/>
        </ext>
      </extLst>
    </bk>
    <bk>
      <extLst>
        <ext uri="{3e2802c4-a4d2-4d8b-9148-e3be6c30e623}">
          <xlrd:rvb i="90"/>
        </ext>
      </extLst>
    </bk>
    <bk>
      <extLst>
        <ext uri="{3e2802c4-a4d2-4d8b-9148-e3be6c30e623}">
          <xlrd:rvb i="91"/>
        </ext>
      </extLst>
    </bk>
    <bk>
      <extLst>
        <ext uri="{3e2802c4-a4d2-4d8b-9148-e3be6c30e623}">
          <xlrd:rvb i="92"/>
        </ext>
      </extLst>
    </bk>
    <bk>
      <extLst>
        <ext uri="{3e2802c4-a4d2-4d8b-9148-e3be6c30e623}">
          <xlrd:rvb i="93"/>
        </ext>
      </extLst>
    </bk>
    <bk>
      <extLst>
        <ext uri="{3e2802c4-a4d2-4d8b-9148-e3be6c30e623}">
          <xlrd:rvb i="94"/>
        </ext>
      </extLst>
    </bk>
    <bk>
      <extLst>
        <ext uri="{3e2802c4-a4d2-4d8b-9148-e3be6c30e623}">
          <xlrd:rvb i="95"/>
        </ext>
      </extLst>
    </bk>
    <bk>
      <extLst>
        <ext uri="{3e2802c4-a4d2-4d8b-9148-e3be6c30e623}">
          <xlrd:rvb i="96"/>
        </ext>
      </extLst>
    </bk>
    <bk>
      <extLst>
        <ext uri="{3e2802c4-a4d2-4d8b-9148-e3be6c30e623}">
          <xlrd:rvb i="97"/>
        </ext>
      </extLst>
    </bk>
    <bk>
      <extLst>
        <ext uri="{3e2802c4-a4d2-4d8b-9148-e3be6c30e623}">
          <xlrd:rvb i="98"/>
        </ext>
      </extLst>
    </bk>
    <bk>
      <extLst>
        <ext uri="{3e2802c4-a4d2-4d8b-9148-e3be6c30e623}">
          <xlrd:rvb i="99"/>
        </ext>
      </extLst>
    </bk>
    <bk>
      <extLst>
        <ext uri="{3e2802c4-a4d2-4d8b-9148-e3be6c30e623}">
          <xlrd:rvb i="100"/>
        </ext>
      </extLst>
    </bk>
    <bk>
      <extLst>
        <ext uri="{3e2802c4-a4d2-4d8b-9148-e3be6c30e623}">
          <xlrd:rvb i="101"/>
        </ext>
      </extLst>
    </bk>
    <bk>
      <extLst>
        <ext uri="{3e2802c4-a4d2-4d8b-9148-e3be6c30e623}">
          <xlrd:rvb i="102"/>
        </ext>
      </extLst>
    </bk>
    <bk>
      <extLst>
        <ext uri="{3e2802c4-a4d2-4d8b-9148-e3be6c30e623}">
          <xlrd:rvb i="103"/>
        </ext>
      </extLst>
    </bk>
    <bk>
      <extLst>
        <ext uri="{3e2802c4-a4d2-4d8b-9148-e3be6c30e623}">
          <xlrd:rvb i="104"/>
        </ext>
      </extLst>
    </bk>
    <bk>
      <extLst>
        <ext uri="{3e2802c4-a4d2-4d8b-9148-e3be6c30e623}">
          <xlrd:rvb i="105"/>
        </ext>
      </extLst>
    </bk>
    <bk>
      <extLst>
        <ext uri="{3e2802c4-a4d2-4d8b-9148-e3be6c30e623}">
          <xlrd:rvb i="106"/>
        </ext>
      </extLst>
    </bk>
    <bk>
      <extLst>
        <ext uri="{3e2802c4-a4d2-4d8b-9148-e3be6c30e623}">
          <xlrd:rvb i="107"/>
        </ext>
      </extLst>
    </bk>
    <bk>
      <extLst>
        <ext uri="{3e2802c4-a4d2-4d8b-9148-e3be6c30e623}">
          <xlrd:rvb i="108"/>
        </ext>
      </extLst>
    </bk>
    <bk>
      <extLst>
        <ext uri="{3e2802c4-a4d2-4d8b-9148-e3be6c30e623}">
          <xlrd:rvb i="109"/>
        </ext>
      </extLst>
    </bk>
    <bk>
      <extLst>
        <ext uri="{3e2802c4-a4d2-4d8b-9148-e3be6c30e623}">
          <xlrd:rvb i="110"/>
        </ext>
      </extLst>
    </bk>
    <bk>
      <extLst>
        <ext uri="{3e2802c4-a4d2-4d8b-9148-e3be6c30e623}">
          <xlrd:rvb i="111"/>
        </ext>
      </extLst>
    </bk>
    <bk>
      <extLst>
        <ext uri="{3e2802c4-a4d2-4d8b-9148-e3be6c30e623}">
          <xlrd:rvb i="112"/>
        </ext>
      </extLst>
    </bk>
    <bk>
      <extLst>
        <ext uri="{3e2802c4-a4d2-4d8b-9148-e3be6c30e623}">
          <xlrd:rvb i="113"/>
        </ext>
      </extLst>
    </bk>
    <bk>
      <extLst>
        <ext uri="{3e2802c4-a4d2-4d8b-9148-e3be6c30e623}">
          <xlrd:rvb i="114"/>
        </ext>
      </extLst>
    </bk>
    <bk>
      <extLst>
        <ext uri="{3e2802c4-a4d2-4d8b-9148-e3be6c30e623}">
          <xlrd:rvb i="115"/>
        </ext>
      </extLst>
    </bk>
    <bk>
      <extLst>
        <ext uri="{3e2802c4-a4d2-4d8b-9148-e3be6c30e623}">
          <xlrd:rvb i="116"/>
        </ext>
      </extLst>
    </bk>
    <bk>
      <extLst>
        <ext uri="{3e2802c4-a4d2-4d8b-9148-e3be6c30e623}">
          <xlrd:rvb i="117"/>
        </ext>
      </extLst>
    </bk>
    <bk>
      <extLst>
        <ext uri="{3e2802c4-a4d2-4d8b-9148-e3be6c30e623}">
          <xlrd:rvb i="118"/>
        </ext>
      </extLst>
    </bk>
    <bk>
      <extLst>
        <ext uri="{3e2802c4-a4d2-4d8b-9148-e3be6c30e623}">
          <xlrd:rvb i="119"/>
        </ext>
      </extLst>
    </bk>
    <bk>
      <extLst>
        <ext uri="{3e2802c4-a4d2-4d8b-9148-e3be6c30e623}">
          <xlrd:rvb i="120"/>
        </ext>
      </extLst>
    </bk>
    <bk>
      <extLst>
        <ext uri="{3e2802c4-a4d2-4d8b-9148-e3be6c30e623}">
          <xlrd:rvb i="121"/>
        </ext>
      </extLst>
    </bk>
    <bk>
      <extLst>
        <ext uri="{3e2802c4-a4d2-4d8b-9148-e3be6c30e623}">
          <xlrd:rvb i="122"/>
        </ext>
      </extLst>
    </bk>
    <bk>
      <extLst>
        <ext uri="{3e2802c4-a4d2-4d8b-9148-e3be6c30e623}">
          <xlrd:rvb i="123"/>
        </ext>
      </extLst>
    </bk>
    <bk>
      <extLst>
        <ext uri="{3e2802c4-a4d2-4d8b-9148-e3be6c30e623}">
          <xlrd:rvb i="124"/>
        </ext>
      </extLst>
    </bk>
    <bk>
      <extLst>
        <ext uri="{3e2802c4-a4d2-4d8b-9148-e3be6c30e623}">
          <xlrd:rvb i="125"/>
        </ext>
      </extLst>
    </bk>
    <bk>
      <extLst>
        <ext uri="{3e2802c4-a4d2-4d8b-9148-e3be6c30e623}">
          <xlrd:rvb i="126"/>
        </ext>
      </extLst>
    </bk>
    <bk>
      <extLst>
        <ext uri="{3e2802c4-a4d2-4d8b-9148-e3be6c30e623}">
          <xlrd:rvb i="127"/>
        </ext>
      </extLst>
    </bk>
    <bk>
      <extLst>
        <ext uri="{3e2802c4-a4d2-4d8b-9148-e3be6c30e623}">
          <xlrd:rvb i="128"/>
        </ext>
      </extLst>
    </bk>
    <bk>
      <extLst>
        <ext uri="{3e2802c4-a4d2-4d8b-9148-e3be6c30e623}">
          <xlrd:rvb i="129"/>
        </ext>
      </extLst>
    </bk>
    <bk>
      <extLst>
        <ext uri="{3e2802c4-a4d2-4d8b-9148-e3be6c30e623}">
          <xlrd:rvb i="130"/>
        </ext>
      </extLst>
    </bk>
    <bk>
      <extLst>
        <ext uri="{3e2802c4-a4d2-4d8b-9148-e3be6c30e623}">
          <xlrd:rvb i="131"/>
        </ext>
      </extLst>
    </bk>
    <bk>
      <extLst>
        <ext uri="{3e2802c4-a4d2-4d8b-9148-e3be6c30e623}">
          <xlrd:rvb i="132"/>
        </ext>
      </extLst>
    </bk>
    <bk>
      <extLst>
        <ext uri="{3e2802c4-a4d2-4d8b-9148-e3be6c30e623}">
          <xlrd:rvb i="133"/>
        </ext>
      </extLst>
    </bk>
    <bk>
      <extLst>
        <ext uri="{3e2802c4-a4d2-4d8b-9148-e3be6c30e623}">
          <xlrd:rvb i="134"/>
        </ext>
      </extLst>
    </bk>
    <bk>
      <extLst>
        <ext uri="{3e2802c4-a4d2-4d8b-9148-e3be6c30e623}">
          <xlrd:rvb i="135"/>
        </ext>
      </extLst>
    </bk>
    <bk>
      <extLst>
        <ext uri="{3e2802c4-a4d2-4d8b-9148-e3be6c30e623}">
          <xlrd:rvb i="136"/>
        </ext>
      </extLst>
    </bk>
    <bk>
      <extLst>
        <ext uri="{3e2802c4-a4d2-4d8b-9148-e3be6c30e623}">
          <xlrd:rvb i="137"/>
        </ext>
      </extLst>
    </bk>
    <bk>
      <extLst>
        <ext uri="{3e2802c4-a4d2-4d8b-9148-e3be6c30e623}">
          <xlrd:rvb i="138"/>
        </ext>
      </extLst>
    </bk>
    <bk>
      <extLst>
        <ext uri="{3e2802c4-a4d2-4d8b-9148-e3be6c30e623}">
          <xlrd:rvb i="139"/>
        </ext>
      </extLst>
    </bk>
    <bk>
      <extLst>
        <ext uri="{3e2802c4-a4d2-4d8b-9148-e3be6c30e623}">
          <xlrd:rvb i="140"/>
        </ext>
      </extLst>
    </bk>
    <bk>
      <extLst>
        <ext uri="{3e2802c4-a4d2-4d8b-9148-e3be6c30e623}">
          <xlrd:rvb i="141"/>
        </ext>
      </extLst>
    </bk>
    <bk>
      <extLst>
        <ext uri="{3e2802c4-a4d2-4d8b-9148-e3be6c30e623}">
          <xlrd:rvb i="142"/>
        </ext>
      </extLst>
    </bk>
    <bk>
      <extLst>
        <ext uri="{3e2802c4-a4d2-4d8b-9148-e3be6c30e623}">
          <xlrd:rvb i="143"/>
        </ext>
      </extLst>
    </bk>
    <bk>
      <extLst>
        <ext uri="{3e2802c4-a4d2-4d8b-9148-e3be6c30e623}">
          <xlrd:rvb i="144"/>
        </ext>
      </extLst>
    </bk>
    <bk>
      <extLst>
        <ext uri="{3e2802c4-a4d2-4d8b-9148-e3be6c30e623}">
          <xlrd:rvb i="145"/>
        </ext>
      </extLst>
    </bk>
    <bk>
      <extLst>
        <ext uri="{3e2802c4-a4d2-4d8b-9148-e3be6c30e623}">
          <xlrd:rvb i="146"/>
        </ext>
      </extLst>
    </bk>
    <bk>
      <extLst>
        <ext uri="{3e2802c4-a4d2-4d8b-9148-e3be6c30e623}">
          <xlrd:rvb i="147"/>
        </ext>
      </extLst>
    </bk>
    <bk>
      <extLst>
        <ext uri="{3e2802c4-a4d2-4d8b-9148-e3be6c30e623}">
          <xlrd:rvb i="148"/>
        </ext>
      </extLst>
    </bk>
    <bk>
      <extLst>
        <ext uri="{3e2802c4-a4d2-4d8b-9148-e3be6c30e623}">
          <xlrd:rvb i="149"/>
        </ext>
      </extLst>
    </bk>
    <bk>
      <extLst>
        <ext uri="{3e2802c4-a4d2-4d8b-9148-e3be6c30e623}">
          <xlrd:rvb i="150"/>
        </ext>
      </extLst>
    </bk>
    <bk>
      <extLst>
        <ext uri="{3e2802c4-a4d2-4d8b-9148-e3be6c30e623}">
          <xlrd:rvb i="151"/>
        </ext>
      </extLst>
    </bk>
    <bk>
      <extLst>
        <ext uri="{3e2802c4-a4d2-4d8b-9148-e3be6c30e623}">
          <xlrd:rvb i="152"/>
        </ext>
      </extLst>
    </bk>
    <bk>
      <extLst>
        <ext uri="{3e2802c4-a4d2-4d8b-9148-e3be6c30e623}">
          <xlrd:rvb i="153"/>
        </ext>
      </extLst>
    </bk>
    <bk>
      <extLst>
        <ext uri="{3e2802c4-a4d2-4d8b-9148-e3be6c30e623}">
          <xlrd:rvb i="154"/>
        </ext>
      </extLst>
    </bk>
    <bk>
      <extLst>
        <ext uri="{3e2802c4-a4d2-4d8b-9148-e3be6c30e623}">
          <xlrd:rvb i="155"/>
        </ext>
      </extLst>
    </bk>
    <bk>
      <extLst>
        <ext uri="{3e2802c4-a4d2-4d8b-9148-e3be6c30e623}">
          <xlrd:rvb i="156"/>
        </ext>
      </extLst>
    </bk>
    <bk>
      <extLst>
        <ext uri="{3e2802c4-a4d2-4d8b-9148-e3be6c30e623}">
          <xlrd:rvb i="157"/>
        </ext>
      </extLst>
    </bk>
    <bk>
      <extLst>
        <ext uri="{3e2802c4-a4d2-4d8b-9148-e3be6c30e623}">
          <xlrd:rvb i="158"/>
        </ext>
      </extLst>
    </bk>
    <bk>
      <extLst>
        <ext uri="{3e2802c4-a4d2-4d8b-9148-e3be6c30e623}">
          <xlrd:rvb i="159"/>
        </ext>
      </extLst>
    </bk>
    <bk>
      <extLst>
        <ext uri="{3e2802c4-a4d2-4d8b-9148-e3be6c30e623}">
          <xlrd:rvb i="160"/>
        </ext>
      </extLst>
    </bk>
    <bk>
      <extLst>
        <ext uri="{3e2802c4-a4d2-4d8b-9148-e3be6c30e623}">
          <xlrd:rvb i="161"/>
        </ext>
      </extLst>
    </bk>
    <bk>
      <extLst>
        <ext uri="{3e2802c4-a4d2-4d8b-9148-e3be6c30e623}">
          <xlrd:rvb i="162"/>
        </ext>
      </extLst>
    </bk>
    <bk>
      <extLst>
        <ext uri="{3e2802c4-a4d2-4d8b-9148-e3be6c30e623}">
          <xlrd:rvb i="163"/>
        </ext>
      </extLst>
    </bk>
    <bk>
      <extLst>
        <ext uri="{3e2802c4-a4d2-4d8b-9148-e3be6c30e623}">
          <xlrd:rvb i="164"/>
        </ext>
      </extLst>
    </bk>
    <bk>
      <extLst>
        <ext uri="{3e2802c4-a4d2-4d8b-9148-e3be6c30e623}">
          <xlrd:rvb i="165"/>
        </ext>
      </extLst>
    </bk>
    <bk>
      <extLst>
        <ext uri="{3e2802c4-a4d2-4d8b-9148-e3be6c30e623}">
          <xlrd:rvb i="166"/>
        </ext>
      </extLst>
    </bk>
    <bk>
      <extLst>
        <ext uri="{3e2802c4-a4d2-4d8b-9148-e3be6c30e623}">
          <xlrd:rvb i="167"/>
        </ext>
      </extLst>
    </bk>
    <bk>
      <extLst>
        <ext uri="{3e2802c4-a4d2-4d8b-9148-e3be6c30e623}">
          <xlrd:rvb i="168"/>
        </ext>
      </extLst>
    </bk>
    <bk>
      <extLst>
        <ext uri="{3e2802c4-a4d2-4d8b-9148-e3be6c30e623}">
          <xlrd:rvb i="169"/>
        </ext>
      </extLst>
    </bk>
    <bk>
      <extLst>
        <ext uri="{3e2802c4-a4d2-4d8b-9148-e3be6c30e623}">
          <xlrd:rvb i="170"/>
        </ext>
      </extLst>
    </bk>
    <bk>
      <extLst>
        <ext uri="{3e2802c4-a4d2-4d8b-9148-e3be6c30e623}">
          <xlrd:rvb i="171"/>
        </ext>
      </extLst>
    </bk>
    <bk>
      <extLst>
        <ext uri="{3e2802c4-a4d2-4d8b-9148-e3be6c30e623}">
          <xlrd:rvb i="172"/>
        </ext>
      </extLst>
    </bk>
    <bk>
      <extLst>
        <ext uri="{3e2802c4-a4d2-4d8b-9148-e3be6c30e623}">
          <xlrd:rvb i="173"/>
        </ext>
      </extLst>
    </bk>
    <bk>
      <extLst>
        <ext uri="{3e2802c4-a4d2-4d8b-9148-e3be6c30e623}">
          <xlrd:rvb i="174"/>
        </ext>
      </extLst>
    </bk>
    <bk>
      <extLst>
        <ext uri="{3e2802c4-a4d2-4d8b-9148-e3be6c30e623}">
          <xlrd:rvb i="175"/>
        </ext>
      </extLst>
    </bk>
    <bk>
      <extLst>
        <ext uri="{3e2802c4-a4d2-4d8b-9148-e3be6c30e623}">
          <xlrd:rvb i="176"/>
        </ext>
      </extLst>
    </bk>
    <bk>
      <extLst>
        <ext uri="{3e2802c4-a4d2-4d8b-9148-e3be6c30e623}">
          <xlrd:rvb i="177"/>
        </ext>
      </extLst>
    </bk>
    <bk>
      <extLst>
        <ext uri="{3e2802c4-a4d2-4d8b-9148-e3be6c30e623}">
          <xlrd:rvb i="178"/>
        </ext>
      </extLst>
    </bk>
    <bk>
      <extLst>
        <ext uri="{3e2802c4-a4d2-4d8b-9148-e3be6c30e623}">
          <xlrd:rvb i="179"/>
        </ext>
      </extLst>
    </bk>
    <bk>
      <extLst>
        <ext uri="{3e2802c4-a4d2-4d8b-9148-e3be6c30e623}">
          <xlrd:rvb i="180"/>
        </ext>
      </extLst>
    </bk>
    <bk>
      <extLst>
        <ext uri="{3e2802c4-a4d2-4d8b-9148-e3be6c30e623}">
          <xlrd:rvb i="181"/>
        </ext>
      </extLst>
    </bk>
    <bk>
      <extLst>
        <ext uri="{3e2802c4-a4d2-4d8b-9148-e3be6c30e623}">
          <xlrd:rvb i="182"/>
        </ext>
      </extLst>
    </bk>
    <bk>
      <extLst>
        <ext uri="{3e2802c4-a4d2-4d8b-9148-e3be6c30e623}">
          <xlrd:rvb i="183"/>
        </ext>
      </extLst>
    </bk>
    <bk>
      <extLst>
        <ext uri="{3e2802c4-a4d2-4d8b-9148-e3be6c30e623}">
          <xlrd:rvb i="184"/>
        </ext>
      </extLst>
    </bk>
    <bk>
      <extLst>
        <ext uri="{3e2802c4-a4d2-4d8b-9148-e3be6c30e623}">
          <xlrd:rvb i="185"/>
        </ext>
      </extLst>
    </bk>
    <bk>
      <extLst>
        <ext uri="{3e2802c4-a4d2-4d8b-9148-e3be6c30e623}">
          <xlrd:rvb i="186"/>
        </ext>
      </extLst>
    </bk>
    <bk>
      <extLst>
        <ext uri="{3e2802c4-a4d2-4d8b-9148-e3be6c30e623}">
          <xlrd:rvb i="187"/>
        </ext>
      </extLst>
    </bk>
    <bk>
      <extLst>
        <ext uri="{3e2802c4-a4d2-4d8b-9148-e3be6c30e623}">
          <xlrd:rvb i="188"/>
        </ext>
      </extLst>
    </bk>
    <bk>
      <extLst>
        <ext uri="{3e2802c4-a4d2-4d8b-9148-e3be6c30e623}">
          <xlrd:rvb i="189"/>
        </ext>
      </extLst>
    </bk>
    <bk>
      <extLst>
        <ext uri="{3e2802c4-a4d2-4d8b-9148-e3be6c30e623}">
          <xlrd:rvb i="190"/>
        </ext>
      </extLst>
    </bk>
    <bk>
      <extLst>
        <ext uri="{3e2802c4-a4d2-4d8b-9148-e3be6c30e623}">
          <xlrd:rvb i="191"/>
        </ext>
      </extLst>
    </bk>
    <bk>
      <extLst>
        <ext uri="{3e2802c4-a4d2-4d8b-9148-e3be6c30e623}">
          <xlrd:rvb i="192"/>
        </ext>
      </extLst>
    </bk>
    <bk>
      <extLst>
        <ext uri="{3e2802c4-a4d2-4d8b-9148-e3be6c30e623}">
          <xlrd:rvb i="193"/>
        </ext>
      </extLst>
    </bk>
    <bk>
      <extLst>
        <ext uri="{3e2802c4-a4d2-4d8b-9148-e3be6c30e623}">
          <xlrd:rvb i="194"/>
        </ext>
      </extLst>
    </bk>
    <bk>
      <extLst>
        <ext uri="{3e2802c4-a4d2-4d8b-9148-e3be6c30e623}">
          <xlrd:rvb i="195"/>
        </ext>
      </extLst>
    </bk>
    <bk>
      <extLst>
        <ext uri="{3e2802c4-a4d2-4d8b-9148-e3be6c30e623}">
          <xlrd:rvb i="196"/>
        </ext>
      </extLst>
    </bk>
    <bk>
      <extLst>
        <ext uri="{3e2802c4-a4d2-4d8b-9148-e3be6c30e623}">
          <xlrd:rvb i="197"/>
        </ext>
      </extLst>
    </bk>
    <bk>
      <extLst>
        <ext uri="{3e2802c4-a4d2-4d8b-9148-e3be6c30e623}">
          <xlrd:rvb i="198"/>
        </ext>
      </extLst>
    </bk>
    <bk>
      <extLst>
        <ext uri="{3e2802c4-a4d2-4d8b-9148-e3be6c30e623}">
          <xlrd:rvb i="199"/>
        </ext>
      </extLst>
    </bk>
    <bk>
      <extLst>
        <ext uri="{3e2802c4-a4d2-4d8b-9148-e3be6c30e623}">
          <xlrd:rvb i="200"/>
        </ext>
      </extLst>
    </bk>
    <bk>
      <extLst>
        <ext uri="{3e2802c4-a4d2-4d8b-9148-e3be6c30e623}">
          <xlrd:rvb i="201"/>
        </ext>
      </extLst>
    </bk>
    <bk>
      <extLst>
        <ext uri="{3e2802c4-a4d2-4d8b-9148-e3be6c30e623}">
          <xlrd:rvb i="202"/>
        </ext>
      </extLst>
    </bk>
    <bk>
      <extLst>
        <ext uri="{3e2802c4-a4d2-4d8b-9148-e3be6c30e623}">
          <xlrd:rvb i="203"/>
        </ext>
      </extLst>
    </bk>
    <bk>
      <extLst>
        <ext uri="{3e2802c4-a4d2-4d8b-9148-e3be6c30e623}">
          <xlrd:rvb i="204"/>
        </ext>
      </extLst>
    </bk>
    <bk>
      <extLst>
        <ext uri="{3e2802c4-a4d2-4d8b-9148-e3be6c30e623}">
          <xlrd:rvb i="205"/>
        </ext>
      </extLst>
    </bk>
    <bk>
      <extLst>
        <ext uri="{3e2802c4-a4d2-4d8b-9148-e3be6c30e623}">
          <xlrd:rvb i="206"/>
        </ext>
      </extLst>
    </bk>
    <bk>
      <extLst>
        <ext uri="{3e2802c4-a4d2-4d8b-9148-e3be6c30e623}">
          <xlrd:rvb i="207"/>
        </ext>
      </extLst>
    </bk>
    <bk>
      <extLst>
        <ext uri="{3e2802c4-a4d2-4d8b-9148-e3be6c30e623}">
          <xlrd:rvb i="208"/>
        </ext>
      </extLst>
    </bk>
    <bk>
      <extLst>
        <ext uri="{3e2802c4-a4d2-4d8b-9148-e3be6c30e623}">
          <xlrd:rvb i="209"/>
        </ext>
      </extLst>
    </bk>
    <bk>
      <extLst>
        <ext uri="{3e2802c4-a4d2-4d8b-9148-e3be6c30e623}">
          <xlrd:rvb i="210"/>
        </ext>
      </extLst>
    </bk>
    <bk>
      <extLst>
        <ext uri="{3e2802c4-a4d2-4d8b-9148-e3be6c30e623}">
          <xlrd:rvb i="211"/>
        </ext>
      </extLst>
    </bk>
    <bk>
      <extLst>
        <ext uri="{3e2802c4-a4d2-4d8b-9148-e3be6c30e623}">
          <xlrd:rvb i="212"/>
        </ext>
      </extLst>
    </bk>
    <bk>
      <extLst>
        <ext uri="{3e2802c4-a4d2-4d8b-9148-e3be6c30e623}">
          <xlrd:rvb i="213"/>
        </ext>
      </extLst>
    </bk>
    <bk>
      <extLst>
        <ext uri="{3e2802c4-a4d2-4d8b-9148-e3be6c30e623}">
          <xlrd:rvb i="214"/>
        </ext>
      </extLst>
    </bk>
    <bk>
      <extLst>
        <ext uri="{3e2802c4-a4d2-4d8b-9148-e3be6c30e623}">
          <xlrd:rvb i="215"/>
        </ext>
      </extLst>
    </bk>
    <bk>
      <extLst>
        <ext uri="{3e2802c4-a4d2-4d8b-9148-e3be6c30e623}">
          <xlrd:rvb i="216"/>
        </ext>
      </extLst>
    </bk>
    <bk>
      <extLst>
        <ext uri="{3e2802c4-a4d2-4d8b-9148-e3be6c30e623}">
          <xlrd:rvb i="217"/>
        </ext>
      </extLst>
    </bk>
    <bk>
      <extLst>
        <ext uri="{3e2802c4-a4d2-4d8b-9148-e3be6c30e623}">
          <xlrd:rvb i="218"/>
        </ext>
      </extLst>
    </bk>
    <bk>
      <extLst>
        <ext uri="{3e2802c4-a4d2-4d8b-9148-e3be6c30e623}">
          <xlrd:rvb i="219"/>
        </ext>
      </extLst>
    </bk>
    <bk>
      <extLst>
        <ext uri="{3e2802c4-a4d2-4d8b-9148-e3be6c30e623}">
          <xlrd:rvb i="220"/>
        </ext>
      </extLst>
    </bk>
    <bk>
      <extLst>
        <ext uri="{3e2802c4-a4d2-4d8b-9148-e3be6c30e623}">
          <xlrd:rvb i="221"/>
        </ext>
      </extLst>
    </bk>
    <bk>
      <extLst>
        <ext uri="{3e2802c4-a4d2-4d8b-9148-e3be6c30e623}">
          <xlrd:rvb i="222"/>
        </ext>
      </extLst>
    </bk>
    <bk>
      <extLst>
        <ext uri="{3e2802c4-a4d2-4d8b-9148-e3be6c30e623}">
          <xlrd:rvb i="223"/>
        </ext>
      </extLst>
    </bk>
    <bk>
      <extLst>
        <ext uri="{3e2802c4-a4d2-4d8b-9148-e3be6c30e623}">
          <xlrd:rvb i="224"/>
        </ext>
      </extLst>
    </bk>
    <bk>
      <extLst>
        <ext uri="{3e2802c4-a4d2-4d8b-9148-e3be6c30e623}">
          <xlrd:rvb i="225"/>
        </ext>
      </extLst>
    </bk>
    <bk>
      <extLst>
        <ext uri="{3e2802c4-a4d2-4d8b-9148-e3be6c30e623}">
          <xlrd:rvb i="226"/>
        </ext>
      </extLst>
    </bk>
    <bk>
      <extLst>
        <ext uri="{3e2802c4-a4d2-4d8b-9148-e3be6c30e623}">
          <xlrd:rvb i="227"/>
        </ext>
      </extLst>
    </bk>
    <bk>
      <extLst>
        <ext uri="{3e2802c4-a4d2-4d8b-9148-e3be6c30e623}">
          <xlrd:rvb i="228"/>
        </ext>
      </extLst>
    </bk>
    <bk>
      <extLst>
        <ext uri="{3e2802c4-a4d2-4d8b-9148-e3be6c30e623}">
          <xlrd:rvb i="229"/>
        </ext>
      </extLst>
    </bk>
    <bk>
      <extLst>
        <ext uri="{3e2802c4-a4d2-4d8b-9148-e3be6c30e623}">
          <xlrd:rvb i="230"/>
        </ext>
      </extLst>
    </bk>
    <bk>
      <extLst>
        <ext uri="{3e2802c4-a4d2-4d8b-9148-e3be6c30e623}">
          <xlrd:rvb i="231"/>
        </ext>
      </extLst>
    </bk>
    <bk>
      <extLst>
        <ext uri="{3e2802c4-a4d2-4d8b-9148-e3be6c30e623}">
          <xlrd:rvb i="232"/>
        </ext>
      </extLst>
    </bk>
    <bk>
      <extLst>
        <ext uri="{3e2802c4-a4d2-4d8b-9148-e3be6c30e623}">
          <xlrd:rvb i="233"/>
        </ext>
      </extLst>
    </bk>
    <bk>
      <extLst>
        <ext uri="{3e2802c4-a4d2-4d8b-9148-e3be6c30e623}">
          <xlrd:rvb i="234"/>
        </ext>
      </extLst>
    </bk>
    <bk>
      <extLst>
        <ext uri="{3e2802c4-a4d2-4d8b-9148-e3be6c30e623}">
          <xlrd:rvb i="235"/>
        </ext>
      </extLst>
    </bk>
    <bk>
      <extLst>
        <ext uri="{3e2802c4-a4d2-4d8b-9148-e3be6c30e623}">
          <xlrd:rvb i="236"/>
        </ext>
      </extLst>
    </bk>
    <bk>
      <extLst>
        <ext uri="{3e2802c4-a4d2-4d8b-9148-e3be6c30e623}">
          <xlrd:rvb i="237"/>
        </ext>
      </extLst>
    </bk>
    <bk>
      <extLst>
        <ext uri="{3e2802c4-a4d2-4d8b-9148-e3be6c30e623}">
          <xlrd:rvb i="238"/>
        </ext>
      </extLst>
    </bk>
    <bk>
      <extLst>
        <ext uri="{3e2802c4-a4d2-4d8b-9148-e3be6c30e623}">
          <xlrd:rvb i="239"/>
        </ext>
      </extLst>
    </bk>
    <bk>
      <extLst>
        <ext uri="{3e2802c4-a4d2-4d8b-9148-e3be6c30e623}">
          <xlrd:rvb i="240"/>
        </ext>
      </extLst>
    </bk>
    <bk>
      <extLst>
        <ext uri="{3e2802c4-a4d2-4d8b-9148-e3be6c30e623}">
          <xlrd:rvb i="241"/>
        </ext>
      </extLst>
    </bk>
    <bk>
      <extLst>
        <ext uri="{3e2802c4-a4d2-4d8b-9148-e3be6c30e623}">
          <xlrd:rvb i="242"/>
        </ext>
      </extLst>
    </bk>
    <bk>
      <extLst>
        <ext uri="{3e2802c4-a4d2-4d8b-9148-e3be6c30e623}">
          <xlrd:rvb i="243"/>
        </ext>
      </extLst>
    </bk>
    <bk>
      <extLst>
        <ext uri="{3e2802c4-a4d2-4d8b-9148-e3be6c30e623}">
          <xlrd:rvb i="244"/>
        </ext>
      </extLst>
    </bk>
    <bk>
      <extLst>
        <ext uri="{3e2802c4-a4d2-4d8b-9148-e3be6c30e623}">
          <xlrd:rvb i="245"/>
        </ext>
      </extLst>
    </bk>
    <bk>
      <extLst>
        <ext uri="{3e2802c4-a4d2-4d8b-9148-e3be6c30e623}">
          <xlrd:rvb i="246"/>
        </ext>
      </extLst>
    </bk>
    <bk>
      <extLst>
        <ext uri="{3e2802c4-a4d2-4d8b-9148-e3be6c30e623}">
          <xlrd:rvb i="247"/>
        </ext>
      </extLst>
    </bk>
    <bk>
      <extLst>
        <ext uri="{3e2802c4-a4d2-4d8b-9148-e3be6c30e623}">
          <xlrd:rvb i="248"/>
        </ext>
      </extLst>
    </bk>
    <bk>
      <extLst>
        <ext uri="{3e2802c4-a4d2-4d8b-9148-e3be6c30e623}">
          <xlrd:rvb i="249"/>
        </ext>
      </extLst>
    </bk>
    <bk>
      <extLst>
        <ext uri="{3e2802c4-a4d2-4d8b-9148-e3be6c30e623}">
          <xlrd:rvb i="250"/>
        </ext>
      </extLst>
    </bk>
    <bk>
      <extLst>
        <ext uri="{3e2802c4-a4d2-4d8b-9148-e3be6c30e623}">
          <xlrd:rvb i="251"/>
        </ext>
      </extLst>
    </bk>
    <bk>
      <extLst>
        <ext uri="{3e2802c4-a4d2-4d8b-9148-e3be6c30e623}">
          <xlrd:rvb i="252"/>
        </ext>
      </extLst>
    </bk>
    <bk>
      <extLst>
        <ext uri="{3e2802c4-a4d2-4d8b-9148-e3be6c30e623}">
          <xlrd:rvb i="253"/>
        </ext>
      </extLst>
    </bk>
    <bk>
      <extLst>
        <ext uri="{3e2802c4-a4d2-4d8b-9148-e3be6c30e623}">
          <xlrd:rvb i="254"/>
        </ext>
      </extLst>
    </bk>
    <bk>
      <extLst>
        <ext uri="{3e2802c4-a4d2-4d8b-9148-e3be6c30e623}">
          <xlrd:rvb i="255"/>
        </ext>
      </extLst>
    </bk>
    <bk>
      <extLst>
        <ext uri="{3e2802c4-a4d2-4d8b-9148-e3be6c30e623}">
          <xlrd:rvb i="256"/>
        </ext>
      </extLst>
    </bk>
    <bk>
      <extLst>
        <ext uri="{3e2802c4-a4d2-4d8b-9148-e3be6c30e623}">
          <xlrd:rvb i="257"/>
        </ext>
      </extLst>
    </bk>
    <bk>
      <extLst>
        <ext uri="{3e2802c4-a4d2-4d8b-9148-e3be6c30e623}">
          <xlrd:rvb i="258"/>
        </ext>
      </extLst>
    </bk>
    <bk>
      <extLst>
        <ext uri="{3e2802c4-a4d2-4d8b-9148-e3be6c30e623}">
          <xlrd:rvb i="259"/>
        </ext>
      </extLst>
    </bk>
    <bk>
      <extLst>
        <ext uri="{3e2802c4-a4d2-4d8b-9148-e3be6c30e623}">
          <xlrd:rvb i="260"/>
        </ext>
      </extLst>
    </bk>
    <bk>
      <extLst>
        <ext uri="{3e2802c4-a4d2-4d8b-9148-e3be6c30e623}">
          <xlrd:rvb i="261"/>
        </ext>
      </extLst>
    </bk>
    <bk>
      <extLst>
        <ext uri="{3e2802c4-a4d2-4d8b-9148-e3be6c30e623}">
          <xlrd:rvb i="262"/>
        </ext>
      </extLst>
    </bk>
    <bk>
      <extLst>
        <ext uri="{3e2802c4-a4d2-4d8b-9148-e3be6c30e623}">
          <xlrd:rvb i="263"/>
        </ext>
      </extLst>
    </bk>
    <bk>
      <extLst>
        <ext uri="{3e2802c4-a4d2-4d8b-9148-e3be6c30e623}">
          <xlrd:rvb i="264"/>
        </ext>
      </extLst>
    </bk>
    <bk>
      <extLst>
        <ext uri="{3e2802c4-a4d2-4d8b-9148-e3be6c30e623}">
          <xlrd:rvb i="265"/>
        </ext>
      </extLst>
    </bk>
    <bk>
      <extLst>
        <ext uri="{3e2802c4-a4d2-4d8b-9148-e3be6c30e623}">
          <xlrd:rvb i="266"/>
        </ext>
      </extLst>
    </bk>
    <bk>
      <extLst>
        <ext uri="{3e2802c4-a4d2-4d8b-9148-e3be6c30e623}">
          <xlrd:rvb i="267"/>
        </ext>
      </extLst>
    </bk>
    <bk>
      <extLst>
        <ext uri="{3e2802c4-a4d2-4d8b-9148-e3be6c30e623}">
          <xlrd:rvb i="268"/>
        </ext>
      </extLst>
    </bk>
    <bk>
      <extLst>
        <ext uri="{3e2802c4-a4d2-4d8b-9148-e3be6c30e623}">
          <xlrd:rvb i="269"/>
        </ext>
      </extLst>
    </bk>
    <bk>
      <extLst>
        <ext uri="{3e2802c4-a4d2-4d8b-9148-e3be6c30e623}">
          <xlrd:rvb i="270"/>
        </ext>
      </extLst>
    </bk>
    <bk>
      <extLst>
        <ext uri="{3e2802c4-a4d2-4d8b-9148-e3be6c30e623}">
          <xlrd:rvb i="271"/>
        </ext>
      </extLst>
    </bk>
    <bk>
      <extLst>
        <ext uri="{3e2802c4-a4d2-4d8b-9148-e3be6c30e623}">
          <xlrd:rvb i="272"/>
        </ext>
      </extLst>
    </bk>
    <bk>
      <extLst>
        <ext uri="{3e2802c4-a4d2-4d8b-9148-e3be6c30e623}">
          <xlrd:rvb i="273"/>
        </ext>
      </extLst>
    </bk>
    <bk>
      <extLst>
        <ext uri="{3e2802c4-a4d2-4d8b-9148-e3be6c30e623}">
          <xlrd:rvb i="274"/>
        </ext>
      </extLst>
    </bk>
    <bk>
      <extLst>
        <ext uri="{3e2802c4-a4d2-4d8b-9148-e3be6c30e623}">
          <xlrd:rvb i="275"/>
        </ext>
      </extLst>
    </bk>
    <bk>
      <extLst>
        <ext uri="{3e2802c4-a4d2-4d8b-9148-e3be6c30e623}">
          <xlrd:rvb i="276"/>
        </ext>
      </extLst>
    </bk>
    <bk>
      <extLst>
        <ext uri="{3e2802c4-a4d2-4d8b-9148-e3be6c30e623}">
          <xlrd:rvb i="277"/>
        </ext>
      </extLst>
    </bk>
    <bk>
      <extLst>
        <ext uri="{3e2802c4-a4d2-4d8b-9148-e3be6c30e623}">
          <xlrd:rvb i="278"/>
        </ext>
      </extLst>
    </bk>
    <bk>
      <extLst>
        <ext uri="{3e2802c4-a4d2-4d8b-9148-e3be6c30e623}">
          <xlrd:rvb i="279"/>
        </ext>
      </extLst>
    </bk>
    <bk>
      <extLst>
        <ext uri="{3e2802c4-a4d2-4d8b-9148-e3be6c30e623}">
          <xlrd:rvb i="280"/>
        </ext>
      </extLst>
    </bk>
    <bk>
      <extLst>
        <ext uri="{3e2802c4-a4d2-4d8b-9148-e3be6c30e623}">
          <xlrd:rvb i="281"/>
        </ext>
      </extLst>
    </bk>
    <bk>
      <extLst>
        <ext uri="{3e2802c4-a4d2-4d8b-9148-e3be6c30e623}">
          <xlrd:rvb i="282"/>
        </ext>
      </extLst>
    </bk>
    <bk>
      <extLst>
        <ext uri="{3e2802c4-a4d2-4d8b-9148-e3be6c30e623}">
          <xlrd:rvb i="283"/>
        </ext>
      </extLst>
    </bk>
    <bk>
      <extLst>
        <ext uri="{3e2802c4-a4d2-4d8b-9148-e3be6c30e623}">
          <xlrd:rvb i="284"/>
        </ext>
      </extLst>
    </bk>
    <bk>
      <extLst>
        <ext uri="{3e2802c4-a4d2-4d8b-9148-e3be6c30e623}">
          <xlrd:rvb i="285"/>
        </ext>
      </extLst>
    </bk>
    <bk>
      <extLst>
        <ext uri="{3e2802c4-a4d2-4d8b-9148-e3be6c30e623}">
          <xlrd:rvb i="286"/>
        </ext>
      </extLst>
    </bk>
    <bk>
      <extLst>
        <ext uri="{3e2802c4-a4d2-4d8b-9148-e3be6c30e623}">
          <xlrd:rvb i="287"/>
        </ext>
      </extLst>
    </bk>
    <bk>
      <extLst>
        <ext uri="{3e2802c4-a4d2-4d8b-9148-e3be6c30e623}">
          <xlrd:rvb i="288"/>
        </ext>
      </extLst>
    </bk>
    <bk>
      <extLst>
        <ext uri="{3e2802c4-a4d2-4d8b-9148-e3be6c30e623}">
          <xlrd:rvb i="289"/>
        </ext>
      </extLst>
    </bk>
    <bk>
      <extLst>
        <ext uri="{3e2802c4-a4d2-4d8b-9148-e3be6c30e623}">
          <xlrd:rvb i="290"/>
        </ext>
      </extLst>
    </bk>
    <bk>
      <extLst>
        <ext uri="{3e2802c4-a4d2-4d8b-9148-e3be6c30e623}">
          <xlrd:rvb i="291"/>
        </ext>
      </extLst>
    </bk>
    <bk>
      <extLst>
        <ext uri="{3e2802c4-a4d2-4d8b-9148-e3be6c30e623}">
          <xlrd:rvb i="292"/>
        </ext>
      </extLst>
    </bk>
    <bk>
      <extLst>
        <ext uri="{3e2802c4-a4d2-4d8b-9148-e3be6c30e623}">
          <xlrd:rvb i="293"/>
        </ext>
      </extLst>
    </bk>
    <bk>
      <extLst>
        <ext uri="{3e2802c4-a4d2-4d8b-9148-e3be6c30e623}">
          <xlrd:rvb i="294"/>
        </ext>
      </extLst>
    </bk>
    <bk>
      <extLst>
        <ext uri="{3e2802c4-a4d2-4d8b-9148-e3be6c30e623}">
          <xlrd:rvb i="295"/>
        </ext>
      </extLst>
    </bk>
    <bk>
      <extLst>
        <ext uri="{3e2802c4-a4d2-4d8b-9148-e3be6c30e623}">
          <xlrd:rvb i="296"/>
        </ext>
      </extLst>
    </bk>
    <bk>
      <extLst>
        <ext uri="{3e2802c4-a4d2-4d8b-9148-e3be6c30e623}">
          <xlrd:rvb i="297"/>
        </ext>
      </extLst>
    </bk>
    <bk>
      <extLst>
        <ext uri="{3e2802c4-a4d2-4d8b-9148-e3be6c30e623}">
          <xlrd:rvb i="298"/>
        </ext>
      </extLst>
    </bk>
    <bk>
      <extLst>
        <ext uri="{3e2802c4-a4d2-4d8b-9148-e3be6c30e623}">
          <xlrd:rvb i="299"/>
        </ext>
      </extLst>
    </bk>
    <bk>
      <extLst>
        <ext uri="{3e2802c4-a4d2-4d8b-9148-e3be6c30e623}">
          <xlrd:rvb i="300"/>
        </ext>
      </extLst>
    </bk>
    <bk>
      <extLst>
        <ext uri="{3e2802c4-a4d2-4d8b-9148-e3be6c30e623}">
          <xlrd:rvb i="301"/>
        </ext>
      </extLst>
    </bk>
    <bk>
      <extLst>
        <ext uri="{3e2802c4-a4d2-4d8b-9148-e3be6c30e623}">
          <xlrd:rvb i="302"/>
        </ext>
      </extLst>
    </bk>
    <bk>
      <extLst>
        <ext uri="{3e2802c4-a4d2-4d8b-9148-e3be6c30e623}">
          <xlrd:rvb i="303"/>
        </ext>
      </extLst>
    </bk>
    <bk>
      <extLst>
        <ext uri="{3e2802c4-a4d2-4d8b-9148-e3be6c30e623}">
          <xlrd:rvb i="304"/>
        </ext>
      </extLst>
    </bk>
    <bk>
      <extLst>
        <ext uri="{3e2802c4-a4d2-4d8b-9148-e3be6c30e623}">
          <xlrd:rvb i="305"/>
        </ext>
      </extLst>
    </bk>
    <bk>
      <extLst>
        <ext uri="{3e2802c4-a4d2-4d8b-9148-e3be6c30e623}">
          <xlrd:rvb i="306"/>
        </ext>
      </extLst>
    </bk>
    <bk>
      <extLst>
        <ext uri="{3e2802c4-a4d2-4d8b-9148-e3be6c30e623}">
          <xlrd:rvb i="307"/>
        </ext>
      </extLst>
    </bk>
    <bk>
      <extLst>
        <ext uri="{3e2802c4-a4d2-4d8b-9148-e3be6c30e623}">
          <xlrd:rvb i="308"/>
        </ext>
      </extLst>
    </bk>
    <bk>
      <extLst>
        <ext uri="{3e2802c4-a4d2-4d8b-9148-e3be6c30e623}">
          <xlrd:rvb i="309"/>
        </ext>
      </extLst>
    </bk>
    <bk>
      <extLst>
        <ext uri="{3e2802c4-a4d2-4d8b-9148-e3be6c30e623}">
          <xlrd:rvb i="310"/>
        </ext>
      </extLst>
    </bk>
    <bk>
      <extLst>
        <ext uri="{3e2802c4-a4d2-4d8b-9148-e3be6c30e623}">
          <xlrd:rvb i="311"/>
        </ext>
      </extLst>
    </bk>
    <bk>
      <extLst>
        <ext uri="{3e2802c4-a4d2-4d8b-9148-e3be6c30e623}">
          <xlrd:rvb i="312"/>
        </ext>
      </extLst>
    </bk>
    <bk>
      <extLst>
        <ext uri="{3e2802c4-a4d2-4d8b-9148-e3be6c30e623}">
          <xlrd:rvb i="313"/>
        </ext>
      </extLst>
    </bk>
    <bk>
      <extLst>
        <ext uri="{3e2802c4-a4d2-4d8b-9148-e3be6c30e623}">
          <xlrd:rvb i="314"/>
        </ext>
      </extLst>
    </bk>
    <bk>
      <extLst>
        <ext uri="{3e2802c4-a4d2-4d8b-9148-e3be6c30e623}">
          <xlrd:rvb i="315"/>
        </ext>
      </extLst>
    </bk>
    <bk>
      <extLst>
        <ext uri="{3e2802c4-a4d2-4d8b-9148-e3be6c30e623}">
          <xlrd:rvb i="316"/>
        </ext>
      </extLst>
    </bk>
    <bk>
      <extLst>
        <ext uri="{3e2802c4-a4d2-4d8b-9148-e3be6c30e623}">
          <xlrd:rvb i="317"/>
        </ext>
      </extLst>
    </bk>
    <bk>
      <extLst>
        <ext uri="{3e2802c4-a4d2-4d8b-9148-e3be6c30e623}">
          <xlrd:rvb i="318"/>
        </ext>
      </extLst>
    </bk>
    <bk>
      <extLst>
        <ext uri="{3e2802c4-a4d2-4d8b-9148-e3be6c30e623}">
          <xlrd:rvb i="319"/>
        </ext>
      </extLst>
    </bk>
    <bk>
      <extLst>
        <ext uri="{3e2802c4-a4d2-4d8b-9148-e3be6c30e623}">
          <xlrd:rvb i="320"/>
        </ext>
      </extLst>
    </bk>
    <bk>
      <extLst>
        <ext uri="{3e2802c4-a4d2-4d8b-9148-e3be6c30e623}">
          <xlrd:rvb i="321"/>
        </ext>
      </extLst>
    </bk>
    <bk>
      <extLst>
        <ext uri="{3e2802c4-a4d2-4d8b-9148-e3be6c30e623}">
          <xlrd:rvb i="322"/>
        </ext>
      </extLst>
    </bk>
    <bk>
      <extLst>
        <ext uri="{3e2802c4-a4d2-4d8b-9148-e3be6c30e623}">
          <xlrd:rvb i="323"/>
        </ext>
      </extLst>
    </bk>
    <bk>
      <extLst>
        <ext uri="{3e2802c4-a4d2-4d8b-9148-e3be6c30e623}">
          <xlrd:rvb i="324"/>
        </ext>
      </extLst>
    </bk>
    <bk>
      <extLst>
        <ext uri="{3e2802c4-a4d2-4d8b-9148-e3be6c30e623}">
          <xlrd:rvb i="325"/>
        </ext>
      </extLst>
    </bk>
    <bk>
      <extLst>
        <ext uri="{3e2802c4-a4d2-4d8b-9148-e3be6c30e623}">
          <xlrd:rvb i="326"/>
        </ext>
      </extLst>
    </bk>
    <bk>
      <extLst>
        <ext uri="{3e2802c4-a4d2-4d8b-9148-e3be6c30e623}">
          <xlrd:rvb i="327"/>
        </ext>
      </extLst>
    </bk>
    <bk>
      <extLst>
        <ext uri="{3e2802c4-a4d2-4d8b-9148-e3be6c30e623}">
          <xlrd:rvb i="328"/>
        </ext>
      </extLst>
    </bk>
    <bk>
      <extLst>
        <ext uri="{3e2802c4-a4d2-4d8b-9148-e3be6c30e623}">
          <xlrd:rvb i="329"/>
        </ext>
      </extLst>
    </bk>
    <bk>
      <extLst>
        <ext uri="{3e2802c4-a4d2-4d8b-9148-e3be6c30e623}">
          <xlrd:rvb i="330"/>
        </ext>
      </extLst>
    </bk>
    <bk>
      <extLst>
        <ext uri="{3e2802c4-a4d2-4d8b-9148-e3be6c30e623}">
          <xlrd:rvb i="331"/>
        </ext>
      </extLst>
    </bk>
    <bk>
      <extLst>
        <ext uri="{3e2802c4-a4d2-4d8b-9148-e3be6c30e623}">
          <xlrd:rvb i="332"/>
        </ext>
      </extLst>
    </bk>
    <bk>
      <extLst>
        <ext uri="{3e2802c4-a4d2-4d8b-9148-e3be6c30e623}">
          <xlrd:rvb i="333"/>
        </ext>
      </extLst>
    </bk>
    <bk>
      <extLst>
        <ext uri="{3e2802c4-a4d2-4d8b-9148-e3be6c30e623}">
          <xlrd:rvb i="334"/>
        </ext>
      </extLst>
    </bk>
    <bk>
      <extLst>
        <ext uri="{3e2802c4-a4d2-4d8b-9148-e3be6c30e623}">
          <xlrd:rvb i="335"/>
        </ext>
      </extLst>
    </bk>
    <bk>
      <extLst>
        <ext uri="{3e2802c4-a4d2-4d8b-9148-e3be6c30e623}">
          <xlrd:rvb i="336"/>
        </ext>
      </extLst>
    </bk>
    <bk>
      <extLst>
        <ext uri="{3e2802c4-a4d2-4d8b-9148-e3be6c30e623}">
          <xlrd:rvb i="337"/>
        </ext>
      </extLst>
    </bk>
    <bk>
      <extLst>
        <ext uri="{3e2802c4-a4d2-4d8b-9148-e3be6c30e623}">
          <xlrd:rvb i="338"/>
        </ext>
      </extLst>
    </bk>
    <bk>
      <extLst>
        <ext uri="{3e2802c4-a4d2-4d8b-9148-e3be6c30e623}">
          <xlrd:rvb i="339"/>
        </ext>
      </extLst>
    </bk>
    <bk>
      <extLst>
        <ext uri="{3e2802c4-a4d2-4d8b-9148-e3be6c30e623}">
          <xlrd:rvb i="340"/>
        </ext>
      </extLst>
    </bk>
    <bk>
      <extLst>
        <ext uri="{3e2802c4-a4d2-4d8b-9148-e3be6c30e623}">
          <xlrd:rvb i="341"/>
        </ext>
      </extLst>
    </bk>
    <bk>
      <extLst>
        <ext uri="{3e2802c4-a4d2-4d8b-9148-e3be6c30e623}">
          <xlrd:rvb i="342"/>
        </ext>
      </extLst>
    </bk>
    <bk>
      <extLst>
        <ext uri="{3e2802c4-a4d2-4d8b-9148-e3be6c30e623}">
          <xlrd:rvb i="343"/>
        </ext>
      </extLst>
    </bk>
    <bk>
      <extLst>
        <ext uri="{3e2802c4-a4d2-4d8b-9148-e3be6c30e623}">
          <xlrd:rvb i="344"/>
        </ext>
      </extLst>
    </bk>
    <bk>
      <extLst>
        <ext uri="{3e2802c4-a4d2-4d8b-9148-e3be6c30e623}">
          <xlrd:rvb i="345"/>
        </ext>
      </extLst>
    </bk>
    <bk>
      <extLst>
        <ext uri="{3e2802c4-a4d2-4d8b-9148-e3be6c30e623}">
          <xlrd:rvb i="346"/>
        </ext>
      </extLst>
    </bk>
    <bk>
      <extLst>
        <ext uri="{3e2802c4-a4d2-4d8b-9148-e3be6c30e623}">
          <xlrd:rvb i="347"/>
        </ext>
      </extLst>
    </bk>
    <bk>
      <extLst>
        <ext uri="{3e2802c4-a4d2-4d8b-9148-e3be6c30e623}">
          <xlrd:rvb i="348"/>
        </ext>
      </extLst>
    </bk>
    <bk>
      <extLst>
        <ext uri="{3e2802c4-a4d2-4d8b-9148-e3be6c30e623}">
          <xlrd:rvb i="349"/>
        </ext>
      </extLst>
    </bk>
    <bk>
      <extLst>
        <ext uri="{3e2802c4-a4d2-4d8b-9148-e3be6c30e623}">
          <xlrd:rvb i="350"/>
        </ext>
      </extLst>
    </bk>
    <bk>
      <extLst>
        <ext uri="{3e2802c4-a4d2-4d8b-9148-e3be6c30e623}">
          <xlrd:rvb i="351"/>
        </ext>
      </extLst>
    </bk>
    <bk>
      <extLst>
        <ext uri="{3e2802c4-a4d2-4d8b-9148-e3be6c30e623}">
          <xlrd:rvb i="352"/>
        </ext>
      </extLst>
    </bk>
    <bk>
      <extLst>
        <ext uri="{3e2802c4-a4d2-4d8b-9148-e3be6c30e623}">
          <xlrd:rvb i="353"/>
        </ext>
      </extLst>
    </bk>
    <bk>
      <extLst>
        <ext uri="{3e2802c4-a4d2-4d8b-9148-e3be6c30e623}">
          <xlrd:rvb i="354"/>
        </ext>
      </extLst>
    </bk>
    <bk>
      <extLst>
        <ext uri="{3e2802c4-a4d2-4d8b-9148-e3be6c30e623}">
          <xlrd:rvb i="355"/>
        </ext>
      </extLst>
    </bk>
    <bk>
      <extLst>
        <ext uri="{3e2802c4-a4d2-4d8b-9148-e3be6c30e623}">
          <xlrd:rvb i="356"/>
        </ext>
      </extLst>
    </bk>
    <bk>
      <extLst>
        <ext uri="{3e2802c4-a4d2-4d8b-9148-e3be6c30e623}">
          <xlrd:rvb i="357"/>
        </ext>
      </extLst>
    </bk>
    <bk>
      <extLst>
        <ext uri="{3e2802c4-a4d2-4d8b-9148-e3be6c30e623}">
          <xlrd:rvb i="358"/>
        </ext>
      </extLst>
    </bk>
    <bk>
      <extLst>
        <ext uri="{3e2802c4-a4d2-4d8b-9148-e3be6c30e623}">
          <xlrd:rvb i="359"/>
        </ext>
      </extLst>
    </bk>
    <bk>
      <extLst>
        <ext uri="{3e2802c4-a4d2-4d8b-9148-e3be6c30e623}">
          <xlrd:rvb i="360"/>
        </ext>
      </extLst>
    </bk>
    <bk>
      <extLst>
        <ext uri="{3e2802c4-a4d2-4d8b-9148-e3be6c30e623}">
          <xlrd:rvb i="361"/>
        </ext>
      </extLst>
    </bk>
    <bk>
      <extLst>
        <ext uri="{3e2802c4-a4d2-4d8b-9148-e3be6c30e623}">
          <xlrd:rvb i="362"/>
        </ext>
      </extLst>
    </bk>
    <bk>
      <extLst>
        <ext uri="{3e2802c4-a4d2-4d8b-9148-e3be6c30e623}">
          <xlrd:rvb i="363"/>
        </ext>
      </extLst>
    </bk>
    <bk>
      <extLst>
        <ext uri="{3e2802c4-a4d2-4d8b-9148-e3be6c30e623}">
          <xlrd:rvb i="364"/>
        </ext>
      </extLst>
    </bk>
    <bk>
      <extLst>
        <ext uri="{3e2802c4-a4d2-4d8b-9148-e3be6c30e623}">
          <xlrd:rvb i="365"/>
        </ext>
      </extLst>
    </bk>
    <bk>
      <extLst>
        <ext uri="{3e2802c4-a4d2-4d8b-9148-e3be6c30e623}">
          <xlrd:rvb i="366"/>
        </ext>
      </extLst>
    </bk>
    <bk>
      <extLst>
        <ext uri="{3e2802c4-a4d2-4d8b-9148-e3be6c30e623}">
          <xlrd:rvb i="367"/>
        </ext>
      </extLst>
    </bk>
    <bk>
      <extLst>
        <ext uri="{3e2802c4-a4d2-4d8b-9148-e3be6c30e623}">
          <xlrd:rvb i="368"/>
        </ext>
      </extLst>
    </bk>
    <bk>
      <extLst>
        <ext uri="{3e2802c4-a4d2-4d8b-9148-e3be6c30e623}">
          <xlrd:rvb i="369"/>
        </ext>
      </extLst>
    </bk>
    <bk>
      <extLst>
        <ext uri="{3e2802c4-a4d2-4d8b-9148-e3be6c30e623}">
          <xlrd:rvb i="370"/>
        </ext>
      </extLst>
    </bk>
    <bk>
      <extLst>
        <ext uri="{3e2802c4-a4d2-4d8b-9148-e3be6c30e623}">
          <xlrd:rvb i="371"/>
        </ext>
      </extLst>
    </bk>
    <bk>
      <extLst>
        <ext uri="{3e2802c4-a4d2-4d8b-9148-e3be6c30e623}">
          <xlrd:rvb i="372"/>
        </ext>
      </extLst>
    </bk>
    <bk>
      <extLst>
        <ext uri="{3e2802c4-a4d2-4d8b-9148-e3be6c30e623}">
          <xlrd:rvb i="373"/>
        </ext>
      </extLst>
    </bk>
    <bk>
      <extLst>
        <ext uri="{3e2802c4-a4d2-4d8b-9148-e3be6c30e623}">
          <xlrd:rvb i="374"/>
        </ext>
      </extLst>
    </bk>
    <bk>
      <extLst>
        <ext uri="{3e2802c4-a4d2-4d8b-9148-e3be6c30e623}">
          <xlrd:rvb i="375"/>
        </ext>
      </extLst>
    </bk>
    <bk>
      <extLst>
        <ext uri="{3e2802c4-a4d2-4d8b-9148-e3be6c30e623}">
          <xlrd:rvb i="376"/>
        </ext>
      </extLst>
    </bk>
    <bk>
      <extLst>
        <ext uri="{3e2802c4-a4d2-4d8b-9148-e3be6c30e623}">
          <xlrd:rvb i="377"/>
        </ext>
      </extLst>
    </bk>
    <bk>
      <extLst>
        <ext uri="{3e2802c4-a4d2-4d8b-9148-e3be6c30e623}">
          <xlrd:rvb i="378"/>
        </ext>
      </extLst>
    </bk>
    <bk>
      <extLst>
        <ext uri="{3e2802c4-a4d2-4d8b-9148-e3be6c30e623}">
          <xlrd:rvb i="379"/>
        </ext>
      </extLst>
    </bk>
    <bk>
      <extLst>
        <ext uri="{3e2802c4-a4d2-4d8b-9148-e3be6c30e623}">
          <xlrd:rvb i="380"/>
        </ext>
      </extLst>
    </bk>
    <bk>
      <extLst>
        <ext uri="{3e2802c4-a4d2-4d8b-9148-e3be6c30e623}">
          <xlrd:rvb i="381"/>
        </ext>
      </extLst>
    </bk>
    <bk>
      <extLst>
        <ext uri="{3e2802c4-a4d2-4d8b-9148-e3be6c30e623}">
          <xlrd:rvb i="382"/>
        </ext>
      </extLst>
    </bk>
    <bk>
      <extLst>
        <ext uri="{3e2802c4-a4d2-4d8b-9148-e3be6c30e623}">
          <xlrd:rvb i="383"/>
        </ext>
      </extLst>
    </bk>
    <bk>
      <extLst>
        <ext uri="{3e2802c4-a4d2-4d8b-9148-e3be6c30e623}">
          <xlrd:rvb i="384"/>
        </ext>
      </extLst>
    </bk>
    <bk>
      <extLst>
        <ext uri="{3e2802c4-a4d2-4d8b-9148-e3be6c30e623}">
          <xlrd:rvb i="385"/>
        </ext>
      </extLst>
    </bk>
    <bk>
      <extLst>
        <ext uri="{3e2802c4-a4d2-4d8b-9148-e3be6c30e623}">
          <xlrd:rvb i="386"/>
        </ext>
      </extLst>
    </bk>
    <bk>
      <extLst>
        <ext uri="{3e2802c4-a4d2-4d8b-9148-e3be6c30e623}">
          <xlrd:rvb i="387"/>
        </ext>
      </extLst>
    </bk>
    <bk>
      <extLst>
        <ext uri="{3e2802c4-a4d2-4d8b-9148-e3be6c30e623}">
          <xlrd:rvb i="388"/>
        </ext>
      </extLst>
    </bk>
    <bk>
      <extLst>
        <ext uri="{3e2802c4-a4d2-4d8b-9148-e3be6c30e623}">
          <xlrd:rvb i="389"/>
        </ext>
      </extLst>
    </bk>
    <bk>
      <extLst>
        <ext uri="{3e2802c4-a4d2-4d8b-9148-e3be6c30e623}">
          <xlrd:rvb i="390"/>
        </ext>
      </extLst>
    </bk>
    <bk>
      <extLst>
        <ext uri="{3e2802c4-a4d2-4d8b-9148-e3be6c30e623}">
          <xlrd:rvb i="391"/>
        </ext>
      </extLst>
    </bk>
    <bk>
      <extLst>
        <ext uri="{3e2802c4-a4d2-4d8b-9148-e3be6c30e623}">
          <xlrd:rvb i="392"/>
        </ext>
      </extLst>
    </bk>
    <bk>
      <extLst>
        <ext uri="{3e2802c4-a4d2-4d8b-9148-e3be6c30e623}">
          <xlrd:rvb i="393"/>
        </ext>
      </extLst>
    </bk>
    <bk>
      <extLst>
        <ext uri="{3e2802c4-a4d2-4d8b-9148-e3be6c30e623}">
          <xlrd:rvb i="394"/>
        </ext>
      </extLst>
    </bk>
    <bk>
      <extLst>
        <ext uri="{3e2802c4-a4d2-4d8b-9148-e3be6c30e623}">
          <xlrd:rvb i="395"/>
        </ext>
      </extLst>
    </bk>
    <bk>
      <extLst>
        <ext uri="{3e2802c4-a4d2-4d8b-9148-e3be6c30e623}">
          <xlrd:rvb i="396"/>
        </ext>
      </extLst>
    </bk>
    <bk>
      <extLst>
        <ext uri="{3e2802c4-a4d2-4d8b-9148-e3be6c30e623}">
          <xlrd:rvb i="397"/>
        </ext>
      </extLst>
    </bk>
    <bk>
      <extLst>
        <ext uri="{3e2802c4-a4d2-4d8b-9148-e3be6c30e623}">
          <xlrd:rvb i="398"/>
        </ext>
      </extLst>
    </bk>
    <bk>
      <extLst>
        <ext uri="{3e2802c4-a4d2-4d8b-9148-e3be6c30e623}">
          <xlrd:rvb i="399"/>
        </ext>
      </extLst>
    </bk>
    <bk>
      <extLst>
        <ext uri="{3e2802c4-a4d2-4d8b-9148-e3be6c30e623}">
          <xlrd:rvb i="400"/>
        </ext>
      </extLst>
    </bk>
    <bk>
      <extLst>
        <ext uri="{3e2802c4-a4d2-4d8b-9148-e3be6c30e623}">
          <xlrd:rvb i="401"/>
        </ext>
      </extLst>
    </bk>
    <bk>
      <extLst>
        <ext uri="{3e2802c4-a4d2-4d8b-9148-e3be6c30e623}">
          <xlrd:rvb i="402"/>
        </ext>
      </extLst>
    </bk>
    <bk>
      <extLst>
        <ext uri="{3e2802c4-a4d2-4d8b-9148-e3be6c30e623}">
          <xlrd:rvb i="403"/>
        </ext>
      </extLst>
    </bk>
    <bk>
      <extLst>
        <ext uri="{3e2802c4-a4d2-4d8b-9148-e3be6c30e623}">
          <xlrd:rvb i="404"/>
        </ext>
      </extLst>
    </bk>
    <bk>
      <extLst>
        <ext uri="{3e2802c4-a4d2-4d8b-9148-e3be6c30e623}">
          <xlrd:rvb i="405"/>
        </ext>
      </extLst>
    </bk>
    <bk>
      <extLst>
        <ext uri="{3e2802c4-a4d2-4d8b-9148-e3be6c30e623}">
          <xlrd:rvb i="406"/>
        </ext>
      </extLst>
    </bk>
    <bk>
      <extLst>
        <ext uri="{3e2802c4-a4d2-4d8b-9148-e3be6c30e623}">
          <xlrd:rvb i="407"/>
        </ext>
      </extLst>
    </bk>
    <bk>
      <extLst>
        <ext uri="{3e2802c4-a4d2-4d8b-9148-e3be6c30e623}">
          <xlrd:rvb i="408"/>
        </ext>
      </extLst>
    </bk>
    <bk>
      <extLst>
        <ext uri="{3e2802c4-a4d2-4d8b-9148-e3be6c30e623}">
          <xlrd:rvb i="409"/>
        </ext>
      </extLst>
    </bk>
    <bk>
      <extLst>
        <ext uri="{3e2802c4-a4d2-4d8b-9148-e3be6c30e623}">
          <xlrd:rvb i="410"/>
        </ext>
      </extLst>
    </bk>
    <bk>
      <extLst>
        <ext uri="{3e2802c4-a4d2-4d8b-9148-e3be6c30e623}">
          <xlrd:rvb i="411"/>
        </ext>
      </extLst>
    </bk>
    <bk>
      <extLst>
        <ext uri="{3e2802c4-a4d2-4d8b-9148-e3be6c30e623}">
          <xlrd:rvb i="412"/>
        </ext>
      </extLst>
    </bk>
    <bk>
      <extLst>
        <ext uri="{3e2802c4-a4d2-4d8b-9148-e3be6c30e623}">
          <xlrd:rvb i="413"/>
        </ext>
      </extLst>
    </bk>
    <bk>
      <extLst>
        <ext uri="{3e2802c4-a4d2-4d8b-9148-e3be6c30e623}">
          <xlrd:rvb i="414"/>
        </ext>
      </extLst>
    </bk>
    <bk>
      <extLst>
        <ext uri="{3e2802c4-a4d2-4d8b-9148-e3be6c30e623}">
          <xlrd:rvb i="415"/>
        </ext>
      </extLst>
    </bk>
    <bk>
      <extLst>
        <ext uri="{3e2802c4-a4d2-4d8b-9148-e3be6c30e623}">
          <xlrd:rvb i="416"/>
        </ext>
      </extLst>
    </bk>
    <bk>
      <extLst>
        <ext uri="{3e2802c4-a4d2-4d8b-9148-e3be6c30e623}">
          <xlrd:rvb i="417"/>
        </ext>
      </extLst>
    </bk>
    <bk>
      <extLst>
        <ext uri="{3e2802c4-a4d2-4d8b-9148-e3be6c30e623}">
          <xlrd:rvb i="418"/>
        </ext>
      </extLst>
    </bk>
    <bk>
      <extLst>
        <ext uri="{3e2802c4-a4d2-4d8b-9148-e3be6c30e623}">
          <xlrd:rvb i="419"/>
        </ext>
      </extLst>
    </bk>
    <bk>
      <extLst>
        <ext uri="{3e2802c4-a4d2-4d8b-9148-e3be6c30e623}">
          <xlrd:rvb i="420"/>
        </ext>
      </extLst>
    </bk>
    <bk>
      <extLst>
        <ext uri="{3e2802c4-a4d2-4d8b-9148-e3be6c30e623}">
          <xlrd:rvb i="421"/>
        </ext>
      </extLst>
    </bk>
    <bk>
      <extLst>
        <ext uri="{3e2802c4-a4d2-4d8b-9148-e3be6c30e623}">
          <xlrd:rvb i="422"/>
        </ext>
      </extLst>
    </bk>
    <bk>
      <extLst>
        <ext uri="{3e2802c4-a4d2-4d8b-9148-e3be6c30e623}">
          <xlrd:rvb i="423"/>
        </ext>
      </extLst>
    </bk>
    <bk>
      <extLst>
        <ext uri="{3e2802c4-a4d2-4d8b-9148-e3be6c30e623}">
          <xlrd:rvb i="424"/>
        </ext>
      </extLst>
    </bk>
    <bk>
      <extLst>
        <ext uri="{3e2802c4-a4d2-4d8b-9148-e3be6c30e623}">
          <xlrd:rvb i="425"/>
        </ext>
      </extLst>
    </bk>
    <bk>
      <extLst>
        <ext uri="{3e2802c4-a4d2-4d8b-9148-e3be6c30e623}">
          <xlrd:rvb i="426"/>
        </ext>
      </extLst>
    </bk>
    <bk>
      <extLst>
        <ext uri="{3e2802c4-a4d2-4d8b-9148-e3be6c30e623}">
          <xlrd:rvb i="427"/>
        </ext>
      </extLst>
    </bk>
    <bk>
      <extLst>
        <ext uri="{3e2802c4-a4d2-4d8b-9148-e3be6c30e623}">
          <xlrd:rvb i="428"/>
        </ext>
      </extLst>
    </bk>
    <bk>
      <extLst>
        <ext uri="{3e2802c4-a4d2-4d8b-9148-e3be6c30e623}">
          <xlrd:rvb i="429"/>
        </ext>
      </extLst>
    </bk>
    <bk>
      <extLst>
        <ext uri="{3e2802c4-a4d2-4d8b-9148-e3be6c30e623}">
          <xlrd:rvb i="430"/>
        </ext>
      </extLst>
    </bk>
    <bk>
      <extLst>
        <ext uri="{3e2802c4-a4d2-4d8b-9148-e3be6c30e623}">
          <xlrd:rvb i="431"/>
        </ext>
      </extLst>
    </bk>
    <bk>
      <extLst>
        <ext uri="{3e2802c4-a4d2-4d8b-9148-e3be6c30e623}">
          <xlrd:rvb i="432"/>
        </ext>
      </extLst>
    </bk>
    <bk>
      <extLst>
        <ext uri="{3e2802c4-a4d2-4d8b-9148-e3be6c30e623}">
          <xlrd:rvb i="433"/>
        </ext>
      </extLst>
    </bk>
    <bk>
      <extLst>
        <ext uri="{3e2802c4-a4d2-4d8b-9148-e3be6c30e623}">
          <xlrd:rvb i="434"/>
        </ext>
      </extLst>
    </bk>
    <bk>
      <extLst>
        <ext uri="{3e2802c4-a4d2-4d8b-9148-e3be6c30e623}">
          <xlrd:rvb i="435"/>
        </ext>
      </extLst>
    </bk>
    <bk>
      <extLst>
        <ext uri="{3e2802c4-a4d2-4d8b-9148-e3be6c30e623}">
          <xlrd:rvb i="436"/>
        </ext>
      </extLst>
    </bk>
    <bk>
      <extLst>
        <ext uri="{3e2802c4-a4d2-4d8b-9148-e3be6c30e623}">
          <xlrd:rvb i="437"/>
        </ext>
      </extLst>
    </bk>
    <bk>
      <extLst>
        <ext uri="{3e2802c4-a4d2-4d8b-9148-e3be6c30e623}">
          <xlrd:rvb i="438"/>
        </ext>
      </extLst>
    </bk>
    <bk>
      <extLst>
        <ext uri="{3e2802c4-a4d2-4d8b-9148-e3be6c30e623}">
          <xlrd:rvb i="439"/>
        </ext>
      </extLst>
    </bk>
    <bk>
      <extLst>
        <ext uri="{3e2802c4-a4d2-4d8b-9148-e3be6c30e623}">
          <xlrd:rvb i="440"/>
        </ext>
      </extLst>
    </bk>
    <bk>
      <extLst>
        <ext uri="{3e2802c4-a4d2-4d8b-9148-e3be6c30e623}">
          <xlrd:rvb i="441"/>
        </ext>
      </extLst>
    </bk>
    <bk>
      <extLst>
        <ext uri="{3e2802c4-a4d2-4d8b-9148-e3be6c30e623}">
          <xlrd:rvb i="442"/>
        </ext>
      </extLst>
    </bk>
    <bk>
      <extLst>
        <ext uri="{3e2802c4-a4d2-4d8b-9148-e3be6c30e623}">
          <xlrd:rvb i="443"/>
        </ext>
      </extLst>
    </bk>
    <bk>
      <extLst>
        <ext uri="{3e2802c4-a4d2-4d8b-9148-e3be6c30e623}">
          <xlrd:rvb i="444"/>
        </ext>
      </extLst>
    </bk>
    <bk>
      <extLst>
        <ext uri="{3e2802c4-a4d2-4d8b-9148-e3be6c30e623}">
          <xlrd:rvb i="445"/>
        </ext>
      </extLst>
    </bk>
    <bk>
      <extLst>
        <ext uri="{3e2802c4-a4d2-4d8b-9148-e3be6c30e623}">
          <xlrd:rvb i="446"/>
        </ext>
      </extLst>
    </bk>
    <bk>
      <extLst>
        <ext uri="{3e2802c4-a4d2-4d8b-9148-e3be6c30e623}">
          <xlrd:rvb i="447"/>
        </ext>
      </extLst>
    </bk>
    <bk>
      <extLst>
        <ext uri="{3e2802c4-a4d2-4d8b-9148-e3be6c30e623}">
          <xlrd:rvb i="448"/>
        </ext>
      </extLst>
    </bk>
    <bk>
      <extLst>
        <ext uri="{3e2802c4-a4d2-4d8b-9148-e3be6c30e623}">
          <xlrd:rvb i="449"/>
        </ext>
      </extLst>
    </bk>
    <bk>
      <extLst>
        <ext uri="{3e2802c4-a4d2-4d8b-9148-e3be6c30e623}">
          <xlrd:rvb i="450"/>
        </ext>
      </extLst>
    </bk>
    <bk>
      <extLst>
        <ext uri="{3e2802c4-a4d2-4d8b-9148-e3be6c30e623}">
          <xlrd:rvb i="451"/>
        </ext>
      </extLst>
    </bk>
    <bk>
      <extLst>
        <ext uri="{3e2802c4-a4d2-4d8b-9148-e3be6c30e623}">
          <xlrd:rvb i="452"/>
        </ext>
      </extLst>
    </bk>
    <bk>
      <extLst>
        <ext uri="{3e2802c4-a4d2-4d8b-9148-e3be6c30e623}">
          <xlrd:rvb i="453"/>
        </ext>
      </extLst>
    </bk>
    <bk>
      <extLst>
        <ext uri="{3e2802c4-a4d2-4d8b-9148-e3be6c30e623}">
          <xlrd:rvb i="454"/>
        </ext>
      </extLst>
    </bk>
    <bk>
      <extLst>
        <ext uri="{3e2802c4-a4d2-4d8b-9148-e3be6c30e623}">
          <xlrd:rvb i="455"/>
        </ext>
      </extLst>
    </bk>
    <bk>
      <extLst>
        <ext uri="{3e2802c4-a4d2-4d8b-9148-e3be6c30e623}">
          <xlrd:rvb i="456"/>
        </ext>
      </extLst>
    </bk>
    <bk>
      <extLst>
        <ext uri="{3e2802c4-a4d2-4d8b-9148-e3be6c30e623}">
          <xlrd:rvb i="457"/>
        </ext>
      </extLst>
    </bk>
    <bk>
      <extLst>
        <ext uri="{3e2802c4-a4d2-4d8b-9148-e3be6c30e623}">
          <xlrd:rvb i="458"/>
        </ext>
      </extLst>
    </bk>
    <bk>
      <extLst>
        <ext uri="{3e2802c4-a4d2-4d8b-9148-e3be6c30e623}">
          <xlrd:rvb i="459"/>
        </ext>
      </extLst>
    </bk>
    <bk>
      <extLst>
        <ext uri="{3e2802c4-a4d2-4d8b-9148-e3be6c30e623}">
          <xlrd:rvb i="460"/>
        </ext>
      </extLst>
    </bk>
    <bk>
      <extLst>
        <ext uri="{3e2802c4-a4d2-4d8b-9148-e3be6c30e623}">
          <xlrd:rvb i="461"/>
        </ext>
      </extLst>
    </bk>
    <bk>
      <extLst>
        <ext uri="{3e2802c4-a4d2-4d8b-9148-e3be6c30e623}">
          <xlrd:rvb i="462"/>
        </ext>
      </extLst>
    </bk>
    <bk>
      <extLst>
        <ext uri="{3e2802c4-a4d2-4d8b-9148-e3be6c30e623}">
          <xlrd:rvb i="463"/>
        </ext>
      </extLst>
    </bk>
    <bk>
      <extLst>
        <ext uri="{3e2802c4-a4d2-4d8b-9148-e3be6c30e623}">
          <xlrd:rvb i="464"/>
        </ext>
      </extLst>
    </bk>
    <bk>
      <extLst>
        <ext uri="{3e2802c4-a4d2-4d8b-9148-e3be6c30e623}">
          <xlrd:rvb i="465"/>
        </ext>
      </extLst>
    </bk>
    <bk>
      <extLst>
        <ext uri="{3e2802c4-a4d2-4d8b-9148-e3be6c30e623}">
          <xlrd:rvb i="466"/>
        </ext>
      </extLst>
    </bk>
    <bk>
      <extLst>
        <ext uri="{3e2802c4-a4d2-4d8b-9148-e3be6c30e623}">
          <xlrd:rvb i="467"/>
        </ext>
      </extLst>
    </bk>
    <bk>
      <extLst>
        <ext uri="{3e2802c4-a4d2-4d8b-9148-e3be6c30e623}">
          <xlrd:rvb i="468"/>
        </ext>
      </extLst>
    </bk>
    <bk>
      <extLst>
        <ext uri="{3e2802c4-a4d2-4d8b-9148-e3be6c30e623}">
          <xlrd:rvb i="469"/>
        </ext>
      </extLst>
    </bk>
    <bk>
      <extLst>
        <ext uri="{3e2802c4-a4d2-4d8b-9148-e3be6c30e623}">
          <xlrd:rvb i="470"/>
        </ext>
      </extLst>
    </bk>
    <bk>
      <extLst>
        <ext uri="{3e2802c4-a4d2-4d8b-9148-e3be6c30e623}">
          <xlrd:rvb i="471"/>
        </ext>
      </extLst>
    </bk>
    <bk>
      <extLst>
        <ext uri="{3e2802c4-a4d2-4d8b-9148-e3be6c30e623}">
          <xlrd:rvb i="472"/>
        </ext>
      </extLst>
    </bk>
    <bk>
      <extLst>
        <ext uri="{3e2802c4-a4d2-4d8b-9148-e3be6c30e623}">
          <xlrd:rvb i="473"/>
        </ext>
      </extLst>
    </bk>
    <bk>
      <extLst>
        <ext uri="{3e2802c4-a4d2-4d8b-9148-e3be6c30e623}">
          <xlrd:rvb i="474"/>
        </ext>
      </extLst>
    </bk>
    <bk>
      <extLst>
        <ext uri="{3e2802c4-a4d2-4d8b-9148-e3be6c30e623}">
          <xlrd:rvb i="475"/>
        </ext>
      </extLst>
    </bk>
    <bk>
      <extLst>
        <ext uri="{3e2802c4-a4d2-4d8b-9148-e3be6c30e623}">
          <xlrd:rvb i="476"/>
        </ext>
      </extLst>
    </bk>
    <bk>
      <extLst>
        <ext uri="{3e2802c4-a4d2-4d8b-9148-e3be6c30e623}">
          <xlrd:rvb i="477"/>
        </ext>
      </extLst>
    </bk>
    <bk>
      <extLst>
        <ext uri="{3e2802c4-a4d2-4d8b-9148-e3be6c30e623}">
          <xlrd:rvb i="478"/>
        </ext>
      </extLst>
    </bk>
    <bk>
      <extLst>
        <ext uri="{3e2802c4-a4d2-4d8b-9148-e3be6c30e623}">
          <xlrd:rvb i="479"/>
        </ext>
      </extLst>
    </bk>
    <bk>
      <extLst>
        <ext uri="{3e2802c4-a4d2-4d8b-9148-e3be6c30e623}">
          <xlrd:rvb i="480"/>
        </ext>
      </extLst>
    </bk>
    <bk>
      <extLst>
        <ext uri="{3e2802c4-a4d2-4d8b-9148-e3be6c30e623}">
          <xlrd:rvb i="481"/>
        </ext>
      </extLst>
    </bk>
    <bk>
      <extLst>
        <ext uri="{3e2802c4-a4d2-4d8b-9148-e3be6c30e623}">
          <xlrd:rvb i="482"/>
        </ext>
      </extLst>
    </bk>
    <bk>
      <extLst>
        <ext uri="{3e2802c4-a4d2-4d8b-9148-e3be6c30e623}">
          <xlrd:rvb i="483"/>
        </ext>
      </extLst>
    </bk>
    <bk>
      <extLst>
        <ext uri="{3e2802c4-a4d2-4d8b-9148-e3be6c30e623}">
          <xlrd:rvb i="484"/>
        </ext>
      </extLst>
    </bk>
    <bk>
      <extLst>
        <ext uri="{3e2802c4-a4d2-4d8b-9148-e3be6c30e623}">
          <xlrd:rvb i="485"/>
        </ext>
      </extLst>
    </bk>
    <bk>
      <extLst>
        <ext uri="{3e2802c4-a4d2-4d8b-9148-e3be6c30e623}">
          <xlrd:rvb i="486"/>
        </ext>
      </extLst>
    </bk>
    <bk>
      <extLst>
        <ext uri="{3e2802c4-a4d2-4d8b-9148-e3be6c30e623}">
          <xlrd:rvb i="487"/>
        </ext>
      </extLst>
    </bk>
    <bk>
      <extLst>
        <ext uri="{3e2802c4-a4d2-4d8b-9148-e3be6c30e623}">
          <xlrd:rvb i="488"/>
        </ext>
      </extLst>
    </bk>
    <bk>
      <extLst>
        <ext uri="{3e2802c4-a4d2-4d8b-9148-e3be6c30e623}">
          <xlrd:rvb i="489"/>
        </ext>
      </extLst>
    </bk>
    <bk>
      <extLst>
        <ext uri="{3e2802c4-a4d2-4d8b-9148-e3be6c30e623}">
          <xlrd:rvb i="490"/>
        </ext>
      </extLst>
    </bk>
    <bk>
      <extLst>
        <ext uri="{3e2802c4-a4d2-4d8b-9148-e3be6c30e623}">
          <xlrd:rvb i="491"/>
        </ext>
      </extLst>
    </bk>
    <bk>
      <extLst>
        <ext uri="{3e2802c4-a4d2-4d8b-9148-e3be6c30e623}">
          <xlrd:rvb i="492"/>
        </ext>
      </extLst>
    </bk>
    <bk>
      <extLst>
        <ext uri="{3e2802c4-a4d2-4d8b-9148-e3be6c30e623}">
          <xlrd:rvb i="493"/>
        </ext>
      </extLst>
    </bk>
    <bk>
      <extLst>
        <ext uri="{3e2802c4-a4d2-4d8b-9148-e3be6c30e623}">
          <xlrd:rvb i="494"/>
        </ext>
      </extLst>
    </bk>
    <bk>
      <extLst>
        <ext uri="{3e2802c4-a4d2-4d8b-9148-e3be6c30e623}">
          <xlrd:rvb i="495"/>
        </ext>
      </extLst>
    </bk>
    <bk>
      <extLst>
        <ext uri="{3e2802c4-a4d2-4d8b-9148-e3be6c30e623}">
          <xlrd:rvb i="496"/>
        </ext>
      </extLst>
    </bk>
    <bk>
      <extLst>
        <ext uri="{3e2802c4-a4d2-4d8b-9148-e3be6c30e623}">
          <xlrd:rvb i="497"/>
        </ext>
      </extLst>
    </bk>
    <bk>
      <extLst>
        <ext uri="{3e2802c4-a4d2-4d8b-9148-e3be6c30e623}">
          <xlrd:rvb i="498"/>
        </ext>
      </extLst>
    </bk>
    <bk>
      <extLst>
        <ext uri="{3e2802c4-a4d2-4d8b-9148-e3be6c30e623}">
          <xlrd:rvb i="499"/>
        </ext>
      </extLst>
    </bk>
    <bk>
      <extLst>
        <ext uri="{3e2802c4-a4d2-4d8b-9148-e3be6c30e623}">
          <xlrd:rvb i="500"/>
        </ext>
      </extLst>
    </bk>
    <bk>
      <extLst>
        <ext uri="{3e2802c4-a4d2-4d8b-9148-e3be6c30e623}">
          <xlrd:rvb i="501"/>
        </ext>
      </extLst>
    </bk>
    <bk>
      <extLst>
        <ext uri="{3e2802c4-a4d2-4d8b-9148-e3be6c30e623}">
          <xlrd:rvb i="502"/>
        </ext>
      </extLst>
    </bk>
    <bk>
      <extLst>
        <ext uri="{3e2802c4-a4d2-4d8b-9148-e3be6c30e623}">
          <xlrd:rvb i="503"/>
        </ext>
      </extLst>
    </bk>
    <bk>
      <extLst>
        <ext uri="{3e2802c4-a4d2-4d8b-9148-e3be6c30e623}">
          <xlrd:rvb i="504"/>
        </ext>
      </extLst>
    </bk>
    <bk>
      <extLst>
        <ext uri="{3e2802c4-a4d2-4d8b-9148-e3be6c30e623}">
          <xlrd:rvb i="505"/>
        </ext>
      </extLst>
    </bk>
    <bk>
      <extLst>
        <ext uri="{3e2802c4-a4d2-4d8b-9148-e3be6c30e623}">
          <xlrd:rvb i="506"/>
        </ext>
      </extLst>
    </bk>
    <bk>
      <extLst>
        <ext uri="{3e2802c4-a4d2-4d8b-9148-e3be6c30e623}">
          <xlrd:rvb i="507"/>
        </ext>
      </extLst>
    </bk>
    <bk>
      <extLst>
        <ext uri="{3e2802c4-a4d2-4d8b-9148-e3be6c30e623}">
          <xlrd:rvb i="508"/>
        </ext>
      </extLst>
    </bk>
    <bk>
      <extLst>
        <ext uri="{3e2802c4-a4d2-4d8b-9148-e3be6c30e623}">
          <xlrd:rvb i="509"/>
        </ext>
      </extLst>
    </bk>
    <bk>
      <extLst>
        <ext uri="{3e2802c4-a4d2-4d8b-9148-e3be6c30e623}">
          <xlrd:rvb i="510"/>
        </ext>
      </extLst>
    </bk>
    <bk>
      <extLst>
        <ext uri="{3e2802c4-a4d2-4d8b-9148-e3be6c30e623}">
          <xlrd:rvb i="511"/>
        </ext>
      </extLst>
    </bk>
    <bk>
      <extLst>
        <ext uri="{3e2802c4-a4d2-4d8b-9148-e3be6c30e623}">
          <xlrd:rvb i="512"/>
        </ext>
      </extLst>
    </bk>
    <bk>
      <extLst>
        <ext uri="{3e2802c4-a4d2-4d8b-9148-e3be6c30e623}">
          <xlrd:rvb i="513"/>
        </ext>
      </extLst>
    </bk>
    <bk>
      <extLst>
        <ext uri="{3e2802c4-a4d2-4d8b-9148-e3be6c30e623}">
          <xlrd:rvb i="514"/>
        </ext>
      </extLst>
    </bk>
    <bk>
      <extLst>
        <ext uri="{3e2802c4-a4d2-4d8b-9148-e3be6c30e623}">
          <xlrd:rvb i="515"/>
        </ext>
      </extLst>
    </bk>
    <bk>
      <extLst>
        <ext uri="{3e2802c4-a4d2-4d8b-9148-e3be6c30e623}">
          <xlrd:rvb i="516"/>
        </ext>
      </extLst>
    </bk>
    <bk>
      <extLst>
        <ext uri="{3e2802c4-a4d2-4d8b-9148-e3be6c30e623}">
          <xlrd:rvb i="517"/>
        </ext>
      </extLst>
    </bk>
    <bk>
      <extLst>
        <ext uri="{3e2802c4-a4d2-4d8b-9148-e3be6c30e623}">
          <xlrd:rvb i="518"/>
        </ext>
      </extLst>
    </bk>
    <bk>
      <extLst>
        <ext uri="{3e2802c4-a4d2-4d8b-9148-e3be6c30e623}">
          <xlrd:rvb i="519"/>
        </ext>
      </extLst>
    </bk>
    <bk>
      <extLst>
        <ext uri="{3e2802c4-a4d2-4d8b-9148-e3be6c30e623}">
          <xlrd:rvb i="520"/>
        </ext>
      </extLst>
    </bk>
    <bk>
      <extLst>
        <ext uri="{3e2802c4-a4d2-4d8b-9148-e3be6c30e623}">
          <xlrd:rvb i="521"/>
        </ext>
      </extLst>
    </bk>
    <bk>
      <extLst>
        <ext uri="{3e2802c4-a4d2-4d8b-9148-e3be6c30e623}">
          <xlrd:rvb i="522"/>
        </ext>
      </extLst>
    </bk>
    <bk>
      <extLst>
        <ext uri="{3e2802c4-a4d2-4d8b-9148-e3be6c30e623}">
          <xlrd:rvb i="523"/>
        </ext>
      </extLst>
    </bk>
    <bk>
      <extLst>
        <ext uri="{3e2802c4-a4d2-4d8b-9148-e3be6c30e623}">
          <xlrd:rvb i="524"/>
        </ext>
      </extLst>
    </bk>
    <bk>
      <extLst>
        <ext uri="{3e2802c4-a4d2-4d8b-9148-e3be6c30e623}">
          <xlrd:rvb i="525"/>
        </ext>
      </extLst>
    </bk>
    <bk>
      <extLst>
        <ext uri="{3e2802c4-a4d2-4d8b-9148-e3be6c30e623}">
          <xlrd:rvb i="526"/>
        </ext>
      </extLst>
    </bk>
    <bk>
      <extLst>
        <ext uri="{3e2802c4-a4d2-4d8b-9148-e3be6c30e623}">
          <xlrd:rvb i="527"/>
        </ext>
      </extLst>
    </bk>
    <bk>
      <extLst>
        <ext uri="{3e2802c4-a4d2-4d8b-9148-e3be6c30e623}">
          <xlrd:rvb i="528"/>
        </ext>
      </extLst>
    </bk>
    <bk>
      <extLst>
        <ext uri="{3e2802c4-a4d2-4d8b-9148-e3be6c30e623}">
          <xlrd:rvb i="529"/>
        </ext>
      </extLst>
    </bk>
    <bk>
      <extLst>
        <ext uri="{3e2802c4-a4d2-4d8b-9148-e3be6c30e623}">
          <xlrd:rvb i="530"/>
        </ext>
      </extLst>
    </bk>
    <bk>
      <extLst>
        <ext uri="{3e2802c4-a4d2-4d8b-9148-e3be6c30e623}">
          <xlrd:rvb i="531"/>
        </ext>
      </extLst>
    </bk>
    <bk>
      <extLst>
        <ext uri="{3e2802c4-a4d2-4d8b-9148-e3be6c30e623}">
          <xlrd:rvb i="532"/>
        </ext>
      </extLst>
    </bk>
    <bk>
      <extLst>
        <ext uri="{3e2802c4-a4d2-4d8b-9148-e3be6c30e623}">
          <xlrd:rvb i="533"/>
        </ext>
      </extLst>
    </bk>
    <bk>
      <extLst>
        <ext uri="{3e2802c4-a4d2-4d8b-9148-e3be6c30e623}">
          <xlrd:rvb i="534"/>
        </ext>
      </extLst>
    </bk>
    <bk>
      <extLst>
        <ext uri="{3e2802c4-a4d2-4d8b-9148-e3be6c30e623}">
          <xlrd:rvb i="535"/>
        </ext>
      </extLst>
    </bk>
    <bk>
      <extLst>
        <ext uri="{3e2802c4-a4d2-4d8b-9148-e3be6c30e623}">
          <xlrd:rvb i="536"/>
        </ext>
      </extLst>
    </bk>
    <bk>
      <extLst>
        <ext uri="{3e2802c4-a4d2-4d8b-9148-e3be6c30e623}">
          <xlrd:rvb i="537"/>
        </ext>
      </extLst>
    </bk>
    <bk>
      <extLst>
        <ext uri="{3e2802c4-a4d2-4d8b-9148-e3be6c30e623}">
          <xlrd:rvb i="538"/>
        </ext>
      </extLst>
    </bk>
    <bk>
      <extLst>
        <ext uri="{3e2802c4-a4d2-4d8b-9148-e3be6c30e623}">
          <xlrd:rvb i="539"/>
        </ext>
      </extLst>
    </bk>
    <bk>
      <extLst>
        <ext uri="{3e2802c4-a4d2-4d8b-9148-e3be6c30e623}">
          <xlrd:rvb i="540"/>
        </ext>
      </extLst>
    </bk>
    <bk>
      <extLst>
        <ext uri="{3e2802c4-a4d2-4d8b-9148-e3be6c30e623}">
          <xlrd:rvb i="541"/>
        </ext>
      </extLst>
    </bk>
    <bk>
      <extLst>
        <ext uri="{3e2802c4-a4d2-4d8b-9148-e3be6c30e623}">
          <xlrd:rvb i="542"/>
        </ext>
      </extLst>
    </bk>
    <bk>
      <extLst>
        <ext uri="{3e2802c4-a4d2-4d8b-9148-e3be6c30e623}">
          <xlrd:rvb i="543"/>
        </ext>
      </extLst>
    </bk>
    <bk>
      <extLst>
        <ext uri="{3e2802c4-a4d2-4d8b-9148-e3be6c30e623}">
          <xlrd:rvb i="544"/>
        </ext>
      </extLst>
    </bk>
    <bk>
      <extLst>
        <ext uri="{3e2802c4-a4d2-4d8b-9148-e3be6c30e623}">
          <xlrd:rvb i="545"/>
        </ext>
      </extLst>
    </bk>
    <bk>
      <extLst>
        <ext uri="{3e2802c4-a4d2-4d8b-9148-e3be6c30e623}">
          <xlrd:rvb i="546"/>
        </ext>
      </extLst>
    </bk>
    <bk>
      <extLst>
        <ext uri="{3e2802c4-a4d2-4d8b-9148-e3be6c30e623}">
          <xlrd:rvb i="547"/>
        </ext>
      </extLst>
    </bk>
    <bk>
      <extLst>
        <ext uri="{3e2802c4-a4d2-4d8b-9148-e3be6c30e623}">
          <xlrd:rvb i="548"/>
        </ext>
      </extLst>
    </bk>
    <bk>
      <extLst>
        <ext uri="{3e2802c4-a4d2-4d8b-9148-e3be6c30e623}">
          <xlrd:rvb i="549"/>
        </ext>
      </extLst>
    </bk>
    <bk>
      <extLst>
        <ext uri="{3e2802c4-a4d2-4d8b-9148-e3be6c30e623}">
          <xlrd:rvb i="550"/>
        </ext>
      </extLst>
    </bk>
    <bk>
      <extLst>
        <ext uri="{3e2802c4-a4d2-4d8b-9148-e3be6c30e623}">
          <xlrd:rvb i="551"/>
        </ext>
      </extLst>
    </bk>
    <bk>
      <extLst>
        <ext uri="{3e2802c4-a4d2-4d8b-9148-e3be6c30e623}">
          <xlrd:rvb i="552"/>
        </ext>
      </extLst>
    </bk>
    <bk>
      <extLst>
        <ext uri="{3e2802c4-a4d2-4d8b-9148-e3be6c30e623}">
          <xlrd:rvb i="553"/>
        </ext>
      </extLst>
    </bk>
    <bk>
      <extLst>
        <ext uri="{3e2802c4-a4d2-4d8b-9148-e3be6c30e623}">
          <xlrd:rvb i="554"/>
        </ext>
      </extLst>
    </bk>
    <bk>
      <extLst>
        <ext uri="{3e2802c4-a4d2-4d8b-9148-e3be6c30e623}">
          <xlrd:rvb i="555"/>
        </ext>
      </extLst>
    </bk>
    <bk>
      <extLst>
        <ext uri="{3e2802c4-a4d2-4d8b-9148-e3be6c30e623}">
          <xlrd:rvb i="556"/>
        </ext>
      </extLst>
    </bk>
    <bk>
      <extLst>
        <ext uri="{3e2802c4-a4d2-4d8b-9148-e3be6c30e623}">
          <xlrd:rvb i="557"/>
        </ext>
      </extLst>
    </bk>
    <bk>
      <extLst>
        <ext uri="{3e2802c4-a4d2-4d8b-9148-e3be6c30e623}">
          <xlrd:rvb i="558"/>
        </ext>
      </extLst>
    </bk>
    <bk>
      <extLst>
        <ext uri="{3e2802c4-a4d2-4d8b-9148-e3be6c30e623}">
          <xlrd:rvb i="559"/>
        </ext>
      </extLst>
    </bk>
    <bk>
      <extLst>
        <ext uri="{3e2802c4-a4d2-4d8b-9148-e3be6c30e623}">
          <xlrd:rvb i="560"/>
        </ext>
      </extLst>
    </bk>
    <bk>
      <extLst>
        <ext uri="{3e2802c4-a4d2-4d8b-9148-e3be6c30e623}">
          <xlrd:rvb i="561"/>
        </ext>
      </extLst>
    </bk>
    <bk>
      <extLst>
        <ext uri="{3e2802c4-a4d2-4d8b-9148-e3be6c30e623}">
          <xlrd:rvb i="562"/>
        </ext>
      </extLst>
    </bk>
    <bk>
      <extLst>
        <ext uri="{3e2802c4-a4d2-4d8b-9148-e3be6c30e623}">
          <xlrd:rvb i="563"/>
        </ext>
      </extLst>
    </bk>
    <bk>
      <extLst>
        <ext uri="{3e2802c4-a4d2-4d8b-9148-e3be6c30e623}">
          <xlrd:rvb i="564"/>
        </ext>
      </extLst>
    </bk>
    <bk>
      <extLst>
        <ext uri="{3e2802c4-a4d2-4d8b-9148-e3be6c30e623}">
          <xlrd:rvb i="565"/>
        </ext>
      </extLst>
    </bk>
    <bk>
      <extLst>
        <ext uri="{3e2802c4-a4d2-4d8b-9148-e3be6c30e623}">
          <xlrd:rvb i="566"/>
        </ext>
      </extLst>
    </bk>
    <bk>
      <extLst>
        <ext uri="{3e2802c4-a4d2-4d8b-9148-e3be6c30e623}">
          <xlrd:rvb i="567"/>
        </ext>
      </extLst>
    </bk>
    <bk>
      <extLst>
        <ext uri="{3e2802c4-a4d2-4d8b-9148-e3be6c30e623}">
          <xlrd:rvb i="568"/>
        </ext>
      </extLst>
    </bk>
    <bk>
      <extLst>
        <ext uri="{3e2802c4-a4d2-4d8b-9148-e3be6c30e623}">
          <xlrd:rvb i="569"/>
        </ext>
      </extLst>
    </bk>
    <bk>
      <extLst>
        <ext uri="{3e2802c4-a4d2-4d8b-9148-e3be6c30e623}">
          <xlrd:rvb i="570"/>
        </ext>
      </extLst>
    </bk>
    <bk>
      <extLst>
        <ext uri="{3e2802c4-a4d2-4d8b-9148-e3be6c30e623}">
          <xlrd:rvb i="571"/>
        </ext>
      </extLst>
    </bk>
    <bk>
      <extLst>
        <ext uri="{3e2802c4-a4d2-4d8b-9148-e3be6c30e623}">
          <xlrd:rvb i="572"/>
        </ext>
      </extLst>
    </bk>
    <bk>
      <extLst>
        <ext uri="{3e2802c4-a4d2-4d8b-9148-e3be6c30e623}">
          <xlrd:rvb i="573"/>
        </ext>
      </extLst>
    </bk>
    <bk>
      <extLst>
        <ext uri="{3e2802c4-a4d2-4d8b-9148-e3be6c30e623}">
          <xlrd:rvb i="574"/>
        </ext>
      </extLst>
    </bk>
    <bk>
      <extLst>
        <ext uri="{3e2802c4-a4d2-4d8b-9148-e3be6c30e623}">
          <xlrd:rvb i="575"/>
        </ext>
      </extLst>
    </bk>
    <bk>
      <extLst>
        <ext uri="{3e2802c4-a4d2-4d8b-9148-e3be6c30e623}">
          <xlrd:rvb i="576"/>
        </ext>
      </extLst>
    </bk>
    <bk>
      <extLst>
        <ext uri="{3e2802c4-a4d2-4d8b-9148-e3be6c30e623}">
          <xlrd:rvb i="577"/>
        </ext>
      </extLst>
    </bk>
    <bk>
      <extLst>
        <ext uri="{3e2802c4-a4d2-4d8b-9148-e3be6c30e623}">
          <xlrd:rvb i="578"/>
        </ext>
      </extLst>
    </bk>
    <bk>
      <extLst>
        <ext uri="{3e2802c4-a4d2-4d8b-9148-e3be6c30e623}">
          <xlrd:rvb i="579"/>
        </ext>
      </extLst>
    </bk>
    <bk>
      <extLst>
        <ext uri="{3e2802c4-a4d2-4d8b-9148-e3be6c30e623}">
          <xlrd:rvb i="580"/>
        </ext>
      </extLst>
    </bk>
    <bk>
      <extLst>
        <ext uri="{3e2802c4-a4d2-4d8b-9148-e3be6c30e623}">
          <xlrd:rvb i="581"/>
        </ext>
      </extLst>
    </bk>
    <bk>
      <extLst>
        <ext uri="{3e2802c4-a4d2-4d8b-9148-e3be6c30e623}">
          <xlrd:rvb i="582"/>
        </ext>
      </extLst>
    </bk>
    <bk>
      <extLst>
        <ext uri="{3e2802c4-a4d2-4d8b-9148-e3be6c30e623}">
          <xlrd:rvb i="583"/>
        </ext>
      </extLst>
    </bk>
    <bk>
      <extLst>
        <ext uri="{3e2802c4-a4d2-4d8b-9148-e3be6c30e623}">
          <xlrd:rvb i="584"/>
        </ext>
      </extLst>
    </bk>
    <bk>
      <extLst>
        <ext uri="{3e2802c4-a4d2-4d8b-9148-e3be6c30e623}">
          <xlrd:rvb i="585"/>
        </ext>
      </extLst>
    </bk>
    <bk>
      <extLst>
        <ext uri="{3e2802c4-a4d2-4d8b-9148-e3be6c30e623}">
          <xlrd:rvb i="586"/>
        </ext>
      </extLst>
    </bk>
    <bk>
      <extLst>
        <ext uri="{3e2802c4-a4d2-4d8b-9148-e3be6c30e623}">
          <xlrd:rvb i="587"/>
        </ext>
      </extLst>
    </bk>
    <bk>
      <extLst>
        <ext uri="{3e2802c4-a4d2-4d8b-9148-e3be6c30e623}">
          <xlrd:rvb i="588"/>
        </ext>
      </extLst>
    </bk>
    <bk>
      <extLst>
        <ext uri="{3e2802c4-a4d2-4d8b-9148-e3be6c30e623}">
          <xlrd:rvb i="589"/>
        </ext>
      </extLst>
    </bk>
    <bk>
      <extLst>
        <ext uri="{3e2802c4-a4d2-4d8b-9148-e3be6c30e623}">
          <xlrd:rvb i="590"/>
        </ext>
      </extLst>
    </bk>
    <bk>
      <extLst>
        <ext uri="{3e2802c4-a4d2-4d8b-9148-e3be6c30e623}">
          <xlrd:rvb i="591"/>
        </ext>
      </extLst>
    </bk>
    <bk>
      <extLst>
        <ext uri="{3e2802c4-a4d2-4d8b-9148-e3be6c30e623}">
          <xlrd:rvb i="592"/>
        </ext>
      </extLst>
    </bk>
    <bk>
      <extLst>
        <ext uri="{3e2802c4-a4d2-4d8b-9148-e3be6c30e623}">
          <xlrd:rvb i="593"/>
        </ext>
      </extLst>
    </bk>
    <bk>
      <extLst>
        <ext uri="{3e2802c4-a4d2-4d8b-9148-e3be6c30e623}">
          <xlrd:rvb i="594"/>
        </ext>
      </extLst>
    </bk>
    <bk>
      <extLst>
        <ext uri="{3e2802c4-a4d2-4d8b-9148-e3be6c30e623}">
          <xlrd:rvb i="595"/>
        </ext>
      </extLst>
    </bk>
    <bk>
      <extLst>
        <ext uri="{3e2802c4-a4d2-4d8b-9148-e3be6c30e623}">
          <xlrd:rvb i="596"/>
        </ext>
      </extLst>
    </bk>
    <bk>
      <extLst>
        <ext uri="{3e2802c4-a4d2-4d8b-9148-e3be6c30e623}">
          <xlrd:rvb i="597"/>
        </ext>
      </extLst>
    </bk>
    <bk>
      <extLst>
        <ext uri="{3e2802c4-a4d2-4d8b-9148-e3be6c30e623}">
          <xlrd:rvb i="598"/>
        </ext>
      </extLst>
    </bk>
    <bk>
      <extLst>
        <ext uri="{3e2802c4-a4d2-4d8b-9148-e3be6c30e623}">
          <xlrd:rvb i="599"/>
        </ext>
      </extLst>
    </bk>
    <bk>
      <extLst>
        <ext uri="{3e2802c4-a4d2-4d8b-9148-e3be6c30e623}">
          <xlrd:rvb i="600"/>
        </ext>
      </extLst>
    </bk>
    <bk>
      <extLst>
        <ext uri="{3e2802c4-a4d2-4d8b-9148-e3be6c30e623}">
          <xlrd:rvb i="601"/>
        </ext>
      </extLst>
    </bk>
    <bk>
      <extLst>
        <ext uri="{3e2802c4-a4d2-4d8b-9148-e3be6c30e623}">
          <xlrd:rvb i="602"/>
        </ext>
      </extLst>
    </bk>
    <bk>
      <extLst>
        <ext uri="{3e2802c4-a4d2-4d8b-9148-e3be6c30e623}">
          <xlrd:rvb i="603"/>
        </ext>
      </extLst>
    </bk>
    <bk>
      <extLst>
        <ext uri="{3e2802c4-a4d2-4d8b-9148-e3be6c30e623}">
          <xlrd:rvb i="604"/>
        </ext>
      </extLst>
    </bk>
    <bk>
      <extLst>
        <ext uri="{3e2802c4-a4d2-4d8b-9148-e3be6c30e623}">
          <xlrd:rvb i="605"/>
        </ext>
      </extLst>
    </bk>
    <bk>
      <extLst>
        <ext uri="{3e2802c4-a4d2-4d8b-9148-e3be6c30e623}">
          <xlrd:rvb i="606"/>
        </ext>
      </extLst>
    </bk>
    <bk>
      <extLst>
        <ext uri="{3e2802c4-a4d2-4d8b-9148-e3be6c30e623}">
          <xlrd:rvb i="607"/>
        </ext>
      </extLst>
    </bk>
    <bk>
      <extLst>
        <ext uri="{3e2802c4-a4d2-4d8b-9148-e3be6c30e623}">
          <xlrd:rvb i="608"/>
        </ext>
      </extLst>
    </bk>
    <bk>
      <extLst>
        <ext uri="{3e2802c4-a4d2-4d8b-9148-e3be6c30e623}">
          <xlrd:rvb i="609"/>
        </ext>
      </extLst>
    </bk>
    <bk>
      <extLst>
        <ext uri="{3e2802c4-a4d2-4d8b-9148-e3be6c30e623}">
          <xlrd:rvb i="610"/>
        </ext>
      </extLst>
    </bk>
    <bk>
      <extLst>
        <ext uri="{3e2802c4-a4d2-4d8b-9148-e3be6c30e623}">
          <xlrd:rvb i="611"/>
        </ext>
      </extLst>
    </bk>
    <bk>
      <extLst>
        <ext uri="{3e2802c4-a4d2-4d8b-9148-e3be6c30e623}">
          <xlrd:rvb i="612"/>
        </ext>
      </extLst>
    </bk>
    <bk>
      <extLst>
        <ext uri="{3e2802c4-a4d2-4d8b-9148-e3be6c30e623}">
          <xlrd:rvb i="613"/>
        </ext>
      </extLst>
    </bk>
    <bk>
      <extLst>
        <ext uri="{3e2802c4-a4d2-4d8b-9148-e3be6c30e623}">
          <xlrd:rvb i="614"/>
        </ext>
      </extLst>
    </bk>
    <bk>
      <extLst>
        <ext uri="{3e2802c4-a4d2-4d8b-9148-e3be6c30e623}">
          <xlrd:rvb i="615"/>
        </ext>
      </extLst>
    </bk>
    <bk>
      <extLst>
        <ext uri="{3e2802c4-a4d2-4d8b-9148-e3be6c30e623}">
          <xlrd:rvb i="616"/>
        </ext>
      </extLst>
    </bk>
    <bk>
      <extLst>
        <ext uri="{3e2802c4-a4d2-4d8b-9148-e3be6c30e623}">
          <xlrd:rvb i="617"/>
        </ext>
      </extLst>
    </bk>
    <bk>
      <extLst>
        <ext uri="{3e2802c4-a4d2-4d8b-9148-e3be6c30e623}">
          <xlrd:rvb i="618"/>
        </ext>
      </extLst>
    </bk>
    <bk>
      <extLst>
        <ext uri="{3e2802c4-a4d2-4d8b-9148-e3be6c30e623}">
          <xlrd:rvb i="619"/>
        </ext>
      </extLst>
    </bk>
    <bk>
      <extLst>
        <ext uri="{3e2802c4-a4d2-4d8b-9148-e3be6c30e623}">
          <xlrd:rvb i="620"/>
        </ext>
      </extLst>
    </bk>
    <bk>
      <extLst>
        <ext uri="{3e2802c4-a4d2-4d8b-9148-e3be6c30e623}">
          <xlrd:rvb i="621"/>
        </ext>
      </extLst>
    </bk>
    <bk>
      <extLst>
        <ext uri="{3e2802c4-a4d2-4d8b-9148-e3be6c30e623}">
          <xlrd:rvb i="622"/>
        </ext>
      </extLst>
    </bk>
    <bk>
      <extLst>
        <ext uri="{3e2802c4-a4d2-4d8b-9148-e3be6c30e623}">
          <xlrd:rvb i="623"/>
        </ext>
      </extLst>
    </bk>
    <bk>
      <extLst>
        <ext uri="{3e2802c4-a4d2-4d8b-9148-e3be6c30e623}">
          <xlrd:rvb i="624"/>
        </ext>
      </extLst>
    </bk>
    <bk>
      <extLst>
        <ext uri="{3e2802c4-a4d2-4d8b-9148-e3be6c30e623}">
          <xlrd:rvb i="625"/>
        </ext>
      </extLst>
    </bk>
    <bk>
      <extLst>
        <ext uri="{3e2802c4-a4d2-4d8b-9148-e3be6c30e623}">
          <xlrd:rvb i="626"/>
        </ext>
      </extLst>
    </bk>
    <bk>
      <extLst>
        <ext uri="{3e2802c4-a4d2-4d8b-9148-e3be6c30e623}">
          <xlrd:rvb i="627"/>
        </ext>
      </extLst>
    </bk>
    <bk>
      <extLst>
        <ext uri="{3e2802c4-a4d2-4d8b-9148-e3be6c30e623}">
          <xlrd:rvb i="628"/>
        </ext>
      </extLst>
    </bk>
    <bk>
      <extLst>
        <ext uri="{3e2802c4-a4d2-4d8b-9148-e3be6c30e623}">
          <xlrd:rvb i="629"/>
        </ext>
      </extLst>
    </bk>
    <bk>
      <extLst>
        <ext uri="{3e2802c4-a4d2-4d8b-9148-e3be6c30e623}">
          <xlrd:rvb i="630"/>
        </ext>
      </extLst>
    </bk>
    <bk>
      <extLst>
        <ext uri="{3e2802c4-a4d2-4d8b-9148-e3be6c30e623}">
          <xlrd:rvb i="631"/>
        </ext>
      </extLst>
    </bk>
    <bk>
      <extLst>
        <ext uri="{3e2802c4-a4d2-4d8b-9148-e3be6c30e623}">
          <xlrd:rvb i="632"/>
        </ext>
      </extLst>
    </bk>
    <bk>
      <extLst>
        <ext uri="{3e2802c4-a4d2-4d8b-9148-e3be6c30e623}">
          <xlrd:rvb i="633"/>
        </ext>
      </extLst>
    </bk>
    <bk>
      <extLst>
        <ext uri="{3e2802c4-a4d2-4d8b-9148-e3be6c30e623}">
          <xlrd:rvb i="634"/>
        </ext>
      </extLst>
    </bk>
    <bk>
      <extLst>
        <ext uri="{3e2802c4-a4d2-4d8b-9148-e3be6c30e623}">
          <xlrd:rvb i="635"/>
        </ext>
      </extLst>
    </bk>
    <bk>
      <extLst>
        <ext uri="{3e2802c4-a4d2-4d8b-9148-e3be6c30e623}">
          <xlrd:rvb i="636"/>
        </ext>
      </extLst>
    </bk>
    <bk>
      <extLst>
        <ext uri="{3e2802c4-a4d2-4d8b-9148-e3be6c30e623}">
          <xlrd:rvb i="637"/>
        </ext>
      </extLst>
    </bk>
    <bk>
      <extLst>
        <ext uri="{3e2802c4-a4d2-4d8b-9148-e3be6c30e623}">
          <xlrd:rvb i="638"/>
        </ext>
      </extLst>
    </bk>
    <bk>
      <extLst>
        <ext uri="{3e2802c4-a4d2-4d8b-9148-e3be6c30e623}">
          <xlrd:rvb i="639"/>
        </ext>
      </extLst>
    </bk>
    <bk>
      <extLst>
        <ext uri="{3e2802c4-a4d2-4d8b-9148-e3be6c30e623}">
          <xlrd:rvb i="640"/>
        </ext>
      </extLst>
    </bk>
    <bk>
      <extLst>
        <ext uri="{3e2802c4-a4d2-4d8b-9148-e3be6c30e623}">
          <xlrd:rvb i="641"/>
        </ext>
      </extLst>
    </bk>
    <bk>
      <extLst>
        <ext uri="{3e2802c4-a4d2-4d8b-9148-e3be6c30e623}">
          <xlrd:rvb i="642"/>
        </ext>
      </extLst>
    </bk>
    <bk>
      <extLst>
        <ext uri="{3e2802c4-a4d2-4d8b-9148-e3be6c30e623}">
          <xlrd:rvb i="643"/>
        </ext>
      </extLst>
    </bk>
    <bk>
      <extLst>
        <ext uri="{3e2802c4-a4d2-4d8b-9148-e3be6c30e623}">
          <xlrd:rvb i="644"/>
        </ext>
      </extLst>
    </bk>
    <bk>
      <extLst>
        <ext uri="{3e2802c4-a4d2-4d8b-9148-e3be6c30e623}">
          <xlrd:rvb i="645"/>
        </ext>
      </extLst>
    </bk>
    <bk>
      <extLst>
        <ext uri="{3e2802c4-a4d2-4d8b-9148-e3be6c30e623}">
          <xlrd:rvb i="646"/>
        </ext>
      </extLst>
    </bk>
    <bk>
      <extLst>
        <ext uri="{3e2802c4-a4d2-4d8b-9148-e3be6c30e623}">
          <xlrd:rvb i="647"/>
        </ext>
      </extLst>
    </bk>
    <bk>
      <extLst>
        <ext uri="{3e2802c4-a4d2-4d8b-9148-e3be6c30e623}">
          <xlrd:rvb i="648"/>
        </ext>
      </extLst>
    </bk>
    <bk>
      <extLst>
        <ext uri="{3e2802c4-a4d2-4d8b-9148-e3be6c30e623}">
          <xlrd:rvb i="649"/>
        </ext>
      </extLst>
    </bk>
    <bk>
      <extLst>
        <ext uri="{3e2802c4-a4d2-4d8b-9148-e3be6c30e623}">
          <xlrd:rvb i="650"/>
        </ext>
      </extLst>
    </bk>
    <bk>
      <extLst>
        <ext uri="{3e2802c4-a4d2-4d8b-9148-e3be6c30e623}">
          <xlrd:rvb i="651"/>
        </ext>
      </extLst>
    </bk>
    <bk>
      <extLst>
        <ext uri="{3e2802c4-a4d2-4d8b-9148-e3be6c30e623}">
          <xlrd:rvb i="652"/>
        </ext>
      </extLst>
    </bk>
    <bk>
      <extLst>
        <ext uri="{3e2802c4-a4d2-4d8b-9148-e3be6c30e623}">
          <xlrd:rvb i="653"/>
        </ext>
      </extLst>
    </bk>
    <bk>
      <extLst>
        <ext uri="{3e2802c4-a4d2-4d8b-9148-e3be6c30e623}">
          <xlrd:rvb i="654"/>
        </ext>
      </extLst>
    </bk>
    <bk>
      <extLst>
        <ext uri="{3e2802c4-a4d2-4d8b-9148-e3be6c30e623}">
          <xlrd:rvb i="655"/>
        </ext>
      </extLst>
    </bk>
    <bk>
      <extLst>
        <ext uri="{3e2802c4-a4d2-4d8b-9148-e3be6c30e623}">
          <xlrd:rvb i="656"/>
        </ext>
      </extLst>
    </bk>
    <bk>
      <extLst>
        <ext uri="{3e2802c4-a4d2-4d8b-9148-e3be6c30e623}">
          <xlrd:rvb i="657"/>
        </ext>
      </extLst>
    </bk>
    <bk>
      <extLst>
        <ext uri="{3e2802c4-a4d2-4d8b-9148-e3be6c30e623}">
          <xlrd:rvb i="658"/>
        </ext>
      </extLst>
    </bk>
    <bk>
      <extLst>
        <ext uri="{3e2802c4-a4d2-4d8b-9148-e3be6c30e623}">
          <xlrd:rvb i="659"/>
        </ext>
      </extLst>
    </bk>
    <bk>
      <extLst>
        <ext uri="{3e2802c4-a4d2-4d8b-9148-e3be6c30e623}">
          <xlrd:rvb i="660"/>
        </ext>
      </extLst>
    </bk>
    <bk>
      <extLst>
        <ext uri="{3e2802c4-a4d2-4d8b-9148-e3be6c30e623}">
          <xlrd:rvb i="661"/>
        </ext>
      </extLst>
    </bk>
    <bk>
      <extLst>
        <ext uri="{3e2802c4-a4d2-4d8b-9148-e3be6c30e623}">
          <xlrd:rvb i="662"/>
        </ext>
      </extLst>
    </bk>
    <bk>
      <extLst>
        <ext uri="{3e2802c4-a4d2-4d8b-9148-e3be6c30e623}">
          <xlrd:rvb i="663"/>
        </ext>
      </extLst>
    </bk>
    <bk>
      <extLst>
        <ext uri="{3e2802c4-a4d2-4d8b-9148-e3be6c30e623}">
          <xlrd:rvb i="664"/>
        </ext>
      </extLst>
    </bk>
    <bk>
      <extLst>
        <ext uri="{3e2802c4-a4d2-4d8b-9148-e3be6c30e623}">
          <xlrd:rvb i="665"/>
        </ext>
      </extLst>
    </bk>
    <bk>
      <extLst>
        <ext uri="{3e2802c4-a4d2-4d8b-9148-e3be6c30e623}">
          <xlrd:rvb i="666"/>
        </ext>
      </extLst>
    </bk>
    <bk>
      <extLst>
        <ext uri="{3e2802c4-a4d2-4d8b-9148-e3be6c30e623}">
          <xlrd:rvb i="667"/>
        </ext>
      </extLst>
    </bk>
    <bk>
      <extLst>
        <ext uri="{3e2802c4-a4d2-4d8b-9148-e3be6c30e623}">
          <xlrd:rvb i="668"/>
        </ext>
      </extLst>
    </bk>
    <bk>
      <extLst>
        <ext uri="{3e2802c4-a4d2-4d8b-9148-e3be6c30e623}">
          <xlrd:rvb i="669"/>
        </ext>
      </extLst>
    </bk>
    <bk>
      <extLst>
        <ext uri="{3e2802c4-a4d2-4d8b-9148-e3be6c30e623}">
          <xlrd:rvb i="670"/>
        </ext>
      </extLst>
    </bk>
    <bk>
      <extLst>
        <ext uri="{3e2802c4-a4d2-4d8b-9148-e3be6c30e623}">
          <xlrd:rvb i="671"/>
        </ext>
      </extLst>
    </bk>
    <bk>
      <extLst>
        <ext uri="{3e2802c4-a4d2-4d8b-9148-e3be6c30e623}">
          <xlrd:rvb i="672"/>
        </ext>
      </extLst>
    </bk>
    <bk>
      <extLst>
        <ext uri="{3e2802c4-a4d2-4d8b-9148-e3be6c30e623}">
          <xlrd:rvb i="673"/>
        </ext>
      </extLst>
    </bk>
    <bk>
      <extLst>
        <ext uri="{3e2802c4-a4d2-4d8b-9148-e3be6c30e623}">
          <xlrd:rvb i="674"/>
        </ext>
      </extLst>
    </bk>
    <bk>
      <extLst>
        <ext uri="{3e2802c4-a4d2-4d8b-9148-e3be6c30e623}">
          <xlrd:rvb i="675"/>
        </ext>
      </extLst>
    </bk>
    <bk>
      <extLst>
        <ext uri="{3e2802c4-a4d2-4d8b-9148-e3be6c30e623}">
          <xlrd:rvb i="676"/>
        </ext>
      </extLst>
    </bk>
    <bk>
      <extLst>
        <ext uri="{3e2802c4-a4d2-4d8b-9148-e3be6c30e623}">
          <xlrd:rvb i="677"/>
        </ext>
      </extLst>
    </bk>
    <bk>
      <extLst>
        <ext uri="{3e2802c4-a4d2-4d8b-9148-e3be6c30e623}">
          <xlrd:rvb i="678"/>
        </ext>
      </extLst>
    </bk>
    <bk>
      <extLst>
        <ext uri="{3e2802c4-a4d2-4d8b-9148-e3be6c30e623}">
          <xlrd:rvb i="679"/>
        </ext>
      </extLst>
    </bk>
    <bk>
      <extLst>
        <ext uri="{3e2802c4-a4d2-4d8b-9148-e3be6c30e623}">
          <xlrd:rvb i="680"/>
        </ext>
      </extLst>
    </bk>
    <bk>
      <extLst>
        <ext uri="{3e2802c4-a4d2-4d8b-9148-e3be6c30e623}">
          <xlrd:rvb i="681"/>
        </ext>
      </extLst>
    </bk>
    <bk>
      <extLst>
        <ext uri="{3e2802c4-a4d2-4d8b-9148-e3be6c30e623}">
          <xlrd:rvb i="682"/>
        </ext>
      </extLst>
    </bk>
    <bk>
      <extLst>
        <ext uri="{3e2802c4-a4d2-4d8b-9148-e3be6c30e623}">
          <xlrd:rvb i="683"/>
        </ext>
      </extLst>
    </bk>
    <bk>
      <extLst>
        <ext uri="{3e2802c4-a4d2-4d8b-9148-e3be6c30e623}">
          <xlrd:rvb i="684"/>
        </ext>
      </extLst>
    </bk>
    <bk>
      <extLst>
        <ext uri="{3e2802c4-a4d2-4d8b-9148-e3be6c30e623}">
          <xlrd:rvb i="685"/>
        </ext>
      </extLst>
    </bk>
    <bk>
      <extLst>
        <ext uri="{3e2802c4-a4d2-4d8b-9148-e3be6c30e623}">
          <xlrd:rvb i="686"/>
        </ext>
      </extLst>
    </bk>
    <bk>
      <extLst>
        <ext uri="{3e2802c4-a4d2-4d8b-9148-e3be6c30e623}">
          <xlrd:rvb i="687"/>
        </ext>
      </extLst>
    </bk>
    <bk>
      <extLst>
        <ext uri="{3e2802c4-a4d2-4d8b-9148-e3be6c30e623}">
          <xlrd:rvb i="688"/>
        </ext>
      </extLst>
    </bk>
    <bk>
      <extLst>
        <ext uri="{3e2802c4-a4d2-4d8b-9148-e3be6c30e623}">
          <xlrd:rvb i="689"/>
        </ext>
      </extLst>
    </bk>
    <bk>
      <extLst>
        <ext uri="{3e2802c4-a4d2-4d8b-9148-e3be6c30e623}">
          <xlrd:rvb i="690"/>
        </ext>
      </extLst>
    </bk>
    <bk>
      <extLst>
        <ext uri="{3e2802c4-a4d2-4d8b-9148-e3be6c30e623}">
          <xlrd:rvb i="691"/>
        </ext>
      </extLst>
    </bk>
    <bk>
      <extLst>
        <ext uri="{3e2802c4-a4d2-4d8b-9148-e3be6c30e623}">
          <xlrd:rvb i="692"/>
        </ext>
      </extLst>
    </bk>
    <bk>
      <extLst>
        <ext uri="{3e2802c4-a4d2-4d8b-9148-e3be6c30e623}">
          <xlrd:rvb i="693"/>
        </ext>
      </extLst>
    </bk>
    <bk>
      <extLst>
        <ext uri="{3e2802c4-a4d2-4d8b-9148-e3be6c30e623}">
          <xlrd:rvb i="694"/>
        </ext>
      </extLst>
    </bk>
    <bk>
      <extLst>
        <ext uri="{3e2802c4-a4d2-4d8b-9148-e3be6c30e623}">
          <xlrd:rvb i="695"/>
        </ext>
      </extLst>
    </bk>
    <bk>
      <extLst>
        <ext uri="{3e2802c4-a4d2-4d8b-9148-e3be6c30e623}">
          <xlrd:rvb i="696"/>
        </ext>
      </extLst>
    </bk>
    <bk>
      <extLst>
        <ext uri="{3e2802c4-a4d2-4d8b-9148-e3be6c30e623}">
          <xlrd:rvb i="697"/>
        </ext>
      </extLst>
    </bk>
    <bk>
      <extLst>
        <ext uri="{3e2802c4-a4d2-4d8b-9148-e3be6c30e623}">
          <xlrd:rvb i="698"/>
        </ext>
      </extLst>
    </bk>
    <bk>
      <extLst>
        <ext uri="{3e2802c4-a4d2-4d8b-9148-e3be6c30e623}">
          <xlrd:rvb i="699"/>
        </ext>
      </extLst>
    </bk>
    <bk>
      <extLst>
        <ext uri="{3e2802c4-a4d2-4d8b-9148-e3be6c30e623}">
          <xlrd:rvb i="700"/>
        </ext>
      </extLst>
    </bk>
    <bk>
      <extLst>
        <ext uri="{3e2802c4-a4d2-4d8b-9148-e3be6c30e623}">
          <xlrd:rvb i="701"/>
        </ext>
      </extLst>
    </bk>
    <bk>
      <extLst>
        <ext uri="{3e2802c4-a4d2-4d8b-9148-e3be6c30e623}">
          <xlrd:rvb i="702"/>
        </ext>
      </extLst>
    </bk>
    <bk>
      <extLst>
        <ext uri="{3e2802c4-a4d2-4d8b-9148-e3be6c30e623}">
          <xlrd:rvb i="703"/>
        </ext>
      </extLst>
    </bk>
    <bk>
      <extLst>
        <ext uri="{3e2802c4-a4d2-4d8b-9148-e3be6c30e623}">
          <xlrd:rvb i="704"/>
        </ext>
      </extLst>
    </bk>
    <bk>
      <extLst>
        <ext uri="{3e2802c4-a4d2-4d8b-9148-e3be6c30e623}">
          <xlrd:rvb i="705"/>
        </ext>
      </extLst>
    </bk>
    <bk>
      <extLst>
        <ext uri="{3e2802c4-a4d2-4d8b-9148-e3be6c30e623}">
          <xlrd:rvb i="706"/>
        </ext>
      </extLst>
    </bk>
    <bk>
      <extLst>
        <ext uri="{3e2802c4-a4d2-4d8b-9148-e3be6c30e623}">
          <xlrd:rvb i="707"/>
        </ext>
      </extLst>
    </bk>
    <bk>
      <extLst>
        <ext uri="{3e2802c4-a4d2-4d8b-9148-e3be6c30e623}">
          <xlrd:rvb i="708"/>
        </ext>
      </extLst>
    </bk>
    <bk>
      <extLst>
        <ext uri="{3e2802c4-a4d2-4d8b-9148-e3be6c30e623}">
          <xlrd:rvb i="709"/>
        </ext>
      </extLst>
    </bk>
    <bk>
      <extLst>
        <ext uri="{3e2802c4-a4d2-4d8b-9148-e3be6c30e623}">
          <xlrd:rvb i="710"/>
        </ext>
      </extLst>
    </bk>
    <bk>
      <extLst>
        <ext uri="{3e2802c4-a4d2-4d8b-9148-e3be6c30e623}">
          <xlrd:rvb i="711"/>
        </ext>
      </extLst>
    </bk>
    <bk>
      <extLst>
        <ext uri="{3e2802c4-a4d2-4d8b-9148-e3be6c30e623}">
          <xlrd:rvb i="712"/>
        </ext>
      </extLst>
    </bk>
    <bk>
      <extLst>
        <ext uri="{3e2802c4-a4d2-4d8b-9148-e3be6c30e623}">
          <xlrd:rvb i="713"/>
        </ext>
      </extLst>
    </bk>
    <bk>
      <extLst>
        <ext uri="{3e2802c4-a4d2-4d8b-9148-e3be6c30e623}">
          <xlrd:rvb i="714"/>
        </ext>
      </extLst>
    </bk>
    <bk>
      <extLst>
        <ext uri="{3e2802c4-a4d2-4d8b-9148-e3be6c30e623}">
          <xlrd:rvb i="715"/>
        </ext>
      </extLst>
    </bk>
    <bk>
      <extLst>
        <ext uri="{3e2802c4-a4d2-4d8b-9148-e3be6c30e623}">
          <xlrd:rvb i="716"/>
        </ext>
      </extLst>
    </bk>
    <bk>
      <extLst>
        <ext uri="{3e2802c4-a4d2-4d8b-9148-e3be6c30e623}">
          <xlrd:rvb i="717"/>
        </ext>
      </extLst>
    </bk>
    <bk>
      <extLst>
        <ext uri="{3e2802c4-a4d2-4d8b-9148-e3be6c30e623}">
          <xlrd:rvb i="718"/>
        </ext>
      </extLst>
    </bk>
    <bk>
      <extLst>
        <ext uri="{3e2802c4-a4d2-4d8b-9148-e3be6c30e623}">
          <xlrd:rvb i="719"/>
        </ext>
      </extLst>
    </bk>
    <bk>
      <extLst>
        <ext uri="{3e2802c4-a4d2-4d8b-9148-e3be6c30e623}">
          <xlrd:rvb i="720"/>
        </ext>
      </extLst>
    </bk>
    <bk>
      <extLst>
        <ext uri="{3e2802c4-a4d2-4d8b-9148-e3be6c30e623}">
          <xlrd:rvb i="721"/>
        </ext>
      </extLst>
    </bk>
    <bk>
      <extLst>
        <ext uri="{3e2802c4-a4d2-4d8b-9148-e3be6c30e623}">
          <xlrd:rvb i="722"/>
        </ext>
      </extLst>
    </bk>
    <bk>
      <extLst>
        <ext uri="{3e2802c4-a4d2-4d8b-9148-e3be6c30e623}">
          <xlrd:rvb i="723"/>
        </ext>
      </extLst>
    </bk>
    <bk>
      <extLst>
        <ext uri="{3e2802c4-a4d2-4d8b-9148-e3be6c30e623}">
          <xlrd:rvb i="724"/>
        </ext>
      </extLst>
    </bk>
    <bk>
      <extLst>
        <ext uri="{3e2802c4-a4d2-4d8b-9148-e3be6c30e623}">
          <xlrd:rvb i="725"/>
        </ext>
      </extLst>
    </bk>
    <bk>
      <extLst>
        <ext uri="{3e2802c4-a4d2-4d8b-9148-e3be6c30e623}">
          <xlrd:rvb i="726"/>
        </ext>
      </extLst>
    </bk>
    <bk>
      <extLst>
        <ext uri="{3e2802c4-a4d2-4d8b-9148-e3be6c30e623}">
          <xlrd:rvb i="727"/>
        </ext>
      </extLst>
    </bk>
    <bk>
      <extLst>
        <ext uri="{3e2802c4-a4d2-4d8b-9148-e3be6c30e623}">
          <xlrd:rvb i="728"/>
        </ext>
      </extLst>
    </bk>
    <bk>
      <extLst>
        <ext uri="{3e2802c4-a4d2-4d8b-9148-e3be6c30e623}">
          <xlrd:rvb i="729"/>
        </ext>
      </extLst>
    </bk>
    <bk>
      <extLst>
        <ext uri="{3e2802c4-a4d2-4d8b-9148-e3be6c30e623}">
          <xlrd:rvb i="730"/>
        </ext>
      </extLst>
    </bk>
    <bk>
      <extLst>
        <ext uri="{3e2802c4-a4d2-4d8b-9148-e3be6c30e623}">
          <xlrd:rvb i="731"/>
        </ext>
      </extLst>
    </bk>
    <bk>
      <extLst>
        <ext uri="{3e2802c4-a4d2-4d8b-9148-e3be6c30e623}">
          <xlrd:rvb i="732"/>
        </ext>
      </extLst>
    </bk>
    <bk>
      <extLst>
        <ext uri="{3e2802c4-a4d2-4d8b-9148-e3be6c30e623}">
          <xlrd:rvb i="733"/>
        </ext>
      </extLst>
    </bk>
    <bk>
      <extLst>
        <ext uri="{3e2802c4-a4d2-4d8b-9148-e3be6c30e623}">
          <xlrd:rvb i="734"/>
        </ext>
      </extLst>
    </bk>
    <bk>
      <extLst>
        <ext uri="{3e2802c4-a4d2-4d8b-9148-e3be6c30e623}">
          <xlrd:rvb i="735"/>
        </ext>
      </extLst>
    </bk>
    <bk>
      <extLst>
        <ext uri="{3e2802c4-a4d2-4d8b-9148-e3be6c30e623}">
          <xlrd:rvb i="736"/>
        </ext>
      </extLst>
    </bk>
    <bk>
      <extLst>
        <ext uri="{3e2802c4-a4d2-4d8b-9148-e3be6c30e623}">
          <xlrd:rvb i="737"/>
        </ext>
      </extLst>
    </bk>
    <bk>
      <extLst>
        <ext uri="{3e2802c4-a4d2-4d8b-9148-e3be6c30e623}">
          <xlrd:rvb i="738"/>
        </ext>
      </extLst>
    </bk>
    <bk>
      <extLst>
        <ext uri="{3e2802c4-a4d2-4d8b-9148-e3be6c30e623}">
          <xlrd:rvb i="739"/>
        </ext>
      </extLst>
    </bk>
    <bk>
      <extLst>
        <ext uri="{3e2802c4-a4d2-4d8b-9148-e3be6c30e623}">
          <xlrd:rvb i="740"/>
        </ext>
      </extLst>
    </bk>
    <bk>
      <extLst>
        <ext uri="{3e2802c4-a4d2-4d8b-9148-e3be6c30e623}">
          <xlrd:rvb i="741"/>
        </ext>
      </extLst>
    </bk>
    <bk>
      <extLst>
        <ext uri="{3e2802c4-a4d2-4d8b-9148-e3be6c30e623}">
          <xlrd:rvb i="742"/>
        </ext>
      </extLst>
    </bk>
    <bk>
      <extLst>
        <ext uri="{3e2802c4-a4d2-4d8b-9148-e3be6c30e623}">
          <xlrd:rvb i="743"/>
        </ext>
      </extLst>
    </bk>
    <bk>
      <extLst>
        <ext uri="{3e2802c4-a4d2-4d8b-9148-e3be6c30e623}">
          <xlrd:rvb i="744"/>
        </ext>
      </extLst>
    </bk>
    <bk>
      <extLst>
        <ext uri="{3e2802c4-a4d2-4d8b-9148-e3be6c30e623}">
          <xlrd:rvb i="745"/>
        </ext>
      </extLst>
    </bk>
    <bk>
      <extLst>
        <ext uri="{3e2802c4-a4d2-4d8b-9148-e3be6c30e623}">
          <xlrd:rvb i="746"/>
        </ext>
      </extLst>
    </bk>
    <bk>
      <extLst>
        <ext uri="{3e2802c4-a4d2-4d8b-9148-e3be6c30e623}">
          <xlrd:rvb i="747"/>
        </ext>
      </extLst>
    </bk>
    <bk>
      <extLst>
        <ext uri="{3e2802c4-a4d2-4d8b-9148-e3be6c30e623}">
          <xlrd:rvb i="748"/>
        </ext>
      </extLst>
    </bk>
    <bk>
      <extLst>
        <ext uri="{3e2802c4-a4d2-4d8b-9148-e3be6c30e623}">
          <xlrd:rvb i="749"/>
        </ext>
      </extLst>
    </bk>
    <bk>
      <extLst>
        <ext uri="{3e2802c4-a4d2-4d8b-9148-e3be6c30e623}">
          <xlrd:rvb i="750"/>
        </ext>
      </extLst>
    </bk>
    <bk>
      <extLst>
        <ext uri="{3e2802c4-a4d2-4d8b-9148-e3be6c30e623}">
          <xlrd:rvb i="751"/>
        </ext>
      </extLst>
    </bk>
    <bk>
      <extLst>
        <ext uri="{3e2802c4-a4d2-4d8b-9148-e3be6c30e623}">
          <xlrd:rvb i="752"/>
        </ext>
      </extLst>
    </bk>
    <bk>
      <extLst>
        <ext uri="{3e2802c4-a4d2-4d8b-9148-e3be6c30e623}">
          <xlrd:rvb i="753"/>
        </ext>
      </extLst>
    </bk>
    <bk>
      <extLst>
        <ext uri="{3e2802c4-a4d2-4d8b-9148-e3be6c30e623}">
          <xlrd:rvb i="754"/>
        </ext>
      </extLst>
    </bk>
    <bk>
      <extLst>
        <ext uri="{3e2802c4-a4d2-4d8b-9148-e3be6c30e623}">
          <xlrd:rvb i="755"/>
        </ext>
      </extLst>
    </bk>
    <bk>
      <extLst>
        <ext uri="{3e2802c4-a4d2-4d8b-9148-e3be6c30e623}">
          <xlrd:rvb i="756"/>
        </ext>
      </extLst>
    </bk>
    <bk>
      <extLst>
        <ext uri="{3e2802c4-a4d2-4d8b-9148-e3be6c30e623}">
          <xlrd:rvb i="757"/>
        </ext>
      </extLst>
    </bk>
    <bk>
      <extLst>
        <ext uri="{3e2802c4-a4d2-4d8b-9148-e3be6c30e623}">
          <xlrd:rvb i="758"/>
        </ext>
      </extLst>
    </bk>
    <bk>
      <extLst>
        <ext uri="{3e2802c4-a4d2-4d8b-9148-e3be6c30e623}">
          <xlrd:rvb i="759"/>
        </ext>
      </extLst>
    </bk>
    <bk>
      <extLst>
        <ext uri="{3e2802c4-a4d2-4d8b-9148-e3be6c30e623}">
          <xlrd:rvb i="760"/>
        </ext>
      </extLst>
    </bk>
    <bk>
      <extLst>
        <ext uri="{3e2802c4-a4d2-4d8b-9148-e3be6c30e623}">
          <xlrd:rvb i="761"/>
        </ext>
      </extLst>
    </bk>
    <bk>
      <extLst>
        <ext uri="{3e2802c4-a4d2-4d8b-9148-e3be6c30e623}">
          <xlrd:rvb i="762"/>
        </ext>
      </extLst>
    </bk>
    <bk>
      <extLst>
        <ext uri="{3e2802c4-a4d2-4d8b-9148-e3be6c30e623}">
          <xlrd:rvb i="763"/>
        </ext>
      </extLst>
    </bk>
    <bk>
      <extLst>
        <ext uri="{3e2802c4-a4d2-4d8b-9148-e3be6c30e623}">
          <xlrd:rvb i="764"/>
        </ext>
      </extLst>
    </bk>
    <bk>
      <extLst>
        <ext uri="{3e2802c4-a4d2-4d8b-9148-e3be6c30e623}">
          <xlrd:rvb i="765"/>
        </ext>
      </extLst>
    </bk>
    <bk>
      <extLst>
        <ext uri="{3e2802c4-a4d2-4d8b-9148-e3be6c30e623}">
          <xlrd:rvb i="766"/>
        </ext>
      </extLst>
    </bk>
    <bk>
      <extLst>
        <ext uri="{3e2802c4-a4d2-4d8b-9148-e3be6c30e623}">
          <xlrd:rvb i="767"/>
        </ext>
      </extLst>
    </bk>
    <bk>
      <extLst>
        <ext uri="{3e2802c4-a4d2-4d8b-9148-e3be6c30e623}">
          <xlrd:rvb i="768"/>
        </ext>
      </extLst>
    </bk>
    <bk>
      <extLst>
        <ext uri="{3e2802c4-a4d2-4d8b-9148-e3be6c30e623}">
          <xlrd:rvb i="769"/>
        </ext>
      </extLst>
    </bk>
    <bk>
      <extLst>
        <ext uri="{3e2802c4-a4d2-4d8b-9148-e3be6c30e623}">
          <xlrd:rvb i="770"/>
        </ext>
      </extLst>
    </bk>
    <bk>
      <extLst>
        <ext uri="{3e2802c4-a4d2-4d8b-9148-e3be6c30e623}">
          <xlrd:rvb i="771"/>
        </ext>
      </extLst>
    </bk>
    <bk>
      <extLst>
        <ext uri="{3e2802c4-a4d2-4d8b-9148-e3be6c30e623}">
          <xlrd:rvb i="772"/>
        </ext>
      </extLst>
    </bk>
    <bk>
      <extLst>
        <ext uri="{3e2802c4-a4d2-4d8b-9148-e3be6c30e623}">
          <xlrd:rvb i="773"/>
        </ext>
      </extLst>
    </bk>
    <bk>
      <extLst>
        <ext uri="{3e2802c4-a4d2-4d8b-9148-e3be6c30e623}">
          <xlrd:rvb i="774"/>
        </ext>
      </extLst>
    </bk>
    <bk>
      <extLst>
        <ext uri="{3e2802c4-a4d2-4d8b-9148-e3be6c30e623}">
          <xlrd:rvb i="775"/>
        </ext>
      </extLst>
    </bk>
    <bk>
      <extLst>
        <ext uri="{3e2802c4-a4d2-4d8b-9148-e3be6c30e623}">
          <xlrd:rvb i="776"/>
        </ext>
      </extLst>
    </bk>
    <bk>
      <extLst>
        <ext uri="{3e2802c4-a4d2-4d8b-9148-e3be6c30e623}">
          <xlrd:rvb i="777"/>
        </ext>
      </extLst>
    </bk>
    <bk>
      <extLst>
        <ext uri="{3e2802c4-a4d2-4d8b-9148-e3be6c30e623}">
          <xlrd:rvb i="778"/>
        </ext>
      </extLst>
    </bk>
    <bk>
      <extLst>
        <ext uri="{3e2802c4-a4d2-4d8b-9148-e3be6c30e623}">
          <xlrd:rvb i="779"/>
        </ext>
      </extLst>
    </bk>
    <bk>
      <extLst>
        <ext uri="{3e2802c4-a4d2-4d8b-9148-e3be6c30e623}">
          <xlrd:rvb i="780"/>
        </ext>
      </extLst>
    </bk>
    <bk>
      <extLst>
        <ext uri="{3e2802c4-a4d2-4d8b-9148-e3be6c30e623}">
          <xlrd:rvb i="781"/>
        </ext>
      </extLst>
    </bk>
    <bk>
      <extLst>
        <ext uri="{3e2802c4-a4d2-4d8b-9148-e3be6c30e623}">
          <xlrd:rvb i="782"/>
        </ext>
      </extLst>
    </bk>
    <bk>
      <extLst>
        <ext uri="{3e2802c4-a4d2-4d8b-9148-e3be6c30e623}">
          <xlrd:rvb i="783"/>
        </ext>
      </extLst>
    </bk>
    <bk>
      <extLst>
        <ext uri="{3e2802c4-a4d2-4d8b-9148-e3be6c30e623}">
          <xlrd:rvb i="784"/>
        </ext>
      </extLst>
    </bk>
    <bk>
      <extLst>
        <ext uri="{3e2802c4-a4d2-4d8b-9148-e3be6c30e623}">
          <xlrd:rvb i="785"/>
        </ext>
      </extLst>
    </bk>
    <bk>
      <extLst>
        <ext uri="{3e2802c4-a4d2-4d8b-9148-e3be6c30e623}">
          <xlrd:rvb i="786"/>
        </ext>
      </extLst>
    </bk>
    <bk>
      <extLst>
        <ext uri="{3e2802c4-a4d2-4d8b-9148-e3be6c30e623}">
          <xlrd:rvb i="787"/>
        </ext>
      </extLst>
    </bk>
    <bk>
      <extLst>
        <ext uri="{3e2802c4-a4d2-4d8b-9148-e3be6c30e623}">
          <xlrd:rvb i="788"/>
        </ext>
      </extLst>
    </bk>
    <bk>
      <extLst>
        <ext uri="{3e2802c4-a4d2-4d8b-9148-e3be6c30e623}">
          <xlrd:rvb i="789"/>
        </ext>
      </extLst>
    </bk>
    <bk>
      <extLst>
        <ext uri="{3e2802c4-a4d2-4d8b-9148-e3be6c30e623}">
          <xlrd:rvb i="790"/>
        </ext>
      </extLst>
    </bk>
    <bk>
      <extLst>
        <ext uri="{3e2802c4-a4d2-4d8b-9148-e3be6c30e623}">
          <xlrd:rvb i="791"/>
        </ext>
      </extLst>
    </bk>
    <bk>
      <extLst>
        <ext uri="{3e2802c4-a4d2-4d8b-9148-e3be6c30e623}">
          <xlrd:rvb i="792"/>
        </ext>
      </extLst>
    </bk>
    <bk>
      <extLst>
        <ext uri="{3e2802c4-a4d2-4d8b-9148-e3be6c30e623}">
          <xlrd:rvb i="793"/>
        </ext>
      </extLst>
    </bk>
    <bk>
      <extLst>
        <ext uri="{3e2802c4-a4d2-4d8b-9148-e3be6c30e623}">
          <xlrd:rvb i="794"/>
        </ext>
      </extLst>
    </bk>
    <bk>
      <extLst>
        <ext uri="{3e2802c4-a4d2-4d8b-9148-e3be6c30e623}">
          <xlrd:rvb i="795"/>
        </ext>
      </extLst>
    </bk>
    <bk>
      <extLst>
        <ext uri="{3e2802c4-a4d2-4d8b-9148-e3be6c30e623}">
          <xlrd:rvb i="796"/>
        </ext>
      </extLst>
    </bk>
    <bk>
      <extLst>
        <ext uri="{3e2802c4-a4d2-4d8b-9148-e3be6c30e623}">
          <xlrd:rvb i="797"/>
        </ext>
      </extLst>
    </bk>
    <bk>
      <extLst>
        <ext uri="{3e2802c4-a4d2-4d8b-9148-e3be6c30e623}">
          <xlrd:rvb i="798"/>
        </ext>
      </extLst>
    </bk>
    <bk>
      <extLst>
        <ext uri="{3e2802c4-a4d2-4d8b-9148-e3be6c30e623}">
          <xlrd:rvb i="799"/>
        </ext>
      </extLst>
    </bk>
    <bk>
      <extLst>
        <ext uri="{3e2802c4-a4d2-4d8b-9148-e3be6c30e623}">
          <xlrd:rvb i="800"/>
        </ext>
      </extLst>
    </bk>
    <bk>
      <extLst>
        <ext uri="{3e2802c4-a4d2-4d8b-9148-e3be6c30e623}">
          <xlrd:rvb i="801"/>
        </ext>
      </extLst>
    </bk>
    <bk>
      <extLst>
        <ext uri="{3e2802c4-a4d2-4d8b-9148-e3be6c30e623}">
          <xlrd:rvb i="802"/>
        </ext>
      </extLst>
    </bk>
    <bk>
      <extLst>
        <ext uri="{3e2802c4-a4d2-4d8b-9148-e3be6c30e623}">
          <xlrd:rvb i="803"/>
        </ext>
      </extLst>
    </bk>
    <bk>
      <extLst>
        <ext uri="{3e2802c4-a4d2-4d8b-9148-e3be6c30e623}">
          <xlrd:rvb i="804"/>
        </ext>
      </extLst>
    </bk>
    <bk>
      <extLst>
        <ext uri="{3e2802c4-a4d2-4d8b-9148-e3be6c30e623}">
          <xlrd:rvb i="805"/>
        </ext>
      </extLst>
    </bk>
    <bk>
      <extLst>
        <ext uri="{3e2802c4-a4d2-4d8b-9148-e3be6c30e623}">
          <xlrd:rvb i="806"/>
        </ext>
      </extLst>
    </bk>
    <bk>
      <extLst>
        <ext uri="{3e2802c4-a4d2-4d8b-9148-e3be6c30e623}">
          <xlrd:rvb i="807"/>
        </ext>
      </extLst>
    </bk>
    <bk>
      <extLst>
        <ext uri="{3e2802c4-a4d2-4d8b-9148-e3be6c30e623}">
          <xlrd:rvb i="808"/>
        </ext>
      </extLst>
    </bk>
    <bk>
      <extLst>
        <ext uri="{3e2802c4-a4d2-4d8b-9148-e3be6c30e623}">
          <xlrd:rvb i="809"/>
        </ext>
      </extLst>
    </bk>
    <bk>
      <extLst>
        <ext uri="{3e2802c4-a4d2-4d8b-9148-e3be6c30e623}">
          <xlrd:rvb i="810"/>
        </ext>
      </extLst>
    </bk>
    <bk>
      <extLst>
        <ext uri="{3e2802c4-a4d2-4d8b-9148-e3be6c30e623}">
          <xlrd:rvb i="811"/>
        </ext>
      </extLst>
    </bk>
    <bk>
      <extLst>
        <ext uri="{3e2802c4-a4d2-4d8b-9148-e3be6c30e623}">
          <xlrd:rvb i="812"/>
        </ext>
      </extLst>
    </bk>
    <bk>
      <extLst>
        <ext uri="{3e2802c4-a4d2-4d8b-9148-e3be6c30e623}">
          <xlrd:rvb i="813"/>
        </ext>
      </extLst>
    </bk>
    <bk>
      <extLst>
        <ext uri="{3e2802c4-a4d2-4d8b-9148-e3be6c30e623}">
          <xlrd:rvb i="814"/>
        </ext>
      </extLst>
    </bk>
    <bk>
      <extLst>
        <ext uri="{3e2802c4-a4d2-4d8b-9148-e3be6c30e623}">
          <xlrd:rvb i="815"/>
        </ext>
      </extLst>
    </bk>
    <bk>
      <extLst>
        <ext uri="{3e2802c4-a4d2-4d8b-9148-e3be6c30e623}">
          <xlrd:rvb i="816"/>
        </ext>
      </extLst>
    </bk>
    <bk>
      <extLst>
        <ext uri="{3e2802c4-a4d2-4d8b-9148-e3be6c30e623}">
          <xlrd:rvb i="817"/>
        </ext>
      </extLst>
    </bk>
    <bk>
      <extLst>
        <ext uri="{3e2802c4-a4d2-4d8b-9148-e3be6c30e623}">
          <xlrd:rvb i="818"/>
        </ext>
      </extLst>
    </bk>
    <bk>
      <extLst>
        <ext uri="{3e2802c4-a4d2-4d8b-9148-e3be6c30e623}">
          <xlrd:rvb i="819"/>
        </ext>
      </extLst>
    </bk>
    <bk>
      <extLst>
        <ext uri="{3e2802c4-a4d2-4d8b-9148-e3be6c30e623}">
          <xlrd:rvb i="820"/>
        </ext>
      </extLst>
    </bk>
    <bk>
      <extLst>
        <ext uri="{3e2802c4-a4d2-4d8b-9148-e3be6c30e623}">
          <xlrd:rvb i="821"/>
        </ext>
      </extLst>
    </bk>
    <bk>
      <extLst>
        <ext uri="{3e2802c4-a4d2-4d8b-9148-e3be6c30e623}">
          <xlrd:rvb i="822"/>
        </ext>
      </extLst>
    </bk>
    <bk>
      <extLst>
        <ext uri="{3e2802c4-a4d2-4d8b-9148-e3be6c30e623}">
          <xlrd:rvb i="823"/>
        </ext>
      </extLst>
    </bk>
    <bk>
      <extLst>
        <ext uri="{3e2802c4-a4d2-4d8b-9148-e3be6c30e623}">
          <xlrd:rvb i="824"/>
        </ext>
      </extLst>
    </bk>
    <bk>
      <extLst>
        <ext uri="{3e2802c4-a4d2-4d8b-9148-e3be6c30e623}">
          <xlrd:rvb i="825"/>
        </ext>
      </extLst>
    </bk>
    <bk>
      <extLst>
        <ext uri="{3e2802c4-a4d2-4d8b-9148-e3be6c30e623}">
          <xlrd:rvb i="826"/>
        </ext>
      </extLst>
    </bk>
    <bk>
      <extLst>
        <ext uri="{3e2802c4-a4d2-4d8b-9148-e3be6c30e623}">
          <xlrd:rvb i="827"/>
        </ext>
      </extLst>
    </bk>
    <bk>
      <extLst>
        <ext uri="{3e2802c4-a4d2-4d8b-9148-e3be6c30e623}">
          <xlrd:rvb i="828"/>
        </ext>
      </extLst>
    </bk>
    <bk>
      <extLst>
        <ext uri="{3e2802c4-a4d2-4d8b-9148-e3be6c30e623}">
          <xlrd:rvb i="829"/>
        </ext>
      </extLst>
    </bk>
    <bk>
      <extLst>
        <ext uri="{3e2802c4-a4d2-4d8b-9148-e3be6c30e623}">
          <xlrd:rvb i="830"/>
        </ext>
      </extLst>
    </bk>
    <bk>
      <extLst>
        <ext uri="{3e2802c4-a4d2-4d8b-9148-e3be6c30e623}">
          <xlrd:rvb i="831"/>
        </ext>
      </extLst>
    </bk>
    <bk>
      <extLst>
        <ext uri="{3e2802c4-a4d2-4d8b-9148-e3be6c30e623}">
          <xlrd:rvb i="832"/>
        </ext>
      </extLst>
    </bk>
    <bk>
      <extLst>
        <ext uri="{3e2802c4-a4d2-4d8b-9148-e3be6c30e623}">
          <xlrd:rvb i="833"/>
        </ext>
      </extLst>
    </bk>
    <bk>
      <extLst>
        <ext uri="{3e2802c4-a4d2-4d8b-9148-e3be6c30e623}">
          <xlrd:rvb i="834"/>
        </ext>
      </extLst>
    </bk>
    <bk>
      <extLst>
        <ext uri="{3e2802c4-a4d2-4d8b-9148-e3be6c30e623}">
          <xlrd:rvb i="835"/>
        </ext>
      </extLst>
    </bk>
    <bk>
      <extLst>
        <ext uri="{3e2802c4-a4d2-4d8b-9148-e3be6c30e623}">
          <xlrd:rvb i="836"/>
        </ext>
      </extLst>
    </bk>
    <bk>
      <extLst>
        <ext uri="{3e2802c4-a4d2-4d8b-9148-e3be6c30e623}">
          <xlrd:rvb i="837"/>
        </ext>
      </extLst>
    </bk>
    <bk>
      <extLst>
        <ext uri="{3e2802c4-a4d2-4d8b-9148-e3be6c30e623}">
          <xlrd:rvb i="838"/>
        </ext>
      </extLst>
    </bk>
    <bk>
      <extLst>
        <ext uri="{3e2802c4-a4d2-4d8b-9148-e3be6c30e623}">
          <xlrd:rvb i="839"/>
        </ext>
      </extLst>
    </bk>
    <bk>
      <extLst>
        <ext uri="{3e2802c4-a4d2-4d8b-9148-e3be6c30e623}">
          <xlrd:rvb i="840"/>
        </ext>
      </extLst>
    </bk>
    <bk>
      <extLst>
        <ext uri="{3e2802c4-a4d2-4d8b-9148-e3be6c30e623}">
          <xlrd:rvb i="841"/>
        </ext>
      </extLst>
    </bk>
    <bk>
      <extLst>
        <ext uri="{3e2802c4-a4d2-4d8b-9148-e3be6c30e623}">
          <xlrd:rvb i="842"/>
        </ext>
      </extLst>
    </bk>
    <bk>
      <extLst>
        <ext uri="{3e2802c4-a4d2-4d8b-9148-e3be6c30e623}">
          <xlrd:rvb i="843"/>
        </ext>
      </extLst>
    </bk>
    <bk>
      <extLst>
        <ext uri="{3e2802c4-a4d2-4d8b-9148-e3be6c30e623}">
          <xlrd:rvb i="844"/>
        </ext>
      </extLst>
    </bk>
    <bk>
      <extLst>
        <ext uri="{3e2802c4-a4d2-4d8b-9148-e3be6c30e623}">
          <xlrd:rvb i="845"/>
        </ext>
      </extLst>
    </bk>
    <bk>
      <extLst>
        <ext uri="{3e2802c4-a4d2-4d8b-9148-e3be6c30e623}">
          <xlrd:rvb i="846"/>
        </ext>
      </extLst>
    </bk>
    <bk>
      <extLst>
        <ext uri="{3e2802c4-a4d2-4d8b-9148-e3be6c30e623}">
          <xlrd:rvb i="847"/>
        </ext>
      </extLst>
    </bk>
    <bk>
      <extLst>
        <ext uri="{3e2802c4-a4d2-4d8b-9148-e3be6c30e623}">
          <xlrd:rvb i="848"/>
        </ext>
      </extLst>
    </bk>
    <bk>
      <extLst>
        <ext uri="{3e2802c4-a4d2-4d8b-9148-e3be6c30e623}">
          <xlrd:rvb i="849"/>
        </ext>
      </extLst>
    </bk>
    <bk>
      <extLst>
        <ext uri="{3e2802c4-a4d2-4d8b-9148-e3be6c30e623}">
          <xlrd:rvb i="850"/>
        </ext>
      </extLst>
    </bk>
    <bk>
      <extLst>
        <ext uri="{3e2802c4-a4d2-4d8b-9148-e3be6c30e623}">
          <xlrd:rvb i="851"/>
        </ext>
      </extLst>
    </bk>
    <bk>
      <extLst>
        <ext uri="{3e2802c4-a4d2-4d8b-9148-e3be6c30e623}">
          <xlrd:rvb i="852"/>
        </ext>
      </extLst>
    </bk>
    <bk>
      <extLst>
        <ext uri="{3e2802c4-a4d2-4d8b-9148-e3be6c30e623}">
          <xlrd:rvb i="853"/>
        </ext>
      </extLst>
    </bk>
    <bk>
      <extLst>
        <ext uri="{3e2802c4-a4d2-4d8b-9148-e3be6c30e623}">
          <xlrd:rvb i="854"/>
        </ext>
      </extLst>
    </bk>
    <bk>
      <extLst>
        <ext uri="{3e2802c4-a4d2-4d8b-9148-e3be6c30e623}">
          <xlrd:rvb i="855"/>
        </ext>
      </extLst>
    </bk>
    <bk>
      <extLst>
        <ext uri="{3e2802c4-a4d2-4d8b-9148-e3be6c30e623}">
          <xlrd:rvb i="856"/>
        </ext>
      </extLst>
    </bk>
    <bk>
      <extLst>
        <ext uri="{3e2802c4-a4d2-4d8b-9148-e3be6c30e623}">
          <xlrd:rvb i="857"/>
        </ext>
      </extLst>
    </bk>
    <bk>
      <extLst>
        <ext uri="{3e2802c4-a4d2-4d8b-9148-e3be6c30e623}">
          <xlrd:rvb i="858"/>
        </ext>
      </extLst>
    </bk>
    <bk>
      <extLst>
        <ext uri="{3e2802c4-a4d2-4d8b-9148-e3be6c30e623}">
          <xlrd:rvb i="859"/>
        </ext>
      </extLst>
    </bk>
    <bk>
      <extLst>
        <ext uri="{3e2802c4-a4d2-4d8b-9148-e3be6c30e623}">
          <xlrd:rvb i="860"/>
        </ext>
      </extLst>
    </bk>
    <bk>
      <extLst>
        <ext uri="{3e2802c4-a4d2-4d8b-9148-e3be6c30e623}">
          <xlrd:rvb i="861"/>
        </ext>
      </extLst>
    </bk>
    <bk>
      <extLst>
        <ext uri="{3e2802c4-a4d2-4d8b-9148-e3be6c30e623}">
          <xlrd:rvb i="862"/>
        </ext>
      </extLst>
    </bk>
    <bk>
      <extLst>
        <ext uri="{3e2802c4-a4d2-4d8b-9148-e3be6c30e623}">
          <xlrd:rvb i="863"/>
        </ext>
      </extLst>
    </bk>
    <bk>
      <extLst>
        <ext uri="{3e2802c4-a4d2-4d8b-9148-e3be6c30e623}">
          <xlrd:rvb i="864"/>
        </ext>
      </extLst>
    </bk>
    <bk>
      <extLst>
        <ext uri="{3e2802c4-a4d2-4d8b-9148-e3be6c30e623}">
          <xlrd:rvb i="865"/>
        </ext>
      </extLst>
    </bk>
    <bk>
      <extLst>
        <ext uri="{3e2802c4-a4d2-4d8b-9148-e3be6c30e623}">
          <xlrd:rvb i="866"/>
        </ext>
      </extLst>
    </bk>
    <bk>
      <extLst>
        <ext uri="{3e2802c4-a4d2-4d8b-9148-e3be6c30e623}">
          <xlrd:rvb i="867"/>
        </ext>
      </extLst>
    </bk>
    <bk>
      <extLst>
        <ext uri="{3e2802c4-a4d2-4d8b-9148-e3be6c30e623}">
          <xlrd:rvb i="868"/>
        </ext>
      </extLst>
    </bk>
    <bk>
      <extLst>
        <ext uri="{3e2802c4-a4d2-4d8b-9148-e3be6c30e623}">
          <xlrd:rvb i="869"/>
        </ext>
      </extLst>
    </bk>
    <bk>
      <extLst>
        <ext uri="{3e2802c4-a4d2-4d8b-9148-e3be6c30e623}">
          <xlrd:rvb i="870"/>
        </ext>
      </extLst>
    </bk>
    <bk>
      <extLst>
        <ext uri="{3e2802c4-a4d2-4d8b-9148-e3be6c30e623}">
          <xlrd:rvb i="871"/>
        </ext>
      </extLst>
    </bk>
    <bk>
      <extLst>
        <ext uri="{3e2802c4-a4d2-4d8b-9148-e3be6c30e623}">
          <xlrd:rvb i="872"/>
        </ext>
      </extLst>
    </bk>
    <bk>
      <extLst>
        <ext uri="{3e2802c4-a4d2-4d8b-9148-e3be6c30e623}">
          <xlrd:rvb i="873"/>
        </ext>
      </extLst>
    </bk>
    <bk>
      <extLst>
        <ext uri="{3e2802c4-a4d2-4d8b-9148-e3be6c30e623}">
          <xlrd:rvb i="874"/>
        </ext>
      </extLst>
    </bk>
    <bk>
      <extLst>
        <ext uri="{3e2802c4-a4d2-4d8b-9148-e3be6c30e623}">
          <xlrd:rvb i="875"/>
        </ext>
      </extLst>
    </bk>
    <bk>
      <extLst>
        <ext uri="{3e2802c4-a4d2-4d8b-9148-e3be6c30e623}">
          <xlrd:rvb i="876"/>
        </ext>
      </extLst>
    </bk>
    <bk>
      <extLst>
        <ext uri="{3e2802c4-a4d2-4d8b-9148-e3be6c30e623}">
          <xlrd:rvb i="877"/>
        </ext>
      </extLst>
    </bk>
    <bk>
      <extLst>
        <ext uri="{3e2802c4-a4d2-4d8b-9148-e3be6c30e623}">
          <xlrd:rvb i="878"/>
        </ext>
      </extLst>
    </bk>
    <bk>
      <extLst>
        <ext uri="{3e2802c4-a4d2-4d8b-9148-e3be6c30e623}">
          <xlrd:rvb i="879"/>
        </ext>
      </extLst>
    </bk>
    <bk>
      <extLst>
        <ext uri="{3e2802c4-a4d2-4d8b-9148-e3be6c30e623}">
          <xlrd:rvb i="880"/>
        </ext>
      </extLst>
    </bk>
    <bk>
      <extLst>
        <ext uri="{3e2802c4-a4d2-4d8b-9148-e3be6c30e623}">
          <xlrd:rvb i="881"/>
        </ext>
      </extLst>
    </bk>
    <bk>
      <extLst>
        <ext uri="{3e2802c4-a4d2-4d8b-9148-e3be6c30e623}">
          <xlrd:rvb i="882"/>
        </ext>
      </extLst>
    </bk>
    <bk>
      <extLst>
        <ext uri="{3e2802c4-a4d2-4d8b-9148-e3be6c30e623}">
          <xlrd:rvb i="883"/>
        </ext>
      </extLst>
    </bk>
    <bk>
      <extLst>
        <ext uri="{3e2802c4-a4d2-4d8b-9148-e3be6c30e623}">
          <xlrd:rvb i="884"/>
        </ext>
      </extLst>
    </bk>
    <bk>
      <extLst>
        <ext uri="{3e2802c4-a4d2-4d8b-9148-e3be6c30e623}">
          <xlrd:rvb i="885"/>
        </ext>
      </extLst>
    </bk>
    <bk>
      <extLst>
        <ext uri="{3e2802c4-a4d2-4d8b-9148-e3be6c30e623}">
          <xlrd:rvb i="886"/>
        </ext>
      </extLst>
    </bk>
    <bk>
      <extLst>
        <ext uri="{3e2802c4-a4d2-4d8b-9148-e3be6c30e623}">
          <xlrd:rvb i="887"/>
        </ext>
      </extLst>
    </bk>
    <bk>
      <extLst>
        <ext uri="{3e2802c4-a4d2-4d8b-9148-e3be6c30e623}">
          <xlrd:rvb i="888"/>
        </ext>
      </extLst>
    </bk>
    <bk>
      <extLst>
        <ext uri="{3e2802c4-a4d2-4d8b-9148-e3be6c30e623}">
          <xlrd:rvb i="889"/>
        </ext>
      </extLst>
    </bk>
    <bk>
      <extLst>
        <ext uri="{3e2802c4-a4d2-4d8b-9148-e3be6c30e623}">
          <xlrd:rvb i="890"/>
        </ext>
      </extLst>
    </bk>
    <bk>
      <extLst>
        <ext uri="{3e2802c4-a4d2-4d8b-9148-e3be6c30e623}">
          <xlrd:rvb i="891"/>
        </ext>
      </extLst>
    </bk>
    <bk>
      <extLst>
        <ext uri="{3e2802c4-a4d2-4d8b-9148-e3be6c30e623}">
          <xlrd:rvb i="892"/>
        </ext>
      </extLst>
    </bk>
    <bk>
      <extLst>
        <ext uri="{3e2802c4-a4d2-4d8b-9148-e3be6c30e623}">
          <xlrd:rvb i="893"/>
        </ext>
      </extLst>
    </bk>
    <bk>
      <extLst>
        <ext uri="{3e2802c4-a4d2-4d8b-9148-e3be6c30e623}">
          <xlrd:rvb i="894"/>
        </ext>
      </extLst>
    </bk>
    <bk>
      <extLst>
        <ext uri="{3e2802c4-a4d2-4d8b-9148-e3be6c30e623}">
          <xlrd:rvb i="895"/>
        </ext>
      </extLst>
    </bk>
    <bk>
      <extLst>
        <ext uri="{3e2802c4-a4d2-4d8b-9148-e3be6c30e623}">
          <xlrd:rvb i="896"/>
        </ext>
      </extLst>
    </bk>
    <bk>
      <extLst>
        <ext uri="{3e2802c4-a4d2-4d8b-9148-e3be6c30e623}">
          <xlrd:rvb i="897"/>
        </ext>
      </extLst>
    </bk>
    <bk>
      <extLst>
        <ext uri="{3e2802c4-a4d2-4d8b-9148-e3be6c30e623}">
          <xlrd:rvb i="898"/>
        </ext>
      </extLst>
    </bk>
    <bk>
      <extLst>
        <ext uri="{3e2802c4-a4d2-4d8b-9148-e3be6c30e623}">
          <xlrd:rvb i="899"/>
        </ext>
      </extLst>
    </bk>
    <bk>
      <extLst>
        <ext uri="{3e2802c4-a4d2-4d8b-9148-e3be6c30e623}">
          <xlrd:rvb i="900"/>
        </ext>
      </extLst>
    </bk>
    <bk>
      <extLst>
        <ext uri="{3e2802c4-a4d2-4d8b-9148-e3be6c30e623}">
          <xlrd:rvb i="901"/>
        </ext>
      </extLst>
    </bk>
    <bk>
      <extLst>
        <ext uri="{3e2802c4-a4d2-4d8b-9148-e3be6c30e623}">
          <xlrd:rvb i="902"/>
        </ext>
      </extLst>
    </bk>
    <bk>
      <extLst>
        <ext uri="{3e2802c4-a4d2-4d8b-9148-e3be6c30e623}">
          <xlrd:rvb i="903"/>
        </ext>
      </extLst>
    </bk>
    <bk>
      <extLst>
        <ext uri="{3e2802c4-a4d2-4d8b-9148-e3be6c30e623}">
          <xlrd:rvb i="904"/>
        </ext>
      </extLst>
    </bk>
    <bk>
      <extLst>
        <ext uri="{3e2802c4-a4d2-4d8b-9148-e3be6c30e623}">
          <xlrd:rvb i="905"/>
        </ext>
      </extLst>
    </bk>
    <bk>
      <extLst>
        <ext uri="{3e2802c4-a4d2-4d8b-9148-e3be6c30e623}">
          <xlrd:rvb i="906"/>
        </ext>
      </extLst>
    </bk>
    <bk>
      <extLst>
        <ext uri="{3e2802c4-a4d2-4d8b-9148-e3be6c30e623}">
          <xlrd:rvb i="907"/>
        </ext>
      </extLst>
    </bk>
    <bk>
      <extLst>
        <ext uri="{3e2802c4-a4d2-4d8b-9148-e3be6c30e623}">
          <xlrd:rvb i="908"/>
        </ext>
      </extLst>
    </bk>
    <bk>
      <extLst>
        <ext uri="{3e2802c4-a4d2-4d8b-9148-e3be6c30e623}">
          <xlrd:rvb i="909"/>
        </ext>
      </extLst>
    </bk>
    <bk>
      <extLst>
        <ext uri="{3e2802c4-a4d2-4d8b-9148-e3be6c30e623}">
          <xlrd:rvb i="910"/>
        </ext>
      </extLst>
    </bk>
    <bk>
      <extLst>
        <ext uri="{3e2802c4-a4d2-4d8b-9148-e3be6c30e623}">
          <xlrd:rvb i="911"/>
        </ext>
      </extLst>
    </bk>
    <bk>
      <extLst>
        <ext uri="{3e2802c4-a4d2-4d8b-9148-e3be6c30e623}">
          <xlrd:rvb i="912"/>
        </ext>
      </extLst>
    </bk>
    <bk>
      <extLst>
        <ext uri="{3e2802c4-a4d2-4d8b-9148-e3be6c30e623}">
          <xlrd:rvb i="913"/>
        </ext>
      </extLst>
    </bk>
    <bk>
      <extLst>
        <ext uri="{3e2802c4-a4d2-4d8b-9148-e3be6c30e623}">
          <xlrd:rvb i="914"/>
        </ext>
      </extLst>
    </bk>
    <bk>
      <extLst>
        <ext uri="{3e2802c4-a4d2-4d8b-9148-e3be6c30e623}">
          <xlrd:rvb i="915"/>
        </ext>
      </extLst>
    </bk>
    <bk>
      <extLst>
        <ext uri="{3e2802c4-a4d2-4d8b-9148-e3be6c30e623}">
          <xlrd:rvb i="916"/>
        </ext>
      </extLst>
    </bk>
    <bk>
      <extLst>
        <ext uri="{3e2802c4-a4d2-4d8b-9148-e3be6c30e623}">
          <xlrd:rvb i="917"/>
        </ext>
      </extLst>
    </bk>
    <bk>
      <extLst>
        <ext uri="{3e2802c4-a4d2-4d8b-9148-e3be6c30e623}">
          <xlrd:rvb i="918"/>
        </ext>
      </extLst>
    </bk>
    <bk>
      <extLst>
        <ext uri="{3e2802c4-a4d2-4d8b-9148-e3be6c30e623}">
          <xlrd:rvb i="919"/>
        </ext>
      </extLst>
    </bk>
    <bk>
      <extLst>
        <ext uri="{3e2802c4-a4d2-4d8b-9148-e3be6c30e623}">
          <xlrd:rvb i="920"/>
        </ext>
      </extLst>
    </bk>
    <bk>
      <extLst>
        <ext uri="{3e2802c4-a4d2-4d8b-9148-e3be6c30e623}">
          <xlrd:rvb i="921"/>
        </ext>
      </extLst>
    </bk>
    <bk>
      <extLst>
        <ext uri="{3e2802c4-a4d2-4d8b-9148-e3be6c30e623}">
          <xlrd:rvb i="922"/>
        </ext>
      </extLst>
    </bk>
    <bk>
      <extLst>
        <ext uri="{3e2802c4-a4d2-4d8b-9148-e3be6c30e623}">
          <xlrd:rvb i="923"/>
        </ext>
      </extLst>
    </bk>
    <bk>
      <extLst>
        <ext uri="{3e2802c4-a4d2-4d8b-9148-e3be6c30e623}">
          <xlrd:rvb i="924"/>
        </ext>
      </extLst>
    </bk>
    <bk>
      <extLst>
        <ext uri="{3e2802c4-a4d2-4d8b-9148-e3be6c30e623}">
          <xlrd:rvb i="925"/>
        </ext>
      </extLst>
    </bk>
    <bk>
      <extLst>
        <ext uri="{3e2802c4-a4d2-4d8b-9148-e3be6c30e623}">
          <xlrd:rvb i="926"/>
        </ext>
      </extLst>
    </bk>
    <bk>
      <extLst>
        <ext uri="{3e2802c4-a4d2-4d8b-9148-e3be6c30e623}">
          <xlrd:rvb i="927"/>
        </ext>
      </extLst>
    </bk>
    <bk>
      <extLst>
        <ext uri="{3e2802c4-a4d2-4d8b-9148-e3be6c30e623}">
          <xlrd:rvb i="928"/>
        </ext>
      </extLst>
    </bk>
    <bk>
      <extLst>
        <ext uri="{3e2802c4-a4d2-4d8b-9148-e3be6c30e623}">
          <xlrd:rvb i="929"/>
        </ext>
      </extLst>
    </bk>
    <bk>
      <extLst>
        <ext uri="{3e2802c4-a4d2-4d8b-9148-e3be6c30e623}">
          <xlrd:rvb i="930"/>
        </ext>
      </extLst>
    </bk>
    <bk>
      <extLst>
        <ext uri="{3e2802c4-a4d2-4d8b-9148-e3be6c30e623}">
          <xlrd:rvb i="931"/>
        </ext>
      </extLst>
    </bk>
    <bk>
      <extLst>
        <ext uri="{3e2802c4-a4d2-4d8b-9148-e3be6c30e623}">
          <xlrd:rvb i="932"/>
        </ext>
      </extLst>
    </bk>
    <bk>
      <extLst>
        <ext uri="{3e2802c4-a4d2-4d8b-9148-e3be6c30e623}">
          <xlrd:rvb i="933"/>
        </ext>
      </extLst>
    </bk>
    <bk>
      <extLst>
        <ext uri="{3e2802c4-a4d2-4d8b-9148-e3be6c30e623}">
          <xlrd:rvb i="934"/>
        </ext>
      </extLst>
    </bk>
    <bk>
      <extLst>
        <ext uri="{3e2802c4-a4d2-4d8b-9148-e3be6c30e623}">
          <xlrd:rvb i="935"/>
        </ext>
      </extLst>
    </bk>
    <bk>
      <extLst>
        <ext uri="{3e2802c4-a4d2-4d8b-9148-e3be6c30e623}">
          <xlrd:rvb i="936"/>
        </ext>
      </extLst>
    </bk>
    <bk>
      <extLst>
        <ext uri="{3e2802c4-a4d2-4d8b-9148-e3be6c30e623}">
          <xlrd:rvb i="937"/>
        </ext>
      </extLst>
    </bk>
    <bk>
      <extLst>
        <ext uri="{3e2802c4-a4d2-4d8b-9148-e3be6c30e623}">
          <xlrd:rvb i="938"/>
        </ext>
      </extLst>
    </bk>
    <bk>
      <extLst>
        <ext uri="{3e2802c4-a4d2-4d8b-9148-e3be6c30e623}">
          <xlrd:rvb i="939"/>
        </ext>
      </extLst>
    </bk>
    <bk>
      <extLst>
        <ext uri="{3e2802c4-a4d2-4d8b-9148-e3be6c30e623}">
          <xlrd:rvb i="940"/>
        </ext>
      </extLst>
    </bk>
    <bk>
      <extLst>
        <ext uri="{3e2802c4-a4d2-4d8b-9148-e3be6c30e623}">
          <xlrd:rvb i="941"/>
        </ext>
      </extLst>
    </bk>
    <bk>
      <extLst>
        <ext uri="{3e2802c4-a4d2-4d8b-9148-e3be6c30e623}">
          <xlrd:rvb i="942"/>
        </ext>
      </extLst>
    </bk>
    <bk>
      <extLst>
        <ext uri="{3e2802c4-a4d2-4d8b-9148-e3be6c30e623}">
          <xlrd:rvb i="943"/>
        </ext>
      </extLst>
    </bk>
    <bk>
      <extLst>
        <ext uri="{3e2802c4-a4d2-4d8b-9148-e3be6c30e623}">
          <xlrd:rvb i="944"/>
        </ext>
      </extLst>
    </bk>
    <bk>
      <extLst>
        <ext uri="{3e2802c4-a4d2-4d8b-9148-e3be6c30e623}">
          <xlrd:rvb i="945"/>
        </ext>
      </extLst>
    </bk>
    <bk>
      <extLst>
        <ext uri="{3e2802c4-a4d2-4d8b-9148-e3be6c30e623}">
          <xlrd:rvb i="946"/>
        </ext>
      </extLst>
    </bk>
    <bk>
      <extLst>
        <ext uri="{3e2802c4-a4d2-4d8b-9148-e3be6c30e623}">
          <xlrd:rvb i="947"/>
        </ext>
      </extLst>
    </bk>
    <bk>
      <extLst>
        <ext uri="{3e2802c4-a4d2-4d8b-9148-e3be6c30e623}">
          <xlrd:rvb i="948"/>
        </ext>
      </extLst>
    </bk>
    <bk>
      <extLst>
        <ext uri="{3e2802c4-a4d2-4d8b-9148-e3be6c30e623}">
          <xlrd:rvb i="949"/>
        </ext>
      </extLst>
    </bk>
    <bk>
      <extLst>
        <ext uri="{3e2802c4-a4d2-4d8b-9148-e3be6c30e623}">
          <xlrd:rvb i="950"/>
        </ext>
      </extLst>
    </bk>
    <bk>
      <extLst>
        <ext uri="{3e2802c4-a4d2-4d8b-9148-e3be6c30e623}">
          <xlrd:rvb i="951"/>
        </ext>
      </extLst>
    </bk>
    <bk>
      <extLst>
        <ext uri="{3e2802c4-a4d2-4d8b-9148-e3be6c30e623}">
          <xlrd:rvb i="952"/>
        </ext>
      </extLst>
    </bk>
    <bk>
      <extLst>
        <ext uri="{3e2802c4-a4d2-4d8b-9148-e3be6c30e623}">
          <xlrd:rvb i="953"/>
        </ext>
      </extLst>
    </bk>
    <bk>
      <extLst>
        <ext uri="{3e2802c4-a4d2-4d8b-9148-e3be6c30e623}">
          <xlrd:rvb i="954"/>
        </ext>
      </extLst>
    </bk>
    <bk>
      <extLst>
        <ext uri="{3e2802c4-a4d2-4d8b-9148-e3be6c30e623}">
          <xlrd:rvb i="955"/>
        </ext>
      </extLst>
    </bk>
    <bk>
      <extLst>
        <ext uri="{3e2802c4-a4d2-4d8b-9148-e3be6c30e623}">
          <xlrd:rvb i="956"/>
        </ext>
      </extLst>
    </bk>
    <bk>
      <extLst>
        <ext uri="{3e2802c4-a4d2-4d8b-9148-e3be6c30e623}">
          <xlrd:rvb i="957"/>
        </ext>
      </extLst>
    </bk>
    <bk>
      <extLst>
        <ext uri="{3e2802c4-a4d2-4d8b-9148-e3be6c30e623}">
          <xlrd:rvb i="958"/>
        </ext>
      </extLst>
    </bk>
    <bk>
      <extLst>
        <ext uri="{3e2802c4-a4d2-4d8b-9148-e3be6c30e623}">
          <xlrd:rvb i="959"/>
        </ext>
      </extLst>
    </bk>
    <bk>
      <extLst>
        <ext uri="{3e2802c4-a4d2-4d8b-9148-e3be6c30e623}">
          <xlrd:rvb i="960"/>
        </ext>
      </extLst>
    </bk>
    <bk>
      <extLst>
        <ext uri="{3e2802c4-a4d2-4d8b-9148-e3be6c30e623}">
          <xlrd:rvb i="961"/>
        </ext>
      </extLst>
    </bk>
    <bk>
      <extLst>
        <ext uri="{3e2802c4-a4d2-4d8b-9148-e3be6c30e623}">
          <xlrd:rvb i="962"/>
        </ext>
      </extLst>
    </bk>
    <bk>
      <extLst>
        <ext uri="{3e2802c4-a4d2-4d8b-9148-e3be6c30e623}">
          <xlrd:rvb i="963"/>
        </ext>
      </extLst>
    </bk>
    <bk>
      <extLst>
        <ext uri="{3e2802c4-a4d2-4d8b-9148-e3be6c30e623}">
          <xlrd:rvb i="964"/>
        </ext>
      </extLst>
    </bk>
    <bk>
      <extLst>
        <ext uri="{3e2802c4-a4d2-4d8b-9148-e3be6c30e623}">
          <xlrd:rvb i="965"/>
        </ext>
      </extLst>
    </bk>
    <bk>
      <extLst>
        <ext uri="{3e2802c4-a4d2-4d8b-9148-e3be6c30e623}">
          <xlrd:rvb i="966"/>
        </ext>
      </extLst>
    </bk>
    <bk>
      <extLst>
        <ext uri="{3e2802c4-a4d2-4d8b-9148-e3be6c30e623}">
          <xlrd:rvb i="967"/>
        </ext>
      </extLst>
    </bk>
    <bk>
      <extLst>
        <ext uri="{3e2802c4-a4d2-4d8b-9148-e3be6c30e623}">
          <xlrd:rvb i="968"/>
        </ext>
      </extLst>
    </bk>
    <bk>
      <extLst>
        <ext uri="{3e2802c4-a4d2-4d8b-9148-e3be6c30e623}">
          <xlrd:rvb i="969"/>
        </ext>
      </extLst>
    </bk>
    <bk>
      <extLst>
        <ext uri="{3e2802c4-a4d2-4d8b-9148-e3be6c30e623}">
          <xlrd:rvb i="970"/>
        </ext>
      </extLst>
    </bk>
    <bk>
      <extLst>
        <ext uri="{3e2802c4-a4d2-4d8b-9148-e3be6c30e623}">
          <xlrd:rvb i="971"/>
        </ext>
      </extLst>
    </bk>
    <bk>
      <extLst>
        <ext uri="{3e2802c4-a4d2-4d8b-9148-e3be6c30e623}">
          <xlrd:rvb i="972"/>
        </ext>
      </extLst>
    </bk>
    <bk>
      <extLst>
        <ext uri="{3e2802c4-a4d2-4d8b-9148-e3be6c30e623}">
          <xlrd:rvb i="973"/>
        </ext>
      </extLst>
    </bk>
    <bk>
      <extLst>
        <ext uri="{3e2802c4-a4d2-4d8b-9148-e3be6c30e623}">
          <xlrd:rvb i="974"/>
        </ext>
      </extLst>
    </bk>
    <bk>
      <extLst>
        <ext uri="{3e2802c4-a4d2-4d8b-9148-e3be6c30e623}">
          <xlrd:rvb i="975"/>
        </ext>
      </extLst>
    </bk>
    <bk>
      <extLst>
        <ext uri="{3e2802c4-a4d2-4d8b-9148-e3be6c30e623}">
          <xlrd:rvb i="976"/>
        </ext>
      </extLst>
    </bk>
    <bk>
      <extLst>
        <ext uri="{3e2802c4-a4d2-4d8b-9148-e3be6c30e623}">
          <xlrd:rvb i="977"/>
        </ext>
      </extLst>
    </bk>
    <bk>
      <extLst>
        <ext uri="{3e2802c4-a4d2-4d8b-9148-e3be6c30e623}">
          <xlrd:rvb i="978"/>
        </ext>
      </extLst>
    </bk>
    <bk>
      <extLst>
        <ext uri="{3e2802c4-a4d2-4d8b-9148-e3be6c30e623}">
          <xlrd:rvb i="979"/>
        </ext>
      </extLst>
    </bk>
    <bk>
      <extLst>
        <ext uri="{3e2802c4-a4d2-4d8b-9148-e3be6c30e623}">
          <xlrd:rvb i="980"/>
        </ext>
      </extLst>
    </bk>
    <bk>
      <extLst>
        <ext uri="{3e2802c4-a4d2-4d8b-9148-e3be6c30e623}">
          <xlrd:rvb i="981"/>
        </ext>
      </extLst>
    </bk>
    <bk>
      <extLst>
        <ext uri="{3e2802c4-a4d2-4d8b-9148-e3be6c30e623}">
          <xlrd:rvb i="982"/>
        </ext>
      </extLst>
    </bk>
    <bk>
      <extLst>
        <ext uri="{3e2802c4-a4d2-4d8b-9148-e3be6c30e623}">
          <xlrd:rvb i="983"/>
        </ext>
      </extLst>
    </bk>
    <bk>
      <extLst>
        <ext uri="{3e2802c4-a4d2-4d8b-9148-e3be6c30e623}">
          <xlrd:rvb i="984"/>
        </ext>
      </extLst>
    </bk>
    <bk>
      <extLst>
        <ext uri="{3e2802c4-a4d2-4d8b-9148-e3be6c30e623}">
          <xlrd:rvb i="985"/>
        </ext>
      </extLst>
    </bk>
    <bk>
      <extLst>
        <ext uri="{3e2802c4-a4d2-4d8b-9148-e3be6c30e623}">
          <xlrd:rvb i="986"/>
        </ext>
      </extLst>
    </bk>
    <bk>
      <extLst>
        <ext uri="{3e2802c4-a4d2-4d8b-9148-e3be6c30e623}">
          <xlrd:rvb i="987"/>
        </ext>
      </extLst>
    </bk>
    <bk>
      <extLst>
        <ext uri="{3e2802c4-a4d2-4d8b-9148-e3be6c30e623}">
          <xlrd:rvb i="988"/>
        </ext>
      </extLst>
    </bk>
    <bk>
      <extLst>
        <ext uri="{3e2802c4-a4d2-4d8b-9148-e3be6c30e623}">
          <xlrd:rvb i="989"/>
        </ext>
      </extLst>
    </bk>
    <bk>
      <extLst>
        <ext uri="{3e2802c4-a4d2-4d8b-9148-e3be6c30e623}">
          <xlrd:rvb i="990"/>
        </ext>
      </extLst>
    </bk>
    <bk>
      <extLst>
        <ext uri="{3e2802c4-a4d2-4d8b-9148-e3be6c30e623}">
          <xlrd:rvb i="991"/>
        </ext>
      </extLst>
    </bk>
    <bk>
      <extLst>
        <ext uri="{3e2802c4-a4d2-4d8b-9148-e3be6c30e623}">
          <xlrd:rvb i="992"/>
        </ext>
      </extLst>
    </bk>
    <bk>
      <extLst>
        <ext uri="{3e2802c4-a4d2-4d8b-9148-e3be6c30e623}">
          <xlrd:rvb i="993"/>
        </ext>
      </extLst>
    </bk>
    <bk>
      <extLst>
        <ext uri="{3e2802c4-a4d2-4d8b-9148-e3be6c30e623}">
          <xlrd:rvb i="994"/>
        </ext>
      </extLst>
    </bk>
    <bk>
      <extLst>
        <ext uri="{3e2802c4-a4d2-4d8b-9148-e3be6c30e623}">
          <xlrd:rvb i="995"/>
        </ext>
      </extLst>
    </bk>
    <bk>
      <extLst>
        <ext uri="{3e2802c4-a4d2-4d8b-9148-e3be6c30e623}">
          <xlrd:rvb i="996"/>
        </ext>
      </extLst>
    </bk>
    <bk>
      <extLst>
        <ext uri="{3e2802c4-a4d2-4d8b-9148-e3be6c30e623}">
          <xlrd:rvb i="997"/>
        </ext>
      </extLst>
    </bk>
    <bk>
      <extLst>
        <ext uri="{3e2802c4-a4d2-4d8b-9148-e3be6c30e623}">
          <xlrd:rvb i="998"/>
        </ext>
      </extLst>
    </bk>
    <bk>
      <extLst>
        <ext uri="{3e2802c4-a4d2-4d8b-9148-e3be6c30e623}">
          <xlrd:rvb i="999"/>
        </ext>
      </extLst>
    </bk>
    <bk>
      <extLst>
        <ext uri="{3e2802c4-a4d2-4d8b-9148-e3be6c30e623}">
          <xlrd:rvb i="1000"/>
        </ext>
      </extLst>
    </bk>
    <bk>
      <extLst>
        <ext uri="{3e2802c4-a4d2-4d8b-9148-e3be6c30e623}">
          <xlrd:rvb i="1001"/>
        </ext>
      </extLst>
    </bk>
    <bk>
      <extLst>
        <ext uri="{3e2802c4-a4d2-4d8b-9148-e3be6c30e623}">
          <xlrd:rvb i="1002"/>
        </ext>
      </extLst>
    </bk>
    <bk>
      <extLst>
        <ext uri="{3e2802c4-a4d2-4d8b-9148-e3be6c30e623}">
          <xlrd:rvb i="1003"/>
        </ext>
      </extLst>
    </bk>
    <bk>
      <extLst>
        <ext uri="{3e2802c4-a4d2-4d8b-9148-e3be6c30e623}">
          <xlrd:rvb i="1004"/>
        </ext>
      </extLst>
    </bk>
    <bk>
      <extLst>
        <ext uri="{3e2802c4-a4d2-4d8b-9148-e3be6c30e623}">
          <xlrd:rvb i="1005"/>
        </ext>
      </extLst>
    </bk>
    <bk>
      <extLst>
        <ext uri="{3e2802c4-a4d2-4d8b-9148-e3be6c30e623}">
          <xlrd:rvb i="1006"/>
        </ext>
      </extLst>
    </bk>
    <bk>
      <extLst>
        <ext uri="{3e2802c4-a4d2-4d8b-9148-e3be6c30e623}">
          <xlrd:rvb i="1007"/>
        </ext>
      </extLst>
    </bk>
    <bk>
      <extLst>
        <ext uri="{3e2802c4-a4d2-4d8b-9148-e3be6c30e623}">
          <xlrd:rvb i="1008"/>
        </ext>
      </extLst>
    </bk>
    <bk>
      <extLst>
        <ext uri="{3e2802c4-a4d2-4d8b-9148-e3be6c30e623}">
          <xlrd:rvb i="1009"/>
        </ext>
      </extLst>
    </bk>
    <bk>
      <extLst>
        <ext uri="{3e2802c4-a4d2-4d8b-9148-e3be6c30e623}">
          <xlrd:rvb i="1010"/>
        </ext>
      </extLst>
    </bk>
    <bk>
      <extLst>
        <ext uri="{3e2802c4-a4d2-4d8b-9148-e3be6c30e623}">
          <xlrd:rvb i="1011"/>
        </ext>
      </extLst>
    </bk>
    <bk>
      <extLst>
        <ext uri="{3e2802c4-a4d2-4d8b-9148-e3be6c30e623}">
          <xlrd:rvb i="1012"/>
        </ext>
      </extLst>
    </bk>
    <bk>
      <extLst>
        <ext uri="{3e2802c4-a4d2-4d8b-9148-e3be6c30e623}">
          <xlrd:rvb i="1013"/>
        </ext>
      </extLst>
    </bk>
    <bk>
      <extLst>
        <ext uri="{3e2802c4-a4d2-4d8b-9148-e3be6c30e623}">
          <xlrd:rvb i="1014"/>
        </ext>
      </extLst>
    </bk>
    <bk>
      <extLst>
        <ext uri="{3e2802c4-a4d2-4d8b-9148-e3be6c30e623}">
          <xlrd:rvb i="1015"/>
        </ext>
      </extLst>
    </bk>
    <bk>
      <extLst>
        <ext uri="{3e2802c4-a4d2-4d8b-9148-e3be6c30e623}">
          <xlrd:rvb i="1016"/>
        </ext>
      </extLst>
    </bk>
    <bk>
      <extLst>
        <ext uri="{3e2802c4-a4d2-4d8b-9148-e3be6c30e623}">
          <xlrd:rvb i="1017"/>
        </ext>
      </extLst>
    </bk>
    <bk>
      <extLst>
        <ext uri="{3e2802c4-a4d2-4d8b-9148-e3be6c30e623}">
          <xlrd:rvb i="1018"/>
        </ext>
      </extLst>
    </bk>
    <bk>
      <extLst>
        <ext uri="{3e2802c4-a4d2-4d8b-9148-e3be6c30e623}">
          <xlrd:rvb i="1019"/>
        </ext>
      </extLst>
    </bk>
    <bk>
      <extLst>
        <ext uri="{3e2802c4-a4d2-4d8b-9148-e3be6c30e623}">
          <xlrd:rvb i="1020"/>
        </ext>
      </extLst>
    </bk>
    <bk>
      <extLst>
        <ext uri="{3e2802c4-a4d2-4d8b-9148-e3be6c30e623}">
          <xlrd:rvb i="1021"/>
        </ext>
      </extLst>
    </bk>
    <bk>
      <extLst>
        <ext uri="{3e2802c4-a4d2-4d8b-9148-e3be6c30e623}">
          <xlrd:rvb i="1022"/>
        </ext>
      </extLst>
    </bk>
    <bk>
      <extLst>
        <ext uri="{3e2802c4-a4d2-4d8b-9148-e3be6c30e623}">
          <xlrd:rvb i="1023"/>
        </ext>
      </extLst>
    </bk>
    <bk>
      <extLst>
        <ext uri="{3e2802c4-a4d2-4d8b-9148-e3be6c30e623}">
          <xlrd:rvb i="1024"/>
        </ext>
      </extLst>
    </bk>
    <bk>
      <extLst>
        <ext uri="{3e2802c4-a4d2-4d8b-9148-e3be6c30e623}">
          <xlrd:rvb i="1025"/>
        </ext>
      </extLst>
    </bk>
    <bk>
      <extLst>
        <ext uri="{3e2802c4-a4d2-4d8b-9148-e3be6c30e623}">
          <xlrd:rvb i="1026"/>
        </ext>
      </extLst>
    </bk>
    <bk>
      <extLst>
        <ext uri="{3e2802c4-a4d2-4d8b-9148-e3be6c30e623}">
          <xlrd:rvb i="1027"/>
        </ext>
      </extLst>
    </bk>
    <bk>
      <extLst>
        <ext uri="{3e2802c4-a4d2-4d8b-9148-e3be6c30e623}">
          <xlrd:rvb i="1028"/>
        </ext>
      </extLst>
    </bk>
    <bk>
      <extLst>
        <ext uri="{3e2802c4-a4d2-4d8b-9148-e3be6c30e623}">
          <xlrd:rvb i="1029"/>
        </ext>
      </extLst>
    </bk>
    <bk>
      <extLst>
        <ext uri="{3e2802c4-a4d2-4d8b-9148-e3be6c30e623}">
          <xlrd:rvb i="1030"/>
        </ext>
      </extLst>
    </bk>
    <bk>
      <extLst>
        <ext uri="{3e2802c4-a4d2-4d8b-9148-e3be6c30e623}">
          <xlrd:rvb i="1031"/>
        </ext>
      </extLst>
    </bk>
    <bk>
      <extLst>
        <ext uri="{3e2802c4-a4d2-4d8b-9148-e3be6c30e623}">
          <xlrd:rvb i="1032"/>
        </ext>
      </extLst>
    </bk>
    <bk>
      <extLst>
        <ext uri="{3e2802c4-a4d2-4d8b-9148-e3be6c30e623}">
          <xlrd:rvb i="1033"/>
        </ext>
      </extLst>
    </bk>
    <bk>
      <extLst>
        <ext uri="{3e2802c4-a4d2-4d8b-9148-e3be6c30e623}">
          <xlrd:rvb i="1034"/>
        </ext>
      </extLst>
    </bk>
    <bk>
      <extLst>
        <ext uri="{3e2802c4-a4d2-4d8b-9148-e3be6c30e623}">
          <xlrd:rvb i="1035"/>
        </ext>
      </extLst>
    </bk>
    <bk>
      <extLst>
        <ext uri="{3e2802c4-a4d2-4d8b-9148-e3be6c30e623}">
          <xlrd:rvb i="1036"/>
        </ext>
      </extLst>
    </bk>
    <bk>
      <extLst>
        <ext uri="{3e2802c4-a4d2-4d8b-9148-e3be6c30e623}">
          <xlrd:rvb i="1037"/>
        </ext>
      </extLst>
    </bk>
    <bk>
      <extLst>
        <ext uri="{3e2802c4-a4d2-4d8b-9148-e3be6c30e623}">
          <xlrd:rvb i="1038"/>
        </ext>
      </extLst>
    </bk>
    <bk>
      <extLst>
        <ext uri="{3e2802c4-a4d2-4d8b-9148-e3be6c30e623}">
          <xlrd:rvb i="1039"/>
        </ext>
      </extLst>
    </bk>
    <bk>
      <extLst>
        <ext uri="{3e2802c4-a4d2-4d8b-9148-e3be6c30e623}">
          <xlrd:rvb i="1040"/>
        </ext>
      </extLst>
    </bk>
    <bk>
      <extLst>
        <ext uri="{3e2802c4-a4d2-4d8b-9148-e3be6c30e623}">
          <xlrd:rvb i="1041"/>
        </ext>
      </extLst>
    </bk>
    <bk>
      <extLst>
        <ext uri="{3e2802c4-a4d2-4d8b-9148-e3be6c30e623}">
          <xlrd:rvb i="1042"/>
        </ext>
      </extLst>
    </bk>
    <bk>
      <extLst>
        <ext uri="{3e2802c4-a4d2-4d8b-9148-e3be6c30e623}">
          <xlrd:rvb i="1043"/>
        </ext>
      </extLst>
    </bk>
    <bk>
      <extLst>
        <ext uri="{3e2802c4-a4d2-4d8b-9148-e3be6c30e623}">
          <xlrd:rvb i="1044"/>
        </ext>
      </extLst>
    </bk>
    <bk>
      <extLst>
        <ext uri="{3e2802c4-a4d2-4d8b-9148-e3be6c30e623}">
          <xlrd:rvb i="1045"/>
        </ext>
      </extLst>
    </bk>
    <bk>
      <extLst>
        <ext uri="{3e2802c4-a4d2-4d8b-9148-e3be6c30e623}">
          <xlrd:rvb i="1046"/>
        </ext>
      </extLst>
    </bk>
    <bk>
      <extLst>
        <ext uri="{3e2802c4-a4d2-4d8b-9148-e3be6c30e623}">
          <xlrd:rvb i="1047"/>
        </ext>
      </extLst>
    </bk>
    <bk>
      <extLst>
        <ext uri="{3e2802c4-a4d2-4d8b-9148-e3be6c30e623}">
          <xlrd:rvb i="1048"/>
        </ext>
      </extLst>
    </bk>
    <bk>
      <extLst>
        <ext uri="{3e2802c4-a4d2-4d8b-9148-e3be6c30e623}">
          <xlrd:rvb i="1049"/>
        </ext>
      </extLst>
    </bk>
    <bk>
      <extLst>
        <ext uri="{3e2802c4-a4d2-4d8b-9148-e3be6c30e623}">
          <xlrd:rvb i="1050"/>
        </ext>
      </extLst>
    </bk>
    <bk>
      <extLst>
        <ext uri="{3e2802c4-a4d2-4d8b-9148-e3be6c30e623}">
          <xlrd:rvb i="1051"/>
        </ext>
      </extLst>
    </bk>
    <bk>
      <extLst>
        <ext uri="{3e2802c4-a4d2-4d8b-9148-e3be6c30e623}">
          <xlrd:rvb i="1052"/>
        </ext>
      </extLst>
    </bk>
    <bk>
      <extLst>
        <ext uri="{3e2802c4-a4d2-4d8b-9148-e3be6c30e623}">
          <xlrd:rvb i="1053"/>
        </ext>
      </extLst>
    </bk>
    <bk>
      <extLst>
        <ext uri="{3e2802c4-a4d2-4d8b-9148-e3be6c30e623}">
          <xlrd:rvb i="1054"/>
        </ext>
      </extLst>
    </bk>
    <bk>
      <extLst>
        <ext uri="{3e2802c4-a4d2-4d8b-9148-e3be6c30e623}">
          <xlrd:rvb i="1055"/>
        </ext>
      </extLst>
    </bk>
    <bk>
      <extLst>
        <ext uri="{3e2802c4-a4d2-4d8b-9148-e3be6c30e623}">
          <xlrd:rvb i="1056"/>
        </ext>
      </extLst>
    </bk>
    <bk>
      <extLst>
        <ext uri="{3e2802c4-a4d2-4d8b-9148-e3be6c30e623}">
          <xlrd:rvb i="1057"/>
        </ext>
      </extLst>
    </bk>
    <bk>
      <extLst>
        <ext uri="{3e2802c4-a4d2-4d8b-9148-e3be6c30e623}">
          <xlrd:rvb i="1058"/>
        </ext>
      </extLst>
    </bk>
    <bk>
      <extLst>
        <ext uri="{3e2802c4-a4d2-4d8b-9148-e3be6c30e623}">
          <xlrd:rvb i="1059"/>
        </ext>
      </extLst>
    </bk>
    <bk>
      <extLst>
        <ext uri="{3e2802c4-a4d2-4d8b-9148-e3be6c30e623}">
          <xlrd:rvb i="1060"/>
        </ext>
      </extLst>
    </bk>
    <bk>
      <extLst>
        <ext uri="{3e2802c4-a4d2-4d8b-9148-e3be6c30e623}">
          <xlrd:rvb i="1061"/>
        </ext>
      </extLst>
    </bk>
    <bk>
      <extLst>
        <ext uri="{3e2802c4-a4d2-4d8b-9148-e3be6c30e623}">
          <xlrd:rvb i="1062"/>
        </ext>
      </extLst>
    </bk>
    <bk>
      <extLst>
        <ext uri="{3e2802c4-a4d2-4d8b-9148-e3be6c30e623}">
          <xlrd:rvb i="1063"/>
        </ext>
      </extLst>
    </bk>
    <bk>
      <extLst>
        <ext uri="{3e2802c4-a4d2-4d8b-9148-e3be6c30e623}">
          <xlrd:rvb i="1064"/>
        </ext>
      </extLst>
    </bk>
    <bk>
      <extLst>
        <ext uri="{3e2802c4-a4d2-4d8b-9148-e3be6c30e623}">
          <xlrd:rvb i="1065"/>
        </ext>
      </extLst>
    </bk>
    <bk>
      <extLst>
        <ext uri="{3e2802c4-a4d2-4d8b-9148-e3be6c30e623}">
          <xlrd:rvb i="1066"/>
        </ext>
      </extLst>
    </bk>
    <bk>
      <extLst>
        <ext uri="{3e2802c4-a4d2-4d8b-9148-e3be6c30e623}">
          <xlrd:rvb i="1067"/>
        </ext>
      </extLst>
    </bk>
    <bk>
      <extLst>
        <ext uri="{3e2802c4-a4d2-4d8b-9148-e3be6c30e623}">
          <xlrd:rvb i="1068"/>
        </ext>
      </extLst>
    </bk>
    <bk>
      <extLst>
        <ext uri="{3e2802c4-a4d2-4d8b-9148-e3be6c30e623}">
          <xlrd:rvb i="1069"/>
        </ext>
      </extLst>
    </bk>
    <bk>
      <extLst>
        <ext uri="{3e2802c4-a4d2-4d8b-9148-e3be6c30e623}">
          <xlrd:rvb i="1070"/>
        </ext>
      </extLst>
    </bk>
    <bk>
      <extLst>
        <ext uri="{3e2802c4-a4d2-4d8b-9148-e3be6c30e623}">
          <xlrd:rvb i="1071"/>
        </ext>
      </extLst>
    </bk>
    <bk>
      <extLst>
        <ext uri="{3e2802c4-a4d2-4d8b-9148-e3be6c30e623}">
          <xlrd:rvb i="1072"/>
        </ext>
      </extLst>
    </bk>
    <bk>
      <extLst>
        <ext uri="{3e2802c4-a4d2-4d8b-9148-e3be6c30e623}">
          <xlrd:rvb i="1073"/>
        </ext>
      </extLst>
    </bk>
    <bk>
      <extLst>
        <ext uri="{3e2802c4-a4d2-4d8b-9148-e3be6c30e623}">
          <xlrd:rvb i="1074"/>
        </ext>
      </extLst>
    </bk>
    <bk>
      <extLst>
        <ext uri="{3e2802c4-a4d2-4d8b-9148-e3be6c30e623}">
          <xlrd:rvb i="1075"/>
        </ext>
      </extLst>
    </bk>
    <bk>
      <extLst>
        <ext uri="{3e2802c4-a4d2-4d8b-9148-e3be6c30e623}">
          <xlrd:rvb i="1076"/>
        </ext>
      </extLst>
    </bk>
    <bk>
      <extLst>
        <ext uri="{3e2802c4-a4d2-4d8b-9148-e3be6c30e623}">
          <xlrd:rvb i="1077"/>
        </ext>
      </extLst>
    </bk>
    <bk>
      <extLst>
        <ext uri="{3e2802c4-a4d2-4d8b-9148-e3be6c30e623}">
          <xlrd:rvb i="1078"/>
        </ext>
      </extLst>
    </bk>
    <bk>
      <extLst>
        <ext uri="{3e2802c4-a4d2-4d8b-9148-e3be6c30e623}">
          <xlrd:rvb i="1079"/>
        </ext>
      </extLst>
    </bk>
    <bk>
      <extLst>
        <ext uri="{3e2802c4-a4d2-4d8b-9148-e3be6c30e623}">
          <xlrd:rvb i="1080"/>
        </ext>
      </extLst>
    </bk>
    <bk>
      <extLst>
        <ext uri="{3e2802c4-a4d2-4d8b-9148-e3be6c30e623}">
          <xlrd:rvb i="1081"/>
        </ext>
      </extLst>
    </bk>
    <bk>
      <extLst>
        <ext uri="{3e2802c4-a4d2-4d8b-9148-e3be6c30e623}">
          <xlrd:rvb i="1082"/>
        </ext>
      </extLst>
    </bk>
    <bk>
      <extLst>
        <ext uri="{3e2802c4-a4d2-4d8b-9148-e3be6c30e623}">
          <xlrd:rvb i="1083"/>
        </ext>
      </extLst>
    </bk>
    <bk>
      <extLst>
        <ext uri="{3e2802c4-a4d2-4d8b-9148-e3be6c30e623}">
          <xlrd:rvb i="1084"/>
        </ext>
      </extLst>
    </bk>
    <bk>
      <extLst>
        <ext uri="{3e2802c4-a4d2-4d8b-9148-e3be6c30e623}">
          <xlrd:rvb i="1085"/>
        </ext>
      </extLst>
    </bk>
    <bk>
      <extLst>
        <ext uri="{3e2802c4-a4d2-4d8b-9148-e3be6c30e623}">
          <xlrd:rvb i="1086"/>
        </ext>
      </extLst>
    </bk>
    <bk>
      <extLst>
        <ext uri="{3e2802c4-a4d2-4d8b-9148-e3be6c30e623}">
          <xlrd:rvb i="1087"/>
        </ext>
      </extLst>
    </bk>
    <bk>
      <extLst>
        <ext uri="{3e2802c4-a4d2-4d8b-9148-e3be6c30e623}">
          <xlrd:rvb i="1088"/>
        </ext>
      </extLst>
    </bk>
    <bk>
      <extLst>
        <ext uri="{3e2802c4-a4d2-4d8b-9148-e3be6c30e623}">
          <xlrd:rvb i="1089"/>
        </ext>
      </extLst>
    </bk>
    <bk>
      <extLst>
        <ext uri="{3e2802c4-a4d2-4d8b-9148-e3be6c30e623}">
          <xlrd:rvb i="1090"/>
        </ext>
      </extLst>
    </bk>
    <bk>
      <extLst>
        <ext uri="{3e2802c4-a4d2-4d8b-9148-e3be6c30e623}">
          <xlrd:rvb i="1091"/>
        </ext>
      </extLst>
    </bk>
    <bk>
      <extLst>
        <ext uri="{3e2802c4-a4d2-4d8b-9148-e3be6c30e623}">
          <xlrd:rvb i="1092"/>
        </ext>
      </extLst>
    </bk>
    <bk>
      <extLst>
        <ext uri="{3e2802c4-a4d2-4d8b-9148-e3be6c30e623}">
          <xlrd:rvb i="1093"/>
        </ext>
      </extLst>
    </bk>
    <bk>
      <extLst>
        <ext uri="{3e2802c4-a4d2-4d8b-9148-e3be6c30e623}">
          <xlrd:rvb i="1094"/>
        </ext>
      </extLst>
    </bk>
    <bk>
      <extLst>
        <ext uri="{3e2802c4-a4d2-4d8b-9148-e3be6c30e623}">
          <xlrd:rvb i="1095"/>
        </ext>
      </extLst>
    </bk>
    <bk>
      <extLst>
        <ext uri="{3e2802c4-a4d2-4d8b-9148-e3be6c30e623}">
          <xlrd:rvb i="1096"/>
        </ext>
      </extLst>
    </bk>
    <bk>
      <extLst>
        <ext uri="{3e2802c4-a4d2-4d8b-9148-e3be6c30e623}">
          <xlrd:rvb i="1097"/>
        </ext>
      </extLst>
    </bk>
    <bk>
      <extLst>
        <ext uri="{3e2802c4-a4d2-4d8b-9148-e3be6c30e623}">
          <xlrd:rvb i="1098"/>
        </ext>
      </extLst>
    </bk>
    <bk>
      <extLst>
        <ext uri="{3e2802c4-a4d2-4d8b-9148-e3be6c30e623}">
          <xlrd:rvb i="1099"/>
        </ext>
      </extLst>
    </bk>
    <bk>
      <extLst>
        <ext uri="{3e2802c4-a4d2-4d8b-9148-e3be6c30e623}">
          <xlrd:rvb i="1100"/>
        </ext>
      </extLst>
    </bk>
    <bk>
      <extLst>
        <ext uri="{3e2802c4-a4d2-4d8b-9148-e3be6c30e623}">
          <xlrd:rvb i="1101"/>
        </ext>
      </extLst>
    </bk>
    <bk>
      <extLst>
        <ext uri="{3e2802c4-a4d2-4d8b-9148-e3be6c30e623}">
          <xlrd:rvb i="1102"/>
        </ext>
      </extLst>
    </bk>
    <bk>
      <extLst>
        <ext uri="{3e2802c4-a4d2-4d8b-9148-e3be6c30e623}">
          <xlrd:rvb i="1103"/>
        </ext>
      </extLst>
    </bk>
    <bk>
      <extLst>
        <ext uri="{3e2802c4-a4d2-4d8b-9148-e3be6c30e623}">
          <xlrd:rvb i="1104"/>
        </ext>
      </extLst>
    </bk>
    <bk>
      <extLst>
        <ext uri="{3e2802c4-a4d2-4d8b-9148-e3be6c30e623}">
          <xlrd:rvb i="1105"/>
        </ext>
      </extLst>
    </bk>
    <bk>
      <extLst>
        <ext uri="{3e2802c4-a4d2-4d8b-9148-e3be6c30e623}">
          <xlrd:rvb i="1106"/>
        </ext>
      </extLst>
    </bk>
    <bk>
      <extLst>
        <ext uri="{3e2802c4-a4d2-4d8b-9148-e3be6c30e623}">
          <xlrd:rvb i="1107"/>
        </ext>
      </extLst>
    </bk>
  </futureMetadata>
  <cellMetadata count="1">
    <bk>
      <rc t="1" v="0"/>
    </bk>
  </cellMetadata>
  <valueMetadata count="1108">
    <bk>
      <rc t="2" v="0"/>
    </bk>
    <bk>
      <rc t="2" v="1"/>
    </bk>
    <bk>
      <rc t="2" v="2"/>
    </bk>
    <bk>
      <rc t="2" v="3"/>
    </bk>
    <bk>
      <rc t="2" v="4"/>
    </bk>
    <bk>
      <rc t="2" v="5"/>
    </bk>
    <bk>
      <rc t="2" v="6"/>
    </bk>
    <bk>
      <rc t="2" v="7"/>
    </bk>
    <bk>
      <rc t="2" v="8"/>
    </bk>
    <bk>
      <rc t="2" v="9"/>
    </bk>
    <bk>
      <rc t="2" v="10"/>
    </bk>
    <bk>
      <rc t="2" v="11"/>
    </bk>
    <bk>
      <rc t="2" v="12"/>
    </bk>
    <bk>
      <rc t="2" v="13"/>
    </bk>
    <bk>
      <rc t="2" v="14"/>
    </bk>
    <bk>
      <rc t="2" v="15"/>
    </bk>
    <bk>
      <rc t="2" v="16"/>
    </bk>
    <bk>
      <rc t="2" v="17"/>
    </bk>
    <bk>
      <rc t="2" v="18"/>
    </bk>
    <bk>
      <rc t="2" v="19"/>
    </bk>
    <bk>
      <rc t="2" v="20"/>
    </bk>
    <bk>
      <rc t="2" v="21"/>
    </bk>
    <bk>
      <rc t="2" v="22"/>
    </bk>
    <bk>
      <rc t="2" v="23"/>
    </bk>
    <bk>
      <rc t="2" v="24"/>
    </bk>
    <bk>
      <rc t="2" v="25"/>
    </bk>
    <bk>
      <rc t="2" v="26"/>
    </bk>
    <bk>
      <rc t="2" v="27"/>
    </bk>
    <bk>
      <rc t="2" v="28"/>
    </bk>
    <bk>
      <rc t="2" v="29"/>
    </bk>
    <bk>
      <rc t="2" v="30"/>
    </bk>
    <bk>
      <rc t="2" v="31"/>
    </bk>
    <bk>
      <rc t="2" v="32"/>
    </bk>
    <bk>
      <rc t="2" v="33"/>
    </bk>
    <bk>
      <rc t="2" v="34"/>
    </bk>
    <bk>
      <rc t="2" v="35"/>
    </bk>
    <bk>
      <rc t="2" v="36"/>
    </bk>
    <bk>
      <rc t="2" v="37"/>
    </bk>
    <bk>
      <rc t="2" v="38"/>
    </bk>
    <bk>
      <rc t="2" v="39"/>
    </bk>
    <bk>
      <rc t="2" v="40"/>
    </bk>
    <bk>
      <rc t="2" v="41"/>
    </bk>
    <bk>
      <rc t="2" v="42"/>
    </bk>
    <bk>
      <rc t="2" v="43"/>
    </bk>
    <bk>
      <rc t="2" v="44"/>
    </bk>
    <bk>
      <rc t="2" v="45"/>
    </bk>
    <bk>
      <rc t="2" v="46"/>
    </bk>
    <bk>
      <rc t="2" v="47"/>
    </bk>
    <bk>
      <rc t="2" v="48"/>
    </bk>
    <bk>
      <rc t="2" v="49"/>
    </bk>
    <bk>
      <rc t="2" v="50"/>
    </bk>
    <bk>
      <rc t="2" v="51"/>
    </bk>
    <bk>
      <rc t="2" v="52"/>
    </bk>
    <bk>
      <rc t="2" v="53"/>
    </bk>
    <bk>
      <rc t="2" v="54"/>
    </bk>
    <bk>
      <rc t="2" v="55"/>
    </bk>
    <bk>
      <rc t="2" v="56"/>
    </bk>
    <bk>
      <rc t="2" v="57"/>
    </bk>
    <bk>
      <rc t="2" v="58"/>
    </bk>
    <bk>
      <rc t="2" v="59"/>
    </bk>
    <bk>
      <rc t="2" v="60"/>
    </bk>
    <bk>
      <rc t="2" v="61"/>
    </bk>
    <bk>
      <rc t="2" v="62"/>
    </bk>
    <bk>
      <rc t="2" v="63"/>
    </bk>
    <bk>
      <rc t="2" v="64"/>
    </bk>
    <bk>
      <rc t="2" v="65"/>
    </bk>
    <bk>
      <rc t="2" v="66"/>
    </bk>
    <bk>
      <rc t="2" v="67"/>
    </bk>
    <bk>
      <rc t="2" v="68"/>
    </bk>
    <bk>
      <rc t="2" v="69"/>
    </bk>
    <bk>
      <rc t="2" v="70"/>
    </bk>
    <bk>
      <rc t="2" v="71"/>
    </bk>
    <bk>
      <rc t="2" v="72"/>
    </bk>
    <bk>
      <rc t="2" v="73"/>
    </bk>
    <bk>
      <rc t="2" v="74"/>
    </bk>
    <bk>
      <rc t="2" v="75"/>
    </bk>
    <bk>
      <rc t="2" v="76"/>
    </bk>
    <bk>
      <rc t="2" v="77"/>
    </bk>
    <bk>
      <rc t="2" v="78"/>
    </bk>
    <bk>
      <rc t="2" v="79"/>
    </bk>
    <bk>
      <rc t="2" v="80"/>
    </bk>
    <bk>
      <rc t="2" v="81"/>
    </bk>
    <bk>
      <rc t="2" v="82"/>
    </bk>
    <bk>
      <rc t="2" v="83"/>
    </bk>
    <bk>
      <rc t="2" v="84"/>
    </bk>
    <bk>
      <rc t="2" v="85"/>
    </bk>
    <bk>
      <rc t="2" v="86"/>
    </bk>
    <bk>
      <rc t="2" v="87"/>
    </bk>
    <bk>
      <rc t="2" v="88"/>
    </bk>
    <bk>
      <rc t="2" v="89"/>
    </bk>
    <bk>
      <rc t="2" v="90"/>
    </bk>
    <bk>
      <rc t="2" v="91"/>
    </bk>
    <bk>
      <rc t="2" v="92"/>
    </bk>
    <bk>
      <rc t="2" v="93"/>
    </bk>
    <bk>
      <rc t="2" v="94"/>
    </bk>
    <bk>
      <rc t="2" v="95"/>
    </bk>
    <bk>
      <rc t="2" v="96"/>
    </bk>
    <bk>
      <rc t="2" v="97"/>
    </bk>
    <bk>
      <rc t="2" v="98"/>
    </bk>
    <bk>
      <rc t="2" v="99"/>
    </bk>
    <bk>
      <rc t="2" v="100"/>
    </bk>
    <bk>
      <rc t="2" v="101"/>
    </bk>
    <bk>
      <rc t="2" v="102"/>
    </bk>
    <bk>
      <rc t="2" v="103"/>
    </bk>
    <bk>
      <rc t="2" v="104"/>
    </bk>
    <bk>
      <rc t="2" v="105"/>
    </bk>
    <bk>
      <rc t="2" v="106"/>
    </bk>
    <bk>
      <rc t="2" v="107"/>
    </bk>
    <bk>
      <rc t="2" v="108"/>
    </bk>
    <bk>
      <rc t="2" v="109"/>
    </bk>
    <bk>
      <rc t="2" v="110"/>
    </bk>
    <bk>
      <rc t="2" v="111"/>
    </bk>
    <bk>
      <rc t="2" v="112"/>
    </bk>
    <bk>
      <rc t="2" v="113"/>
    </bk>
    <bk>
      <rc t="2" v="114"/>
    </bk>
    <bk>
      <rc t="2" v="115"/>
    </bk>
    <bk>
      <rc t="2" v="116"/>
    </bk>
    <bk>
      <rc t="2" v="117"/>
    </bk>
    <bk>
      <rc t="2" v="118"/>
    </bk>
    <bk>
      <rc t="2" v="119"/>
    </bk>
    <bk>
      <rc t="2" v="120"/>
    </bk>
    <bk>
      <rc t="2" v="121"/>
    </bk>
    <bk>
      <rc t="2" v="122"/>
    </bk>
    <bk>
      <rc t="2" v="123"/>
    </bk>
    <bk>
      <rc t="2" v="124"/>
    </bk>
    <bk>
      <rc t="2" v="125"/>
    </bk>
    <bk>
      <rc t="2" v="126"/>
    </bk>
    <bk>
      <rc t="2" v="127"/>
    </bk>
    <bk>
      <rc t="2" v="128"/>
    </bk>
    <bk>
      <rc t="2" v="129"/>
    </bk>
    <bk>
      <rc t="2" v="130"/>
    </bk>
    <bk>
      <rc t="2" v="131"/>
    </bk>
    <bk>
      <rc t="2" v="132"/>
    </bk>
    <bk>
      <rc t="2" v="133"/>
    </bk>
    <bk>
      <rc t="2" v="134"/>
    </bk>
    <bk>
      <rc t="2" v="135"/>
    </bk>
    <bk>
      <rc t="2" v="136"/>
    </bk>
    <bk>
      <rc t="2" v="137"/>
    </bk>
    <bk>
      <rc t="2" v="138"/>
    </bk>
    <bk>
      <rc t="2" v="139"/>
    </bk>
    <bk>
      <rc t="2" v="140"/>
    </bk>
    <bk>
      <rc t="2" v="141"/>
    </bk>
    <bk>
      <rc t="2" v="142"/>
    </bk>
    <bk>
      <rc t="2" v="143"/>
    </bk>
    <bk>
      <rc t="2" v="144"/>
    </bk>
    <bk>
      <rc t="2" v="145"/>
    </bk>
    <bk>
      <rc t="2" v="146"/>
    </bk>
    <bk>
      <rc t="2" v="147"/>
    </bk>
    <bk>
      <rc t="2" v="148"/>
    </bk>
    <bk>
      <rc t="2" v="149"/>
    </bk>
    <bk>
      <rc t="2" v="150"/>
    </bk>
    <bk>
      <rc t="2" v="151"/>
    </bk>
    <bk>
      <rc t="2" v="152"/>
    </bk>
    <bk>
      <rc t="2" v="153"/>
    </bk>
    <bk>
      <rc t="2" v="154"/>
    </bk>
    <bk>
      <rc t="2" v="155"/>
    </bk>
    <bk>
      <rc t="2" v="156"/>
    </bk>
    <bk>
      <rc t="2" v="157"/>
    </bk>
    <bk>
      <rc t="2" v="158"/>
    </bk>
    <bk>
      <rc t="2" v="159"/>
    </bk>
    <bk>
      <rc t="2" v="160"/>
    </bk>
    <bk>
      <rc t="2" v="161"/>
    </bk>
    <bk>
      <rc t="2" v="162"/>
    </bk>
    <bk>
      <rc t="2" v="163"/>
    </bk>
    <bk>
      <rc t="2" v="164"/>
    </bk>
    <bk>
      <rc t="2" v="165"/>
    </bk>
    <bk>
      <rc t="2" v="166"/>
    </bk>
    <bk>
      <rc t="2" v="167"/>
    </bk>
    <bk>
      <rc t="2" v="168"/>
    </bk>
    <bk>
      <rc t="2" v="169"/>
    </bk>
    <bk>
      <rc t="2" v="170"/>
    </bk>
    <bk>
      <rc t="2" v="171"/>
    </bk>
    <bk>
      <rc t="2" v="172"/>
    </bk>
    <bk>
      <rc t="2" v="173"/>
    </bk>
    <bk>
      <rc t="2" v="174"/>
    </bk>
    <bk>
      <rc t="2" v="175"/>
    </bk>
    <bk>
      <rc t="2" v="176"/>
    </bk>
    <bk>
      <rc t="2" v="177"/>
    </bk>
    <bk>
      <rc t="2" v="178"/>
    </bk>
    <bk>
      <rc t="2" v="179"/>
    </bk>
    <bk>
      <rc t="2" v="180"/>
    </bk>
    <bk>
      <rc t="2" v="181"/>
    </bk>
    <bk>
      <rc t="2" v="182"/>
    </bk>
    <bk>
      <rc t="2" v="183"/>
    </bk>
    <bk>
      <rc t="2" v="184"/>
    </bk>
    <bk>
      <rc t="2" v="185"/>
    </bk>
    <bk>
      <rc t="2" v="186"/>
    </bk>
    <bk>
      <rc t="2" v="187"/>
    </bk>
    <bk>
      <rc t="2" v="188"/>
    </bk>
    <bk>
      <rc t="2" v="189"/>
    </bk>
    <bk>
      <rc t="2" v="190"/>
    </bk>
    <bk>
      <rc t="2" v="191"/>
    </bk>
    <bk>
      <rc t="2" v="192"/>
    </bk>
    <bk>
      <rc t="2" v="193"/>
    </bk>
    <bk>
      <rc t="2" v="194"/>
    </bk>
    <bk>
      <rc t="2" v="195"/>
    </bk>
    <bk>
      <rc t="2" v="196"/>
    </bk>
    <bk>
      <rc t="2" v="197"/>
    </bk>
    <bk>
      <rc t="2" v="198"/>
    </bk>
    <bk>
      <rc t="2" v="199"/>
    </bk>
    <bk>
      <rc t="2" v="200"/>
    </bk>
    <bk>
      <rc t="2" v="201"/>
    </bk>
    <bk>
      <rc t="2" v="202"/>
    </bk>
    <bk>
      <rc t="2" v="203"/>
    </bk>
    <bk>
      <rc t="2" v="204"/>
    </bk>
    <bk>
      <rc t="2" v="205"/>
    </bk>
    <bk>
      <rc t="2" v="206"/>
    </bk>
    <bk>
      <rc t="2" v="207"/>
    </bk>
    <bk>
      <rc t="2" v="208"/>
    </bk>
    <bk>
      <rc t="2" v="209"/>
    </bk>
    <bk>
      <rc t="2" v="210"/>
    </bk>
    <bk>
      <rc t="2" v="211"/>
    </bk>
    <bk>
      <rc t="2" v="212"/>
    </bk>
    <bk>
      <rc t="2" v="213"/>
    </bk>
    <bk>
      <rc t="2" v="214"/>
    </bk>
    <bk>
      <rc t="2" v="215"/>
    </bk>
    <bk>
      <rc t="2" v="216"/>
    </bk>
    <bk>
      <rc t="2" v="217"/>
    </bk>
    <bk>
      <rc t="2" v="218"/>
    </bk>
    <bk>
      <rc t="2" v="219"/>
    </bk>
    <bk>
      <rc t="2" v="220"/>
    </bk>
    <bk>
      <rc t="2" v="221"/>
    </bk>
    <bk>
      <rc t="2" v="222"/>
    </bk>
    <bk>
      <rc t="2" v="223"/>
    </bk>
    <bk>
      <rc t="2" v="224"/>
    </bk>
    <bk>
      <rc t="2" v="225"/>
    </bk>
    <bk>
      <rc t="2" v="226"/>
    </bk>
    <bk>
      <rc t="2" v="227"/>
    </bk>
    <bk>
      <rc t="2" v="228"/>
    </bk>
    <bk>
      <rc t="2" v="229"/>
    </bk>
    <bk>
      <rc t="2" v="230"/>
    </bk>
    <bk>
      <rc t="2" v="231"/>
    </bk>
    <bk>
      <rc t="2" v="232"/>
    </bk>
    <bk>
      <rc t="2" v="233"/>
    </bk>
    <bk>
      <rc t="2" v="234"/>
    </bk>
    <bk>
      <rc t="2" v="235"/>
    </bk>
    <bk>
      <rc t="2" v="236"/>
    </bk>
    <bk>
      <rc t="2" v="237"/>
    </bk>
    <bk>
      <rc t="2" v="238"/>
    </bk>
    <bk>
      <rc t="2" v="239"/>
    </bk>
    <bk>
      <rc t="2" v="240"/>
    </bk>
    <bk>
      <rc t="2" v="241"/>
    </bk>
    <bk>
      <rc t="2" v="242"/>
    </bk>
    <bk>
      <rc t="2" v="243"/>
    </bk>
    <bk>
      <rc t="2" v="244"/>
    </bk>
    <bk>
      <rc t="2" v="245"/>
    </bk>
    <bk>
      <rc t="2" v="246"/>
    </bk>
    <bk>
      <rc t="2" v="247"/>
    </bk>
    <bk>
      <rc t="2" v="248"/>
    </bk>
    <bk>
      <rc t="2" v="249"/>
    </bk>
    <bk>
      <rc t="2" v="250"/>
    </bk>
    <bk>
      <rc t="2" v="251"/>
    </bk>
    <bk>
      <rc t="2" v="252"/>
    </bk>
    <bk>
      <rc t="2" v="253"/>
    </bk>
    <bk>
      <rc t="2" v="254"/>
    </bk>
    <bk>
      <rc t="2" v="255"/>
    </bk>
    <bk>
      <rc t="2" v="256"/>
    </bk>
    <bk>
      <rc t="2" v="257"/>
    </bk>
    <bk>
      <rc t="2" v="258"/>
    </bk>
    <bk>
      <rc t="2" v="259"/>
    </bk>
    <bk>
      <rc t="2" v="260"/>
    </bk>
    <bk>
      <rc t="2" v="261"/>
    </bk>
    <bk>
      <rc t="2" v="262"/>
    </bk>
    <bk>
      <rc t="2" v="263"/>
    </bk>
    <bk>
      <rc t="2" v="264"/>
    </bk>
    <bk>
      <rc t="2" v="265"/>
    </bk>
    <bk>
      <rc t="2" v="266"/>
    </bk>
    <bk>
      <rc t="2" v="267"/>
    </bk>
    <bk>
      <rc t="2" v="268"/>
    </bk>
    <bk>
      <rc t="2" v="269"/>
    </bk>
    <bk>
      <rc t="2" v="270"/>
    </bk>
    <bk>
      <rc t="2" v="271"/>
    </bk>
    <bk>
      <rc t="2" v="272"/>
    </bk>
    <bk>
      <rc t="2" v="273"/>
    </bk>
    <bk>
      <rc t="2" v="274"/>
    </bk>
    <bk>
      <rc t="2" v="275"/>
    </bk>
    <bk>
      <rc t="2" v="276"/>
    </bk>
    <bk>
      <rc t="2" v="277"/>
    </bk>
    <bk>
      <rc t="2" v="278"/>
    </bk>
    <bk>
      <rc t="2" v="279"/>
    </bk>
    <bk>
      <rc t="2" v="280"/>
    </bk>
    <bk>
      <rc t="2" v="281"/>
    </bk>
    <bk>
      <rc t="2" v="282"/>
    </bk>
    <bk>
      <rc t="2" v="283"/>
    </bk>
    <bk>
      <rc t="2" v="284"/>
    </bk>
    <bk>
      <rc t="2" v="285"/>
    </bk>
    <bk>
      <rc t="2" v="286"/>
    </bk>
    <bk>
      <rc t="2" v="287"/>
    </bk>
    <bk>
      <rc t="2" v="288"/>
    </bk>
    <bk>
      <rc t="2" v="289"/>
    </bk>
    <bk>
      <rc t="2" v="290"/>
    </bk>
    <bk>
      <rc t="2" v="291"/>
    </bk>
    <bk>
      <rc t="2" v="292"/>
    </bk>
    <bk>
      <rc t="2" v="293"/>
    </bk>
    <bk>
      <rc t="2" v="294"/>
    </bk>
    <bk>
      <rc t="2" v="295"/>
    </bk>
    <bk>
      <rc t="2" v="296"/>
    </bk>
    <bk>
      <rc t="2" v="297"/>
    </bk>
    <bk>
      <rc t="2" v="298"/>
    </bk>
    <bk>
      <rc t="2" v="299"/>
    </bk>
    <bk>
      <rc t="2" v="300"/>
    </bk>
    <bk>
      <rc t="2" v="301"/>
    </bk>
    <bk>
      <rc t="2" v="302"/>
    </bk>
    <bk>
      <rc t="2" v="303"/>
    </bk>
    <bk>
      <rc t="2" v="304"/>
    </bk>
    <bk>
      <rc t="2" v="305"/>
    </bk>
    <bk>
      <rc t="2" v="306"/>
    </bk>
    <bk>
      <rc t="2" v="307"/>
    </bk>
    <bk>
      <rc t="2" v="308"/>
    </bk>
    <bk>
      <rc t="2" v="309"/>
    </bk>
    <bk>
      <rc t="2" v="310"/>
    </bk>
    <bk>
      <rc t="2" v="311"/>
    </bk>
    <bk>
      <rc t="2" v="312"/>
    </bk>
    <bk>
      <rc t="2" v="313"/>
    </bk>
    <bk>
      <rc t="2" v="314"/>
    </bk>
    <bk>
      <rc t="2" v="315"/>
    </bk>
    <bk>
      <rc t="2" v="316"/>
    </bk>
    <bk>
      <rc t="2" v="317"/>
    </bk>
    <bk>
      <rc t="2" v="318"/>
    </bk>
    <bk>
      <rc t="2" v="319"/>
    </bk>
    <bk>
      <rc t="2" v="320"/>
    </bk>
    <bk>
      <rc t="2" v="321"/>
    </bk>
    <bk>
      <rc t="2" v="322"/>
    </bk>
    <bk>
      <rc t="2" v="323"/>
    </bk>
    <bk>
      <rc t="2" v="324"/>
    </bk>
    <bk>
      <rc t="2" v="325"/>
    </bk>
    <bk>
      <rc t="2" v="326"/>
    </bk>
    <bk>
      <rc t="2" v="327"/>
    </bk>
    <bk>
      <rc t="2" v="328"/>
    </bk>
    <bk>
      <rc t="2" v="329"/>
    </bk>
    <bk>
      <rc t="2" v="330"/>
    </bk>
    <bk>
      <rc t="2" v="331"/>
    </bk>
    <bk>
      <rc t="2" v="332"/>
    </bk>
    <bk>
      <rc t="2" v="333"/>
    </bk>
    <bk>
      <rc t="2" v="334"/>
    </bk>
    <bk>
      <rc t="2" v="335"/>
    </bk>
    <bk>
      <rc t="2" v="336"/>
    </bk>
    <bk>
      <rc t="2" v="337"/>
    </bk>
    <bk>
      <rc t="2" v="338"/>
    </bk>
    <bk>
      <rc t="2" v="339"/>
    </bk>
    <bk>
      <rc t="2" v="340"/>
    </bk>
    <bk>
      <rc t="2" v="341"/>
    </bk>
    <bk>
      <rc t="2" v="342"/>
    </bk>
    <bk>
      <rc t="2" v="343"/>
    </bk>
    <bk>
      <rc t="2" v="344"/>
    </bk>
    <bk>
      <rc t="2" v="345"/>
    </bk>
    <bk>
      <rc t="2" v="346"/>
    </bk>
    <bk>
      <rc t="2" v="347"/>
    </bk>
    <bk>
      <rc t="2" v="348"/>
    </bk>
    <bk>
      <rc t="2" v="349"/>
    </bk>
    <bk>
      <rc t="2" v="350"/>
    </bk>
    <bk>
      <rc t="2" v="351"/>
    </bk>
    <bk>
      <rc t="2" v="352"/>
    </bk>
    <bk>
      <rc t="2" v="353"/>
    </bk>
    <bk>
      <rc t="2" v="354"/>
    </bk>
    <bk>
      <rc t="2" v="355"/>
    </bk>
    <bk>
      <rc t="2" v="356"/>
    </bk>
    <bk>
      <rc t="2" v="357"/>
    </bk>
    <bk>
      <rc t="2" v="358"/>
    </bk>
    <bk>
      <rc t="2" v="359"/>
    </bk>
    <bk>
      <rc t="2" v="360"/>
    </bk>
    <bk>
      <rc t="2" v="361"/>
    </bk>
    <bk>
      <rc t="2" v="362"/>
    </bk>
    <bk>
      <rc t="2" v="363"/>
    </bk>
    <bk>
      <rc t="2" v="364"/>
    </bk>
    <bk>
      <rc t="2" v="365"/>
    </bk>
    <bk>
      <rc t="2" v="366"/>
    </bk>
    <bk>
      <rc t="2" v="367"/>
    </bk>
    <bk>
      <rc t="2" v="368"/>
    </bk>
    <bk>
      <rc t="2" v="369"/>
    </bk>
    <bk>
      <rc t="2" v="370"/>
    </bk>
    <bk>
      <rc t="2" v="371"/>
    </bk>
    <bk>
      <rc t="2" v="372"/>
    </bk>
    <bk>
      <rc t="2" v="373"/>
    </bk>
    <bk>
      <rc t="2" v="374"/>
    </bk>
    <bk>
      <rc t="2" v="375"/>
    </bk>
    <bk>
      <rc t="2" v="376"/>
    </bk>
    <bk>
      <rc t="2" v="377"/>
    </bk>
    <bk>
      <rc t="2" v="378"/>
    </bk>
    <bk>
      <rc t="2" v="379"/>
    </bk>
    <bk>
      <rc t="2" v="380"/>
    </bk>
    <bk>
      <rc t="2" v="381"/>
    </bk>
    <bk>
      <rc t="2" v="382"/>
    </bk>
    <bk>
      <rc t="2" v="383"/>
    </bk>
    <bk>
      <rc t="2" v="384"/>
    </bk>
    <bk>
      <rc t="2" v="385"/>
    </bk>
    <bk>
      <rc t="2" v="386"/>
    </bk>
    <bk>
      <rc t="2" v="387"/>
    </bk>
    <bk>
      <rc t="2" v="388"/>
    </bk>
    <bk>
      <rc t="2" v="389"/>
    </bk>
    <bk>
      <rc t="2" v="390"/>
    </bk>
    <bk>
      <rc t="2" v="391"/>
    </bk>
    <bk>
      <rc t="2" v="392"/>
    </bk>
    <bk>
      <rc t="2" v="393"/>
    </bk>
    <bk>
      <rc t="2" v="394"/>
    </bk>
    <bk>
      <rc t="2" v="395"/>
    </bk>
    <bk>
      <rc t="2" v="396"/>
    </bk>
    <bk>
      <rc t="2" v="397"/>
    </bk>
    <bk>
      <rc t="2" v="398"/>
    </bk>
    <bk>
      <rc t="2" v="399"/>
    </bk>
    <bk>
      <rc t="2" v="400"/>
    </bk>
    <bk>
      <rc t="2" v="401"/>
    </bk>
    <bk>
      <rc t="2" v="402"/>
    </bk>
    <bk>
      <rc t="2" v="403"/>
    </bk>
    <bk>
      <rc t="2" v="404"/>
    </bk>
    <bk>
      <rc t="2" v="405"/>
    </bk>
    <bk>
      <rc t="2" v="406"/>
    </bk>
    <bk>
      <rc t="2" v="407"/>
    </bk>
    <bk>
      <rc t="2" v="408"/>
    </bk>
    <bk>
      <rc t="2" v="409"/>
    </bk>
    <bk>
      <rc t="2" v="410"/>
    </bk>
    <bk>
      <rc t="2" v="411"/>
    </bk>
    <bk>
      <rc t="2" v="412"/>
    </bk>
    <bk>
      <rc t="2" v="413"/>
    </bk>
    <bk>
      <rc t="2" v="414"/>
    </bk>
    <bk>
      <rc t="2" v="415"/>
    </bk>
    <bk>
      <rc t="2" v="416"/>
    </bk>
    <bk>
      <rc t="2" v="417"/>
    </bk>
    <bk>
      <rc t="2" v="418"/>
    </bk>
    <bk>
      <rc t="2" v="419"/>
    </bk>
    <bk>
      <rc t="2" v="420"/>
    </bk>
    <bk>
      <rc t="2" v="421"/>
    </bk>
    <bk>
      <rc t="2" v="422"/>
    </bk>
    <bk>
      <rc t="2" v="423"/>
    </bk>
    <bk>
      <rc t="2" v="424"/>
    </bk>
    <bk>
      <rc t="2" v="425"/>
    </bk>
    <bk>
      <rc t="2" v="426"/>
    </bk>
    <bk>
      <rc t="2" v="427"/>
    </bk>
    <bk>
      <rc t="2" v="428"/>
    </bk>
    <bk>
      <rc t="2" v="429"/>
    </bk>
    <bk>
      <rc t="2" v="430"/>
    </bk>
    <bk>
      <rc t="2" v="431"/>
    </bk>
    <bk>
      <rc t="2" v="432"/>
    </bk>
    <bk>
      <rc t="2" v="433"/>
    </bk>
    <bk>
      <rc t="2" v="434"/>
    </bk>
    <bk>
      <rc t="2" v="435"/>
    </bk>
    <bk>
      <rc t="2" v="436"/>
    </bk>
    <bk>
      <rc t="2" v="437"/>
    </bk>
    <bk>
      <rc t="2" v="438"/>
    </bk>
    <bk>
      <rc t="2" v="439"/>
    </bk>
    <bk>
      <rc t="2" v="440"/>
    </bk>
    <bk>
      <rc t="2" v="441"/>
    </bk>
    <bk>
      <rc t="2" v="442"/>
    </bk>
    <bk>
      <rc t="2" v="443"/>
    </bk>
    <bk>
      <rc t="2" v="444"/>
    </bk>
    <bk>
      <rc t="2" v="445"/>
    </bk>
    <bk>
      <rc t="2" v="446"/>
    </bk>
    <bk>
      <rc t="2" v="447"/>
    </bk>
    <bk>
      <rc t="2" v="448"/>
    </bk>
    <bk>
      <rc t="2" v="449"/>
    </bk>
    <bk>
      <rc t="2" v="450"/>
    </bk>
    <bk>
      <rc t="2" v="451"/>
    </bk>
    <bk>
      <rc t="2" v="452"/>
    </bk>
    <bk>
      <rc t="2" v="453"/>
    </bk>
    <bk>
      <rc t="2" v="454"/>
    </bk>
    <bk>
      <rc t="2" v="455"/>
    </bk>
    <bk>
      <rc t="2" v="456"/>
    </bk>
    <bk>
      <rc t="2" v="457"/>
    </bk>
    <bk>
      <rc t="2" v="458"/>
    </bk>
    <bk>
      <rc t="2" v="459"/>
    </bk>
    <bk>
      <rc t="2" v="460"/>
    </bk>
    <bk>
      <rc t="2" v="461"/>
    </bk>
    <bk>
      <rc t="2" v="462"/>
    </bk>
    <bk>
      <rc t="2" v="463"/>
    </bk>
    <bk>
      <rc t="2" v="464"/>
    </bk>
    <bk>
      <rc t="2" v="465"/>
    </bk>
    <bk>
      <rc t="2" v="466"/>
    </bk>
    <bk>
      <rc t="2" v="467"/>
    </bk>
    <bk>
      <rc t="2" v="468"/>
    </bk>
    <bk>
      <rc t="2" v="469"/>
    </bk>
    <bk>
      <rc t="2" v="470"/>
    </bk>
    <bk>
      <rc t="2" v="471"/>
    </bk>
    <bk>
      <rc t="2" v="472"/>
    </bk>
    <bk>
      <rc t="2" v="473"/>
    </bk>
    <bk>
      <rc t="2" v="474"/>
    </bk>
    <bk>
      <rc t="2" v="475"/>
    </bk>
    <bk>
      <rc t="2" v="476"/>
    </bk>
    <bk>
      <rc t="2" v="477"/>
    </bk>
    <bk>
      <rc t="2" v="478"/>
    </bk>
    <bk>
      <rc t="2" v="479"/>
    </bk>
    <bk>
      <rc t="2" v="480"/>
    </bk>
    <bk>
      <rc t="2" v="481"/>
    </bk>
    <bk>
      <rc t="2" v="482"/>
    </bk>
    <bk>
      <rc t="2" v="483"/>
    </bk>
    <bk>
      <rc t="2" v="484"/>
    </bk>
    <bk>
      <rc t="2" v="485"/>
    </bk>
    <bk>
      <rc t="2" v="486"/>
    </bk>
    <bk>
      <rc t="2" v="487"/>
    </bk>
    <bk>
      <rc t="2" v="488"/>
    </bk>
    <bk>
      <rc t="2" v="489"/>
    </bk>
    <bk>
      <rc t="2" v="490"/>
    </bk>
    <bk>
      <rc t="2" v="491"/>
    </bk>
    <bk>
      <rc t="2" v="492"/>
    </bk>
    <bk>
      <rc t="2" v="493"/>
    </bk>
    <bk>
      <rc t="2" v="494"/>
    </bk>
    <bk>
      <rc t="2" v="495"/>
    </bk>
    <bk>
      <rc t="2" v="496"/>
    </bk>
    <bk>
      <rc t="2" v="497"/>
    </bk>
    <bk>
      <rc t="2" v="498"/>
    </bk>
    <bk>
      <rc t="2" v="499"/>
    </bk>
    <bk>
      <rc t="2" v="500"/>
    </bk>
    <bk>
      <rc t="2" v="501"/>
    </bk>
    <bk>
      <rc t="2" v="502"/>
    </bk>
    <bk>
      <rc t="2" v="503"/>
    </bk>
    <bk>
      <rc t="2" v="504"/>
    </bk>
    <bk>
      <rc t="2" v="505"/>
    </bk>
    <bk>
      <rc t="2" v="506"/>
    </bk>
    <bk>
      <rc t="2" v="507"/>
    </bk>
    <bk>
      <rc t="2" v="508"/>
    </bk>
    <bk>
      <rc t="2" v="509"/>
    </bk>
    <bk>
      <rc t="2" v="510"/>
    </bk>
    <bk>
      <rc t="2" v="511"/>
    </bk>
    <bk>
      <rc t="2" v="512"/>
    </bk>
    <bk>
      <rc t="2" v="513"/>
    </bk>
    <bk>
      <rc t="2" v="514"/>
    </bk>
    <bk>
      <rc t="2" v="515"/>
    </bk>
    <bk>
      <rc t="2" v="516"/>
    </bk>
    <bk>
      <rc t="2" v="517"/>
    </bk>
    <bk>
      <rc t="2" v="518"/>
    </bk>
    <bk>
      <rc t="2" v="519"/>
    </bk>
    <bk>
      <rc t="2" v="520"/>
    </bk>
    <bk>
      <rc t="2" v="521"/>
    </bk>
    <bk>
      <rc t="2" v="522"/>
    </bk>
    <bk>
      <rc t="2" v="523"/>
    </bk>
    <bk>
      <rc t="2" v="524"/>
    </bk>
    <bk>
      <rc t="2" v="525"/>
    </bk>
    <bk>
      <rc t="2" v="526"/>
    </bk>
    <bk>
      <rc t="2" v="527"/>
    </bk>
    <bk>
      <rc t="2" v="528"/>
    </bk>
    <bk>
      <rc t="2" v="529"/>
    </bk>
    <bk>
      <rc t="2" v="530"/>
    </bk>
    <bk>
      <rc t="2" v="531"/>
    </bk>
    <bk>
      <rc t="2" v="532"/>
    </bk>
    <bk>
      <rc t="2" v="533"/>
    </bk>
    <bk>
      <rc t="2" v="534"/>
    </bk>
    <bk>
      <rc t="2" v="535"/>
    </bk>
    <bk>
      <rc t="2" v="536"/>
    </bk>
    <bk>
      <rc t="2" v="537"/>
    </bk>
    <bk>
      <rc t="2" v="538"/>
    </bk>
    <bk>
      <rc t="2" v="539"/>
    </bk>
    <bk>
      <rc t="2" v="540"/>
    </bk>
    <bk>
      <rc t="2" v="541"/>
    </bk>
    <bk>
      <rc t="2" v="542"/>
    </bk>
    <bk>
      <rc t="2" v="543"/>
    </bk>
    <bk>
      <rc t="2" v="544"/>
    </bk>
    <bk>
      <rc t="2" v="545"/>
    </bk>
    <bk>
      <rc t="2" v="546"/>
    </bk>
    <bk>
      <rc t="2" v="547"/>
    </bk>
    <bk>
      <rc t="2" v="548"/>
    </bk>
    <bk>
      <rc t="2" v="549"/>
    </bk>
    <bk>
      <rc t="2" v="550"/>
    </bk>
    <bk>
      <rc t="2" v="551"/>
    </bk>
    <bk>
      <rc t="2" v="552"/>
    </bk>
    <bk>
      <rc t="2" v="553"/>
    </bk>
    <bk>
      <rc t="2" v="554"/>
    </bk>
    <bk>
      <rc t="2" v="555"/>
    </bk>
    <bk>
      <rc t="2" v="556"/>
    </bk>
    <bk>
      <rc t="2" v="557"/>
    </bk>
    <bk>
      <rc t="2" v="558"/>
    </bk>
    <bk>
      <rc t="2" v="559"/>
    </bk>
    <bk>
      <rc t="2" v="560"/>
    </bk>
    <bk>
      <rc t="2" v="561"/>
    </bk>
    <bk>
      <rc t="2" v="562"/>
    </bk>
    <bk>
      <rc t="2" v="563"/>
    </bk>
    <bk>
      <rc t="2" v="564"/>
    </bk>
    <bk>
      <rc t="2" v="565"/>
    </bk>
    <bk>
      <rc t="2" v="566"/>
    </bk>
    <bk>
      <rc t="2" v="567"/>
    </bk>
    <bk>
      <rc t="2" v="568"/>
    </bk>
    <bk>
      <rc t="2" v="569"/>
    </bk>
    <bk>
      <rc t="2" v="570"/>
    </bk>
    <bk>
      <rc t="2" v="571"/>
    </bk>
    <bk>
      <rc t="2" v="572"/>
    </bk>
    <bk>
      <rc t="2" v="573"/>
    </bk>
    <bk>
      <rc t="2" v="574"/>
    </bk>
    <bk>
      <rc t="2" v="575"/>
    </bk>
    <bk>
      <rc t="2" v="576"/>
    </bk>
    <bk>
      <rc t="2" v="577"/>
    </bk>
    <bk>
      <rc t="2" v="578"/>
    </bk>
    <bk>
      <rc t="2" v="579"/>
    </bk>
    <bk>
      <rc t="2" v="580"/>
    </bk>
    <bk>
      <rc t="2" v="581"/>
    </bk>
    <bk>
      <rc t="2" v="582"/>
    </bk>
    <bk>
      <rc t="2" v="583"/>
    </bk>
    <bk>
      <rc t="2" v="584"/>
    </bk>
    <bk>
      <rc t="2" v="585"/>
    </bk>
    <bk>
      <rc t="2" v="586"/>
    </bk>
    <bk>
      <rc t="2" v="587"/>
    </bk>
    <bk>
      <rc t="2" v="588"/>
    </bk>
    <bk>
      <rc t="2" v="589"/>
    </bk>
    <bk>
      <rc t="2" v="590"/>
    </bk>
    <bk>
      <rc t="2" v="591"/>
    </bk>
    <bk>
      <rc t="2" v="592"/>
    </bk>
    <bk>
      <rc t="2" v="593"/>
    </bk>
    <bk>
      <rc t="2" v="594"/>
    </bk>
    <bk>
      <rc t="2" v="595"/>
    </bk>
    <bk>
      <rc t="2" v="596"/>
    </bk>
    <bk>
      <rc t="2" v="597"/>
    </bk>
    <bk>
      <rc t="2" v="598"/>
    </bk>
    <bk>
      <rc t="2" v="599"/>
    </bk>
    <bk>
      <rc t="2" v="600"/>
    </bk>
    <bk>
      <rc t="2" v="601"/>
    </bk>
    <bk>
      <rc t="2" v="602"/>
    </bk>
    <bk>
      <rc t="2" v="603"/>
    </bk>
    <bk>
      <rc t="2" v="604"/>
    </bk>
    <bk>
      <rc t="2" v="605"/>
    </bk>
    <bk>
      <rc t="2" v="606"/>
    </bk>
    <bk>
      <rc t="2" v="607"/>
    </bk>
    <bk>
      <rc t="2" v="608"/>
    </bk>
    <bk>
      <rc t="2" v="609"/>
    </bk>
    <bk>
      <rc t="2" v="610"/>
    </bk>
    <bk>
      <rc t="2" v="611"/>
    </bk>
    <bk>
      <rc t="2" v="612"/>
    </bk>
    <bk>
      <rc t="2" v="613"/>
    </bk>
    <bk>
      <rc t="2" v="614"/>
    </bk>
    <bk>
      <rc t="2" v="615"/>
    </bk>
    <bk>
      <rc t="2" v="616"/>
    </bk>
    <bk>
      <rc t="2" v="617"/>
    </bk>
    <bk>
      <rc t="2" v="618"/>
    </bk>
    <bk>
      <rc t="2" v="619"/>
    </bk>
    <bk>
      <rc t="2" v="620"/>
    </bk>
    <bk>
      <rc t="2" v="621"/>
    </bk>
    <bk>
      <rc t="2" v="622"/>
    </bk>
    <bk>
      <rc t="2" v="623"/>
    </bk>
    <bk>
      <rc t="2" v="624"/>
    </bk>
    <bk>
      <rc t="2" v="625"/>
    </bk>
    <bk>
      <rc t="2" v="626"/>
    </bk>
    <bk>
      <rc t="2" v="627"/>
    </bk>
    <bk>
      <rc t="2" v="628"/>
    </bk>
    <bk>
      <rc t="2" v="629"/>
    </bk>
    <bk>
      <rc t="2" v="630"/>
    </bk>
    <bk>
      <rc t="2" v="631"/>
    </bk>
    <bk>
      <rc t="2" v="632"/>
    </bk>
    <bk>
      <rc t="2" v="633"/>
    </bk>
    <bk>
      <rc t="2" v="634"/>
    </bk>
    <bk>
      <rc t="2" v="635"/>
    </bk>
    <bk>
      <rc t="2" v="636"/>
    </bk>
    <bk>
      <rc t="2" v="637"/>
    </bk>
    <bk>
      <rc t="2" v="638"/>
    </bk>
    <bk>
      <rc t="2" v="639"/>
    </bk>
    <bk>
      <rc t="2" v="640"/>
    </bk>
    <bk>
      <rc t="2" v="641"/>
    </bk>
    <bk>
      <rc t="2" v="642"/>
    </bk>
    <bk>
      <rc t="2" v="643"/>
    </bk>
    <bk>
      <rc t="2" v="644"/>
    </bk>
    <bk>
      <rc t="2" v="645"/>
    </bk>
    <bk>
      <rc t="2" v="646"/>
    </bk>
    <bk>
      <rc t="2" v="647"/>
    </bk>
    <bk>
      <rc t="2" v="648"/>
    </bk>
    <bk>
      <rc t="2" v="649"/>
    </bk>
    <bk>
      <rc t="2" v="650"/>
    </bk>
    <bk>
      <rc t="2" v="651"/>
    </bk>
    <bk>
      <rc t="2" v="652"/>
    </bk>
    <bk>
      <rc t="2" v="653"/>
    </bk>
    <bk>
      <rc t="2" v="654"/>
    </bk>
    <bk>
      <rc t="2" v="655"/>
    </bk>
    <bk>
      <rc t="2" v="656"/>
    </bk>
    <bk>
      <rc t="2" v="657"/>
    </bk>
    <bk>
      <rc t="2" v="658"/>
    </bk>
    <bk>
      <rc t="2" v="659"/>
    </bk>
    <bk>
      <rc t="2" v="660"/>
    </bk>
    <bk>
      <rc t="2" v="661"/>
    </bk>
    <bk>
      <rc t="2" v="662"/>
    </bk>
    <bk>
      <rc t="2" v="663"/>
    </bk>
    <bk>
      <rc t="2" v="664"/>
    </bk>
    <bk>
      <rc t="2" v="665"/>
    </bk>
    <bk>
      <rc t="2" v="666"/>
    </bk>
    <bk>
      <rc t="2" v="667"/>
    </bk>
    <bk>
      <rc t="2" v="668"/>
    </bk>
    <bk>
      <rc t="2" v="669"/>
    </bk>
    <bk>
      <rc t="2" v="670"/>
    </bk>
    <bk>
      <rc t="2" v="671"/>
    </bk>
    <bk>
      <rc t="2" v="672"/>
    </bk>
    <bk>
      <rc t="2" v="673"/>
    </bk>
    <bk>
      <rc t="2" v="674"/>
    </bk>
    <bk>
      <rc t="2" v="675"/>
    </bk>
    <bk>
      <rc t="2" v="676"/>
    </bk>
    <bk>
      <rc t="2" v="677"/>
    </bk>
    <bk>
      <rc t="2" v="678"/>
    </bk>
    <bk>
      <rc t="2" v="679"/>
    </bk>
    <bk>
      <rc t="2" v="680"/>
    </bk>
    <bk>
      <rc t="2" v="681"/>
    </bk>
    <bk>
      <rc t="2" v="682"/>
    </bk>
    <bk>
      <rc t="2" v="683"/>
    </bk>
    <bk>
      <rc t="2" v="684"/>
    </bk>
    <bk>
      <rc t="2" v="685"/>
    </bk>
    <bk>
      <rc t="2" v="686"/>
    </bk>
    <bk>
      <rc t="2" v="687"/>
    </bk>
    <bk>
      <rc t="2" v="688"/>
    </bk>
    <bk>
      <rc t="2" v="689"/>
    </bk>
    <bk>
      <rc t="2" v="690"/>
    </bk>
    <bk>
      <rc t="2" v="691"/>
    </bk>
    <bk>
      <rc t="2" v="692"/>
    </bk>
    <bk>
      <rc t="2" v="693"/>
    </bk>
    <bk>
      <rc t="2" v="694"/>
    </bk>
    <bk>
      <rc t="2" v="695"/>
    </bk>
    <bk>
      <rc t="2" v="696"/>
    </bk>
    <bk>
      <rc t="2" v="697"/>
    </bk>
    <bk>
      <rc t="2" v="698"/>
    </bk>
    <bk>
      <rc t="2" v="699"/>
    </bk>
    <bk>
      <rc t="2" v="700"/>
    </bk>
    <bk>
      <rc t="2" v="701"/>
    </bk>
    <bk>
      <rc t="2" v="702"/>
    </bk>
    <bk>
      <rc t="2" v="703"/>
    </bk>
    <bk>
      <rc t="2" v="704"/>
    </bk>
    <bk>
      <rc t="2" v="705"/>
    </bk>
    <bk>
      <rc t="2" v="706"/>
    </bk>
    <bk>
      <rc t="2" v="707"/>
    </bk>
    <bk>
      <rc t="2" v="708"/>
    </bk>
    <bk>
      <rc t="2" v="709"/>
    </bk>
    <bk>
      <rc t="2" v="710"/>
    </bk>
    <bk>
      <rc t="2" v="711"/>
    </bk>
    <bk>
      <rc t="2" v="712"/>
    </bk>
    <bk>
      <rc t="2" v="713"/>
    </bk>
    <bk>
      <rc t="2" v="714"/>
    </bk>
    <bk>
      <rc t="2" v="715"/>
    </bk>
    <bk>
      <rc t="2" v="716"/>
    </bk>
    <bk>
      <rc t="2" v="717"/>
    </bk>
    <bk>
      <rc t="2" v="718"/>
    </bk>
    <bk>
      <rc t="2" v="719"/>
    </bk>
    <bk>
      <rc t="2" v="720"/>
    </bk>
    <bk>
      <rc t="2" v="721"/>
    </bk>
    <bk>
      <rc t="2" v="722"/>
    </bk>
    <bk>
      <rc t="2" v="723"/>
    </bk>
    <bk>
      <rc t="2" v="724"/>
    </bk>
    <bk>
      <rc t="2" v="725"/>
    </bk>
    <bk>
      <rc t="2" v="726"/>
    </bk>
    <bk>
      <rc t="2" v="727"/>
    </bk>
    <bk>
      <rc t="2" v="728"/>
    </bk>
    <bk>
      <rc t="2" v="729"/>
    </bk>
    <bk>
      <rc t="2" v="730"/>
    </bk>
    <bk>
      <rc t="2" v="731"/>
    </bk>
    <bk>
      <rc t="2" v="732"/>
    </bk>
    <bk>
      <rc t="2" v="733"/>
    </bk>
    <bk>
      <rc t="2" v="734"/>
    </bk>
    <bk>
      <rc t="2" v="735"/>
    </bk>
    <bk>
      <rc t="2" v="736"/>
    </bk>
    <bk>
      <rc t="2" v="737"/>
    </bk>
    <bk>
      <rc t="2" v="738"/>
    </bk>
    <bk>
      <rc t="2" v="739"/>
    </bk>
    <bk>
      <rc t="2" v="740"/>
    </bk>
    <bk>
      <rc t="2" v="741"/>
    </bk>
    <bk>
      <rc t="2" v="742"/>
    </bk>
    <bk>
      <rc t="2" v="743"/>
    </bk>
    <bk>
      <rc t="2" v="744"/>
    </bk>
    <bk>
      <rc t="2" v="745"/>
    </bk>
    <bk>
      <rc t="2" v="746"/>
    </bk>
    <bk>
      <rc t="2" v="747"/>
    </bk>
    <bk>
      <rc t="2" v="748"/>
    </bk>
    <bk>
      <rc t="2" v="749"/>
    </bk>
    <bk>
      <rc t="2" v="750"/>
    </bk>
    <bk>
      <rc t="2" v="751"/>
    </bk>
    <bk>
      <rc t="2" v="752"/>
    </bk>
    <bk>
      <rc t="2" v="753"/>
    </bk>
    <bk>
      <rc t="2" v="754"/>
    </bk>
    <bk>
      <rc t="2" v="755"/>
    </bk>
    <bk>
      <rc t="2" v="756"/>
    </bk>
    <bk>
      <rc t="2" v="757"/>
    </bk>
    <bk>
      <rc t="2" v="758"/>
    </bk>
    <bk>
      <rc t="2" v="759"/>
    </bk>
    <bk>
      <rc t="2" v="760"/>
    </bk>
    <bk>
      <rc t="2" v="761"/>
    </bk>
    <bk>
      <rc t="2" v="762"/>
    </bk>
    <bk>
      <rc t="2" v="763"/>
    </bk>
    <bk>
      <rc t="2" v="764"/>
    </bk>
    <bk>
      <rc t="2" v="765"/>
    </bk>
    <bk>
      <rc t="2" v="766"/>
    </bk>
    <bk>
      <rc t="2" v="767"/>
    </bk>
    <bk>
      <rc t="2" v="768"/>
    </bk>
    <bk>
      <rc t="2" v="769"/>
    </bk>
    <bk>
      <rc t="2" v="770"/>
    </bk>
    <bk>
      <rc t="2" v="771"/>
    </bk>
    <bk>
      <rc t="2" v="772"/>
    </bk>
    <bk>
      <rc t="2" v="773"/>
    </bk>
    <bk>
      <rc t="2" v="774"/>
    </bk>
    <bk>
      <rc t="2" v="775"/>
    </bk>
    <bk>
      <rc t="2" v="776"/>
    </bk>
    <bk>
      <rc t="2" v="777"/>
    </bk>
    <bk>
      <rc t="2" v="778"/>
    </bk>
    <bk>
      <rc t="2" v="779"/>
    </bk>
    <bk>
      <rc t="2" v="780"/>
    </bk>
    <bk>
      <rc t="2" v="781"/>
    </bk>
    <bk>
      <rc t="2" v="782"/>
    </bk>
    <bk>
      <rc t="2" v="783"/>
    </bk>
    <bk>
      <rc t="2" v="784"/>
    </bk>
    <bk>
      <rc t="2" v="785"/>
    </bk>
    <bk>
      <rc t="2" v="786"/>
    </bk>
    <bk>
      <rc t="2" v="787"/>
    </bk>
    <bk>
      <rc t="2" v="788"/>
    </bk>
    <bk>
      <rc t="2" v="789"/>
    </bk>
    <bk>
      <rc t="2" v="790"/>
    </bk>
    <bk>
      <rc t="2" v="791"/>
    </bk>
    <bk>
      <rc t="2" v="792"/>
    </bk>
    <bk>
      <rc t="2" v="793"/>
    </bk>
    <bk>
      <rc t="2" v="794"/>
    </bk>
    <bk>
      <rc t="2" v="795"/>
    </bk>
    <bk>
      <rc t="2" v="796"/>
    </bk>
    <bk>
      <rc t="2" v="797"/>
    </bk>
    <bk>
      <rc t="2" v="798"/>
    </bk>
    <bk>
      <rc t="2" v="799"/>
    </bk>
    <bk>
      <rc t="2" v="800"/>
    </bk>
    <bk>
      <rc t="2" v="801"/>
    </bk>
    <bk>
      <rc t="2" v="802"/>
    </bk>
    <bk>
      <rc t="2" v="803"/>
    </bk>
    <bk>
      <rc t="2" v="804"/>
    </bk>
    <bk>
      <rc t="2" v="805"/>
    </bk>
    <bk>
      <rc t="2" v="806"/>
    </bk>
    <bk>
      <rc t="2" v="807"/>
    </bk>
    <bk>
      <rc t="2" v="808"/>
    </bk>
    <bk>
      <rc t="2" v="809"/>
    </bk>
    <bk>
      <rc t="2" v="810"/>
    </bk>
    <bk>
      <rc t="2" v="811"/>
    </bk>
    <bk>
      <rc t="2" v="812"/>
    </bk>
    <bk>
      <rc t="2" v="813"/>
    </bk>
    <bk>
      <rc t="2" v="814"/>
    </bk>
    <bk>
      <rc t="2" v="815"/>
    </bk>
    <bk>
      <rc t="2" v="816"/>
    </bk>
    <bk>
      <rc t="2" v="817"/>
    </bk>
    <bk>
      <rc t="2" v="818"/>
    </bk>
    <bk>
      <rc t="2" v="819"/>
    </bk>
    <bk>
      <rc t="2" v="820"/>
    </bk>
    <bk>
      <rc t="2" v="821"/>
    </bk>
    <bk>
      <rc t="2" v="822"/>
    </bk>
    <bk>
      <rc t="2" v="823"/>
    </bk>
    <bk>
      <rc t="2" v="824"/>
    </bk>
    <bk>
      <rc t="2" v="825"/>
    </bk>
    <bk>
      <rc t="2" v="826"/>
    </bk>
    <bk>
      <rc t="2" v="827"/>
    </bk>
    <bk>
      <rc t="2" v="828"/>
    </bk>
    <bk>
      <rc t="2" v="829"/>
    </bk>
    <bk>
      <rc t="2" v="830"/>
    </bk>
    <bk>
      <rc t="2" v="831"/>
    </bk>
    <bk>
      <rc t="2" v="832"/>
    </bk>
    <bk>
      <rc t="2" v="833"/>
    </bk>
    <bk>
      <rc t="2" v="834"/>
    </bk>
    <bk>
      <rc t="2" v="835"/>
    </bk>
    <bk>
      <rc t="2" v="836"/>
    </bk>
    <bk>
      <rc t="2" v="837"/>
    </bk>
    <bk>
      <rc t="2" v="838"/>
    </bk>
    <bk>
      <rc t="2" v="839"/>
    </bk>
    <bk>
      <rc t="2" v="840"/>
    </bk>
    <bk>
      <rc t="2" v="841"/>
    </bk>
    <bk>
      <rc t="2" v="842"/>
    </bk>
    <bk>
      <rc t="2" v="843"/>
    </bk>
    <bk>
      <rc t="2" v="844"/>
    </bk>
    <bk>
      <rc t="2" v="845"/>
    </bk>
    <bk>
      <rc t="2" v="846"/>
    </bk>
    <bk>
      <rc t="2" v="847"/>
    </bk>
    <bk>
      <rc t="2" v="848"/>
    </bk>
    <bk>
      <rc t="2" v="849"/>
    </bk>
    <bk>
      <rc t="2" v="850"/>
    </bk>
    <bk>
      <rc t="2" v="851"/>
    </bk>
    <bk>
      <rc t="2" v="852"/>
    </bk>
    <bk>
      <rc t="2" v="853"/>
    </bk>
    <bk>
      <rc t="2" v="854"/>
    </bk>
    <bk>
      <rc t="2" v="855"/>
    </bk>
    <bk>
      <rc t="2" v="856"/>
    </bk>
    <bk>
      <rc t="2" v="857"/>
    </bk>
    <bk>
      <rc t="2" v="858"/>
    </bk>
    <bk>
      <rc t="2" v="859"/>
    </bk>
    <bk>
      <rc t="2" v="860"/>
    </bk>
    <bk>
      <rc t="2" v="861"/>
    </bk>
    <bk>
      <rc t="2" v="862"/>
    </bk>
    <bk>
      <rc t="2" v="863"/>
    </bk>
    <bk>
      <rc t="2" v="864"/>
    </bk>
    <bk>
      <rc t="2" v="865"/>
    </bk>
    <bk>
      <rc t="2" v="866"/>
    </bk>
    <bk>
      <rc t="2" v="867"/>
    </bk>
    <bk>
      <rc t="2" v="868"/>
    </bk>
    <bk>
      <rc t="2" v="869"/>
    </bk>
    <bk>
      <rc t="2" v="870"/>
    </bk>
    <bk>
      <rc t="2" v="871"/>
    </bk>
    <bk>
      <rc t="2" v="872"/>
    </bk>
    <bk>
      <rc t="2" v="873"/>
    </bk>
    <bk>
      <rc t="2" v="874"/>
    </bk>
    <bk>
      <rc t="2" v="875"/>
    </bk>
    <bk>
      <rc t="2" v="876"/>
    </bk>
    <bk>
      <rc t="2" v="877"/>
    </bk>
    <bk>
      <rc t="2" v="878"/>
    </bk>
    <bk>
      <rc t="2" v="879"/>
    </bk>
    <bk>
      <rc t="2" v="880"/>
    </bk>
    <bk>
      <rc t="2" v="881"/>
    </bk>
    <bk>
      <rc t="2" v="882"/>
    </bk>
    <bk>
      <rc t="2" v="883"/>
    </bk>
    <bk>
      <rc t="2" v="884"/>
    </bk>
    <bk>
      <rc t="2" v="885"/>
    </bk>
    <bk>
      <rc t="2" v="886"/>
    </bk>
    <bk>
      <rc t="2" v="887"/>
    </bk>
    <bk>
      <rc t="2" v="888"/>
    </bk>
    <bk>
      <rc t="2" v="889"/>
    </bk>
    <bk>
      <rc t="2" v="890"/>
    </bk>
    <bk>
      <rc t="2" v="891"/>
    </bk>
    <bk>
      <rc t="2" v="892"/>
    </bk>
    <bk>
      <rc t="2" v="893"/>
    </bk>
    <bk>
      <rc t="2" v="894"/>
    </bk>
    <bk>
      <rc t="2" v="895"/>
    </bk>
    <bk>
      <rc t="2" v="896"/>
    </bk>
    <bk>
      <rc t="2" v="897"/>
    </bk>
    <bk>
      <rc t="2" v="898"/>
    </bk>
    <bk>
      <rc t="2" v="899"/>
    </bk>
    <bk>
      <rc t="2" v="900"/>
    </bk>
    <bk>
      <rc t="2" v="901"/>
    </bk>
    <bk>
      <rc t="2" v="902"/>
    </bk>
    <bk>
      <rc t="2" v="903"/>
    </bk>
    <bk>
      <rc t="2" v="904"/>
    </bk>
    <bk>
      <rc t="2" v="905"/>
    </bk>
    <bk>
      <rc t="2" v="906"/>
    </bk>
    <bk>
      <rc t="2" v="907"/>
    </bk>
    <bk>
      <rc t="2" v="908"/>
    </bk>
    <bk>
      <rc t="2" v="909"/>
    </bk>
    <bk>
      <rc t="2" v="910"/>
    </bk>
    <bk>
      <rc t="2" v="911"/>
    </bk>
    <bk>
      <rc t="2" v="912"/>
    </bk>
    <bk>
      <rc t="2" v="913"/>
    </bk>
    <bk>
      <rc t="2" v="914"/>
    </bk>
    <bk>
      <rc t="2" v="915"/>
    </bk>
    <bk>
      <rc t="2" v="916"/>
    </bk>
    <bk>
      <rc t="2" v="917"/>
    </bk>
    <bk>
      <rc t="2" v="918"/>
    </bk>
    <bk>
      <rc t="2" v="919"/>
    </bk>
    <bk>
      <rc t="2" v="920"/>
    </bk>
    <bk>
      <rc t="2" v="921"/>
    </bk>
    <bk>
      <rc t="2" v="922"/>
    </bk>
    <bk>
      <rc t="2" v="923"/>
    </bk>
    <bk>
      <rc t="2" v="924"/>
    </bk>
    <bk>
      <rc t="2" v="925"/>
    </bk>
    <bk>
      <rc t="2" v="926"/>
    </bk>
    <bk>
      <rc t="2" v="927"/>
    </bk>
    <bk>
      <rc t="2" v="928"/>
    </bk>
    <bk>
      <rc t="2" v="929"/>
    </bk>
    <bk>
      <rc t="2" v="930"/>
    </bk>
    <bk>
      <rc t="2" v="931"/>
    </bk>
    <bk>
      <rc t="2" v="932"/>
    </bk>
    <bk>
      <rc t="2" v="933"/>
    </bk>
    <bk>
      <rc t="2" v="934"/>
    </bk>
    <bk>
      <rc t="2" v="935"/>
    </bk>
    <bk>
      <rc t="2" v="936"/>
    </bk>
    <bk>
      <rc t="2" v="937"/>
    </bk>
    <bk>
      <rc t="2" v="938"/>
    </bk>
    <bk>
      <rc t="2" v="939"/>
    </bk>
    <bk>
      <rc t="2" v="940"/>
    </bk>
    <bk>
      <rc t="2" v="941"/>
    </bk>
    <bk>
      <rc t="2" v="942"/>
    </bk>
    <bk>
      <rc t="2" v="943"/>
    </bk>
    <bk>
      <rc t="2" v="944"/>
    </bk>
    <bk>
      <rc t="2" v="945"/>
    </bk>
    <bk>
      <rc t="2" v="946"/>
    </bk>
    <bk>
      <rc t="2" v="947"/>
    </bk>
    <bk>
      <rc t="2" v="948"/>
    </bk>
    <bk>
      <rc t="2" v="949"/>
    </bk>
    <bk>
      <rc t="2" v="950"/>
    </bk>
    <bk>
      <rc t="2" v="951"/>
    </bk>
    <bk>
      <rc t="2" v="952"/>
    </bk>
    <bk>
      <rc t="2" v="953"/>
    </bk>
    <bk>
      <rc t="2" v="954"/>
    </bk>
    <bk>
      <rc t="2" v="955"/>
    </bk>
    <bk>
      <rc t="2" v="956"/>
    </bk>
    <bk>
      <rc t="2" v="957"/>
    </bk>
    <bk>
      <rc t="2" v="958"/>
    </bk>
    <bk>
      <rc t="2" v="959"/>
    </bk>
    <bk>
      <rc t="2" v="960"/>
    </bk>
    <bk>
      <rc t="2" v="961"/>
    </bk>
    <bk>
      <rc t="2" v="962"/>
    </bk>
    <bk>
      <rc t="2" v="963"/>
    </bk>
    <bk>
      <rc t="2" v="964"/>
    </bk>
    <bk>
      <rc t="2" v="965"/>
    </bk>
    <bk>
      <rc t="2" v="966"/>
    </bk>
    <bk>
      <rc t="2" v="967"/>
    </bk>
    <bk>
      <rc t="2" v="968"/>
    </bk>
    <bk>
      <rc t="2" v="969"/>
    </bk>
    <bk>
      <rc t="2" v="970"/>
    </bk>
    <bk>
      <rc t="2" v="971"/>
    </bk>
    <bk>
      <rc t="2" v="972"/>
    </bk>
    <bk>
      <rc t="2" v="973"/>
    </bk>
    <bk>
      <rc t="2" v="974"/>
    </bk>
    <bk>
      <rc t="2" v="975"/>
    </bk>
    <bk>
      <rc t="2" v="976"/>
    </bk>
    <bk>
      <rc t="2" v="977"/>
    </bk>
    <bk>
      <rc t="2" v="978"/>
    </bk>
    <bk>
      <rc t="2" v="979"/>
    </bk>
    <bk>
      <rc t="2" v="980"/>
    </bk>
    <bk>
      <rc t="2" v="981"/>
    </bk>
    <bk>
      <rc t="2" v="982"/>
    </bk>
    <bk>
      <rc t="2" v="983"/>
    </bk>
    <bk>
      <rc t="2" v="984"/>
    </bk>
    <bk>
      <rc t="2" v="985"/>
    </bk>
    <bk>
      <rc t="2" v="986"/>
    </bk>
    <bk>
      <rc t="2" v="987"/>
    </bk>
    <bk>
      <rc t="2" v="988"/>
    </bk>
    <bk>
      <rc t="2" v="989"/>
    </bk>
    <bk>
      <rc t="2" v="990"/>
    </bk>
    <bk>
      <rc t="2" v="991"/>
    </bk>
    <bk>
      <rc t="2" v="992"/>
    </bk>
    <bk>
      <rc t="2" v="993"/>
    </bk>
    <bk>
      <rc t="2" v="994"/>
    </bk>
    <bk>
      <rc t="2" v="995"/>
    </bk>
    <bk>
      <rc t="2" v="996"/>
    </bk>
    <bk>
      <rc t="2" v="997"/>
    </bk>
    <bk>
      <rc t="2" v="998"/>
    </bk>
    <bk>
      <rc t="2" v="999"/>
    </bk>
    <bk>
      <rc t="2" v="1000"/>
    </bk>
    <bk>
      <rc t="2" v="1001"/>
    </bk>
    <bk>
      <rc t="2" v="1002"/>
    </bk>
    <bk>
      <rc t="2" v="1003"/>
    </bk>
    <bk>
      <rc t="2" v="1004"/>
    </bk>
    <bk>
      <rc t="2" v="1005"/>
    </bk>
    <bk>
      <rc t="2" v="1006"/>
    </bk>
    <bk>
      <rc t="2" v="1007"/>
    </bk>
    <bk>
      <rc t="2" v="1008"/>
    </bk>
    <bk>
      <rc t="2" v="1009"/>
    </bk>
    <bk>
      <rc t="2" v="1010"/>
    </bk>
    <bk>
      <rc t="2" v="1011"/>
    </bk>
    <bk>
      <rc t="2" v="1012"/>
    </bk>
    <bk>
      <rc t="2" v="1013"/>
    </bk>
    <bk>
      <rc t="2" v="1014"/>
    </bk>
    <bk>
      <rc t="2" v="1015"/>
    </bk>
    <bk>
      <rc t="2" v="1016"/>
    </bk>
    <bk>
      <rc t="2" v="1017"/>
    </bk>
    <bk>
      <rc t="2" v="1018"/>
    </bk>
    <bk>
      <rc t="2" v="1019"/>
    </bk>
    <bk>
      <rc t="2" v="1020"/>
    </bk>
    <bk>
      <rc t="2" v="1021"/>
    </bk>
    <bk>
      <rc t="2" v="1022"/>
    </bk>
    <bk>
      <rc t="2" v="1023"/>
    </bk>
    <bk>
      <rc t="2" v="1024"/>
    </bk>
    <bk>
      <rc t="2" v="1025"/>
    </bk>
    <bk>
      <rc t="2" v="1026"/>
    </bk>
    <bk>
      <rc t="2" v="1027"/>
    </bk>
    <bk>
      <rc t="2" v="1028"/>
    </bk>
    <bk>
      <rc t="2" v="1029"/>
    </bk>
    <bk>
      <rc t="2" v="1030"/>
    </bk>
    <bk>
      <rc t="2" v="1031"/>
    </bk>
    <bk>
      <rc t="2" v="1032"/>
    </bk>
    <bk>
      <rc t="2" v="1033"/>
    </bk>
    <bk>
      <rc t="2" v="1034"/>
    </bk>
    <bk>
      <rc t="2" v="1035"/>
    </bk>
    <bk>
      <rc t="2" v="1036"/>
    </bk>
    <bk>
      <rc t="2" v="1037"/>
    </bk>
    <bk>
      <rc t="2" v="1038"/>
    </bk>
    <bk>
      <rc t="2" v="1039"/>
    </bk>
    <bk>
      <rc t="2" v="1040"/>
    </bk>
    <bk>
      <rc t="2" v="1041"/>
    </bk>
    <bk>
      <rc t="2" v="1042"/>
    </bk>
    <bk>
      <rc t="2" v="1043"/>
    </bk>
    <bk>
      <rc t="2" v="1044"/>
    </bk>
    <bk>
      <rc t="2" v="1045"/>
    </bk>
    <bk>
      <rc t="2" v="1046"/>
    </bk>
    <bk>
      <rc t="2" v="1047"/>
    </bk>
    <bk>
      <rc t="2" v="1048"/>
    </bk>
    <bk>
      <rc t="2" v="1049"/>
    </bk>
    <bk>
      <rc t="2" v="1050"/>
    </bk>
    <bk>
      <rc t="2" v="1051"/>
    </bk>
    <bk>
      <rc t="2" v="1052"/>
    </bk>
    <bk>
      <rc t="2" v="1053"/>
    </bk>
    <bk>
      <rc t="2" v="1054"/>
    </bk>
    <bk>
      <rc t="2" v="1055"/>
    </bk>
    <bk>
      <rc t="2" v="1056"/>
    </bk>
    <bk>
      <rc t="2" v="1057"/>
    </bk>
    <bk>
      <rc t="2" v="1058"/>
    </bk>
    <bk>
      <rc t="2" v="1059"/>
    </bk>
    <bk>
      <rc t="2" v="1060"/>
    </bk>
    <bk>
      <rc t="2" v="1061"/>
    </bk>
    <bk>
      <rc t="2" v="1062"/>
    </bk>
    <bk>
      <rc t="2" v="1063"/>
    </bk>
    <bk>
      <rc t="2" v="1064"/>
    </bk>
    <bk>
      <rc t="2" v="1065"/>
    </bk>
    <bk>
      <rc t="2" v="1066"/>
    </bk>
    <bk>
      <rc t="2" v="1067"/>
    </bk>
    <bk>
      <rc t="2" v="1068"/>
    </bk>
    <bk>
      <rc t="2" v="1069"/>
    </bk>
    <bk>
      <rc t="2" v="1070"/>
    </bk>
    <bk>
      <rc t="2" v="1071"/>
    </bk>
    <bk>
      <rc t="2" v="1072"/>
    </bk>
    <bk>
      <rc t="2" v="1073"/>
    </bk>
    <bk>
      <rc t="2" v="1074"/>
    </bk>
    <bk>
      <rc t="2" v="1075"/>
    </bk>
    <bk>
      <rc t="2" v="1076"/>
    </bk>
    <bk>
      <rc t="2" v="1077"/>
    </bk>
    <bk>
      <rc t="2" v="1078"/>
    </bk>
    <bk>
      <rc t="2" v="1079"/>
    </bk>
    <bk>
      <rc t="2" v="1080"/>
    </bk>
    <bk>
      <rc t="2" v="1081"/>
    </bk>
    <bk>
      <rc t="2" v="1082"/>
    </bk>
    <bk>
      <rc t="2" v="1083"/>
    </bk>
    <bk>
      <rc t="2" v="1084"/>
    </bk>
    <bk>
      <rc t="2" v="1085"/>
    </bk>
    <bk>
      <rc t="2" v="1086"/>
    </bk>
    <bk>
      <rc t="2" v="1087"/>
    </bk>
    <bk>
      <rc t="2" v="1088"/>
    </bk>
    <bk>
      <rc t="2" v="1089"/>
    </bk>
    <bk>
      <rc t="2" v="1090"/>
    </bk>
    <bk>
      <rc t="2" v="1091"/>
    </bk>
    <bk>
      <rc t="2" v="1092"/>
    </bk>
    <bk>
      <rc t="2" v="1093"/>
    </bk>
    <bk>
      <rc t="2" v="1094"/>
    </bk>
    <bk>
      <rc t="2" v="1095"/>
    </bk>
    <bk>
      <rc t="2" v="1096"/>
    </bk>
    <bk>
      <rc t="2" v="1097"/>
    </bk>
    <bk>
      <rc t="2" v="1098"/>
    </bk>
    <bk>
      <rc t="2" v="1099"/>
    </bk>
    <bk>
      <rc t="2" v="1100"/>
    </bk>
    <bk>
      <rc t="2" v="1101"/>
    </bk>
    <bk>
      <rc t="2" v="1102"/>
    </bk>
    <bk>
      <rc t="2" v="1103"/>
    </bk>
    <bk>
      <rc t="2" v="1104"/>
    </bk>
    <bk>
      <rc t="2" v="1105"/>
    </bk>
    <bk>
      <rc t="2" v="1106"/>
    </bk>
    <bk>
      <rc t="2" v="1107"/>
    </bk>
  </valueMetadata>
</metadata>
</file>

<file path=xl/sharedStrings.xml><?xml version="1.0" encoding="utf-8"?>
<sst xmlns="http://schemas.openxmlformats.org/spreadsheetml/2006/main" count="5484" uniqueCount="2285">
  <si>
    <t xml:space="preserve"> </t>
  </si>
  <si>
    <t>Thermal resistance of timber framed roof with roof space (m2K/W)</t>
  </si>
  <si>
    <t>www.branz.co.nz/terms-conditions/</t>
  </si>
  <si>
    <t>PC</t>
  </si>
  <si>
    <t>A</t>
  </si>
  <si>
    <t>Cntrl8</t>
  </si>
  <si>
    <t>Insulation installed as a single layer or as two layers ?</t>
  </si>
  <si>
    <t>B</t>
  </si>
  <si>
    <t>Cntrl6</t>
  </si>
  <si>
    <t xml:space="preserve">     Determine insulation</t>
  </si>
  <si>
    <t>thickness (mm)</t>
  </si>
  <si>
    <t>C</t>
  </si>
  <si>
    <t>Cntrl12</t>
  </si>
  <si>
    <t xml:space="preserve">     material thermal</t>
  </si>
  <si>
    <t>-------------</t>
  </si>
  <si>
    <t>=</t>
  </si>
  <si>
    <t xml:space="preserve">  thermal conductivity (W/m.K)</t>
  </si>
  <si>
    <t>D</t>
  </si>
  <si>
    <t>Cntrl13</t>
  </si>
  <si>
    <t>insulation width</t>
  </si>
  <si>
    <t>lower layer R-value</t>
  </si>
  <si>
    <t>Area-Perimeter</t>
  </si>
  <si>
    <t>compressed R-value</t>
  </si>
  <si>
    <t>ISIL frame depth</t>
  </si>
  <si>
    <t>ISIL frame fraction</t>
  </si>
  <si>
    <t>ISIL R-value</t>
  </si>
  <si>
    <t>insulation k</t>
  </si>
  <si>
    <t>insulation R-value</t>
  </si>
  <si>
    <t>target R-value</t>
  </si>
  <si>
    <t xml:space="preserve">     conductivity</t>
  </si>
  <si>
    <r>
      <t>R-value (m</t>
    </r>
    <r>
      <rPr>
        <vertAlign val="superscript"/>
        <sz val="12"/>
        <rFont val="Calibri"/>
        <family val="2"/>
        <scheme val="minor"/>
      </rPr>
      <t>2</t>
    </r>
    <r>
      <rPr>
        <sz val="12"/>
        <rFont val="Calibri"/>
        <family val="2"/>
        <scheme val="minor"/>
      </rPr>
      <t>.K/W)</t>
    </r>
  </si>
  <si>
    <t>E</t>
  </si>
  <si>
    <t>Cntrl14</t>
  </si>
  <si>
    <t>Lining</t>
  </si>
  <si>
    <t>Target roof
thermal resistance (m2K/W)</t>
  </si>
  <si>
    <t>Roof cladding</t>
  </si>
  <si>
    <t>F</t>
  </si>
  <si>
    <t>Cntrl11</t>
  </si>
  <si>
    <t>1 or 2 layers</t>
  </si>
  <si>
    <t>cladding</t>
  </si>
  <si>
    <t>ISIL type</t>
  </si>
  <si>
    <t>joist height</t>
  </si>
  <si>
    <t>Joist spacing</t>
  </si>
  <si>
    <t>G</t>
  </si>
  <si>
    <t>Cntrl9</t>
  </si>
  <si>
    <t>lining</t>
  </si>
  <si>
    <t>Joist/Cord height (mm)</t>
  </si>
  <si>
    <t>H</t>
  </si>
  <si>
    <t>Cntrl15</t>
  </si>
  <si>
    <t>1</t>
  </si>
  <si>
    <t>I</t>
  </si>
  <si>
    <t>Cntrl10</t>
  </si>
  <si>
    <t>full insul. thick. compressed</t>
  </si>
  <si>
    <t>5.0</t>
  </si>
  <si>
    <t>9.0</t>
  </si>
  <si>
    <t>Joist/Cord spacing (mm)</t>
  </si>
  <si>
    <t>J</t>
  </si>
  <si>
    <t>Cntrl5</t>
  </si>
  <si>
    <t>single layer or two layers of same material</t>
  </si>
  <si>
    <t>None</t>
  </si>
  <si>
    <t>Profiled metal</t>
  </si>
  <si>
    <t>none</t>
  </si>
  <si>
    <t>4.9</t>
  </si>
  <si>
    <t>2</t>
  </si>
  <si>
    <t>8.9</t>
  </si>
  <si>
    <t>Total primary insulation                        R-value</t>
  </si>
  <si>
    <t>K</t>
  </si>
  <si>
    <t>Cntrl3</t>
  </si>
  <si>
    <t>2-layers with lower an exact fit to top of joist/cord</t>
  </si>
  <si>
    <t>7 mm plywood</t>
  </si>
  <si>
    <t>Concrete or clay tile</t>
  </si>
  <si>
    <t>unframed</t>
  </si>
  <si>
    <t>4.8</t>
  </si>
  <si>
    <t>3</t>
  </si>
  <si>
    <t>8.8</t>
  </si>
  <si>
    <t>L</t>
  </si>
  <si>
    <t>Cntrl1</t>
  </si>
  <si>
    <t>13 mm plywood</t>
  </si>
  <si>
    <t>framed</t>
  </si>
  <si>
    <t>4.7</t>
  </si>
  <si>
    <t>4</t>
  </si>
  <si>
    <t>8.7</t>
  </si>
  <si>
    <t>M</t>
  </si>
  <si>
    <t>Cntrl2</t>
  </si>
  <si>
    <t>10 mm plasterboard</t>
  </si>
  <si>
    <t>4.6</t>
  </si>
  <si>
    <t>5</t>
  </si>
  <si>
    <t>8.6</t>
  </si>
  <si>
    <t>N</t>
  </si>
  <si>
    <t>Cntrl4</t>
  </si>
  <si>
    <t>13 mm plasterboard</t>
  </si>
  <si>
    <t>700</t>
  </si>
  <si>
    <t>4.5</t>
  </si>
  <si>
    <t>6</t>
  </si>
  <si>
    <t>8.5</t>
  </si>
  <si>
    <t>Roof R-value if cords &amp; joists not covered by insul.</t>
  </si>
  <si>
    <t>O</t>
  </si>
  <si>
    <t>Cntrl16</t>
  </si>
  <si>
    <t>4.4</t>
  </si>
  <si>
    <t>7</t>
  </si>
  <si>
    <t>8.4</t>
  </si>
  <si>
    <t>Secondary Insulation</t>
  </si>
  <si>
    <t>thickness</t>
  </si>
  <si>
    <t>P</t>
  </si>
  <si>
    <t>Cntrl17</t>
  </si>
  <si>
    <t>4.3</t>
  </si>
  <si>
    <t>8</t>
  </si>
  <si>
    <t>8.3</t>
  </si>
  <si>
    <t>Q</t>
  </si>
  <si>
    <t>4.2</t>
  </si>
  <si>
    <t>9</t>
  </si>
  <si>
    <t>8.2</t>
  </si>
  <si>
    <t>R</t>
  </si>
  <si>
    <t>4.1</t>
  </si>
  <si>
    <t>10</t>
  </si>
  <si>
    <t>8.1</t>
  </si>
  <si>
    <t>Roof R-value if joist/cord covered by insulation</t>
  </si>
  <si>
    <t>S</t>
  </si>
  <si>
    <t>4.0</t>
  </si>
  <si>
    <t>11</t>
  </si>
  <si>
    <t>8.0</t>
  </si>
  <si>
    <t>T</t>
  </si>
  <si>
    <t>3.9</t>
  </si>
  <si>
    <t>12</t>
  </si>
  <si>
    <t>7.9</t>
  </si>
  <si>
    <t>U</t>
  </si>
  <si>
    <t>3.8</t>
  </si>
  <si>
    <t>13</t>
  </si>
  <si>
    <t>7.8</t>
  </si>
  <si>
    <t>V</t>
  </si>
  <si>
    <t>3.7</t>
  </si>
  <si>
    <t>14</t>
  </si>
  <si>
    <t>7.7</t>
  </si>
  <si>
    <t>W</t>
  </si>
  <si>
    <t>3.6</t>
  </si>
  <si>
    <t>15</t>
  </si>
  <si>
    <t>7.6</t>
  </si>
  <si>
    <t>Insulation covering over the top of joist/cord</t>
  </si>
  <si>
    <t>Insulation  not covering over the top of joist/cord</t>
  </si>
  <si>
    <t>X</t>
  </si>
  <si>
    <t>3.5</t>
  </si>
  <si>
    <t>16</t>
  </si>
  <si>
    <t>7.5</t>
  </si>
  <si>
    <t>Correction for reduced perimeter insulation</t>
  </si>
  <si>
    <t>Y</t>
  </si>
  <si>
    <t>3.4</t>
  </si>
  <si>
    <t>17</t>
  </si>
  <si>
    <t>7.4</t>
  </si>
  <si>
    <t>Insulation</t>
  </si>
  <si>
    <t>joist / cord spacing (mm)</t>
  </si>
  <si>
    <t>Z</t>
  </si>
  <si>
    <t>3.3</t>
  </si>
  <si>
    <t>18</t>
  </si>
  <si>
    <t>7.3</t>
  </si>
  <si>
    <t>a</t>
  </si>
  <si>
    <t>3.2</t>
  </si>
  <si>
    <t>19</t>
  </si>
  <si>
    <t>7.2</t>
  </si>
  <si>
    <t>R-value</t>
  </si>
  <si>
    <t>b</t>
  </si>
  <si>
    <t>3.1</t>
  </si>
  <si>
    <t>20</t>
  </si>
  <si>
    <t>7.1</t>
  </si>
  <si>
    <t>c</t>
  </si>
  <si>
    <t>3.0</t>
  </si>
  <si>
    <t>21</t>
  </si>
  <si>
    <t>7.0</t>
  </si>
  <si>
    <t>d</t>
  </si>
  <si>
    <t>Profiled Metal</t>
  </si>
  <si>
    <t>Concrete tile</t>
  </si>
  <si>
    <t>2.9</t>
  </si>
  <si>
    <t>22</t>
  </si>
  <si>
    <t>6.9</t>
  </si>
  <si>
    <t>e</t>
  </si>
  <si>
    <t>90 mm</t>
  </si>
  <si>
    <t>140 mm</t>
  </si>
  <si>
    <t>2.8</t>
  </si>
  <si>
    <t>23</t>
  </si>
  <si>
    <t>6.8</t>
  </si>
  <si>
    <t>Ceiling Area-Perimeter fraction</t>
  </si>
  <si>
    <t>f</t>
  </si>
  <si>
    <t>R 1.0</t>
  </si>
  <si>
    <t>R 1.2</t>
  </si>
  <si>
    <t>2.7</t>
  </si>
  <si>
    <t>24</t>
  </si>
  <si>
    <t>6.7</t>
  </si>
  <si>
    <t>g</t>
  </si>
  <si>
    <t>2.6</t>
  </si>
  <si>
    <t>25</t>
  </si>
  <si>
    <t>6.6</t>
  </si>
  <si>
    <t>Insulation width (mm)</t>
  </si>
  <si>
    <t>h</t>
  </si>
  <si>
    <t>Roof spaces</t>
  </si>
  <si>
    <t>timber R</t>
  </si>
  <si>
    <t>2.5</t>
  </si>
  <si>
    <t>26</t>
  </si>
  <si>
    <t>6.5</t>
  </si>
  <si>
    <t>i</t>
  </si>
  <si>
    <t>reference</t>
  </si>
  <si>
    <t>insul R</t>
  </si>
  <si>
    <t>2.4</t>
  </si>
  <si>
    <t>27</t>
  </si>
  <si>
    <t>6.4</t>
  </si>
  <si>
    <t>j</t>
  </si>
  <si>
    <t>2.3</t>
  </si>
  <si>
    <t>28</t>
  </si>
  <si>
    <t>6.3</t>
  </si>
  <si>
    <t>k</t>
  </si>
  <si>
    <t>2.2</t>
  </si>
  <si>
    <t>29</t>
  </si>
  <si>
    <t>6.2</t>
  </si>
  <si>
    <t>l</t>
  </si>
  <si>
    <t>k1</t>
  </si>
  <si>
    <t>A/P for ceiling</t>
  </si>
  <si>
    <t>L/AP</t>
  </si>
  <si>
    <t>2.1</t>
  </si>
  <si>
    <t>30</t>
  </si>
  <si>
    <t>6.1</t>
  </si>
  <si>
    <t>m</t>
  </si>
  <si>
    <t>k2</t>
  </si>
  <si>
    <t>width of perim insulation reduction</t>
  </si>
  <si>
    <t>a*(1-a/4)</t>
  </si>
  <si>
    <t>2.0</t>
  </si>
  <si>
    <t>31</t>
  </si>
  <si>
    <t>6.0</t>
  </si>
  <si>
    <t>n</t>
  </si>
  <si>
    <t>k3</t>
  </si>
  <si>
    <t>Reduced R-value at perimeter of ceiling</t>
  </si>
  <si>
    <t>1.9</t>
  </si>
  <si>
    <t>32</t>
  </si>
  <si>
    <t>5.9</t>
  </si>
  <si>
    <t>o</t>
  </si>
  <si>
    <t>R-value at centre of ceiling</t>
  </si>
  <si>
    <t>1.8</t>
  </si>
  <si>
    <t>33</t>
  </si>
  <si>
    <t>5.8</t>
  </si>
  <si>
    <t>p</t>
  </si>
  <si>
    <t>1.7</t>
  </si>
  <si>
    <t>34</t>
  </si>
  <si>
    <t>5.7</t>
  </si>
  <si>
    <t>q</t>
  </si>
  <si>
    <t>Total R-value incl. perimeter</t>
  </si>
  <si>
    <t>1.6</t>
  </si>
  <si>
    <t>35</t>
  </si>
  <si>
    <t>5.6</t>
  </si>
  <si>
    <t>r</t>
  </si>
  <si>
    <t>1.5</t>
  </si>
  <si>
    <t>36</t>
  </si>
  <si>
    <t>5.5</t>
  </si>
  <si>
    <t xml:space="preserve">R-value around perimeter (m2K/W) </t>
  </si>
  <si>
    <t>s</t>
  </si>
  <si>
    <t>w</t>
  </si>
  <si>
    <t>1.4</t>
  </si>
  <si>
    <t>37</t>
  </si>
  <si>
    <t>5.4</t>
  </si>
  <si>
    <t>t</t>
  </si>
  <si>
    <t>aa</t>
  </si>
  <si>
    <t>1.3</t>
  </si>
  <si>
    <t>38</t>
  </si>
  <si>
    <t>5.3</t>
  </si>
  <si>
    <t>u</t>
  </si>
  <si>
    <t>ab</t>
  </si>
  <si>
    <t>1.2</t>
  </si>
  <si>
    <t>39</t>
  </si>
  <si>
    <t>5.2</t>
  </si>
  <si>
    <t xml:space="preserve">Overall roof R-value (m2K/W) </t>
  </si>
  <si>
    <t>v</t>
  </si>
  <si>
    <t>ac</t>
  </si>
  <si>
    <t>1.1</t>
  </si>
  <si>
    <t>40</t>
  </si>
  <si>
    <t>5.1</t>
  </si>
  <si>
    <t>ba</t>
  </si>
  <si>
    <t>P_blank</t>
  </si>
  <si>
    <t>P_RP_S_B</t>
  </si>
  <si>
    <t>1.0</t>
  </si>
  <si>
    <t>41</t>
  </si>
  <si>
    <t>x</t>
  </si>
  <si>
    <t>bb</t>
  </si>
  <si>
    <t>P_blank2</t>
  </si>
  <si>
    <t>P_RP_C_D</t>
  </si>
  <si>
    <t>42</t>
  </si>
  <si>
    <t>y</t>
  </si>
  <si>
    <t>bc</t>
  </si>
  <si>
    <t>P_blank3</t>
  </si>
  <si>
    <t>P_RP_C_B</t>
  </si>
  <si>
    <t>43</t>
  </si>
  <si>
    <t>z</t>
  </si>
  <si>
    <t>ca</t>
  </si>
  <si>
    <t>P_RP_SIL2</t>
  </si>
  <si>
    <t>P_RP_S_D</t>
  </si>
  <si>
    <t>44</t>
  </si>
  <si>
    <t>0</t>
  </si>
  <si>
    <t>cb</t>
  </si>
  <si>
    <t>P_RS_S_SIL</t>
  </si>
  <si>
    <t>P_RP_SIL</t>
  </si>
  <si>
    <t>45</t>
  </si>
  <si>
    <t>cc</t>
  </si>
  <si>
    <t>P_PS_O_a</t>
  </si>
  <si>
    <t>P_RP_S_B_RH</t>
  </si>
  <si>
    <t>46</t>
  </si>
  <si>
    <t>P_PS_O_b</t>
  </si>
  <si>
    <t>P_RP_reducedperim</t>
  </si>
  <si>
    <t>47</t>
  </si>
  <si>
    <t>P_PS_O_c</t>
  </si>
  <si>
    <t>48</t>
  </si>
  <si>
    <t>P_PS_O_T</t>
  </si>
  <si>
    <t>49</t>
  </si>
  <si>
    <t>W_staggered</t>
  </si>
  <si>
    <t>50</t>
  </si>
  <si>
    <t>W_ISIL_M</t>
  </si>
  <si>
    <t>51</t>
  </si>
  <si>
    <t>W_T_RAB</t>
  </si>
  <si>
    <t>52</t>
  </si>
  <si>
    <t>STF_lined</t>
  </si>
  <si>
    <t>53</t>
  </si>
  <si>
    <t>W_ISIL_PW</t>
  </si>
  <si>
    <t>54</t>
  </si>
  <si>
    <t>+</t>
  </si>
  <si>
    <t>W_S_RAB</t>
  </si>
  <si>
    <t>55</t>
  </si>
  <si>
    <t>/</t>
  </si>
  <si>
    <t>56</t>
  </si>
  <si>
    <t>57</t>
  </si>
  <si>
    <t>58</t>
  </si>
  <si>
    <t>59</t>
  </si>
  <si>
    <t>60</t>
  </si>
  <si>
    <t>The conductivity calculated in the top display box can be copied and pasted over the pull-down selection of conductivity for a segment. After copying, select all of the number in the target box and paste.</t>
  </si>
  <si>
    <t>61</t>
  </si>
  <si>
    <t>This can also be done with the thickness entered into the top entry box.</t>
  </si>
  <si>
    <t>Two layers</t>
  </si>
  <si>
    <t>62</t>
  </si>
  <si>
    <t>63</t>
  </si>
  <si>
    <t>Nogs / battens are assumed to be spaced at 600 mm centres</t>
  </si>
  <si>
    <t>One layer</t>
  </si>
  <si>
    <t>64</t>
  </si>
  <si>
    <t>ea</t>
  </si>
  <si>
    <t>65</t>
  </si>
  <si>
    <t xml:space="preserve">Interior secondary insulation layer - 50 mm deep x 70 mm high horizontal battens @ 600 ctrs </t>
  </si>
  <si>
    <t>eb</t>
  </si>
  <si>
    <t>Full thick</t>
  </si>
  <si>
    <t>66</t>
  </si>
  <si>
    <t>insulation is either R 1.56 (k=0.032 W/m.K) or R 1.25 (k=0.04 W/m.K)</t>
  </si>
  <si>
    <t>ec</t>
  </si>
  <si>
    <t>67</t>
  </si>
  <si>
    <r>
      <t>resulting overall R-value for the layers  of 1.2 m</t>
    </r>
    <r>
      <rPr>
        <vertAlign val="superscript"/>
        <sz val="12"/>
        <color theme="1"/>
        <rFont val="Calibri"/>
        <family val="2"/>
        <scheme val="minor"/>
      </rPr>
      <t>2</t>
    </r>
    <r>
      <rPr>
        <sz val="12"/>
        <color theme="1"/>
        <rFont val="Calibri"/>
        <family val="2"/>
        <scheme val="minor"/>
      </rPr>
      <t>K/W and 1.1 m</t>
    </r>
    <r>
      <rPr>
        <vertAlign val="superscript"/>
        <sz val="12"/>
        <color theme="1"/>
        <rFont val="Calibri"/>
        <family val="2"/>
        <scheme val="minor"/>
      </rPr>
      <t>2</t>
    </r>
    <r>
      <rPr>
        <sz val="12"/>
        <color theme="1"/>
        <rFont val="Calibri"/>
        <family val="2"/>
        <scheme val="minor"/>
      </rPr>
      <t>K/W respectively</t>
    </r>
  </si>
  <si>
    <t>fa</t>
  </si>
  <si>
    <t>Layer two</t>
  </si>
  <si>
    <t>68</t>
  </si>
  <si>
    <t>fb</t>
  </si>
  <si>
    <t>69</t>
  </si>
  <si>
    <t>Modelled using 3D finite element software</t>
  </si>
  <si>
    <t>fc</t>
  </si>
  <si>
    <t>Both layers</t>
  </si>
  <si>
    <t>70</t>
  </si>
  <si>
    <t>ga</t>
  </si>
  <si>
    <t>71</t>
  </si>
  <si>
    <t>H1/AS1 5th ed. Schedule method minimum R 6.6 in all climate zones</t>
  </si>
  <si>
    <t>gb</t>
  </si>
  <si>
    <t>72</t>
  </si>
  <si>
    <t>gc</t>
  </si>
  <si>
    <t>73</t>
  </si>
  <si>
    <t>Joist cover with insulation can be achieved either with two separate layers of insulation or cutting a</t>
  </si>
  <si>
    <t>74</t>
  </si>
  <si>
    <t>single thick layer of insulation such that it spill over the top when tightly fitted</t>
  </si>
  <si>
    <t>75</t>
  </si>
  <si>
    <t>76</t>
  </si>
  <si>
    <t>77</t>
  </si>
  <si>
    <t>78</t>
  </si>
  <si>
    <t>79</t>
  </si>
  <si>
    <t>80</t>
  </si>
  <si>
    <t>81</t>
  </si>
  <si>
    <t>82</t>
  </si>
  <si>
    <t>83</t>
  </si>
  <si>
    <t>84</t>
  </si>
  <si>
    <t>85</t>
  </si>
  <si>
    <t>86</t>
  </si>
  <si>
    <t>87</t>
  </si>
  <si>
    <t>88</t>
  </si>
  <si>
    <t>89</t>
  </si>
  <si>
    <t>90</t>
  </si>
  <si>
    <t>91</t>
  </si>
  <si>
    <t>92</t>
  </si>
  <si>
    <t>93</t>
  </si>
  <si>
    <t>94</t>
  </si>
  <si>
    <t>95</t>
  </si>
  <si>
    <t>96</t>
  </si>
  <si>
    <t>97</t>
  </si>
  <si>
    <t>98</t>
  </si>
  <si>
    <t>99</t>
  </si>
  <si>
    <t>100</t>
  </si>
  <si>
    <t>101</t>
  </si>
  <si>
    <t>102</t>
  </si>
  <si>
    <t>103</t>
  </si>
  <si>
    <t>104</t>
  </si>
  <si>
    <t>105</t>
  </si>
  <si>
    <t>106</t>
  </si>
  <si>
    <t>107</t>
  </si>
  <si>
    <t>108</t>
  </si>
  <si>
    <t>109</t>
  </si>
  <si>
    <t>110</t>
  </si>
  <si>
    <t>111</t>
  </si>
  <si>
    <t>112</t>
  </si>
  <si>
    <t>113</t>
  </si>
  <si>
    <t>114</t>
  </si>
  <si>
    <t>115</t>
  </si>
  <si>
    <t>116</t>
  </si>
  <si>
    <t>117</t>
  </si>
  <si>
    <t>118</t>
  </si>
  <si>
    <t>119</t>
  </si>
  <si>
    <t>120</t>
  </si>
  <si>
    <t>121</t>
  </si>
  <si>
    <t>122</t>
  </si>
  <si>
    <t>123</t>
  </si>
  <si>
    <t>124</t>
  </si>
  <si>
    <t>125</t>
  </si>
  <si>
    <t>126</t>
  </si>
  <si>
    <t>127</t>
  </si>
  <si>
    <t>128</t>
  </si>
  <si>
    <t>129</t>
  </si>
  <si>
    <t>130</t>
  </si>
  <si>
    <t>131</t>
  </si>
  <si>
    <t>132</t>
  </si>
  <si>
    <t>133</t>
  </si>
  <si>
    <t>134</t>
  </si>
  <si>
    <t>135</t>
  </si>
  <si>
    <t>136</t>
  </si>
  <si>
    <t>137</t>
  </si>
  <si>
    <t>138</t>
  </si>
  <si>
    <t>139</t>
  </si>
  <si>
    <t>140</t>
  </si>
  <si>
    <t>141</t>
  </si>
  <si>
    <t>142</t>
  </si>
  <si>
    <t>143</t>
  </si>
  <si>
    <t>144</t>
  </si>
  <si>
    <t>145</t>
  </si>
  <si>
    <t>146</t>
  </si>
  <si>
    <t>147</t>
  </si>
  <si>
    <t>148</t>
  </si>
  <si>
    <t>149</t>
  </si>
  <si>
    <t>150</t>
  </si>
  <si>
    <t>151</t>
  </si>
  <si>
    <t>152</t>
  </si>
  <si>
    <t>153</t>
  </si>
  <si>
    <t>154</t>
  </si>
  <si>
    <t>155</t>
  </si>
  <si>
    <t>156</t>
  </si>
  <si>
    <t>157</t>
  </si>
  <si>
    <t>158</t>
  </si>
  <si>
    <t>159</t>
  </si>
  <si>
    <t>160</t>
  </si>
  <si>
    <t>161</t>
  </si>
  <si>
    <t>162</t>
  </si>
  <si>
    <t>163</t>
  </si>
  <si>
    <t>164</t>
  </si>
  <si>
    <t>165</t>
  </si>
  <si>
    <t>166</t>
  </si>
  <si>
    <t>167</t>
  </si>
  <si>
    <t>168</t>
  </si>
  <si>
    <t>169</t>
  </si>
  <si>
    <t>170</t>
  </si>
  <si>
    <t>171</t>
  </si>
  <si>
    <t>172</t>
  </si>
  <si>
    <t>173</t>
  </si>
  <si>
    <t>174</t>
  </si>
  <si>
    <t>175</t>
  </si>
  <si>
    <t>176</t>
  </si>
  <si>
    <t>177</t>
  </si>
  <si>
    <t>178</t>
  </si>
  <si>
    <t>179</t>
  </si>
  <si>
    <t>180</t>
  </si>
  <si>
    <t>181</t>
  </si>
  <si>
    <t>182</t>
  </si>
  <si>
    <t>183</t>
  </si>
  <si>
    <t>184</t>
  </si>
  <si>
    <t>185</t>
  </si>
  <si>
    <t>186</t>
  </si>
  <si>
    <t>187</t>
  </si>
  <si>
    <t>188</t>
  </si>
  <si>
    <t>189</t>
  </si>
  <si>
    <t>190</t>
  </si>
  <si>
    <t>191</t>
  </si>
  <si>
    <t>192</t>
  </si>
  <si>
    <t>193</t>
  </si>
  <si>
    <t>194</t>
  </si>
  <si>
    <t>195</t>
  </si>
  <si>
    <t>196</t>
  </si>
  <si>
    <t>197</t>
  </si>
  <si>
    <t>198</t>
  </si>
  <si>
    <t>199</t>
  </si>
  <si>
    <t>200</t>
  </si>
  <si>
    <t>201</t>
  </si>
  <si>
    <t>202</t>
  </si>
  <si>
    <t>203</t>
  </si>
  <si>
    <t>204</t>
  </si>
  <si>
    <t>205</t>
  </si>
  <si>
    <t>206</t>
  </si>
  <si>
    <t>207</t>
  </si>
  <si>
    <t>208</t>
  </si>
  <si>
    <t>209</t>
  </si>
  <si>
    <t>210</t>
  </si>
  <si>
    <t>211</t>
  </si>
  <si>
    <t>212</t>
  </si>
  <si>
    <t>213</t>
  </si>
  <si>
    <t>214</t>
  </si>
  <si>
    <t>215</t>
  </si>
  <si>
    <t>216</t>
  </si>
  <si>
    <t>217</t>
  </si>
  <si>
    <t>218</t>
  </si>
  <si>
    <t>219</t>
  </si>
  <si>
    <t>220</t>
  </si>
  <si>
    <t>221</t>
  </si>
  <si>
    <t>222</t>
  </si>
  <si>
    <t>223</t>
  </si>
  <si>
    <t>224</t>
  </si>
  <si>
    <t>225</t>
  </si>
  <si>
    <t>226</t>
  </si>
  <si>
    <t>227</t>
  </si>
  <si>
    <t>228</t>
  </si>
  <si>
    <t>229</t>
  </si>
  <si>
    <t>230</t>
  </si>
  <si>
    <t>231</t>
  </si>
  <si>
    <t>232</t>
  </si>
  <si>
    <t>233</t>
  </si>
  <si>
    <t>234</t>
  </si>
  <si>
    <t>235</t>
  </si>
  <si>
    <t>236</t>
  </si>
  <si>
    <t>237</t>
  </si>
  <si>
    <t>238</t>
  </si>
  <si>
    <t>239</t>
  </si>
  <si>
    <t>240</t>
  </si>
  <si>
    <t>241</t>
  </si>
  <si>
    <t>242</t>
  </si>
  <si>
    <t>This sheet is intended for the situation where roof space insulation is needing to be compressed by an insulation baffle to create a (25mm) seperation from the roofing underside</t>
  </si>
  <si>
    <t>ccf</t>
  </si>
  <si>
    <t>These R-values are for the insulation only and do not include framing</t>
  </si>
  <si>
    <t>Width</t>
  </si>
  <si>
    <t>the rest</t>
  </si>
  <si>
    <t>combined</t>
  </si>
  <si>
    <t>(mm)</t>
  </si>
  <si>
    <t>insulation</t>
  </si>
  <si>
    <t xml:space="preserve">  R-value</t>
  </si>
  <si>
    <t>Cntrl7</t>
  </si>
  <si>
    <t xml:space="preserve"> thermal conductivity (W/m.K)</t>
  </si>
  <si>
    <t>mean thickness (mm)</t>
  </si>
  <si>
    <t>mean conductivity (W/m.K)</t>
  </si>
  <si>
    <t>The lowest point is the thinest the insulation will be and does not include the allowance for at least 25mm clearance for ventilation. The loft restriant of the insulation must also allow for that 25mm ventilation clearance using an insulation baffle or by using suitably sized &amp; shaped rigid insulation.</t>
  </si>
  <si>
    <t xml:space="preserve"> roof / baffle angle (degrees)</t>
  </si>
  <si>
    <t xml:space="preserve"> lowest point (mm)</t>
  </si>
  <si>
    <t xml:space="preserve">     Segment 1</t>
  </si>
  <si>
    <t>insulation type</t>
  </si>
  <si>
    <t xml:space="preserve">  conductivity  </t>
  </si>
  <si>
    <t xml:space="preserve"> W/m.K</t>
  </si>
  <si>
    <t>width (mm)</t>
  </si>
  <si>
    <t>baffle angle</t>
  </si>
  <si>
    <t>baffle height</t>
  </si>
  <si>
    <t>edge insul thick</t>
  </si>
  <si>
    <t>edge insul width</t>
  </si>
  <si>
    <t>edge insul k</t>
  </si>
  <si>
    <t>2nd insul thick</t>
  </si>
  <si>
    <t>2nd insul width</t>
  </si>
  <si>
    <t>2nd insul k</t>
  </si>
  <si>
    <t>core insul thick</t>
  </si>
  <si>
    <t>core width</t>
  </si>
  <si>
    <t>core insul k</t>
  </si>
  <si>
    <t>select width</t>
  </si>
  <si>
    <t xml:space="preserve">    Segment 2</t>
  </si>
  <si>
    <t xml:space="preserve">conductivity  </t>
  </si>
  <si>
    <t>glasswool fibre</t>
  </si>
  <si>
    <t>poly/wool fibre</t>
  </si>
  <si>
    <t>Rigid insulation</t>
  </si>
  <si>
    <t>Rigid foam</t>
  </si>
  <si>
    <t xml:space="preserve">    Segment 3</t>
  </si>
  <si>
    <t xml:space="preserve">            </t>
  </si>
  <si>
    <t xml:space="preserve"> insulation type</t>
  </si>
  <si>
    <t>Roof edge insulation</t>
  </si>
  <si>
    <t>angle</t>
  </si>
  <si>
    <t>height</t>
  </si>
  <si>
    <t>middle width</t>
  </si>
  <si>
    <t>don't set</t>
  </si>
  <si>
    <t>total width</t>
  </si>
  <si>
    <t>set</t>
  </si>
  <si>
    <t>For a two insulation layer system use the total insulation thickness and assuse a common conductivity value. The estimation of the compressed R-value will be more accurate if the material of the two layers is the same , i.e. same density and same conductivity.</t>
  </si>
  <si>
    <t>Check with the insulation supplier if the insulation materials is O.K to be compressed inservice, especially if it will be compressed for more than half of its uncompressed thickness.</t>
  </si>
  <si>
    <t>This spreadsheet is not intended to replace more detailed and specific design information from the insulation supplier such as choice of suitable products and their installation methods.</t>
  </si>
  <si>
    <t>A two layer system that uses an uncompressed bottom layer of insulation could be calculated by subtraction off the thickness of the first layer, calculating the R-value of the compressed second layer, then adding the two R-value together.</t>
  </si>
  <si>
    <t>If the bottom layer is evenly compressed then it can be calculated sepeately by creating a copy of the sheet and setting the roof angle to zero. This would require knowledge of how much the bottom layer will be compressed.</t>
  </si>
  <si>
    <t>Segment 1</t>
  </si>
  <si>
    <t>Segment 2</t>
  </si>
  <si>
    <t>Segment 3</t>
  </si>
  <si>
    <t>Thermal resistance of timber framed skillion roof (m2K/W)</t>
  </si>
  <si>
    <t>membrane</t>
  </si>
  <si>
    <t>Rafter spacing (mm)</t>
  </si>
  <si>
    <t>Rafter height (mm)</t>
  </si>
  <si>
    <t>Battens / Dwangs</t>
  </si>
  <si>
    <t>Insulation R-value</t>
  </si>
  <si>
    <t>Insulation conductivity</t>
  </si>
  <si>
    <t>Interior secondary insulating layer (ISIL)</t>
  </si>
  <si>
    <t>Roof thermal resistance</t>
  </si>
  <si>
    <t>rafter height</t>
  </si>
  <si>
    <t>rafter spacing</t>
  </si>
  <si>
    <t>ISIL</t>
  </si>
  <si>
    <t>Cladding</t>
  </si>
  <si>
    <t>depth</t>
  </si>
  <si>
    <t>%</t>
  </si>
  <si>
    <t>Rvalue</t>
  </si>
  <si>
    <t>battens</t>
  </si>
  <si>
    <t>dwangs</t>
  </si>
  <si>
    <t>Metal tiles / profiled metal</t>
  </si>
  <si>
    <t>9.9</t>
  </si>
  <si>
    <t>low slope metal</t>
  </si>
  <si>
    <t>9.8</t>
  </si>
  <si>
    <t>Membrane</t>
  </si>
  <si>
    <t>9.7</t>
  </si>
  <si>
    <t>9.6</t>
  </si>
  <si>
    <t>9.5</t>
  </si>
  <si>
    <t>9.4</t>
  </si>
  <si>
    <t>9.3</t>
  </si>
  <si>
    <t>9.2</t>
  </si>
  <si>
    <t>9.1</t>
  </si>
  <si>
    <t>Roofs</t>
  </si>
  <si>
    <t>P_RL_S_B</t>
  </si>
  <si>
    <t>P_RS_C_B</t>
  </si>
  <si>
    <t>P_RS_C_D</t>
  </si>
  <si>
    <t>P_RS_M_B</t>
  </si>
  <si>
    <t>P_RL_S_D</t>
  </si>
  <si>
    <t>P_RS_S_D</t>
  </si>
  <si>
    <t>P_RS_M_D</t>
  </si>
  <si>
    <t>P_RS_S_B_DR</t>
  </si>
  <si>
    <t>P_RS_S_I</t>
  </si>
  <si>
    <t>P_RS_S_DR</t>
  </si>
  <si>
    <t>P_RS_S_B_SR</t>
  </si>
  <si>
    <t>P_RS_C_DR</t>
  </si>
  <si>
    <t>P_warmroof</t>
  </si>
  <si>
    <t>Thermal resistance of timber &amp; steel frame walls (m2K/W)</t>
  </si>
  <si>
    <t>frame fraction estimate</t>
  </si>
  <si>
    <t>Exterior Insulation</t>
  </si>
  <si>
    <t>Exterior Bracing / RAB</t>
  </si>
  <si>
    <t>Primary frame</t>
  </si>
  <si>
    <t>Interior  Bracing / RAB</t>
  </si>
  <si>
    <t>Interior Insulation</t>
  </si>
  <si>
    <t>Interior lining</t>
  </si>
  <si>
    <t>Exterior</t>
  </si>
  <si>
    <t>Interior</t>
  </si>
  <si>
    <t>spacing</t>
  </si>
  <si>
    <t xml:space="preserve">      d1 = a1.Ri^2 + b1.Ri + c1</t>
  </si>
  <si>
    <t xml:space="preserve">      d2 = a2.Ri^2 + b2.Ri + c2</t>
  </si>
  <si>
    <t xml:space="preserve">      d3 = a3.Ri^2 + b3.Ri + c3</t>
  </si>
  <si>
    <t>length</t>
  </si>
  <si>
    <t>Rs</t>
  </si>
  <si>
    <t xml:space="preserve"> = d1.FP^2 + d2.FP + d3</t>
  </si>
  <si>
    <t>cavity?</t>
  </si>
  <si>
    <t>= (a1.Ri^2 + b1.Ri + c1).FR^2 +  (a2.Ri^2 + b2.Ri + c2).Ri +  (a3.Ri^2 + b3.Ri + c3)</t>
  </si>
  <si>
    <t>total</t>
  </si>
  <si>
    <t>both insulated RAB &amp; direct fixed ESIL</t>
  </si>
  <si>
    <t>`</t>
  </si>
  <si>
    <t>total studs</t>
  </si>
  <si>
    <t>steel frame</t>
  </si>
  <si>
    <t>Cntrl18</t>
  </si>
  <si>
    <t>timber frame</t>
  </si>
  <si>
    <t>middle studs</t>
  </si>
  <si>
    <t>Cntrl21</t>
  </si>
  <si>
    <t>cladding on cavity</t>
  </si>
  <si>
    <t>Target wall thermal resistance m2K/W</t>
  </si>
  <si>
    <t>end studs</t>
  </si>
  <si>
    <t>Cntrl20</t>
  </si>
  <si>
    <t>EIL on cavity</t>
  </si>
  <si>
    <t>extra studs</t>
  </si>
  <si>
    <t>internal RAB</t>
  </si>
  <si>
    <t>frame</t>
  </si>
  <si>
    <t>Insulation thermal resistance  m2.K/W</t>
  </si>
  <si>
    <t>Wall thermal resistance   m2.K/W</t>
  </si>
  <si>
    <t>plates</t>
  </si>
  <si>
    <t>external RAB</t>
  </si>
  <si>
    <t>fraction</t>
  </si>
  <si>
    <t>insul. RAB</t>
  </si>
  <si>
    <t>(%)</t>
  </si>
  <si>
    <t>Cntrl19</t>
  </si>
  <si>
    <t>EIL</t>
  </si>
  <si>
    <t>timber</t>
  </si>
  <si>
    <t>EIL inline</t>
  </si>
  <si>
    <t>steel</t>
  </si>
  <si>
    <t>Frame fraction %</t>
  </si>
  <si>
    <t>IIL</t>
  </si>
  <si>
    <t>studs &amp; dwangs</t>
  </si>
  <si>
    <t>IIL inline</t>
  </si>
  <si>
    <t>source</t>
  </si>
  <si>
    <t>no cavity</t>
  </si>
  <si>
    <t>w&amp;d area %</t>
  </si>
  <si>
    <t>steel &amp; (insul. RAB or EIL direct fixed)</t>
  </si>
  <si>
    <t>Timber</t>
  </si>
  <si>
    <t>wall type</t>
  </si>
  <si>
    <t>RAB</t>
  </si>
  <si>
    <t>RAB_2</t>
  </si>
  <si>
    <t>cavity construction</t>
  </si>
  <si>
    <t>steel BMT</t>
  </si>
  <si>
    <t>IIL steel BMT</t>
  </si>
  <si>
    <t>EIL steel BMT</t>
  </si>
  <si>
    <t>IIL depth</t>
  </si>
  <si>
    <t>IIL frame %</t>
  </si>
  <si>
    <t>IIL insul. R</t>
  </si>
  <si>
    <t>EIL depth</t>
  </si>
  <si>
    <t>EIL frame %</t>
  </si>
  <si>
    <t>EIL insul. R</t>
  </si>
  <si>
    <t>includes</t>
  </si>
  <si>
    <t>w&amp;d area</t>
  </si>
  <si>
    <t>wall height</t>
  </si>
  <si>
    <t>wall length</t>
  </si>
  <si>
    <t>stud spacing</t>
  </si>
  <si>
    <t>number rows of dwangs</t>
  </si>
  <si>
    <t>number of extra sutds</t>
  </si>
  <si>
    <t>window &amp; door area</t>
  </si>
  <si>
    <t>number doors &amp; windows</t>
  </si>
  <si>
    <t>Extras</t>
  </si>
  <si>
    <t>scale start</t>
  </si>
  <si>
    <t>scale step</t>
  </si>
  <si>
    <t>net wall area</t>
  </si>
  <si>
    <t>a1</t>
  </si>
  <si>
    <t>b1</t>
  </si>
  <si>
    <t>c1</t>
  </si>
  <si>
    <t>a2</t>
  </si>
  <si>
    <t>b2</t>
  </si>
  <si>
    <t>c2</t>
  </si>
  <si>
    <t>a3</t>
  </si>
  <si>
    <t>b3</t>
  </si>
  <si>
    <t>c3</t>
  </si>
  <si>
    <t>less studs&amp;dwangs</t>
  </si>
  <si>
    <t>Timber framed 90 mm</t>
  </si>
  <si>
    <t>Timber 90 mm</t>
  </si>
  <si>
    <t>no insul.</t>
  </si>
  <si>
    <t>0.55 mm</t>
  </si>
  <si>
    <t>wall height (internal) (m)</t>
  </si>
  <si>
    <t>number of studs</t>
  </si>
  <si>
    <t>frame manufacturer</t>
  </si>
  <si>
    <t>all framing</t>
  </si>
  <si>
    <t>Timber framed 140 mm</t>
  </si>
  <si>
    <t>BevelBack WB</t>
  </si>
  <si>
    <t>Timber 140 mm</t>
  </si>
  <si>
    <t>7mm plywood</t>
  </si>
  <si>
    <t>only cladding on cavity</t>
  </si>
  <si>
    <t>un-framed insulation</t>
  </si>
  <si>
    <t>0.75 mm</t>
  </si>
  <si>
    <t>avrg. wall length (int.) (m)</t>
  </si>
  <si>
    <t>w&amp;d framing</t>
  </si>
  <si>
    <t>from plans</t>
  </si>
  <si>
    <t>all studs-nogs-plates</t>
  </si>
  <si>
    <t>Steel framed 90 mm + R-0.25 TB</t>
  </si>
  <si>
    <t>Rusticated WB</t>
  </si>
  <si>
    <t>Steel 90 mm with thermal break</t>
  </si>
  <si>
    <t>13mm plywood</t>
  </si>
  <si>
    <t>cladding &amp; EIL on cavity</t>
  </si>
  <si>
    <t>timber frame offset</t>
  </si>
  <si>
    <t>0.95 mm</t>
  </si>
  <si>
    <t>nominal stud spacing (mm)</t>
  </si>
  <si>
    <t>stud fraction</t>
  </si>
  <si>
    <t>nominal stud spacing</t>
  </si>
  <si>
    <t>nogs &amp; plates but excl. some studs</t>
  </si>
  <si>
    <t>Steel framed 140 mm + R-0.25 TB</t>
  </si>
  <si>
    <t>FibreCement WB</t>
  </si>
  <si>
    <t>Steel 150 mm with thermal break</t>
  </si>
  <si>
    <t>6mm fibre-cement</t>
  </si>
  <si>
    <t>steel frame offset</t>
  </si>
  <si>
    <t>1.15 mm</t>
  </si>
  <si>
    <t>number of dwang rows</t>
  </si>
  <si>
    <t>dwang fraction</t>
  </si>
  <si>
    <t>other</t>
  </si>
  <si>
    <t>Timber framed 190 mm</t>
  </si>
  <si>
    <t>FibreCement Sheet</t>
  </si>
  <si>
    <t>Timber 190 mm</t>
  </si>
  <si>
    <t>7.5mm fibre-cement</t>
  </si>
  <si>
    <t>timber frame inline</t>
  </si>
  <si>
    <t>avrg. number of extra studs</t>
  </si>
  <si>
    <t>t&amp;b plate fraction</t>
  </si>
  <si>
    <t>Timber framed 140 mm staggered 90 studs</t>
  </si>
  <si>
    <t>Timber 140 staggered 90</t>
  </si>
  <si>
    <t>9mm fibre-cement</t>
  </si>
  <si>
    <t>steel frame inline</t>
  </si>
  <si>
    <t xml:space="preserve">Total frame fraction  </t>
  </si>
  <si>
    <t>Timber framed 180 mm staggered 90 studs</t>
  </si>
  <si>
    <t>Masonry Veneer</t>
  </si>
  <si>
    <t>Timber 180 staggered 90</t>
  </si>
  <si>
    <t>10mm HD plasterboard</t>
  </si>
  <si>
    <t>area % of rough openings for windows &amp; doors</t>
  </si>
  <si>
    <t>Plaster</t>
  </si>
  <si>
    <t>13mm HD plasterboard</t>
  </si>
  <si>
    <t>wind. &amp; door area (m2)</t>
  </si>
  <si>
    <t>Cntrl29</t>
  </si>
  <si>
    <t>Wall, I-joist, plywood ACL, secondary insulation layer</t>
  </si>
  <si>
    <t xml:space="preserve"> R-0.38 insulated RAB</t>
  </si>
  <si>
    <t>Cntrl25</t>
  </si>
  <si>
    <t>Wall, timber frame, cavity, secondary insulation layer</t>
  </si>
  <si>
    <t>W_BBWB_C_90T</t>
  </si>
  <si>
    <t>avrg. # of doors &amp; windows in each wall section</t>
  </si>
  <si>
    <t>Cntrl26</t>
  </si>
  <si>
    <t>Wall, timber frame, plywood ACL, timber battens, secondary insulation layer</t>
  </si>
  <si>
    <t>W_BBWB_D90T</t>
  </si>
  <si>
    <t>Total frame fraction adjusted to net wall area</t>
  </si>
  <si>
    <t>Cntrl30</t>
  </si>
  <si>
    <t>W_RWB_C_90T</t>
  </si>
  <si>
    <t>Cntrl24</t>
  </si>
  <si>
    <t>Wall, horizontal pro_x001F_led metal, cavity, 90 mm steel-framed</t>
  </si>
  <si>
    <t>W_RWB_D90T</t>
  </si>
  <si>
    <t xml:space="preserve">gross internal wall area (m2)  </t>
  </si>
  <si>
    <t>Cntrl28</t>
  </si>
  <si>
    <t>Wall, vertical pro_x001F_led metal, direct-_x001F_xed, 90 mm steel-framed</t>
  </si>
  <si>
    <t>W_FSWB_C_90T</t>
  </si>
  <si>
    <t>Cntrl27</t>
  </si>
  <si>
    <t>Wall, FCWB, 7.5 mm, direct-_x001F_xed, 90 mm steel-framed</t>
  </si>
  <si>
    <t>W_FSWB_D90T</t>
  </si>
  <si>
    <t>Cntrl22</t>
  </si>
  <si>
    <t>Wall, steel-framed, 40-60 mm EIFS, cavity, 90 mm frame</t>
  </si>
  <si>
    <t>W_FSS_C_90T</t>
  </si>
  <si>
    <t xml:space="preserve">net wall area (m2)  </t>
  </si>
  <si>
    <t>window &amp; door frame     fraction</t>
  </si>
  <si>
    <t>Cntrl23</t>
  </si>
  <si>
    <t>Wall, sheet cladding, plywood RAB, cavity, thermal break strips</t>
  </si>
  <si>
    <t>W_FSS_D90T</t>
  </si>
  <si>
    <t>Wall, BBWB, steel-framed, cavity, 90 mm frame</t>
  </si>
  <si>
    <t>W_PM_C_90T</t>
  </si>
  <si>
    <r>
      <t xml:space="preserve">The inclusion of the average wall length allows for the studs at the end of each wall section or panel (but not any </t>
    </r>
    <r>
      <rPr>
        <u/>
        <sz val="12"/>
        <color theme="1"/>
        <rFont val="Calibri"/>
        <family val="2"/>
        <scheme val="minor"/>
      </rPr>
      <t>extra</t>
    </r>
    <r>
      <rPr>
        <sz val="12"/>
        <color theme="1"/>
        <rFont val="Calibri"/>
        <family val="2"/>
        <scheme val="minor"/>
      </rPr>
      <t xml:space="preserve"> studs or blocking that supports those end studs). The extra stud and blocking that occurs at an internal wall junction can be included as extra studs.</t>
    </r>
  </si>
  <si>
    <t>internal secondary insulation</t>
  </si>
  <si>
    <t>Wall, BBWB, steel-framed, cavity, 140 mm frame</t>
  </si>
  <si>
    <t>W_PM_D90T</t>
  </si>
  <si>
    <t>Wall, BBWB, steel-framed, direct-_x001F_xed, 140 mm frame</t>
  </si>
  <si>
    <t>W_BV_90T</t>
  </si>
  <si>
    <t>Wall, BBWB, steel-framed, direct-_x001F_xed, 90 mm frame</t>
  </si>
  <si>
    <t>W_EPS_90T</t>
  </si>
  <si>
    <t>steel R</t>
  </si>
  <si>
    <t>Total including framing assoc. with windows &amp; doors</t>
  </si>
  <si>
    <t>Wall, RWB, steel-framed, direct-_x001F_xed, 90 mm frame</t>
  </si>
  <si>
    <t>W_BBWB_C_140T</t>
  </si>
  <si>
    <t>Wall, rusticated weatherboard, steel frame 140mm, direct _x001F_x</t>
  </si>
  <si>
    <t>W_BBWB_D140T</t>
  </si>
  <si>
    <t>Wall, RWB, steel-framed, cavity, 90 mm frame</t>
  </si>
  <si>
    <t>W_RWB_C_140T</t>
  </si>
  <si>
    <t>Wall, rusticated weatherboard, steel frame 140mm, cavity</t>
  </si>
  <si>
    <t>W_RWB_D140T</t>
  </si>
  <si>
    <t>Wall, sheet cladding, steel-framed, cavity, 90-140 mm frame</t>
  </si>
  <si>
    <t>W_FSWB_C_140T</t>
  </si>
  <si>
    <t>External secondary insulation</t>
  </si>
  <si>
    <t>Wall, sheet cladding, steel-framed, direct-_x001F_xed, 90 mm frame</t>
  </si>
  <si>
    <t>W_FSWB_D140T</t>
  </si>
  <si>
    <t>Wall, sheet cladding, steel-framed, direct-_x001F_xed, 140 mm frame</t>
  </si>
  <si>
    <t>W_FSS_C_140T</t>
  </si>
  <si>
    <t>Wall, MV, steel-framed, cavity, 90-140 mm frame</t>
  </si>
  <si>
    <t>W_FSS_D140T</t>
  </si>
  <si>
    <t>plaster faced 80mm grade-S EPS</t>
  </si>
  <si>
    <t>Wall, masonry veneer, steel frame</t>
  </si>
  <si>
    <t>W_PM_C_140T</t>
  </si>
  <si>
    <t>plaster faced 80mm grade-S EPS on cavity</t>
  </si>
  <si>
    <t>W_PM_D140T</t>
  </si>
  <si>
    <t>BBWB - bevelbacked weatherboard</t>
  </si>
  <si>
    <t>RWB - Rusticated weatherboard</t>
  </si>
  <si>
    <t>plaster faced 100mm grade-S EPS</t>
  </si>
  <si>
    <t>Wall, horizontal pro_x001F_led metal, cavity, 90 mm timber-framed</t>
  </si>
  <si>
    <t>W_BV_140T</t>
  </si>
  <si>
    <t>FCWB - fibrecement weatherboard</t>
  </si>
  <si>
    <t>FC - fibrecement sheet (or similar sheet cladding)</t>
  </si>
  <si>
    <t>plaster faced 100mm grade-S EPS on cavity</t>
  </si>
  <si>
    <t>Wall, horizontal pro_x001F_led metal, cavity, 140 mm timber-framed</t>
  </si>
  <si>
    <t>W_EPS_140T</t>
  </si>
  <si>
    <t>ESIL - External secondary insulating layer - R-value includes facing/cladding</t>
  </si>
  <si>
    <t>Wall, vertical pro_x001F_led metal, direct-_x001F_xed, 90-140 mm timber-framed</t>
  </si>
  <si>
    <t>W_BBWB_C_90S</t>
  </si>
  <si>
    <t>Wall, FCWB, 7.5 mm, cavity, 90 mm timber-framed</t>
  </si>
  <si>
    <t>W_BBWB_D90S</t>
  </si>
  <si>
    <t>ISIL - Interior secondary insulating layer - R-value is for the layer system so needs to include the effect of any framing</t>
  </si>
  <si>
    <t>Wall, FCWB, 7.5 mm, cavity, 140 mm timber-framed</t>
  </si>
  <si>
    <t>W_RWB_C_90S</t>
  </si>
  <si>
    <t>NZS4214 or similar 1-D calculation method can be used to determine the R-value if the layer is bridged by framing</t>
  </si>
  <si>
    <t>Wall, FCWB, 7.5 mm, direct-_x001F_xed, 90 mm timber-framed</t>
  </si>
  <si>
    <t>W_RWB_D90S</t>
  </si>
  <si>
    <t>Wall, FCWB, 7.5 mm, direct-_x001F_xed, 140 mm timber-framed</t>
  </si>
  <si>
    <t>W_FSWB_C_90S</t>
  </si>
  <si>
    <t>Wall, BBWB, timber-framed, cavity, 90-140 mm frame</t>
  </si>
  <si>
    <t>W_FSWB_D90S</t>
  </si>
  <si>
    <t xml:space="preserve">Thermal resistance is for a 2.4 m wall with two rows of dwangs, including top and bottom plates, </t>
  </si>
  <si>
    <t>Wall, BBWB, timber-framed, direct-_x001F_xed, 90 mm frame</t>
  </si>
  <si>
    <t>W_FSS_C_90S</t>
  </si>
  <si>
    <r>
      <t xml:space="preserve">       and surface resistances of 0.13 m</t>
    </r>
    <r>
      <rPr>
        <vertAlign val="superscript"/>
        <sz val="12"/>
        <color theme="1"/>
        <rFont val="Calibri"/>
        <family val="2"/>
        <scheme val="minor"/>
      </rPr>
      <t>2</t>
    </r>
    <r>
      <rPr>
        <sz val="12"/>
        <color theme="1"/>
        <rFont val="Calibri"/>
        <family val="2"/>
        <scheme val="minor"/>
      </rPr>
      <t>K/W interiror and 0.04 m</t>
    </r>
    <r>
      <rPr>
        <vertAlign val="superscript"/>
        <sz val="12"/>
        <color theme="1"/>
        <rFont val="Calibri"/>
        <family val="2"/>
        <scheme val="minor"/>
      </rPr>
      <t>2</t>
    </r>
    <r>
      <rPr>
        <sz val="12"/>
        <color theme="1"/>
        <rFont val="Calibri"/>
        <family val="2"/>
        <scheme val="minor"/>
      </rPr>
      <t>K/W exterior</t>
    </r>
  </si>
  <si>
    <t>Timber floors</t>
  </si>
  <si>
    <t>Wall, BBWB, timber-framed, direct-_x001F_xed, 140 mm frame</t>
  </si>
  <si>
    <t>W_FSS_D90S</t>
  </si>
  <si>
    <t>Wall, RWB, timber-framed, cavity, 90-140 mm frame</t>
  </si>
  <si>
    <t>W_PM_C_90S</t>
  </si>
  <si>
    <t>For framing above 25%, the wall is modelled with an increasing fraction of double studs</t>
  </si>
  <si>
    <t>Wall, RWB, timber-framed, direct-_x001F_xed, 90-140 mm frame</t>
  </si>
  <si>
    <t>W_PM_D90S</t>
  </si>
  <si>
    <t>Frame % is by volume for the staggered stud cases (not including facings)</t>
  </si>
  <si>
    <t>Wall, timber frame, rusticated weatherboard, plywood RAB, cavity</t>
  </si>
  <si>
    <t>W_BV_90S</t>
  </si>
  <si>
    <t>Wall, stucco on _x001F_bre-cement backing, cavity, 90-140 mm timber-framed</t>
  </si>
  <si>
    <t>W_EPS_90S</t>
  </si>
  <si>
    <t>Steel frame cases have the frame faced on the exterior with a sheet (full coverage) thermal break with an R-value of R 0.25</t>
  </si>
  <si>
    <t>W_BBWB_C_140S</t>
  </si>
  <si>
    <t>For steel framing, the % framing is by face area of the flange.</t>
  </si>
  <si>
    <t>Wall, sheet cladding, timber-framed, cavity, 90 mm frame</t>
  </si>
  <si>
    <t>W_BBWB_D140S</t>
  </si>
  <si>
    <t>Steel framing was modelled by determing an equivalent homogenous frame with the same width as flange width and the same depth as stud depth</t>
  </si>
  <si>
    <t>Wall, sheet cladding, timber-framed, cavity, 140 mm frame</t>
  </si>
  <si>
    <t>W_RWB_C_140S</t>
  </si>
  <si>
    <t>All steel framing is assumed to have same thickness, including top and bottom plates.</t>
  </si>
  <si>
    <t>Wall, sheet cladding, timber-framed, direct-_x001F_xed, 90 mm frame</t>
  </si>
  <si>
    <t>W_RWB_D140S</t>
  </si>
  <si>
    <t>R0.38 insulated RAB is assumed to be used without a separate R0.25 thermal break layer against steel framing</t>
  </si>
  <si>
    <t>Wall, sheet cladding, timber-framed, direct-_x001F_xed, 140 mm frame</t>
  </si>
  <si>
    <t>W_FSWB_C_140S</t>
  </si>
  <si>
    <t>H1/AS1 5th ed. Schedule method minimum R 2.0 in all climate zones</t>
  </si>
  <si>
    <t>Wall, timber-framed, 40-60 mm EIFS, cavity, 90 mm frame</t>
  </si>
  <si>
    <t>W_FSWB_D140S</t>
  </si>
  <si>
    <t>Wall, MV, timber-framed, cavity, 90-140 mm frame</t>
  </si>
  <si>
    <t>W_FSS_C_140S</t>
  </si>
  <si>
    <t>Wall, BBWB, timber-framed, direct-_x001F_xed, 140 mm deep wall with 90 mm staggered studs</t>
  </si>
  <si>
    <t>W_FSS_D140S</t>
  </si>
  <si>
    <t>Wall, BBWB, timber-framed, direct-_x001F_xed, 180 mm deep wall with 90 mm staggered studs</t>
  </si>
  <si>
    <t>W_PM_C_140S</t>
  </si>
  <si>
    <t>W_PM_D140S</t>
  </si>
  <si>
    <t>Walls_T90_</t>
  </si>
  <si>
    <t>Walls_T140_</t>
  </si>
  <si>
    <t>Walls_S90_</t>
  </si>
  <si>
    <t>Walls_S140_</t>
  </si>
  <si>
    <t>W_BV_140S</t>
  </si>
  <si>
    <t>W_EPS_140S</t>
  </si>
  <si>
    <t>7_55</t>
  </si>
  <si>
    <t>7_75</t>
  </si>
  <si>
    <t>7_95</t>
  </si>
  <si>
    <t>7_115</t>
  </si>
  <si>
    <t>8_55</t>
  </si>
  <si>
    <t>Steel framed 90 mm + R-0.25 TB + ISIL R-1.0</t>
  </si>
  <si>
    <t>8_75</t>
  </si>
  <si>
    <t>8_95</t>
  </si>
  <si>
    <t>8_115</t>
  </si>
  <si>
    <t>9_55</t>
  </si>
  <si>
    <t>Steel framed 90 mm + R-0.25 TB + ISIL R-1.2</t>
  </si>
  <si>
    <t>9_75</t>
  </si>
  <si>
    <t>9_95</t>
  </si>
  <si>
    <t>9_115</t>
  </si>
  <si>
    <t>10_55</t>
  </si>
  <si>
    <t>10_75</t>
  </si>
  <si>
    <t>10_95</t>
  </si>
  <si>
    <t>10_115</t>
  </si>
  <si>
    <t>11_55</t>
  </si>
  <si>
    <t>Steel framed 140 mm + R-0.25 TB + ISIL R-1.0</t>
  </si>
  <si>
    <t>11_75</t>
  </si>
  <si>
    <t>11_95</t>
  </si>
  <si>
    <t>11_115</t>
  </si>
  <si>
    <t>12_55</t>
  </si>
  <si>
    <t>Steel framed 140 mm + R-0.25 TB + ISIL R-1.2</t>
  </si>
  <si>
    <t>12_75</t>
  </si>
  <si>
    <t>12_95</t>
  </si>
  <si>
    <t>12_115</t>
  </si>
  <si>
    <t>Thermal resistance of suspended timber floor (m2K/W)</t>
  </si>
  <si>
    <t>P_ST_O_S</t>
  </si>
  <si>
    <t>P_ST_O_D</t>
  </si>
  <si>
    <t>P_ST_I</t>
  </si>
  <si>
    <t xml:space="preserve">  Excludes thermal resistance of subfloor space and ground beneath.</t>
  </si>
  <si>
    <t xml:space="preserve">  Assumed blocking at 1.2m centres.</t>
  </si>
  <si>
    <t>joist 90 mm unlined</t>
  </si>
  <si>
    <t>joist 90 mm lined</t>
  </si>
  <si>
    <t>joist 140 mm lined</t>
  </si>
  <si>
    <t>joist 190 mm lined</t>
  </si>
  <si>
    <t>joist 190 mm unlined</t>
  </si>
  <si>
    <t>joist 290 mm lined</t>
  </si>
  <si>
    <t>joist 290 mm unlined</t>
  </si>
  <si>
    <t>I-beam lined</t>
  </si>
  <si>
    <t>I-beam unlined</t>
  </si>
  <si>
    <t xml:space="preserve">  A sheltered subfloor space will provide addition thermal benefit</t>
  </si>
  <si>
    <t>Target floor
thermal resistance (m2K/W)</t>
  </si>
  <si>
    <t>Joist or Ibeam &amp; height</t>
  </si>
  <si>
    <t>Joist spacing (mm)</t>
  </si>
  <si>
    <t xml:space="preserve">  Changing the thermal conductivity of the insulation material has an</t>
  </si>
  <si>
    <t>0.05</t>
  </si>
  <si>
    <t>0.063</t>
  </si>
  <si>
    <t xml:space="preserve">  impact on the overall R-value. The 90 &amp; 140 mm joist cases have</t>
  </si>
  <si>
    <t>0.04</t>
  </si>
  <si>
    <t xml:space="preserve">  lower conductivity selections for the insulation.</t>
  </si>
  <si>
    <t>0.032</t>
  </si>
  <si>
    <t>Bottom of joists unlined or lined</t>
  </si>
  <si>
    <t>Floor thermal resistance</t>
  </si>
  <si>
    <t xml:space="preserve">  An enclosed subfloor space is recommended when there is no lining </t>
  </si>
  <si>
    <t xml:space="preserve">  to the underside of the floor joists. Alternatively,  use either higher</t>
  </si>
  <si>
    <t xml:space="preserve">  density or faced insulation, incl. rigid &amp; semi-rigid foams.</t>
  </si>
  <si>
    <t>joist spacing (m)</t>
  </si>
  <si>
    <t xml:space="preserve">  H1/AS1 5th ed. Schedule method R 2.5 in climate zones 1-3</t>
  </si>
  <si>
    <r>
      <t xml:space="preserve">     </t>
    </r>
    <r>
      <rPr>
        <b/>
        <sz val="12"/>
        <color theme="1"/>
        <rFont val="Calibri"/>
        <family val="2"/>
        <scheme val="minor"/>
      </rPr>
      <t xml:space="preserve">R 2.8 in zone 4 </t>
    </r>
  </si>
  <si>
    <t xml:space="preserve">     R 3.0 in zones 5&amp; 6</t>
  </si>
  <si>
    <t>un-lined</t>
  </si>
  <si>
    <t>joist 90 mm</t>
  </si>
  <si>
    <t>lined</t>
  </si>
  <si>
    <t>joist 140 mm</t>
  </si>
  <si>
    <t>joist 190 mm</t>
  </si>
  <si>
    <t>joist 290 mm</t>
  </si>
  <si>
    <t>450</t>
  </si>
  <si>
    <t>Ground / airspace under suspended timber floor</t>
  </si>
  <si>
    <r>
      <t>______</t>
    </r>
    <r>
      <rPr>
        <b/>
        <u/>
        <sz val="12"/>
        <color theme="1"/>
        <rFont val="Calibri"/>
        <family val="2"/>
        <scheme val="minor"/>
      </rPr>
      <t>floor area (m</t>
    </r>
    <r>
      <rPr>
        <b/>
        <u/>
        <vertAlign val="superscript"/>
        <sz val="12"/>
        <color theme="1"/>
        <rFont val="Calibri"/>
        <family val="2"/>
        <scheme val="minor"/>
      </rPr>
      <t>2</t>
    </r>
    <r>
      <rPr>
        <b/>
        <u/>
        <sz val="12"/>
        <color theme="1"/>
        <rFont val="Calibri"/>
        <family val="2"/>
        <scheme val="minor"/>
      </rPr>
      <t>)</t>
    </r>
    <r>
      <rPr>
        <u/>
        <sz val="12"/>
        <color theme="1"/>
        <rFont val="Calibri"/>
        <family val="2"/>
        <scheme val="minor"/>
      </rPr>
      <t>_________</t>
    </r>
  </si>
  <si>
    <t>I-beam 225 mm</t>
  </si>
  <si>
    <t>400</t>
  </si>
  <si>
    <t>floor perimeter length (m)</t>
  </si>
  <si>
    <t>Continuous perimeter wall, sheltered from wind</t>
  </si>
  <si>
    <t>R-value of subfloor space and ground</t>
  </si>
  <si>
    <t xml:space="preserve">      (e.g. garage or foundation wall with vents)</t>
  </si>
  <si>
    <t>Continuous perimeter wall, exposed to wind</t>
  </si>
  <si>
    <t xml:space="preserve">      (e.g. slats with gaps between slats)</t>
  </si>
  <si>
    <t>Exposed floor</t>
  </si>
  <si>
    <t xml:space="preserve">     (e.g. pole house)</t>
  </si>
  <si>
    <t>P_ST_L</t>
  </si>
  <si>
    <t>P_PS_O_N</t>
  </si>
  <si>
    <t>Thermal resistance of slab-on-ground floor (m2K/W)</t>
  </si>
  <si>
    <t>Target floor thermal resistance (m2.K/W)</t>
  </si>
  <si>
    <t>Wall type</t>
  </si>
  <si>
    <t>Wall depth (mm)</t>
  </si>
  <si>
    <t>Topper insulating layer</t>
  </si>
  <si>
    <t>Area-Perim. fraction</t>
  </si>
  <si>
    <t>Vertical edge insulation</t>
  </si>
  <si>
    <t>Floor R-value (m2.K/W)</t>
  </si>
  <si>
    <t>perim</t>
  </si>
  <si>
    <t>under</t>
  </si>
  <si>
    <t>full</t>
  </si>
  <si>
    <t>thick</t>
  </si>
  <si>
    <t>&gt;90</t>
  </si>
  <si>
    <t>Floor type &amp; underslab insulation style</t>
  </si>
  <si>
    <t>index</t>
  </si>
  <si>
    <t>inner</t>
  </si>
  <si>
    <t>Wall depth (mm) from outer edge of slab to edge of internal floor</t>
  </si>
  <si>
    <t>slab</t>
  </si>
  <si>
    <t>raft</t>
  </si>
  <si>
    <t>A/P fraction</t>
  </si>
  <si>
    <t>90 +</t>
  </si>
  <si>
    <t>140 +</t>
  </si>
  <si>
    <t>180 +</t>
  </si>
  <si>
    <t>250 +</t>
  </si>
  <si>
    <t>300 +</t>
  </si>
  <si>
    <r>
      <t xml:space="preserve">90 </t>
    </r>
    <r>
      <rPr>
        <sz val="12"/>
        <color theme="1"/>
        <rFont val="Calibri"/>
        <family val="2"/>
      </rPr>
      <t>≤</t>
    </r>
  </si>
  <si>
    <t>140 ≤</t>
  </si>
  <si>
    <t>180 ≤</t>
  </si>
  <si>
    <t>250 ≤</t>
  </si>
  <si>
    <t>300 ≤</t>
  </si>
  <si>
    <t>&lt; A/P 1.6</t>
  </si>
  <si>
    <t>x^3</t>
  </si>
  <si>
    <t>&lt; 140</t>
  </si>
  <si>
    <t>&lt; 180</t>
  </si>
  <si>
    <t>&lt; 250</t>
  </si>
  <si>
    <t>&lt; 300</t>
  </si>
  <si>
    <t>x^2</t>
  </si>
  <si>
    <t>50 %</t>
  </si>
  <si>
    <t>other than masonry veneer</t>
  </si>
  <si>
    <t>Slab floor without insulation</t>
  </si>
  <si>
    <t>49 %</t>
  </si>
  <si>
    <r>
      <t>R 1.0 m^</t>
    </r>
    <r>
      <rPr>
        <vertAlign val="superscript"/>
        <sz val="12"/>
        <color theme="1"/>
        <rFont val="Calibri"/>
        <family val="2"/>
        <scheme val="minor"/>
      </rPr>
      <t>2</t>
    </r>
    <r>
      <rPr>
        <sz val="12"/>
        <color theme="1"/>
        <rFont val="Calibri"/>
        <family val="2"/>
        <scheme val="minor"/>
      </rPr>
      <t>.K/W</t>
    </r>
  </si>
  <si>
    <r>
      <t>R 1.0 m</t>
    </r>
    <r>
      <rPr>
        <vertAlign val="superscript"/>
        <sz val="12"/>
        <color theme="1"/>
        <rFont val="Calibri"/>
        <family val="2"/>
        <scheme val="minor"/>
      </rPr>
      <t>2</t>
    </r>
    <r>
      <rPr>
        <sz val="12"/>
        <color theme="1"/>
        <rFont val="Calibri"/>
        <family val="2"/>
        <scheme val="minor"/>
      </rPr>
      <t>.K/W topper</t>
    </r>
  </si>
  <si>
    <t>Masonry veneer</t>
  </si>
  <si>
    <t>Slab floor with 1.2m wide strip of R1.2 underslab</t>
  </si>
  <si>
    <t>48 %</t>
  </si>
  <si>
    <t>&gt;= A/P 1.6</t>
  </si>
  <si>
    <t>R1 edge &amp; under foundation</t>
  </si>
  <si>
    <t>Slab floor with full cover R1.2 underslab</t>
  </si>
  <si>
    <t>47 %</t>
  </si>
  <si>
    <t>Slab floor with 1.2m wide strip of R2.4 underslab</t>
  </si>
  <si>
    <t>46 %</t>
  </si>
  <si>
    <t>R1 edge, under, &amp; inner vert.</t>
  </si>
  <si>
    <t>Slab floor with full cover R2.4 underslab</t>
  </si>
  <si>
    <t>45 %</t>
  </si>
  <si>
    <t>Concrete raft foundation</t>
  </si>
  <si>
    <t>44 %</t>
  </si>
  <si>
    <t>Concrete raft full cover R1.2 underslab</t>
  </si>
  <si>
    <t>43 %</t>
  </si>
  <si>
    <t>Concrete raft full cover R2.4 underslab</t>
  </si>
  <si>
    <t>42 %</t>
  </si>
  <si>
    <t>41 %</t>
  </si>
  <si>
    <t>40 %</t>
  </si>
  <si>
    <t>39 %</t>
  </si>
  <si>
    <t>38 %</t>
  </si>
  <si>
    <t>37 %</t>
  </si>
  <si>
    <t>36 %</t>
  </si>
  <si>
    <t>35 %</t>
  </si>
  <si>
    <t>34 %</t>
  </si>
  <si>
    <t>33 %</t>
  </si>
  <si>
    <t>32 %</t>
  </si>
  <si>
    <t>Slab floors</t>
  </si>
  <si>
    <t>31 %</t>
  </si>
  <si>
    <t>30 %</t>
  </si>
  <si>
    <t>29 %</t>
  </si>
  <si>
    <t>28 %</t>
  </si>
  <si>
    <t>27 %</t>
  </si>
  <si>
    <t>26 %</t>
  </si>
  <si>
    <t>25 %</t>
  </si>
  <si>
    <t>24 %</t>
  </si>
  <si>
    <t>23 %</t>
  </si>
  <si>
    <t>22 %</t>
  </si>
  <si>
    <t>21 %</t>
  </si>
  <si>
    <t>20 %</t>
  </si>
  <si>
    <t xml:space="preserve">  H1/AS1 5th ed. Schedule method minimum R 1.5 in climate </t>
  </si>
  <si>
    <t>19 %</t>
  </si>
  <si>
    <t xml:space="preserve">  zones 1-4, R 1.6 in zone 5 and R 1.7 in zone 6</t>
  </si>
  <si>
    <t>18 %</t>
  </si>
  <si>
    <t xml:space="preserve"> For heated floors R 2.5 in zones 1-3, R 2.8 zone 4, </t>
  </si>
  <si>
    <t>P_FS_M_N</t>
  </si>
  <si>
    <t>P_FR_O</t>
  </si>
  <si>
    <t>17 %</t>
  </si>
  <si>
    <t xml:space="preserve"> &amp; R 3.0 in zones 5 &amp; 6.</t>
  </si>
  <si>
    <t>P_FS_M_E</t>
  </si>
  <si>
    <t>P_FR_M</t>
  </si>
  <si>
    <t>16 %</t>
  </si>
  <si>
    <t>P_FS_M_F</t>
  </si>
  <si>
    <t>15 %</t>
  </si>
  <si>
    <t xml:space="preserve">Verical edge insulation assumed to be R 1.0 installed vertically against </t>
  </si>
  <si>
    <t>14 %</t>
  </si>
  <si>
    <t>exterior face of wall footing.</t>
  </si>
  <si>
    <t>13 %</t>
  </si>
  <si>
    <t>12 %</t>
  </si>
  <si>
    <t>A/P:    area-to-perimeter fraction</t>
  </si>
  <si>
    <t>11 %</t>
  </si>
  <si>
    <t>P_PS_O_E</t>
  </si>
  <si>
    <t>10 %</t>
  </si>
  <si>
    <t>Calculated using 2D finite element modelling  with some initial verification using 3D FEM</t>
  </si>
  <si>
    <t>P_PS_O_F</t>
  </si>
  <si>
    <t>9 %</t>
  </si>
  <si>
    <t>Does not include the effect of missing underslab insulation such as wall thickenings or support beams</t>
  </si>
  <si>
    <t>8 %</t>
  </si>
  <si>
    <t>7 %</t>
  </si>
  <si>
    <t>Putting insulation underneath the foundation requires specific engineering design (SED).</t>
  </si>
  <si>
    <t>6 %</t>
  </si>
  <si>
    <t>5 %</t>
  </si>
  <si>
    <t>4 %</t>
  </si>
  <si>
    <t>3 %</t>
  </si>
  <si>
    <t>2 %</t>
  </si>
  <si>
    <t>1 %</t>
  </si>
  <si>
    <t>0 %</t>
  </si>
  <si>
    <t>m.x</t>
  </si>
  <si>
    <t>plain</t>
  </si>
  <si>
    <t>pod</t>
  </si>
  <si>
    <r>
      <t>x</t>
    </r>
    <r>
      <rPr>
        <vertAlign val="superscript"/>
        <sz val="11"/>
        <color theme="1"/>
        <rFont val="Calibri"/>
        <family val="2"/>
        <scheme val="minor"/>
      </rPr>
      <t>c</t>
    </r>
  </si>
  <si>
    <t>coef_m5</t>
  </si>
  <si>
    <t>coef_c5</t>
  </si>
  <si>
    <t>footing</t>
  </si>
  <si>
    <t>perimeter</t>
  </si>
  <si>
    <t>perim &amp; footing</t>
  </si>
  <si>
    <t>perim, foot, inner</t>
  </si>
  <si>
    <t>m.</t>
  </si>
  <si>
    <t>1.2m underslab</t>
  </si>
  <si>
    <t>underslab</t>
  </si>
  <si>
    <t>1.2m x2 underslab</t>
  </si>
  <si>
    <t>x2 underslab</t>
  </si>
  <si>
    <t>underpod</t>
  </si>
  <si>
    <t>2x underpod</t>
  </si>
  <si>
    <t>coef_m1</t>
  </si>
  <si>
    <t>coef_c1</t>
  </si>
  <si>
    <t>coef_m2</t>
  </si>
  <si>
    <t>coef_c2</t>
  </si>
  <si>
    <t>coef_m3</t>
  </si>
  <si>
    <t>coef_c3</t>
  </si>
  <si>
    <t>coef_m4</t>
  </si>
  <si>
    <t>coef_c4</t>
  </si>
  <si>
    <t>coef_d4</t>
  </si>
  <si>
    <r>
      <t>Thermal resistance of Doors (m</t>
    </r>
    <r>
      <rPr>
        <vertAlign val="superscript"/>
        <sz val="12"/>
        <color theme="1"/>
        <rFont val="Calibri"/>
        <family val="2"/>
        <scheme val="minor"/>
      </rPr>
      <t>2</t>
    </r>
    <r>
      <rPr>
        <sz val="12"/>
        <color theme="1"/>
        <rFont val="Calibri"/>
        <family val="2"/>
        <scheme val="minor"/>
      </rPr>
      <t>K/W)</t>
    </r>
  </si>
  <si>
    <t>Results were derived using 3D-FEM calcuations and include combined surface coefficients of R 0.17</t>
  </si>
  <si>
    <t>area</t>
  </si>
  <si>
    <t>mm</t>
  </si>
  <si>
    <t>AL no tb</t>
  </si>
  <si>
    <t>The H1 Calculation Method requires the door area &amp;  R-value to be for the combination of door leaf and frame</t>
  </si>
  <si>
    <t>AL tb</t>
  </si>
  <si>
    <t>PVC</t>
  </si>
  <si>
    <t>Door leaf height</t>
  </si>
  <si>
    <t>852</t>
  </si>
  <si>
    <t>Alu no thermal break</t>
  </si>
  <si>
    <t>Non thermally broken Alu</t>
  </si>
  <si>
    <t>Door leaf width</t>
  </si>
  <si>
    <t>Alu with thermal break</t>
  </si>
  <si>
    <t>w^2</t>
  </si>
  <si>
    <t>Frame type</t>
  </si>
  <si>
    <t>R^2</t>
  </si>
  <si>
    <t>Thermal resistance of door leaf</t>
  </si>
  <si>
    <t>excl.surface coefficients</t>
  </si>
  <si>
    <r>
      <t>m</t>
    </r>
    <r>
      <rPr>
        <vertAlign val="superscript"/>
        <sz val="11"/>
        <color theme="1"/>
        <rFont val="Calibri"/>
        <family val="2"/>
        <scheme val="minor"/>
      </rPr>
      <t>2</t>
    </r>
    <r>
      <rPr>
        <sz val="11"/>
        <color theme="1"/>
        <rFont val="Calibri"/>
        <family val="2"/>
        <scheme val="minor"/>
      </rPr>
      <t>K/W</t>
    </r>
  </si>
  <si>
    <t>incl. surf. coeffs.  R 0.17</t>
  </si>
  <si>
    <t>Door including surface coefficients (R 0.17)</t>
  </si>
  <si>
    <r>
      <t>m</t>
    </r>
    <r>
      <rPr>
        <b/>
        <vertAlign val="superscript"/>
        <sz val="11"/>
        <color theme="1"/>
        <rFont val="Calibri"/>
        <family val="2"/>
        <scheme val="minor"/>
      </rPr>
      <t>2</t>
    </r>
    <r>
      <rPr>
        <b/>
        <sz val="11"/>
        <color theme="1"/>
        <rFont val="Calibri"/>
        <family val="2"/>
        <scheme val="minor"/>
      </rPr>
      <t>K/W</t>
    </r>
  </si>
  <si>
    <t>Area</t>
  </si>
  <si>
    <r>
      <t>m</t>
    </r>
    <r>
      <rPr>
        <vertAlign val="superscript"/>
        <sz val="11"/>
        <rFont val="Calibri"/>
        <family val="2"/>
        <scheme val="minor"/>
      </rPr>
      <t>2</t>
    </r>
  </si>
  <si>
    <t>Heat transfer (= Area/R-value)</t>
  </si>
  <si>
    <t>W/K</t>
  </si>
  <si>
    <t>Door area and R-value includes both leaf and frame</t>
  </si>
  <si>
    <t>Thermally broken Alu</t>
  </si>
  <si>
    <t>243</t>
  </si>
  <si>
    <t>244</t>
  </si>
  <si>
    <t>245</t>
  </si>
  <si>
    <t>246</t>
  </si>
  <si>
    <t>247</t>
  </si>
  <si>
    <t>248</t>
  </si>
  <si>
    <t>249</t>
  </si>
  <si>
    <t>250</t>
  </si>
  <si>
    <t>251</t>
  </si>
  <si>
    <t>252</t>
  </si>
  <si>
    <t>253</t>
  </si>
  <si>
    <t>254</t>
  </si>
  <si>
    <t>255</t>
  </si>
  <si>
    <t>256</t>
  </si>
  <si>
    <t>257</t>
  </si>
  <si>
    <t>258</t>
  </si>
  <si>
    <t>259</t>
  </si>
  <si>
    <t>260</t>
  </si>
  <si>
    <t>261</t>
  </si>
  <si>
    <t>262</t>
  </si>
  <si>
    <t>263</t>
  </si>
  <si>
    <t>264</t>
  </si>
  <si>
    <t>265</t>
  </si>
  <si>
    <t>266</t>
  </si>
  <si>
    <t>267</t>
  </si>
  <si>
    <t>268</t>
  </si>
  <si>
    <t>269</t>
  </si>
  <si>
    <t>270</t>
  </si>
  <si>
    <t>271</t>
  </si>
  <si>
    <t>272</t>
  </si>
  <si>
    <t>273</t>
  </si>
  <si>
    <t>274</t>
  </si>
  <si>
    <t>275</t>
  </si>
  <si>
    <t>276</t>
  </si>
  <si>
    <t>277</t>
  </si>
  <si>
    <t>278</t>
  </si>
  <si>
    <t>279</t>
  </si>
  <si>
    <t>280</t>
  </si>
  <si>
    <t>281</t>
  </si>
  <si>
    <t>282</t>
  </si>
  <si>
    <t>283</t>
  </si>
  <si>
    <t>284</t>
  </si>
  <si>
    <t>285</t>
  </si>
  <si>
    <t>286</t>
  </si>
  <si>
    <t>287</t>
  </si>
  <si>
    <t>288</t>
  </si>
  <si>
    <t>289</t>
  </si>
  <si>
    <t>290</t>
  </si>
  <si>
    <t>291</t>
  </si>
  <si>
    <t>292</t>
  </si>
  <si>
    <t>293</t>
  </si>
  <si>
    <t>294</t>
  </si>
  <si>
    <t>295</t>
  </si>
  <si>
    <t>296</t>
  </si>
  <si>
    <t>297</t>
  </si>
  <si>
    <t>298</t>
  </si>
  <si>
    <t>299</t>
  </si>
  <si>
    <t>300</t>
  </si>
  <si>
    <t>301</t>
  </si>
  <si>
    <t>302</t>
  </si>
  <si>
    <t>303</t>
  </si>
  <si>
    <t>304</t>
  </si>
  <si>
    <t>305</t>
  </si>
  <si>
    <t>306</t>
  </si>
  <si>
    <t>307</t>
  </si>
  <si>
    <t>308</t>
  </si>
  <si>
    <t>309</t>
  </si>
  <si>
    <t>310</t>
  </si>
  <si>
    <t>311</t>
  </si>
  <si>
    <t>312</t>
  </si>
  <si>
    <t>313</t>
  </si>
  <si>
    <t>314</t>
  </si>
  <si>
    <t>315</t>
  </si>
  <si>
    <t>316</t>
  </si>
  <si>
    <t>317</t>
  </si>
  <si>
    <t>318</t>
  </si>
  <si>
    <t>319</t>
  </si>
  <si>
    <t>320</t>
  </si>
  <si>
    <t>321</t>
  </si>
  <si>
    <t>322</t>
  </si>
  <si>
    <t>323</t>
  </si>
  <si>
    <t>324</t>
  </si>
  <si>
    <t>325</t>
  </si>
  <si>
    <t>326</t>
  </si>
  <si>
    <t>327</t>
  </si>
  <si>
    <t>328</t>
  </si>
  <si>
    <t>329</t>
  </si>
  <si>
    <t>330</t>
  </si>
  <si>
    <t>331</t>
  </si>
  <si>
    <t>332</t>
  </si>
  <si>
    <t>333</t>
  </si>
  <si>
    <t>334</t>
  </si>
  <si>
    <t>335</t>
  </si>
  <si>
    <t>336</t>
  </si>
  <si>
    <t>337</t>
  </si>
  <si>
    <t>338</t>
  </si>
  <si>
    <t>339</t>
  </si>
  <si>
    <t>340</t>
  </si>
  <si>
    <t>341</t>
  </si>
  <si>
    <t>342</t>
  </si>
  <si>
    <t>343</t>
  </si>
  <si>
    <t>344</t>
  </si>
  <si>
    <t>345</t>
  </si>
  <si>
    <t>346</t>
  </si>
  <si>
    <t>347</t>
  </si>
  <si>
    <t>348</t>
  </si>
  <si>
    <t>349</t>
  </si>
  <si>
    <t>350</t>
  </si>
  <si>
    <t>351</t>
  </si>
  <si>
    <t>352</t>
  </si>
  <si>
    <t>353</t>
  </si>
  <si>
    <t>354</t>
  </si>
  <si>
    <t>355</t>
  </si>
  <si>
    <t>356</t>
  </si>
  <si>
    <t>357</t>
  </si>
  <si>
    <t>358</t>
  </si>
  <si>
    <t>359</t>
  </si>
  <si>
    <t>360</t>
  </si>
  <si>
    <t>361</t>
  </si>
  <si>
    <t>362</t>
  </si>
  <si>
    <t>363</t>
  </si>
  <si>
    <t>364</t>
  </si>
  <si>
    <t>365</t>
  </si>
  <si>
    <t>366</t>
  </si>
  <si>
    <t>367</t>
  </si>
  <si>
    <t>368</t>
  </si>
  <si>
    <t>369</t>
  </si>
  <si>
    <t>370</t>
  </si>
  <si>
    <t>371</t>
  </si>
  <si>
    <t>372</t>
  </si>
  <si>
    <t>373</t>
  </si>
  <si>
    <t>374</t>
  </si>
  <si>
    <t>375</t>
  </si>
  <si>
    <t>376</t>
  </si>
  <si>
    <t>377</t>
  </si>
  <si>
    <t>378</t>
  </si>
  <si>
    <t>379</t>
  </si>
  <si>
    <t>380</t>
  </si>
  <si>
    <t>381</t>
  </si>
  <si>
    <t>382</t>
  </si>
  <si>
    <t>383</t>
  </si>
  <si>
    <t>384</t>
  </si>
  <si>
    <t>385</t>
  </si>
  <si>
    <t>386</t>
  </si>
  <si>
    <t>387</t>
  </si>
  <si>
    <t>388</t>
  </si>
  <si>
    <t>389</t>
  </si>
  <si>
    <t>390</t>
  </si>
  <si>
    <t>391</t>
  </si>
  <si>
    <t>392</t>
  </si>
  <si>
    <t>393</t>
  </si>
  <si>
    <t>394</t>
  </si>
  <si>
    <t>395</t>
  </si>
  <si>
    <t>396</t>
  </si>
  <si>
    <t>397</t>
  </si>
  <si>
    <t>398</t>
  </si>
  <si>
    <t>399</t>
  </si>
  <si>
    <t>401</t>
  </si>
  <si>
    <t>402</t>
  </si>
  <si>
    <t>403</t>
  </si>
  <si>
    <t>404</t>
  </si>
  <si>
    <t>405</t>
  </si>
  <si>
    <t>406</t>
  </si>
  <si>
    <t>407</t>
  </si>
  <si>
    <t>408</t>
  </si>
  <si>
    <t>409</t>
  </si>
  <si>
    <t>410</t>
  </si>
  <si>
    <t>411</t>
  </si>
  <si>
    <t>412</t>
  </si>
  <si>
    <t>413</t>
  </si>
  <si>
    <t>414</t>
  </si>
  <si>
    <t>415</t>
  </si>
  <si>
    <t>416</t>
  </si>
  <si>
    <t>417</t>
  </si>
  <si>
    <t>418</t>
  </si>
  <si>
    <t>419</t>
  </si>
  <si>
    <t>420</t>
  </si>
  <si>
    <t>421</t>
  </si>
  <si>
    <t>422</t>
  </si>
  <si>
    <t>423</t>
  </si>
  <si>
    <t>424</t>
  </si>
  <si>
    <t>425</t>
  </si>
  <si>
    <t>426</t>
  </si>
  <si>
    <t>427</t>
  </si>
  <si>
    <t>428</t>
  </si>
  <si>
    <t>429</t>
  </si>
  <si>
    <t>430</t>
  </si>
  <si>
    <t>431</t>
  </si>
  <si>
    <t>432</t>
  </si>
  <si>
    <t>433</t>
  </si>
  <si>
    <t>434</t>
  </si>
  <si>
    <t>435</t>
  </si>
  <si>
    <t>436</t>
  </si>
  <si>
    <t>437</t>
  </si>
  <si>
    <t>438</t>
  </si>
  <si>
    <t>439</t>
  </si>
  <si>
    <t>440</t>
  </si>
  <si>
    <t>441</t>
  </si>
  <si>
    <t>442</t>
  </si>
  <si>
    <t>443</t>
  </si>
  <si>
    <t>444</t>
  </si>
  <si>
    <t>445</t>
  </si>
  <si>
    <t>446</t>
  </si>
  <si>
    <t>447</t>
  </si>
  <si>
    <t>448</t>
  </si>
  <si>
    <t>449</t>
  </si>
  <si>
    <t>451</t>
  </si>
  <si>
    <t>452</t>
  </si>
  <si>
    <t>453</t>
  </si>
  <si>
    <t>454</t>
  </si>
  <si>
    <t>455</t>
  </si>
  <si>
    <t>456</t>
  </si>
  <si>
    <t>457</t>
  </si>
  <si>
    <t>458</t>
  </si>
  <si>
    <t>459</t>
  </si>
  <si>
    <t>460</t>
  </si>
  <si>
    <t>461</t>
  </si>
  <si>
    <t>462</t>
  </si>
  <si>
    <t>463</t>
  </si>
  <si>
    <t>464</t>
  </si>
  <si>
    <t>465</t>
  </si>
  <si>
    <t>466</t>
  </si>
  <si>
    <t>467</t>
  </si>
  <si>
    <t>468</t>
  </si>
  <si>
    <t>469</t>
  </si>
  <si>
    <t>470</t>
  </si>
  <si>
    <t>471</t>
  </si>
  <si>
    <t>472</t>
  </si>
  <si>
    <t>473</t>
  </si>
  <si>
    <t>474</t>
  </si>
  <si>
    <t>475</t>
  </si>
  <si>
    <t>476</t>
  </si>
  <si>
    <t>477</t>
  </si>
  <si>
    <t>478</t>
  </si>
  <si>
    <t>479</t>
  </si>
  <si>
    <t>480</t>
  </si>
  <si>
    <t>481</t>
  </si>
  <si>
    <t>482</t>
  </si>
  <si>
    <t>483</t>
  </si>
  <si>
    <t>484</t>
  </si>
  <si>
    <t>485</t>
  </si>
  <si>
    <t>486</t>
  </si>
  <si>
    <t>487</t>
  </si>
  <si>
    <t>488</t>
  </si>
  <si>
    <t>489</t>
  </si>
  <si>
    <t>490</t>
  </si>
  <si>
    <t>491</t>
  </si>
  <si>
    <t>492</t>
  </si>
  <si>
    <t>493</t>
  </si>
  <si>
    <t>494</t>
  </si>
  <si>
    <t>495</t>
  </si>
  <si>
    <t>496</t>
  </si>
  <si>
    <t>497</t>
  </si>
  <si>
    <t>498</t>
  </si>
  <si>
    <t>499</t>
  </si>
  <si>
    <t>500</t>
  </si>
  <si>
    <t>501</t>
  </si>
  <si>
    <t>502</t>
  </si>
  <si>
    <t>503</t>
  </si>
  <si>
    <t>504</t>
  </si>
  <si>
    <t>505</t>
  </si>
  <si>
    <t>506</t>
  </si>
  <si>
    <t>507</t>
  </si>
  <si>
    <t>508</t>
  </si>
  <si>
    <t>509</t>
  </si>
  <si>
    <t>510</t>
  </si>
  <si>
    <t>511</t>
  </si>
  <si>
    <t>512</t>
  </si>
  <si>
    <t>513</t>
  </si>
  <si>
    <t>514</t>
  </si>
  <si>
    <t>515</t>
  </si>
  <si>
    <t>516</t>
  </si>
  <si>
    <t>517</t>
  </si>
  <si>
    <t>518</t>
  </si>
  <si>
    <t>519</t>
  </si>
  <si>
    <t>520</t>
  </si>
  <si>
    <t>521</t>
  </si>
  <si>
    <t>522</t>
  </si>
  <si>
    <t>523</t>
  </si>
  <si>
    <t>524</t>
  </si>
  <si>
    <t>525</t>
  </si>
  <si>
    <t>526</t>
  </si>
  <si>
    <t>527</t>
  </si>
  <si>
    <t>528</t>
  </si>
  <si>
    <t>529</t>
  </si>
  <si>
    <t>530</t>
  </si>
  <si>
    <t>531</t>
  </si>
  <si>
    <t>532</t>
  </si>
  <si>
    <t>533</t>
  </si>
  <si>
    <t>534</t>
  </si>
  <si>
    <t>535</t>
  </si>
  <si>
    <t>536</t>
  </si>
  <si>
    <t>537</t>
  </si>
  <si>
    <t>538</t>
  </si>
  <si>
    <t>539</t>
  </si>
  <si>
    <t>540</t>
  </si>
  <si>
    <t>541</t>
  </si>
  <si>
    <t>542</t>
  </si>
  <si>
    <t>543</t>
  </si>
  <si>
    <t>544</t>
  </si>
  <si>
    <t>545</t>
  </si>
  <si>
    <t>546</t>
  </si>
  <si>
    <t>547</t>
  </si>
  <si>
    <t>548</t>
  </si>
  <si>
    <t>549</t>
  </si>
  <si>
    <t>550</t>
  </si>
  <si>
    <t>551</t>
  </si>
  <si>
    <t>552</t>
  </si>
  <si>
    <t>553</t>
  </si>
  <si>
    <t>554</t>
  </si>
  <si>
    <t>555</t>
  </si>
  <si>
    <t>556</t>
  </si>
  <si>
    <t>557</t>
  </si>
  <si>
    <t>558</t>
  </si>
  <si>
    <t>559</t>
  </si>
  <si>
    <t>560</t>
  </si>
  <si>
    <t>561</t>
  </si>
  <si>
    <t>562</t>
  </si>
  <si>
    <t>563</t>
  </si>
  <si>
    <t>564</t>
  </si>
  <si>
    <t>565</t>
  </si>
  <si>
    <t>566</t>
  </si>
  <si>
    <t>567</t>
  </si>
  <si>
    <t>568</t>
  </si>
  <si>
    <t>569</t>
  </si>
  <si>
    <t>570</t>
  </si>
  <si>
    <t>571</t>
  </si>
  <si>
    <t>572</t>
  </si>
  <si>
    <t>573</t>
  </si>
  <si>
    <t>574</t>
  </si>
  <si>
    <t>575</t>
  </si>
  <si>
    <t>576</t>
  </si>
  <si>
    <t>577</t>
  </si>
  <si>
    <t>578</t>
  </si>
  <si>
    <t>579</t>
  </si>
  <si>
    <t>580</t>
  </si>
  <si>
    <t>581</t>
  </si>
  <si>
    <t>582</t>
  </si>
  <si>
    <t>583</t>
  </si>
  <si>
    <t>584</t>
  </si>
  <si>
    <t>585</t>
  </si>
  <si>
    <t>586</t>
  </si>
  <si>
    <t>587</t>
  </si>
  <si>
    <t>588</t>
  </si>
  <si>
    <t>589</t>
  </si>
  <si>
    <t>590</t>
  </si>
  <si>
    <t>591</t>
  </si>
  <si>
    <t>592</t>
  </si>
  <si>
    <t>593</t>
  </si>
  <si>
    <t>594</t>
  </si>
  <si>
    <t>595</t>
  </si>
  <si>
    <t>596</t>
  </si>
  <si>
    <t>597</t>
  </si>
  <si>
    <t>598</t>
  </si>
  <si>
    <t>599</t>
  </si>
  <si>
    <t>600</t>
  </si>
  <si>
    <t>601</t>
  </si>
  <si>
    <t>602</t>
  </si>
  <si>
    <t>603</t>
  </si>
  <si>
    <t>604</t>
  </si>
  <si>
    <t>605</t>
  </si>
  <si>
    <t>606</t>
  </si>
  <si>
    <t>607</t>
  </si>
  <si>
    <t>608</t>
  </si>
  <si>
    <t>609</t>
  </si>
  <si>
    <t>610</t>
  </si>
  <si>
    <t>611</t>
  </si>
  <si>
    <t>612</t>
  </si>
  <si>
    <t>613</t>
  </si>
  <si>
    <t>614</t>
  </si>
  <si>
    <t>615</t>
  </si>
  <si>
    <t>616</t>
  </si>
  <si>
    <t>617</t>
  </si>
  <si>
    <t>618</t>
  </si>
  <si>
    <t>619</t>
  </si>
  <si>
    <t>620</t>
  </si>
  <si>
    <t>621</t>
  </si>
  <si>
    <t>622</t>
  </si>
  <si>
    <t>623</t>
  </si>
  <si>
    <t>624</t>
  </si>
  <si>
    <t>625</t>
  </si>
  <si>
    <t>626</t>
  </si>
  <si>
    <t>627</t>
  </si>
  <si>
    <t>628</t>
  </si>
  <si>
    <t>629</t>
  </si>
  <si>
    <t>630</t>
  </si>
  <si>
    <t>631</t>
  </si>
  <si>
    <t>632</t>
  </si>
  <si>
    <t>633</t>
  </si>
  <si>
    <t>634</t>
  </si>
  <si>
    <t>635</t>
  </si>
  <si>
    <t>636</t>
  </si>
  <si>
    <t>637</t>
  </si>
  <si>
    <t>638</t>
  </si>
  <si>
    <t>639</t>
  </si>
  <si>
    <t>640</t>
  </si>
  <si>
    <t>641</t>
  </si>
  <si>
    <t>642</t>
  </si>
  <si>
    <t>643</t>
  </si>
  <si>
    <t>644</t>
  </si>
  <si>
    <t>645</t>
  </si>
  <si>
    <t>646</t>
  </si>
  <si>
    <t>647</t>
  </si>
  <si>
    <t>648</t>
  </si>
  <si>
    <t>649</t>
  </si>
  <si>
    <t>650</t>
  </si>
  <si>
    <t>651</t>
  </si>
  <si>
    <t>652</t>
  </si>
  <si>
    <t>653</t>
  </si>
  <si>
    <t>654</t>
  </si>
  <si>
    <t>655</t>
  </si>
  <si>
    <t>656</t>
  </si>
  <si>
    <t>657</t>
  </si>
  <si>
    <t>658</t>
  </si>
  <si>
    <t>659</t>
  </si>
  <si>
    <t>660</t>
  </si>
  <si>
    <t>661</t>
  </si>
  <si>
    <t>662</t>
  </si>
  <si>
    <t>663</t>
  </si>
  <si>
    <t>664</t>
  </si>
  <si>
    <t>665</t>
  </si>
  <si>
    <t>666</t>
  </si>
  <si>
    <t>667</t>
  </si>
  <si>
    <t>668</t>
  </si>
  <si>
    <t>669</t>
  </si>
  <si>
    <t>670</t>
  </si>
  <si>
    <t>671</t>
  </si>
  <si>
    <t>672</t>
  </si>
  <si>
    <t>673</t>
  </si>
  <si>
    <t>674</t>
  </si>
  <si>
    <t>675</t>
  </si>
  <si>
    <t>676</t>
  </si>
  <si>
    <t>677</t>
  </si>
  <si>
    <t>678</t>
  </si>
  <si>
    <t>679</t>
  </si>
  <si>
    <t>680</t>
  </si>
  <si>
    <t>681</t>
  </si>
  <si>
    <t>682</t>
  </si>
  <si>
    <t>683</t>
  </si>
  <si>
    <t>684</t>
  </si>
  <si>
    <t>685</t>
  </si>
  <si>
    <t>686</t>
  </si>
  <si>
    <t>687</t>
  </si>
  <si>
    <t>688</t>
  </si>
  <si>
    <t>689</t>
  </si>
  <si>
    <t>690</t>
  </si>
  <si>
    <t>691</t>
  </si>
  <si>
    <t>692</t>
  </si>
  <si>
    <t>693</t>
  </si>
  <si>
    <t>694</t>
  </si>
  <si>
    <t>695</t>
  </si>
  <si>
    <t>696</t>
  </si>
  <si>
    <t>697</t>
  </si>
  <si>
    <t>698</t>
  </si>
  <si>
    <t>699</t>
  </si>
  <si>
    <t>701</t>
  </si>
  <si>
    <t>702</t>
  </si>
  <si>
    <t>703</t>
  </si>
  <si>
    <t>704</t>
  </si>
  <si>
    <t>705</t>
  </si>
  <si>
    <t>706</t>
  </si>
  <si>
    <t>707</t>
  </si>
  <si>
    <t>708</t>
  </si>
  <si>
    <t>709</t>
  </si>
  <si>
    <t>710</t>
  </si>
  <si>
    <t>711</t>
  </si>
  <si>
    <t>712</t>
  </si>
  <si>
    <t>713</t>
  </si>
  <si>
    <t>714</t>
  </si>
  <si>
    <t>715</t>
  </si>
  <si>
    <t>716</t>
  </si>
  <si>
    <t>717</t>
  </si>
  <si>
    <t>718</t>
  </si>
  <si>
    <t>719</t>
  </si>
  <si>
    <t>720</t>
  </si>
  <si>
    <t>721</t>
  </si>
  <si>
    <t>722</t>
  </si>
  <si>
    <t>723</t>
  </si>
  <si>
    <t>724</t>
  </si>
  <si>
    <t>725</t>
  </si>
  <si>
    <t>726</t>
  </si>
  <si>
    <t>727</t>
  </si>
  <si>
    <t>728</t>
  </si>
  <si>
    <t>729</t>
  </si>
  <si>
    <t>730</t>
  </si>
  <si>
    <t>731</t>
  </si>
  <si>
    <t>732</t>
  </si>
  <si>
    <t>733</t>
  </si>
  <si>
    <t>734</t>
  </si>
  <si>
    <t>735</t>
  </si>
  <si>
    <t>736</t>
  </si>
  <si>
    <t>737</t>
  </si>
  <si>
    <t>738</t>
  </si>
  <si>
    <t>739</t>
  </si>
  <si>
    <t>740</t>
  </si>
  <si>
    <t>741</t>
  </si>
  <si>
    <t>742</t>
  </si>
  <si>
    <t>743</t>
  </si>
  <si>
    <t>744</t>
  </si>
  <si>
    <t>745</t>
  </si>
  <si>
    <t>746</t>
  </si>
  <si>
    <t>747</t>
  </si>
  <si>
    <t>748</t>
  </si>
  <si>
    <t>749</t>
  </si>
  <si>
    <t>750</t>
  </si>
  <si>
    <t>751</t>
  </si>
  <si>
    <t>752</t>
  </si>
  <si>
    <t>753</t>
  </si>
  <si>
    <t>754</t>
  </si>
  <si>
    <t>755</t>
  </si>
  <si>
    <t>756</t>
  </si>
  <si>
    <t>757</t>
  </si>
  <si>
    <t>758</t>
  </si>
  <si>
    <t>759</t>
  </si>
  <si>
    <t>760</t>
  </si>
  <si>
    <t>761</t>
  </si>
  <si>
    <t>762</t>
  </si>
  <si>
    <t>763</t>
  </si>
  <si>
    <t>764</t>
  </si>
  <si>
    <t>765</t>
  </si>
  <si>
    <t>766</t>
  </si>
  <si>
    <t>767</t>
  </si>
  <si>
    <t>768</t>
  </si>
  <si>
    <t>769</t>
  </si>
  <si>
    <t>770</t>
  </si>
  <si>
    <t>771</t>
  </si>
  <si>
    <t>772</t>
  </si>
  <si>
    <t>773</t>
  </si>
  <si>
    <t>774</t>
  </si>
  <si>
    <t>775</t>
  </si>
  <si>
    <t>776</t>
  </si>
  <si>
    <t>777</t>
  </si>
  <si>
    <t>778</t>
  </si>
  <si>
    <t>779</t>
  </si>
  <si>
    <t>780</t>
  </si>
  <si>
    <t>781</t>
  </si>
  <si>
    <t>782</t>
  </si>
  <si>
    <t>783</t>
  </si>
  <si>
    <t>784</t>
  </si>
  <si>
    <t>785</t>
  </si>
  <si>
    <t>786</t>
  </si>
  <si>
    <t>787</t>
  </si>
  <si>
    <t>788</t>
  </si>
  <si>
    <t>789</t>
  </si>
  <si>
    <t>790</t>
  </si>
  <si>
    <t>791</t>
  </si>
  <si>
    <t>792</t>
  </si>
  <si>
    <t>793</t>
  </si>
  <si>
    <t>794</t>
  </si>
  <si>
    <t>795</t>
  </si>
  <si>
    <t>796</t>
  </si>
  <si>
    <t>797</t>
  </si>
  <si>
    <t>798</t>
  </si>
  <si>
    <t>799</t>
  </si>
  <si>
    <t>800</t>
  </si>
  <si>
    <t>801</t>
  </si>
  <si>
    <t>802</t>
  </si>
  <si>
    <t>803</t>
  </si>
  <si>
    <t>804</t>
  </si>
  <si>
    <t>805</t>
  </si>
  <si>
    <t>806</t>
  </si>
  <si>
    <t>807</t>
  </si>
  <si>
    <t>808</t>
  </si>
  <si>
    <t>809</t>
  </si>
  <si>
    <t>810</t>
  </si>
  <si>
    <t>811</t>
  </si>
  <si>
    <t>812</t>
  </si>
  <si>
    <t>813</t>
  </si>
  <si>
    <t>814</t>
  </si>
  <si>
    <t>815</t>
  </si>
  <si>
    <t>816</t>
  </si>
  <si>
    <t>817</t>
  </si>
  <si>
    <t>818</t>
  </si>
  <si>
    <t>819</t>
  </si>
  <si>
    <t>820</t>
  </si>
  <si>
    <t>821</t>
  </si>
  <si>
    <t>822</t>
  </si>
  <si>
    <t>823</t>
  </si>
  <si>
    <t>824</t>
  </si>
  <si>
    <t>825</t>
  </si>
  <si>
    <t>826</t>
  </si>
  <si>
    <t>827</t>
  </si>
  <si>
    <t>828</t>
  </si>
  <si>
    <t>829</t>
  </si>
  <si>
    <t>830</t>
  </si>
  <si>
    <t>831</t>
  </si>
  <si>
    <t>832</t>
  </si>
  <si>
    <t>833</t>
  </si>
  <si>
    <t>834</t>
  </si>
  <si>
    <t>835</t>
  </si>
  <si>
    <t>836</t>
  </si>
  <si>
    <t>837</t>
  </si>
  <si>
    <t>838</t>
  </si>
  <si>
    <t>839</t>
  </si>
  <si>
    <t>840</t>
  </si>
  <si>
    <t>841</t>
  </si>
  <si>
    <t>842</t>
  </si>
  <si>
    <t>843</t>
  </si>
  <si>
    <t>844</t>
  </si>
  <si>
    <t>845</t>
  </si>
  <si>
    <t>846</t>
  </si>
  <si>
    <t>847</t>
  </si>
  <si>
    <t>848</t>
  </si>
  <si>
    <t>849</t>
  </si>
  <si>
    <t>850</t>
  </si>
  <si>
    <t>851</t>
  </si>
  <si>
    <t>853</t>
  </si>
  <si>
    <t>854</t>
  </si>
  <si>
    <t>855</t>
  </si>
  <si>
    <t>856</t>
  </si>
  <si>
    <t>857</t>
  </si>
  <si>
    <t>858</t>
  </si>
  <si>
    <t>859</t>
  </si>
  <si>
    <t>860</t>
  </si>
  <si>
    <t>861</t>
  </si>
  <si>
    <t>862</t>
  </si>
  <si>
    <t>863</t>
  </si>
  <si>
    <t>864</t>
  </si>
  <si>
    <t>865</t>
  </si>
  <si>
    <t>866</t>
  </si>
  <si>
    <t>867</t>
  </si>
  <si>
    <t>868</t>
  </si>
  <si>
    <t>869</t>
  </si>
  <si>
    <t>870</t>
  </si>
  <si>
    <t>871</t>
  </si>
  <si>
    <t>872</t>
  </si>
  <si>
    <t>873</t>
  </si>
  <si>
    <t>874</t>
  </si>
  <si>
    <t>875</t>
  </si>
  <si>
    <t>876</t>
  </si>
  <si>
    <t>877</t>
  </si>
  <si>
    <t>878</t>
  </si>
  <si>
    <t>879</t>
  </si>
  <si>
    <t>880</t>
  </si>
  <si>
    <t>881</t>
  </si>
  <si>
    <t>882</t>
  </si>
  <si>
    <t>883</t>
  </si>
  <si>
    <t>884</t>
  </si>
  <si>
    <t>885</t>
  </si>
  <si>
    <t>886</t>
  </si>
  <si>
    <t>887</t>
  </si>
  <si>
    <t>888</t>
  </si>
  <si>
    <t>889</t>
  </si>
  <si>
    <t>890</t>
  </si>
  <si>
    <t>891</t>
  </si>
  <si>
    <t>892</t>
  </si>
  <si>
    <t>893</t>
  </si>
  <si>
    <t>894</t>
  </si>
  <si>
    <t>895</t>
  </si>
  <si>
    <t>896</t>
  </si>
  <si>
    <t>897</t>
  </si>
  <si>
    <t>898</t>
  </si>
  <si>
    <t>899</t>
  </si>
  <si>
    <t>900</t>
  </si>
  <si>
    <t>901</t>
  </si>
  <si>
    <t>902</t>
  </si>
  <si>
    <t>903</t>
  </si>
  <si>
    <t>904</t>
  </si>
  <si>
    <t>905</t>
  </si>
  <si>
    <t>906</t>
  </si>
  <si>
    <t>907</t>
  </si>
  <si>
    <t>908</t>
  </si>
  <si>
    <t>909</t>
  </si>
  <si>
    <t>910</t>
  </si>
  <si>
    <t>911</t>
  </si>
  <si>
    <t>912</t>
  </si>
  <si>
    <t>913</t>
  </si>
  <si>
    <t>914</t>
  </si>
  <si>
    <t>915</t>
  </si>
  <si>
    <t>916</t>
  </si>
  <si>
    <t>917</t>
  </si>
  <si>
    <t>918</t>
  </si>
  <si>
    <t>919</t>
  </si>
  <si>
    <t>920</t>
  </si>
  <si>
    <t>921</t>
  </si>
  <si>
    <t>922</t>
  </si>
  <si>
    <t>923</t>
  </si>
  <si>
    <t>924</t>
  </si>
  <si>
    <t>925</t>
  </si>
  <si>
    <t>926</t>
  </si>
  <si>
    <t>927</t>
  </si>
  <si>
    <t>928</t>
  </si>
  <si>
    <t>929</t>
  </si>
  <si>
    <t>930</t>
  </si>
  <si>
    <t>931</t>
  </si>
  <si>
    <t>932</t>
  </si>
  <si>
    <t>933</t>
  </si>
  <si>
    <t>934</t>
  </si>
  <si>
    <t>935</t>
  </si>
  <si>
    <t>936</t>
  </si>
  <si>
    <t>937</t>
  </si>
  <si>
    <t>938</t>
  </si>
  <si>
    <t>939</t>
  </si>
  <si>
    <t>940</t>
  </si>
  <si>
    <t>941</t>
  </si>
  <si>
    <t>942</t>
  </si>
  <si>
    <t>943</t>
  </si>
  <si>
    <t>944</t>
  </si>
  <si>
    <t>945</t>
  </si>
  <si>
    <t>946</t>
  </si>
  <si>
    <t>947</t>
  </si>
  <si>
    <t>948</t>
  </si>
  <si>
    <t>949</t>
  </si>
  <si>
    <t>950</t>
  </si>
  <si>
    <t>951</t>
  </si>
  <si>
    <t>952</t>
  </si>
  <si>
    <t>953</t>
  </si>
  <si>
    <t>954</t>
  </si>
  <si>
    <t>955</t>
  </si>
  <si>
    <t>956</t>
  </si>
  <si>
    <t>957</t>
  </si>
  <si>
    <t>958</t>
  </si>
  <si>
    <t>959</t>
  </si>
  <si>
    <t>960</t>
  </si>
  <si>
    <t>961</t>
  </si>
  <si>
    <t>962</t>
  </si>
  <si>
    <t>963</t>
  </si>
  <si>
    <t>964</t>
  </si>
  <si>
    <t>965</t>
  </si>
  <si>
    <t>966</t>
  </si>
  <si>
    <t>967</t>
  </si>
  <si>
    <t>968</t>
  </si>
  <si>
    <t>969</t>
  </si>
  <si>
    <t>970</t>
  </si>
  <si>
    <t>971</t>
  </si>
  <si>
    <t>972</t>
  </si>
  <si>
    <t>973</t>
  </si>
  <si>
    <t>974</t>
  </si>
  <si>
    <t>975</t>
  </si>
  <si>
    <t>976</t>
  </si>
  <si>
    <t>977</t>
  </si>
  <si>
    <t>978</t>
  </si>
  <si>
    <t>979</t>
  </si>
  <si>
    <t>980</t>
  </si>
  <si>
    <t>981</t>
  </si>
  <si>
    <t>982</t>
  </si>
  <si>
    <t>983</t>
  </si>
  <si>
    <t>984</t>
  </si>
  <si>
    <t>985</t>
  </si>
  <si>
    <t>986</t>
  </si>
  <si>
    <t>987</t>
  </si>
  <si>
    <t>988</t>
  </si>
  <si>
    <t>989</t>
  </si>
  <si>
    <t>990</t>
  </si>
  <si>
    <t>991</t>
  </si>
  <si>
    <t>992</t>
  </si>
  <si>
    <t>993</t>
  </si>
  <si>
    <t>994</t>
  </si>
  <si>
    <t>995</t>
  </si>
  <si>
    <t>996</t>
  </si>
  <si>
    <t>997</t>
  </si>
  <si>
    <t>998</t>
  </si>
  <si>
    <t>999</t>
  </si>
  <si>
    <t>1000</t>
  </si>
  <si>
    <t>1001</t>
  </si>
  <si>
    <t>1002</t>
  </si>
  <si>
    <t>1003</t>
  </si>
  <si>
    <t>1004</t>
  </si>
  <si>
    <t>1005</t>
  </si>
  <si>
    <t>1006</t>
  </si>
  <si>
    <t>1007</t>
  </si>
  <si>
    <t>1008</t>
  </si>
  <si>
    <t>1009</t>
  </si>
  <si>
    <t>1010</t>
  </si>
  <si>
    <t>1011</t>
  </si>
  <si>
    <t>1012</t>
  </si>
  <si>
    <t>1013</t>
  </si>
  <si>
    <t>1014</t>
  </si>
  <si>
    <t>1015</t>
  </si>
  <si>
    <t>1016</t>
  </si>
  <si>
    <t>1017</t>
  </si>
  <si>
    <t>1018</t>
  </si>
  <si>
    <t>1019</t>
  </si>
  <si>
    <t>1020</t>
  </si>
  <si>
    <t>1021</t>
  </si>
  <si>
    <t>1022</t>
  </si>
  <si>
    <t>1023</t>
  </si>
  <si>
    <t>1024</t>
  </si>
  <si>
    <t>1025</t>
  </si>
  <si>
    <t>1026</t>
  </si>
  <si>
    <t>1027</t>
  </si>
  <si>
    <t>1028</t>
  </si>
  <si>
    <t>1029</t>
  </si>
  <si>
    <t>1030</t>
  </si>
  <si>
    <t>1031</t>
  </si>
  <si>
    <t>1032</t>
  </si>
  <si>
    <t>1033</t>
  </si>
  <si>
    <t>1034</t>
  </si>
  <si>
    <t>1035</t>
  </si>
  <si>
    <t>1036</t>
  </si>
  <si>
    <t>1037</t>
  </si>
  <si>
    <t>1038</t>
  </si>
  <si>
    <t>1039</t>
  </si>
  <si>
    <t>1040</t>
  </si>
  <si>
    <t>1041</t>
  </si>
  <si>
    <t>1042</t>
  </si>
  <si>
    <t>1043</t>
  </si>
  <si>
    <t>1044</t>
  </si>
  <si>
    <t>1045</t>
  </si>
  <si>
    <t>1046</t>
  </si>
  <si>
    <t>1047</t>
  </si>
  <si>
    <t>1048</t>
  </si>
  <si>
    <t>1049</t>
  </si>
  <si>
    <t>1050</t>
  </si>
  <si>
    <t>1051</t>
  </si>
  <si>
    <t>1052</t>
  </si>
  <si>
    <t>1053</t>
  </si>
  <si>
    <t>1054</t>
  </si>
  <si>
    <t>1055</t>
  </si>
  <si>
    <t>1056</t>
  </si>
  <si>
    <t>1057</t>
  </si>
  <si>
    <t>1058</t>
  </si>
  <si>
    <t>1059</t>
  </si>
  <si>
    <t>1060</t>
  </si>
  <si>
    <t>1061</t>
  </si>
  <si>
    <t>1062</t>
  </si>
  <si>
    <t>1063</t>
  </si>
  <si>
    <t>1064</t>
  </si>
  <si>
    <t>1065</t>
  </si>
  <si>
    <t>1066</t>
  </si>
  <si>
    <t>1067</t>
  </si>
  <si>
    <t>1068</t>
  </si>
  <si>
    <t>1069</t>
  </si>
  <si>
    <t>1070</t>
  </si>
  <si>
    <t>1071</t>
  </si>
  <si>
    <t>1072</t>
  </si>
  <si>
    <t>1073</t>
  </si>
  <si>
    <t>1074</t>
  </si>
  <si>
    <t>1075</t>
  </si>
  <si>
    <t>1076</t>
  </si>
  <si>
    <t>1077</t>
  </si>
  <si>
    <t>1078</t>
  </si>
  <si>
    <t>1079</t>
  </si>
  <si>
    <t>1080</t>
  </si>
  <si>
    <t>1081</t>
  </si>
  <si>
    <t>1082</t>
  </si>
  <si>
    <t>1083</t>
  </si>
  <si>
    <t>1084</t>
  </si>
  <si>
    <t>1085</t>
  </si>
  <si>
    <t>1086</t>
  </si>
  <si>
    <t>1087</t>
  </si>
  <si>
    <t>1088</t>
  </si>
  <si>
    <t>1089</t>
  </si>
  <si>
    <t>1090</t>
  </si>
  <si>
    <t>1091</t>
  </si>
  <si>
    <t>1092</t>
  </si>
  <si>
    <t>1093</t>
  </si>
  <si>
    <t>1094</t>
  </si>
  <si>
    <t>1095</t>
  </si>
  <si>
    <t>1096</t>
  </si>
  <si>
    <t>1097</t>
  </si>
  <si>
    <t>1098</t>
  </si>
  <si>
    <t>1099</t>
  </si>
  <si>
    <t>1100</t>
  </si>
  <si>
    <t>1101</t>
  </si>
  <si>
    <t>1102</t>
  </si>
  <si>
    <t>1103</t>
  </si>
  <si>
    <t>1104</t>
  </si>
  <si>
    <t>1105</t>
  </si>
  <si>
    <t>1106</t>
  </si>
  <si>
    <t>1107</t>
  </si>
  <si>
    <t>1108</t>
  </si>
  <si>
    <t>1109</t>
  </si>
  <si>
    <t>1110</t>
  </si>
  <si>
    <t>1111</t>
  </si>
  <si>
    <t>1112</t>
  </si>
  <si>
    <t>1113</t>
  </si>
  <si>
    <t>1114</t>
  </si>
  <si>
    <t>1115</t>
  </si>
  <si>
    <t>1116</t>
  </si>
  <si>
    <t>1117</t>
  </si>
  <si>
    <t>1118</t>
  </si>
  <si>
    <t>1119</t>
  </si>
  <si>
    <t>1120</t>
  </si>
  <si>
    <t>1121</t>
  </si>
  <si>
    <t>1122</t>
  </si>
  <si>
    <t>1123</t>
  </si>
  <si>
    <t>1124</t>
  </si>
  <si>
    <t>1125</t>
  </si>
  <si>
    <t>1126</t>
  </si>
  <si>
    <t>1127</t>
  </si>
  <si>
    <t>1128</t>
  </si>
  <si>
    <t>1129</t>
  </si>
  <si>
    <t>1130</t>
  </si>
  <si>
    <t>1131</t>
  </si>
  <si>
    <t>1132</t>
  </si>
  <si>
    <t>1133</t>
  </si>
  <si>
    <t>1134</t>
  </si>
  <si>
    <t>1135</t>
  </si>
  <si>
    <t>1136</t>
  </si>
  <si>
    <t>1137</t>
  </si>
  <si>
    <t>1138</t>
  </si>
  <si>
    <t>1139</t>
  </si>
  <si>
    <t>1140</t>
  </si>
  <si>
    <t>1141</t>
  </si>
  <si>
    <t>1142</t>
  </si>
  <si>
    <t>1143</t>
  </si>
  <si>
    <t>1144</t>
  </si>
  <si>
    <t>1145</t>
  </si>
  <si>
    <t>1146</t>
  </si>
  <si>
    <t>1147</t>
  </si>
  <si>
    <t>1148</t>
  </si>
  <si>
    <t>1149</t>
  </si>
  <si>
    <t>1150</t>
  </si>
  <si>
    <t>1151</t>
  </si>
  <si>
    <t>1152</t>
  </si>
  <si>
    <t>Branz House Insulation Guide</t>
  </si>
  <si>
    <t>Walls</t>
  </si>
  <si>
    <t>R-values for a product group</t>
  </si>
  <si>
    <t>AS/NZS4859.1 and ISO/EN product standards EN131xx</t>
  </si>
  <si>
    <t xml:space="preserve">Typically the test samples for a single AS/NZS 4859.1 or EN131xx  test report will be the minimum set of ten pieces needed, and the sampling will be from a single batch. The declared conductivity / R-value needs to allow for variation between batches and not just the variation within a batch. Hence the measure material conductivity may not be appropriate as the declared conductivity for the product group.  </t>
  </si>
  <si>
    <t>These standards allow for the grouping of product of different thickness but the same thermal conductivity. The declared product R-values are then calucated from individual product thickness and the declared conductivity for the group.</t>
  </si>
  <si>
    <r>
      <t xml:space="preserve">The declared conductivity can not be less than the measured value  </t>
    </r>
    <r>
      <rPr>
        <sz val="12"/>
        <color theme="1"/>
        <rFont val="Symbol"/>
        <family val="1"/>
        <charset val="2"/>
      </rPr>
      <t xml:space="preserve">(l </t>
    </r>
    <r>
      <rPr>
        <vertAlign val="subscript"/>
        <sz val="12"/>
        <color theme="1"/>
        <rFont val="Calibri"/>
        <family val="2"/>
        <scheme val="minor"/>
      </rPr>
      <t>90/50</t>
    </r>
    <r>
      <rPr>
        <sz val="12"/>
        <color theme="1"/>
        <rFont val="Calibri"/>
        <family val="2"/>
        <scheme val="minor"/>
      </rPr>
      <t>)</t>
    </r>
  </si>
  <si>
    <t>In practice the declared R-value usually becomes the design value used for system performance calculations or modelling, but sometimes it may need to be adjusted for inservice  temperature and/or moisture content.</t>
  </si>
  <si>
    <r>
      <rPr>
        <sz val="12"/>
        <color theme="1"/>
        <rFont val="Calibri"/>
        <family val="2"/>
        <scheme val="minor"/>
      </rPr>
      <t>The</t>
    </r>
    <r>
      <rPr>
        <sz val="12"/>
        <color theme="1"/>
        <rFont val="Symbol"/>
        <family val="1"/>
        <charset val="2"/>
      </rPr>
      <t xml:space="preserve"> l </t>
    </r>
    <r>
      <rPr>
        <vertAlign val="subscript"/>
        <sz val="12"/>
        <color theme="1"/>
        <rFont val="Calibri"/>
        <family val="2"/>
        <scheme val="minor"/>
      </rPr>
      <t>90/50</t>
    </r>
    <r>
      <rPr>
        <sz val="12"/>
        <color theme="1"/>
        <rFont val="Calibri"/>
        <family val="2"/>
        <scheme val="minor"/>
      </rPr>
      <t xml:space="preserve"> value is rounded up to the nearest 0.001 W/m.K</t>
    </r>
  </si>
  <si>
    <t>Declared R-values calculated from declared conductivity are rounded down to the nearest 0.01 when less than R 1.0 but rounded down to the nearest 0.05 when greater than R 1.0</t>
  </si>
  <si>
    <t xml:space="preserve"> measured material conductivity</t>
  </si>
  <si>
    <r>
      <rPr>
        <sz val="14"/>
        <color theme="1"/>
        <rFont val="Symbol"/>
        <family val="1"/>
        <charset val="2"/>
      </rPr>
      <t>l</t>
    </r>
    <r>
      <rPr>
        <vertAlign val="subscript"/>
        <sz val="14"/>
        <color theme="1"/>
        <rFont val="Calibri"/>
        <family val="2"/>
        <scheme val="minor"/>
      </rPr>
      <t xml:space="preserve"> 90/50</t>
    </r>
  </si>
  <si>
    <t>minimum thickness (mm)</t>
  </si>
  <si>
    <t>step size (mm)</t>
  </si>
  <si>
    <t>maximum thickness (mm)</t>
  </si>
  <si>
    <t>---&gt;</t>
  </si>
  <si>
    <t>Un-rounded</t>
  </si>
  <si>
    <t>Rounded</t>
  </si>
  <si>
    <t>R-value m2.K/W</t>
  </si>
  <si>
    <t>Conductivity (W/m.K)</t>
  </si>
  <si>
    <r>
      <t>R-value (m</t>
    </r>
    <r>
      <rPr>
        <b/>
        <vertAlign val="superscript"/>
        <sz val="12"/>
        <color theme="1"/>
        <rFont val="Calibri"/>
        <family val="2"/>
        <scheme val="minor"/>
      </rPr>
      <t>2</t>
    </r>
    <r>
      <rPr>
        <b/>
        <sz val="12"/>
        <color theme="1"/>
        <rFont val="Calibri"/>
        <family val="2"/>
        <scheme val="minor"/>
      </rPr>
      <t>.K/W)</t>
    </r>
  </si>
  <si>
    <t>declared conductivity (W/m.K)</t>
  </si>
  <si>
    <t>declared conductivity margin over measured value</t>
  </si>
  <si>
    <t>Adjust thermal conductivity with temperature using ISO/EN 10456</t>
  </si>
  <si>
    <t>The default temperature for declaration of thermal conductivity on insulation product labels is 10 °C in UK, Europe and US</t>
  </si>
  <si>
    <t xml:space="preserve">           calculate conductivity</t>
  </si>
  <si>
    <t xml:space="preserve">temperature difference  </t>
  </si>
  <si>
    <t xml:space="preserve">thickness  </t>
  </si>
  <si>
    <t xml:space="preserve"> mm</t>
  </si>
  <si>
    <t xml:space="preserve">temperature  </t>
  </si>
  <si>
    <r>
      <rPr>
        <sz val="11"/>
        <color theme="1"/>
        <rFont val="Aptos Narrow"/>
        <family val="2"/>
      </rPr>
      <t xml:space="preserve"> °</t>
    </r>
    <r>
      <rPr>
        <sz val="11"/>
        <color theme="1"/>
        <rFont val="Calibri"/>
        <family val="2"/>
        <scheme val="minor"/>
      </rPr>
      <t>C</t>
    </r>
  </si>
  <si>
    <t xml:space="preserve">new temperature  </t>
  </si>
  <si>
    <t xml:space="preserve">R-value  </t>
  </si>
  <si>
    <r>
      <t xml:space="preserve"> m</t>
    </r>
    <r>
      <rPr>
        <vertAlign val="superscript"/>
        <sz val="11"/>
        <color theme="1"/>
        <rFont val="Calibri"/>
        <family val="2"/>
        <scheme val="minor"/>
      </rPr>
      <t>2</t>
    </r>
    <r>
      <rPr>
        <sz val="11"/>
        <color theme="1"/>
        <rFont val="Calibri"/>
        <family val="2"/>
        <scheme val="minor"/>
      </rPr>
      <t>.K/W</t>
    </r>
  </si>
  <si>
    <t xml:space="preserve">new conductivity  </t>
  </si>
  <si>
    <t>change</t>
  </si>
  <si>
    <t xml:space="preserve">new R-value  </t>
  </si>
  <si>
    <t>Insulation type</t>
  </si>
  <si>
    <t xml:space="preserve">1  </t>
  </si>
  <si>
    <t>Expanded Polystyrene foam (EPS)</t>
  </si>
  <si>
    <t xml:space="preserve">2  </t>
  </si>
  <si>
    <t>Extruded Polystyrene foam (XPS)</t>
  </si>
  <si>
    <t xml:space="preserve">3  </t>
  </si>
  <si>
    <t>Polyurethane foam (PUR) / Polyiso. foam (PIR)</t>
  </si>
  <si>
    <t xml:space="preserve">4  </t>
  </si>
  <si>
    <t>Phenolic foam (PF)</t>
  </si>
  <si>
    <t xml:space="preserve">5  </t>
  </si>
  <si>
    <t>Glasswool fibre / Rockwool fibre</t>
  </si>
  <si>
    <t xml:space="preserve">6  </t>
  </si>
  <si>
    <t>Polyester fibre</t>
  </si>
  <si>
    <t>ISO/EN 10456:     Annex A tables</t>
  </si>
  <si>
    <t>EPS</t>
  </si>
  <si>
    <t>XPS</t>
  </si>
  <si>
    <t>PUR/PIR</t>
  </si>
  <si>
    <t>PF</t>
  </si>
  <si>
    <t>GW/RW</t>
  </si>
  <si>
    <t>POLY</t>
  </si>
  <si>
    <t>facing / cell structure</t>
  </si>
  <si>
    <t>facing</t>
  </si>
  <si>
    <t>cell type</t>
  </si>
  <si>
    <t>type</t>
  </si>
  <si>
    <t>-------</t>
  </si>
  <si>
    <t>d&lt;20</t>
  </si>
  <si>
    <t>unknown cell structure &amp; no impermeable cover</t>
  </si>
  <si>
    <t>impermeable facing</t>
  </si>
  <si>
    <t>Closed cell foam (&gt;=90%)</t>
  </si>
  <si>
    <t>Batts, mats, &amp; loosefill</t>
  </si>
  <si>
    <t>20&lt;d&lt;40</t>
  </si>
  <si>
    <t>without skin or with course cell structure</t>
  </si>
  <si>
    <t>no facing or permeable facing</t>
  </si>
  <si>
    <t>Open cell foam (close cell &lt;90%)</t>
  </si>
  <si>
    <t>Semi-rigid</t>
  </si>
  <si>
    <t>40&lt;d&lt;100</t>
  </si>
  <si>
    <t>fine cell structure</t>
  </si>
  <si>
    <t>Rigid boards</t>
  </si>
  <si>
    <t>d&gt;100</t>
  </si>
  <si>
    <t>impermeable cover</t>
  </si>
  <si>
    <t xml:space="preserve">      PF closed cell</t>
  </si>
  <si>
    <t xml:space="preserve">t1&lt;=20 &amp; t2&lt;=20  </t>
  </si>
  <si>
    <t xml:space="preserve">t1&gt;20 &amp; t2&gt;20  </t>
  </si>
  <si>
    <t xml:space="preserve">t1&lt;=20 &amp; t2&gt;20  </t>
  </si>
  <si>
    <t xml:space="preserve">t1&gt;20 &amp; t2&lt;=20  </t>
  </si>
  <si>
    <t>Without skin</t>
  </si>
  <si>
    <t>With skin, fine cell</t>
  </si>
  <si>
    <t>products without skin</t>
  </si>
  <si>
    <t>With impermeable</t>
  </si>
  <si>
    <t>cover</t>
  </si>
  <si>
    <t>PIR/PUR</t>
  </si>
  <si>
    <t>Products</t>
  </si>
  <si>
    <t>without facings</t>
  </si>
  <si>
    <t>Products with</t>
  </si>
  <si>
    <t>impermeable facings</t>
  </si>
  <si>
    <t>Phenolic</t>
  </si>
  <si>
    <t>Closed cell foam (&gt;90%)</t>
  </si>
  <si>
    <t xml:space="preserve">0°C to 20°C </t>
  </si>
  <si>
    <t xml:space="preserve">20°C to 36°C </t>
  </si>
  <si>
    <t xml:space="preserve">Open cell foam 0°C to </t>
  </si>
  <si>
    <t>36°C</t>
  </si>
  <si>
    <t>Mineral Wool</t>
  </si>
  <si>
    <t xml:space="preserve">Batts, mats </t>
  </si>
  <si>
    <t>and loosefill</t>
  </si>
  <si>
    <t>Boards</t>
  </si>
  <si>
    <t>replicate table in AS/NZS 4859.2</t>
  </si>
  <si>
    <t>Polyester (new)</t>
  </si>
  <si>
    <t>Topper Insulation</t>
  </si>
  <si>
    <t>no insulation</t>
  </si>
  <si>
    <t>no topper</t>
  </si>
  <si>
    <t>no perimeter</t>
  </si>
  <si>
    <t>NZS 4214</t>
  </si>
  <si>
    <t>W/m.K</t>
  </si>
  <si>
    <t>Equivalent</t>
  </si>
  <si>
    <t>These equivalences have been determined using 2-D finite element modelling including assuming  R 0.05 lining, R 0.25 sheet thermal break,  and R 0.15 cladding</t>
  </si>
  <si>
    <t>Fully insulated frames</t>
  </si>
  <si>
    <t>Un-insulated frames</t>
  </si>
  <si>
    <t>Equivalences for simplifying the calculation &amp; modelling of steel wall frames</t>
  </si>
  <si>
    <t>45 - 190 mm</t>
  </si>
  <si>
    <t>frame depth   (d)</t>
  </si>
  <si>
    <t>steel thickness   (t)</t>
  </si>
  <si>
    <t>0.55 / 0.75 / 0.95 / 1.15 mm</t>
  </si>
  <si>
    <t xml:space="preserve"> k  =   t / w * 44.5</t>
  </si>
  <si>
    <t>40 - 60 mm</t>
  </si>
  <si>
    <t>NZS 4214 equivalence can't account for some areas not being fully insulated</t>
  </si>
  <si>
    <t>frame width   (w)</t>
  </si>
  <si>
    <t>steel thickness (mm)</t>
  </si>
  <si>
    <t>Equivalent single</t>
  </si>
  <si>
    <t>average</t>
  </si>
  <si>
    <t>Equivalent double</t>
  </si>
  <si>
    <t>ref.</t>
  </si>
  <si>
    <t>Formula</t>
  </si>
  <si>
    <t>k = 0.0002 * d + 0.76 * t + 0.004</t>
  </si>
  <si>
    <t xml:space="preserve"> k = 0.0012 * d + 0.76 * t - 0.036</t>
  </si>
  <si>
    <t>k = 0.0064 * d + 0.76 * t - 0.074</t>
  </si>
  <si>
    <t>k = 0.0064 *d + 0.76 * t + 0.286</t>
  </si>
  <si>
    <t>k = 0.0038 * d + 0.76 * t - 0.055</t>
  </si>
  <si>
    <t>k = 0.0033 * d + 0.76 * t + 0.145</t>
  </si>
  <si>
    <t>k = 0.0064 * d + 0.76 * t + 0.107</t>
  </si>
  <si>
    <t>k = 0.0033 *d + 0.76 * t - 0.035</t>
  </si>
  <si>
    <t>The NZS 4214 equivalence value is calculated using the equation in the standard and excludes contact resistance</t>
  </si>
  <si>
    <t>nmv</t>
  </si>
  <si>
    <t>mv</t>
  </si>
  <si>
    <t>Waffle pod, mv, no insulation</t>
  </si>
  <si>
    <t>Waffle pod, non-mv, no insulation</t>
  </si>
  <si>
    <t>Waffle pod, mv, perim insulation</t>
  </si>
  <si>
    <t>Waffle pod, non-mv, perim insulation</t>
  </si>
  <si>
    <t>Std, non-mv, no insulation</t>
  </si>
  <si>
    <t>Std, mv, no insulation</t>
  </si>
  <si>
    <t>Std, mv, perim insulation</t>
  </si>
  <si>
    <t>Std, non-mv, perim insulation</t>
  </si>
  <si>
    <t>Std, mv, 1.2m x 50mm edge</t>
  </si>
  <si>
    <t>Std, non-mv, 1.2m x 50mm edge</t>
  </si>
  <si>
    <t>Std, mv, 1.2m x 100mm edge</t>
  </si>
  <si>
    <t>Std, non-mv, 1.2m x 100mm edge</t>
  </si>
  <si>
    <t>Std, mv, full 50mm under slab</t>
  </si>
  <si>
    <t>Std, non-mv, full 50mm under slab</t>
  </si>
  <si>
    <t>Std, mv, full 100mm under slab</t>
  </si>
  <si>
    <t>Std, non-mv, full 100mm under slab</t>
  </si>
  <si>
    <t>Std, mv, perim, 1.2m x 50mm edge</t>
  </si>
  <si>
    <t>Std, non-mv, perim, 1.2m x 50mm edge</t>
  </si>
  <si>
    <t>Std, mv, perim, 1.2m x 100mm edge</t>
  </si>
  <si>
    <t>Std, non-mv, perim, 1.2m x 100mm edge</t>
  </si>
  <si>
    <t>Std, mv, perim, full 50mm under slab</t>
  </si>
  <si>
    <t>Std, non-mv, perim, full 50mm under slab</t>
  </si>
  <si>
    <t>Std, mv, perim, full 100mm under slab</t>
  </si>
  <si>
    <t>Std, non-mv, perim, full 100mm under slab</t>
  </si>
  <si>
    <t>coeffs 2 3 4</t>
  </si>
  <si>
    <t>coeffs 1 &amp; 5</t>
  </si>
  <si>
    <t>preim &amp; no topper</t>
  </si>
  <si>
    <t xml:space="preserve"> thermal conductivity of equivalent  rectangle (W/m.K)</t>
  </si>
  <si>
    <t>Derived via 2D modelling</t>
  </si>
  <si>
    <t>The conductivity value is for the equivalent frame only (doesn't include contact resistances)</t>
  </si>
  <si>
    <t>NZS 4214 equivalence doesn’t account for frame depth but does depend on frame width</t>
  </si>
  <si>
    <t>45 mm frame width only</t>
  </si>
  <si>
    <t>Half of the frames have insulation</t>
  </si>
  <si>
    <t>v2_7</t>
  </si>
  <si>
    <t>no underslab or underraft</t>
  </si>
  <si>
    <t>Topper insulation</t>
  </si>
  <si>
    <t>The default temperature in NZ is 15 °C and in Aust 23 °C</t>
  </si>
  <si>
    <t>coef_d4_np</t>
  </si>
  <si>
    <t>coef_m4_np</t>
  </si>
  <si>
    <t>coef_c4_np</t>
  </si>
  <si>
    <t>difference</t>
  </si>
  <si>
    <t>no perim. Insulation</t>
  </si>
  <si>
    <t>Waffle pod, mv, 50mm under-raft</t>
  </si>
  <si>
    <t>Waffle pod, non-mv, 50mm under-raft</t>
  </si>
  <si>
    <t>Waffle pod, mv, perim, 50mm under-raft</t>
  </si>
  <si>
    <t>Waffle pod, non-mv, perim, 50mm under-raft</t>
  </si>
  <si>
    <t>Waffle pod, mv, 100mm under-raft</t>
  </si>
  <si>
    <t>Waffle pod, non-mv, 100mm under-raft</t>
  </si>
  <si>
    <t>Waffle pod, mv, perim, 100mm under-raft</t>
  </si>
  <si>
    <t>Waffle pod, non-mv, perim, 100mm under-raft</t>
  </si>
  <si>
    <t>d1</t>
  </si>
  <si>
    <t>e1</t>
  </si>
  <si>
    <t>f1</t>
  </si>
  <si>
    <t>g1</t>
  </si>
  <si>
    <t>h1</t>
  </si>
  <si>
    <t>No insulation</t>
  </si>
  <si>
    <t>No perimeter insulation</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</si>
</sst>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8">
    <numFmt numFmtId="164" formatCode="0.000"/>
    <numFmt numFmtId="165" formatCode="0.0"/>
    <numFmt numFmtId="166" formatCode="0.00000"/>
    <numFmt numFmtId="167" formatCode="0.0000"/>
    <numFmt numFmtId="168" formatCode="0.0E+00"/>
    <numFmt numFmtId="169" formatCode="0.0%"/>
    <numFmt numFmtId="170" formatCode="yyyy\-mm\-dd;@"/>
    <numFmt numFmtId="171" formatCode="yyyy\-mm\-dd"/>
  </numFmts>
  <fonts count="75">
    <font>
      <sz val="11"/>
      <color theme="1"/>
      <name val="Calibri"/>
      <family val="2"/>
      <scheme val="minor"/>
    </font>
    <font>
      <i/>
      <sz val="11"/>
      <color rgb="FF7F7F7F"/>
      <name val="Calibri"/>
      <family val="2"/>
      <scheme val="minor"/>
    </font>
    <font>
      <sz val="12"/>
      <color theme="1"/>
      <name val="Calibri"/>
      <family val="2"/>
      <scheme val="minor"/>
    </font>
    <font>
      <i/>
      <sz val="12"/>
      <color theme="1"/>
      <name val="Calibri"/>
      <family val="2"/>
      <scheme val="minor"/>
    </font>
    <font>
      <u/>
      <sz val="11"/>
      <color theme="10"/>
      <name val="Calibri"/>
      <family val="2"/>
      <scheme val="minor"/>
    </font>
    <font>
      <b/>
      <sz val="36"/>
      <color theme="1"/>
      <name val="Calibri"/>
      <family val="2"/>
      <scheme val="minor"/>
    </font>
    <font>
      <b/>
      <sz val="12"/>
      <color theme="1"/>
      <name val="Calibri"/>
      <family val="2"/>
      <scheme val="minor"/>
    </font>
    <font>
      <vertAlign val="superscript"/>
      <sz val="12"/>
      <color theme="1"/>
      <name val="Calibri"/>
      <family val="2"/>
      <scheme val="minor"/>
    </font>
    <font>
      <u/>
      <sz val="12"/>
      <color theme="10"/>
      <name val="Calibri"/>
      <family val="2"/>
      <scheme val="minor"/>
    </font>
    <font>
      <sz val="12"/>
      <color theme="2" tint="-9.9978637043366805E-2"/>
      <name val="Calibri"/>
      <family val="2"/>
      <scheme val="minor"/>
    </font>
    <font>
      <sz val="12"/>
      <name val="Calibri"/>
      <family val="2"/>
      <scheme val="minor"/>
    </font>
    <font>
      <sz val="12"/>
      <color theme="1"/>
      <name val="Calibri"/>
      <family val="2"/>
    </font>
    <font>
      <i/>
      <sz val="12"/>
      <name val="Calibri"/>
      <family val="2"/>
      <scheme val="minor"/>
    </font>
    <font>
      <u/>
      <sz val="12"/>
      <color theme="1"/>
      <name val="Calibri"/>
      <family val="2"/>
      <scheme val="minor"/>
    </font>
    <font>
      <b/>
      <u/>
      <sz val="12"/>
      <color theme="1"/>
      <name val="Calibri"/>
      <family val="2"/>
      <scheme val="minor"/>
    </font>
    <font>
      <b/>
      <u/>
      <vertAlign val="superscript"/>
      <sz val="12"/>
      <color theme="1"/>
      <name val="Calibri"/>
      <family val="2"/>
      <scheme val="minor"/>
    </font>
    <font>
      <sz val="9"/>
      <color theme="1"/>
      <name val="Calibri"/>
      <family val="2"/>
      <scheme val="minor"/>
    </font>
    <font>
      <sz val="24"/>
      <name val="Calibri"/>
      <family val="2"/>
      <scheme val="minor"/>
    </font>
    <font>
      <sz val="20"/>
      <name val="Calibri"/>
      <family val="2"/>
      <scheme val="minor"/>
    </font>
    <font>
      <sz val="16"/>
      <name val="Calibri"/>
      <family val="2"/>
      <scheme val="minor"/>
    </font>
    <font>
      <sz val="24"/>
      <color theme="1"/>
      <name val="Calibri"/>
      <family val="2"/>
      <scheme val="minor"/>
    </font>
    <font>
      <sz val="9"/>
      <color indexed="81"/>
      <name val="Tahoma"/>
      <family val="2"/>
    </font>
    <font>
      <sz val="8"/>
      <name val="Calibri"/>
      <family val="2"/>
      <scheme val="minor"/>
    </font>
    <font>
      <vertAlign val="superscript"/>
      <sz val="11"/>
      <color theme="1"/>
      <name val="Calibri"/>
      <family val="2"/>
      <scheme val="minor"/>
    </font>
    <font>
      <b/>
      <sz val="16"/>
      <color theme="1"/>
      <name val="Calibri"/>
      <family val="2"/>
      <scheme val="minor"/>
    </font>
    <font>
      <sz val="11"/>
      <color rgb="FF595959"/>
      <name val="Calibri"/>
      <family val="2"/>
      <scheme val="minor"/>
    </font>
    <font>
      <sz val="11"/>
      <color theme="1"/>
      <name val="Calibri"/>
      <family val="2"/>
      <scheme val="minor"/>
    </font>
    <font>
      <b/>
      <sz val="11"/>
      <color theme="0"/>
      <name val="Calibri"/>
      <family val="2"/>
      <scheme val="minor"/>
    </font>
    <font>
      <sz val="11"/>
      <name val="Calibri"/>
      <family val="2"/>
      <scheme val="minor"/>
    </font>
    <font>
      <b/>
      <sz val="18"/>
      <name val="Calibri"/>
      <family val="2"/>
      <scheme val="minor"/>
    </font>
    <font>
      <sz val="18"/>
      <name val="Calibri"/>
      <family val="2"/>
      <scheme val="minor"/>
    </font>
    <font>
      <b/>
      <sz val="11"/>
      <name val="Calibri"/>
      <family val="2"/>
      <scheme val="minor"/>
    </font>
    <font>
      <b/>
      <sz val="14"/>
      <name val="Calibri"/>
      <family val="2"/>
      <scheme val="minor"/>
    </font>
    <font>
      <vertAlign val="superscript"/>
      <sz val="12"/>
      <name val="Calibri"/>
      <family val="2"/>
      <scheme val="minor"/>
    </font>
    <font>
      <b/>
      <sz val="12"/>
      <name val="Calibri"/>
      <family val="2"/>
      <scheme val="minor"/>
    </font>
    <font>
      <vertAlign val="superscript"/>
      <sz val="11"/>
      <name val="Calibri"/>
      <family val="2"/>
      <scheme val="minor"/>
    </font>
    <font>
      <sz val="10"/>
      <name val="Calibri"/>
      <family val="2"/>
      <scheme val="minor"/>
    </font>
    <font>
      <sz val="10"/>
      <color theme="1"/>
      <name val="Calibri"/>
      <family val="2"/>
      <scheme val="minor"/>
    </font>
    <font>
      <sz val="12"/>
      <color theme="1" tint="0.34998626667073579"/>
      <name val="Calibri"/>
      <family val="2"/>
      <scheme val="minor"/>
    </font>
    <font>
      <sz val="11"/>
      <color theme="1" tint="0.34998626667073579"/>
      <name val="Calibri"/>
      <family val="2"/>
      <scheme val="minor"/>
    </font>
    <font>
      <b/>
      <sz val="14"/>
      <color theme="0"/>
      <name val="Calibri"/>
      <family val="2"/>
      <scheme val="minor"/>
    </font>
    <font>
      <b/>
      <sz val="12"/>
      <color theme="1" tint="0.34998626667073579"/>
      <name val="Calibri"/>
      <family val="2"/>
      <scheme val="minor"/>
    </font>
    <font>
      <b/>
      <sz val="14"/>
      <color theme="1" tint="0.34998626667073579"/>
      <name val="Calibri"/>
      <family val="2"/>
      <scheme val="minor"/>
    </font>
    <font>
      <b/>
      <sz val="14"/>
      <color theme="0" tint="-4.9989318521683403E-2"/>
      <name val="Calibri"/>
      <family val="2"/>
      <scheme val="minor"/>
    </font>
    <font>
      <sz val="9"/>
      <name val="Calibri"/>
      <family val="2"/>
      <scheme val="minor"/>
    </font>
    <font>
      <sz val="9"/>
      <color theme="1" tint="0.34998626667073579"/>
      <name val="Calibri"/>
      <family val="2"/>
      <scheme val="minor"/>
    </font>
    <font>
      <b/>
      <sz val="12"/>
      <color rgb="FFFF0000"/>
      <name val="Calibri"/>
      <family val="2"/>
      <scheme val="minor"/>
    </font>
    <font>
      <b/>
      <sz val="14"/>
      <color theme="1"/>
      <name val="Calibri"/>
      <family val="2"/>
      <scheme val="minor"/>
    </font>
    <font>
      <sz val="12"/>
      <color rgb="FFC00000"/>
      <name val="Calibri"/>
      <family val="2"/>
      <scheme val="minor"/>
    </font>
    <font>
      <sz val="11"/>
      <color theme="0" tint="-0.14999847407452621"/>
      <name val="Calibri"/>
      <family val="2"/>
      <scheme val="minor"/>
    </font>
    <font>
      <b/>
      <sz val="12"/>
      <color theme="8" tint="-0.249977111117893"/>
      <name val="Calibri"/>
      <family val="2"/>
      <scheme val="minor"/>
    </font>
    <font>
      <b/>
      <sz val="26"/>
      <color theme="1"/>
      <name val="Calibri"/>
      <family val="2"/>
      <scheme val="minor"/>
    </font>
    <font>
      <b/>
      <sz val="11"/>
      <color theme="1"/>
      <name val="Calibri"/>
      <family val="2"/>
      <scheme val="minor"/>
    </font>
    <font>
      <sz val="14"/>
      <name val="Calibri"/>
      <family val="2"/>
      <scheme val="minor"/>
    </font>
    <font>
      <sz val="10"/>
      <color rgb="FFC00000"/>
      <name val="Calibri"/>
      <family val="2"/>
      <scheme val="minor"/>
    </font>
    <font>
      <b/>
      <vertAlign val="superscript"/>
      <sz val="11"/>
      <color theme="1"/>
      <name val="Calibri"/>
      <family val="2"/>
      <scheme val="minor"/>
    </font>
    <font>
      <sz val="16"/>
      <color theme="1"/>
      <name val="Calibri"/>
      <family val="2"/>
      <scheme val="minor"/>
    </font>
    <font>
      <sz val="12"/>
      <color rgb="FF0070C0"/>
      <name val="Calibri"/>
      <family val="2"/>
      <scheme val="minor"/>
    </font>
    <font>
      <sz val="12"/>
      <color rgb="FF0070C0"/>
      <name val="Calibri"/>
      <family val="2"/>
    </font>
    <font>
      <b/>
      <sz val="20"/>
      <color theme="1"/>
      <name val="Calibri"/>
      <family val="2"/>
      <scheme val="minor"/>
    </font>
    <font>
      <sz val="20"/>
      <color theme="1"/>
      <name val="Calibri"/>
      <family val="2"/>
      <scheme val="minor"/>
    </font>
    <font>
      <sz val="12"/>
      <color theme="0" tint="-0.499984740745262"/>
      <name val="Calibri"/>
      <family val="2"/>
      <scheme val="minor"/>
    </font>
    <font>
      <sz val="11"/>
      <color theme="0" tint="-0.499984740745262"/>
      <name val="Calibri"/>
      <family val="2"/>
      <scheme val="minor"/>
    </font>
    <font>
      <b/>
      <vertAlign val="superscript"/>
      <sz val="12"/>
      <color theme="1"/>
      <name val="Calibri"/>
      <family val="2"/>
      <scheme val="minor"/>
    </font>
    <font>
      <sz val="12"/>
      <color theme="1"/>
      <name val="Symbol"/>
      <family val="1"/>
      <charset val="2"/>
    </font>
    <font>
      <vertAlign val="subscript"/>
      <sz val="12"/>
      <color theme="1"/>
      <name val="Calibri"/>
      <family val="2"/>
      <scheme val="minor"/>
    </font>
    <font>
      <sz val="12"/>
      <color theme="1"/>
      <name val="Calibri"/>
      <family val="2"/>
      <charset val="2"/>
      <scheme val="minor"/>
    </font>
    <font>
      <sz val="14"/>
      <color theme="1"/>
      <name val="Calibri"/>
      <family val="1"/>
      <charset val="2"/>
      <scheme val="minor"/>
    </font>
    <font>
      <sz val="14"/>
      <color theme="1"/>
      <name val="Symbol"/>
      <family val="1"/>
      <charset val="2"/>
    </font>
    <font>
      <vertAlign val="subscript"/>
      <sz val="14"/>
      <color theme="1"/>
      <name val="Calibri"/>
      <family val="2"/>
      <scheme val="minor"/>
    </font>
    <font>
      <sz val="11"/>
      <color theme="1"/>
      <name val="Aptos Narrow"/>
      <family val="2"/>
    </font>
    <font>
      <sz val="11"/>
      <color theme="1"/>
      <name val="Arial"/>
      <family val="2"/>
    </font>
    <font>
      <sz val="11"/>
      <color theme="0"/>
      <name val="Calibri"/>
      <family val="2"/>
      <scheme val="minor"/>
    </font>
    <font>
      <b/>
      <sz val="9"/>
      <color indexed="81"/>
      <name val="Tahoma"/>
      <family val="2"/>
    </font>
    <font>
      <sz val="12"/>
      <color rgb="FFFF0000"/>
      <name val="Calibri"/>
      <family val="2"/>
      <scheme val="minor"/>
    </font>
  </fonts>
  <fills count="41">
    <fill>
      <patternFill patternType="none"/>
    </fill>
    <fill>
      <patternFill patternType="gray125"/>
    </fill>
    <fill>
      <patternFill patternType="solid">
        <fgColor rgb="FFFFFF00"/>
        <bgColor indexed="64"/>
      </patternFill>
    </fill>
    <fill>
      <patternFill patternType="solid">
        <fgColor theme="4" tint="0.79998168889431442"/>
        <bgColor indexed="64"/>
      </patternFill>
    </fill>
    <fill>
      <patternFill patternType="solid">
        <fgColor theme="2" tint="-9.9978637043366805E-2"/>
        <bgColor indexed="64"/>
      </patternFill>
    </fill>
    <fill>
      <patternFill patternType="solid">
        <fgColor theme="8" tint="0.79998168889431442"/>
        <bgColor indexed="64"/>
      </patternFill>
    </fill>
    <fill>
      <patternFill patternType="solid">
        <fgColor theme="7" tint="0.79998168889431442"/>
        <bgColor indexed="64"/>
      </patternFill>
    </fill>
    <fill>
      <patternFill patternType="solid">
        <fgColor theme="9" tint="0.79998168889431442"/>
        <bgColor indexed="64"/>
      </patternFill>
    </fill>
    <fill>
      <patternFill patternType="solid">
        <fgColor theme="0"/>
        <bgColor indexed="64"/>
      </patternFill>
    </fill>
    <fill>
      <patternFill patternType="solid">
        <fgColor theme="2"/>
        <bgColor indexed="64"/>
      </patternFill>
    </fill>
    <fill>
      <patternFill patternType="solid">
        <fgColor theme="0" tint="-4.9989318521683403E-2"/>
        <bgColor indexed="64"/>
      </patternFill>
    </fill>
    <fill>
      <patternFill patternType="solid">
        <fgColor theme="0" tint="-0.14999847407452621"/>
        <bgColor indexed="64"/>
      </patternFill>
    </fill>
    <fill>
      <patternFill patternType="solid">
        <fgColor theme="5" tint="0.59999389629810485"/>
        <bgColor indexed="64"/>
      </patternFill>
    </fill>
    <fill>
      <patternFill patternType="solid">
        <fgColor rgb="FFFF0000"/>
        <bgColor indexed="64"/>
      </patternFill>
    </fill>
    <fill>
      <patternFill patternType="solid">
        <fgColor rgb="FFFFC000"/>
        <bgColor indexed="64"/>
      </patternFill>
    </fill>
    <fill>
      <patternFill patternType="solid">
        <fgColor theme="5" tint="0.79998168889431442"/>
        <bgColor indexed="64"/>
      </patternFill>
    </fill>
    <fill>
      <patternFill patternType="solid">
        <fgColor theme="9" tint="0.59999389629810485"/>
        <bgColor indexed="64"/>
      </patternFill>
    </fill>
    <fill>
      <patternFill patternType="solid">
        <fgColor theme="3" tint="0.79998168889431442"/>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theme="9" tint="0.39997558519241921"/>
        <bgColor indexed="64"/>
      </patternFill>
    </fill>
    <fill>
      <patternFill patternType="solid">
        <fgColor rgb="FFFFFFFF"/>
        <bgColor indexed="64"/>
      </patternFill>
    </fill>
    <fill>
      <patternFill patternType="solid">
        <fgColor rgb="FFFFC000"/>
        <bgColor rgb="FFFF0000"/>
      </patternFill>
    </fill>
    <fill>
      <patternFill patternType="solid">
        <fgColor rgb="FFC89800"/>
        <bgColor indexed="64"/>
      </patternFill>
    </fill>
    <fill>
      <patternFill patternType="solid">
        <fgColor rgb="FFD6A200"/>
        <bgColor indexed="64"/>
      </patternFill>
    </fill>
    <fill>
      <patternFill patternType="solid">
        <fgColor rgb="FFE4AC00"/>
        <bgColor indexed="64"/>
      </patternFill>
    </fill>
    <fill>
      <patternFill patternType="solid">
        <fgColor rgb="FFF2B600"/>
        <bgColor indexed="64"/>
      </patternFill>
    </fill>
    <fill>
      <patternFill patternType="solid">
        <fgColor rgb="FF00B0F0"/>
        <bgColor indexed="64"/>
      </patternFill>
    </fill>
    <fill>
      <patternFill patternType="solid">
        <fgColor theme="0"/>
        <bgColor rgb="FFFF0000"/>
      </patternFill>
    </fill>
    <fill>
      <patternFill patternType="solid">
        <fgColor rgb="FF92D050"/>
        <bgColor indexed="64"/>
      </patternFill>
    </fill>
    <fill>
      <patternFill patternType="solid">
        <fgColor theme="4" tint="0.59999389629810485"/>
        <bgColor indexed="64"/>
      </patternFill>
    </fill>
    <fill>
      <patternFill patternType="solid">
        <fgColor rgb="FF00B050"/>
        <bgColor indexed="64"/>
      </patternFill>
    </fill>
    <fill>
      <patternFill patternType="gray0625">
        <bgColor theme="0"/>
      </patternFill>
    </fill>
    <fill>
      <patternFill patternType="solid">
        <fgColor theme="7" tint="0.39997558519241921"/>
        <bgColor indexed="64"/>
      </patternFill>
    </fill>
    <fill>
      <patternFill patternType="solid">
        <fgColor theme="7" tint="0.59999389629810485"/>
        <bgColor indexed="64"/>
      </patternFill>
    </fill>
    <fill>
      <patternFill patternType="solid">
        <fgColor theme="0" tint="-0.249977111117893"/>
        <bgColor indexed="64"/>
      </patternFill>
    </fill>
    <fill>
      <patternFill patternType="solid">
        <fgColor rgb="FF92D050"/>
        <bgColor rgb="FFFF0000"/>
      </patternFill>
    </fill>
    <fill>
      <patternFill patternType="solid">
        <fgColor rgb="FFFFFFC0"/>
        <bgColor indexed="64"/>
      </patternFill>
    </fill>
    <fill>
      <patternFill patternType="solid">
        <fgColor theme="0" tint="-0.499984740745262"/>
        <bgColor indexed="64"/>
      </patternFill>
    </fill>
    <fill>
      <patternFill patternType="solid">
        <fgColor theme="0" tint="-0.34998626667073579"/>
        <bgColor indexed="64"/>
      </patternFill>
    </fill>
    <fill>
      <patternFill patternType="solid">
        <fgColor theme="1"/>
        <bgColor indexed="64"/>
      </patternFill>
    </fill>
  </fills>
  <borders count="50">
    <border>
      <left/>
      <right/>
      <top/>
      <bottom/>
      <diagonal/>
    </border>
    <border>
      <left/>
      <right/>
      <top/>
      <bottom style="thin">
        <color indexed="64"/>
      </bottom>
      <diagonal/>
    </border>
    <border>
      <left style="medium">
        <color indexed="64"/>
      </left>
      <right style="medium">
        <color indexed="64"/>
      </right>
      <top style="medium">
        <color indexed="64"/>
      </top>
      <bottom style="medium">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diagonal/>
    </border>
    <border>
      <left/>
      <right style="medium">
        <color indexed="64"/>
      </right>
      <top style="medium">
        <color indexed="64"/>
      </top>
      <bottom/>
      <diagonal/>
    </border>
    <border>
      <left style="medium">
        <color indexed="64"/>
      </left>
      <right style="medium">
        <color indexed="64"/>
      </right>
      <top/>
      <bottom/>
      <diagonal/>
    </border>
    <border>
      <left/>
      <right style="medium">
        <color indexed="64"/>
      </right>
      <top/>
      <bottom/>
      <diagonal/>
    </border>
    <border>
      <left style="thin">
        <color indexed="64"/>
      </left>
      <right style="thin">
        <color indexed="64"/>
      </right>
      <top style="thin">
        <color indexed="64"/>
      </top>
      <bottom/>
      <diagonal/>
    </border>
    <border>
      <left/>
      <right style="thin">
        <color indexed="64"/>
      </right>
      <top style="thin">
        <color indexed="64"/>
      </top>
      <bottom/>
      <diagonal/>
    </border>
    <border>
      <left/>
      <right style="thin">
        <color indexed="64"/>
      </right>
      <top/>
      <bottom/>
      <diagonal/>
    </border>
    <border>
      <left style="thin">
        <color indexed="64"/>
      </left>
      <right style="thin">
        <color indexed="64"/>
      </right>
      <top/>
      <bottom style="thin">
        <color indexed="64"/>
      </bottom>
      <diagonal/>
    </border>
    <border>
      <left/>
      <right style="thin">
        <color indexed="64"/>
      </right>
      <top/>
      <bottom style="thin">
        <color indexed="64"/>
      </bottom>
      <diagonal/>
    </border>
    <border>
      <left/>
      <right style="medium">
        <color indexed="64"/>
      </right>
      <top/>
      <bottom style="medium">
        <color indexed="64"/>
      </bottom>
      <diagonal/>
    </border>
    <border>
      <left style="thin">
        <color indexed="64"/>
      </left>
      <right/>
      <top style="thin">
        <color indexed="64"/>
      </top>
      <bottom/>
      <diagonal/>
    </border>
    <border>
      <left/>
      <right/>
      <top style="thin">
        <color indexed="64"/>
      </top>
      <bottom/>
      <diagonal/>
    </border>
    <border>
      <left style="medium">
        <color indexed="64"/>
      </left>
      <right/>
      <top style="medium">
        <color indexed="64"/>
      </top>
      <bottom/>
      <diagonal/>
    </border>
    <border>
      <left/>
      <right/>
      <top style="medium">
        <color indexed="64"/>
      </top>
      <bottom/>
      <diagonal/>
    </border>
    <border>
      <left style="medium">
        <color indexed="64"/>
      </left>
      <right/>
      <top/>
      <bottom/>
      <diagonal/>
    </border>
    <border>
      <left style="thin">
        <color indexed="64"/>
      </left>
      <right/>
      <top/>
      <bottom style="thin">
        <color indexed="64"/>
      </bottom>
      <diagonal/>
    </border>
    <border>
      <left style="medium">
        <color indexed="64"/>
      </left>
      <right/>
      <top/>
      <bottom style="medium">
        <color indexed="64"/>
      </bottom>
      <diagonal/>
    </border>
    <border>
      <left style="medium">
        <color indexed="64"/>
      </left>
      <right style="medium">
        <color indexed="64"/>
      </right>
      <top/>
      <bottom style="thin">
        <color indexed="64"/>
      </bottom>
      <diagonal/>
    </border>
    <border>
      <left/>
      <right/>
      <top/>
      <bottom style="medium">
        <color indexed="64"/>
      </bottom>
      <diagonal/>
    </border>
    <border>
      <left/>
      <right/>
      <top style="thin">
        <color indexed="64"/>
      </top>
      <bottom style="thin">
        <color indexed="64"/>
      </bottom>
      <diagonal/>
    </border>
    <border>
      <left style="medium">
        <color indexed="64"/>
      </left>
      <right style="medium">
        <color indexed="64"/>
      </right>
      <top style="thin">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medium">
        <color indexed="64"/>
      </right>
      <top style="thin">
        <color indexed="64"/>
      </top>
      <bottom/>
      <diagonal/>
    </border>
    <border>
      <left style="thin">
        <color indexed="64"/>
      </left>
      <right/>
      <top/>
      <bottom style="medium">
        <color indexed="64"/>
      </bottom>
      <diagonal/>
    </border>
    <border>
      <left style="thin">
        <color indexed="64"/>
      </left>
      <right style="medium">
        <color indexed="64"/>
      </right>
      <top/>
      <bottom/>
      <diagonal/>
    </border>
    <border>
      <left style="medium">
        <color indexed="64"/>
      </left>
      <right style="thin">
        <color indexed="64"/>
      </right>
      <top/>
      <bottom/>
      <diagonal/>
    </border>
    <border>
      <left/>
      <right style="medium">
        <color indexed="64"/>
      </right>
      <top/>
      <bottom style="thin">
        <color indexed="64"/>
      </bottom>
      <diagonal/>
    </border>
    <border>
      <left style="thin">
        <color indexed="64"/>
      </left>
      <right style="thin">
        <color indexed="64"/>
      </right>
      <top/>
      <bottom style="medium">
        <color indexed="64"/>
      </bottom>
      <diagonal/>
    </border>
    <border>
      <left style="thin">
        <color theme="0" tint="-0.499984740745262"/>
      </left>
      <right/>
      <top/>
      <bottom/>
      <diagonal/>
    </border>
    <border>
      <left/>
      <right style="thin">
        <color theme="0" tint="-0.499984740745262"/>
      </right>
      <top/>
      <bottom/>
      <diagonal/>
    </border>
    <border>
      <left style="thin">
        <color theme="0" tint="-0.499984740745262"/>
      </left>
      <right/>
      <top/>
      <bottom style="thin">
        <color theme="0" tint="-0.499984740745262"/>
      </bottom>
      <diagonal/>
    </border>
    <border>
      <left/>
      <right/>
      <top/>
      <bottom style="thin">
        <color theme="0" tint="-0.499984740745262"/>
      </bottom>
      <diagonal/>
    </border>
    <border>
      <left/>
      <right style="thin">
        <color theme="0" tint="-0.499984740745262"/>
      </right>
      <top/>
      <bottom style="thin">
        <color theme="0" tint="-0.499984740745262"/>
      </bottom>
      <diagonal/>
    </border>
    <border>
      <left style="thin">
        <color theme="0" tint="-0.24994659260841701"/>
      </left>
      <right/>
      <top style="thin">
        <color theme="0" tint="-0.24994659260841701"/>
      </top>
      <bottom/>
      <diagonal/>
    </border>
    <border>
      <left/>
      <right style="thin">
        <color theme="0" tint="-0.24994659260841701"/>
      </right>
      <top style="thin">
        <color theme="0" tint="-0.24994659260841701"/>
      </top>
      <bottom/>
      <diagonal/>
    </border>
    <border>
      <left style="thin">
        <color theme="0" tint="-0.24994659260841701"/>
      </left>
      <right/>
      <top/>
      <bottom/>
      <diagonal/>
    </border>
    <border>
      <left/>
      <right style="thin">
        <color theme="0" tint="-0.24994659260841701"/>
      </right>
      <top/>
      <bottom/>
      <diagonal/>
    </border>
    <border>
      <left style="thin">
        <color theme="0" tint="-0.24994659260841701"/>
      </left>
      <right/>
      <top/>
      <bottom style="thin">
        <color theme="0" tint="-0.24994659260841701"/>
      </bottom>
      <diagonal/>
    </border>
    <border>
      <left/>
      <right style="thin">
        <color theme="0" tint="-0.24994659260841701"/>
      </right>
      <top/>
      <bottom style="thin">
        <color theme="0" tint="-0.24994659260841701"/>
      </bottom>
      <diagonal/>
    </border>
  </borders>
  <cellStyleXfs count="4">
    <xf numFmtId="0" fontId="0" fillId="0" borderId="0"/>
    <xf numFmtId="0" fontId="1" fillId="0" borderId="0" applyNumberFormat="0" applyFill="0" applyBorder="0" applyAlignment="0" applyProtection="0"/>
    <xf numFmtId="0" fontId="4" fillId="0" borderId="0" applyNumberFormat="0" applyFill="0" applyBorder="0" applyAlignment="0" applyProtection="0"/>
    <xf numFmtId="9" fontId="26" fillId="0" borderId="0" applyFont="0" applyFill="0" applyBorder="0" applyAlignment="0" applyProtection="0"/>
  </cellStyleXfs>
  <cellXfs count="1309">
    <xf numFmtId="0" fontId="0" fillId="0" borderId="0" xfId="0"/>
    <xf numFmtId="0" fontId="0" fillId="4" borderId="0" xfId="0" applyFill="1" applyAlignment="1">
      <alignment horizontal="center" vertical="center"/>
    </xf>
    <xf numFmtId="0" fontId="0" fillId="0" borderId="0" xfId="0" applyAlignment="1">
      <alignment horizontal="center"/>
    </xf>
    <xf numFmtId="0" fontId="0" fillId="0" borderId="0" xfId="0" applyAlignment="1">
      <alignment horizontal="right" vertical="center"/>
    </xf>
    <xf numFmtId="0" fontId="0" fillId="4" borderId="0" xfId="0" applyFill="1" applyAlignment="1">
      <alignment horizontal="right" vertical="center"/>
    </xf>
    <xf numFmtId="0" fontId="5" fillId="0" borderId="0" xfId="0" applyFont="1" applyAlignment="1">
      <alignment horizontal="right" vertical="center"/>
    </xf>
    <xf numFmtId="0" fontId="5" fillId="4" borderId="0" xfId="0" applyFont="1" applyFill="1" applyAlignment="1">
      <alignment horizontal="right" vertical="center"/>
    </xf>
    <xf numFmtId="0" fontId="2" fillId="0" borderId="0" xfId="0" applyFont="1" applyProtection="1">
      <protection locked="0"/>
    </xf>
    <xf numFmtId="164" fontId="2" fillId="0" borderId="0" xfId="0" applyNumberFormat="1" applyFont="1" applyProtection="1">
      <protection locked="0"/>
    </xf>
    <xf numFmtId="1" fontId="2" fillId="0" borderId="0" xfId="0" applyNumberFormat="1" applyFont="1" applyAlignment="1" applyProtection="1">
      <alignment horizontal="center"/>
      <protection locked="0"/>
    </xf>
    <xf numFmtId="0" fontId="2" fillId="0" borderId="0" xfId="0" applyFont="1"/>
    <xf numFmtId="165" fontId="2" fillId="0" borderId="0" xfId="0" applyNumberFormat="1" applyFont="1" applyAlignment="1" applyProtection="1">
      <alignment horizontal="center" vertical="center"/>
      <protection locked="0"/>
    </xf>
    <xf numFmtId="0" fontId="2" fillId="0" borderId="0" xfId="0" applyFont="1" applyAlignment="1" applyProtection="1">
      <alignment horizontal="center"/>
      <protection locked="0"/>
    </xf>
    <xf numFmtId="165" fontId="2" fillId="0" borderId="0" xfId="0" applyNumberFormat="1" applyFont="1" applyAlignment="1" applyProtection="1">
      <alignment horizontal="center"/>
      <protection locked="0"/>
    </xf>
    <xf numFmtId="0" fontId="2" fillId="14" borderId="3" xfId="0" applyFont="1" applyFill="1" applyBorder="1" applyAlignment="1" applyProtection="1">
      <alignment horizontal="center"/>
      <protection locked="0"/>
    </xf>
    <xf numFmtId="165" fontId="2" fillId="2" borderId="0" xfId="0" applyNumberFormat="1" applyFont="1" applyFill="1" applyAlignment="1" applyProtection="1">
      <alignment horizontal="center"/>
      <protection locked="0"/>
    </xf>
    <xf numFmtId="1" fontId="6" fillId="0" borderId="0" xfId="0" applyNumberFormat="1" applyFont="1" applyAlignment="1" applyProtection="1">
      <alignment horizontal="center"/>
      <protection locked="0"/>
    </xf>
    <xf numFmtId="165" fontId="2" fillId="2" borderId="0" xfId="0" applyNumberFormat="1" applyFont="1" applyFill="1" applyAlignment="1" applyProtection="1">
      <alignment horizontal="center" vertical="center"/>
      <protection locked="0"/>
    </xf>
    <xf numFmtId="164" fontId="2" fillId="0" borderId="0" xfId="0" applyNumberFormat="1" applyFont="1" applyAlignment="1" applyProtection="1">
      <alignment horizontal="center"/>
      <protection locked="0"/>
    </xf>
    <xf numFmtId="0" fontId="2" fillId="0" borderId="0" xfId="0" applyFont="1" applyAlignment="1">
      <alignment horizontal="center"/>
    </xf>
    <xf numFmtId="0" fontId="2" fillId="6" borderId="0" xfId="0" applyFont="1" applyFill="1" applyAlignment="1" applyProtection="1">
      <alignment horizontal="center"/>
      <protection locked="0"/>
    </xf>
    <xf numFmtId="0" fontId="6" fillId="14" borderId="3" xfId="0" applyFont="1" applyFill="1" applyBorder="1" applyAlignment="1" applyProtection="1">
      <alignment horizontal="center"/>
      <protection locked="0"/>
    </xf>
    <xf numFmtId="164" fontId="2" fillId="2" borderId="0" xfId="0" applyNumberFormat="1" applyFont="1" applyFill="1" applyAlignment="1" applyProtection="1">
      <alignment horizontal="center"/>
      <protection locked="0"/>
    </xf>
    <xf numFmtId="164" fontId="2" fillId="0" borderId="0" xfId="0" applyNumberFormat="1" applyFont="1" applyAlignment="1" applyProtection="1">
      <alignment horizontal="left"/>
      <protection locked="0"/>
    </xf>
    <xf numFmtId="49" fontId="2" fillId="0" borderId="0" xfId="0" applyNumberFormat="1" applyFont="1" applyAlignment="1" applyProtection="1">
      <alignment horizontal="center"/>
      <protection locked="0"/>
    </xf>
    <xf numFmtId="0" fontId="2" fillId="0" borderId="7" xfId="0" applyFont="1" applyBorder="1" applyProtection="1">
      <protection locked="0"/>
    </xf>
    <xf numFmtId="164" fontId="2" fillId="0" borderId="15" xfId="0" applyNumberFormat="1" applyFont="1" applyBorder="1" applyProtection="1">
      <protection locked="0"/>
    </xf>
    <xf numFmtId="0" fontId="2" fillId="0" borderId="15" xfId="0" applyFont="1" applyBorder="1" applyProtection="1">
      <protection locked="0"/>
    </xf>
    <xf numFmtId="1" fontId="2" fillId="5" borderId="3" xfId="0" applyNumberFormat="1" applyFont="1" applyFill="1" applyBorder="1" applyAlignment="1" applyProtection="1">
      <alignment horizontal="center"/>
      <protection locked="0"/>
    </xf>
    <xf numFmtId="0" fontId="2" fillId="0" borderId="7" xfId="0" applyFont="1" applyBorder="1" applyAlignment="1" applyProtection="1">
      <alignment horizontal="center"/>
      <protection locked="0"/>
    </xf>
    <xf numFmtId="0" fontId="2" fillId="0" borderId="15" xfId="0" applyFont="1" applyBorder="1" applyAlignment="1" applyProtection="1">
      <alignment horizontal="center"/>
      <protection locked="0"/>
    </xf>
    <xf numFmtId="1" fontId="6" fillId="14" borderId="3" xfId="0" applyNumberFormat="1" applyFont="1" applyFill="1" applyBorder="1" applyAlignment="1" applyProtection="1">
      <alignment horizontal="center"/>
      <protection locked="0"/>
    </xf>
    <xf numFmtId="0" fontId="2" fillId="8" borderId="0" xfId="0" applyFont="1" applyFill="1" applyProtection="1">
      <protection locked="0"/>
    </xf>
    <xf numFmtId="0" fontId="2" fillId="2" borderId="0" xfId="0" applyFont="1" applyFill="1" applyAlignment="1" applyProtection="1">
      <alignment horizontal="center"/>
      <protection locked="0"/>
    </xf>
    <xf numFmtId="0" fontId="2" fillId="0" borderId="0" xfId="0" quotePrefix="1" applyFont="1" applyAlignment="1" applyProtection="1">
      <alignment horizontal="center"/>
      <protection locked="0"/>
    </xf>
    <xf numFmtId="166" fontId="2" fillId="0" borderId="0" xfId="0" applyNumberFormat="1" applyFont="1" applyAlignment="1" applyProtection="1">
      <alignment horizontal="center"/>
      <protection locked="0"/>
    </xf>
    <xf numFmtId="167" fontId="2" fillId="0" borderId="0" xfId="0" applyNumberFormat="1" applyFont="1" applyAlignment="1" applyProtection="1">
      <alignment horizontal="center"/>
      <protection locked="0"/>
    </xf>
    <xf numFmtId="164" fontId="2" fillId="0" borderId="13" xfId="0" applyNumberFormat="1" applyFont="1" applyBorder="1" applyAlignment="1" applyProtection="1">
      <alignment horizontal="center"/>
      <protection locked="0"/>
    </xf>
    <xf numFmtId="164" fontId="2" fillId="0" borderId="4" xfId="0" applyNumberFormat="1" applyFont="1" applyBorder="1" applyAlignment="1" applyProtection="1">
      <alignment horizontal="center"/>
      <protection locked="0"/>
    </xf>
    <xf numFmtId="1" fontId="2" fillId="14" borderId="3" xfId="0" applyNumberFormat="1" applyFont="1" applyFill="1" applyBorder="1" applyAlignment="1" applyProtection="1">
      <alignment horizontal="center"/>
      <protection locked="0"/>
    </xf>
    <xf numFmtId="164" fontId="2" fillId="0" borderId="16" xfId="0" applyNumberFormat="1" applyFont="1" applyBorder="1" applyAlignment="1" applyProtection="1">
      <alignment horizontal="center"/>
      <protection locked="0"/>
    </xf>
    <xf numFmtId="49" fontId="2" fillId="0" borderId="0" xfId="0" applyNumberFormat="1" applyFont="1" applyAlignment="1" applyProtection="1">
      <alignment horizontal="left"/>
      <protection locked="0"/>
    </xf>
    <xf numFmtId="0" fontId="2" fillId="2" borderId="0" xfId="0" applyFont="1" applyFill="1" applyAlignment="1" applyProtection="1">
      <alignment horizontal="left"/>
      <protection locked="0"/>
    </xf>
    <xf numFmtId="0" fontId="2" fillId="0" borderId="0" xfId="0" applyFont="1" applyAlignment="1" applyProtection="1">
      <alignment horizontal="left"/>
      <protection locked="0"/>
    </xf>
    <xf numFmtId="0" fontId="2" fillId="2" borderId="0" xfId="0" applyFont="1" applyFill="1" applyAlignment="1" applyProtection="1">
      <alignment horizontal="center" vertical="center"/>
      <protection locked="0"/>
    </xf>
    <xf numFmtId="0" fontId="2" fillId="0" borderId="13" xfId="0" applyFont="1" applyBorder="1" applyAlignment="1" applyProtection="1">
      <alignment vertical="center"/>
      <protection locked="0"/>
    </xf>
    <xf numFmtId="0" fontId="10" fillId="0" borderId="0" xfId="0" applyFont="1" applyProtection="1">
      <protection locked="0"/>
    </xf>
    <xf numFmtId="165" fontId="10" fillId="0" borderId="0" xfId="0" applyNumberFormat="1" applyFont="1" applyAlignment="1" applyProtection="1">
      <alignment horizontal="center"/>
      <protection locked="0"/>
    </xf>
    <xf numFmtId="2" fontId="10" fillId="0" borderId="0" xfId="0" applyNumberFormat="1" applyFont="1" applyAlignment="1" applyProtection="1">
      <alignment horizontal="left"/>
      <protection locked="0"/>
    </xf>
    <xf numFmtId="0" fontId="10" fillId="0" borderId="0" xfId="0" applyFont="1" applyAlignment="1" applyProtection="1">
      <alignment horizontal="left"/>
      <protection locked="0"/>
    </xf>
    <xf numFmtId="0" fontId="10" fillId="0" borderId="0" xfId="0" applyFont="1" applyAlignment="1" applyProtection="1">
      <alignment horizontal="center"/>
      <protection locked="0"/>
    </xf>
    <xf numFmtId="0" fontId="2" fillId="14" borderId="3" xfId="0" applyFont="1" applyFill="1" applyBorder="1" applyAlignment="1" applyProtection="1">
      <alignment horizontal="center" vertical="center"/>
      <protection locked="0"/>
    </xf>
    <xf numFmtId="0" fontId="2" fillId="2" borderId="0" xfId="0" applyFont="1" applyFill="1" applyAlignment="1" applyProtection="1">
      <alignment vertical="center"/>
      <protection locked="0"/>
    </xf>
    <xf numFmtId="0" fontId="2" fillId="0" borderId="0" xfId="0" applyFont="1" applyAlignment="1">
      <alignment horizontal="left"/>
    </xf>
    <xf numFmtId="1" fontId="2" fillId="5" borderId="0" xfId="0" applyNumberFormat="1" applyFont="1" applyFill="1" applyAlignment="1" applyProtection="1">
      <alignment vertical="center"/>
      <protection locked="0"/>
    </xf>
    <xf numFmtId="164" fontId="2" fillId="5" borderId="0" xfId="0" applyNumberFormat="1" applyFont="1" applyFill="1" applyProtection="1">
      <protection locked="0"/>
    </xf>
    <xf numFmtId="0" fontId="2" fillId="5" borderId="0" xfId="0" applyFont="1" applyFill="1" applyProtection="1">
      <protection locked="0"/>
    </xf>
    <xf numFmtId="164" fontId="2" fillId="0" borderId="0" xfId="0" applyNumberFormat="1" applyFont="1" applyAlignment="1" applyProtection="1">
      <alignment vertical="center"/>
      <protection locked="0"/>
    </xf>
    <xf numFmtId="1" fontId="2" fillId="0" borderId="0" xfId="0" applyNumberFormat="1" applyFont="1" applyAlignment="1" applyProtection="1">
      <alignment horizontal="center" vertical="center"/>
      <protection locked="0"/>
    </xf>
    <xf numFmtId="0" fontId="2" fillId="0" borderId="0" xfId="0" applyFont="1" applyAlignment="1" applyProtection="1">
      <alignment horizontal="center" vertical="center"/>
      <protection locked="0"/>
    </xf>
    <xf numFmtId="1" fontId="2" fillId="5" borderId="5" xfId="0" applyNumberFormat="1" applyFont="1" applyFill="1" applyBorder="1" applyAlignment="1" applyProtection="1">
      <alignment horizontal="center"/>
      <protection locked="0"/>
    </xf>
    <xf numFmtId="0" fontId="6" fillId="19" borderId="0" xfId="0" applyFont="1" applyFill="1" applyAlignment="1" applyProtection="1">
      <alignment horizontal="center"/>
      <protection locked="0"/>
    </xf>
    <xf numFmtId="164" fontId="2" fillId="0" borderId="11" xfId="0" applyNumberFormat="1" applyFont="1" applyBorder="1" applyAlignment="1" applyProtection="1">
      <alignment horizontal="center"/>
      <protection locked="0"/>
    </xf>
    <xf numFmtId="2" fontId="2" fillId="0" borderId="0" xfId="0" applyNumberFormat="1" applyFont="1" applyAlignment="1" applyProtection="1">
      <alignment horizontal="center"/>
      <protection locked="0"/>
    </xf>
    <xf numFmtId="1" fontId="2" fillId="0" borderId="0" xfId="0" applyNumberFormat="1" applyFont="1" applyProtection="1">
      <protection locked="0"/>
    </xf>
    <xf numFmtId="0" fontId="2" fillId="2" borderId="0" xfId="0" applyFont="1" applyFill="1" applyProtection="1">
      <protection locked="0"/>
    </xf>
    <xf numFmtId="1" fontId="2" fillId="0" borderId="0" xfId="0" applyNumberFormat="1" applyFont="1" applyAlignment="1" applyProtection="1">
      <alignment horizontal="right"/>
      <protection locked="0"/>
    </xf>
    <xf numFmtId="2" fontId="2" fillId="2" borderId="0" xfId="0" applyNumberFormat="1" applyFont="1" applyFill="1" applyProtection="1">
      <protection locked="0"/>
    </xf>
    <xf numFmtId="49" fontId="2" fillId="19" borderId="0" xfId="0" applyNumberFormat="1" applyFont="1" applyFill="1" applyAlignment="1" applyProtection="1">
      <alignment horizontal="center"/>
      <protection locked="0"/>
    </xf>
    <xf numFmtId="2" fontId="2" fillId="0" borderId="0" xfId="0" applyNumberFormat="1" applyFont="1" applyAlignment="1" applyProtection="1">
      <alignment horizontal="center" vertical="center"/>
      <protection locked="0"/>
    </xf>
    <xf numFmtId="0" fontId="10" fillId="0" borderId="4" xfId="0" applyFont="1" applyBorder="1" applyAlignment="1" applyProtection="1">
      <alignment vertical="center"/>
      <protection locked="0"/>
    </xf>
    <xf numFmtId="0" fontId="10" fillId="14" borderId="3" xfId="0" applyFont="1" applyFill="1" applyBorder="1" applyAlignment="1" applyProtection="1">
      <alignment horizontal="center" vertical="center"/>
      <protection locked="0"/>
    </xf>
    <xf numFmtId="0" fontId="2" fillId="0" borderId="4" xfId="0" applyFont="1" applyBorder="1" applyAlignment="1" applyProtection="1">
      <alignment horizontal="left"/>
      <protection locked="0"/>
    </xf>
    <xf numFmtId="0" fontId="2" fillId="12" borderId="0" xfId="0" applyFont="1" applyFill="1" applyAlignment="1" applyProtection="1">
      <alignment horizontal="center"/>
      <protection locked="0"/>
    </xf>
    <xf numFmtId="0" fontId="2" fillId="19" borderId="0" xfId="0" applyFont="1" applyFill="1" applyAlignment="1" applyProtection="1">
      <alignment horizontal="center" vertical="center"/>
      <protection locked="0"/>
    </xf>
    <xf numFmtId="0" fontId="2" fillId="0" borderId="16" xfId="0" applyFont="1" applyBorder="1" applyAlignment="1" applyProtection="1">
      <alignment horizontal="left"/>
      <protection locked="0"/>
    </xf>
    <xf numFmtId="0" fontId="2" fillId="0" borderId="2" xfId="0" applyFont="1" applyBorder="1" applyAlignment="1" applyProtection="1">
      <alignment horizontal="center"/>
      <protection locked="0"/>
    </xf>
    <xf numFmtId="168" fontId="2" fillId="0" borderId="0" xfId="0" applyNumberFormat="1" applyFont="1" applyAlignment="1" applyProtection="1">
      <alignment horizontal="center"/>
      <protection locked="0"/>
    </xf>
    <xf numFmtId="165" fontId="3" fillId="0" borderId="0" xfId="0" applyNumberFormat="1" applyFont="1" applyAlignment="1" applyProtection="1">
      <alignment vertical="center"/>
      <protection locked="0"/>
    </xf>
    <xf numFmtId="165" fontId="2" fillId="14" borderId="0" xfId="0" applyNumberFormat="1" applyFont="1" applyFill="1" applyAlignment="1" applyProtection="1">
      <alignment horizontal="center"/>
      <protection locked="0"/>
    </xf>
    <xf numFmtId="0" fontId="2" fillId="0" borderId="0" xfId="0" applyFont="1" applyAlignment="1" applyProtection="1">
      <alignment horizontal="left" vertical="center"/>
      <protection locked="0"/>
    </xf>
    <xf numFmtId="1" fontId="2" fillId="5" borderId="0" xfId="0" applyNumberFormat="1" applyFont="1" applyFill="1" applyAlignment="1" applyProtection="1">
      <alignment horizontal="center"/>
      <protection locked="0"/>
    </xf>
    <xf numFmtId="0" fontId="2" fillId="0" borderId="0" xfId="0" applyFont="1" applyAlignment="1" applyProtection="1">
      <alignment horizontal="right"/>
      <protection locked="0"/>
    </xf>
    <xf numFmtId="165" fontId="6" fillId="19" borderId="0" xfId="0" applyNumberFormat="1" applyFont="1" applyFill="1" applyAlignment="1" applyProtection="1">
      <alignment horizontal="center"/>
      <protection locked="0"/>
    </xf>
    <xf numFmtId="0" fontId="2" fillId="0" borderId="7" xfId="0" applyFont="1" applyBorder="1" applyAlignment="1" applyProtection="1">
      <alignment horizontal="right"/>
      <protection locked="0"/>
    </xf>
    <xf numFmtId="0" fontId="2" fillId="0" borderId="15" xfId="0" applyFont="1" applyBorder="1" applyAlignment="1" applyProtection="1">
      <alignment horizontal="right"/>
      <protection locked="0"/>
    </xf>
    <xf numFmtId="49" fontId="2" fillId="0" borderId="7" xfId="0" applyNumberFormat="1" applyFont="1" applyBorder="1" applyAlignment="1" applyProtection="1">
      <alignment horizontal="center"/>
      <protection locked="0"/>
    </xf>
    <xf numFmtId="49" fontId="2" fillId="0" borderId="15" xfId="0" applyNumberFormat="1" applyFont="1" applyBorder="1" applyAlignment="1" applyProtection="1">
      <alignment horizontal="center"/>
      <protection locked="0"/>
    </xf>
    <xf numFmtId="2" fontId="2" fillId="0" borderId="0" xfId="0" quotePrefix="1" applyNumberFormat="1" applyFont="1" applyAlignment="1" applyProtection="1">
      <alignment horizontal="center"/>
      <protection locked="0"/>
    </xf>
    <xf numFmtId="2" fontId="2" fillId="0" borderId="7" xfId="0" quotePrefix="1" applyNumberFormat="1" applyFont="1" applyBorder="1" applyAlignment="1" applyProtection="1">
      <alignment horizontal="center"/>
      <protection locked="0"/>
    </xf>
    <xf numFmtId="2" fontId="2" fillId="0" borderId="15" xfId="0" applyNumberFormat="1" applyFont="1" applyBorder="1" applyAlignment="1" applyProtection="1">
      <alignment horizontal="center"/>
      <protection locked="0"/>
    </xf>
    <xf numFmtId="1" fontId="2" fillId="2" borderId="0" xfId="0" applyNumberFormat="1" applyFont="1" applyFill="1" applyAlignment="1" applyProtection="1">
      <alignment horizontal="left"/>
      <protection locked="0"/>
    </xf>
    <xf numFmtId="164" fontId="2" fillId="0" borderId="19" xfId="0" applyNumberFormat="1" applyFont="1" applyBorder="1" applyAlignment="1" applyProtection="1">
      <alignment horizontal="center"/>
      <protection locked="0"/>
    </xf>
    <xf numFmtId="164" fontId="2" fillId="0" borderId="20" xfId="0" applyNumberFormat="1" applyFont="1" applyBorder="1" applyAlignment="1" applyProtection="1">
      <alignment horizontal="center"/>
      <protection locked="0"/>
    </xf>
    <xf numFmtId="164" fontId="2" fillId="0" borderId="14" xfId="0" applyNumberFormat="1" applyFont="1" applyBorder="1" applyAlignment="1" applyProtection="1">
      <alignment horizontal="center"/>
      <protection locked="0"/>
    </xf>
    <xf numFmtId="2" fontId="2" fillId="0" borderId="9" xfId="0" applyNumberFormat="1" applyFont="1" applyBorder="1" applyAlignment="1" applyProtection="1">
      <alignment horizontal="center"/>
      <protection locked="0"/>
    </xf>
    <xf numFmtId="164" fontId="2" fillId="0" borderId="7" xfId="0" applyNumberFormat="1" applyFont="1" applyBorder="1" applyAlignment="1" applyProtection="1">
      <alignment horizontal="center"/>
      <protection locked="0"/>
    </xf>
    <xf numFmtId="164" fontId="2" fillId="0" borderId="15" xfId="0" applyNumberFormat="1" applyFont="1" applyBorder="1" applyAlignment="1" applyProtection="1">
      <alignment horizontal="center"/>
      <protection locked="0"/>
    </xf>
    <xf numFmtId="2" fontId="2" fillId="0" borderId="11" xfId="0" applyNumberFormat="1" applyFont="1" applyBorder="1" applyAlignment="1" applyProtection="1">
      <alignment horizontal="center"/>
      <protection locked="0"/>
    </xf>
    <xf numFmtId="2" fontId="2" fillId="0" borderId="26" xfId="0" applyNumberFormat="1" applyFont="1" applyBorder="1" applyAlignment="1" applyProtection="1">
      <alignment horizontal="center"/>
      <protection locked="0"/>
    </xf>
    <xf numFmtId="2" fontId="2" fillId="0" borderId="29" xfId="0" applyNumberFormat="1" applyFont="1" applyBorder="1" applyAlignment="1" applyProtection="1">
      <alignment horizontal="center"/>
      <protection locked="0"/>
    </xf>
    <xf numFmtId="164" fontId="2" fillId="0" borderId="24" xfId="0" applyNumberFormat="1" applyFont="1" applyBorder="1" applyAlignment="1" applyProtection="1">
      <alignment horizontal="center"/>
      <protection locked="0"/>
    </xf>
    <xf numFmtId="164" fontId="2" fillId="0" borderId="1" xfId="0" applyNumberFormat="1" applyFont="1" applyBorder="1" applyAlignment="1" applyProtection="1">
      <alignment horizontal="center"/>
      <protection locked="0"/>
    </xf>
    <xf numFmtId="164" fontId="2" fillId="0" borderId="17" xfId="0" applyNumberFormat="1" applyFont="1" applyBorder="1" applyAlignment="1" applyProtection="1">
      <alignment horizontal="center"/>
      <protection locked="0"/>
    </xf>
    <xf numFmtId="164" fontId="2" fillId="5" borderId="0" xfId="0" applyNumberFormat="1" applyFont="1" applyFill="1" applyAlignment="1" applyProtection="1">
      <alignment horizontal="center"/>
      <protection locked="0"/>
    </xf>
    <xf numFmtId="2" fontId="2" fillId="0" borderId="8" xfId="0" applyNumberFormat="1" applyFont="1" applyBorder="1" applyAlignment="1" applyProtection="1">
      <alignment horizontal="center"/>
      <protection locked="0"/>
    </xf>
    <xf numFmtId="165" fontId="2" fillId="0" borderId="0" xfId="0" applyNumberFormat="1" applyFont="1" applyProtection="1">
      <protection locked="0"/>
    </xf>
    <xf numFmtId="2" fontId="2" fillId="0" borderId="0" xfId="0" applyNumberFormat="1" applyFont="1" applyAlignment="1">
      <alignment horizontal="center" vertical="center"/>
    </xf>
    <xf numFmtId="1" fontId="2" fillId="14" borderId="3" xfId="0" applyNumberFormat="1" applyFont="1" applyFill="1" applyBorder="1" applyAlignment="1" applyProtection="1">
      <alignment horizontal="center" vertical="center"/>
      <protection locked="0"/>
    </xf>
    <xf numFmtId="0" fontId="2" fillId="10" borderId="0" xfId="0" applyFont="1" applyFill="1" applyAlignment="1" applyProtection="1">
      <alignment horizontal="center"/>
      <protection locked="0"/>
    </xf>
    <xf numFmtId="164" fontId="2" fillId="0" borderId="26" xfId="0" applyNumberFormat="1" applyFont="1" applyBorder="1" applyAlignment="1" applyProtection="1">
      <alignment horizontal="center"/>
      <protection locked="0"/>
    </xf>
    <xf numFmtId="0" fontId="2" fillId="0" borderId="22" xfId="0" applyFont="1" applyBorder="1" applyProtection="1">
      <protection locked="0"/>
    </xf>
    <xf numFmtId="0" fontId="2" fillId="9" borderId="0" xfId="0" applyFont="1" applyFill="1" applyAlignment="1" applyProtection="1">
      <alignment horizontal="center"/>
      <protection locked="0"/>
    </xf>
    <xf numFmtId="0" fontId="2" fillId="0" borderId="27" xfId="0" applyFont="1" applyBorder="1" applyProtection="1">
      <protection locked="0"/>
    </xf>
    <xf numFmtId="164" fontId="2" fillId="0" borderId="27" xfId="0" applyNumberFormat="1" applyFont="1" applyBorder="1" applyProtection="1">
      <protection locked="0"/>
    </xf>
    <xf numFmtId="0" fontId="10" fillId="0" borderId="0" xfId="0" applyFont="1" applyAlignment="1" applyProtection="1">
      <alignment horizontal="center" vertical="center"/>
      <protection locked="0"/>
    </xf>
    <xf numFmtId="164" fontId="2" fillId="0" borderId="0" xfId="0" applyNumberFormat="1" applyFont="1" applyAlignment="1" applyProtection="1">
      <alignment horizontal="center" vertical="center"/>
      <protection locked="0"/>
    </xf>
    <xf numFmtId="168" fontId="2" fillId="0" borderId="0" xfId="0" applyNumberFormat="1" applyFont="1" applyProtection="1">
      <protection locked="0"/>
    </xf>
    <xf numFmtId="0" fontId="0" fillId="0" borderId="30" xfId="0" applyBorder="1"/>
    <xf numFmtId="0" fontId="0" fillId="0" borderId="31" xfId="0" applyBorder="1"/>
    <xf numFmtId="0" fontId="0" fillId="0" borderId="32" xfId="0" applyBorder="1"/>
    <xf numFmtId="0" fontId="0" fillId="0" borderId="2" xfId="0" applyBorder="1"/>
    <xf numFmtId="0" fontId="0" fillId="0" borderId="21" xfId="0" applyBorder="1"/>
    <xf numFmtId="0" fontId="0" fillId="0" borderId="22" xfId="0" applyBorder="1"/>
    <xf numFmtId="0" fontId="0" fillId="0" borderId="10" xfId="0" applyBorder="1"/>
    <xf numFmtId="0" fontId="0" fillId="0" borderId="23" xfId="0" applyBorder="1"/>
    <xf numFmtId="0" fontId="0" fillId="0" borderId="12" xfId="0" applyBorder="1"/>
    <xf numFmtId="0" fontId="0" fillId="0" borderId="25" xfId="0" applyBorder="1"/>
    <xf numFmtId="0" fontId="0" fillId="0" borderId="27" xfId="0" applyBorder="1"/>
    <xf numFmtId="0" fontId="0" fillId="0" borderId="18" xfId="0" applyBorder="1"/>
    <xf numFmtId="0" fontId="24" fillId="0" borderId="0" xfId="0" applyFont="1" applyAlignment="1">
      <alignment horizontal="center" vertical="center"/>
    </xf>
    <xf numFmtId="164" fontId="0" fillId="0" borderId="0" xfId="0" applyNumberFormat="1"/>
    <xf numFmtId="167" fontId="2" fillId="6" borderId="0" xfId="0" applyNumberFormat="1" applyFont="1" applyFill="1" applyAlignment="1" applyProtection="1">
      <alignment horizontal="center"/>
      <protection locked="0"/>
    </xf>
    <xf numFmtId="164" fontId="2" fillId="6" borderId="13" xfId="0" applyNumberFormat="1" applyFont="1" applyFill="1" applyBorder="1" applyAlignment="1" applyProtection="1">
      <alignment horizontal="center"/>
      <protection locked="0"/>
    </xf>
    <xf numFmtId="164" fontId="2" fillId="6" borderId="4" xfId="0" applyNumberFormat="1" applyFont="1" applyFill="1" applyBorder="1" applyAlignment="1" applyProtection="1">
      <alignment horizontal="center"/>
      <protection locked="0"/>
    </xf>
    <xf numFmtId="164" fontId="2" fillId="6" borderId="16" xfId="0" applyNumberFormat="1" applyFont="1" applyFill="1" applyBorder="1" applyAlignment="1" applyProtection="1">
      <alignment horizontal="center"/>
      <protection locked="0"/>
    </xf>
    <xf numFmtId="167" fontId="11" fillId="0" borderId="1" xfId="0" applyNumberFormat="1" applyFont="1" applyBorder="1" applyAlignment="1" applyProtection="1">
      <alignment horizontal="center"/>
      <protection locked="0"/>
    </xf>
    <xf numFmtId="167" fontId="11" fillId="0" borderId="20" xfId="0" applyNumberFormat="1" applyFont="1" applyBorder="1" applyAlignment="1" applyProtection="1">
      <alignment horizontal="center"/>
      <protection locked="0"/>
    </xf>
    <xf numFmtId="167" fontId="11" fillId="0" borderId="27" xfId="0" applyNumberFormat="1" applyFont="1" applyBorder="1" applyAlignment="1" applyProtection="1">
      <alignment horizontal="center"/>
      <protection locked="0"/>
    </xf>
    <xf numFmtId="164" fontId="2" fillId="0" borderId="8" xfId="0" applyNumberFormat="1" applyFont="1" applyBorder="1" applyAlignment="1" applyProtection="1">
      <alignment horizontal="center"/>
      <protection locked="0"/>
    </xf>
    <xf numFmtId="164" fontId="2" fillId="0" borderId="27" xfId="0" applyNumberFormat="1" applyFont="1" applyBorder="1" applyAlignment="1" applyProtection="1">
      <alignment horizontal="center"/>
      <protection locked="0"/>
    </xf>
    <xf numFmtId="2" fontId="2" fillId="0" borderId="1" xfId="0" applyNumberFormat="1" applyFont="1" applyBorder="1" applyAlignment="1" applyProtection="1">
      <alignment horizontal="center"/>
      <protection locked="0"/>
    </xf>
    <xf numFmtId="1" fontId="2" fillId="6" borderId="0" xfId="0" applyNumberFormat="1" applyFont="1" applyFill="1" applyAlignment="1" applyProtection="1">
      <alignment horizontal="center"/>
      <protection locked="0"/>
    </xf>
    <xf numFmtId="1" fontId="6" fillId="14" borderId="0" xfId="0" applyNumberFormat="1" applyFont="1" applyFill="1" applyAlignment="1" applyProtection="1">
      <alignment horizontal="center"/>
      <protection locked="0"/>
    </xf>
    <xf numFmtId="1" fontId="2" fillId="14" borderId="0" xfId="0" applyNumberFormat="1" applyFont="1" applyFill="1" applyAlignment="1" applyProtection="1">
      <alignment horizontal="center"/>
      <protection locked="0"/>
    </xf>
    <xf numFmtId="0" fontId="2" fillId="7" borderId="0" xfId="0" applyFont="1" applyFill="1" applyAlignment="1" applyProtection="1">
      <alignment horizontal="center"/>
      <protection locked="0"/>
    </xf>
    <xf numFmtId="0" fontId="2" fillId="16" borderId="0" xfId="0" applyFont="1" applyFill="1" applyAlignment="1" applyProtection="1">
      <alignment horizontal="center"/>
      <protection locked="0"/>
    </xf>
    <xf numFmtId="0" fontId="2" fillId="5" borderId="0" xfId="0" applyFont="1" applyFill="1" applyAlignment="1" applyProtection="1">
      <alignment horizontal="center"/>
      <protection locked="0"/>
    </xf>
    <xf numFmtId="0" fontId="2" fillId="18" borderId="0" xfId="0" applyFont="1" applyFill="1" applyAlignment="1" applyProtection="1">
      <alignment horizontal="center"/>
      <protection locked="0"/>
    </xf>
    <xf numFmtId="167" fontId="2" fillId="11" borderId="0" xfId="0" applyNumberFormat="1" applyFont="1" applyFill="1" applyAlignment="1" applyProtection="1">
      <alignment horizontal="center"/>
      <protection locked="0"/>
    </xf>
    <xf numFmtId="164" fontId="2" fillId="11" borderId="0" xfId="0" applyNumberFormat="1" applyFont="1" applyFill="1" applyAlignment="1" applyProtection="1">
      <alignment horizontal="center"/>
      <protection locked="0"/>
    </xf>
    <xf numFmtId="0" fontId="6" fillId="14" borderId="0" xfId="0" applyFont="1" applyFill="1" applyAlignment="1" applyProtection="1">
      <alignment horizontal="center"/>
      <protection locked="0"/>
    </xf>
    <xf numFmtId="164" fontId="2" fillId="6" borderId="0" xfId="0" applyNumberFormat="1" applyFont="1" applyFill="1" applyAlignment="1" applyProtection="1">
      <alignment horizontal="center"/>
      <protection locked="0"/>
    </xf>
    <xf numFmtId="0" fontId="0" fillId="0" borderId="0" xfId="0" applyAlignment="1">
      <alignment horizontal="center" vertical="center"/>
    </xf>
    <xf numFmtId="167" fontId="28" fillId="0" borderId="0" xfId="0" applyNumberFormat="1" applyFont="1" applyProtection="1">
      <protection locked="0"/>
    </xf>
    <xf numFmtId="0" fontId="28" fillId="0" borderId="0" xfId="0" applyFont="1" applyProtection="1">
      <protection locked="0"/>
    </xf>
    <xf numFmtId="2" fontId="28" fillId="0" borderId="0" xfId="0" applyNumberFormat="1" applyFont="1" applyProtection="1">
      <protection locked="0"/>
    </xf>
    <xf numFmtId="0" fontId="28" fillId="0" borderId="0" xfId="0" applyFont="1" applyAlignment="1" applyProtection="1">
      <alignment horizontal="center"/>
      <protection locked="0"/>
    </xf>
    <xf numFmtId="164" fontId="28" fillId="0" borderId="0" xfId="0" applyNumberFormat="1" applyFont="1" applyAlignment="1" applyProtection="1">
      <alignment horizontal="center"/>
      <protection locked="0"/>
    </xf>
    <xf numFmtId="165" fontId="28" fillId="0" borderId="0" xfId="0" applyNumberFormat="1" applyFont="1" applyProtection="1">
      <protection locked="0"/>
    </xf>
    <xf numFmtId="0" fontId="28" fillId="10" borderId="12" xfId="0" applyFont="1" applyFill="1" applyBorder="1" applyProtection="1">
      <protection hidden="1"/>
    </xf>
    <xf numFmtId="2" fontId="10" fillId="0" borderId="0" xfId="0" applyNumberFormat="1" applyFont="1" applyAlignment="1" applyProtection="1">
      <alignment horizontal="center"/>
      <protection locked="0"/>
    </xf>
    <xf numFmtId="164" fontId="10" fillId="0" borderId="0" xfId="0" applyNumberFormat="1" applyFont="1" applyProtection="1">
      <protection locked="0"/>
    </xf>
    <xf numFmtId="1" fontId="2" fillId="0" borderId="0" xfId="0" applyNumberFormat="1" applyFont="1" applyAlignment="1" applyProtection="1">
      <alignment vertical="center"/>
      <protection locked="0"/>
    </xf>
    <xf numFmtId="0" fontId="2" fillId="0" borderId="0" xfId="0" applyFont="1" applyAlignment="1" applyProtection="1">
      <alignment vertical="center"/>
      <protection locked="0"/>
    </xf>
    <xf numFmtId="164" fontId="6" fillId="0" borderId="0" xfId="0" applyNumberFormat="1" applyFont="1" applyAlignment="1" applyProtection="1">
      <alignment horizontal="center" vertical="center"/>
      <protection locked="0"/>
    </xf>
    <xf numFmtId="0" fontId="28" fillId="0" borderId="0" xfId="0" applyFont="1"/>
    <xf numFmtId="167" fontId="0" fillId="0" borderId="0" xfId="0" applyNumberFormat="1"/>
    <xf numFmtId="0" fontId="2" fillId="0" borderId="0" xfId="0" quotePrefix="1" applyFont="1" applyAlignment="1" applyProtection="1">
      <alignment horizontal="center" vertical="center"/>
      <protection locked="0"/>
    </xf>
    <xf numFmtId="0" fontId="2" fillId="0" borderId="14" xfId="0" applyFont="1" applyBorder="1" applyAlignment="1" applyProtection="1">
      <alignment vertical="center"/>
      <protection locked="0"/>
    </xf>
    <xf numFmtId="0" fontId="2" fillId="0" borderId="5" xfId="0" applyFont="1" applyBorder="1" applyAlignment="1" applyProtection="1">
      <alignment horizontal="center" vertical="center"/>
      <protection locked="0"/>
    </xf>
    <xf numFmtId="17" fontId="2" fillId="0" borderId="0" xfId="0" applyNumberFormat="1" applyFont="1" applyAlignment="1" applyProtection="1">
      <alignment horizontal="left"/>
      <protection locked="0"/>
    </xf>
    <xf numFmtId="0" fontId="0" fillId="0" borderId="0" xfId="0" applyAlignment="1">
      <alignment horizontal="right"/>
    </xf>
    <xf numFmtId="1" fontId="0" fillId="0" borderId="0" xfId="0" applyNumberFormat="1"/>
    <xf numFmtId="1" fontId="0" fillId="0" borderId="0" xfId="0" applyNumberFormat="1" applyAlignment="1">
      <alignment horizontal="center"/>
    </xf>
    <xf numFmtId="164" fontId="0" fillId="0" borderId="28" xfId="0" applyNumberFormat="1" applyBorder="1" applyAlignment="1">
      <alignment horizontal="center"/>
    </xf>
    <xf numFmtId="167" fontId="0" fillId="0" borderId="0" xfId="0" applyNumberFormat="1" applyAlignment="1">
      <alignment horizontal="center"/>
    </xf>
    <xf numFmtId="0" fontId="0" fillId="0" borderId="0" xfId="0" applyAlignment="1">
      <alignment horizontal="left"/>
    </xf>
    <xf numFmtId="0" fontId="0" fillId="0" borderId="28" xfId="0" applyBorder="1"/>
    <xf numFmtId="9" fontId="28" fillId="23" borderId="0" xfId="3" applyFont="1" applyFill="1" applyBorder="1" applyAlignment="1" applyProtection="1">
      <alignment horizontal="center"/>
      <protection hidden="1"/>
    </xf>
    <xf numFmtId="9" fontId="28" fillId="25" borderId="0" xfId="3" applyFont="1" applyFill="1" applyBorder="1" applyAlignment="1" applyProtection="1">
      <alignment horizontal="center"/>
      <protection hidden="1"/>
    </xf>
    <xf numFmtId="9" fontId="28" fillId="14" borderId="0" xfId="3" applyFont="1" applyFill="1" applyBorder="1" applyAlignment="1" applyProtection="1">
      <alignment horizontal="center"/>
      <protection hidden="1"/>
    </xf>
    <xf numFmtId="167" fontId="28" fillId="0" borderId="0" xfId="0" applyNumberFormat="1" applyFont="1" applyAlignment="1" applyProtection="1">
      <alignment horizontal="right"/>
      <protection locked="0"/>
    </xf>
    <xf numFmtId="0" fontId="28" fillId="0" borderId="0" xfId="0" applyFont="1" applyAlignment="1" applyProtection="1">
      <alignment horizontal="left"/>
      <protection locked="0"/>
    </xf>
    <xf numFmtId="167" fontId="28" fillId="0" borderId="0" xfId="0" applyNumberFormat="1" applyFont="1" applyAlignment="1" applyProtection="1">
      <alignment horizontal="left"/>
      <protection locked="0"/>
    </xf>
    <xf numFmtId="0" fontId="28" fillId="0" borderId="4" xfId="0" applyFont="1" applyBorder="1" applyAlignment="1" applyProtection="1">
      <alignment horizontal="center"/>
      <protection locked="0"/>
    </xf>
    <xf numFmtId="0" fontId="28" fillId="0" borderId="1" xfId="0" applyFont="1" applyBorder="1" applyProtection="1">
      <protection locked="0"/>
    </xf>
    <xf numFmtId="0" fontId="28" fillId="0" borderId="14" xfId="0" applyFont="1" applyBorder="1" applyProtection="1">
      <protection locked="0"/>
    </xf>
    <xf numFmtId="0" fontId="28" fillId="0" borderId="15" xfId="0" applyFont="1" applyBorder="1" applyProtection="1">
      <protection locked="0"/>
    </xf>
    <xf numFmtId="0" fontId="28" fillId="0" borderId="13" xfId="0" applyFont="1" applyBorder="1" applyAlignment="1" applyProtection="1">
      <alignment horizontal="center"/>
      <protection locked="0"/>
    </xf>
    <xf numFmtId="0" fontId="28" fillId="0" borderId="0" xfId="0" applyFont="1" applyAlignment="1" applyProtection="1">
      <alignment horizontal="right"/>
      <protection locked="0"/>
    </xf>
    <xf numFmtId="0" fontId="10" fillId="10" borderId="12" xfId="0" applyFont="1" applyFill="1" applyBorder="1" applyAlignment="1" applyProtection="1">
      <alignment vertical="center" wrapText="1"/>
      <protection hidden="1"/>
    </xf>
    <xf numFmtId="0" fontId="2" fillId="5" borderId="0" xfId="0" applyFont="1" applyFill="1"/>
    <xf numFmtId="0" fontId="28" fillId="10" borderId="0" xfId="0" applyFont="1" applyFill="1" applyProtection="1">
      <protection hidden="1"/>
    </xf>
    <xf numFmtId="0" fontId="10" fillId="10" borderId="0" xfId="0" applyFont="1" applyFill="1" applyAlignment="1" applyProtection="1">
      <alignment vertical="center" wrapText="1"/>
      <protection hidden="1"/>
    </xf>
    <xf numFmtId="0" fontId="39" fillId="10" borderId="0" xfId="0" applyFont="1" applyFill="1" applyProtection="1">
      <protection hidden="1"/>
    </xf>
    <xf numFmtId="0" fontId="41" fillId="10" borderId="0" xfId="0" quotePrefix="1" applyFont="1" applyFill="1" applyProtection="1">
      <protection hidden="1"/>
    </xf>
    <xf numFmtId="0" fontId="42" fillId="10" borderId="0" xfId="0" quotePrefix="1" applyFont="1" applyFill="1" applyAlignment="1" applyProtection="1">
      <alignment horizontal="center"/>
      <protection hidden="1"/>
    </xf>
    <xf numFmtId="0" fontId="38" fillId="10" borderId="0" xfId="0" applyFont="1" applyFill="1" applyAlignment="1" applyProtection="1">
      <alignment vertical="center"/>
      <protection hidden="1"/>
    </xf>
    <xf numFmtId="0" fontId="38" fillId="10" borderId="0" xfId="0" applyFont="1" applyFill="1" applyAlignment="1" applyProtection="1">
      <alignment vertical="center" wrapText="1"/>
      <protection hidden="1"/>
    </xf>
    <xf numFmtId="0" fontId="10" fillId="10" borderId="0" xfId="0" applyFont="1" applyFill="1" applyProtection="1">
      <protection hidden="1"/>
    </xf>
    <xf numFmtId="0" fontId="10" fillId="10" borderId="0" xfId="0" applyFont="1" applyFill="1" applyAlignment="1" applyProtection="1">
      <alignment vertical="center"/>
      <protection hidden="1"/>
    </xf>
    <xf numFmtId="0" fontId="29" fillId="10" borderId="0" xfId="0" applyFont="1" applyFill="1" applyAlignment="1" applyProtection="1">
      <alignment vertical="center"/>
      <protection hidden="1"/>
    </xf>
    <xf numFmtId="0" fontId="36" fillId="22" borderId="0" xfId="0" applyFont="1" applyFill="1" applyAlignment="1" applyProtection="1">
      <alignment horizontal="left" vertical="center"/>
      <protection hidden="1"/>
    </xf>
    <xf numFmtId="0" fontId="31" fillId="14" borderId="0" xfId="0" applyFont="1" applyFill="1" applyAlignment="1" applyProtection="1">
      <alignment horizontal="center"/>
      <protection hidden="1"/>
    </xf>
    <xf numFmtId="2" fontId="34" fillId="14" borderId="0" xfId="0" applyNumberFormat="1" applyFont="1" applyFill="1" applyAlignment="1" applyProtection="1">
      <alignment horizontal="center" vertical="center"/>
      <protection hidden="1"/>
    </xf>
    <xf numFmtId="0" fontId="27" fillId="27" borderId="0" xfId="0" applyFont="1" applyFill="1" applyAlignment="1" applyProtection="1">
      <alignment vertical="center" wrapText="1"/>
      <protection hidden="1"/>
    </xf>
    <xf numFmtId="0" fontId="31" fillId="10" borderId="0" xfId="0" applyFont="1" applyFill="1" applyAlignment="1" applyProtection="1">
      <alignment vertical="center" wrapText="1"/>
      <protection hidden="1"/>
    </xf>
    <xf numFmtId="1" fontId="40" fillId="22" borderId="0" xfId="0" applyNumberFormat="1" applyFont="1" applyFill="1" applyAlignment="1" applyProtection="1">
      <alignment horizontal="center" vertical="center"/>
      <protection hidden="1"/>
    </xf>
    <xf numFmtId="0" fontId="36" fillId="22" borderId="0" xfId="0" applyFont="1" applyFill="1" applyAlignment="1" applyProtection="1">
      <alignment horizontal="center" vertical="center"/>
      <protection hidden="1"/>
    </xf>
    <xf numFmtId="0" fontId="31" fillId="14" borderId="0" xfId="0" applyFont="1" applyFill="1" applyAlignment="1" applyProtection="1">
      <alignment horizontal="center" vertical="top"/>
      <protection hidden="1"/>
    </xf>
    <xf numFmtId="0" fontId="27" fillId="27" borderId="0" xfId="0" applyFont="1" applyFill="1" applyAlignment="1" applyProtection="1">
      <alignment horizontal="left" vertical="center"/>
      <protection hidden="1"/>
    </xf>
    <xf numFmtId="0" fontId="31" fillId="10" borderId="0" xfId="0" applyFont="1" applyFill="1" applyAlignment="1" applyProtection="1">
      <alignment horizontal="left"/>
      <protection hidden="1"/>
    </xf>
    <xf numFmtId="0" fontId="31" fillId="10" borderId="0" xfId="0" applyFont="1" applyFill="1" applyAlignment="1" applyProtection="1">
      <alignment horizontal="left" vertical="top"/>
      <protection hidden="1"/>
    </xf>
    <xf numFmtId="0" fontId="28" fillId="23" borderId="0" xfId="0" applyFont="1" applyFill="1" applyProtection="1">
      <protection hidden="1"/>
    </xf>
    <xf numFmtId="0" fontId="28" fillId="23" borderId="0" xfId="0" applyFont="1" applyFill="1" applyAlignment="1" applyProtection="1">
      <alignment horizontal="right"/>
      <protection hidden="1"/>
    </xf>
    <xf numFmtId="0" fontId="36" fillId="23" borderId="0" xfId="0" applyFont="1" applyFill="1" applyAlignment="1" applyProtection="1">
      <alignment vertical="top" wrapText="1"/>
      <protection hidden="1"/>
    </xf>
    <xf numFmtId="2" fontId="34" fillId="23" borderId="0" xfId="0" applyNumberFormat="1" applyFont="1" applyFill="1" applyAlignment="1" applyProtection="1">
      <alignment horizontal="center" vertical="center"/>
      <protection hidden="1"/>
    </xf>
    <xf numFmtId="0" fontId="28" fillId="23" borderId="0" xfId="0" applyFont="1" applyFill="1" applyAlignment="1" applyProtection="1">
      <alignment vertical="center"/>
      <protection hidden="1"/>
    </xf>
    <xf numFmtId="0" fontId="28" fillId="23" borderId="0" xfId="0" applyFont="1" applyFill="1" applyAlignment="1" applyProtection="1">
      <alignment horizontal="left"/>
      <protection hidden="1"/>
    </xf>
    <xf numFmtId="0" fontId="28" fillId="23" borderId="0" xfId="0" applyFont="1" applyFill="1" applyAlignment="1" applyProtection="1">
      <alignment horizontal="right" vertical="center"/>
      <protection hidden="1"/>
    </xf>
    <xf numFmtId="2" fontId="28" fillId="23" borderId="0" xfId="0" applyNumberFormat="1" applyFont="1" applyFill="1" applyAlignment="1" applyProtection="1">
      <alignment horizontal="center" vertical="center"/>
      <protection hidden="1"/>
    </xf>
    <xf numFmtId="0" fontId="28" fillId="24" borderId="0" xfId="0" applyFont="1" applyFill="1" applyProtection="1">
      <protection hidden="1"/>
    </xf>
    <xf numFmtId="0" fontId="28" fillId="25" borderId="0" xfId="0" applyFont="1" applyFill="1" applyProtection="1">
      <protection hidden="1"/>
    </xf>
    <xf numFmtId="0" fontId="28" fillId="25" borderId="0" xfId="0" applyFont="1" applyFill="1" applyAlignment="1" applyProtection="1">
      <alignment horizontal="right"/>
      <protection hidden="1"/>
    </xf>
    <xf numFmtId="0" fontId="36" fillId="25" borderId="0" xfId="0" applyFont="1" applyFill="1" applyAlignment="1" applyProtection="1">
      <alignment vertical="top"/>
      <protection hidden="1"/>
    </xf>
    <xf numFmtId="0" fontId="36" fillId="25" borderId="0" xfId="0" applyFont="1" applyFill="1" applyAlignment="1" applyProtection="1">
      <alignment vertical="top" wrapText="1"/>
      <protection hidden="1"/>
    </xf>
    <xf numFmtId="2" fontId="34" fillId="25" borderId="0" xfId="0" applyNumberFormat="1" applyFont="1" applyFill="1" applyAlignment="1" applyProtection="1">
      <alignment horizontal="center" vertical="center"/>
      <protection hidden="1"/>
    </xf>
    <xf numFmtId="0" fontId="28" fillId="25" borderId="0" xfId="0" applyFont="1" applyFill="1" applyAlignment="1" applyProtection="1">
      <alignment horizontal="left"/>
      <protection hidden="1"/>
    </xf>
    <xf numFmtId="1" fontId="28" fillId="25" borderId="0" xfId="0" applyNumberFormat="1" applyFont="1" applyFill="1" applyAlignment="1" applyProtection="1">
      <alignment horizontal="center"/>
      <protection hidden="1"/>
    </xf>
    <xf numFmtId="0" fontId="28" fillId="25" borderId="0" xfId="0" applyFont="1" applyFill="1" applyAlignment="1" applyProtection="1">
      <alignment horizontal="right" vertical="center"/>
      <protection hidden="1"/>
    </xf>
    <xf numFmtId="2" fontId="28" fillId="25" borderId="0" xfId="0" applyNumberFormat="1" applyFont="1" applyFill="1" applyAlignment="1" applyProtection="1">
      <alignment horizontal="center" vertical="center"/>
      <protection hidden="1"/>
    </xf>
    <xf numFmtId="0" fontId="28" fillId="25" borderId="0" xfId="0" applyFont="1" applyFill="1" applyAlignment="1" applyProtection="1">
      <alignment vertical="top"/>
      <protection hidden="1"/>
    </xf>
    <xf numFmtId="0" fontId="28" fillId="26" borderId="0" xfId="0" applyFont="1" applyFill="1" applyProtection="1">
      <protection hidden="1"/>
    </xf>
    <xf numFmtId="0" fontId="28" fillId="26" borderId="0" xfId="0" applyFont="1" applyFill="1" applyAlignment="1" applyProtection="1">
      <alignment horizontal="right"/>
      <protection hidden="1"/>
    </xf>
    <xf numFmtId="0" fontId="28" fillId="14" borderId="0" xfId="0" applyFont="1" applyFill="1" applyProtection="1">
      <protection hidden="1"/>
    </xf>
    <xf numFmtId="0" fontId="28" fillId="14" borderId="0" xfId="0" applyFont="1" applyFill="1" applyAlignment="1" applyProtection="1">
      <alignment horizontal="right"/>
      <protection hidden="1"/>
    </xf>
    <xf numFmtId="0" fontId="36" fillId="14" borderId="0" xfId="0" applyFont="1" applyFill="1" applyAlignment="1" applyProtection="1">
      <alignment vertical="top"/>
      <protection hidden="1"/>
    </xf>
    <xf numFmtId="0" fontId="36" fillId="14" borderId="0" xfId="0" applyFont="1" applyFill="1" applyAlignment="1" applyProtection="1">
      <alignment vertical="top" wrapText="1"/>
      <protection hidden="1"/>
    </xf>
    <xf numFmtId="0" fontId="28" fillId="14" borderId="0" xfId="0" applyFont="1" applyFill="1" applyAlignment="1" applyProtection="1">
      <alignment horizontal="right" vertical="center"/>
      <protection hidden="1"/>
    </xf>
    <xf numFmtId="2" fontId="28" fillId="14" borderId="0" xfId="0" applyNumberFormat="1" applyFont="1" applyFill="1" applyAlignment="1" applyProtection="1">
      <alignment horizontal="center" vertical="center"/>
      <protection hidden="1"/>
    </xf>
    <xf numFmtId="0" fontId="34" fillId="10" borderId="0" xfId="0" quotePrefix="1" applyFont="1" applyFill="1" applyProtection="1">
      <protection hidden="1"/>
    </xf>
    <xf numFmtId="0" fontId="32" fillId="10" borderId="0" xfId="0" quotePrefix="1" applyFont="1" applyFill="1" applyAlignment="1" applyProtection="1">
      <alignment horizontal="center"/>
      <protection hidden="1"/>
    </xf>
    <xf numFmtId="0" fontId="28" fillId="23" borderId="0" xfId="0" applyFont="1" applyFill="1" applyAlignment="1" applyProtection="1">
      <alignment horizontal="left" vertical="top"/>
      <protection hidden="1"/>
    </xf>
    <xf numFmtId="0" fontId="28" fillId="25" borderId="0" xfId="0" applyFont="1" applyFill="1" applyAlignment="1" applyProtection="1">
      <alignment horizontal="left" vertical="top"/>
      <protection hidden="1"/>
    </xf>
    <xf numFmtId="0" fontId="28" fillId="14" borderId="0" xfId="0" applyFont="1" applyFill="1" applyAlignment="1" applyProtection="1">
      <alignment horizontal="left" vertical="top"/>
      <protection hidden="1"/>
    </xf>
    <xf numFmtId="0" fontId="28" fillId="14" borderId="0" xfId="0" applyFont="1" applyFill="1" applyAlignment="1" applyProtection="1">
      <alignment horizontal="left"/>
      <protection hidden="1"/>
    </xf>
    <xf numFmtId="0" fontId="36" fillId="23" borderId="0" xfId="0" applyFont="1" applyFill="1" applyAlignment="1" applyProtection="1">
      <alignment vertical="center"/>
      <protection hidden="1"/>
    </xf>
    <xf numFmtId="0" fontId="45" fillId="10" borderId="0" xfId="0" applyFont="1" applyFill="1" applyAlignment="1" applyProtection="1">
      <alignment horizontal="left" vertical="top"/>
      <protection hidden="1"/>
    </xf>
    <xf numFmtId="0" fontId="46" fillId="10" borderId="0" xfId="0" applyFont="1" applyFill="1" applyAlignment="1" applyProtection="1">
      <alignment horizontal="center" vertical="center" wrapText="1"/>
      <protection hidden="1"/>
    </xf>
    <xf numFmtId="1" fontId="28" fillId="6" borderId="3" xfId="0" applyNumberFormat="1" applyFont="1" applyFill="1" applyBorder="1" applyAlignment="1" applyProtection="1">
      <alignment horizontal="center" vertical="center"/>
      <protection locked="0" hidden="1"/>
    </xf>
    <xf numFmtId="2" fontId="28" fillId="14" borderId="3" xfId="0" applyNumberFormat="1" applyFont="1" applyFill="1" applyBorder="1" applyAlignment="1" applyProtection="1">
      <alignment horizontal="center" vertical="center"/>
      <protection locked="0" hidden="1"/>
    </xf>
    <xf numFmtId="0" fontId="28" fillId="5" borderId="0" xfId="0" applyFont="1" applyFill="1" applyProtection="1">
      <protection hidden="1"/>
    </xf>
    <xf numFmtId="0" fontId="28" fillId="10" borderId="27" xfId="0" applyFont="1" applyFill="1" applyBorder="1" applyProtection="1">
      <protection hidden="1"/>
    </xf>
    <xf numFmtId="0" fontId="28" fillId="11" borderId="0" xfId="0" applyFont="1" applyFill="1" applyProtection="1">
      <protection hidden="1"/>
    </xf>
    <xf numFmtId="0" fontId="36" fillId="25" borderId="0" xfId="0" applyFont="1" applyFill="1" applyAlignment="1" applyProtection="1">
      <alignment vertical="center"/>
      <protection hidden="1"/>
    </xf>
    <xf numFmtId="0" fontId="28" fillId="25" borderId="0" xfId="0" applyFont="1" applyFill="1" applyAlignment="1" applyProtection="1">
      <alignment vertical="center"/>
      <protection hidden="1"/>
    </xf>
    <xf numFmtId="0" fontId="36" fillId="14" borderId="0" xfId="0" applyFont="1" applyFill="1" applyAlignment="1" applyProtection="1">
      <alignment vertical="center"/>
      <protection hidden="1"/>
    </xf>
    <xf numFmtId="0" fontId="28" fillId="14" borderId="0" xfId="0" applyFont="1" applyFill="1" applyAlignment="1" applyProtection="1">
      <alignment vertical="center"/>
      <protection hidden="1"/>
    </xf>
    <xf numFmtId="167" fontId="10" fillId="10" borderId="0" xfId="0" applyNumberFormat="1" applyFont="1" applyFill="1" applyAlignment="1" applyProtection="1">
      <alignment vertical="center"/>
      <protection hidden="1"/>
    </xf>
    <xf numFmtId="0" fontId="44" fillId="10" borderId="0" xfId="0" applyFont="1" applyFill="1" applyAlignment="1" applyProtection="1">
      <alignment vertical="center"/>
      <protection hidden="1"/>
    </xf>
    <xf numFmtId="0" fontId="22" fillId="10" borderId="0" xfId="0" applyFont="1" applyFill="1" applyAlignment="1" applyProtection="1">
      <alignment vertical="center"/>
      <protection hidden="1"/>
    </xf>
    <xf numFmtId="165" fontId="2" fillId="19" borderId="0" xfId="0" applyNumberFormat="1" applyFont="1" applyFill="1" applyAlignment="1" applyProtection="1">
      <alignment horizontal="center"/>
      <protection locked="0"/>
    </xf>
    <xf numFmtId="0" fontId="0" fillId="0" borderId="0" xfId="0" applyProtection="1">
      <protection locked="0"/>
    </xf>
    <xf numFmtId="164" fontId="0" fillId="0" borderId="0" xfId="0" applyNumberFormat="1" applyProtection="1">
      <protection locked="0"/>
    </xf>
    <xf numFmtId="165" fontId="0" fillId="0" borderId="0" xfId="0" applyNumberFormat="1" applyProtection="1">
      <protection locked="0"/>
    </xf>
    <xf numFmtId="0" fontId="0" fillId="0" borderId="0" xfId="0" applyAlignment="1" applyProtection="1">
      <alignment horizontal="center"/>
      <protection locked="0"/>
    </xf>
    <xf numFmtId="0" fontId="2" fillId="8" borderId="0" xfId="0" applyFont="1" applyFill="1"/>
    <xf numFmtId="0" fontId="2" fillId="8" borderId="0" xfId="0" applyFont="1" applyFill="1" applyAlignment="1" applyProtection="1">
      <alignment horizontal="center"/>
      <protection locked="0"/>
    </xf>
    <xf numFmtId="168" fontId="2" fillId="8" borderId="0" xfId="0" applyNumberFormat="1" applyFont="1" applyFill="1" applyAlignment="1" applyProtection="1">
      <alignment horizontal="center"/>
      <protection locked="0"/>
    </xf>
    <xf numFmtId="164" fontId="2" fillId="8" borderId="0" xfId="0" applyNumberFormat="1" applyFont="1" applyFill="1" applyAlignment="1" applyProtection="1">
      <alignment horizontal="center"/>
      <protection locked="0"/>
    </xf>
    <xf numFmtId="0" fontId="10" fillId="8" borderId="0" xfId="0" applyFont="1" applyFill="1" applyAlignment="1" applyProtection="1">
      <alignment vertical="center"/>
      <protection locked="0"/>
    </xf>
    <xf numFmtId="2" fontId="2" fillId="8" borderId="0" xfId="0" applyNumberFormat="1" applyFont="1" applyFill="1" applyAlignment="1" applyProtection="1">
      <alignment horizontal="center"/>
      <protection locked="0"/>
    </xf>
    <xf numFmtId="2" fontId="2" fillId="0" borderId="0" xfId="0" applyNumberFormat="1" applyFont="1"/>
    <xf numFmtId="1" fontId="2" fillId="5" borderId="0" xfId="0" applyNumberFormat="1" applyFont="1" applyFill="1"/>
    <xf numFmtId="1" fontId="2" fillId="5" borderId="0" xfId="0" applyNumberFormat="1" applyFont="1" applyFill="1" applyProtection="1">
      <protection locked="0"/>
    </xf>
    <xf numFmtId="165" fontId="2" fillId="12" borderId="0" xfId="0" applyNumberFormat="1" applyFont="1" applyFill="1" applyAlignment="1" applyProtection="1">
      <alignment horizontal="center"/>
      <protection locked="0"/>
    </xf>
    <xf numFmtId="165" fontId="2" fillId="0" borderId="0" xfId="0" applyNumberFormat="1" applyFont="1"/>
    <xf numFmtId="165" fontId="2" fillId="8" borderId="0" xfId="0" applyNumberFormat="1" applyFont="1" applyFill="1" applyAlignment="1" applyProtection="1">
      <alignment horizontal="center"/>
      <protection locked="0"/>
    </xf>
    <xf numFmtId="2" fontId="10" fillId="8" borderId="0" xfId="0" applyNumberFormat="1" applyFont="1" applyFill="1" applyAlignment="1" applyProtection="1">
      <alignment horizontal="center" vertical="center"/>
      <protection locked="0"/>
    </xf>
    <xf numFmtId="164" fontId="2" fillId="0" borderId="21" xfId="0" applyNumberFormat="1" applyFont="1" applyBorder="1" applyAlignment="1" applyProtection="1">
      <alignment horizontal="center" vertical="center"/>
      <protection locked="0"/>
    </xf>
    <xf numFmtId="164" fontId="2" fillId="0" borderId="22" xfId="0" applyNumberFormat="1" applyFont="1" applyBorder="1" applyAlignment="1" applyProtection="1">
      <alignment horizontal="center" vertical="center"/>
      <protection locked="0"/>
    </xf>
    <xf numFmtId="164" fontId="2" fillId="11" borderId="0" xfId="0" applyNumberFormat="1" applyFont="1" applyFill="1" applyAlignment="1" applyProtection="1">
      <alignment horizontal="center" vertical="center"/>
      <protection locked="0"/>
    </xf>
    <xf numFmtId="164" fontId="2" fillId="30" borderId="0" xfId="0" applyNumberFormat="1" applyFont="1" applyFill="1" applyAlignment="1" applyProtection="1">
      <alignment horizontal="center"/>
      <protection locked="0"/>
    </xf>
    <xf numFmtId="164" fontId="2" fillId="0" borderId="23" xfId="0" applyNumberFormat="1" applyFont="1" applyBorder="1" applyAlignment="1" applyProtection="1">
      <alignment horizontal="center" vertical="center"/>
      <protection locked="0"/>
    </xf>
    <xf numFmtId="164" fontId="2" fillId="3" borderId="22" xfId="0" applyNumberFormat="1" applyFont="1" applyFill="1" applyBorder="1" applyAlignment="1" applyProtection="1">
      <alignment horizontal="center" vertical="center"/>
      <protection locked="0"/>
    </xf>
    <xf numFmtId="0" fontId="2" fillId="29" borderId="0" xfId="0" applyFont="1" applyFill="1" applyProtection="1">
      <protection locked="0"/>
    </xf>
    <xf numFmtId="0" fontId="2" fillId="29" borderId="0" xfId="0" applyFont="1" applyFill="1" applyAlignment="1" applyProtection="1">
      <alignment vertical="center"/>
      <protection locked="0"/>
    </xf>
    <xf numFmtId="0" fontId="2" fillId="29" borderId="0" xfId="0" applyFont="1" applyFill="1" applyAlignment="1" applyProtection="1">
      <alignment horizontal="center" vertical="center"/>
      <protection locked="0"/>
    </xf>
    <xf numFmtId="0" fontId="2" fillId="31" borderId="0" xfId="0" applyFont="1" applyFill="1" applyAlignment="1" applyProtection="1">
      <alignment horizontal="left"/>
      <protection locked="0"/>
    </xf>
    <xf numFmtId="2" fontId="2" fillId="0" borderId="0" xfId="0" applyNumberFormat="1" applyFont="1" applyProtection="1">
      <protection locked="0"/>
    </xf>
    <xf numFmtId="0" fontId="2" fillId="8" borderId="0" xfId="0" applyFont="1" applyFill="1" applyAlignment="1" applyProtection="1">
      <alignment horizontal="center" vertical="center"/>
      <protection locked="0"/>
    </xf>
    <xf numFmtId="0" fontId="2" fillId="8" borderId="0" xfId="0" quotePrefix="1" applyFont="1" applyFill="1" applyAlignment="1" applyProtection="1">
      <alignment horizontal="center" vertical="center"/>
      <protection locked="0"/>
    </xf>
    <xf numFmtId="0" fontId="2" fillId="0" borderId="3" xfId="0" applyFont="1" applyBorder="1" applyAlignment="1" applyProtection="1">
      <alignment horizontal="center" vertical="center"/>
      <protection locked="0"/>
    </xf>
    <xf numFmtId="0" fontId="48" fillId="0" borderId="0" xfId="0" applyFont="1" applyProtection="1">
      <protection locked="0"/>
    </xf>
    <xf numFmtId="164" fontId="48" fillId="0" borderId="0" xfId="0" applyNumberFormat="1" applyFont="1" applyProtection="1">
      <protection locked="0"/>
    </xf>
    <xf numFmtId="1" fontId="2" fillId="5" borderId="0" xfId="0" applyNumberFormat="1" applyFont="1" applyFill="1" applyAlignment="1" applyProtection="1">
      <alignment horizontal="right"/>
      <protection locked="0"/>
    </xf>
    <xf numFmtId="0" fontId="28" fillId="14" borderId="3" xfId="0" applyFont="1" applyFill="1" applyBorder="1" applyAlignment="1" applyProtection="1">
      <alignment horizontal="center"/>
      <protection locked="0"/>
    </xf>
    <xf numFmtId="0" fontId="28" fillId="2" borderId="1" xfId="0" applyFont="1" applyFill="1" applyBorder="1" applyProtection="1">
      <protection locked="0"/>
    </xf>
    <xf numFmtId="0" fontId="28" fillId="2" borderId="1" xfId="0" applyFont="1" applyFill="1" applyBorder="1" applyAlignment="1" applyProtection="1">
      <alignment horizontal="left"/>
      <protection locked="0"/>
    </xf>
    <xf numFmtId="0" fontId="28" fillId="5" borderId="1" xfId="0" applyFont="1" applyFill="1" applyBorder="1" applyProtection="1">
      <protection locked="0"/>
    </xf>
    <xf numFmtId="1" fontId="28" fillId="5" borderId="1" xfId="0" applyNumberFormat="1" applyFont="1" applyFill="1" applyBorder="1" applyProtection="1">
      <protection locked="0"/>
    </xf>
    <xf numFmtId="1" fontId="28" fillId="5" borderId="0" xfId="0" applyNumberFormat="1" applyFont="1" applyFill="1" applyProtection="1">
      <protection locked="0"/>
    </xf>
    <xf numFmtId="0" fontId="28" fillId="2" borderId="0" xfId="0" applyFont="1" applyFill="1" applyProtection="1">
      <protection locked="0"/>
    </xf>
    <xf numFmtId="0" fontId="28" fillId="5" borderId="0" xfId="0" applyFont="1" applyFill="1" applyProtection="1">
      <protection locked="0"/>
    </xf>
    <xf numFmtId="1" fontId="2" fillId="15" borderId="0" xfId="0" applyNumberFormat="1" applyFont="1" applyFill="1" applyAlignment="1" applyProtection="1">
      <alignment horizontal="center"/>
      <protection locked="0"/>
    </xf>
    <xf numFmtId="2" fontId="28" fillId="0" borderId="0" xfId="0" applyNumberFormat="1" applyFont="1"/>
    <xf numFmtId="165" fontId="28" fillId="0" borderId="0" xfId="0" applyNumberFormat="1" applyFont="1"/>
    <xf numFmtId="167" fontId="49" fillId="11" borderId="0" xfId="0" applyNumberFormat="1" applyFont="1" applyFill="1" applyProtection="1">
      <protection hidden="1"/>
    </xf>
    <xf numFmtId="0" fontId="49" fillId="11" borderId="0" xfId="0" applyFont="1" applyFill="1" applyProtection="1">
      <protection hidden="1"/>
    </xf>
    <xf numFmtId="2" fontId="49" fillId="11" borderId="0" xfId="0" applyNumberFormat="1" applyFont="1" applyFill="1" applyProtection="1">
      <protection hidden="1"/>
    </xf>
    <xf numFmtId="167" fontId="49" fillId="11" borderId="0" xfId="0" applyNumberFormat="1" applyFont="1" applyFill="1" applyAlignment="1" applyProtection="1">
      <alignment horizontal="right"/>
      <protection hidden="1"/>
    </xf>
    <xf numFmtId="9" fontId="49" fillId="11" borderId="0" xfId="3" applyFont="1" applyFill="1" applyBorder="1" applyProtection="1">
      <protection hidden="1"/>
    </xf>
    <xf numFmtId="1" fontId="49" fillId="11" borderId="0" xfId="0" applyNumberFormat="1" applyFont="1" applyFill="1" applyProtection="1">
      <protection hidden="1"/>
    </xf>
    <xf numFmtId="2" fontId="49" fillId="11" borderId="0" xfId="3" applyNumberFormat="1" applyFont="1" applyFill="1" applyBorder="1" applyProtection="1">
      <protection hidden="1"/>
    </xf>
    <xf numFmtId="167" fontId="49" fillId="11" borderId="0" xfId="3" applyNumberFormat="1" applyFont="1" applyFill="1" applyBorder="1" applyProtection="1">
      <protection hidden="1"/>
    </xf>
    <xf numFmtId="164" fontId="49" fillId="11" borderId="0" xfId="3" applyNumberFormat="1" applyFont="1" applyFill="1" applyBorder="1" applyProtection="1">
      <protection hidden="1"/>
    </xf>
    <xf numFmtId="164" fontId="49" fillId="11" borderId="0" xfId="0" applyNumberFormat="1" applyFont="1" applyFill="1" applyProtection="1">
      <protection hidden="1"/>
    </xf>
    <xf numFmtId="1" fontId="49" fillId="11" borderId="0" xfId="3" applyNumberFormat="1" applyFont="1" applyFill="1" applyBorder="1" applyProtection="1">
      <protection hidden="1"/>
    </xf>
    <xf numFmtId="0" fontId="2" fillId="0" borderId="0" xfId="0" applyFont="1" applyAlignment="1">
      <alignment vertical="center"/>
    </xf>
    <xf numFmtId="0" fontId="2" fillId="15" borderId="0" xfId="0" applyFont="1" applyFill="1" applyAlignment="1" applyProtection="1">
      <alignment horizontal="center"/>
      <protection locked="0"/>
    </xf>
    <xf numFmtId="164" fontId="6" fillId="15" borderId="0" xfId="0" applyNumberFormat="1" applyFont="1" applyFill="1" applyAlignment="1" applyProtection="1">
      <alignment horizontal="center" vertical="center"/>
      <protection locked="0"/>
    </xf>
    <xf numFmtId="165" fontId="2" fillId="15" borderId="0" xfId="0" applyNumberFormat="1" applyFont="1" applyFill="1" applyAlignment="1" applyProtection="1">
      <alignment horizontal="center"/>
      <protection locked="0"/>
    </xf>
    <xf numFmtId="164" fontId="6" fillId="7" borderId="0" xfId="0" applyNumberFormat="1" applyFont="1" applyFill="1" applyAlignment="1" applyProtection="1">
      <alignment horizontal="center" vertical="center"/>
      <protection locked="0"/>
    </xf>
    <xf numFmtId="165" fontId="2" fillId="7" borderId="0" xfId="0" applyNumberFormat="1" applyFont="1" applyFill="1" applyAlignment="1" applyProtection="1">
      <alignment horizontal="center"/>
      <protection locked="0"/>
    </xf>
    <xf numFmtId="165" fontId="2" fillId="0" borderId="0" xfId="0" applyNumberFormat="1" applyFont="1" applyAlignment="1" applyProtection="1">
      <alignment horizontal="left"/>
      <protection locked="0"/>
    </xf>
    <xf numFmtId="0" fontId="2" fillId="14" borderId="0" xfId="0" applyFont="1" applyFill="1" applyAlignment="1" applyProtection="1">
      <alignment horizontal="center"/>
      <protection locked="0"/>
    </xf>
    <xf numFmtId="167" fontId="10" fillId="14" borderId="3" xfId="0" applyNumberFormat="1" applyFont="1" applyFill="1" applyBorder="1" applyAlignment="1" applyProtection="1">
      <alignment horizontal="center" vertical="center"/>
      <protection hidden="1"/>
    </xf>
    <xf numFmtId="0" fontId="2" fillId="5" borderId="0" xfId="0" applyFont="1" applyFill="1" applyProtection="1">
      <protection hidden="1"/>
    </xf>
    <xf numFmtId="0" fontId="44" fillId="10" borderId="0" xfId="0" applyFont="1" applyFill="1" applyProtection="1">
      <protection hidden="1"/>
    </xf>
    <xf numFmtId="0" fontId="28" fillId="8" borderId="3" xfId="0" applyFont="1" applyFill="1" applyBorder="1" applyAlignment="1" applyProtection="1">
      <alignment horizontal="center"/>
      <protection hidden="1"/>
    </xf>
    <xf numFmtId="1" fontId="2" fillId="8" borderId="3" xfId="0" applyNumberFormat="1" applyFont="1" applyFill="1" applyBorder="1" applyAlignment="1" applyProtection="1">
      <alignment horizontal="center"/>
      <protection hidden="1"/>
    </xf>
    <xf numFmtId="0" fontId="2" fillId="10" borderId="0" xfId="0" applyFont="1" applyFill="1" applyAlignment="1" applyProtection="1">
      <alignment horizontal="right"/>
      <protection hidden="1"/>
    </xf>
    <xf numFmtId="0" fontId="2" fillId="10" borderId="0" xfId="0" applyFont="1" applyFill="1" applyProtection="1">
      <protection hidden="1"/>
    </xf>
    <xf numFmtId="0" fontId="2" fillId="10" borderId="0" xfId="0" applyFont="1" applyFill="1" applyAlignment="1" applyProtection="1">
      <alignment vertical="center"/>
      <protection hidden="1"/>
    </xf>
    <xf numFmtId="164" fontId="2" fillId="8" borderId="3" xfId="0" applyNumberFormat="1" applyFont="1" applyFill="1" applyBorder="1" applyAlignment="1" applyProtection="1">
      <alignment horizontal="center"/>
      <protection hidden="1"/>
    </xf>
    <xf numFmtId="0" fontId="2" fillId="10" borderId="12" xfId="0" applyFont="1" applyFill="1" applyBorder="1" applyProtection="1">
      <protection hidden="1"/>
    </xf>
    <xf numFmtId="0" fontId="2" fillId="8" borderId="3" xfId="0" applyFont="1" applyFill="1" applyBorder="1" applyAlignment="1" applyProtection="1">
      <alignment horizontal="center"/>
      <protection hidden="1"/>
    </xf>
    <xf numFmtId="0" fontId="2" fillId="8" borderId="13" xfId="0" applyFont="1" applyFill="1" applyBorder="1" applyAlignment="1" applyProtection="1">
      <alignment horizontal="center"/>
      <protection hidden="1"/>
    </xf>
    <xf numFmtId="2" fontId="2" fillId="8" borderId="3" xfId="0" applyNumberFormat="1" applyFont="1" applyFill="1" applyBorder="1" applyAlignment="1" applyProtection="1">
      <alignment horizontal="center"/>
      <protection hidden="1"/>
    </xf>
    <xf numFmtId="165" fontId="2" fillId="8" borderId="3" xfId="0" applyNumberFormat="1" applyFont="1" applyFill="1" applyBorder="1" applyAlignment="1" applyProtection="1">
      <alignment horizontal="center"/>
      <protection hidden="1"/>
    </xf>
    <xf numFmtId="0" fontId="2" fillId="10" borderId="0" xfId="0" applyFont="1" applyFill="1" applyAlignment="1" applyProtection="1">
      <alignment vertical="top" wrapText="1"/>
      <protection hidden="1"/>
    </xf>
    <xf numFmtId="0" fontId="2" fillId="7" borderId="15" xfId="0" applyFont="1" applyFill="1" applyBorder="1" applyAlignment="1" applyProtection="1">
      <alignment horizontal="center" vertical="center"/>
      <protection hidden="1"/>
    </xf>
    <xf numFmtId="0" fontId="2" fillId="6" borderId="7" xfId="0" applyFont="1" applyFill="1" applyBorder="1" applyAlignment="1" applyProtection="1">
      <alignment horizontal="center"/>
      <protection hidden="1"/>
    </xf>
    <xf numFmtId="0" fontId="2" fillId="14" borderId="0" xfId="0" applyFont="1" applyFill="1" applyAlignment="1" applyProtection="1">
      <alignment horizontal="center"/>
      <protection hidden="1"/>
    </xf>
    <xf numFmtId="49" fontId="2" fillId="7" borderId="15" xfId="0" applyNumberFormat="1" applyFont="1" applyFill="1" applyBorder="1" applyAlignment="1" applyProtection="1">
      <alignment horizontal="center"/>
      <protection hidden="1"/>
    </xf>
    <xf numFmtId="0" fontId="2" fillId="7" borderId="0" xfId="0" applyFont="1" applyFill="1" applyAlignment="1" applyProtection="1">
      <alignment horizontal="center"/>
      <protection hidden="1"/>
    </xf>
    <xf numFmtId="0" fontId="2" fillId="7" borderId="15" xfId="0" applyFont="1" applyFill="1" applyBorder="1" applyAlignment="1" applyProtection="1">
      <alignment horizontal="center"/>
      <protection hidden="1"/>
    </xf>
    <xf numFmtId="1" fontId="2" fillId="6" borderId="7" xfId="0" applyNumberFormat="1" applyFont="1" applyFill="1" applyBorder="1" applyAlignment="1" applyProtection="1">
      <alignment horizontal="center"/>
      <protection hidden="1"/>
    </xf>
    <xf numFmtId="165" fontId="2" fillId="14" borderId="0" xfId="0" applyNumberFormat="1" applyFont="1" applyFill="1" applyAlignment="1" applyProtection="1">
      <alignment horizontal="center"/>
      <protection hidden="1"/>
    </xf>
    <xf numFmtId="165" fontId="2" fillId="5" borderId="0" xfId="0" applyNumberFormat="1" applyFont="1" applyFill="1" applyAlignment="1" applyProtection="1">
      <alignment horizontal="center"/>
      <protection hidden="1"/>
    </xf>
    <xf numFmtId="165" fontId="2" fillId="5" borderId="15" xfId="0" applyNumberFormat="1" applyFont="1" applyFill="1" applyBorder="1" applyAlignment="1" applyProtection="1">
      <alignment horizontal="center"/>
      <protection hidden="1"/>
    </xf>
    <xf numFmtId="1" fontId="2" fillId="6" borderId="24" xfId="0" applyNumberFormat="1" applyFont="1" applyFill="1" applyBorder="1" applyAlignment="1" applyProtection="1">
      <alignment horizontal="center"/>
      <protection hidden="1"/>
    </xf>
    <xf numFmtId="165" fontId="2" fillId="14" borderId="1" xfId="0" applyNumberFormat="1" applyFont="1" applyFill="1" applyBorder="1" applyAlignment="1" applyProtection="1">
      <alignment horizontal="center"/>
      <protection hidden="1"/>
    </xf>
    <xf numFmtId="0" fontId="2" fillId="10" borderId="27" xfId="0" applyFont="1" applyFill="1" applyBorder="1" applyProtection="1">
      <protection hidden="1"/>
    </xf>
    <xf numFmtId="0" fontId="2" fillId="10" borderId="18" xfId="0" applyFont="1" applyFill="1" applyBorder="1" applyProtection="1">
      <protection hidden="1"/>
    </xf>
    <xf numFmtId="0" fontId="2" fillId="4" borderId="0" xfId="0" applyFont="1" applyFill="1" applyProtection="1">
      <protection hidden="1"/>
    </xf>
    <xf numFmtId="0" fontId="28" fillId="4" borderId="0" xfId="0" applyFont="1" applyFill="1" applyProtection="1">
      <protection hidden="1"/>
    </xf>
    <xf numFmtId="0" fontId="2" fillId="11" borderId="0" xfId="0" applyFont="1" applyFill="1" applyProtection="1">
      <protection hidden="1"/>
    </xf>
    <xf numFmtId="0" fontId="2" fillId="0" borderId="0" xfId="0" applyFont="1" applyProtection="1">
      <protection hidden="1"/>
    </xf>
    <xf numFmtId="165" fontId="2" fillId="14" borderId="0" xfId="0" applyNumberFormat="1" applyFont="1" applyFill="1" applyAlignment="1" applyProtection="1">
      <alignment horizontal="center" vertical="center"/>
      <protection hidden="1"/>
    </xf>
    <xf numFmtId="0" fontId="22" fillId="10" borderId="0" xfId="0" applyFont="1" applyFill="1" applyProtection="1">
      <protection hidden="1"/>
    </xf>
    <xf numFmtId="0" fontId="28" fillId="0" borderId="0" xfId="0" applyFont="1" applyProtection="1">
      <protection hidden="1"/>
    </xf>
    <xf numFmtId="164" fontId="49" fillId="11" borderId="23" xfId="3" applyNumberFormat="1" applyFont="1" applyFill="1" applyBorder="1" applyAlignment="1" applyProtection="1">
      <protection hidden="1"/>
    </xf>
    <xf numFmtId="164" fontId="49" fillId="11" borderId="0" xfId="3" applyNumberFormat="1" applyFont="1" applyFill="1" applyProtection="1">
      <protection hidden="1"/>
    </xf>
    <xf numFmtId="0" fontId="30" fillId="11" borderId="0" xfId="0" applyFont="1" applyFill="1" applyAlignment="1" applyProtection="1">
      <alignment vertical="center" wrapText="1"/>
      <protection hidden="1"/>
    </xf>
    <xf numFmtId="0" fontId="2" fillId="5" borderId="0" xfId="0" applyFont="1" applyFill="1" applyProtection="1">
      <protection locked="0" hidden="1"/>
    </xf>
    <xf numFmtId="0" fontId="2" fillId="10" borderId="12" xfId="0" applyFont="1" applyFill="1" applyBorder="1" applyAlignment="1" applyProtection="1">
      <alignment vertical="center"/>
      <protection hidden="1"/>
    </xf>
    <xf numFmtId="165" fontId="28" fillId="14" borderId="3" xfId="0" applyNumberFormat="1" applyFont="1" applyFill="1" applyBorder="1" applyAlignment="1" applyProtection="1">
      <alignment horizontal="center" vertical="center"/>
      <protection locked="0" hidden="1"/>
    </xf>
    <xf numFmtId="164" fontId="2" fillId="10" borderId="0" xfId="0" applyNumberFormat="1" applyFont="1" applyFill="1" applyProtection="1">
      <protection hidden="1"/>
    </xf>
    <xf numFmtId="2" fontId="10" fillId="10" borderId="0" xfId="0" applyNumberFormat="1" applyFont="1" applyFill="1" applyAlignment="1" applyProtection="1">
      <alignment vertical="center"/>
      <protection hidden="1"/>
    </xf>
    <xf numFmtId="0" fontId="2" fillId="7" borderId="14" xfId="0" applyFont="1" applyFill="1" applyBorder="1" applyAlignment="1" applyProtection="1">
      <alignment vertical="center"/>
      <protection hidden="1"/>
    </xf>
    <xf numFmtId="0" fontId="2" fillId="7" borderId="15" xfId="0" applyFont="1" applyFill="1" applyBorder="1" applyAlignment="1" applyProtection="1">
      <alignment vertical="center"/>
      <protection hidden="1"/>
    </xf>
    <xf numFmtId="0" fontId="2" fillId="6" borderId="7" xfId="0" applyFont="1" applyFill="1" applyBorder="1" applyProtection="1">
      <protection hidden="1"/>
    </xf>
    <xf numFmtId="1" fontId="2" fillId="7" borderId="0" xfId="0" applyNumberFormat="1" applyFont="1" applyFill="1" applyAlignment="1" applyProtection="1">
      <alignment horizontal="center"/>
      <protection hidden="1"/>
    </xf>
    <xf numFmtId="165" fontId="2" fillId="5" borderId="1" xfId="0" applyNumberFormat="1" applyFont="1" applyFill="1" applyBorder="1" applyAlignment="1" applyProtection="1">
      <alignment horizontal="center"/>
      <protection hidden="1"/>
    </xf>
    <xf numFmtId="165" fontId="2" fillId="5" borderId="17" xfId="0" applyNumberFormat="1" applyFont="1" applyFill="1" applyBorder="1" applyAlignment="1" applyProtection="1">
      <alignment horizontal="center"/>
      <protection hidden="1"/>
    </xf>
    <xf numFmtId="1" fontId="2" fillId="6" borderId="1" xfId="0" applyNumberFormat="1" applyFont="1" applyFill="1" applyBorder="1" applyAlignment="1" applyProtection="1">
      <alignment horizontal="center"/>
      <protection hidden="1"/>
    </xf>
    <xf numFmtId="0" fontId="6" fillId="11" borderId="0" xfId="0" applyFont="1" applyFill="1" applyProtection="1">
      <protection hidden="1"/>
    </xf>
    <xf numFmtId="0" fontId="2" fillId="5" borderId="21" xfId="0" applyFont="1" applyFill="1" applyBorder="1" applyProtection="1">
      <protection locked="0" hidden="1"/>
    </xf>
    <xf numFmtId="0" fontId="10" fillId="32" borderId="23" xfId="0" applyFont="1" applyFill="1" applyBorder="1" applyAlignment="1" applyProtection="1">
      <alignment vertical="center"/>
      <protection hidden="1"/>
    </xf>
    <xf numFmtId="0" fontId="2" fillId="32" borderId="12" xfId="0" applyFont="1" applyFill="1" applyBorder="1" applyProtection="1">
      <protection hidden="1"/>
    </xf>
    <xf numFmtId="1" fontId="2" fillId="21" borderId="6" xfId="0" applyNumberFormat="1" applyFont="1" applyFill="1" applyBorder="1" applyAlignment="1" applyProtection="1">
      <alignment horizontal="center"/>
      <protection hidden="1"/>
    </xf>
    <xf numFmtId="1" fontId="2" fillId="8" borderId="6" xfId="0" applyNumberFormat="1" applyFont="1" applyFill="1" applyBorder="1" applyAlignment="1" applyProtection="1">
      <alignment horizontal="center"/>
      <protection hidden="1"/>
    </xf>
    <xf numFmtId="0" fontId="2" fillId="17" borderId="7" xfId="0" applyFont="1" applyFill="1" applyBorder="1" applyProtection="1">
      <protection hidden="1"/>
    </xf>
    <xf numFmtId="0" fontId="2" fillId="17" borderId="0" xfId="0" applyFont="1" applyFill="1" applyProtection="1">
      <protection hidden="1"/>
    </xf>
    <xf numFmtId="0" fontId="2" fillId="17" borderId="15" xfId="0" applyFont="1" applyFill="1" applyBorder="1" applyProtection="1">
      <protection hidden="1"/>
    </xf>
    <xf numFmtId="1" fontId="2" fillId="8" borderId="13" xfId="0" applyNumberFormat="1" applyFont="1" applyFill="1" applyBorder="1" applyAlignment="1" applyProtection="1">
      <alignment horizontal="center"/>
      <protection hidden="1"/>
    </xf>
    <xf numFmtId="0" fontId="2" fillId="14" borderId="7" xfId="0" applyFont="1" applyFill="1" applyBorder="1" applyAlignment="1" applyProtection="1">
      <alignment vertical="center"/>
      <protection hidden="1"/>
    </xf>
    <xf numFmtId="0" fontId="2" fillId="14" borderId="0" xfId="0" applyFont="1" applyFill="1" applyAlignment="1" applyProtection="1">
      <alignment vertical="center"/>
      <protection hidden="1"/>
    </xf>
    <xf numFmtId="0" fontId="2" fillId="20" borderId="7" xfId="0" applyFont="1" applyFill="1" applyBorder="1" applyAlignment="1" applyProtection="1">
      <alignment vertical="center"/>
      <protection hidden="1"/>
    </xf>
    <xf numFmtId="0" fontId="10" fillId="17" borderId="7" xfId="0" applyFont="1" applyFill="1" applyBorder="1" applyAlignment="1" applyProtection="1">
      <alignment vertical="center"/>
      <protection hidden="1"/>
    </xf>
    <xf numFmtId="0" fontId="10" fillId="17" borderId="0" xfId="0" applyFont="1" applyFill="1" applyAlignment="1" applyProtection="1">
      <alignment vertical="center"/>
      <protection hidden="1"/>
    </xf>
    <xf numFmtId="0" fontId="2" fillId="10" borderId="23" xfId="0" applyFont="1" applyFill="1" applyBorder="1" applyProtection="1">
      <protection hidden="1"/>
    </xf>
    <xf numFmtId="0" fontId="2" fillId="19" borderId="0" xfId="0" applyFont="1" applyFill="1" applyProtection="1">
      <protection hidden="1"/>
    </xf>
    <xf numFmtId="0" fontId="2" fillId="14" borderId="20" xfId="0" applyFont="1" applyFill="1" applyBorder="1" applyProtection="1">
      <protection hidden="1"/>
    </xf>
    <xf numFmtId="0" fontId="12" fillId="20" borderId="19" xfId="0" applyFont="1" applyFill="1" applyBorder="1" applyAlignment="1" applyProtection="1">
      <alignment vertical="center"/>
      <protection hidden="1"/>
    </xf>
    <xf numFmtId="0" fontId="10" fillId="20" borderId="20" xfId="0" applyFont="1" applyFill="1" applyBorder="1" applyAlignment="1" applyProtection="1">
      <alignment horizontal="center" vertical="center"/>
      <protection hidden="1"/>
    </xf>
    <xf numFmtId="0" fontId="12" fillId="14" borderId="20" xfId="0" applyFont="1" applyFill="1" applyBorder="1" applyAlignment="1" applyProtection="1">
      <alignment vertical="center"/>
      <protection hidden="1"/>
    </xf>
    <xf numFmtId="0" fontId="12" fillId="20" borderId="7" xfId="0" applyFont="1" applyFill="1" applyBorder="1" applyAlignment="1" applyProtection="1">
      <alignment vertical="center"/>
      <protection hidden="1"/>
    </xf>
    <xf numFmtId="0" fontId="2" fillId="10" borderId="7" xfId="0" applyFont="1" applyFill="1" applyBorder="1" applyProtection="1">
      <protection hidden="1"/>
    </xf>
    <xf numFmtId="0" fontId="2" fillId="20" borderId="7" xfId="0" applyFont="1" applyFill="1" applyBorder="1" applyProtection="1">
      <protection hidden="1"/>
    </xf>
    <xf numFmtId="165" fontId="10" fillId="9" borderId="0" xfId="1" applyNumberFormat="1" applyFont="1" applyFill="1" applyBorder="1" applyAlignment="1" applyProtection="1">
      <alignment horizontal="center" vertical="center"/>
      <protection hidden="1"/>
    </xf>
    <xf numFmtId="0" fontId="2" fillId="10" borderId="24" xfId="0" applyFont="1" applyFill="1" applyBorder="1" applyProtection="1">
      <protection hidden="1"/>
    </xf>
    <xf numFmtId="0" fontId="2" fillId="10" borderId="1" xfId="0" applyFont="1" applyFill="1" applyBorder="1" applyProtection="1">
      <protection hidden="1"/>
    </xf>
    <xf numFmtId="0" fontId="2" fillId="20" borderId="7" xfId="0" applyFont="1" applyFill="1" applyBorder="1" applyAlignment="1" applyProtection="1">
      <alignment vertical="center" textRotation="90"/>
      <protection hidden="1"/>
    </xf>
    <xf numFmtId="0" fontId="2" fillId="16" borderId="7" xfId="0" applyFont="1" applyFill="1" applyBorder="1" applyAlignment="1" applyProtection="1">
      <alignment vertical="center" textRotation="90"/>
      <protection hidden="1"/>
    </xf>
    <xf numFmtId="165" fontId="10" fillId="10" borderId="0" xfId="1" applyNumberFormat="1" applyFont="1" applyFill="1" applyBorder="1" applyAlignment="1" applyProtection="1">
      <alignment horizontal="center" vertical="center"/>
      <protection hidden="1"/>
    </xf>
    <xf numFmtId="0" fontId="10" fillId="16" borderId="15" xfId="0" applyFont="1" applyFill="1" applyBorder="1" applyAlignment="1" applyProtection="1">
      <alignment horizontal="left" vertical="center"/>
      <protection hidden="1"/>
    </xf>
    <xf numFmtId="0" fontId="2" fillId="7" borderId="7" xfId="0" applyFont="1" applyFill="1" applyBorder="1" applyProtection="1">
      <protection hidden="1"/>
    </xf>
    <xf numFmtId="165" fontId="10" fillId="8" borderId="0" xfId="1" applyNumberFormat="1" applyFont="1" applyFill="1" applyBorder="1" applyAlignment="1" applyProtection="1">
      <alignment horizontal="center" vertical="center"/>
      <protection hidden="1"/>
    </xf>
    <xf numFmtId="0" fontId="10" fillId="7" borderId="15" xfId="0" applyFont="1" applyFill="1" applyBorder="1" applyAlignment="1" applyProtection="1">
      <alignment horizontal="left" vertical="center"/>
      <protection hidden="1"/>
    </xf>
    <xf numFmtId="0" fontId="10" fillId="7" borderId="15" xfId="0" applyFont="1" applyFill="1" applyBorder="1" applyAlignment="1" applyProtection="1">
      <alignment horizontal="center"/>
      <protection hidden="1"/>
    </xf>
    <xf numFmtId="0" fontId="2" fillId="7" borderId="24" xfId="0" applyFont="1" applyFill="1" applyBorder="1" applyProtection="1">
      <protection hidden="1"/>
    </xf>
    <xf numFmtId="0" fontId="2" fillId="7" borderId="1" xfId="0" applyFont="1" applyFill="1" applyBorder="1" applyProtection="1">
      <protection hidden="1"/>
    </xf>
    <xf numFmtId="165" fontId="10" fillId="14" borderId="1" xfId="0" applyNumberFormat="1" applyFont="1" applyFill="1" applyBorder="1" applyAlignment="1" applyProtection="1">
      <alignment horizontal="center" vertical="top"/>
      <protection hidden="1"/>
    </xf>
    <xf numFmtId="0" fontId="2" fillId="7" borderId="17" xfId="0" applyFont="1" applyFill="1" applyBorder="1" applyProtection="1">
      <protection hidden="1"/>
    </xf>
    <xf numFmtId="0" fontId="2" fillId="10" borderId="25" xfId="0" applyFont="1" applyFill="1" applyBorder="1" applyProtection="1">
      <protection hidden="1"/>
    </xf>
    <xf numFmtId="0" fontId="2" fillId="4" borderId="22" xfId="0" applyFont="1" applyFill="1" applyBorder="1" applyProtection="1">
      <protection hidden="1"/>
    </xf>
    <xf numFmtId="0" fontId="2" fillId="4" borderId="0" xfId="0" applyFont="1" applyFill="1" applyAlignment="1" applyProtection="1">
      <alignment vertical="top"/>
      <protection hidden="1"/>
    </xf>
    <xf numFmtId="0" fontId="4" fillId="4" borderId="0" xfId="2" applyFill="1" applyProtection="1">
      <protection hidden="1"/>
    </xf>
    <xf numFmtId="165" fontId="6" fillId="11" borderId="0" xfId="0" applyNumberFormat="1" applyFont="1" applyFill="1" applyAlignment="1" applyProtection="1">
      <alignment horizontal="center"/>
      <protection hidden="1"/>
    </xf>
    <xf numFmtId="0" fontId="2" fillId="9" borderId="0" xfId="0" applyFont="1" applyFill="1" applyProtection="1">
      <protection hidden="1"/>
    </xf>
    <xf numFmtId="0" fontId="2" fillId="11" borderId="0" xfId="0" quotePrefix="1" applyFont="1" applyFill="1" applyProtection="1">
      <protection hidden="1"/>
    </xf>
    <xf numFmtId="0" fontId="6" fillId="10" borderId="0" xfId="0" quotePrefix="1" applyFont="1" applyFill="1" applyProtection="1">
      <protection hidden="1"/>
    </xf>
    <xf numFmtId="0" fontId="2" fillId="10" borderId="0" xfId="0" quotePrefix="1" applyFont="1" applyFill="1" applyProtection="1">
      <protection hidden="1"/>
    </xf>
    <xf numFmtId="0" fontId="6" fillId="10" borderId="0" xfId="0" applyFont="1" applyFill="1" applyProtection="1">
      <protection hidden="1"/>
    </xf>
    <xf numFmtId="165" fontId="2" fillId="10" borderId="0" xfId="0" applyNumberFormat="1" applyFont="1" applyFill="1" applyAlignment="1" applyProtection="1">
      <alignment horizontal="center"/>
      <protection hidden="1"/>
    </xf>
    <xf numFmtId="165" fontId="2" fillId="10" borderId="12" xfId="0" applyNumberFormat="1" applyFont="1" applyFill="1" applyBorder="1" applyAlignment="1" applyProtection="1">
      <alignment horizontal="center"/>
      <protection hidden="1"/>
    </xf>
    <xf numFmtId="0" fontId="46" fillId="10" borderId="0" xfId="0" applyFont="1" applyFill="1" applyAlignment="1" applyProtection="1">
      <alignment vertical="top"/>
      <protection hidden="1"/>
    </xf>
    <xf numFmtId="0" fontId="6" fillId="17" borderId="13" xfId="0" applyFont="1" applyFill="1" applyBorder="1" applyAlignment="1" applyProtection="1">
      <alignment horizontal="left"/>
      <protection hidden="1"/>
    </xf>
    <xf numFmtId="0" fontId="2" fillId="7" borderId="28" xfId="0" applyFont="1" applyFill="1" applyBorder="1" applyAlignment="1" applyProtection="1">
      <alignment horizontal="center"/>
      <protection hidden="1"/>
    </xf>
    <xf numFmtId="0" fontId="2" fillId="7" borderId="6" xfId="0" applyFont="1" applyFill="1" applyBorder="1" applyAlignment="1" applyProtection="1">
      <alignment horizontal="center"/>
      <protection hidden="1"/>
    </xf>
    <xf numFmtId="0" fontId="2" fillId="7" borderId="14" xfId="0" applyFont="1" applyFill="1" applyBorder="1" applyAlignment="1" applyProtection="1">
      <alignment horizontal="center"/>
      <protection hidden="1"/>
    </xf>
    <xf numFmtId="0" fontId="2" fillId="7" borderId="13" xfId="0" applyFont="1" applyFill="1" applyBorder="1" applyAlignment="1" applyProtection="1">
      <alignment horizontal="center"/>
      <protection hidden="1"/>
    </xf>
    <xf numFmtId="0" fontId="2" fillId="7" borderId="15" xfId="0" applyFont="1" applyFill="1" applyBorder="1" applyAlignment="1" applyProtection="1">
      <alignment horizontal="center" vertical="top"/>
      <protection hidden="1"/>
    </xf>
    <xf numFmtId="0" fontId="2" fillId="7" borderId="4" xfId="0" applyFont="1" applyFill="1" applyBorder="1" applyAlignment="1" applyProtection="1">
      <alignment horizontal="center" vertical="top"/>
      <protection hidden="1"/>
    </xf>
    <xf numFmtId="0" fontId="2" fillId="7" borderId="4" xfId="0" applyFont="1" applyFill="1" applyBorder="1" applyAlignment="1" applyProtection="1">
      <alignment horizontal="center" vertical="center"/>
      <protection hidden="1"/>
    </xf>
    <xf numFmtId="165" fontId="2" fillId="17" borderId="7" xfId="0" applyNumberFormat="1" applyFont="1" applyFill="1" applyBorder="1" applyAlignment="1" applyProtection="1">
      <alignment horizontal="center"/>
      <protection hidden="1"/>
    </xf>
    <xf numFmtId="165" fontId="2" fillId="5" borderId="7" xfId="0" applyNumberFormat="1" applyFont="1" applyFill="1" applyBorder="1" applyAlignment="1" applyProtection="1">
      <alignment horizontal="center"/>
      <protection hidden="1"/>
    </xf>
    <xf numFmtId="2" fontId="10" fillId="10" borderId="0" xfId="0" applyNumberFormat="1" applyFont="1" applyFill="1" applyAlignment="1" applyProtection="1">
      <alignment horizontal="center" vertical="center"/>
      <protection hidden="1"/>
    </xf>
    <xf numFmtId="2" fontId="2" fillId="10" borderId="0" xfId="0" applyNumberFormat="1" applyFont="1" applyFill="1" applyAlignment="1" applyProtection="1">
      <alignment horizontal="center"/>
      <protection hidden="1"/>
    </xf>
    <xf numFmtId="165" fontId="10" fillId="14" borderId="0" xfId="0" applyNumberFormat="1" applyFont="1" applyFill="1" applyAlignment="1" applyProtection="1">
      <alignment horizontal="center" vertical="center" wrapText="1"/>
      <protection hidden="1"/>
    </xf>
    <xf numFmtId="0" fontId="2" fillId="33" borderId="0" xfId="0" applyFont="1" applyFill="1" applyAlignment="1" applyProtection="1">
      <alignment horizontal="right" vertical="top"/>
      <protection hidden="1"/>
    </xf>
    <xf numFmtId="0" fontId="2" fillId="33" borderId="0" xfId="0" applyFont="1" applyFill="1" applyAlignment="1" applyProtection="1">
      <alignment vertical="top"/>
      <protection hidden="1"/>
    </xf>
    <xf numFmtId="0" fontId="2" fillId="33" borderId="0" xfId="0" applyFont="1" applyFill="1" applyProtection="1">
      <protection hidden="1"/>
    </xf>
    <xf numFmtId="0" fontId="2" fillId="33" borderId="7" xfId="0" applyFont="1" applyFill="1" applyBorder="1" applyAlignment="1" applyProtection="1">
      <alignment vertical="top"/>
      <protection hidden="1"/>
    </xf>
    <xf numFmtId="0" fontId="2" fillId="33" borderId="0" xfId="0" applyFont="1" applyFill="1" applyAlignment="1" applyProtection="1">
      <alignment horizontal="right"/>
      <protection hidden="1"/>
    </xf>
    <xf numFmtId="0" fontId="2" fillId="33" borderId="15" xfId="0" applyFont="1" applyFill="1" applyBorder="1" applyAlignment="1" applyProtection="1">
      <alignment horizontal="right" vertical="top"/>
      <protection hidden="1"/>
    </xf>
    <xf numFmtId="0" fontId="2" fillId="33" borderId="15" xfId="0" applyFont="1" applyFill="1" applyBorder="1" applyAlignment="1" applyProtection="1">
      <alignment vertical="top"/>
      <protection hidden="1"/>
    </xf>
    <xf numFmtId="0" fontId="2" fillId="33" borderId="7" xfId="0" applyFont="1" applyFill="1" applyBorder="1" applyProtection="1">
      <protection hidden="1"/>
    </xf>
    <xf numFmtId="0" fontId="2" fillId="33" borderId="15" xfId="0" applyFont="1" applyFill="1" applyBorder="1" applyProtection="1">
      <protection hidden="1"/>
    </xf>
    <xf numFmtId="0" fontId="2" fillId="10" borderId="0" xfId="0" applyFont="1" applyFill="1" applyAlignment="1" applyProtection="1">
      <alignment vertical="top"/>
      <protection hidden="1"/>
    </xf>
    <xf numFmtId="165" fontId="28" fillId="21" borderId="3" xfId="0" applyNumberFormat="1" applyFont="1" applyFill="1" applyBorder="1" applyAlignment="1" applyProtection="1">
      <alignment horizontal="center"/>
      <protection hidden="1"/>
    </xf>
    <xf numFmtId="1" fontId="28" fillId="21" borderId="3" xfId="0" applyNumberFormat="1" applyFont="1" applyFill="1" applyBorder="1" applyAlignment="1" applyProtection="1">
      <alignment horizontal="center"/>
      <protection hidden="1"/>
    </xf>
    <xf numFmtId="167" fontId="28" fillId="21" borderId="3" xfId="0" applyNumberFormat="1" applyFont="1" applyFill="1" applyBorder="1" applyAlignment="1" applyProtection="1">
      <alignment horizontal="center" vertical="top" wrapText="1"/>
      <protection hidden="1"/>
    </xf>
    <xf numFmtId="1" fontId="28" fillId="21" borderId="3" xfId="0" applyNumberFormat="1" applyFont="1" applyFill="1" applyBorder="1" applyAlignment="1" applyProtection="1">
      <alignment horizontal="center" vertical="center"/>
      <protection hidden="1"/>
    </xf>
    <xf numFmtId="1" fontId="28" fillId="28" borderId="3" xfId="0" applyNumberFormat="1" applyFont="1" applyFill="1" applyBorder="1" applyAlignment="1" applyProtection="1">
      <alignment horizontal="center" vertical="center"/>
      <protection hidden="1"/>
    </xf>
    <xf numFmtId="0" fontId="31" fillId="11" borderId="0" xfId="0" applyFont="1" applyFill="1" applyAlignment="1" applyProtection="1">
      <alignment horizontal="left" vertical="top"/>
      <protection hidden="1"/>
    </xf>
    <xf numFmtId="0" fontId="31" fillId="11" borderId="0" xfId="0" applyFont="1" applyFill="1" applyProtection="1">
      <protection hidden="1"/>
    </xf>
    <xf numFmtId="0" fontId="28" fillId="11" borderId="0" xfId="0" applyFont="1" applyFill="1" applyAlignment="1" applyProtection="1">
      <alignment horizontal="right"/>
      <protection hidden="1"/>
    </xf>
    <xf numFmtId="165" fontId="2" fillId="9" borderId="0" xfId="0" applyNumberFormat="1" applyFont="1" applyFill="1" applyAlignment="1" applyProtection="1">
      <alignment horizontal="center"/>
      <protection hidden="1"/>
    </xf>
    <xf numFmtId="0" fontId="2" fillId="9" borderId="0" xfId="0" applyFont="1" applyFill="1" applyAlignment="1" applyProtection="1">
      <alignment horizontal="center"/>
      <protection hidden="1"/>
    </xf>
    <xf numFmtId="165" fontId="2" fillId="9" borderId="7" xfId="0" applyNumberFormat="1" applyFont="1" applyFill="1" applyBorder="1" applyAlignment="1" applyProtection="1">
      <alignment horizontal="center"/>
      <protection hidden="1"/>
    </xf>
    <xf numFmtId="1" fontId="2" fillId="9" borderId="7" xfId="0" applyNumberFormat="1" applyFont="1" applyFill="1" applyBorder="1" applyAlignment="1" applyProtection="1">
      <alignment horizontal="center"/>
      <protection hidden="1"/>
    </xf>
    <xf numFmtId="2" fontId="2" fillId="9" borderId="7" xfId="0" applyNumberFormat="1" applyFont="1" applyFill="1" applyBorder="1" applyAlignment="1" applyProtection="1">
      <alignment horizontal="center"/>
      <protection hidden="1"/>
    </xf>
    <xf numFmtId="1" fontId="2" fillId="9" borderId="0" xfId="0" applyNumberFormat="1" applyFont="1" applyFill="1" applyAlignment="1" applyProtection="1">
      <alignment horizontal="center"/>
      <protection hidden="1"/>
    </xf>
    <xf numFmtId="167" fontId="28" fillId="9" borderId="0" xfId="0" applyNumberFormat="1" applyFont="1" applyFill="1" applyAlignment="1" applyProtection="1">
      <alignment horizontal="center" vertical="center" wrapText="1"/>
      <protection hidden="1"/>
    </xf>
    <xf numFmtId="1" fontId="28" fillId="9" borderId="0" xfId="0" applyNumberFormat="1" applyFont="1" applyFill="1" applyAlignment="1" applyProtection="1">
      <alignment horizontal="center" vertical="center"/>
      <protection hidden="1"/>
    </xf>
    <xf numFmtId="165" fontId="28" fillId="9" borderId="0" xfId="0" applyNumberFormat="1" applyFont="1" applyFill="1" applyAlignment="1" applyProtection="1">
      <alignment horizontal="center" vertical="center"/>
      <protection hidden="1"/>
    </xf>
    <xf numFmtId="165" fontId="2" fillId="9" borderId="15" xfId="0" applyNumberFormat="1" applyFont="1" applyFill="1" applyBorder="1" applyAlignment="1" applyProtection="1">
      <alignment horizontal="center"/>
      <protection hidden="1"/>
    </xf>
    <xf numFmtId="1" fontId="2" fillId="9" borderId="15" xfId="0" applyNumberFormat="1" applyFont="1" applyFill="1" applyBorder="1" applyAlignment="1" applyProtection="1">
      <alignment horizontal="center"/>
      <protection hidden="1"/>
    </xf>
    <xf numFmtId="2" fontId="2" fillId="9" borderId="15" xfId="0" applyNumberFormat="1" applyFont="1" applyFill="1" applyBorder="1" applyAlignment="1" applyProtection="1">
      <alignment horizontal="center"/>
      <protection hidden="1"/>
    </xf>
    <xf numFmtId="165" fontId="2" fillId="9" borderId="15" xfId="0" applyNumberFormat="1" applyFont="1" applyFill="1" applyBorder="1" applyAlignment="1" applyProtection="1">
      <alignment horizontal="center" vertical="top"/>
      <protection hidden="1"/>
    </xf>
    <xf numFmtId="165" fontId="2" fillId="9" borderId="15" xfId="0" applyNumberFormat="1" applyFont="1" applyFill="1" applyBorder="1" applyAlignment="1" applyProtection="1">
      <alignment horizontal="left"/>
      <protection hidden="1"/>
    </xf>
    <xf numFmtId="0" fontId="2" fillId="19" borderId="15" xfId="0" applyFont="1" applyFill="1" applyBorder="1" applyProtection="1">
      <protection hidden="1"/>
    </xf>
    <xf numFmtId="0" fontId="28" fillId="19" borderId="15" xfId="0" applyFont="1" applyFill="1" applyBorder="1" applyProtection="1">
      <protection hidden="1"/>
    </xf>
    <xf numFmtId="2" fontId="2" fillId="9" borderId="4" xfId="0" applyNumberFormat="1" applyFont="1" applyFill="1" applyBorder="1" applyAlignment="1" applyProtection="1">
      <alignment horizontal="center"/>
      <protection hidden="1"/>
    </xf>
    <xf numFmtId="0" fontId="36" fillId="14" borderId="15" xfId="0" applyFont="1" applyFill="1" applyBorder="1" applyAlignment="1" applyProtection="1">
      <alignment vertical="center" wrapText="1"/>
      <protection hidden="1"/>
    </xf>
    <xf numFmtId="0" fontId="36" fillId="14" borderId="7" xfId="0" applyFont="1" applyFill="1" applyBorder="1" applyAlignment="1" applyProtection="1">
      <alignment vertical="center" wrapText="1"/>
      <protection hidden="1"/>
    </xf>
    <xf numFmtId="0" fontId="36" fillId="14" borderId="0" xfId="0" applyFont="1" applyFill="1" applyAlignment="1" applyProtection="1">
      <alignment vertical="center" wrapText="1"/>
      <protection hidden="1"/>
    </xf>
    <xf numFmtId="0" fontId="2" fillId="14" borderId="0" xfId="0" applyFont="1" applyFill="1" applyAlignment="1" applyProtection="1">
      <alignment horizontal="right"/>
      <protection hidden="1"/>
    </xf>
    <xf numFmtId="0" fontId="2" fillId="20" borderId="0" xfId="0" applyFont="1" applyFill="1" applyAlignment="1" applyProtection="1">
      <alignment vertical="center"/>
      <protection hidden="1"/>
    </xf>
    <xf numFmtId="0" fontId="2" fillId="33" borderId="0" xfId="0" applyFont="1" applyFill="1" applyAlignment="1" applyProtection="1">
      <alignment horizontal="right" vertical="center"/>
      <protection hidden="1"/>
    </xf>
    <xf numFmtId="0" fontId="2" fillId="16" borderId="0" xfId="0" applyFont="1" applyFill="1" applyProtection="1">
      <protection hidden="1"/>
    </xf>
    <xf numFmtId="0" fontId="2" fillId="16" borderId="15" xfId="0" applyFont="1" applyFill="1" applyBorder="1" applyProtection="1">
      <protection hidden="1"/>
    </xf>
    <xf numFmtId="165" fontId="2" fillId="3" borderId="0" xfId="0" applyNumberFormat="1" applyFont="1" applyFill="1" applyAlignment="1" applyProtection="1">
      <alignment horizontal="center"/>
      <protection locked="0"/>
    </xf>
    <xf numFmtId="2" fontId="2" fillId="2" borderId="0" xfId="3" applyNumberFormat="1" applyFont="1" applyFill="1" applyAlignment="1" applyProtection="1">
      <alignment horizontal="center" vertical="center"/>
      <protection locked="0"/>
    </xf>
    <xf numFmtId="0" fontId="2" fillId="14" borderId="0" xfId="0" applyFont="1" applyFill="1" applyAlignment="1" applyProtection="1">
      <alignment horizontal="right" vertical="center"/>
      <protection hidden="1"/>
    </xf>
    <xf numFmtId="0" fontId="37" fillId="10" borderId="0" xfId="0" applyFont="1" applyFill="1" applyAlignment="1" applyProtection="1">
      <alignment vertical="top" wrapText="1"/>
      <protection hidden="1"/>
    </xf>
    <xf numFmtId="0" fontId="2" fillId="10" borderId="28" xfId="0" applyFont="1" applyFill="1" applyBorder="1" applyProtection="1">
      <protection hidden="1"/>
    </xf>
    <xf numFmtId="0" fontId="2" fillId="10" borderId="1" xfId="0" applyFont="1" applyFill="1" applyBorder="1" applyAlignment="1" applyProtection="1">
      <alignment vertical="center"/>
      <protection hidden="1"/>
    </xf>
    <xf numFmtId="0" fontId="2" fillId="14" borderId="20" xfId="0" applyFont="1" applyFill="1" applyBorder="1" applyAlignment="1" applyProtection="1">
      <alignment vertical="center"/>
      <protection hidden="1"/>
    </xf>
    <xf numFmtId="0" fontId="10" fillId="20" borderId="14" xfId="0" applyFont="1" applyFill="1" applyBorder="1" applyAlignment="1" applyProtection="1">
      <alignment horizontal="center" vertical="center"/>
      <protection hidden="1"/>
    </xf>
    <xf numFmtId="0" fontId="2" fillId="20" borderId="0" xfId="0" applyFont="1" applyFill="1" applyAlignment="1" applyProtection="1">
      <alignment horizontal="center"/>
      <protection hidden="1"/>
    </xf>
    <xf numFmtId="0" fontId="2" fillId="20" borderId="15" xfId="0" applyFont="1" applyFill="1" applyBorder="1" applyAlignment="1" applyProtection="1">
      <alignment horizontal="center"/>
      <protection hidden="1"/>
    </xf>
    <xf numFmtId="0" fontId="2" fillId="20" borderId="0" xfId="0" applyFont="1" applyFill="1" applyAlignment="1" applyProtection="1">
      <alignment horizontal="center" vertical="center"/>
      <protection hidden="1"/>
    </xf>
    <xf numFmtId="0" fontId="2" fillId="20" borderId="15" xfId="0" applyFont="1" applyFill="1" applyBorder="1" applyAlignment="1" applyProtection="1">
      <alignment horizontal="center" vertical="center"/>
      <protection hidden="1"/>
    </xf>
    <xf numFmtId="0" fontId="10" fillId="20" borderId="0" xfId="0" applyFont="1" applyFill="1" applyAlignment="1" applyProtection="1">
      <alignment horizontal="right" vertical="center"/>
      <protection hidden="1"/>
    </xf>
    <xf numFmtId="0" fontId="10" fillId="20" borderId="15" xfId="0" applyFont="1" applyFill="1" applyBorder="1" applyAlignment="1" applyProtection="1">
      <alignment horizontal="left" vertical="center"/>
      <protection hidden="1"/>
    </xf>
    <xf numFmtId="0" fontId="10" fillId="16" borderId="0" xfId="0" applyFont="1" applyFill="1" applyAlignment="1" applyProtection="1">
      <alignment horizontal="right" vertical="center"/>
      <protection hidden="1"/>
    </xf>
    <xf numFmtId="0" fontId="10" fillId="7" borderId="0" xfId="0" applyFont="1" applyFill="1" applyAlignment="1" applyProtection="1">
      <alignment horizontal="right" vertical="center"/>
      <protection hidden="1"/>
    </xf>
    <xf numFmtId="0" fontId="10" fillId="7" borderId="0" xfId="0" applyFont="1" applyFill="1" applyAlignment="1" applyProtection="1">
      <alignment horizontal="center"/>
      <protection hidden="1"/>
    </xf>
    <xf numFmtId="165" fontId="10" fillId="14" borderId="0" xfId="0" applyNumberFormat="1" applyFont="1" applyFill="1" applyAlignment="1" applyProtection="1">
      <alignment horizontal="center" vertical="top"/>
      <protection hidden="1"/>
    </xf>
    <xf numFmtId="0" fontId="2" fillId="0" borderId="0" xfId="0" applyFont="1" applyAlignment="1" applyProtection="1">
      <alignment vertical="top"/>
      <protection locked="0"/>
    </xf>
    <xf numFmtId="0" fontId="2" fillId="0" borderId="3" xfId="0" applyFont="1" applyBorder="1" applyAlignment="1" applyProtection="1">
      <alignment horizontal="center"/>
      <protection locked="0"/>
    </xf>
    <xf numFmtId="165" fontId="2" fillId="8" borderId="3" xfId="0" applyNumberFormat="1" applyFont="1" applyFill="1" applyBorder="1" applyAlignment="1" applyProtection="1">
      <alignment horizontal="center"/>
      <protection locked="0"/>
    </xf>
    <xf numFmtId="1" fontId="2" fillId="8" borderId="3" xfId="0" applyNumberFormat="1" applyFont="1" applyFill="1" applyBorder="1" applyAlignment="1" applyProtection="1">
      <alignment horizontal="center"/>
      <protection locked="0"/>
    </xf>
    <xf numFmtId="0" fontId="2" fillId="7" borderId="12" xfId="0" applyFont="1" applyFill="1" applyBorder="1" applyProtection="1">
      <protection hidden="1"/>
    </xf>
    <xf numFmtId="0" fontId="2" fillId="14" borderId="14" xfId="0" applyFont="1" applyFill="1" applyBorder="1" applyAlignment="1" applyProtection="1">
      <alignment vertical="center"/>
      <protection hidden="1"/>
    </xf>
    <xf numFmtId="0" fontId="2" fillId="14" borderId="15" xfId="0" applyFont="1" applyFill="1" applyBorder="1" applyAlignment="1" applyProtection="1">
      <alignment vertical="center"/>
      <protection hidden="1"/>
    </xf>
    <xf numFmtId="0" fontId="2" fillId="10" borderId="15" xfId="0" applyFont="1" applyFill="1" applyBorder="1" applyAlignment="1" applyProtection="1">
      <alignment vertical="center"/>
      <protection hidden="1"/>
    </xf>
    <xf numFmtId="0" fontId="2" fillId="10" borderId="17" xfId="0" applyFont="1" applyFill="1" applyBorder="1" applyAlignment="1" applyProtection="1">
      <alignment vertical="center"/>
      <protection hidden="1"/>
    </xf>
    <xf numFmtId="0" fontId="2" fillId="7" borderId="15" xfId="0" applyFont="1" applyFill="1" applyBorder="1" applyAlignment="1" applyProtection="1">
      <alignment vertical="top" wrapText="1"/>
      <protection hidden="1"/>
    </xf>
    <xf numFmtId="1" fontId="2" fillId="9" borderId="4" xfId="0" applyNumberFormat="1" applyFont="1" applyFill="1" applyBorder="1" applyAlignment="1" applyProtection="1">
      <alignment horizontal="center"/>
      <protection hidden="1"/>
    </xf>
    <xf numFmtId="0" fontId="2" fillId="7" borderId="19" xfId="0" applyFont="1" applyFill="1" applyBorder="1" applyProtection="1">
      <protection hidden="1"/>
    </xf>
    <xf numFmtId="0" fontId="2" fillId="7" borderId="20" xfId="0" applyFont="1" applyFill="1" applyBorder="1" applyProtection="1">
      <protection hidden="1"/>
    </xf>
    <xf numFmtId="0" fontId="2" fillId="7" borderId="14" xfId="0" applyFont="1" applyFill="1" applyBorder="1" applyProtection="1">
      <protection hidden="1"/>
    </xf>
    <xf numFmtId="165" fontId="2" fillId="9" borderId="4" xfId="0" applyNumberFormat="1" applyFont="1" applyFill="1" applyBorder="1" applyAlignment="1" applyProtection="1">
      <alignment horizontal="center"/>
      <protection hidden="1"/>
    </xf>
    <xf numFmtId="0" fontId="2" fillId="7" borderId="7" xfId="0" applyFont="1" applyFill="1" applyBorder="1" applyAlignment="1" applyProtection="1">
      <alignment vertical="top" wrapText="1"/>
      <protection hidden="1"/>
    </xf>
    <xf numFmtId="0" fontId="2" fillId="7" borderId="0" xfId="0" applyFont="1" applyFill="1" applyProtection="1">
      <protection hidden="1"/>
    </xf>
    <xf numFmtId="0" fontId="2" fillId="7" borderId="33" xfId="0" applyFont="1" applyFill="1" applyBorder="1" applyProtection="1">
      <protection hidden="1"/>
    </xf>
    <xf numFmtId="0" fontId="2" fillId="7" borderId="37" xfId="0" applyFont="1" applyFill="1" applyBorder="1" applyProtection="1">
      <protection hidden="1"/>
    </xf>
    <xf numFmtId="0" fontId="2" fillId="7" borderId="19" xfId="0" applyFont="1" applyFill="1" applyBorder="1" applyAlignment="1" applyProtection="1">
      <alignment vertical="center" wrapText="1"/>
      <protection hidden="1"/>
    </xf>
    <xf numFmtId="0" fontId="2" fillId="7" borderId="7" xfId="0" applyFont="1" applyFill="1" applyBorder="1" applyAlignment="1" applyProtection="1">
      <alignment vertical="center" wrapText="1"/>
      <protection hidden="1"/>
    </xf>
    <xf numFmtId="9" fontId="2" fillId="0" borderId="0" xfId="3" applyFont="1" applyProtection="1">
      <protection locked="0"/>
    </xf>
    <xf numFmtId="9" fontId="2" fillId="0" borderId="0" xfId="0" applyNumberFormat="1" applyFont="1" applyProtection="1">
      <protection locked="0"/>
    </xf>
    <xf numFmtId="0" fontId="2" fillId="7" borderId="0" xfId="0" applyFont="1" applyFill="1" applyAlignment="1" applyProtection="1">
      <alignment horizontal="right"/>
      <protection hidden="1"/>
    </xf>
    <xf numFmtId="0" fontId="2" fillId="7" borderId="0" xfId="0" applyFont="1" applyFill="1" applyAlignment="1" applyProtection="1">
      <alignment vertical="top" wrapText="1"/>
      <protection hidden="1"/>
    </xf>
    <xf numFmtId="0" fontId="2" fillId="7" borderId="15" xfId="0" applyFont="1" applyFill="1" applyBorder="1" applyProtection="1">
      <protection hidden="1"/>
    </xf>
    <xf numFmtId="0" fontId="2" fillId="7" borderId="0" xfId="0" applyFont="1" applyFill="1" applyAlignment="1" applyProtection="1">
      <alignment vertical="center" wrapText="1"/>
      <protection hidden="1"/>
    </xf>
    <xf numFmtId="1" fontId="28" fillId="0" borderId="0" xfId="0" applyNumberFormat="1" applyFont="1" applyAlignment="1" applyProtection="1">
      <alignment horizontal="left"/>
      <protection locked="0"/>
    </xf>
    <xf numFmtId="0" fontId="28" fillId="0" borderId="14" xfId="0" applyFont="1" applyBorder="1" applyAlignment="1" applyProtection="1">
      <alignment horizontal="center"/>
      <protection locked="0"/>
    </xf>
    <xf numFmtId="0" fontId="28" fillId="0" borderId="15" xfId="0" applyFont="1" applyBorder="1" applyAlignment="1" applyProtection="1">
      <alignment horizontal="center"/>
      <protection locked="0"/>
    </xf>
    <xf numFmtId="165" fontId="2" fillId="8" borderId="0" xfId="0" applyNumberFormat="1" applyFont="1" applyFill="1" applyProtection="1">
      <protection locked="0"/>
    </xf>
    <xf numFmtId="2" fontId="2" fillId="8" borderId="0" xfId="0" applyNumberFormat="1" applyFont="1" applyFill="1" applyProtection="1">
      <protection locked="0"/>
    </xf>
    <xf numFmtId="0" fontId="2" fillId="29" borderId="0" xfId="0" applyFont="1" applyFill="1" applyAlignment="1" applyProtection="1">
      <alignment horizontal="center"/>
      <protection locked="0"/>
    </xf>
    <xf numFmtId="0" fontId="2" fillId="31" borderId="0" xfId="0" applyFont="1" applyFill="1" applyAlignment="1" applyProtection="1">
      <alignment horizontal="center"/>
      <protection locked="0"/>
    </xf>
    <xf numFmtId="0" fontId="2" fillId="2" borderId="13" xfId="0" applyFont="1" applyFill="1" applyBorder="1" applyAlignment="1" applyProtection="1">
      <alignment horizontal="left"/>
      <protection locked="0"/>
    </xf>
    <xf numFmtId="1" fontId="2" fillId="11" borderId="0" xfId="0" applyNumberFormat="1" applyFont="1" applyFill="1" applyProtection="1">
      <protection locked="0"/>
    </xf>
    <xf numFmtId="164" fontId="2" fillId="11" borderId="0" xfId="0" applyNumberFormat="1" applyFont="1" applyFill="1" applyProtection="1">
      <protection locked="0"/>
    </xf>
    <xf numFmtId="9" fontId="2" fillId="11" borderId="0" xfId="3" applyFont="1" applyFill="1" applyProtection="1">
      <protection locked="0"/>
    </xf>
    <xf numFmtId="165" fontId="2" fillId="6" borderId="0" xfId="0" applyNumberFormat="1" applyFont="1" applyFill="1" applyProtection="1">
      <protection locked="0"/>
    </xf>
    <xf numFmtId="1" fontId="2" fillId="6" borderId="0" xfId="0" applyNumberFormat="1" applyFont="1" applyFill="1" applyProtection="1">
      <protection locked="0"/>
    </xf>
    <xf numFmtId="9" fontId="2" fillId="6" borderId="0" xfId="3" applyFont="1" applyFill="1" applyProtection="1">
      <protection locked="0"/>
    </xf>
    <xf numFmtId="9" fontId="2" fillId="6" borderId="0" xfId="0" applyNumberFormat="1" applyFont="1" applyFill="1" applyProtection="1">
      <protection locked="0"/>
    </xf>
    <xf numFmtId="0" fontId="2" fillId="7" borderId="19" xfId="0" applyFont="1" applyFill="1" applyBorder="1" applyAlignment="1" applyProtection="1">
      <alignment vertical="top" wrapText="1"/>
      <protection hidden="1"/>
    </xf>
    <xf numFmtId="0" fontId="10" fillId="10" borderId="7" xfId="0" applyFont="1" applyFill="1" applyBorder="1" applyAlignment="1" applyProtection="1">
      <alignment vertical="center"/>
      <protection hidden="1"/>
    </xf>
    <xf numFmtId="0" fontId="10" fillId="10" borderId="15" xfId="0" applyFont="1" applyFill="1" applyBorder="1" applyAlignment="1" applyProtection="1">
      <alignment vertical="center"/>
      <protection hidden="1"/>
    </xf>
    <xf numFmtId="0" fontId="2" fillId="10" borderId="17" xfId="0" applyFont="1" applyFill="1" applyBorder="1" applyProtection="1">
      <protection hidden="1"/>
    </xf>
    <xf numFmtId="0" fontId="2" fillId="14" borderId="3" xfId="0" applyFont="1" applyFill="1" applyBorder="1" applyProtection="1">
      <protection locked="0"/>
    </xf>
    <xf numFmtId="0" fontId="2" fillId="5" borderId="0" xfId="0" applyFont="1" applyFill="1" applyAlignment="1" applyProtection="1">
      <alignment vertical="center"/>
      <protection locked="0"/>
    </xf>
    <xf numFmtId="0" fontId="0" fillId="5" borderId="0" xfId="0" applyFill="1" applyAlignment="1">
      <alignment horizontal="center"/>
    </xf>
    <xf numFmtId="0" fontId="0" fillId="6" borderId="0" xfId="0" applyFill="1" applyAlignment="1">
      <alignment horizontal="center"/>
    </xf>
    <xf numFmtId="0" fontId="0" fillId="7" borderId="0" xfId="0" applyFill="1" applyAlignment="1">
      <alignment horizontal="center"/>
    </xf>
    <xf numFmtId="0" fontId="0" fillId="11" borderId="0" xfId="0" applyFill="1" applyAlignment="1">
      <alignment horizontal="left"/>
    </xf>
    <xf numFmtId="0" fontId="0" fillId="11" borderId="0" xfId="0" applyFill="1" applyAlignment="1">
      <alignment horizontal="center"/>
    </xf>
    <xf numFmtId="0" fontId="0" fillId="11" borderId="0" xfId="0" applyFill="1"/>
    <xf numFmtId="0" fontId="0" fillId="0" borderId="0" xfId="0" quotePrefix="1"/>
    <xf numFmtId="1" fontId="2" fillId="7" borderId="0" xfId="0" applyNumberFormat="1" applyFont="1" applyFill="1" applyAlignment="1" applyProtection="1">
      <alignment horizontal="center"/>
      <protection locked="0"/>
    </xf>
    <xf numFmtId="2" fontId="2" fillId="0" borderId="0" xfId="3" applyNumberFormat="1" applyFont="1" applyFill="1" applyAlignment="1" applyProtection="1">
      <alignment horizontal="center" vertical="center"/>
      <protection locked="0"/>
    </xf>
    <xf numFmtId="1" fontId="10" fillId="0" borderId="0" xfId="0" applyNumberFormat="1" applyFont="1" applyAlignment="1" applyProtection="1">
      <alignment horizontal="center" vertical="center"/>
      <protection locked="0"/>
    </xf>
    <xf numFmtId="0" fontId="10" fillId="0" borderId="0" xfId="0" applyFont="1" applyAlignment="1" applyProtection="1">
      <alignment vertical="center"/>
      <protection locked="0"/>
    </xf>
    <xf numFmtId="2" fontId="10" fillId="0" borderId="0" xfId="0" applyNumberFormat="1" applyFont="1" applyAlignment="1" applyProtection="1">
      <alignment horizontal="center" vertical="center"/>
      <protection locked="0"/>
    </xf>
    <xf numFmtId="0" fontId="2" fillId="0" borderId="20" xfId="0" applyFont="1" applyBorder="1" applyAlignment="1" applyProtection="1">
      <alignment horizontal="center"/>
      <protection locked="0"/>
    </xf>
    <xf numFmtId="0" fontId="2" fillId="0" borderId="14" xfId="0" applyFont="1" applyBorder="1" applyAlignment="1" applyProtection="1">
      <alignment horizontal="center"/>
      <protection locked="0"/>
    </xf>
    <xf numFmtId="0" fontId="2" fillId="0" borderId="19" xfId="0" applyFont="1" applyBorder="1" applyAlignment="1" applyProtection="1">
      <alignment horizontal="center"/>
      <protection locked="0"/>
    </xf>
    <xf numFmtId="168" fontId="2" fillId="0" borderId="24" xfId="0" applyNumberFormat="1" applyFont="1" applyBorder="1" applyAlignment="1" applyProtection="1">
      <alignment horizontal="center"/>
      <protection locked="0"/>
    </xf>
    <xf numFmtId="168" fontId="2" fillId="0" borderId="16" xfId="0" applyNumberFormat="1" applyFont="1" applyBorder="1" applyAlignment="1" applyProtection="1">
      <alignment horizontal="center"/>
      <protection locked="0"/>
    </xf>
    <xf numFmtId="0" fontId="2" fillId="0" borderId="1" xfId="0" applyFont="1" applyBorder="1" applyProtection="1">
      <protection locked="0"/>
    </xf>
    <xf numFmtId="0" fontId="2" fillId="0" borderId="17" xfId="0" applyFont="1" applyBorder="1" applyProtection="1">
      <protection locked="0"/>
    </xf>
    <xf numFmtId="0" fontId="2" fillId="0" borderId="24" xfId="0" quotePrefix="1" applyFont="1" applyBorder="1" applyAlignment="1" applyProtection="1">
      <alignment horizontal="left"/>
      <protection locked="0"/>
    </xf>
    <xf numFmtId="0" fontId="2" fillId="0" borderId="0" xfId="0" quotePrefix="1" applyFont="1" applyAlignment="1" applyProtection="1">
      <alignment horizontal="left"/>
      <protection locked="0"/>
    </xf>
    <xf numFmtId="168" fontId="2" fillId="0" borderId="1" xfId="0" applyNumberFormat="1" applyFont="1" applyBorder="1" applyAlignment="1" applyProtection="1">
      <alignment horizontal="center"/>
      <protection locked="0"/>
    </xf>
    <xf numFmtId="0" fontId="2" fillId="0" borderId="1" xfId="0" quotePrefix="1" applyFont="1" applyBorder="1" applyAlignment="1" applyProtection="1">
      <alignment horizontal="left"/>
      <protection locked="0"/>
    </xf>
    <xf numFmtId="0" fontId="28" fillId="0" borderId="0" xfId="0" applyFont="1" applyAlignment="1">
      <alignment horizontal="center"/>
    </xf>
    <xf numFmtId="2" fontId="28" fillId="0" borderId="0" xfId="0" applyNumberFormat="1" applyFont="1" applyAlignment="1" applyProtection="1">
      <alignment horizontal="center"/>
      <protection locked="0"/>
    </xf>
    <xf numFmtId="1" fontId="2" fillId="0" borderId="0" xfId="0" applyNumberFormat="1" applyFont="1" applyAlignment="1">
      <alignment horizontal="center"/>
    </xf>
    <xf numFmtId="1" fontId="0" fillId="6" borderId="0" xfId="0" applyNumberFormat="1" applyFill="1" applyAlignment="1">
      <alignment horizontal="center"/>
    </xf>
    <xf numFmtId="0" fontId="2" fillId="5" borderId="0" xfId="0" applyFont="1" applyFill="1" applyAlignment="1" applyProtection="1">
      <alignment vertical="center"/>
      <protection hidden="1"/>
    </xf>
    <xf numFmtId="0" fontId="0" fillId="5" borderId="0" xfId="0" applyFill="1" applyAlignment="1">
      <alignment horizontal="center" vertical="center"/>
    </xf>
    <xf numFmtId="0" fontId="28" fillId="5" borderId="0" xfId="0" applyFont="1" applyFill="1" applyAlignment="1" applyProtection="1">
      <alignment vertical="center"/>
      <protection hidden="1"/>
    </xf>
    <xf numFmtId="1" fontId="2" fillId="10" borderId="0" xfId="0" applyNumberFormat="1" applyFont="1" applyFill="1" applyAlignment="1" applyProtection="1">
      <alignment horizontal="center"/>
      <protection locked="0"/>
    </xf>
    <xf numFmtId="1" fontId="2" fillId="10" borderId="0" xfId="0" applyNumberFormat="1" applyFont="1" applyFill="1" applyAlignment="1" applyProtection="1">
      <alignment horizontal="left"/>
      <protection locked="0"/>
    </xf>
    <xf numFmtId="2" fontId="2" fillId="8" borderId="3" xfId="0" applyNumberFormat="1" applyFont="1" applyFill="1" applyBorder="1" applyAlignment="1" applyProtection="1">
      <alignment horizontal="center"/>
      <protection locked="0"/>
    </xf>
    <xf numFmtId="0" fontId="0" fillId="29" borderId="0" xfId="0" applyFill="1" applyProtection="1">
      <protection locked="0"/>
    </xf>
    <xf numFmtId="165" fontId="0" fillId="0" borderId="0" xfId="0" applyNumberFormat="1" applyAlignment="1" applyProtection="1">
      <alignment horizontal="center"/>
      <protection locked="0"/>
    </xf>
    <xf numFmtId="0" fontId="44" fillId="10" borderId="27" xfId="0" applyFont="1" applyFill="1" applyBorder="1" applyProtection="1">
      <protection hidden="1"/>
    </xf>
    <xf numFmtId="164" fontId="0" fillId="0" borderId="0" xfId="0" applyNumberFormat="1" applyAlignment="1" applyProtection="1">
      <alignment horizontal="center"/>
      <protection locked="0"/>
    </xf>
    <xf numFmtId="0" fontId="28" fillId="10" borderId="0" xfId="0" applyFont="1" applyFill="1" applyAlignment="1" applyProtection="1">
      <alignment horizontal="left"/>
      <protection hidden="1"/>
    </xf>
    <xf numFmtId="0" fontId="31" fillId="10" borderId="0" xfId="0" applyFont="1" applyFill="1" applyProtection="1">
      <protection hidden="1"/>
    </xf>
    <xf numFmtId="0" fontId="28" fillId="10" borderId="0" xfId="0" applyFont="1" applyFill="1" applyAlignment="1" applyProtection="1">
      <alignment vertical="center" wrapText="1"/>
      <protection hidden="1"/>
    </xf>
    <xf numFmtId="167" fontId="0" fillId="0" borderId="19" xfId="0" applyNumberFormat="1" applyBorder="1"/>
    <xf numFmtId="167" fontId="0" fillId="0" borderId="20" xfId="0" applyNumberFormat="1" applyBorder="1"/>
    <xf numFmtId="167" fontId="0" fillId="0" borderId="14" xfId="0" applyNumberFormat="1" applyBorder="1"/>
    <xf numFmtId="167" fontId="0" fillId="0" borderId="7" xfId="0" applyNumberFormat="1" applyBorder="1"/>
    <xf numFmtId="167" fontId="0" fillId="0" borderId="15" xfId="0" applyNumberFormat="1" applyBorder="1"/>
    <xf numFmtId="167" fontId="0" fillId="0" borderId="24" xfId="0" applyNumberFormat="1" applyBorder="1"/>
    <xf numFmtId="167" fontId="0" fillId="0" borderId="1" xfId="0" applyNumberFormat="1" applyBorder="1"/>
    <xf numFmtId="167" fontId="0" fillId="0" borderId="17" xfId="0" applyNumberFormat="1" applyBorder="1"/>
    <xf numFmtId="2" fontId="0" fillId="0" borderId="0" xfId="0" applyNumberFormat="1"/>
    <xf numFmtId="166" fontId="0" fillId="0" borderId="0" xfId="0" applyNumberFormat="1"/>
    <xf numFmtId="0" fontId="0" fillId="0" borderId="13" xfId="0" applyBorder="1" applyAlignment="1">
      <alignment horizontal="center"/>
    </xf>
    <xf numFmtId="2" fontId="0" fillId="0" borderId="4" xfId="0" applyNumberFormat="1" applyBorder="1" applyAlignment="1">
      <alignment horizontal="center"/>
    </xf>
    <xf numFmtId="2" fontId="0" fillId="0" borderId="0" xfId="0" applyNumberFormat="1" applyAlignment="1">
      <alignment horizontal="center"/>
    </xf>
    <xf numFmtId="2" fontId="0" fillId="0" borderId="16" xfId="0" applyNumberFormat="1" applyBorder="1" applyAlignment="1">
      <alignment horizontal="center"/>
    </xf>
    <xf numFmtId="167" fontId="0" fillId="0" borderId="19" xfId="0" applyNumberFormat="1" applyBorder="1" applyAlignment="1">
      <alignment horizontal="center"/>
    </xf>
    <xf numFmtId="167" fontId="0" fillId="0" borderId="20" xfId="0" applyNumberFormat="1" applyBorder="1" applyAlignment="1">
      <alignment horizontal="center"/>
    </xf>
    <xf numFmtId="167" fontId="0" fillId="0" borderId="14" xfId="0" applyNumberFormat="1" applyBorder="1" applyAlignment="1">
      <alignment horizontal="center"/>
    </xf>
    <xf numFmtId="2" fontId="0" fillId="14" borderId="0" xfId="0" applyNumberFormat="1" applyFill="1" applyAlignment="1">
      <alignment horizontal="center"/>
    </xf>
    <xf numFmtId="9" fontId="0" fillId="0" borderId="0" xfId="3" applyFont="1" applyAlignment="1">
      <alignment horizontal="center"/>
    </xf>
    <xf numFmtId="167" fontId="0" fillId="0" borderId="7" xfId="0" applyNumberFormat="1" applyBorder="1" applyAlignment="1">
      <alignment horizontal="center"/>
    </xf>
    <xf numFmtId="167" fontId="0" fillId="0" borderId="15" xfId="0" applyNumberFormat="1" applyBorder="1" applyAlignment="1">
      <alignment horizontal="center"/>
    </xf>
    <xf numFmtId="167" fontId="0" fillId="0" borderId="24" xfId="0" applyNumberFormat="1" applyBorder="1" applyAlignment="1">
      <alignment horizontal="center"/>
    </xf>
    <xf numFmtId="167" fontId="0" fillId="0" borderId="1" xfId="0" applyNumberFormat="1" applyBorder="1" applyAlignment="1">
      <alignment horizontal="center"/>
    </xf>
    <xf numFmtId="167" fontId="0" fillId="0" borderId="17" xfId="0" applyNumberFormat="1" applyBorder="1" applyAlignment="1">
      <alignment horizontal="center"/>
    </xf>
    <xf numFmtId="0" fontId="0" fillId="29" borderId="0" xfId="0" applyFill="1" applyAlignment="1" applyProtection="1">
      <alignment horizontal="right"/>
      <protection locked="0"/>
    </xf>
    <xf numFmtId="164" fontId="0" fillId="2" borderId="0" xfId="0" applyNumberFormat="1" applyFill="1" applyAlignment="1">
      <alignment horizontal="center"/>
    </xf>
    <xf numFmtId="1" fontId="0" fillId="0" borderId="4" xfId="0" applyNumberFormat="1" applyBorder="1" applyAlignment="1">
      <alignment horizontal="center"/>
    </xf>
    <xf numFmtId="0" fontId="0" fillId="2" borderId="13" xfId="0" applyFill="1" applyBorder="1" applyAlignment="1">
      <alignment horizontal="center"/>
    </xf>
    <xf numFmtId="2" fontId="0" fillId="2" borderId="4" xfId="0" applyNumberFormat="1" applyFill="1" applyBorder="1" applyAlignment="1">
      <alignment horizontal="center"/>
    </xf>
    <xf numFmtId="164" fontId="0" fillId="29" borderId="0" xfId="0" applyNumberFormat="1" applyFill="1" applyProtection="1">
      <protection locked="0"/>
    </xf>
    <xf numFmtId="167" fontId="0" fillId="29" borderId="0" xfId="0" applyNumberFormat="1" applyFill="1"/>
    <xf numFmtId="164" fontId="2" fillId="9" borderId="0" xfId="0" applyNumberFormat="1" applyFont="1" applyFill="1" applyAlignment="1" applyProtection="1">
      <alignment horizontal="center"/>
      <protection hidden="1"/>
    </xf>
    <xf numFmtId="164" fontId="2" fillId="8" borderId="3" xfId="0" applyNumberFormat="1" applyFont="1" applyFill="1" applyBorder="1" applyAlignment="1" applyProtection="1">
      <alignment horizontal="center"/>
      <protection locked="0"/>
    </xf>
    <xf numFmtId="164" fontId="0" fillId="2" borderId="16" xfId="0" applyNumberFormat="1" applyFill="1" applyBorder="1" applyAlignment="1">
      <alignment horizontal="center"/>
    </xf>
    <xf numFmtId="164" fontId="0" fillId="0" borderId="16" xfId="0" applyNumberFormat="1" applyBorder="1" applyAlignment="1">
      <alignment horizontal="center"/>
    </xf>
    <xf numFmtId="9" fontId="2" fillId="7" borderId="0" xfId="3" applyFont="1" applyFill="1" applyBorder="1" applyAlignment="1" applyProtection="1">
      <alignment horizontal="center"/>
      <protection hidden="1"/>
    </xf>
    <xf numFmtId="165" fontId="2" fillId="7" borderId="0" xfId="0" applyNumberFormat="1" applyFont="1" applyFill="1" applyAlignment="1" applyProtection="1">
      <alignment horizontal="center"/>
      <protection hidden="1"/>
    </xf>
    <xf numFmtId="9" fontId="2" fillId="7" borderId="1" xfId="3" applyFont="1" applyFill="1" applyBorder="1" applyAlignment="1" applyProtection="1">
      <alignment horizontal="center"/>
      <protection hidden="1"/>
    </xf>
    <xf numFmtId="0" fontId="0" fillId="0" borderId="2" xfId="0" applyBorder="1" applyProtection="1">
      <protection locked="0"/>
    </xf>
    <xf numFmtId="2" fontId="2" fillId="0" borderId="0" xfId="3" applyNumberFormat="1" applyFont="1" applyFill="1" applyBorder="1" applyAlignment="1" applyProtection="1">
      <alignment horizontal="center" vertical="center"/>
      <protection locked="0"/>
    </xf>
    <xf numFmtId="2" fontId="2" fillId="14" borderId="3" xfId="0" applyNumberFormat="1" applyFont="1" applyFill="1" applyBorder="1" applyAlignment="1" applyProtection="1">
      <alignment horizontal="center"/>
      <protection locked="0"/>
    </xf>
    <xf numFmtId="0" fontId="2" fillId="11" borderId="0" xfId="0" applyFont="1" applyFill="1" applyProtection="1">
      <protection locked="0"/>
    </xf>
    <xf numFmtId="0" fontId="2" fillId="11" borderId="0" xfId="0" applyFont="1" applyFill="1"/>
    <xf numFmtId="0" fontId="10" fillId="34" borderId="0" xfId="0" applyFont="1" applyFill="1" applyAlignment="1" applyProtection="1">
      <alignment horizontal="center"/>
      <protection locked="0"/>
    </xf>
    <xf numFmtId="49" fontId="2" fillId="7" borderId="0" xfId="0" applyNumberFormat="1" applyFont="1" applyFill="1" applyAlignment="1" applyProtection="1">
      <alignment horizontal="center"/>
      <protection hidden="1"/>
    </xf>
    <xf numFmtId="0" fontId="2" fillId="35" borderId="0" xfId="0" applyFont="1" applyFill="1"/>
    <xf numFmtId="0" fontId="2" fillId="0" borderId="0" xfId="0" quotePrefix="1" applyFont="1" applyAlignment="1" applyProtection="1">
      <alignment horizontal="left" vertical="center"/>
      <protection locked="0"/>
    </xf>
    <xf numFmtId="0" fontId="31" fillId="29" borderId="0" xfId="0" applyFont="1" applyFill="1" applyAlignment="1" applyProtection="1">
      <alignment vertical="center"/>
      <protection hidden="1"/>
    </xf>
    <xf numFmtId="0" fontId="31" fillId="29" borderId="0" xfId="0" applyFont="1" applyFill="1" applyAlignment="1" applyProtection="1">
      <alignment vertical="center" wrapText="1"/>
      <protection hidden="1"/>
    </xf>
    <xf numFmtId="0" fontId="31" fillId="36" borderId="0" xfId="0" applyFont="1" applyFill="1" applyAlignment="1" applyProtection="1">
      <alignment horizontal="center" vertical="center"/>
      <protection hidden="1"/>
    </xf>
    <xf numFmtId="0" fontId="2" fillId="0" borderId="3" xfId="0" applyFont="1" applyBorder="1" applyAlignment="1" applyProtection="1">
      <alignment horizontal="center"/>
      <protection hidden="1"/>
    </xf>
    <xf numFmtId="0" fontId="2" fillId="10" borderId="20" xfId="0" applyFont="1" applyFill="1" applyBorder="1" applyProtection="1">
      <protection hidden="1"/>
    </xf>
    <xf numFmtId="0" fontId="0" fillId="0" borderId="22" xfId="0" applyBorder="1" applyAlignment="1">
      <alignment horizontal="center"/>
    </xf>
    <xf numFmtId="0" fontId="0" fillId="0" borderId="22" xfId="0" applyBorder="1" applyAlignment="1">
      <alignment horizontal="left"/>
    </xf>
    <xf numFmtId="0" fontId="0" fillId="5" borderId="22" xfId="0" applyFill="1" applyBorder="1" applyAlignment="1">
      <alignment horizontal="center" vertical="center"/>
    </xf>
    <xf numFmtId="0" fontId="2" fillId="0" borderId="22" xfId="0" applyFont="1" applyBorder="1"/>
    <xf numFmtId="164" fontId="2" fillId="0" borderId="22" xfId="0" applyNumberFormat="1" applyFont="1" applyBorder="1" applyProtection="1">
      <protection locked="0"/>
    </xf>
    <xf numFmtId="164" fontId="2" fillId="0" borderId="22" xfId="0" applyNumberFormat="1" applyFont="1" applyBorder="1" applyAlignment="1" applyProtection="1">
      <alignment vertical="center"/>
      <protection locked="0"/>
    </xf>
    <xf numFmtId="1" fontId="2" fillId="0" borderId="22" xfId="0" applyNumberFormat="1" applyFont="1" applyBorder="1" applyAlignment="1" applyProtection="1">
      <alignment horizontal="center" vertical="center"/>
      <protection locked="0"/>
    </xf>
    <xf numFmtId="0" fontId="0" fillId="0" borderId="22" xfId="0" applyBorder="1" applyProtection="1">
      <protection locked="0"/>
    </xf>
    <xf numFmtId="0" fontId="2" fillId="5" borderId="22" xfId="0" applyFont="1" applyFill="1" applyBorder="1" applyProtection="1">
      <protection locked="0" hidden="1"/>
    </xf>
    <xf numFmtId="0" fontId="11" fillId="0" borderId="0" xfId="0" applyFont="1" applyAlignment="1" applyProtection="1">
      <alignment horizontal="center"/>
      <protection locked="0"/>
    </xf>
    <xf numFmtId="0" fontId="11" fillId="0" borderId="0" xfId="0" applyFont="1" applyProtection="1">
      <protection locked="0"/>
    </xf>
    <xf numFmtId="1" fontId="11" fillId="0" borderId="0" xfId="0" applyNumberFormat="1" applyFont="1" applyAlignment="1" applyProtection="1">
      <alignment horizontal="center"/>
      <protection locked="0"/>
    </xf>
    <xf numFmtId="0" fontId="16" fillId="10" borderId="0" xfId="0" applyFont="1" applyFill="1" applyAlignment="1" applyProtection="1">
      <alignment horizontal="right"/>
      <protection hidden="1"/>
    </xf>
    <xf numFmtId="0" fontId="16" fillId="10" borderId="0" xfId="0" applyFont="1" applyFill="1" applyAlignment="1" applyProtection="1">
      <alignment horizontal="center" vertical="top"/>
      <protection hidden="1"/>
    </xf>
    <xf numFmtId="167" fontId="11" fillId="0" borderId="0" xfId="0" applyNumberFormat="1" applyFont="1" applyAlignment="1" applyProtection="1">
      <alignment horizontal="center"/>
      <protection locked="0"/>
    </xf>
    <xf numFmtId="2" fontId="2" fillId="9" borderId="0" xfId="0" applyNumberFormat="1" applyFont="1" applyFill="1" applyAlignment="1" applyProtection="1">
      <alignment horizontal="center"/>
      <protection hidden="1"/>
    </xf>
    <xf numFmtId="1" fontId="2" fillId="0" borderId="0" xfId="0" applyNumberFormat="1" applyFont="1" applyAlignment="1" applyProtection="1">
      <alignment horizontal="center" wrapText="1"/>
      <protection locked="0"/>
    </xf>
    <xf numFmtId="1" fontId="16" fillId="0" borderId="0" xfId="0" applyNumberFormat="1" applyFont="1" applyAlignment="1" applyProtection="1">
      <alignment horizontal="center" wrapText="1"/>
      <protection locked="0"/>
    </xf>
    <xf numFmtId="0" fontId="2" fillId="0" borderId="0" xfId="0" applyFont="1" applyAlignment="1">
      <alignment wrapText="1"/>
    </xf>
    <xf numFmtId="0" fontId="2" fillId="34" borderId="0" xfId="0" applyFont="1" applyFill="1" applyAlignment="1" applyProtection="1">
      <alignment horizontal="center"/>
      <protection locked="0"/>
    </xf>
    <xf numFmtId="1" fontId="2" fillId="34" borderId="0" xfId="0" applyNumberFormat="1" applyFont="1" applyFill="1" applyAlignment="1" applyProtection="1">
      <alignment horizontal="center"/>
      <protection locked="0"/>
    </xf>
    <xf numFmtId="0" fontId="2" fillId="34" borderId="0" xfId="0" applyFont="1" applyFill="1" applyAlignment="1">
      <alignment horizontal="center"/>
    </xf>
    <xf numFmtId="167" fontId="2" fillId="2" borderId="0" xfId="0" applyNumberFormat="1" applyFont="1" applyFill="1" applyAlignment="1" applyProtection="1">
      <alignment horizontal="center"/>
      <protection locked="0"/>
    </xf>
    <xf numFmtId="0" fontId="0" fillId="11" borderId="0" xfId="0" applyFill="1" applyProtection="1">
      <protection locked="0"/>
    </xf>
    <xf numFmtId="0" fontId="28" fillId="19" borderId="0" xfId="0" applyFont="1" applyFill="1" applyProtection="1">
      <protection hidden="1"/>
    </xf>
    <xf numFmtId="0" fontId="2" fillId="6" borderId="0" xfId="0" applyFont="1" applyFill="1" applyProtection="1">
      <protection hidden="1"/>
    </xf>
    <xf numFmtId="1" fontId="2" fillId="6" borderId="0" xfId="0" applyNumberFormat="1" applyFont="1" applyFill="1" applyAlignment="1" applyProtection="1">
      <alignment horizontal="center"/>
      <protection hidden="1"/>
    </xf>
    <xf numFmtId="2" fontId="2" fillId="0" borderId="0" xfId="0" applyNumberFormat="1" applyFont="1" applyAlignment="1">
      <alignment horizontal="center"/>
    </xf>
    <xf numFmtId="0" fontId="2" fillId="3" borderId="0" xfId="0" applyFont="1" applyFill="1" applyProtection="1">
      <protection locked="0"/>
    </xf>
    <xf numFmtId="164" fontId="2" fillId="13" borderId="0" xfId="0" applyNumberFormat="1" applyFont="1" applyFill="1" applyProtection="1">
      <protection locked="0"/>
    </xf>
    <xf numFmtId="0" fontId="0" fillId="0" borderId="27" xfId="0" applyBorder="1" applyAlignment="1">
      <alignment horizontal="center"/>
    </xf>
    <xf numFmtId="0" fontId="2" fillId="0" borderId="27" xfId="0" applyFont="1" applyBorder="1"/>
    <xf numFmtId="166" fontId="2" fillId="0" borderId="27" xfId="0" applyNumberFormat="1" applyFont="1" applyBorder="1" applyAlignment="1" applyProtection="1">
      <alignment horizontal="center"/>
      <protection locked="0"/>
    </xf>
    <xf numFmtId="167" fontId="2" fillId="0" borderId="27" xfId="0" applyNumberFormat="1" applyFont="1" applyBorder="1" applyAlignment="1" applyProtection="1">
      <alignment horizontal="center"/>
      <protection locked="0"/>
    </xf>
    <xf numFmtId="49" fontId="2" fillId="0" borderId="27" xfId="0" applyNumberFormat="1" applyFont="1" applyBorder="1" applyAlignment="1" applyProtection="1">
      <alignment horizontal="center"/>
      <protection locked="0"/>
    </xf>
    <xf numFmtId="0" fontId="2" fillId="0" borderId="27" xfId="0" applyFont="1" applyBorder="1" applyAlignment="1" applyProtection="1">
      <alignment horizontal="center" vertical="center"/>
      <protection locked="0"/>
    </xf>
    <xf numFmtId="165" fontId="2" fillId="0" borderId="27" xfId="0" applyNumberFormat="1" applyFont="1" applyBorder="1"/>
    <xf numFmtId="0" fontId="2" fillId="0" borderId="27" xfId="0" applyFont="1" applyBorder="1" applyAlignment="1" applyProtection="1">
      <alignment horizontal="center"/>
      <protection locked="0"/>
    </xf>
    <xf numFmtId="2" fontId="2" fillId="0" borderId="27" xfId="0" applyNumberFormat="1" applyFont="1" applyBorder="1"/>
    <xf numFmtId="0" fontId="2" fillId="0" borderId="27" xfId="0" quotePrefix="1" applyFont="1" applyBorder="1" applyAlignment="1" applyProtection="1">
      <alignment horizontal="center" vertical="center"/>
      <protection locked="0"/>
    </xf>
    <xf numFmtId="167" fontId="28" fillId="0" borderId="27" xfId="0" applyNumberFormat="1" applyFont="1" applyBorder="1" applyAlignment="1" applyProtection="1">
      <alignment horizontal="right"/>
      <protection locked="0"/>
    </xf>
    <xf numFmtId="0" fontId="28" fillId="0" borderId="38" xfId="0" applyFont="1" applyBorder="1" applyAlignment="1" applyProtection="1">
      <alignment horizontal="center"/>
      <protection locked="0"/>
    </xf>
    <xf numFmtId="165" fontId="0" fillId="0" borderId="27" xfId="0" applyNumberFormat="1" applyBorder="1" applyProtection="1">
      <protection locked="0"/>
    </xf>
    <xf numFmtId="165" fontId="2" fillId="0" borderId="27" xfId="0" applyNumberFormat="1" applyFont="1" applyBorder="1" applyAlignment="1" applyProtection="1">
      <alignment horizontal="center"/>
      <protection locked="0"/>
    </xf>
    <xf numFmtId="0" fontId="2" fillId="6" borderId="27" xfId="0" applyFont="1" applyFill="1" applyBorder="1" applyAlignment="1" applyProtection="1">
      <alignment horizontal="center"/>
      <protection locked="0"/>
    </xf>
    <xf numFmtId="0" fontId="6" fillId="19" borderId="27" xfId="0" applyFont="1" applyFill="1" applyBorder="1" applyAlignment="1" applyProtection="1">
      <alignment horizontal="center"/>
      <protection locked="0"/>
    </xf>
    <xf numFmtId="0" fontId="28" fillId="9" borderId="7" xfId="0" applyFont="1" applyFill="1" applyBorder="1" applyProtection="1">
      <protection hidden="1"/>
    </xf>
    <xf numFmtId="0" fontId="28" fillId="9" borderId="0" xfId="0" applyFont="1" applyFill="1" applyProtection="1">
      <protection hidden="1"/>
    </xf>
    <xf numFmtId="0" fontId="2" fillId="33" borderId="15" xfId="0" applyFont="1" applyFill="1" applyBorder="1" applyAlignment="1" applyProtection="1">
      <alignment horizontal="right" vertical="center"/>
      <protection hidden="1"/>
    </xf>
    <xf numFmtId="0" fontId="2" fillId="17" borderId="0" xfId="0" applyFont="1" applyFill="1" applyAlignment="1" applyProtection="1">
      <alignment vertical="center"/>
      <protection hidden="1"/>
    </xf>
    <xf numFmtId="0" fontId="2" fillId="17" borderId="0" xfId="0" applyFont="1" applyFill="1" applyAlignment="1" applyProtection="1">
      <alignment horizontal="left"/>
      <protection hidden="1"/>
    </xf>
    <xf numFmtId="0" fontId="2" fillId="17" borderId="0" xfId="0" applyFont="1" applyFill="1" applyAlignment="1" applyProtection="1">
      <alignment horizontal="right" vertical="top"/>
      <protection hidden="1"/>
    </xf>
    <xf numFmtId="0" fontId="2" fillId="33" borderId="7" xfId="0" applyFont="1" applyFill="1" applyBorder="1" applyAlignment="1" applyProtection="1">
      <alignment horizontal="right" vertical="top"/>
      <protection hidden="1"/>
    </xf>
    <xf numFmtId="165" fontId="2" fillId="8" borderId="16" xfId="0" applyNumberFormat="1" applyFont="1" applyFill="1" applyBorder="1" applyAlignment="1" applyProtection="1">
      <alignment horizontal="center"/>
      <protection hidden="1"/>
    </xf>
    <xf numFmtId="0" fontId="2" fillId="19" borderId="0" xfId="0" applyFont="1" applyFill="1" applyAlignment="1" applyProtection="1">
      <alignment vertical="center"/>
      <protection hidden="1"/>
    </xf>
    <xf numFmtId="164" fontId="0" fillId="0" borderId="19" xfId="0" applyNumberFormat="1" applyBorder="1" applyAlignment="1">
      <alignment horizontal="center"/>
    </xf>
    <xf numFmtId="164" fontId="0" fillId="0" borderId="20" xfId="0" applyNumberFormat="1" applyBorder="1" applyAlignment="1">
      <alignment horizontal="center"/>
    </xf>
    <xf numFmtId="164" fontId="0" fillId="0" borderId="14" xfId="0" applyNumberFormat="1" applyBorder="1" applyAlignment="1">
      <alignment horizontal="center"/>
    </xf>
    <xf numFmtId="164" fontId="0" fillId="0" borderId="7" xfId="0" applyNumberFormat="1" applyBorder="1" applyAlignment="1">
      <alignment horizontal="center"/>
    </xf>
    <xf numFmtId="164" fontId="0" fillId="0" borderId="0" xfId="0" applyNumberFormat="1" applyAlignment="1">
      <alignment horizontal="center"/>
    </xf>
    <xf numFmtId="164" fontId="0" fillId="0" borderId="15" xfId="0" applyNumberFormat="1" applyBorder="1" applyAlignment="1">
      <alignment horizontal="center"/>
    </xf>
    <xf numFmtId="164" fontId="0" fillId="0" borderId="24" xfId="0" applyNumberFormat="1" applyBorder="1" applyAlignment="1">
      <alignment horizontal="center"/>
    </xf>
    <xf numFmtId="164" fontId="0" fillId="0" borderId="1" xfId="0" applyNumberFormat="1" applyBorder="1" applyAlignment="1">
      <alignment horizontal="center"/>
    </xf>
    <xf numFmtId="164" fontId="0" fillId="0" borderId="17" xfId="0" applyNumberFormat="1" applyBorder="1" applyAlignment="1">
      <alignment horizontal="center"/>
    </xf>
    <xf numFmtId="0" fontId="0" fillId="0" borderId="20" xfId="0" applyBorder="1"/>
    <xf numFmtId="0" fontId="0" fillId="0" borderId="14" xfId="0" applyBorder="1"/>
    <xf numFmtId="0" fontId="0" fillId="0" borderId="7" xfId="0" applyBorder="1"/>
    <xf numFmtId="0" fontId="0" fillId="0" borderId="15" xfId="0" applyBorder="1"/>
    <xf numFmtId="0" fontId="0" fillId="0" borderId="24" xfId="0" applyBorder="1"/>
    <xf numFmtId="0" fontId="0" fillId="0" borderId="1" xfId="0" applyBorder="1"/>
    <xf numFmtId="0" fontId="0" fillId="0" borderId="17" xfId="0" applyBorder="1"/>
    <xf numFmtId="0" fontId="2" fillId="15" borderId="0" xfId="0" applyFont="1" applyFill="1" applyAlignment="1">
      <alignment horizontal="center"/>
    </xf>
    <xf numFmtId="165" fontId="2" fillId="5" borderId="19" xfId="0" applyNumberFormat="1" applyFont="1" applyFill="1" applyBorder="1" applyAlignment="1" applyProtection="1">
      <alignment horizontal="center"/>
      <protection hidden="1"/>
    </xf>
    <xf numFmtId="165" fontId="2" fillId="5" borderId="20" xfId="0" applyNumberFormat="1" applyFont="1" applyFill="1" applyBorder="1" applyAlignment="1" applyProtection="1">
      <alignment horizontal="center"/>
      <protection hidden="1"/>
    </xf>
    <xf numFmtId="165" fontId="2" fillId="5" borderId="14" xfId="0" applyNumberFormat="1" applyFont="1" applyFill="1" applyBorder="1" applyAlignment="1" applyProtection="1">
      <alignment horizontal="center"/>
      <protection hidden="1"/>
    </xf>
    <xf numFmtId="165" fontId="2" fillId="5" borderId="24" xfId="0" applyNumberFormat="1" applyFont="1" applyFill="1" applyBorder="1" applyAlignment="1" applyProtection="1">
      <alignment horizontal="center"/>
      <protection hidden="1"/>
    </xf>
    <xf numFmtId="1" fontId="2" fillId="0" borderId="3" xfId="0" applyNumberFormat="1" applyFont="1" applyBorder="1" applyAlignment="1" applyProtection="1">
      <alignment horizontal="center"/>
      <protection locked="0"/>
    </xf>
    <xf numFmtId="0" fontId="0" fillId="6" borderId="3" xfId="0" applyFill="1" applyBorder="1" applyAlignment="1">
      <alignment horizontal="center"/>
    </xf>
    <xf numFmtId="0" fontId="25" fillId="0" borderId="0" xfId="0" applyFont="1" applyAlignment="1">
      <alignment horizontal="center" vertical="center" readingOrder="1"/>
    </xf>
    <xf numFmtId="164" fontId="25" fillId="0" borderId="0" xfId="0" applyNumberFormat="1" applyFont="1" applyAlignment="1">
      <alignment horizontal="center" vertical="center" readingOrder="1"/>
    </xf>
    <xf numFmtId="1" fontId="25" fillId="0" borderId="0" xfId="0" applyNumberFormat="1" applyFont="1" applyAlignment="1">
      <alignment horizontal="center" vertical="center" readingOrder="1"/>
    </xf>
    <xf numFmtId="164" fontId="25" fillId="0" borderId="15" xfId="0" applyNumberFormat="1" applyFont="1" applyBorder="1" applyAlignment="1">
      <alignment horizontal="center" vertical="center" readingOrder="1"/>
    </xf>
    <xf numFmtId="0" fontId="25" fillId="0" borderId="15" xfId="0" applyFont="1" applyBorder="1" applyAlignment="1">
      <alignment horizontal="center" vertical="center" readingOrder="1"/>
    </xf>
    <xf numFmtId="2" fontId="2" fillId="0" borderId="0" xfId="0" quotePrefix="1" applyNumberFormat="1" applyFont="1" applyAlignment="1" applyProtection="1">
      <alignment horizontal="center" vertical="center"/>
      <protection locked="0"/>
    </xf>
    <xf numFmtId="0" fontId="56" fillId="0" borderId="0" xfId="0" applyFont="1" applyAlignment="1">
      <alignment vertical="top"/>
    </xf>
    <xf numFmtId="164" fontId="2" fillId="0" borderId="0" xfId="0" applyNumberFormat="1" applyFont="1" applyAlignment="1" applyProtection="1">
      <alignment vertical="center" textRotation="90"/>
      <protection locked="0"/>
    </xf>
    <xf numFmtId="164" fontId="61" fillId="0" borderId="0" xfId="0" applyNumberFormat="1" applyFont="1" applyAlignment="1" applyProtection="1">
      <alignment vertical="center" textRotation="90"/>
      <protection locked="0"/>
    </xf>
    <xf numFmtId="167" fontId="62" fillId="0" borderId="0" xfId="0" applyNumberFormat="1" applyFont="1"/>
    <xf numFmtId="2" fontId="0" fillId="2" borderId="0" xfId="0" applyNumberFormat="1" applyFill="1"/>
    <xf numFmtId="164" fontId="2" fillId="0" borderId="0" xfId="0" applyNumberFormat="1" applyFont="1" applyAlignment="1" applyProtection="1">
      <alignment vertical="center" textRotation="90"/>
      <protection hidden="1"/>
    </xf>
    <xf numFmtId="164" fontId="61" fillId="0" borderId="0" xfId="0" applyNumberFormat="1" applyFont="1" applyAlignment="1" applyProtection="1">
      <alignment vertical="center" textRotation="90"/>
      <protection hidden="1"/>
    </xf>
    <xf numFmtId="0" fontId="0" fillId="0" borderId="0" xfId="0" applyProtection="1">
      <protection hidden="1"/>
    </xf>
    <xf numFmtId="0" fontId="56" fillId="0" borderId="0" xfId="0" applyFont="1" applyAlignment="1" applyProtection="1">
      <alignment vertical="top"/>
      <protection hidden="1"/>
    </xf>
    <xf numFmtId="164" fontId="61" fillId="0" borderId="0" xfId="0" applyNumberFormat="1" applyFont="1" applyAlignment="1" applyProtection="1">
      <alignment horizontal="center"/>
      <protection hidden="1"/>
    </xf>
    <xf numFmtId="164" fontId="6" fillId="0" borderId="0" xfId="0" applyNumberFormat="1" applyFont="1" applyAlignment="1" applyProtection="1">
      <alignment horizontal="center"/>
      <protection hidden="1"/>
    </xf>
    <xf numFmtId="0" fontId="2" fillId="0" borderId="1" xfId="0" applyFont="1" applyBorder="1" applyProtection="1">
      <protection hidden="1"/>
    </xf>
    <xf numFmtId="9" fontId="2" fillId="0" borderId="0" xfId="3" applyFont="1" applyFill="1" applyAlignment="1" applyProtection="1">
      <alignment horizontal="center" vertical="top"/>
      <protection hidden="1"/>
    </xf>
    <xf numFmtId="0" fontId="2" fillId="0" borderId="0" xfId="0" applyFont="1" applyAlignment="1" applyProtection="1">
      <alignment horizontal="left"/>
      <protection hidden="1"/>
    </xf>
    <xf numFmtId="1" fontId="61" fillId="0" borderId="0" xfId="0" applyNumberFormat="1" applyFont="1" applyAlignment="1" applyProtection="1">
      <alignment horizontal="center"/>
      <protection hidden="1"/>
    </xf>
    <xf numFmtId="2" fontId="61" fillId="0" borderId="39" xfId="0" applyNumberFormat="1" applyFont="1" applyBorder="1" applyAlignment="1" applyProtection="1">
      <alignment horizontal="center"/>
      <protection hidden="1"/>
    </xf>
    <xf numFmtId="2" fontId="61" fillId="0" borderId="0" xfId="0" applyNumberFormat="1" applyFont="1" applyAlignment="1" applyProtection="1">
      <alignment horizontal="center"/>
      <protection hidden="1"/>
    </xf>
    <xf numFmtId="2" fontId="61" fillId="0" borderId="40" xfId="0" applyNumberFormat="1" applyFont="1" applyBorder="1" applyAlignment="1" applyProtection="1">
      <alignment horizontal="center"/>
      <protection hidden="1"/>
    </xf>
    <xf numFmtId="1" fontId="2" fillId="0" borderId="0" xfId="0" applyNumberFormat="1" applyFont="1" applyAlignment="1" applyProtection="1">
      <alignment horizontal="center"/>
      <protection hidden="1"/>
    </xf>
    <xf numFmtId="2" fontId="2" fillId="10" borderId="21" xfId="0" applyNumberFormat="1" applyFont="1" applyFill="1" applyBorder="1" applyAlignment="1" applyProtection="1">
      <alignment horizontal="center"/>
      <protection hidden="1"/>
    </xf>
    <xf numFmtId="2" fontId="2" fillId="10" borderId="22" xfId="0" applyNumberFormat="1" applyFont="1" applyFill="1" applyBorder="1" applyAlignment="1" applyProtection="1">
      <alignment horizontal="center"/>
      <protection hidden="1"/>
    </xf>
    <xf numFmtId="2" fontId="2" fillId="10" borderId="10" xfId="0" applyNumberFormat="1" applyFont="1" applyFill="1" applyBorder="1" applyAlignment="1" applyProtection="1">
      <alignment horizontal="center"/>
      <protection hidden="1"/>
    </xf>
    <xf numFmtId="2" fontId="2" fillId="10" borderId="23" xfId="0" applyNumberFormat="1" applyFont="1" applyFill="1" applyBorder="1" applyAlignment="1" applyProtection="1">
      <alignment horizontal="center"/>
      <protection hidden="1"/>
    </xf>
    <xf numFmtId="2" fontId="2" fillId="10" borderId="12" xfId="0" applyNumberFormat="1" applyFont="1" applyFill="1" applyBorder="1" applyAlignment="1" applyProtection="1">
      <alignment horizontal="center"/>
      <protection hidden="1"/>
    </xf>
    <xf numFmtId="167" fontId="2" fillId="0" borderId="0" xfId="0" applyNumberFormat="1" applyFont="1" applyProtection="1">
      <protection hidden="1"/>
    </xf>
    <xf numFmtId="2" fontId="61" fillId="0" borderId="41" xfId="0" applyNumberFormat="1" applyFont="1" applyBorder="1" applyAlignment="1" applyProtection="1">
      <alignment horizontal="center"/>
      <protection hidden="1"/>
    </xf>
    <xf numFmtId="2" fontId="61" fillId="0" borderId="42" xfId="0" applyNumberFormat="1" applyFont="1" applyBorder="1" applyAlignment="1" applyProtection="1">
      <alignment horizontal="center"/>
      <protection hidden="1"/>
    </xf>
    <xf numFmtId="2" fontId="61" fillId="0" borderId="43" xfId="0" applyNumberFormat="1" applyFont="1" applyBorder="1" applyAlignment="1" applyProtection="1">
      <alignment horizontal="center"/>
      <protection hidden="1"/>
    </xf>
    <xf numFmtId="2" fontId="2" fillId="10" borderId="25" xfId="0" applyNumberFormat="1" applyFont="1" applyFill="1" applyBorder="1" applyAlignment="1" applyProtection="1">
      <alignment horizontal="center"/>
      <protection hidden="1"/>
    </xf>
    <xf numFmtId="2" fontId="2" fillId="10" borderId="27" xfId="0" applyNumberFormat="1" applyFont="1" applyFill="1" applyBorder="1" applyAlignment="1" applyProtection="1">
      <alignment horizontal="center"/>
      <protection hidden="1"/>
    </xf>
    <xf numFmtId="2" fontId="2" fillId="10" borderId="18" xfId="0" applyNumberFormat="1" applyFont="1" applyFill="1" applyBorder="1" applyAlignment="1" applyProtection="1">
      <alignment horizontal="center"/>
      <protection hidden="1"/>
    </xf>
    <xf numFmtId="0" fontId="0" fillId="10" borderId="0" xfId="0" applyFill="1" applyProtection="1">
      <protection hidden="1"/>
    </xf>
    <xf numFmtId="0" fontId="0" fillId="10" borderId="7" xfId="0" applyFill="1" applyBorder="1" applyProtection="1">
      <protection hidden="1"/>
    </xf>
    <xf numFmtId="1" fontId="0" fillId="0" borderId="0" xfId="0" applyNumberFormat="1" applyAlignment="1" applyProtection="1">
      <alignment horizontal="center"/>
      <protection hidden="1"/>
    </xf>
    <xf numFmtId="0" fontId="2" fillId="0" borderId="0" xfId="0" applyFont="1" applyAlignment="1" applyProtection="1">
      <alignment vertical="center" wrapText="1"/>
      <protection hidden="1"/>
    </xf>
    <xf numFmtId="0" fontId="0" fillId="0" borderId="28" xfId="0" applyBorder="1" applyAlignment="1">
      <alignment horizontal="center"/>
    </xf>
    <xf numFmtId="164" fontId="25" fillId="15" borderId="3" xfId="0" applyNumberFormat="1" applyFont="1" applyFill="1" applyBorder="1" applyAlignment="1">
      <alignment horizontal="center" vertical="center" readingOrder="1"/>
    </xf>
    <xf numFmtId="0" fontId="0" fillId="0" borderId="28" xfId="0" applyBorder="1" applyAlignment="1">
      <alignment horizontal="left"/>
    </xf>
    <xf numFmtId="0" fontId="0" fillId="0" borderId="20" xfId="0" applyBorder="1" applyAlignment="1">
      <alignment horizontal="center"/>
    </xf>
    <xf numFmtId="0" fontId="0" fillId="15" borderId="3" xfId="0" applyFill="1" applyBorder="1" applyAlignment="1">
      <alignment horizontal="center"/>
    </xf>
    <xf numFmtId="0" fontId="0" fillId="0" borderId="15" xfId="0" applyBorder="1" applyAlignment="1">
      <alignment horizontal="center"/>
    </xf>
    <xf numFmtId="0" fontId="0" fillId="0" borderId="7" xfId="0" applyBorder="1" applyAlignment="1" applyProtection="1">
      <alignment horizontal="center"/>
      <protection locked="0"/>
    </xf>
    <xf numFmtId="1" fontId="0" fillId="0" borderId="15" xfId="0" applyNumberFormat="1" applyBorder="1" applyAlignment="1">
      <alignment horizontal="center"/>
    </xf>
    <xf numFmtId="0" fontId="0" fillId="0" borderId="7" xfId="0" applyBorder="1" applyAlignment="1">
      <alignment horizontal="center"/>
    </xf>
    <xf numFmtId="1" fontId="0" fillId="0" borderId="28" xfId="0" applyNumberFormat="1" applyBorder="1" applyAlignment="1">
      <alignment horizontal="center"/>
    </xf>
    <xf numFmtId="0" fontId="0" fillId="0" borderId="5" xfId="0" applyBorder="1" applyAlignment="1">
      <alignment horizontal="center"/>
    </xf>
    <xf numFmtId="0" fontId="0" fillId="0" borderId="1" xfId="0" applyBorder="1" applyAlignment="1">
      <alignment horizontal="center"/>
    </xf>
    <xf numFmtId="0" fontId="0" fillId="0" borderId="0" xfId="0" applyAlignment="1">
      <alignment vertical="center"/>
    </xf>
    <xf numFmtId="167" fontId="2" fillId="10" borderId="0" xfId="0" applyNumberFormat="1" applyFont="1" applyFill="1" applyAlignment="1" applyProtection="1">
      <alignment horizontal="center" vertical="center"/>
      <protection hidden="1"/>
    </xf>
    <xf numFmtId="0" fontId="24" fillId="0" borderId="0" xfId="0" quotePrefix="1" applyFont="1" applyAlignment="1">
      <alignment horizontal="center" vertical="center"/>
    </xf>
    <xf numFmtId="0" fontId="67" fillId="0" borderId="0" xfId="0" applyFont="1" applyAlignment="1" applyProtection="1">
      <alignment horizontal="center" vertical="center"/>
      <protection hidden="1"/>
    </xf>
    <xf numFmtId="1" fontId="2" fillId="37" borderId="2" xfId="0" applyNumberFormat="1" applyFont="1" applyFill="1" applyBorder="1" applyAlignment="1" applyProtection="1">
      <alignment horizontal="center" vertical="center"/>
      <protection locked="0"/>
    </xf>
    <xf numFmtId="0" fontId="2" fillId="37" borderId="2" xfId="0" applyFont="1" applyFill="1" applyBorder="1" applyAlignment="1" applyProtection="1">
      <alignment horizontal="center" vertical="center"/>
      <protection locked="0"/>
    </xf>
    <xf numFmtId="164" fontId="34" fillId="0" borderId="0" xfId="0" applyNumberFormat="1" applyFont="1" applyProtection="1">
      <protection hidden="1"/>
    </xf>
    <xf numFmtId="0" fontId="6" fillId="0" borderId="0" xfId="0" applyFont="1" applyProtection="1">
      <protection hidden="1"/>
    </xf>
    <xf numFmtId="164" fontId="0" fillId="0" borderId="0" xfId="0" applyNumberFormat="1" applyAlignment="1">
      <alignment horizontal="center" vertical="center"/>
    </xf>
    <xf numFmtId="167" fontId="2" fillId="37" borderId="2" xfId="0" applyNumberFormat="1" applyFont="1" applyFill="1" applyBorder="1" applyAlignment="1" applyProtection="1">
      <alignment horizontal="center" vertical="center"/>
      <protection locked="0"/>
    </xf>
    <xf numFmtId="165" fontId="2" fillId="10" borderId="0" xfId="0" applyNumberFormat="1" applyFont="1" applyFill="1" applyAlignment="1" applyProtection="1">
      <alignment horizontal="center" vertical="center"/>
      <protection hidden="1"/>
    </xf>
    <xf numFmtId="165" fontId="2" fillId="17" borderId="24" xfId="0" applyNumberFormat="1" applyFont="1" applyFill="1" applyBorder="1" applyAlignment="1" applyProtection="1">
      <alignment horizontal="center"/>
      <protection hidden="1"/>
    </xf>
    <xf numFmtId="165" fontId="2" fillId="17" borderId="1" xfId="0" applyNumberFormat="1" applyFont="1" applyFill="1" applyBorder="1" applyAlignment="1" applyProtection="1">
      <alignment horizontal="center"/>
      <protection hidden="1"/>
    </xf>
    <xf numFmtId="0" fontId="52" fillId="0" borderId="21" xfId="0" applyFont="1" applyBorder="1" applyProtection="1">
      <protection hidden="1"/>
    </xf>
    <xf numFmtId="0" fontId="0" fillId="0" borderId="22" xfId="0" applyBorder="1" applyProtection="1">
      <protection hidden="1"/>
    </xf>
    <xf numFmtId="0" fontId="0" fillId="0" borderId="10" xfId="0" applyBorder="1" applyProtection="1">
      <protection hidden="1"/>
    </xf>
    <xf numFmtId="0" fontId="0" fillId="0" borderId="23" xfId="0" applyBorder="1" applyProtection="1">
      <protection hidden="1"/>
    </xf>
    <xf numFmtId="0" fontId="0" fillId="0" borderId="12" xfId="0" applyBorder="1" applyProtection="1">
      <protection hidden="1"/>
    </xf>
    <xf numFmtId="0" fontId="0" fillId="0" borderId="0" xfId="0" applyAlignment="1" applyProtection="1">
      <alignment horizontal="left"/>
      <protection hidden="1"/>
    </xf>
    <xf numFmtId="0" fontId="0" fillId="0" borderId="23" xfId="0" applyBorder="1" applyAlignment="1" applyProtection="1">
      <alignment horizontal="right"/>
      <protection hidden="1"/>
    </xf>
    <xf numFmtId="165" fontId="2" fillId="37" borderId="2" xfId="0" applyNumberFormat="1" applyFont="1" applyFill="1" applyBorder="1" applyAlignment="1" applyProtection="1">
      <alignment horizontal="center" vertical="center"/>
      <protection locked="0"/>
    </xf>
    <xf numFmtId="0" fontId="0" fillId="0" borderId="12" xfId="0" applyBorder="1" applyAlignment="1" applyProtection="1">
      <alignment horizontal="left"/>
      <protection hidden="1"/>
    </xf>
    <xf numFmtId="0" fontId="0" fillId="0" borderId="0" xfId="0" applyAlignment="1" applyProtection="1">
      <alignment horizontal="right"/>
      <protection hidden="1"/>
    </xf>
    <xf numFmtId="2" fontId="2" fillId="37" borderId="2" xfId="0" applyNumberFormat="1" applyFont="1" applyFill="1" applyBorder="1" applyAlignment="1" applyProtection="1">
      <alignment horizontal="center" vertical="center"/>
      <protection locked="0"/>
    </xf>
    <xf numFmtId="0" fontId="2" fillId="0" borderId="23" xfId="0" applyFont="1" applyBorder="1" applyAlignment="1" applyProtection="1">
      <alignment horizontal="right" vertical="center"/>
      <protection hidden="1"/>
    </xf>
    <xf numFmtId="0" fontId="2" fillId="0" borderId="0" xfId="0" applyFont="1" applyAlignment="1" applyProtection="1">
      <alignment horizontal="right" vertical="center"/>
      <protection hidden="1"/>
    </xf>
    <xf numFmtId="167" fontId="2" fillId="15" borderId="0" xfId="0" applyNumberFormat="1" applyFont="1" applyFill="1" applyAlignment="1" applyProtection="1">
      <alignment horizontal="center" vertical="center"/>
      <protection hidden="1"/>
    </xf>
    <xf numFmtId="169" fontId="2" fillId="10" borderId="0" xfId="3" applyNumberFormat="1" applyFont="1" applyFill="1" applyBorder="1" applyAlignment="1" applyProtection="1">
      <alignment horizontal="center" vertical="center"/>
      <protection hidden="1"/>
    </xf>
    <xf numFmtId="0" fontId="0" fillId="0" borderId="25" xfId="0" applyBorder="1" applyProtection="1">
      <protection hidden="1"/>
    </xf>
    <xf numFmtId="0" fontId="0" fillId="0" borderId="27" xfId="0" applyBorder="1" applyProtection="1">
      <protection hidden="1"/>
    </xf>
    <xf numFmtId="0" fontId="0" fillId="0" borderId="18" xfId="0" applyBorder="1" applyProtection="1">
      <protection hidden="1"/>
    </xf>
    <xf numFmtId="2" fontId="2" fillId="10" borderId="0" xfId="0" applyNumberFormat="1" applyFont="1" applyFill="1" applyAlignment="1" applyProtection="1">
      <alignment horizontal="center" vertical="center"/>
      <protection hidden="1"/>
    </xf>
    <xf numFmtId="2" fontId="2" fillId="15" borderId="0" xfId="0" applyNumberFormat="1" applyFont="1" applyFill="1" applyAlignment="1" applyProtection="1">
      <alignment horizontal="center" vertical="center"/>
      <protection hidden="1"/>
    </xf>
    <xf numFmtId="0" fontId="52" fillId="10" borderId="0" xfId="0" applyFont="1" applyFill="1" applyProtection="1">
      <protection hidden="1"/>
    </xf>
    <xf numFmtId="0" fontId="52" fillId="10" borderId="0" xfId="0" applyFont="1" applyFill="1" applyAlignment="1" applyProtection="1">
      <alignment horizontal="center"/>
      <protection locked="0"/>
    </xf>
    <xf numFmtId="0" fontId="0" fillId="7" borderId="0" xfId="0" applyFill="1" applyProtection="1">
      <protection hidden="1"/>
    </xf>
    <xf numFmtId="0" fontId="0" fillId="10" borderId="0" xfId="0" applyFill="1" applyAlignment="1" applyProtection="1">
      <alignment horizontal="left"/>
      <protection hidden="1"/>
    </xf>
    <xf numFmtId="0" fontId="0" fillId="10" borderId="0" xfId="0" quotePrefix="1" applyFill="1" applyAlignment="1" applyProtection="1">
      <alignment horizontal="right"/>
      <protection hidden="1"/>
      <extLst>
        <ext xmlns:xfpb="http://schemas.microsoft.com/office/spreadsheetml/2022/featurepropertybag" uri="{C7286773-470A-42A8-94C5-96B5CB345126}">
          <xfpb:xfComplement i="0"/>
        </ext>
      </extLst>
    </xf>
    <xf numFmtId="0" fontId="0" fillId="10" borderId="0" xfId="0" quotePrefix="1" applyFill="1" applyAlignment="1" applyProtection="1">
      <alignment horizontal="right"/>
      <protection hidden="1"/>
    </xf>
    <xf numFmtId="164" fontId="0" fillId="0" borderId="0" xfId="0" applyNumberFormat="1" applyProtection="1">
      <protection hidden="1"/>
    </xf>
    <xf numFmtId="167" fontId="2" fillId="0" borderId="0" xfId="0" applyNumberFormat="1" applyFont="1" applyAlignment="1" applyProtection="1">
      <alignment horizontal="center" vertical="center"/>
      <protection hidden="1"/>
    </xf>
    <xf numFmtId="0" fontId="47" fillId="0" borderId="0" xfId="0" applyFont="1" applyProtection="1">
      <protection hidden="1"/>
    </xf>
    <xf numFmtId="2" fontId="2" fillId="0" borderId="0" xfId="0" applyNumberFormat="1" applyFont="1" applyAlignment="1" applyProtection="1">
      <alignment horizontal="center" vertical="center"/>
      <protection hidden="1"/>
    </xf>
    <xf numFmtId="0" fontId="71" fillId="7" borderId="0" xfId="0" applyFont="1" applyFill="1" applyProtection="1">
      <protection hidden="1"/>
    </xf>
    <xf numFmtId="0" fontId="52" fillId="0" borderId="0" xfId="0" applyFont="1" applyAlignment="1" applyProtection="1">
      <alignment horizontal="center"/>
      <protection hidden="1"/>
    </xf>
    <xf numFmtId="164" fontId="52" fillId="0" borderId="3" xfId="0" applyNumberFormat="1" applyFont="1" applyBorder="1" applyAlignment="1" applyProtection="1">
      <alignment horizontal="center"/>
      <protection hidden="1"/>
    </xf>
    <xf numFmtId="0" fontId="71" fillId="7" borderId="0" xfId="0" applyFont="1" applyFill="1" applyAlignment="1" applyProtection="1">
      <alignment horizontal="center"/>
      <protection hidden="1"/>
    </xf>
    <xf numFmtId="0" fontId="71" fillId="15" borderId="0" xfId="0" applyFont="1" applyFill="1" applyAlignment="1" applyProtection="1">
      <alignment horizontal="center"/>
      <protection hidden="1"/>
    </xf>
    <xf numFmtId="0" fontId="0" fillId="7" borderId="0" xfId="0" applyFill="1" applyAlignment="1" applyProtection="1">
      <alignment horizontal="center"/>
      <protection hidden="1"/>
    </xf>
    <xf numFmtId="0" fontId="0" fillId="15" borderId="0" xfId="0" applyFill="1" applyAlignment="1" applyProtection="1">
      <alignment horizontal="center"/>
      <protection hidden="1"/>
    </xf>
    <xf numFmtId="164" fontId="0" fillId="0" borderId="0" xfId="0" applyNumberFormat="1" applyAlignment="1" applyProtection="1">
      <alignment horizontal="center"/>
      <protection hidden="1"/>
    </xf>
    <xf numFmtId="0" fontId="0" fillId="0" borderId="0" xfId="0" applyAlignment="1" applyProtection="1">
      <alignment horizontal="center"/>
      <protection hidden="1"/>
    </xf>
    <xf numFmtId="0" fontId="0" fillId="0" borderId="0" xfId="0" quotePrefix="1" applyAlignment="1" applyProtection="1">
      <alignment horizontal="center"/>
      <protection hidden="1"/>
    </xf>
    <xf numFmtId="0" fontId="71" fillId="7" borderId="0" xfId="0" applyFont="1" applyFill="1" applyAlignment="1" applyProtection="1">
      <alignment horizontal="left"/>
      <protection hidden="1"/>
    </xf>
    <xf numFmtId="0" fontId="0" fillId="7" borderId="0" xfId="0" applyFill="1" applyAlignment="1" applyProtection="1">
      <alignment horizontal="left"/>
      <protection hidden="1"/>
    </xf>
    <xf numFmtId="0" fontId="0" fillId="7" borderId="0" xfId="0" quotePrefix="1" applyFill="1" applyAlignment="1" applyProtection="1">
      <alignment horizontal="left"/>
      <protection hidden="1"/>
    </xf>
    <xf numFmtId="0" fontId="71" fillId="7" borderId="1" xfId="0" applyFont="1" applyFill="1" applyBorder="1" applyAlignment="1" applyProtection="1">
      <alignment horizontal="right"/>
      <protection hidden="1"/>
    </xf>
    <xf numFmtId="0" fontId="71" fillId="7" borderId="1" xfId="0" applyFont="1" applyFill="1" applyBorder="1" applyAlignment="1" applyProtection="1">
      <alignment horizontal="center"/>
      <protection hidden="1"/>
    </xf>
    <xf numFmtId="0" fontId="71" fillId="15" borderId="1" xfId="0" applyFont="1" applyFill="1" applyBorder="1" applyAlignment="1" applyProtection="1">
      <alignment horizontal="center"/>
      <protection hidden="1"/>
    </xf>
    <xf numFmtId="0" fontId="52" fillId="0" borderId="0" xfId="0" applyFont="1" applyAlignment="1" applyProtection="1">
      <alignment horizontal="left"/>
      <protection hidden="1"/>
    </xf>
    <xf numFmtId="0" fontId="71" fillId="7" borderId="0" xfId="0" applyFont="1" applyFill="1" applyAlignment="1" applyProtection="1">
      <alignment horizontal="right"/>
      <protection hidden="1"/>
    </xf>
    <xf numFmtId="0" fontId="0" fillId="7" borderId="0" xfId="0" applyFill="1" applyAlignment="1" applyProtection="1">
      <alignment horizontal="right" vertical="top"/>
      <protection hidden="1"/>
    </xf>
    <xf numFmtId="0" fontId="0" fillId="7" borderId="1" xfId="0" applyFill="1" applyBorder="1" applyAlignment="1" applyProtection="1">
      <alignment horizontal="right"/>
      <protection hidden="1"/>
    </xf>
    <xf numFmtId="0" fontId="0" fillId="7" borderId="1" xfId="0" applyFill="1" applyBorder="1" applyAlignment="1" applyProtection="1">
      <alignment horizontal="center"/>
      <protection hidden="1"/>
    </xf>
    <xf numFmtId="0" fontId="0" fillId="15" borderId="1" xfId="0" applyFill="1" applyBorder="1" applyAlignment="1" applyProtection="1">
      <alignment horizontal="center"/>
      <protection hidden="1"/>
    </xf>
    <xf numFmtId="0" fontId="0" fillId="7" borderId="0" xfId="0" applyFill="1" applyAlignment="1" applyProtection="1">
      <alignment horizontal="right"/>
      <protection hidden="1"/>
    </xf>
    <xf numFmtId="0" fontId="0" fillId="10" borderId="0" xfId="0" applyFill="1"/>
    <xf numFmtId="167" fontId="60" fillId="10" borderId="0" xfId="0" applyNumberFormat="1" applyFont="1" applyFill="1" applyAlignment="1" applyProtection="1">
      <alignment horizontal="left"/>
      <protection hidden="1"/>
    </xf>
    <xf numFmtId="0" fontId="0" fillId="5" borderId="0" xfId="0" applyFill="1" applyProtection="1">
      <protection locked="0"/>
    </xf>
    <xf numFmtId="0" fontId="59" fillId="5" borderId="0" xfId="0" applyFont="1" applyFill="1" applyProtection="1">
      <protection hidden="1"/>
    </xf>
    <xf numFmtId="0" fontId="52" fillId="5" borderId="0" xfId="0" applyFont="1" applyFill="1" applyProtection="1">
      <protection hidden="1"/>
    </xf>
    <xf numFmtId="0" fontId="0" fillId="5" borderId="0" xfId="0" applyFill="1" applyProtection="1">
      <protection hidden="1"/>
    </xf>
    <xf numFmtId="167" fontId="59" fillId="5" borderId="0" xfId="0" applyNumberFormat="1" applyFont="1" applyFill="1" applyAlignment="1" applyProtection="1">
      <alignment horizontal="left"/>
      <protection hidden="1"/>
    </xf>
    <xf numFmtId="167" fontId="0" fillId="10" borderId="0" xfId="0" applyNumberFormat="1" applyFill="1" applyAlignment="1">
      <alignment horizontal="center"/>
    </xf>
    <xf numFmtId="165" fontId="6" fillId="10" borderId="0" xfId="0" applyNumberFormat="1" applyFont="1" applyFill="1" applyAlignment="1" applyProtection="1">
      <alignment horizontal="center"/>
      <protection hidden="1"/>
    </xf>
    <xf numFmtId="0" fontId="2" fillId="9" borderId="0" xfId="0" applyFont="1" applyFill="1" applyAlignment="1">
      <alignment horizontal="left"/>
    </xf>
    <xf numFmtId="1" fontId="2" fillId="0" borderId="0" xfId="0" applyNumberFormat="1" applyFont="1" applyAlignment="1">
      <alignment horizontal="left"/>
    </xf>
    <xf numFmtId="2" fontId="2" fillId="0" borderId="0" xfId="0" applyNumberFormat="1" applyFont="1" applyAlignment="1">
      <alignment horizontal="left"/>
    </xf>
    <xf numFmtId="2" fontId="2" fillId="9" borderId="0" xfId="0" applyNumberFormat="1" applyFont="1" applyFill="1" applyAlignment="1">
      <alignment horizontal="left"/>
    </xf>
    <xf numFmtId="2" fontId="0" fillId="0" borderId="0" xfId="0" applyNumberFormat="1" applyAlignment="1">
      <alignment horizontal="left"/>
    </xf>
    <xf numFmtId="164" fontId="2" fillId="0" borderId="0" xfId="0" applyNumberFormat="1" applyFont="1" applyAlignment="1">
      <alignment horizontal="left"/>
    </xf>
    <xf numFmtId="164" fontId="0" fillId="0" borderId="0" xfId="0" applyNumberFormat="1" applyAlignment="1">
      <alignment horizontal="left"/>
    </xf>
    <xf numFmtId="167" fontId="0" fillId="0" borderId="0" xfId="0" applyNumberFormat="1" applyAlignment="1">
      <alignment horizontal="left"/>
    </xf>
    <xf numFmtId="165" fontId="0" fillId="0" borderId="0" xfId="0" applyNumberFormat="1" applyAlignment="1">
      <alignment horizontal="left"/>
    </xf>
    <xf numFmtId="1" fontId="0" fillId="0" borderId="0" xfId="0" applyNumberFormat="1" applyAlignment="1">
      <alignment horizontal="left"/>
    </xf>
    <xf numFmtId="165" fontId="10" fillId="0" borderId="0" xfId="0" applyNumberFormat="1" applyFont="1" applyProtection="1">
      <protection locked="0"/>
    </xf>
    <xf numFmtId="165" fontId="6" fillId="10" borderId="0" xfId="0" applyNumberFormat="1" applyFont="1" applyFill="1" applyAlignment="1" applyProtection="1">
      <alignment horizontal="left"/>
      <protection hidden="1"/>
    </xf>
    <xf numFmtId="0" fontId="2" fillId="10" borderId="0" xfId="0" applyFont="1" applyFill="1" applyAlignment="1" applyProtection="1">
      <alignment horizontal="left"/>
      <protection hidden="1"/>
    </xf>
    <xf numFmtId="0" fontId="0" fillId="0" borderId="1" xfId="0" applyBorder="1" applyProtection="1">
      <protection hidden="1"/>
    </xf>
    <xf numFmtId="0" fontId="2" fillId="0" borderId="0" xfId="0" applyFont="1" applyAlignment="1" applyProtection="1">
      <alignment horizontal="center"/>
      <protection hidden="1"/>
    </xf>
    <xf numFmtId="0" fontId="2" fillId="0" borderId="7" xfId="0" applyFont="1" applyBorder="1" applyProtection="1">
      <protection hidden="1"/>
    </xf>
    <xf numFmtId="0" fontId="72" fillId="0" borderId="20" xfId="0" applyFont="1" applyBorder="1" applyProtection="1">
      <protection hidden="1"/>
    </xf>
    <xf numFmtId="0" fontId="72" fillId="0" borderId="14" xfId="0" applyFont="1" applyBorder="1" applyProtection="1">
      <protection hidden="1"/>
    </xf>
    <xf numFmtId="0" fontId="52" fillId="0" borderId="7" xfId="0" applyFont="1" applyBorder="1" applyProtection="1">
      <protection hidden="1"/>
    </xf>
    <xf numFmtId="0" fontId="2" fillId="0" borderId="15" xfId="0" applyFont="1" applyBorder="1" applyAlignment="1" applyProtection="1">
      <alignment horizontal="left"/>
      <protection hidden="1"/>
    </xf>
    <xf numFmtId="0" fontId="2" fillId="11" borderId="7" xfId="0" applyFont="1" applyFill="1" applyBorder="1" applyAlignment="1" applyProtection="1">
      <alignment horizontal="left"/>
      <protection hidden="1"/>
    </xf>
    <xf numFmtId="0" fontId="2" fillId="11" borderId="0" xfId="0" applyFont="1" applyFill="1" applyAlignment="1" applyProtection="1">
      <alignment horizontal="left"/>
      <protection hidden="1"/>
    </xf>
    <xf numFmtId="0" fontId="2" fillId="11" borderId="15" xfId="0" applyFont="1" applyFill="1" applyBorder="1" applyAlignment="1" applyProtection="1">
      <alignment horizontal="left"/>
      <protection hidden="1"/>
    </xf>
    <xf numFmtId="0" fontId="2" fillId="0" borderId="5" xfId="0" applyFont="1" applyBorder="1" applyAlignment="1" applyProtection="1">
      <alignment wrapText="1"/>
      <protection hidden="1"/>
    </xf>
    <xf numFmtId="0" fontId="2" fillId="0" borderId="28" xfId="0" applyFont="1" applyBorder="1" applyAlignment="1" applyProtection="1">
      <alignment horizontal="left" wrapText="1"/>
      <protection hidden="1"/>
    </xf>
    <xf numFmtId="0" fontId="2" fillId="0" borderId="6" xfId="0" applyFont="1" applyBorder="1" applyAlignment="1" applyProtection="1">
      <alignment horizontal="left" wrapText="1"/>
      <protection hidden="1"/>
    </xf>
    <xf numFmtId="0" fontId="2" fillId="0" borderId="24" xfId="0" applyFont="1" applyBorder="1" applyAlignment="1" applyProtection="1">
      <alignment wrapText="1"/>
      <protection hidden="1"/>
    </xf>
    <xf numFmtId="2" fontId="2" fillId="0" borderId="1" xfId="0" applyNumberFormat="1" applyFont="1" applyBorder="1" applyAlignment="1" applyProtection="1">
      <alignment horizontal="left" wrapText="1"/>
      <protection hidden="1"/>
    </xf>
    <xf numFmtId="2" fontId="2" fillId="0" borderId="17" xfId="0" applyNumberFormat="1" applyFont="1" applyBorder="1" applyAlignment="1" applyProtection="1">
      <alignment horizontal="left" wrapText="1"/>
      <protection hidden="1"/>
    </xf>
    <xf numFmtId="0" fontId="2" fillId="0" borderId="19" xfId="0" applyFont="1" applyBorder="1" applyProtection="1">
      <protection hidden="1"/>
    </xf>
    <xf numFmtId="0" fontId="0" fillId="0" borderId="19" xfId="0" applyBorder="1" applyProtection="1">
      <protection hidden="1"/>
    </xf>
    <xf numFmtId="0" fontId="0" fillId="0" borderId="28" xfId="0" applyBorder="1" applyAlignment="1" applyProtection="1">
      <alignment horizontal="left" wrapText="1"/>
      <protection hidden="1"/>
    </xf>
    <xf numFmtId="0" fontId="0" fillId="0" borderId="6" xfId="0" applyBorder="1" applyAlignment="1" applyProtection="1">
      <alignment horizontal="left" wrapText="1"/>
      <protection hidden="1"/>
    </xf>
    <xf numFmtId="0" fontId="0" fillId="0" borderId="5" xfId="0" applyBorder="1" applyAlignment="1" applyProtection="1">
      <alignment wrapText="1"/>
      <protection hidden="1"/>
    </xf>
    <xf numFmtId="0" fontId="0" fillId="0" borderId="24" xfId="0" applyBorder="1" applyAlignment="1" applyProtection="1">
      <alignment wrapText="1"/>
      <protection hidden="1"/>
    </xf>
    <xf numFmtId="2" fontId="0" fillId="0" borderId="1" xfId="0" applyNumberFormat="1" applyBorder="1" applyAlignment="1" applyProtection="1">
      <alignment horizontal="left" wrapText="1"/>
      <protection hidden="1"/>
    </xf>
    <xf numFmtId="2" fontId="0" fillId="0" borderId="17" xfId="0" applyNumberFormat="1" applyBorder="1" applyAlignment="1" applyProtection="1">
      <alignment horizontal="left" wrapText="1"/>
      <protection hidden="1"/>
    </xf>
    <xf numFmtId="2" fontId="0" fillId="0" borderId="28" xfId="0" applyNumberFormat="1" applyBorder="1" applyAlignment="1" applyProtection="1">
      <alignment horizontal="left" wrapText="1"/>
      <protection hidden="1"/>
    </xf>
    <xf numFmtId="0" fontId="0" fillId="0" borderId="28" xfId="0" applyBorder="1" applyAlignment="1" applyProtection="1">
      <alignment wrapText="1"/>
      <protection hidden="1"/>
    </xf>
    <xf numFmtId="0" fontId="0" fillId="0" borderId="6" xfId="0" applyBorder="1" applyAlignment="1" applyProtection="1">
      <alignment wrapText="1"/>
      <protection hidden="1"/>
    </xf>
    <xf numFmtId="0" fontId="0" fillId="0" borderId="0" xfId="0" applyAlignment="1" applyProtection="1">
      <alignment wrapText="1"/>
      <protection hidden="1"/>
    </xf>
    <xf numFmtId="0" fontId="0" fillId="5" borderId="20" xfId="0" applyFill="1" applyBorder="1" applyProtection="1">
      <protection hidden="1"/>
    </xf>
    <xf numFmtId="0" fontId="0" fillId="5" borderId="14" xfId="0" applyFill="1" applyBorder="1" applyProtection="1">
      <protection hidden="1"/>
    </xf>
    <xf numFmtId="0" fontId="0" fillId="5" borderId="1" xfId="0" applyFill="1" applyBorder="1" applyProtection="1">
      <protection hidden="1"/>
    </xf>
    <xf numFmtId="0" fontId="0" fillId="5" borderId="17" xfId="0" applyFill="1" applyBorder="1" applyProtection="1">
      <protection hidden="1"/>
    </xf>
    <xf numFmtId="0" fontId="6" fillId="5" borderId="20" xfId="0" applyFont="1" applyFill="1" applyBorder="1" applyAlignment="1" applyProtection="1">
      <alignment vertical="center" wrapText="1"/>
      <protection hidden="1"/>
    </xf>
    <xf numFmtId="0" fontId="6" fillId="5" borderId="20" xfId="0" applyFont="1" applyFill="1" applyBorder="1" applyAlignment="1" applyProtection="1">
      <alignment vertical="center"/>
      <protection hidden="1"/>
    </xf>
    <xf numFmtId="2" fontId="2" fillId="0" borderId="28" xfId="0" applyNumberFormat="1" applyFont="1" applyBorder="1" applyAlignment="1" applyProtection="1">
      <alignment horizontal="left" wrapText="1"/>
      <protection hidden="1"/>
    </xf>
    <xf numFmtId="165" fontId="2" fillId="0" borderId="28" xfId="0" applyNumberFormat="1" applyFont="1" applyBorder="1" applyAlignment="1" applyProtection="1">
      <alignment horizontal="left" wrapText="1"/>
      <protection hidden="1"/>
    </xf>
    <xf numFmtId="1" fontId="0" fillId="0" borderId="28" xfId="0" applyNumberFormat="1" applyBorder="1" applyAlignment="1" applyProtection="1">
      <alignment horizontal="left" wrapText="1"/>
      <protection hidden="1"/>
    </xf>
    <xf numFmtId="1" fontId="2" fillId="0" borderId="28" xfId="0" applyNumberFormat="1" applyFont="1" applyBorder="1" applyAlignment="1" applyProtection="1">
      <alignment horizontal="left" wrapText="1"/>
      <protection hidden="1"/>
    </xf>
    <xf numFmtId="165" fontId="0" fillId="0" borderId="28" xfId="0" applyNumberFormat="1" applyBorder="1" applyAlignment="1" applyProtection="1">
      <alignment horizontal="left" wrapText="1"/>
      <protection hidden="1"/>
    </xf>
    <xf numFmtId="0" fontId="0" fillId="2" borderId="19" xfId="0" applyFill="1" applyBorder="1"/>
    <xf numFmtId="0" fontId="0" fillId="2" borderId="20" xfId="0" applyFill="1" applyBorder="1"/>
    <xf numFmtId="0" fontId="0" fillId="2" borderId="20" xfId="0" applyFill="1" applyBorder="1" applyAlignment="1">
      <alignment horizontal="center"/>
    </xf>
    <xf numFmtId="0" fontId="2" fillId="5" borderId="22" xfId="0" applyFont="1" applyFill="1" applyBorder="1" applyAlignment="1" applyProtection="1">
      <alignment horizontal="center" vertical="center"/>
      <protection hidden="1"/>
    </xf>
    <xf numFmtId="0" fontId="0" fillId="0" borderId="28" xfId="0" applyBorder="1" applyProtection="1">
      <protection hidden="1"/>
    </xf>
    <xf numFmtId="0" fontId="56" fillId="0" borderId="0" xfId="0" applyFont="1" applyProtection="1">
      <protection hidden="1"/>
    </xf>
    <xf numFmtId="0" fontId="0" fillId="0" borderId="20" xfId="0" applyBorder="1" applyProtection="1">
      <protection hidden="1"/>
    </xf>
    <xf numFmtId="0" fontId="0" fillId="0" borderId="7" xfId="0" applyBorder="1" applyProtection="1">
      <protection hidden="1"/>
    </xf>
    <xf numFmtId="0" fontId="0" fillId="0" borderId="24" xfId="0" applyBorder="1" applyProtection="1">
      <protection hidden="1"/>
    </xf>
    <xf numFmtId="0" fontId="0" fillId="0" borderId="1" xfId="0" applyBorder="1" applyAlignment="1" applyProtection="1">
      <alignment horizontal="center" vertical="center"/>
      <protection hidden="1"/>
    </xf>
    <xf numFmtId="0" fontId="52" fillId="0" borderId="0" xfId="0" applyFont="1" applyProtection="1">
      <protection hidden="1"/>
    </xf>
    <xf numFmtId="0" fontId="0" fillId="0" borderId="0" xfId="0" applyAlignment="1" applyProtection="1">
      <alignment vertical="center"/>
      <protection hidden="1"/>
    </xf>
    <xf numFmtId="164" fontId="52" fillId="0" borderId="0" xfId="0" applyNumberFormat="1" applyFont="1" applyAlignment="1" applyProtection="1">
      <alignment vertical="center"/>
      <protection hidden="1"/>
    </xf>
    <xf numFmtId="0" fontId="0" fillId="0" borderId="0" xfId="0" applyAlignment="1" applyProtection="1">
      <alignment horizontal="center" vertical="center"/>
      <protection hidden="1"/>
    </xf>
    <xf numFmtId="0" fontId="0" fillId="0" borderId="0" xfId="0" applyAlignment="1" applyProtection="1">
      <alignment horizontal="left" vertical="center"/>
      <protection hidden="1"/>
    </xf>
    <xf numFmtId="2" fontId="0" fillId="0" borderId="0" xfId="0" applyNumberFormat="1" applyProtection="1">
      <protection hidden="1"/>
    </xf>
    <xf numFmtId="0" fontId="0" fillId="11" borderId="0" xfId="0" applyFill="1" applyProtection="1">
      <protection hidden="1"/>
    </xf>
    <xf numFmtId="0" fontId="0" fillId="35" borderId="0" xfId="0" applyFill="1" applyProtection="1">
      <protection hidden="1"/>
    </xf>
    <xf numFmtId="164" fontId="52" fillId="0" borderId="0" xfId="0" applyNumberFormat="1" applyFont="1" applyAlignment="1" applyProtection="1">
      <alignment horizontal="center" vertical="center"/>
      <protection hidden="1"/>
    </xf>
    <xf numFmtId="0" fontId="0" fillId="39" borderId="0" xfId="0" applyFill="1" applyProtection="1">
      <protection hidden="1"/>
    </xf>
    <xf numFmtId="0" fontId="0" fillId="38" borderId="0" xfId="0" applyFill="1" applyProtection="1">
      <protection hidden="1"/>
    </xf>
    <xf numFmtId="0" fontId="0" fillId="11" borderId="21" xfId="0" applyFill="1" applyBorder="1" applyProtection="1">
      <protection hidden="1"/>
    </xf>
    <xf numFmtId="0" fontId="24" fillId="11" borderId="22" xfId="0" applyFont="1" applyFill="1" applyBorder="1" applyAlignment="1" applyProtection="1">
      <alignment vertical="center"/>
      <protection hidden="1"/>
    </xf>
    <xf numFmtId="0" fontId="0" fillId="11" borderId="22" xfId="0" applyFill="1" applyBorder="1" applyProtection="1">
      <protection hidden="1"/>
    </xf>
    <xf numFmtId="0" fontId="0" fillId="0" borderId="22" xfId="0" applyBorder="1" applyAlignment="1" applyProtection="1">
      <alignment horizontal="center"/>
      <protection hidden="1"/>
    </xf>
    <xf numFmtId="0" fontId="52" fillId="0" borderId="1" xfId="0" applyFont="1" applyBorder="1" applyProtection="1">
      <protection hidden="1"/>
    </xf>
    <xf numFmtId="0" fontId="52" fillId="0" borderId="1" xfId="0" applyFont="1" applyBorder="1" applyAlignment="1" applyProtection="1">
      <alignment horizontal="center" vertical="center"/>
      <protection hidden="1"/>
    </xf>
    <xf numFmtId="0" fontId="0" fillId="0" borderId="12" xfId="0" applyBorder="1" applyAlignment="1" applyProtection="1">
      <alignment horizontal="center" vertical="center"/>
      <protection hidden="1"/>
    </xf>
    <xf numFmtId="0" fontId="52" fillId="11" borderId="22" xfId="0" applyFont="1" applyFill="1" applyBorder="1" applyAlignment="1" applyProtection="1">
      <alignment horizontal="center"/>
      <protection hidden="1"/>
    </xf>
    <xf numFmtId="0" fontId="0" fillId="0" borderId="22" xfId="0" applyBorder="1" applyAlignment="1" applyProtection="1">
      <alignment vertical="center"/>
      <protection hidden="1"/>
    </xf>
    <xf numFmtId="0" fontId="0" fillId="0" borderId="22" xfId="0" applyBorder="1" applyAlignment="1" applyProtection="1">
      <alignment horizontal="center" vertical="center"/>
      <protection hidden="1"/>
    </xf>
    <xf numFmtId="0" fontId="0" fillId="0" borderId="10" xfId="0" applyBorder="1" applyAlignment="1" applyProtection="1">
      <alignment horizontal="center" vertical="center"/>
      <protection hidden="1"/>
    </xf>
    <xf numFmtId="0" fontId="0" fillId="35" borderId="7" xfId="0" applyFill="1" applyBorder="1" applyProtection="1">
      <protection hidden="1"/>
    </xf>
    <xf numFmtId="0" fontId="0" fillId="39" borderId="7" xfId="0" applyFill="1" applyBorder="1" applyProtection="1">
      <protection hidden="1"/>
    </xf>
    <xf numFmtId="0" fontId="0" fillId="38" borderId="7" xfId="0" applyFill="1" applyBorder="1" applyProtection="1">
      <protection hidden="1"/>
    </xf>
    <xf numFmtId="0" fontId="52" fillId="0" borderId="19" xfId="0" applyFont="1" applyBorder="1" applyAlignment="1" applyProtection="1">
      <alignment horizontal="center"/>
      <protection hidden="1"/>
    </xf>
    <xf numFmtId="0" fontId="52" fillId="0" borderId="14" xfId="0" applyFont="1" applyBorder="1" applyAlignment="1" applyProtection="1">
      <alignment horizontal="center" vertical="center"/>
      <protection hidden="1"/>
    </xf>
    <xf numFmtId="0" fontId="0" fillId="38" borderId="7" xfId="0" applyFill="1" applyBorder="1" applyAlignment="1" applyProtection="1">
      <alignment horizontal="center"/>
      <protection hidden="1"/>
    </xf>
    <xf numFmtId="0" fontId="0" fillId="38" borderId="24" xfId="0" applyFill="1" applyBorder="1" applyAlignment="1" applyProtection="1">
      <alignment horizontal="center"/>
      <protection hidden="1"/>
    </xf>
    <xf numFmtId="0" fontId="0" fillId="0" borderId="21" xfId="0" applyBorder="1" applyProtection="1">
      <protection hidden="1"/>
    </xf>
    <xf numFmtId="0" fontId="56" fillId="0" borderId="22" xfId="0" applyFont="1" applyBorder="1" applyProtection="1">
      <protection hidden="1"/>
    </xf>
    <xf numFmtId="0" fontId="56" fillId="0" borderId="27" xfId="0" applyFont="1" applyBorder="1" applyProtection="1">
      <protection hidden="1"/>
    </xf>
    <xf numFmtId="0" fontId="0" fillId="5" borderId="21" xfId="0" applyFill="1" applyBorder="1" applyProtection="1">
      <protection locked="0"/>
    </xf>
    <xf numFmtId="0" fontId="59" fillId="5" borderId="22" xfId="0" applyFont="1" applyFill="1" applyBorder="1" applyProtection="1">
      <protection hidden="1"/>
    </xf>
    <xf numFmtId="0" fontId="52" fillId="5" borderId="22" xfId="0" applyFont="1" applyFill="1" applyBorder="1" applyProtection="1">
      <protection hidden="1"/>
    </xf>
    <xf numFmtId="0" fontId="2" fillId="5" borderId="22" xfId="0" applyFont="1" applyFill="1" applyBorder="1" applyProtection="1">
      <protection hidden="1"/>
    </xf>
    <xf numFmtId="0" fontId="0" fillId="2" borderId="0" xfId="0" applyFill="1" applyAlignment="1" applyProtection="1">
      <alignment horizontal="center"/>
      <protection locked="0"/>
    </xf>
    <xf numFmtId="0" fontId="62" fillId="0" borderId="0" xfId="0" applyFont="1" applyAlignment="1" applyProtection="1">
      <alignment horizontal="left"/>
      <protection hidden="1"/>
    </xf>
    <xf numFmtId="2" fontId="52" fillId="0" borderId="0" xfId="0" applyNumberFormat="1" applyFont="1" applyAlignment="1" applyProtection="1">
      <alignment horizontal="center" vertical="center"/>
      <protection hidden="1"/>
    </xf>
    <xf numFmtId="0" fontId="72" fillId="0" borderId="0" xfId="0" applyFont="1" applyProtection="1">
      <protection hidden="1"/>
    </xf>
    <xf numFmtId="0" fontId="2" fillId="10" borderId="12" xfId="0" applyFont="1" applyFill="1" applyBorder="1" applyAlignment="1" applyProtection="1">
      <alignment horizontal="center"/>
      <protection hidden="1"/>
    </xf>
    <xf numFmtId="0" fontId="2" fillId="0" borderId="0" xfId="0" applyFont="1" applyAlignment="1">
      <alignment horizontal="right"/>
    </xf>
    <xf numFmtId="0" fontId="0" fillId="2" borderId="0" xfId="0" applyFill="1" applyAlignment="1">
      <alignment horizontal="center"/>
    </xf>
    <xf numFmtId="168" fontId="11" fillId="0" borderId="0" xfId="0" applyNumberFormat="1" applyFont="1" applyAlignment="1" applyProtection="1">
      <alignment vertical="center" textRotation="180"/>
      <protection locked="0"/>
    </xf>
    <xf numFmtId="164" fontId="0" fillId="0" borderId="28" xfId="0" applyNumberFormat="1" applyBorder="1" applyAlignment="1">
      <alignment horizontal="left"/>
    </xf>
    <xf numFmtId="164" fontId="2" fillId="0" borderId="0" xfId="0" applyNumberFormat="1" applyFont="1" applyAlignment="1">
      <alignment horizontal="center"/>
    </xf>
    <xf numFmtId="0" fontId="16" fillId="0" borderId="0" xfId="0" applyFont="1" applyAlignment="1">
      <alignment horizontal="center"/>
    </xf>
    <xf numFmtId="0" fontId="16" fillId="0" borderId="0" xfId="0" applyFont="1" applyAlignment="1">
      <alignment horizontal="right"/>
    </xf>
    <xf numFmtId="0" fontId="0" fillId="2" borderId="7" xfId="0" applyFill="1" applyBorder="1"/>
    <xf numFmtId="0" fontId="0" fillId="2" borderId="0" xfId="0" applyFill="1"/>
    <xf numFmtId="2" fontId="6" fillId="0" borderId="0" xfId="0" applyNumberFormat="1" applyFont="1" applyAlignment="1" applyProtection="1">
      <alignment horizontal="center" vertical="center"/>
      <protection locked="0"/>
    </xf>
    <xf numFmtId="0" fontId="2" fillId="0" borderId="1" xfId="0" applyFont="1" applyBorder="1"/>
    <xf numFmtId="2" fontId="10" fillId="37" borderId="0" xfId="0" applyNumberFormat="1" applyFont="1" applyFill="1" applyAlignment="1" applyProtection="1">
      <alignment horizontal="center"/>
      <protection locked="0"/>
    </xf>
    <xf numFmtId="0" fontId="16" fillId="5" borderId="12" xfId="0" applyFont="1" applyFill="1" applyBorder="1" applyAlignment="1" applyProtection="1">
      <alignment vertical="center"/>
      <protection hidden="1"/>
    </xf>
    <xf numFmtId="0" fontId="0" fillId="0" borderId="1" xfId="0" applyBorder="1" applyAlignment="1">
      <alignment horizontal="right"/>
    </xf>
    <xf numFmtId="0" fontId="0" fillId="0" borderId="1" xfId="0" applyBorder="1" applyAlignment="1">
      <alignment horizontal="left"/>
    </xf>
    <xf numFmtId="0" fontId="2" fillId="8" borderId="0" xfId="0" applyFont="1" applyFill="1" applyAlignment="1" applyProtection="1">
      <alignment horizontal="center"/>
      <protection hidden="1"/>
    </xf>
    <xf numFmtId="2" fontId="37" fillId="10" borderId="0" xfId="0" applyNumberFormat="1" applyFont="1" applyFill="1" applyAlignment="1" applyProtection="1">
      <alignment horizontal="center"/>
      <protection hidden="1"/>
    </xf>
    <xf numFmtId="0" fontId="16" fillId="10" borderId="0" xfId="0" applyFont="1" applyFill="1" applyAlignment="1" applyProtection="1">
      <alignment horizontal="right" vertical="top"/>
      <protection hidden="1"/>
    </xf>
    <xf numFmtId="2" fontId="37" fillId="10" borderId="0" xfId="0" applyNumberFormat="1" applyFont="1" applyFill="1" applyAlignment="1" applyProtection="1">
      <alignment horizontal="center" vertical="top"/>
      <protection hidden="1"/>
    </xf>
    <xf numFmtId="165" fontId="2" fillId="17" borderId="0" xfId="0" applyNumberFormat="1" applyFont="1" applyFill="1" applyAlignment="1" applyProtection="1">
      <alignment horizontal="center"/>
      <protection hidden="1"/>
    </xf>
    <xf numFmtId="2" fontId="37" fillId="10" borderId="1" xfId="0" applyNumberFormat="1" applyFont="1" applyFill="1" applyBorder="1" applyAlignment="1" applyProtection="1">
      <alignment horizontal="center" vertical="top"/>
      <protection hidden="1"/>
    </xf>
    <xf numFmtId="0" fontId="2" fillId="8" borderId="0" xfId="0" applyFont="1" applyFill="1" applyProtection="1">
      <protection hidden="1"/>
    </xf>
    <xf numFmtId="0" fontId="2" fillId="8" borderId="23" xfId="0" applyFont="1" applyFill="1" applyBorder="1" applyProtection="1">
      <protection hidden="1"/>
    </xf>
    <xf numFmtId="0" fontId="74" fillId="10" borderId="0" xfId="0" applyFont="1" applyFill="1" applyProtection="1">
      <protection hidden="1"/>
    </xf>
    <xf numFmtId="0" fontId="16" fillId="10" borderId="20" xfId="0" applyFont="1" applyFill="1" applyBorder="1" applyAlignment="1" applyProtection="1">
      <alignment horizontal="right"/>
      <protection hidden="1"/>
    </xf>
    <xf numFmtId="0" fontId="0" fillId="5" borderId="0" xfId="0" applyFill="1"/>
    <xf numFmtId="0" fontId="0" fillId="5" borderId="0" xfId="0" applyFill="1" applyAlignment="1">
      <alignment horizontal="left"/>
    </xf>
    <xf numFmtId="0" fontId="28" fillId="5" borderId="0" xfId="0" applyFont="1" applyFill="1" applyAlignment="1">
      <alignment horizontal="center"/>
    </xf>
    <xf numFmtId="0" fontId="2" fillId="0" borderId="5" xfId="0" applyFont="1" applyBorder="1"/>
    <xf numFmtId="0" fontId="2" fillId="0" borderId="28" xfId="0" applyFont="1" applyBorder="1"/>
    <xf numFmtId="0" fontId="2" fillId="0" borderId="6" xfId="0" applyFont="1" applyBorder="1"/>
    <xf numFmtId="0" fontId="0" fillId="6" borderId="5" xfId="0" applyFill="1" applyBorder="1" applyAlignment="1">
      <alignment horizontal="center"/>
    </xf>
    <xf numFmtId="164" fontId="0" fillId="6" borderId="5" xfId="0" applyNumberFormat="1" applyFill="1" applyBorder="1" applyAlignment="1">
      <alignment horizontal="center"/>
    </xf>
    <xf numFmtId="164" fontId="0" fillId="6" borderId="28" xfId="0" applyNumberFormat="1" applyFill="1" applyBorder="1" applyAlignment="1">
      <alignment horizontal="center"/>
    </xf>
    <xf numFmtId="164" fontId="0" fillId="6" borderId="6" xfId="0" applyNumberFormat="1" applyFill="1" applyBorder="1" applyAlignment="1">
      <alignment horizontal="center"/>
    </xf>
    <xf numFmtId="0" fontId="0" fillId="0" borderId="4" xfId="0" applyBorder="1" applyAlignment="1">
      <alignment horizontal="center"/>
    </xf>
    <xf numFmtId="0" fontId="0" fillId="0" borderId="16" xfId="0" applyBorder="1" applyAlignment="1">
      <alignment horizontal="center"/>
    </xf>
    <xf numFmtId="167" fontId="2" fillId="0" borderId="0" xfId="0" applyNumberFormat="1" applyFont="1" applyAlignment="1">
      <alignment horizontal="center"/>
    </xf>
    <xf numFmtId="164" fontId="2" fillId="0" borderId="0" xfId="0" applyNumberFormat="1" applyFont="1"/>
    <xf numFmtId="164" fontId="2" fillId="0" borderId="0" xfId="0" applyNumberFormat="1" applyFont="1" applyAlignment="1" applyProtection="1">
      <alignment horizontal="center"/>
      <protection locked="0"/>
    </xf>
    <xf numFmtId="0" fontId="9" fillId="10" borderId="0" xfId="0" applyFont="1" applyFill="1" applyAlignment="1" applyProtection="1">
      <alignment horizontal="center" vertical="center"/>
      <protection hidden="1"/>
    </xf>
    <xf numFmtId="0" fontId="2" fillId="0" borderId="0" xfId="0" applyFont="1" applyAlignment="1" applyProtection="1">
      <alignment horizontal="center"/>
      <protection locked="0"/>
    </xf>
    <xf numFmtId="164" fontId="2" fillId="9" borderId="0" xfId="0" applyNumberFormat="1" applyFont="1" applyFill="1" applyAlignment="1" applyProtection="1">
      <alignment horizontal="center"/>
      <protection hidden="1"/>
    </xf>
    <xf numFmtId="1" fontId="2" fillId="9" borderId="0" xfId="0" applyNumberFormat="1" applyFont="1" applyFill="1" applyAlignment="1" applyProtection="1">
      <alignment horizontal="center"/>
      <protection hidden="1"/>
    </xf>
    <xf numFmtId="167" fontId="2" fillId="9" borderId="0" xfId="0" applyNumberFormat="1" applyFont="1" applyFill="1" applyAlignment="1" applyProtection="1">
      <alignment horizontal="center"/>
      <protection hidden="1"/>
    </xf>
    <xf numFmtId="0" fontId="2" fillId="9" borderId="7" xfId="0" applyFont="1" applyFill="1" applyBorder="1" applyAlignment="1" applyProtection="1">
      <alignment horizontal="center"/>
      <protection hidden="1"/>
    </xf>
    <xf numFmtId="0" fontId="2" fillId="9" borderId="0" xfId="0" applyFont="1" applyFill="1" applyAlignment="1" applyProtection="1">
      <alignment horizontal="center"/>
      <protection hidden="1"/>
    </xf>
    <xf numFmtId="0" fontId="2" fillId="14" borderId="7" xfId="0" applyFont="1" applyFill="1" applyBorder="1" applyAlignment="1" applyProtection="1">
      <alignment horizontal="center" vertical="center"/>
      <protection hidden="1"/>
    </xf>
    <xf numFmtId="0" fontId="2" fillId="14" borderId="0" xfId="0" applyFont="1" applyFill="1" applyAlignment="1" applyProtection="1">
      <alignment horizontal="center" vertical="center"/>
      <protection hidden="1"/>
    </xf>
    <xf numFmtId="0" fontId="2" fillId="7" borderId="0" xfId="0" applyFont="1" applyFill="1" applyAlignment="1" applyProtection="1">
      <alignment horizontal="center" vertical="center"/>
      <protection hidden="1"/>
    </xf>
    <xf numFmtId="0" fontId="2" fillId="7" borderId="15" xfId="0" applyFont="1" applyFill="1" applyBorder="1" applyAlignment="1" applyProtection="1">
      <alignment horizontal="center" vertical="center"/>
      <protection hidden="1"/>
    </xf>
    <xf numFmtId="0" fontId="31" fillId="10" borderId="0" xfId="0" applyFont="1" applyFill="1" applyAlignment="1" applyProtection="1">
      <alignment horizontal="left" vertical="center"/>
      <protection hidden="1"/>
    </xf>
    <xf numFmtId="0" fontId="2" fillId="10" borderId="0" xfId="0" applyFont="1" applyFill="1" applyAlignment="1" applyProtection="1">
      <alignment horizontal="center" vertical="center"/>
      <protection hidden="1"/>
    </xf>
    <xf numFmtId="2" fontId="10" fillId="18" borderId="0" xfId="0" applyNumberFormat="1" applyFont="1" applyFill="1" applyAlignment="1" applyProtection="1">
      <alignment horizontal="center" vertical="center"/>
      <protection hidden="1"/>
    </xf>
    <xf numFmtId="0" fontId="2" fillId="10" borderId="0" xfId="0" applyFont="1" applyFill="1" applyAlignment="1" applyProtection="1">
      <alignment horizontal="center"/>
      <protection hidden="1"/>
    </xf>
    <xf numFmtId="0" fontId="2" fillId="10" borderId="15" xfId="0" applyFont="1" applyFill="1" applyBorder="1" applyAlignment="1" applyProtection="1">
      <alignment horizontal="center"/>
      <protection hidden="1"/>
    </xf>
    <xf numFmtId="165" fontId="2" fillId="10" borderId="0" xfId="0" applyNumberFormat="1" applyFont="1" applyFill="1" applyAlignment="1" applyProtection="1">
      <alignment horizontal="center" vertical="center"/>
      <protection hidden="1"/>
    </xf>
    <xf numFmtId="0" fontId="37" fillId="10" borderId="0" xfId="0" applyFont="1" applyFill="1" applyAlignment="1" applyProtection="1">
      <alignment horizontal="center" vertical="center" wrapText="1"/>
      <protection hidden="1"/>
    </xf>
    <xf numFmtId="165" fontId="0" fillId="10" borderId="0" xfId="0" applyNumberFormat="1" applyFill="1" applyAlignment="1" applyProtection="1">
      <alignment horizontal="center" vertical="center"/>
      <protection hidden="1"/>
    </xf>
    <xf numFmtId="0" fontId="0" fillId="14" borderId="0" xfId="0" applyFill="1" applyAlignment="1" applyProtection="1">
      <alignment horizontal="center" vertical="center" wrapText="1"/>
      <protection hidden="1"/>
    </xf>
    <xf numFmtId="0" fontId="6" fillId="14" borderId="0" xfId="0" applyFont="1" applyFill="1" applyAlignment="1" applyProtection="1">
      <alignment horizontal="center" vertical="center" wrapText="1"/>
      <protection hidden="1"/>
    </xf>
    <xf numFmtId="0" fontId="2" fillId="5" borderId="0" xfId="0" applyFont="1" applyFill="1" applyAlignment="1" applyProtection="1">
      <alignment horizontal="center"/>
      <protection hidden="1"/>
    </xf>
    <xf numFmtId="0" fontId="2" fillId="5" borderId="0" xfId="0" applyFont="1" applyFill="1" applyAlignment="1" applyProtection="1">
      <alignment horizontal="center" vertical="center"/>
      <protection hidden="1"/>
    </xf>
    <xf numFmtId="0" fontId="50" fillId="10" borderId="0" xfId="0" applyFont="1" applyFill="1" applyAlignment="1" applyProtection="1">
      <alignment horizontal="center"/>
      <protection hidden="1"/>
    </xf>
    <xf numFmtId="2" fontId="2" fillId="2" borderId="0" xfId="0" applyNumberFormat="1" applyFont="1" applyFill="1" applyAlignment="1" applyProtection="1">
      <alignment horizontal="center" vertical="center"/>
      <protection hidden="1"/>
    </xf>
    <xf numFmtId="0" fontId="37" fillId="5" borderId="0" xfId="0" applyFont="1" applyFill="1" applyAlignment="1" applyProtection="1">
      <alignment horizontal="center" vertical="top" wrapText="1"/>
      <protection hidden="1"/>
    </xf>
    <xf numFmtId="2" fontId="19" fillId="15" borderId="0" xfId="0" applyNumberFormat="1" applyFont="1" applyFill="1" applyAlignment="1" applyProtection="1">
      <alignment horizontal="center" vertical="center"/>
      <protection hidden="1"/>
    </xf>
    <xf numFmtId="0" fontId="36" fillId="11" borderId="0" xfId="0" applyFont="1" applyFill="1" applyAlignment="1" applyProtection="1">
      <alignment horizontal="center"/>
      <protection hidden="1"/>
    </xf>
    <xf numFmtId="164" fontId="0" fillId="9" borderId="7" xfId="0" applyNumberFormat="1" applyFill="1" applyBorder="1" applyAlignment="1" applyProtection="1">
      <alignment horizontal="center"/>
      <protection hidden="1"/>
    </xf>
    <xf numFmtId="164" fontId="0" fillId="9" borderId="0" xfId="0" applyNumberFormat="1" applyFill="1" applyAlignment="1" applyProtection="1">
      <alignment horizontal="center"/>
      <protection hidden="1"/>
    </xf>
    <xf numFmtId="0" fontId="10" fillId="19" borderId="0" xfId="0" applyFont="1" applyFill="1" applyAlignment="1" applyProtection="1">
      <alignment horizontal="center" vertical="center" wrapText="1"/>
      <protection hidden="1"/>
    </xf>
    <xf numFmtId="0" fontId="10" fillId="19" borderId="15" xfId="0" applyFont="1" applyFill="1" applyBorder="1" applyAlignment="1" applyProtection="1">
      <alignment horizontal="center" vertical="center" wrapText="1"/>
      <protection hidden="1"/>
    </xf>
    <xf numFmtId="0" fontId="8" fillId="5" borderId="0" xfId="2" applyFont="1" applyFill="1" applyBorder="1" applyAlignment="1" applyProtection="1">
      <alignment horizontal="center" vertical="center"/>
      <protection locked="0" hidden="1"/>
    </xf>
    <xf numFmtId="0" fontId="2" fillId="16" borderId="19" xfId="0" applyFont="1" applyFill="1" applyBorder="1" applyAlignment="1" applyProtection="1">
      <alignment horizontal="center" vertical="center"/>
      <protection hidden="1"/>
    </xf>
    <xf numFmtId="0" fontId="2" fillId="16" borderId="20" xfId="0" applyFont="1" applyFill="1" applyBorder="1" applyAlignment="1" applyProtection="1">
      <alignment horizontal="center" vertical="center"/>
      <protection hidden="1"/>
    </xf>
    <xf numFmtId="0" fontId="2" fillId="16" borderId="14" xfId="0" applyFont="1" applyFill="1" applyBorder="1" applyAlignment="1" applyProtection="1">
      <alignment horizontal="center" vertical="center"/>
      <protection hidden="1"/>
    </xf>
    <xf numFmtId="0" fontId="2" fillId="16" borderId="7" xfId="0" applyFont="1" applyFill="1" applyBorder="1" applyAlignment="1" applyProtection="1">
      <alignment horizontal="center" vertical="center"/>
      <protection hidden="1"/>
    </xf>
    <xf numFmtId="0" fontId="2" fillId="16" borderId="0" xfId="0" applyFont="1" applyFill="1" applyAlignment="1" applyProtection="1">
      <alignment horizontal="center" vertical="center"/>
      <protection hidden="1"/>
    </xf>
    <xf numFmtId="0" fontId="2" fillId="16" borderId="15" xfId="0" applyFont="1" applyFill="1" applyBorder="1" applyAlignment="1" applyProtection="1">
      <alignment horizontal="center" vertical="center"/>
      <protection hidden="1"/>
    </xf>
    <xf numFmtId="2" fontId="18" fillId="10" borderId="0" xfId="0" applyNumberFormat="1" applyFont="1" applyFill="1" applyAlignment="1" applyProtection="1">
      <alignment horizontal="center" vertical="center"/>
      <protection hidden="1"/>
    </xf>
    <xf numFmtId="0" fontId="2" fillId="10" borderId="7" xfId="0" applyFont="1" applyFill="1" applyBorder="1" applyAlignment="1" applyProtection="1">
      <alignment horizontal="center"/>
      <protection hidden="1"/>
    </xf>
    <xf numFmtId="0" fontId="37" fillId="10" borderId="7" xfId="0" applyFont="1" applyFill="1" applyBorder="1" applyAlignment="1" applyProtection="1">
      <alignment horizontal="left" vertical="top" wrapText="1"/>
      <protection hidden="1"/>
    </xf>
    <xf numFmtId="0" fontId="37" fillId="10" borderId="0" xfId="0" applyFont="1" applyFill="1" applyAlignment="1" applyProtection="1">
      <alignment horizontal="left" vertical="top" wrapText="1"/>
      <protection hidden="1"/>
    </xf>
    <xf numFmtId="0" fontId="37" fillId="10" borderId="15" xfId="0" applyFont="1" applyFill="1" applyBorder="1" applyAlignment="1" applyProtection="1">
      <alignment horizontal="left" vertical="top" wrapText="1"/>
      <protection hidden="1"/>
    </xf>
    <xf numFmtId="0" fontId="2" fillId="19" borderId="0" xfId="0" applyFont="1" applyFill="1" applyAlignment="1" applyProtection="1">
      <alignment horizontal="center"/>
      <protection hidden="1"/>
    </xf>
    <xf numFmtId="0" fontId="2" fillId="19" borderId="15" xfId="0" applyFont="1" applyFill="1" applyBorder="1" applyAlignment="1" applyProtection="1">
      <alignment horizontal="center"/>
      <protection hidden="1"/>
    </xf>
    <xf numFmtId="0" fontId="2" fillId="6" borderId="0" xfId="0" applyFont="1" applyFill="1" applyAlignment="1" applyProtection="1">
      <alignment horizontal="right" vertical="top"/>
      <protection hidden="1"/>
    </xf>
    <xf numFmtId="0" fontId="37" fillId="33" borderId="0" xfId="0" applyFont="1" applyFill="1" applyAlignment="1" applyProtection="1">
      <alignment horizontal="center" vertical="top" wrapText="1"/>
      <protection hidden="1"/>
    </xf>
    <xf numFmtId="0" fontId="16" fillId="5" borderId="0" xfId="0" applyFont="1" applyFill="1" applyAlignment="1" applyProtection="1">
      <alignment horizontal="center" vertical="center"/>
      <protection hidden="1"/>
    </xf>
    <xf numFmtId="0" fontId="37" fillId="10" borderId="0" xfId="0" applyFont="1" applyFill="1" applyAlignment="1" applyProtection="1">
      <alignment horizontal="left" vertical="center" wrapText="1"/>
      <protection hidden="1"/>
    </xf>
    <xf numFmtId="1" fontId="2" fillId="11" borderId="0" xfId="0" applyNumberFormat="1" applyFont="1" applyFill="1" applyAlignment="1" applyProtection="1">
      <alignment horizontal="center" vertical="center"/>
      <protection hidden="1"/>
    </xf>
    <xf numFmtId="0" fontId="36" fillId="11" borderId="15" xfId="0" applyFont="1" applyFill="1" applyBorder="1" applyAlignment="1" applyProtection="1">
      <alignment horizontal="center"/>
      <protection hidden="1"/>
    </xf>
    <xf numFmtId="0" fontId="37" fillId="7" borderId="0" xfId="0" applyFont="1" applyFill="1" applyAlignment="1" applyProtection="1">
      <alignment horizontal="center"/>
      <protection hidden="1"/>
    </xf>
    <xf numFmtId="0" fontId="37" fillId="7" borderId="15" xfId="0" applyFont="1" applyFill="1" applyBorder="1" applyAlignment="1" applyProtection="1">
      <alignment horizontal="center"/>
      <protection hidden="1"/>
    </xf>
    <xf numFmtId="0" fontId="37" fillId="10" borderId="0" xfId="0" applyFont="1" applyFill="1" applyAlignment="1" applyProtection="1">
      <alignment horizontal="right" wrapText="1"/>
      <protection hidden="1"/>
    </xf>
    <xf numFmtId="165" fontId="34" fillId="10" borderId="0" xfId="0" applyNumberFormat="1" applyFont="1" applyFill="1" applyAlignment="1" applyProtection="1">
      <alignment horizontal="center" vertical="center" wrapText="1"/>
      <protection hidden="1"/>
    </xf>
    <xf numFmtId="0" fontId="34" fillId="10" borderId="0" xfId="0" applyFont="1" applyFill="1" applyAlignment="1" applyProtection="1">
      <alignment horizontal="center" vertical="center" wrapText="1"/>
      <protection hidden="1"/>
    </xf>
    <xf numFmtId="164" fontId="37" fillId="14" borderId="0" xfId="0" applyNumberFormat="1" applyFont="1" applyFill="1" applyAlignment="1" applyProtection="1">
      <alignment horizontal="center" vertical="top" wrapText="1"/>
      <protection hidden="1"/>
    </xf>
    <xf numFmtId="0" fontId="58" fillId="5" borderId="0" xfId="0" applyFont="1" applyFill="1" applyAlignment="1" applyProtection="1">
      <alignment horizontal="center" vertical="center"/>
      <protection hidden="1"/>
    </xf>
    <xf numFmtId="171" fontId="2" fillId="5" borderId="22" xfId="0" applyNumberFormat="1" applyFont="1" applyFill="1" applyBorder="1" applyAlignment="1" applyProtection="1">
      <alignment horizontal="center" vertical="center"/>
      <protection hidden="1"/>
    </xf>
    <xf numFmtId="171" fontId="2" fillId="5" borderId="10" xfId="0" applyNumberFormat="1" applyFont="1" applyFill="1" applyBorder="1" applyAlignment="1" applyProtection="1">
      <alignment horizontal="center" vertical="center"/>
      <protection hidden="1"/>
    </xf>
    <xf numFmtId="0" fontId="36" fillId="19" borderId="0" xfId="0" applyFont="1" applyFill="1" applyAlignment="1" applyProtection="1">
      <alignment horizontal="center" vertical="center" wrapText="1"/>
      <protection hidden="1"/>
    </xf>
    <xf numFmtId="0" fontId="36" fillId="19" borderId="15" xfId="0" applyFont="1" applyFill="1" applyBorder="1" applyAlignment="1" applyProtection="1">
      <alignment horizontal="center" vertical="center"/>
      <protection hidden="1"/>
    </xf>
    <xf numFmtId="0" fontId="36" fillId="19" borderId="0" xfId="0" applyFont="1" applyFill="1" applyAlignment="1" applyProtection="1">
      <alignment horizontal="center" vertical="center"/>
      <protection hidden="1"/>
    </xf>
    <xf numFmtId="0" fontId="2" fillId="10" borderId="0" xfId="0" applyFont="1" applyFill="1" applyAlignment="1" applyProtection="1">
      <alignment horizontal="center" vertical="top"/>
      <protection hidden="1"/>
    </xf>
    <xf numFmtId="0" fontId="37" fillId="7" borderId="0" xfId="0" applyFont="1" applyFill="1" applyAlignment="1" applyProtection="1">
      <alignment horizontal="center" vertical="top" wrapText="1"/>
      <protection hidden="1"/>
    </xf>
    <xf numFmtId="0" fontId="37" fillId="14" borderId="0" xfId="0" applyFont="1" applyFill="1" applyAlignment="1" applyProtection="1">
      <alignment horizontal="center" vertical="top" wrapText="1"/>
      <protection hidden="1"/>
    </xf>
    <xf numFmtId="0" fontId="2" fillId="6" borderId="0" xfId="0" applyFont="1" applyFill="1" applyAlignment="1" applyProtection="1">
      <alignment horizontal="center" vertical="top"/>
      <protection hidden="1"/>
    </xf>
    <xf numFmtId="0" fontId="43" fillId="10" borderId="0" xfId="0" applyFont="1" applyFill="1" applyAlignment="1" applyProtection="1">
      <alignment horizontal="center" vertical="center" wrapText="1"/>
      <protection hidden="1"/>
    </xf>
    <xf numFmtId="0" fontId="43" fillId="10" borderId="12" xfId="0" applyFont="1" applyFill="1" applyBorder="1" applyAlignment="1" applyProtection="1">
      <alignment horizontal="center" vertical="center" wrapText="1"/>
      <protection hidden="1"/>
    </xf>
    <xf numFmtId="0" fontId="43" fillId="10" borderId="27" xfId="0" applyFont="1" applyFill="1" applyBorder="1" applyAlignment="1" applyProtection="1">
      <alignment horizontal="center" vertical="center" wrapText="1"/>
      <protection hidden="1"/>
    </xf>
    <xf numFmtId="0" fontId="43" fillId="10" borderId="18" xfId="0" applyFont="1" applyFill="1" applyBorder="1" applyAlignment="1" applyProtection="1">
      <alignment horizontal="center" vertical="center" wrapText="1"/>
      <protection hidden="1"/>
    </xf>
    <xf numFmtId="164" fontId="28" fillId="11" borderId="0" xfId="3" applyNumberFormat="1" applyFont="1" applyFill="1" applyBorder="1" applyAlignment="1" applyProtection="1">
      <alignment horizontal="center"/>
      <protection hidden="1"/>
    </xf>
    <xf numFmtId="0" fontId="28" fillId="9" borderId="0" xfId="0" applyFont="1" applyFill="1" applyAlignment="1" applyProtection="1">
      <alignment horizontal="center"/>
      <protection hidden="1"/>
    </xf>
    <xf numFmtId="0" fontId="28" fillId="23" borderId="0" xfId="0" applyFont="1" applyFill="1" applyAlignment="1" applyProtection="1">
      <alignment horizontal="right" vertical="center"/>
      <protection hidden="1"/>
    </xf>
    <xf numFmtId="0" fontId="28" fillId="25" borderId="0" xfId="0" applyFont="1" applyFill="1" applyAlignment="1" applyProtection="1">
      <alignment horizontal="right"/>
      <protection hidden="1"/>
    </xf>
    <xf numFmtId="0" fontId="28" fillId="14" borderId="0" xfId="0" applyFont="1" applyFill="1" applyAlignment="1" applyProtection="1">
      <alignment horizontal="right"/>
      <protection hidden="1"/>
    </xf>
    <xf numFmtId="1" fontId="28" fillId="10" borderId="20" xfId="0" applyNumberFormat="1" applyFont="1" applyFill="1" applyBorder="1" applyAlignment="1" applyProtection="1">
      <alignment horizontal="left" vertical="center"/>
      <protection hidden="1"/>
    </xf>
    <xf numFmtId="1" fontId="28" fillId="10" borderId="1" xfId="0" applyNumberFormat="1" applyFont="1" applyFill="1" applyBorder="1" applyAlignment="1" applyProtection="1">
      <alignment horizontal="left" vertical="center"/>
      <protection hidden="1"/>
    </xf>
    <xf numFmtId="0" fontId="28" fillId="10" borderId="20" xfId="0" applyFont="1" applyFill="1" applyBorder="1" applyAlignment="1" applyProtection="1">
      <alignment horizontal="center" vertical="top" wrapText="1"/>
      <protection hidden="1"/>
    </xf>
    <xf numFmtId="0" fontId="28" fillId="10" borderId="1" xfId="0" applyFont="1" applyFill="1" applyBorder="1" applyAlignment="1" applyProtection="1">
      <alignment horizontal="center" vertical="top" wrapText="1"/>
      <protection hidden="1"/>
    </xf>
    <xf numFmtId="167" fontId="28" fillId="10" borderId="14" xfId="0" applyNumberFormat="1" applyFont="1" applyFill="1" applyBorder="1" applyAlignment="1" applyProtection="1">
      <alignment horizontal="left" vertical="center"/>
      <protection hidden="1"/>
    </xf>
    <xf numFmtId="167" fontId="28" fillId="10" borderId="17" xfId="0" applyNumberFormat="1" applyFont="1" applyFill="1" applyBorder="1" applyAlignment="1" applyProtection="1">
      <alignment horizontal="left" vertical="center"/>
      <protection hidden="1"/>
    </xf>
    <xf numFmtId="0" fontId="44" fillId="10" borderId="0" xfId="0" applyFont="1" applyFill="1" applyAlignment="1" applyProtection="1">
      <alignment horizontal="left" vertical="top" wrapText="1"/>
      <protection hidden="1"/>
    </xf>
    <xf numFmtId="0" fontId="32" fillId="10" borderId="0" xfId="0" applyFont="1" applyFill="1" applyAlignment="1" applyProtection="1">
      <alignment horizontal="center" vertical="center"/>
      <protection hidden="1"/>
    </xf>
    <xf numFmtId="2" fontId="32" fillId="10" borderId="0" xfId="0" applyNumberFormat="1" applyFont="1" applyFill="1" applyAlignment="1" applyProtection="1">
      <alignment horizontal="center" vertical="center"/>
      <protection hidden="1"/>
    </xf>
    <xf numFmtId="0" fontId="28" fillId="10" borderId="0" xfId="0" applyFont="1" applyFill="1" applyAlignment="1" applyProtection="1">
      <alignment horizontal="center"/>
      <protection hidden="1"/>
    </xf>
    <xf numFmtId="9" fontId="32" fillId="10" borderId="0" xfId="0" applyNumberFormat="1" applyFont="1" applyFill="1" applyAlignment="1" applyProtection="1">
      <alignment horizontal="center" vertical="center"/>
      <protection hidden="1"/>
    </xf>
    <xf numFmtId="0" fontId="10" fillId="14" borderId="0" xfId="0" applyFont="1" applyFill="1" applyAlignment="1" applyProtection="1">
      <alignment horizontal="left" vertical="center"/>
      <protection hidden="1"/>
    </xf>
    <xf numFmtId="0" fontId="28" fillId="10" borderId="19" xfId="0" applyFont="1" applyFill="1" applyBorder="1" applyAlignment="1" applyProtection="1">
      <alignment horizontal="center" wrapText="1"/>
      <protection hidden="1"/>
    </xf>
    <xf numFmtId="0" fontId="28" fillId="10" borderId="20" xfId="0" applyFont="1" applyFill="1" applyBorder="1" applyAlignment="1" applyProtection="1">
      <alignment horizontal="center" wrapText="1"/>
      <protection hidden="1"/>
    </xf>
    <xf numFmtId="0" fontId="28" fillId="10" borderId="24" xfId="0" applyFont="1" applyFill="1" applyBorder="1" applyAlignment="1" applyProtection="1">
      <alignment horizontal="center" wrapText="1"/>
      <protection hidden="1"/>
    </xf>
    <xf numFmtId="0" fontId="28" fillId="10" borderId="1" xfId="0" applyFont="1" applyFill="1" applyBorder="1" applyAlignment="1" applyProtection="1">
      <alignment horizontal="center" wrapText="1"/>
      <protection hidden="1"/>
    </xf>
    <xf numFmtId="2" fontId="32" fillId="22" borderId="0" xfId="0" applyNumberFormat="1" applyFont="1" applyFill="1" applyAlignment="1" applyProtection="1">
      <alignment horizontal="center" vertical="center"/>
      <protection hidden="1"/>
    </xf>
    <xf numFmtId="0" fontId="32" fillId="22" borderId="0" xfId="0" applyFont="1" applyFill="1" applyAlignment="1" applyProtection="1">
      <alignment horizontal="center" vertical="center"/>
      <protection hidden="1"/>
    </xf>
    <xf numFmtId="0" fontId="10" fillId="22" borderId="0" xfId="0" applyFont="1" applyFill="1" applyAlignment="1" applyProtection="1">
      <alignment horizontal="center" vertical="center"/>
      <protection hidden="1"/>
    </xf>
    <xf numFmtId="0" fontId="27" fillId="27" borderId="0" xfId="0" applyFont="1" applyFill="1" applyAlignment="1" applyProtection="1">
      <alignment horizontal="center" vertical="center" wrapText="1"/>
      <protection hidden="1"/>
    </xf>
    <xf numFmtId="2" fontId="34" fillId="14" borderId="0" xfId="0" applyNumberFormat="1" applyFont="1" applyFill="1" applyAlignment="1" applyProtection="1">
      <alignment horizontal="center" vertical="center"/>
      <protection hidden="1"/>
    </xf>
    <xf numFmtId="0" fontId="57" fillId="5" borderId="0" xfId="0" applyFont="1" applyFill="1" applyAlignment="1" applyProtection="1">
      <alignment horizontal="center" vertical="center"/>
      <protection hidden="1"/>
    </xf>
    <xf numFmtId="170" fontId="2" fillId="5" borderId="22" xfId="0" applyNumberFormat="1" applyFont="1" applyFill="1" applyBorder="1" applyAlignment="1" applyProtection="1">
      <alignment horizontal="center" vertical="center"/>
      <protection hidden="1"/>
    </xf>
    <xf numFmtId="170" fontId="2" fillId="5" borderId="10" xfId="0" applyNumberFormat="1" applyFont="1" applyFill="1" applyBorder="1" applyAlignment="1" applyProtection="1">
      <alignment horizontal="center" vertical="center"/>
      <protection hidden="1"/>
    </xf>
    <xf numFmtId="0" fontId="28" fillId="10" borderId="0" xfId="0" applyFont="1" applyFill="1" applyAlignment="1" applyProtection="1">
      <alignment horizontal="center"/>
      <protection locked="0" hidden="1"/>
    </xf>
    <xf numFmtId="0" fontId="30" fillId="14" borderId="0" xfId="0" applyFont="1" applyFill="1" applyAlignment="1" applyProtection="1">
      <alignment horizontal="center" vertical="center" wrapText="1"/>
      <protection hidden="1"/>
    </xf>
    <xf numFmtId="0" fontId="2" fillId="5" borderId="22" xfId="0" applyFont="1" applyFill="1" applyBorder="1" applyAlignment="1" applyProtection="1">
      <alignment horizontal="center"/>
      <protection hidden="1"/>
    </xf>
    <xf numFmtId="0" fontId="37" fillId="9" borderId="0" xfId="0" applyFont="1" applyFill="1" applyAlignment="1" applyProtection="1">
      <alignment horizontal="center"/>
      <protection hidden="1"/>
    </xf>
    <xf numFmtId="0" fontId="37" fillId="19" borderId="0" xfId="0" applyFont="1" applyFill="1" applyAlignment="1" applyProtection="1">
      <alignment horizontal="center" vertical="center" wrapText="1"/>
      <protection hidden="1"/>
    </xf>
    <xf numFmtId="0" fontId="37" fillId="19" borderId="15" xfId="0" applyFont="1" applyFill="1" applyBorder="1" applyAlignment="1" applyProtection="1">
      <alignment horizontal="center" vertical="center" wrapText="1"/>
      <protection hidden="1"/>
    </xf>
    <xf numFmtId="164" fontId="37" fillId="14" borderId="0" xfId="0" applyNumberFormat="1" applyFont="1" applyFill="1" applyAlignment="1" applyProtection="1">
      <alignment horizontal="center" vertical="center"/>
      <protection hidden="1"/>
    </xf>
    <xf numFmtId="0" fontId="37" fillId="7" borderId="0" xfId="0" applyFont="1" applyFill="1" applyAlignment="1" applyProtection="1">
      <alignment horizontal="center" vertical="center"/>
      <protection hidden="1"/>
    </xf>
    <xf numFmtId="0" fontId="37" fillId="14" borderId="0" xfId="0" applyFont="1" applyFill="1" applyAlignment="1" applyProtection="1">
      <alignment horizontal="center" vertical="center"/>
      <protection hidden="1"/>
    </xf>
    <xf numFmtId="0" fontId="37" fillId="5" borderId="0" xfId="0" applyFont="1" applyFill="1" applyAlignment="1" applyProtection="1">
      <alignment horizontal="center" vertical="center" wrapText="1"/>
      <protection hidden="1"/>
    </xf>
    <xf numFmtId="0" fontId="2" fillId="5" borderId="22" xfId="0" applyFont="1" applyFill="1" applyBorder="1" applyAlignment="1" applyProtection="1">
      <alignment horizontal="center" vertical="center"/>
      <protection hidden="1"/>
    </xf>
    <xf numFmtId="0" fontId="2" fillId="14" borderId="19" xfId="0" applyFont="1" applyFill="1" applyBorder="1" applyAlignment="1" applyProtection="1">
      <alignment horizontal="center" vertical="center"/>
      <protection hidden="1"/>
    </xf>
    <xf numFmtId="0" fontId="2" fillId="14" borderId="20" xfId="0" applyFont="1" applyFill="1" applyBorder="1" applyAlignment="1" applyProtection="1">
      <alignment horizontal="center" vertical="center"/>
      <protection hidden="1"/>
    </xf>
    <xf numFmtId="0" fontId="2" fillId="7" borderId="20" xfId="0" applyFont="1" applyFill="1" applyBorder="1" applyAlignment="1" applyProtection="1">
      <alignment horizontal="center" vertical="center"/>
      <protection hidden="1"/>
    </xf>
    <xf numFmtId="0" fontId="4" fillId="5" borderId="22" xfId="2" applyFill="1" applyBorder="1" applyAlignment="1" applyProtection="1">
      <alignment horizontal="center" vertical="center"/>
      <protection locked="0" hidden="1"/>
    </xf>
    <xf numFmtId="0" fontId="8" fillId="5" borderId="22" xfId="2" applyFont="1" applyFill="1" applyBorder="1" applyAlignment="1" applyProtection="1">
      <alignment horizontal="center" vertical="center"/>
      <protection locked="0" hidden="1"/>
    </xf>
    <xf numFmtId="0" fontId="16" fillId="9" borderId="0" xfId="0" applyFont="1" applyFill="1" applyAlignment="1" applyProtection="1">
      <alignment horizontal="left"/>
      <protection hidden="1"/>
    </xf>
    <xf numFmtId="2" fontId="17" fillId="10" borderId="0" xfId="0" applyNumberFormat="1" applyFont="1" applyFill="1" applyAlignment="1" applyProtection="1">
      <alignment horizontal="center" vertical="center"/>
      <protection hidden="1"/>
    </xf>
    <xf numFmtId="1" fontId="2" fillId="10" borderId="0" xfId="0" applyNumberFormat="1" applyFont="1" applyFill="1" applyAlignment="1" applyProtection="1">
      <alignment horizontal="center" vertical="center"/>
      <protection hidden="1"/>
    </xf>
    <xf numFmtId="0" fontId="2" fillId="8" borderId="19" xfId="0" applyFont="1" applyFill="1" applyBorder="1" applyAlignment="1" applyProtection="1">
      <alignment horizontal="center"/>
      <protection hidden="1"/>
    </xf>
    <xf numFmtId="0" fontId="2" fillId="8" borderId="20" xfId="0" applyFont="1" applyFill="1" applyBorder="1" applyAlignment="1" applyProtection="1">
      <alignment horizontal="center"/>
      <protection hidden="1"/>
    </xf>
    <xf numFmtId="0" fontId="2" fillId="8" borderId="33" xfId="0" applyFont="1" applyFill="1" applyBorder="1" applyAlignment="1" applyProtection="1">
      <alignment horizontal="center"/>
      <protection hidden="1"/>
    </xf>
    <xf numFmtId="0" fontId="2" fillId="8" borderId="7" xfId="0" applyFont="1" applyFill="1" applyBorder="1" applyAlignment="1" applyProtection="1">
      <alignment horizontal="center"/>
      <protection hidden="1"/>
    </xf>
    <xf numFmtId="0" fontId="2" fillId="8" borderId="0" xfId="0" applyFont="1" applyFill="1" applyAlignment="1" applyProtection="1">
      <alignment horizontal="center"/>
      <protection hidden="1"/>
    </xf>
    <xf numFmtId="0" fontId="2" fillId="8" borderId="12" xfId="0" applyFont="1" applyFill="1" applyBorder="1" applyAlignment="1" applyProtection="1">
      <alignment horizontal="center"/>
      <protection hidden="1"/>
    </xf>
    <xf numFmtId="0" fontId="2" fillId="8" borderId="34" xfId="0" applyFont="1" applyFill="1" applyBorder="1" applyAlignment="1" applyProtection="1">
      <alignment horizontal="center"/>
      <protection hidden="1"/>
    </xf>
    <xf numFmtId="0" fontId="2" fillId="8" borderId="27" xfId="0" applyFont="1" applyFill="1" applyBorder="1" applyAlignment="1" applyProtection="1">
      <alignment horizontal="center"/>
      <protection hidden="1"/>
    </xf>
    <xf numFmtId="0" fontId="2" fillId="8" borderId="18" xfId="0" applyFont="1" applyFill="1" applyBorder="1" applyAlignment="1" applyProtection="1">
      <alignment horizontal="center"/>
      <protection hidden="1"/>
    </xf>
    <xf numFmtId="0" fontId="32" fillId="32" borderId="36" xfId="0" applyFont="1" applyFill="1" applyBorder="1" applyAlignment="1" applyProtection="1">
      <alignment horizontal="center" vertical="center" textRotation="90"/>
      <protection hidden="1"/>
    </xf>
    <xf numFmtId="0" fontId="47" fillId="32" borderId="35" xfId="0" applyFont="1" applyFill="1" applyBorder="1" applyAlignment="1" applyProtection="1">
      <alignment horizontal="center" vertical="center" textRotation="90"/>
      <protection hidden="1"/>
    </xf>
    <xf numFmtId="0" fontId="2" fillId="9" borderId="15" xfId="0" applyFont="1" applyFill="1" applyBorder="1" applyAlignment="1" applyProtection="1">
      <alignment horizontal="center"/>
      <protection hidden="1"/>
    </xf>
    <xf numFmtId="0" fontId="9" fillId="10" borderId="0" xfId="0" applyFont="1" applyFill="1" applyAlignment="1" applyProtection="1">
      <alignment horizontal="center"/>
      <protection hidden="1"/>
    </xf>
    <xf numFmtId="165" fontId="10" fillId="14" borderId="0" xfId="0" applyNumberFormat="1" applyFont="1" applyFill="1" applyAlignment="1" applyProtection="1">
      <alignment horizontal="center"/>
      <protection hidden="1"/>
    </xf>
    <xf numFmtId="0" fontId="34" fillId="7" borderId="7" xfId="0" applyFont="1" applyFill="1" applyBorder="1" applyAlignment="1" applyProtection="1">
      <alignment horizontal="center" vertical="top" wrapText="1"/>
      <protection hidden="1"/>
    </xf>
    <xf numFmtId="0" fontId="34" fillId="7" borderId="0" xfId="0" applyFont="1" applyFill="1" applyAlignment="1" applyProtection="1">
      <alignment horizontal="center" vertical="top" wrapText="1"/>
      <protection hidden="1"/>
    </xf>
    <xf numFmtId="0" fontId="10" fillId="7" borderId="7" xfId="0" applyFont="1" applyFill="1" applyBorder="1" applyAlignment="1" applyProtection="1">
      <alignment horizontal="left"/>
      <protection hidden="1"/>
    </xf>
    <xf numFmtId="0" fontId="10" fillId="7" borderId="0" xfId="0" applyFont="1" applyFill="1" applyAlignment="1" applyProtection="1">
      <alignment horizontal="left"/>
      <protection hidden="1"/>
    </xf>
    <xf numFmtId="0" fontId="10" fillId="7" borderId="15" xfId="0" applyFont="1" applyFill="1" applyBorder="1" applyAlignment="1" applyProtection="1">
      <alignment horizontal="left"/>
      <protection hidden="1"/>
    </xf>
    <xf numFmtId="9" fontId="46" fillId="7" borderId="0" xfId="3" applyFont="1" applyFill="1" applyBorder="1" applyAlignment="1" applyProtection="1">
      <alignment horizontal="center" vertical="center"/>
      <protection hidden="1"/>
    </xf>
    <xf numFmtId="0" fontId="2" fillId="7" borderId="7" xfId="0" applyFont="1" applyFill="1" applyBorder="1" applyAlignment="1" applyProtection="1">
      <alignment horizontal="right"/>
      <protection hidden="1"/>
    </xf>
    <xf numFmtId="0" fontId="2" fillId="7" borderId="0" xfId="0" applyFont="1" applyFill="1" applyAlignment="1" applyProtection="1">
      <alignment horizontal="right"/>
      <protection hidden="1"/>
    </xf>
    <xf numFmtId="0" fontId="36" fillId="20" borderId="7" xfId="0" applyFont="1" applyFill="1" applyBorder="1" applyAlignment="1" applyProtection="1">
      <alignment horizontal="center" vertical="center" wrapText="1"/>
      <protection hidden="1"/>
    </xf>
    <xf numFmtId="0" fontId="36" fillId="20" borderId="0" xfId="0" applyFont="1" applyFill="1" applyAlignment="1" applyProtection="1">
      <alignment horizontal="center" vertical="center" wrapText="1"/>
      <protection hidden="1"/>
    </xf>
    <xf numFmtId="0" fontId="36" fillId="20" borderId="15" xfId="0" applyFont="1" applyFill="1" applyBorder="1" applyAlignment="1" applyProtection="1">
      <alignment horizontal="center" vertical="center" wrapText="1"/>
      <protection hidden="1"/>
    </xf>
    <xf numFmtId="0" fontId="36" fillId="17" borderId="7" xfId="0" applyFont="1" applyFill="1" applyBorder="1" applyAlignment="1" applyProtection="1">
      <alignment horizontal="center" vertical="center"/>
      <protection hidden="1"/>
    </xf>
    <xf numFmtId="0" fontId="36" fillId="17" borderId="0" xfId="0" applyFont="1" applyFill="1" applyAlignment="1" applyProtection="1">
      <alignment horizontal="center" vertical="center"/>
      <protection hidden="1"/>
    </xf>
    <xf numFmtId="0" fontId="36" fillId="17" borderId="15" xfId="0" applyFont="1" applyFill="1" applyBorder="1" applyAlignment="1" applyProtection="1">
      <alignment horizontal="center" vertical="center"/>
      <protection hidden="1"/>
    </xf>
    <xf numFmtId="0" fontId="37" fillId="33" borderId="7" xfId="0" applyFont="1" applyFill="1" applyBorder="1" applyAlignment="1" applyProtection="1">
      <alignment horizontal="center"/>
      <protection hidden="1"/>
    </xf>
    <xf numFmtId="0" fontId="37" fillId="33" borderId="0" xfId="0" applyFont="1" applyFill="1" applyAlignment="1" applyProtection="1">
      <alignment horizontal="center"/>
      <protection hidden="1"/>
    </xf>
    <xf numFmtId="0" fontId="37" fillId="33" borderId="15" xfId="0" applyFont="1" applyFill="1" applyBorder="1" applyAlignment="1" applyProtection="1">
      <alignment horizontal="center"/>
      <protection hidden="1"/>
    </xf>
    <xf numFmtId="0" fontId="37" fillId="17" borderId="7" xfId="0" applyFont="1" applyFill="1" applyBorder="1" applyAlignment="1" applyProtection="1">
      <alignment horizontal="center"/>
      <protection hidden="1"/>
    </xf>
    <xf numFmtId="0" fontId="37" fillId="17" borderId="0" xfId="0" applyFont="1" applyFill="1" applyAlignment="1" applyProtection="1">
      <alignment horizontal="center"/>
      <protection hidden="1"/>
    </xf>
    <xf numFmtId="0" fontId="37" fillId="20" borderId="7" xfId="0" applyFont="1" applyFill="1" applyBorder="1" applyAlignment="1" applyProtection="1">
      <alignment horizontal="center" vertical="center"/>
      <protection hidden="1"/>
    </xf>
    <xf numFmtId="0" fontId="37" fillId="20" borderId="0" xfId="0" applyFont="1" applyFill="1" applyAlignment="1" applyProtection="1">
      <alignment horizontal="center" vertical="center"/>
      <protection hidden="1"/>
    </xf>
    <xf numFmtId="0" fontId="37" fillId="20" borderId="15" xfId="0" applyFont="1" applyFill="1" applyBorder="1" applyAlignment="1" applyProtection="1">
      <alignment horizontal="center" vertical="center"/>
      <protection hidden="1"/>
    </xf>
    <xf numFmtId="0" fontId="37" fillId="17" borderId="15" xfId="0" applyFont="1" applyFill="1" applyBorder="1" applyAlignment="1" applyProtection="1">
      <alignment horizontal="center"/>
      <protection hidden="1"/>
    </xf>
    <xf numFmtId="0" fontId="2" fillId="5" borderId="0" xfId="0" applyFont="1" applyFill="1" applyAlignment="1" applyProtection="1">
      <alignment horizontal="center" vertical="center" wrapText="1"/>
      <protection hidden="1"/>
    </xf>
    <xf numFmtId="0" fontId="2" fillId="17" borderId="7" xfId="0" applyFont="1" applyFill="1" applyBorder="1" applyAlignment="1" applyProtection="1">
      <alignment horizontal="center"/>
      <protection hidden="1"/>
    </xf>
    <xf numFmtId="0" fontId="2" fillId="17" borderId="0" xfId="0" applyFont="1" applyFill="1" applyAlignment="1" applyProtection="1">
      <alignment horizontal="center"/>
      <protection hidden="1"/>
    </xf>
    <xf numFmtId="0" fontId="2" fillId="17" borderId="15" xfId="0" applyFont="1" applyFill="1" applyBorder="1" applyAlignment="1" applyProtection="1">
      <alignment horizontal="center"/>
      <protection hidden="1"/>
    </xf>
    <xf numFmtId="0" fontId="2" fillId="9" borderId="0" xfId="0" applyFont="1" applyFill="1" applyAlignment="1" applyProtection="1">
      <alignment horizontal="left"/>
      <protection hidden="1"/>
    </xf>
    <xf numFmtId="0" fontId="2" fillId="29" borderId="10" xfId="0" applyFont="1" applyFill="1" applyBorder="1" applyAlignment="1" applyProtection="1">
      <alignment horizontal="center" vertical="center"/>
      <protection locked="0"/>
    </xf>
    <xf numFmtId="0" fontId="2" fillId="29" borderId="18" xfId="0" applyFont="1" applyFill="1" applyBorder="1" applyAlignment="1" applyProtection="1">
      <alignment horizontal="center" vertical="center"/>
      <protection locked="0"/>
    </xf>
    <xf numFmtId="0" fontId="2" fillId="0" borderId="9" xfId="0" applyFont="1" applyBorder="1" applyAlignment="1" applyProtection="1">
      <alignment horizontal="center" vertical="center"/>
      <protection locked="0"/>
    </xf>
    <xf numFmtId="0" fontId="2" fillId="0" borderId="8" xfId="0" applyFont="1" applyBorder="1" applyAlignment="1" applyProtection="1">
      <alignment horizontal="center" vertical="center"/>
      <protection locked="0"/>
    </xf>
    <xf numFmtId="0" fontId="3" fillId="0" borderId="21" xfId="0" applyFont="1" applyBorder="1" applyAlignment="1" applyProtection="1">
      <alignment horizontal="center" vertical="center"/>
      <protection locked="0"/>
    </xf>
    <xf numFmtId="0" fontId="3" fillId="0" borderId="25" xfId="0" applyFont="1" applyBorder="1" applyAlignment="1" applyProtection="1">
      <alignment horizontal="center" vertical="center"/>
      <protection locked="0"/>
    </xf>
    <xf numFmtId="0" fontId="3" fillId="0" borderId="22" xfId="0" applyFont="1" applyBorder="1" applyAlignment="1" applyProtection="1">
      <alignment horizontal="center" vertical="center"/>
      <protection locked="0"/>
    </xf>
    <xf numFmtId="0" fontId="3" fillId="0" borderId="27" xfId="0" applyFont="1" applyBorder="1" applyAlignment="1" applyProtection="1">
      <alignment horizontal="center" vertical="center"/>
      <protection locked="0"/>
    </xf>
    <xf numFmtId="0" fontId="3" fillId="0" borderId="10" xfId="0" applyFont="1" applyBorder="1" applyAlignment="1" applyProtection="1">
      <alignment horizontal="center" vertical="center"/>
      <protection locked="0"/>
    </xf>
    <xf numFmtId="0" fontId="3" fillId="0" borderId="18" xfId="0" applyFont="1" applyBorder="1" applyAlignment="1" applyProtection="1">
      <alignment horizontal="center" vertical="center"/>
      <protection locked="0"/>
    </xf>
    <xf numFmtId="0" fontId="2" fillId="9" borderId="7" xfId="0" applyFont="1" applyFill="1" applyBorder="1" applyAlignment="1" applyProtection="1">
      <alignment horizontal="left"/>
      <protection hidden="1"/>
    </xf>
    <xf numFmtId="0" fontId="2" fillId="9" borderId="15" xfId="0" applyFont="1" applyFill="1" applyBorder="1" applyAlignment="1" applyProtection="1">
      <alignment horizontal="left"/>
      <protection hidden="1"/>
    </xf>
    <xf numFmtId="0" fontId="2" fillId="14" borderId="19" xfId="0" applyFont="1" applyFill="1" applyBorder="1" applyAlignment="1" applyProtection="1">
      <alignment horizontal="center" vertical="center" wrapText="1"/>
      <protection hidden="1"/>
    </xf>
    <xf numFmtId="0" fontId="2" fillId="14" borderId="20" xfId="0" applyFont="1" applyFill="1" applyBorder="1" applyAlignment="1" applyProtection="1">
      <alignment horizontal="center" vertical="center" wrapText="1"/>
      <protection hidden="1"/>
    </xf>
    <xf numFmtId="0" fontId="2" fillId="14" borderId="7" xfId="0" applyFont="1" applyFill="1" applyBorder="1" applyAlignment="1" applyProtection="1">
      <alignment horizontal="center" vertical="center" wrapText="1"/>
      <protection hidden="1"/>
    </xf>
    <xf numFmtId="0" fontId="2" fillId="14" borderId="0" xfId="0" applyFont="1" applyFill="1" applyAlignment="1" applyProtection="1">
      <alignment horizontal="center" vertical="center" wrapText="1"/>
      <protection hidden="1"/>
    </xf>
    <xf numFmtId="164" fontId="2" fillId="0" borderId="0" xfId="0" applyNumberFormat="1" applyFont="1" applyAlignment="1" applyProtection="1">
      <alignment horizontal="center" vertical="center"/>
      <protection locked="0"/>
    </xf>
    <xf numFmtId="0" fontId="2" fillId="7" borderId="7" xfId="0" applyFont="1" applyFill="1" applyBorder="1" applyAlignment="1" applyProtection="1">
      <alignment horizontal="left" vertical="top" wrapText="1"/>
      <protection hidden="1"/>
    </xf>
    <xf numFmtId="0" fontId="2" fillId="7" borderId="0" xfId="0" applyFont="1" applyFill="1" applyAlignment="1" applyProtection="1">
      <alignment horizontal="left" vertical="top" wrapText="1"/>
      <protection hidden="1"/>
    </xf>
    <xf numFmtId="0" fontId="2" fillId="7" borderId="15" xfId="0" applyFont="1" applyFill="1" applyBorder="1" applyAlignment="1" applyProtection="1">
      <alignment horizontal="left" vertical="top" wrapText="1"/>
      <protection hidden="1"/>
    </xf>
    <xf numFmtId="0" fontId="2" fillId="7" borderId="24" xfId="0" applyFont="1" applyFill="1" applyBorder="1" applyAlignment="1" applyProtection="1">
      <alignment horizontal="left" vertical="top" wrapText="1"/>
      <protection hidden="1"/>
    </xf>
    <xf numFmtId="0" fontId="2" fillId="7" borderId="1" xfId="0" applyFont="1" applyFill="1" applyBorder="1" applyAlignment="1" applyProtection="1">
      <alignment horizontal="left" vertical="top" wrapText="1"/>
      <protection hidden="1"/>
    </xf>
    <xf numFmtId="0" fontId="2" fillId="7" borderId="17" xfId="0" applyFont="1" applyFill="1" applyBorder="1" applyAlignment="1" applyProtection="1">
      <alignment horizontal="left" vertical="top" wrapText="1"/>
      <protection hidden="1"/>
    </xf>
    <xf numFmtId="0" fontId="2" fillId="7" borderId="7" xfId="0" applyFont="1" applyFill="1" applyBorder="1" applyAlignment="1" applyProtection="1">
      <alignment horizontal="center" vertical="top" wrapText="1"/>
      <protection hidden="1"/>
    </xf>
    <xf numFmtId="0" fontId="2" fillId="7" borderId="0" xfId="0" applyFont="1" applyFill="1" applyAlignment="1" applyProtection="1">
      <alignment horizontal="center" vertical="top" wrapText="1"/>
      <protection hidden="1"/>
    </xf>
    <xf numFmtId="0" fontId="2" fillId="7" borderId="7" xfId="0" applyFont="1" applyFill="1" applyBorder="1" applyAlignment="1" applyProtection="1">
      <alignment horizontal="center"/>
      <protection hidden="1"/>
    </xf>
    <xf numFmtId="0" fontId="2" fillId="7" borderId="0" xfId="0" applyFont="1" applyFill="1" applyAlignment="1" applyProtection="1">
      <alignment horizontal="center"/>
      <protection hidden="1"/>
    </xf>
    <xf numFmtId="0" fontId="10" fillId="7" borderId="7" xfId="0" applyFont="1" applyFill="1" applyBorder="1" applyAlignment="1" applyProtection="1">
      <alignment horizontal="center" vertical="center" wrapText="1"/>
      <protection hidden="1"/>
    </xf>
    <xf numFmtId="0" fontId="10" fillId="7" borderId="0" xfId="0" applyFont="1" applyFill="1" applyAlignment="1" applyProtection="1">
      <alignment horizontal="center" vertical="center" wrapText="1"/>
      <protection hidden="1"/>
    </xf>
    <xf numFmtId="165" fontId="2" fillId="7" borderId="0" xfId="0" applyNumberFormat="1" applyFont="1" applyFill="1" applyAlignment="1" applyProtection="1">
      <alignment horizontal="center"/>
      <protection hidden="1"/>
    </xf>
    <xf numFmtId="165" fontId="2" fillId="7" borderId="15" xfId="0" applyNumberFormat="1" applyFont="1" applyFill="1" applyBorder="1" applyAlignment="1" applyProtection="1">
      <alignment horizontal="center"/>
      <protection hidden="1"/>
    </xf>
    <xf numFmtId="165" fontId="2" fillId="7" borderId="0" xfId="3" applyNumberFormat="1" applyFont="1" applyFill="1" applyBorder="1" applyAlignment="1" applyProtection="1">
      <alignment horizontal="center"/>
      <protection hidden="1"/>
    </xf>
    <xf numFmtId="165" fontId="2" fillId="7" borderId="15" xfId="3" applyNumberFormat="1" applyFont="1" applyFill="1" applyBorder="1" applyAlignment="1" applyProtection="1">
      <alignment horizontal="center"/>
      <protection hidden="1"/>
    </xf>
    <xf numFmtId="0" fontId="10" fillId="10" borderId="19" xfId="0" applyFont="1" applyFill="1" applyBorder="1" applyAlignment="1" applyProtection="1">
      <alignment horizontal="center" vertical="center" wrapText="1"/>
      <protection hidden="1"/>
    </xf>
    <xf numFmtId="0" fontId="10" fillId="10" borderId="14" xfId="0" applyFont="1" applyFill="1" applyBorder="1" applyAlignment="1" applyProtection="1">
      <alignment horizontal="center" vertical="center" wrapText="1"/>
      <protection hidden="1"/>
    </xf>
    <xf numFmtId="0" fontId="10" fillId="10" borderId="7" xfId="0" applyFont="1" applyFill="1" applyBorder="1" applyAlignment="1" applyProtection="1">
      <alignment horizontal="center" vertical="center" wrapText="1"/>
      <protection hidden="1"/>
    </xf>
    <xf numFmtId="0" fontId="10" fillId="10" borderId="15" xfId="0" applyFont="1" applyFill="1" applyBorder="1" applyAlignment="1" applyProtection="1">
      <alignment horizontal="center" vertical="center" wrapText="1"/>
      <protection hidden="1"/>
    </xf>
    <xf numFmtId="2" fontId="51" fillId="10" borderId="7" xfId="0" applyNumberFormat="1" applyFont="1" applyFill="1" applyBorder="1" applyAlignment="1" applyProtection="1">
      <alignment horizontal="center" vertical="center"/>
      <protection hidden="1"/>
    </xf>
    <xf numFmtId="2" fontId="51" fillId="10" borderId="15" xfId="0" applyNumberFormat="1" applyFont="1" applyFill="1" applyBorder="1" applyAlignment="1" applyProtection="1">
      <alignment horizontal="center" vertical="center"/>
      <protection hidden="1"/>
    </xf>
    <xf numFmtId="0" fontId="10" fillId="7" borderId="1" xfId="0" applyFont="1" applyFill="1" applyBorder="1" applyAlignment="1" applyProtection="1">
      <alignment horizontal="left"/>
      <protection hidden="1"/>
    </xf>
    <xf numFmtId="0" fontId="2" fillId="10" borderId="7" xfId="0" applyFont="1" applyFill="1" applyBorder="1" applyAlignment="1" applyProtection="1">
      <alignment horizontal="center" vertical="center"/>
      <protection hidden="1"/>
    </xf>
    <xf numFmtId="0" fontId="2" fillId="10" borderId="15" xfId="0" applyFont="1" applyFill="1" applyBorder="1" applyAlignment="1" applyProtection="1">
      <alignment horizontal="center" vertical="center"/>
      <protection hidden="1"/>
    </xf>
    <xf numFmtId="0" fontId="2" fillId="40" borderId="0" xfId="0" applyFont="1" applyFill="1" applyAlignment="1" applyProtection="1">
      <alignment horizontal="center"/>
      <protection hidden="1"/>
    </xf>
    <xf numFmtId="0" fontId="37" fillId="19" borderId="15" xfId="0" applyFont="1" applyFill="1" applyBorder="1" applyAlignment="1" applyProtection="1">
      <alignment horizontal="center" vertical="center"/>
      <protection hidden="1"/>
    </xf>
    <xf numFmtId="0" fontId="37" fillId="19" borderId="0" xfId="0" applyFont="1" applyFill="1" applyAlignment="1" applyProtection="1">
      <alignment horizontal="center" vertical="center"/>
      <protection hidden="1"/>
    </xf>
    <xf numFmtId="164" fontId="37" fillId="7" borderId="0" xfId="0" applyNumberFormat="1" applyFont="1" applyFill="1" applyAlignment="1" applyProtection="1">
      <alignment horizontal="center" vertical="center"/>
      <protection hidden="1"/>
    </xf>
    <xf numFmtId="0" fontId="37" fillId="7" borderId="7" xfId="0" applyFont="1" applyFill="1" applyBorder="1" applyAlignment="1" applyProtection="1">
      <alignment horizontal="center" vertical="top" wrapText="1"/>
      <protection hidden="1"/>
    </xf>
    <xf numFmtId="0" fontId="37" fillId="7" borderId="15" xfId="0" applyFont="1" applyFill="1" applyBorder="1" applyAlignment="1" applyProtection="1">
      <alignment horizontal="center" vertical="top" wrapText="1"/>
      <protection hidden="1"/>
    </xf>
    <xf numFmtId="2" fontId="20" fillId="10" borderId="0" xfId="0" applyNumberFormat="1" applyFont="1" applyFill="1" applyAlignment="1" applyProtection="1">
      <alignment horizontal="center" vertical="center"/>
      <protection hidden="1"/>
    </xf>
    <xf numFmtId="0" fontId="2" fillId="7" borderId="14" xfId="0" applyFont="1" applyFill="1" applyBorder="1" applyAlignment="1" applyProtection="1">
      <alignment horizontal="center" vertical="center"/>
      <protection hidden="1"/>
    </xf>
    <xf numFmtId="0" fontId="2" fillId="10" borderId="12" xfId="0" applyFont="1" applyFill="1" applyBorder="1" applyAlignment="1" applyProtection="1">
      <alignment horizontal="center" vertical="center"/>
      <protection hidden="1"/>
    </xf>
    <xf numFmtId="0" fontId="6" fillId="10" borderId="0" xfId="0" applyFont="1" applyFill="1" applyAlignment="1" applyProtection="1">
      <alignment horizontal="left" wrapText="1"/>
      <protection hidden="1"/>
    </xf>
    <xf numFmtId="0" fontId="13" fillId="10" borderId="0" xfId="0" applyFont="1" applyFill="1" applyAlignment="1" applyProtection="1">
      <alignment horizontal="center"/>
      <protection hidden="1"/>
    </xf>
    <xf numFmtId="0" fontId="13" fillId="10" borderId="12" xfId="0" applyFont="1" applyFill="1" applyBorder="1" applyAlignment="1" applyProtection="1">
      <alignment horizontal="center"/>
      <protection hidden="1"/>
    </xf>
    <xf numFmtId="0" fontId="6" fillId="10" borderId="0" xfId="0" applyFont="1" applyFill="1" applyAlignment="1" applyProtection="1">
      <alignment horizontal="center" vertical="top"/>
      <protection hidden="1"/>
    </xf>
    <xf numFmtId="0" fontId="6" fillId="10" borderId="12" xfId="0" applyFont="1" applyFill="1" applyBorder="1" applyAlignment="1" applyProtection="1">
      <alignment horizontal="center" vertical="top"/>
      <protection hidden="1"/>
    </xf>
    <xf numFmtId="0" fontId="2" fillId="10" borderId="12" xfId="0" applyFont="1" applyFill="1" applyBorder="1" applyAlignment="1" applyProtection="1">
      <alignment horizontal="center"/>
      <protection hidden="1"/>
    </xf>
    <xf numFmtId="0" fontId="6" fillId="17" borderId="13" xfId="0" applyFont="1" applyFill="1" applyBorder="1" applyAlignment="1" applyProtection="1">
      <alignment horizontal="center" vertical="center" wrapText="1"/>
      <protection hidden="1"/>
    </xf>
    <xf numFmtId="0" fontId="6" fillId="17" borderId="4" xfId="0" applyFont="1" applyFill="1" applyBorder="1" applyAlignment="1" applyProtection="1">
      <alignment horizontal="center" vertical="center" wrapText="1"/>
      <protection hidden="1"/>
    </xf>
    <xf numFmtId="2" fontId="17" fillId="10" borderId="19" xfId="0" applyNumberFormat="1" applyFont="1" applyFill="1" applyBorder="1" applyAlignment="1" applyProtection="1">
      <alignment horizontal="center" vertical="center"/>
      <protection hidden="1"/>
    </xf>
    <xf numFmtId="2" fontId="17" fillId="10" borderId="14" xfId="0" applyNumberFormat="1" applyFont="1" applyFill="1" applyBorder="1" applyAlignment="1" applyProtection="1">
      <alignment horizontal="center" vertical="center"/>
      <protection hidden="1"/>
    </xf>
    <xf numFmtId="2" fontId="17" fillId="10" borderId="7" xfId="0" applyNumberFormat="1" applyFont="1" applyFill="1" applyBorder="1" applyAlignment="1" applyProtection="1">
      <alignment horizontal="center" vertical="center"/>
      <protection hidden="1"/>
    </xf>
    <xf numFmtId="2" fontId="17" fillId="10" borderId="15" xfId="0" applyNumberFormat="1" applyFont="1" applyFill="1" applyBorder="1" applyAlignment="1" applyProtection="1">
      <alignment horizontal="center" vertical="center"/>
      <protection hidden="1"/>
    </xf>
    <xf numFmtId="0" fontId="2" fillId="16" borderId="19" xfId="0" applyFont="1" applyFill="1" applyBorder="1" applyAlignment="1" applyProtection="1">
      <alignment horizontal="center"/>
      <protection hidden="1"/>
    </xf>
    <xf numFmtId="0" fontId="2" fillId="16" borderId="20" xfId="0" applyFont="1" applyFill="1" applyBorder="1" applyAlignment="1" applyProtection="1">
      <alignment horizontal="center"/>
      <protection hidden="1"/>
    </xf>
    <xf numFmtId="0" fontId="2" fillId="16" borderId="14" xfId="0" applyFont="1" applyFill="1" applyBorder="1" applyAlignment="1" applyProtection="1">
      <alignment horizontal="center"/>
      <protection hidden="1"/>
    </xf>
    <xf numFmtId="0" fontId="37" fillId="7" borderId="15" xfId="0" applyFont="1" applyFill="1" applyBorder="1" applyAlignment="1" applyProtection="1">
      <alignment horizontal="center" vertical="center"/>
      <protection hidden="1"/>
    </xf>
    <xf numFmtId="0" fontId="37" fillId="11" borderId="0" xfId="0" applyFont="1" applyFill="1" applyAlignment="1" applyProtection="1">
      <alignment horizontal="center" vertical="center"/>
      <protection hidden="1"/>
    </xf>
    <xf numFmtId="0" fontId="37" fillId="11" borderId="15" xfId="0" applyFont="1" applyFill="1" applyBorder="1" applyAlignment="1" applyProtection="1">
      <alignment horizontal="center" vertical="center"/>
      <protection hidden="1"/>
    </xf>
    <xf numFmtId="0" fontId="0" fillId="0" borderId="0" xfId="0" applyAlignment="1">
      <alignment horizontal="left" vertical="center"/>
    </xf>
    <xf numFmtId="0" fontId="52" fillId="15" borderId="0" xfId="0" applyFont="1" applyFill="1" applyAlignment="1">
      <alignment horizontal="center"/>
    </xf>
    <xf numFmtId="0" fontId="37" fillId="18" borderId="0" xfId="0" applyFont="1" applyFill="1" applyAlignment="1" applyProtection="1">
      <alignment horizontal="center" vertical="center" wrapText="1"/>
      <protection hidden="1"/>
    </xf>
    <xf numFmtId="0" fontId="37" fillId="18" borderId="15" xfId="0" applyFont="1" applyFill="1" applyBorder="1" applyAlignment="1" applyProtection="1">
      <alignment horizontal="center" vertical="center" wrapText="1"/>
      <protection hidden="1"/>
    </xf>
    <xf numFmtId="164" fontId="37" fillId="7" borderId="0" xfId="0" applyNumberFormat="1" applyFont="1" applyFill="1" applyAlignment="1" applyProtection="1">
      <alignment horizontal="center"/>
      <protection hidden="1"/>
    </xf>
    <xf numFmtId="164" fontId="37" fillId="7" borderId="15" xfId="0" applyNumberFormat="1" applyFont="1" applyFill="1" applyBorder="1" applyAlignment="1" applyProtection="1">
      <alignment horizontal="center"/>
      <protection hidden="1"/>
    </xf>
    <xf numFmtId="0" fontId="37" fillId="33" borderId="0" xfId="0" applyFont="1" applyFill="1" applyAlignment="1" applyProtection="1">
      <alignment horizontal="center" vertical="center" wrapText="1"/>
      <protection hidden="1"/>
    </xf>
    <xf numFmtId="0" fontId="0" fillId="10" borderId="0" xfId="0" applyFill="1" applyAlignment="1" applyProtection="1">
      <alignment horizontal="center"/>
      <protection hidden="1"/>
    </xf>
    <xf numFmtId="0" fontId="54" fillId="6" borderId="19" xfId="0" applyFont="1" applyFill="1" applyBorder="1" applyAlignment="1" applyProtection="1">
      <alignment horizontal="center" vertical="center" wrapText="1"/>
      <protection hidden="1"/>
    </xf>
    <xf numFmtId="0" fontId="54" fillId="6" borderId="20" xfId="0" applyFont="1" applyFill="1" applyBorder="1" applyAlignment="1" applyProtection="1">
      <alignment horizontal="center" vertical="center" wrapText="1"/>
      <protection hidden="1"/>
    </xf>
    <xf numFmtId="0" fontId="54" fillId="6" borderId="14" xfId="0" applyFont="1" applyFill="1" applyBorder="1" applyAlignment="1" applyProtection="1">
      <alignment horizontal="center" vertical="center" wrapText="1"/>
      <protection hidden="1"/>
    </xf>
    <xf numFmtId="0" fontId="54" fillId="6" borderId="24" xfId="0" applyFont="1" applyFill="1" applyBorder="1" applyAlignment="1" applyProtection="1">
      <alignment horizontal="center" vertical="center" wrapText="1"/>
      <protection hidden="1"/>
    </xf>
    <xf numFmtId="0" fontId="54" fillId="6" borderId="1" xfId="0" applyFont="1" applyFill="1" applyBorder="1" applyAlignment="1" applyProtection="1">
      <alignment horizontal="center" vertical="center" wrapText="1"/>
      <protection hidden="1"/>
    </xf>
    <xf numFmtId="0" fontId="54" fillId="6" borderId="17" xfId="0" applyFont="1" applyFill="1" applyBorder="1" applyAlignment="1" applyProtection="1">
      <alignment horizontal="center" vertical="center" wrapText="1"/>
      <protection hidden="1"/>
    </xf>
    <xf numFmtId="0" fontId="28" fillId="10" borderId="0" xfId="0" applyFont="1" applyFill="1" applyAlignment="1" applyProtection="1">
      <alignment horizontal="center" vertical="center" wrapText="1"/>
      <protection hidden="1"/>
    </xf>
    <xf numFmtId="164" fontId="2" fillId="11" borderId="0" xfId="0" applyNumberFormat="1" applyFont="1" applyFill="1" applyAlignment="1" applyProtection="1">
      <alignment horizontal="center"/>
      <protection hidden="1"/>
    </xf>
    <xf numFmtId="0" fontId="2" fillId="11" borderId="0" xfId="0" applyFont="1" applyFill="1" applyAlignment="1" applyProtection="1">
      <alignment horizontal="center"/>
      <protection hidden="1"/>
    </xf>
    <xf numFmtId="0" fontId="28" fillId="10" borderId="0" xfId="0" applyFont="1" applyFill="1" applyAlignment="1" applyProtection="1">
      <alignment horizontal="left" vertical="center"/>
      <protection hidden="1"/>
    </xf>
    <xf numFmtId="0" fontId="28" fillId="10" borderId="0" xfId="0" applyFont="1" applyFill="1" applyAlignment="1" applyProtection="1">
      <alignment horizontal="left"/>
      <protection hidden="1"/>
    </xf>
    <xf numFmtId="2" fontId="53" fillId="10" borderId="0" xfId="0" applyNumberFormat="1" applyFont="1" applyFill="1" applyAlignment="1" applyProtection="1">
      <alignment horizontal="center"/>
      <protection hidden="1"/>
    </xf>
    <xf numFmtId="0" fontId="52" fillId="10" borderId="0" xfId="0" applyFont="1" applyFill="1" applyAlignment="1" applyProtection="1">
      <alignment horizontal="left" vertical="center" wrapText="1"/>
      <protection hidden="1"/>
    </xf>
    <xf numFmtId="0" fontId="52" fillId="10" borderId="15" xfId="0" applyFont="1" applyFill="1" applyBorder="1" applyAlignment="1" applyProtection="1">
      <alignment horizontal="left" vertical="center" wrapText="1"/>
      <protection hidden="1"/>
    </xf>
    <xf numFmtId="164" fontId="56" fillId="3" borderId="19" xfId="0" applyNumberFormat="1" applyFont="1" applyFill="1" applyBorder="1" applyAlignment="1" applyProtection="1">
      <alignment horizontal="center" vertical="center"/>
      <protection hidden="1"/>
    </xf>
    <xf numFmtId="0" fontId="56" fillId="3" borderId="14" xfId="0" applyFont="1" applyFill="1" applyBorder="1" applyAlignment="1" applyProtection="1">
      <alignment horizontal="center" vertical="center"/>
      <protection hidden="1"/>
    </xf>
    <xf numFmtId="0" fontId="56" fillId="3" borderId="7" xfId="0" applyFont="1" applyFill="1" applyBorder="1" applyAlignment="1" applyProtection="1">
      <alignment horizontal="center" vertical="center"/>
      <protection hidden="1"/>
    </xf>
    <xf numFmtId="0" fontId="56" fillId="3" borderId="15" xfId="0" applyFont="1" applyFill="1" applyBorder="1" applyAlignment="1" applyProtection="1">
      <alignment horizontal="center" vertical="center"/>
      <protection hidden="1"/>
    </xf>
    <xf numFmtId="0" fontId="56" fillId="3" borderId="24" xfId="0" applyFont="1" applyFill="1" applyBorder="1" applyAlignment="1" applyProtection="1">
      <alignment horizontal="center" vertical="center"/>
      <protection hidden="1"/>
    </xf>
    <xf numFmtId="0" fontId="56" fillId="3" borderId="17" xfId="0" applyFont="1" applyFill="1" applyBorder="1" applyAlignment="1" applyProtection="1">
      <alignment horizontal="center" vertical="center"/>
      <protection hidden="1"/>
    </xf>
    <xf numFmtId="0" fontId="52" fillId="10" borderId="7" xfId="0" applyFont="1" applyFill="1" applyBorder="1" applyAlignment="1" applyProtection="1">
      <alignment horizontal="center" vertical="center"/>
      <protection hidden="1"/>
    </xf>
    <xf numFmtId="0" fontId="52" fillId="10" borderId="0" xfId="0" applyFont="1" applyFill="1" applyAlignment="1" applyProtection="1">
      <alignment horizontal="center" vertical="center"/>
      <protection hidden="1"/>
    </xf>
    <xf numFmtId="2" fontId="53" fillId="10" borderId="20" xfId="0" applyNumberFormat="1" applyFont="1" applyFill="1" applyBorder="1" applyAlignment="1" applyProtection="1">
      <alignment horizontal="center" vertical="center"/>
      <protection hidden="1"/>
    </xf>
    <xf numFmtId="2" fontId="53" fillId="10" borderId="0" xfId="0" applyNumberFormat="1" applyFont="1" applyFill="1" applyAlignment="1" applyProtection="1">
      <alignment horizontal="center" vertical="center"/>
      <protection hidden="1"/>
    </xf>
    <xf numFmtId="0" fontId="28" fillId="10" borderId="0" xfId="0" applyFont="1" applyFill="1" applyAlignment="1" applyProtection="1">
      <alignment horizontal="center" vertical="center"/>
      <protection hidden="1"/>
    </xf>
    <xf numFmtId="0" fontId="0" fillId="0" borderId="0" xfId="0" applyAlignment="1" applyProtection="1">
      <alignment horizontal="center"/>
      <protection hidden="1"/>
    </xf>
    <xf numFmtId="0" fontId="2" fillId="5" borderId="19" xfId="0" applyFont="1" applyFill="1" applyBorder="1" applyAlignment="1" applyProtection="1">
      <alignment horizontal="center"/>
      <protection hidden="1"/>
    </xf>
    <xf numFmtId="0" fontId="2" fillId="5" borderId="24" xfId="0" applyFont="1" applyFill="1" applyBorder="1" applyAlignment="1" applyProtection="1">
      <alignment horizontal="center"/>
      <protection hidden="1"/>
    </xf>
    <xf numFmtId="171" fontId="6" fillId="5" borderId="1" xfId="0" applyNumberFormat="1" applyFont="1" applyFill="1" applyBorder="1" applyAlignment="1" applyProtection="1">
      <alignment horizontal="left" vertical="center" wrapText="1"/>
      <protection hidden="1"/>
    </xf>
    <xf numFmtId="0" fontId="52" fillId="0" borderId="1" xfId="0" applyFont="1" applyBorder="1" applyAlignment="1" applyProtection="1">
      <alignment horizontal="left"/>
      <protection hidden="1"/>
    </xf>
    <xf numFmtId="0" fontId="66" fillId="10" borderId="0" xfId="0" applyFont="1" applyFill="1" applyAlignment="1" applyProtection="1">
      <alignment horizontal="left" vertical="top" wrapText="1"/>
      <protection hidden="1"/>
    </xf>
    <xf numFmtId="0" fontId="2" fillId="10" borderId="0" xfId="0" applyFont="1" applyFill="1" applyAlignment="1" applyProtection="1">
      <alignment horizontal="left" vertical="top" wrapText="1"/>
      <protection hidden="1"/>
    </xf>
    <xf numFmtId="0" fontId="24" fillId="10" borderId="0" xfId="0" applyFont="1" applyFill="1" applyAlignment="1" applyProtection="1">
      <alignment horizontal="left"/>
      <protection hidden="1"/>
    </xf>
    <xf numFmtId="0" fontId="52" fillId="10" borderId="0" xfId="0" applyFont="1" applyFill="1" applyAlignment="1" applyProtection="1">
      <alignment horizontal="left"/>
      <protection hidden="1"/>
    </xf>
    <xf numFmtId="0" fontId="2" fillId="10" borderId="0" xfId="0" applyFont="1" applyFill="1" applyAlignment="1" applyProtection="1">
      <alignment vertical="top" wrapText="1"/>
      <protection hidden="1"/>
    </xf>
    <xf numFmtId="0" fontId="61" fillId="10" borderId="0" xfId="0" applyFont="1" applyFill="1" applyAlignment="1" applyProtection="1">
      <alignment horizontal="center" vertical="center" textRotation="90"/>
      <protection hidden="1"/>
    </xf>
    <xf numFmtId="0" fontId="2" fillId="11" borderId="0" xfId="0" applyFont="1" applyFill="1" applyAlignment="1" applyProtection="1">
      <alignment horizontal="center" vertical="center" textRotation="90"/>
      <protection hidden="1"/>
    </xf>
    <xf numFmtId="0" fontId="2" fillId="0" borderId="0" xfId="0" applyFont="1" applyAlignment="1" applyProtection="1">
      <alignment horizontal="left" vertical="center" wrapText="1"/>
      <protection hidden="1"/>
    </xf>
    <xf numFmtId="0" fontId="61" fillId="0" borderId="0" xfId="0" applyFont="1" applyAlignment="1" applyProtection="1">
      <alignment horizontal="center"/>
      <protection hidden="1"/>
    </xf>
    <xf numFmtId="0" fontId="6" fillId="0" borderId="19" xfId="0" applyFont="1" applyBorder="1" applyAlignment="1" applyProtection="1">
      <alignment horizontal="left" vertical="center" wrapText="1"/>
      <protection hidden="1"/>
    </xf>
    <xf numFmtId="0" fontId="6" fillId="0" borderId="14" xfId="0" applyFont="1" applyBorder="1" applyAlignment="1" applyProtection="1">
      <alignment horizontal="left" vertical="center" wrapText="1"/>
      <protection hidden="1"/>
    </xf>
    <xf numFmtId="0" fontId="6" fillId="0" borderId="7" xfId="0" applyFont="1" applyBorder="1" applyAlignment="1" applyProtection="1">
      <alignment horizontal="left" vertical="center" wrapText="1"/>
      <protection hidden="1"/>
    </xf>
    <xf numFmtId="0" fontId="6" fillId="0" borderId="15" xfId="0" applyFont="1" applyBorder="1" applyAlignment="1" applyProtection="1">
      <alignment horizontal="left" vertical="center" wrapText="1"/>
      <protection hidden="1"/>
    </xf>
    <xf numFmtId="0" fontId="6" fillId="0" borderId="24" xfId="0" applyFont="1" applyBorder="1" applyAlignment="1" applyProtection="1">
      <alignment horizontal="left" vertical="center" wrapText="1"/>
      <protection hidden="1"/>
    </xf>
    <xf numFmtId="0" fontId="6" fillId="0" borderId="17" xfId="0" applyFont="1" applyBorder="1" applyAlignment="1" applyProtection="1">
      <alignment horizontal="left" vertical="center" wrapText="1"/>
      <protection hidden="1"/>
    </xf>
    <xf numFmtId="0" fontId="2" fillId="11" borderId="0" xfId="0" applyFont="1" applyFill="1" applyAlignment="1" applyProtection="1">
      <alignment horizontal="center" vertical="center"/>
      <protection hidden="1"/>
    </xf>
    <xf numFmtId="0" fontId="2" fillId="0" borderId="0" xfId="0" applyFont="1" applyAlignment="1" applyProtection="1">
      <alignment horizontal="right" vertical="center" wrapText="1"/>
      <protection hidden="1"/>
    </xf>
    <xf numFmtId="0" fontId="61" fillId="0" borderId="44" xfId="0" applyFont="1" applyBorder="1" applyAlignment="1" applyProtection="1">
      <alignment horizontal="center" vertical="center"/>
      <protection hidden="1"/>
    </xf>
    <xf numFmtId="0" fontId="61" fillId="0" borderId="45" xfId="0" applyFont="1" applyBorder="1" applyAlignment="1" applyProtection="1">
      <alignment horizontal="center" vertical="center"/>
      <protection hidden="1"/>
    </xf>
    <xf numFmtId="0" fontId="61" fillId="0" borderId="46" xfId="0" applyFont="1" applyBorder="1" applyAlignment="1" applyProtection="1">
      <alignment horizontal="center" vertical="center"/>
      <protection hidden="1"/>
    </xf>
    <xf numFmtId="0" fontId="61" fillId="0" borderId="47" xfId="0" applyFont="1" applyBorder="1" applyAlignment="1" applyProtection="1">
      <alignment horizontal="center" vertical="center"/>
      <protection hidden="1"/>
    </xf>
    <xf numFmtId="0" fontId="61" fillId="0" borderId="48" xfId="0" applyFont="1" applyBorder="1" applyAlignment="1" applyProtection="1">
      <alignment horizontal="center" vertical="center"/>
      <protection hidden="1"/>
    </xf>
    <xf numFmtId="0" fontId="61" fillId="0" borderId="49" xfId="0" applyFont="1" applyBorder="1" applyAlignment="1" applyProtection="1">
      <alignment horizontal="center" vertical="center"/>
      <protection hidden="1"/>
    </xf>
    <xf numFmtId="0" fontId="0" fillId="0" borderId="0" xfId="0" applyAlignment="1" applyProtection="1">
      <alignment horizontal="left" vertical="center" wrapText="1"/>
      <protection hidden="1"/>
    </xf>
    <xf numFmtId="0" fontId="0" fillId="0" borderId="0" xfId="0" applyAlignment="1" applyProtection="1">
      <alignment horizontal="left" wrapText="1"/>
      <protection hidden="1"/>
    </xf>
    <xf numFmtId="164" fontId="52" fillId="0" borderId="0" xfId="0" applyNumberFormat="1" applyFont="1" applyAlignment="1" applyProtection="1">
      <alignment horizontal="center" vertical="center"/>
      <protection hidden="1"/>
    </xf>
    <xf numFmtId="0" fontId="0" fillId="10" borderId="7" xfId="0" applyFill="1" applyBorder="1" applyAlignment="1" applyProtection="1">
      <alignment horizontal="center"/>
      <protection hidden="1"/>
    </xf>
    <xf numFmtId="0" fontId="0" fillId="38" borderId="0" xfId="0" applyFill="1" applyAlignment="1" applyProtection="1">
      <alignment horizontal="center"/>
      <protection hidden="1"/>
    </xf>
    <xf numFmtId="0" fontId="0" fillId="35" borderId="7" xfId="0" applyFill="1" applyBorder="1" applyAlignment="1" applyProtection="1">
      <alignment horizontal="center"/>
      <protection hidden="1"/>
    </xf>
    <xf numFmtId="0" fontId="0" fillId="0" borderId="0" xfId="0" applyAlignment="1" applyProtection="1">
      <alignment horizontal="center" vertical="center"/>
      <protection hidden="1"/>
    </xf>
    <xf numFmtId="0" fontId="0" fillId="0" borderId="1" xfId="0" applyBorder="1" applyAlignment="1" applyProtection="1">
      <alignment horizontal="center" vertical="center"/>
      <protection hidden="1"/>
    </xf>
    <xf numFmtId="164" fontId="52" fillId="0" borderId="15" xfId="0" applyNumberFormat="1" applyFont="1" applyBorder="1" applyAlignment="1" applyProtection="1">
      <alignment horizontal="center" vertical="center"/>
      <protection hidden="1"/>
    </xf>
    <xf numFmtId="0" fontId="0" fillId="0" borderId="17" xfId="0" applyBorder="1" applyAlignment="1" applyProtection="1">
      <alignment horizontal="center" vertical="center"/>
      <protection hidden="1"/>
    </xf>
    <xf numFmtId="0" fontId="0" fillId="35" borderId="0" xfId="0" applyFill="1" applyAlignment="1" applyProtection="1">
      <alignment horizontal="center"/>
      <protection hidden="1"/>
    </xf>
    <xf numFmtId="0" fontId="0" fillId="0" borderId="15" xfId="0" applyBorder="1" applyAlignment="1" applyProtection="1">
      <alignment horizontal="center" vertical="center"/>
      <protection hidden="1"/>
    </xf>
    <xf numFmtId="0" fontId="0" fillId="11" borderId="7" xfId="0" applyFill="1" applyBorder="1" applyAlignment="1" applyProtection="1">
      <alignment horizontal="center"/>
      <protection hidden="1"/>
    </xf>
    <xf numFmtId="0" fontId="52" fillId="0" borderId="20" xfId="0" applyFont="1" applyBorder="1" applyAlignment="1" applyProtection="1">
      <alignment horizontal="center" vertical="center"/>
      <protection hidden="1"/>
    </xf>
    <xf numFmtId="0" fontId="52" fillId="11" borderId="0" xfId="0" applyFont="1" applyFill="1" applyAlignment="1" applyProtection="1">
      <alignment horizontal="right"/>
      <protection hidden="1"/>
    </xf>
    <xf numFmtId="0" fontId="52" fillId="0" borderId="0" xfId="0" applyFont="1" applyAlignment="1" applyProtection="1">
      <alignment horizontal="center"/>
      <protection hidden="1"/>
    </xf>
    <xf numFmtId="0" fontId="0" fillId="0" borderId="0" xfId="0" applyAlignment="1" applyProtection="1">
      <alignment horizontal="center" vertical="top" wrapText="1"/>
      <protection hidden="1"/>
    </xf>
    <xf numFmtId="0" fontId="0" fillId="0" borderId="7" xfId="0" applyBorder="1" applyAlignment="1" applyProtection="1">
      <alignment horizontal="center"/>
      <protection hidden="1"/>
    </xf>
    <xf numFmtId="0" fontId="0" fillId="0" borderId="12" xfId="0" applyBorder="1" applyAlignment="1" applyProtection="1">
      <alignment horizontal="center"/>
      <protection hidden="1"/>
    </xf>
    <xf numFmtId="0" fontId="28" fillId="10" borderId="22" xfId="0" applyFont="1" applyFill="1" applyBorder="1" applyAlignment="1" applyProtection="1">
      <alignment horizontal="center" vertical="center"/>
      <protection hidden="1"/>
    </xf>
    <xf numFmtId="0" fontId="2" fillId="0" borderId="22" xfId="0" applyFont="1" applyBorder="1" applyAlignment="1" applyProtection="1">
      <alignment horizontal="center" vertical="center"/>
      <protection hidden="1"/>
    </xf>
    <xf numFmtId="0" fontId="2" fillId="0" borderId="0" xfId="0" applyFont="1" applyAlignment="1" applyProtection="1">
      <alignment horizontal="center" vertical="center"/>
      <protection hidden="1"/>
    </xf>
    <xf numFmtId="0" fontId="0" fillId="0" borderId="22" xfId="0" applyBorder="1" applyAlignment="1" applyProtection="1">
      <alignment horizontal="left" vertical="center"/>
      <protection hidden="1"/>
    </xf>
    <xf numFmtId="0" fontId="0" fillId="0" borderId="0" xfId="0" applyAlignment="1" applyProtection="1">
      <alignment horizontal="left" vertical="center"/>
      <protection hidden="1"/>
    </xf>
  </cellXfs>
  <cellStyles count="4">
    <cellStyle name="Explanatory Text" xfId="1" builtinId="53"/>
    <cellStyle name="Hyperlink" xfId="2" builtinId="8"/>
    <cellStyle name="Normal" xfId="0" builtinId="0"/>
    <cellStyle name="Percent" xfId="3" builtinId="5"/>
  </cellStyles>
  <dxfs count="169">
    <dxf>
      <fill>
        <patternFill>
          <bgColor theme="4" tint="0.79998168889431442"/>
        </patternFill>
      </fill>
      <border>
        <left/>
        <right/>
        <top/>
        <bottom/>
      </border>
    </dxf>
    <dxf>
      <fill>
        <patternFill>
          <bgColor rgb="FFFFFF00"/>
        </patternFill>
      </fill>
    </dxf>
    <dxf>
      <fill>
        <patternFill patternType="solid">
          <bgColor rgb="FFFF00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0000"/>
        </patternFill>
      </fill>
    </dxf>
    <dxf>
      <fill>
        <patternFill>
          <bgColor theme="8" tint="0.39994506668294322"/>
        </patternFill>
      </fill>
    </dxf>
    <dxf>
      <fill>
        <patternFill>
          <bgColor rgb="FFFFFF00"/>
        </patternFill>
      </fill>
    </dxf>
    <dxf>
      <fill>
        <patternFill>
          <bgColor rgb="FFFFFF00"/>
        </patternFill>
      </fill>
    </dxf>
    <dxf>
      <fill>
        <patternFill>
          <bgColor theme="8" tint="0.39994506668294322"/>
        </patternFill>
      </fill>
    </dxf>
    <dxf>
      <fill>
        <patternFill>
          <bgColor rgb="FF00B0F0"/>
        </patternFill>
      </fill>
      <border>
        <left style="thin">
          <color auto="1"/>
        </left>
        <right style="thin">
          <color auto="1"/>
        </right>
        <top style="thin">
          <color auto="1"/>
        </top>
        <bottom style="thin">
          <color auto="1"/>
        </bottom>
      </border>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tint="-4.9989318521683403E-2"/>
        </patternFill>
      </fill>
    </dxf>
    <dxf>
      <fill>
        <patternFill>
          <bgColor theme="0" tint="-4.9989318521683403E-2"/>
        </patternFill>
      </fill>
    </dxf>
    <dxf>
      <fill>
        <patternFill>
          <bgColor rgb="FFFFC7CE"/>
        </patternFill>
      </fill>
    </dxf>
    <dxf>
      <fill>
        <patternFill>
          <bgColor rgb="FFFFC7CE"/>
        </patternFill>
      </fill>
    </dxf>
    <dxf>
      <fill>
        <patternFill>
          <bgColor rgb="FFFFC7CE"/>
        </patternFill>
      </fill>
    </dxf>
    <dxf>
      <fill>
        <patternFill>
          <bgColor rgb="FFFFC7CE"/>
        </patternFill>
      </fill>
    </dxf>
    <dxf>
      <fill>
        <patternFill>
          <bgColor theme="9" tint="0.79998168889431442"/>
        </patternFill>
      </fill>
    </dxf>
    <dxf>
      <fill>
        <patternFill>
          <bgColor theme="9" tint="0.79998168889431442"/>
        </patternFill>
      </fill>
    </dxf>
    <dxf>
      <fill>
        <patternFill>
          <bgColor theme="9" tint="0.79998168889431442"/>
        </patternFill>
      </fill>
    </dxf>
    <dxf>
      <fill>
        <patternFill>
          <bgColor rgb="FFFF0000"/>
        </patternFill>
      </fill>
    </dxf>
    <dxf>
      <fill>
        <patternFill>
          <bgColor theme="8" tint="0.39994506668294322"/>
        </patternFill>
      </fill>
      <border>
        <left/>
        <right/>
        <top/>
        <bottom/>
        <vertical/>
        <horizontal/>
      </border>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8" tint="0.39994506668294322"/>
        </patternFill>
      </fill>
    </dxf>
    <dxf>
      <fill>
        <patternFill>
          <bgColor theme="0" tint="-4.9989318521683403E-2"/>
        </patternFill>
      </fill>
    </dxf>
    <dxf>
      <fill>
        <patternFill>
          <bgColor rgb="FF00B0F0"/>
        </patternFill>
      </fill>
      <border>
        <left style="thin">
          <color auto="1"/>
        </left>
        <right style="thin">
          <color auto="1"/>
        </right>
        <top style="thin">
          <color auto="1"/>
        </top>
        <bottom style="thin">
          <color auto="1"/>
        </bottom>
        <vertical/>
        <horizontal/>
      </border>
    </dxf>
    <dxf>
      <fill>
        <patternFill>
          <bgColor theme="2"/>
        </patternFill>
      </fill>
    </dxf>
    <dxf>
      <fill>
        <patternFill>
          <bgColor rgb="FFFF0000"/>
        </patternFill>
      </fill>
    </dxf>
    <dxf>
      <fill>
        <patternFill>
          <bgColor theme="0" tint="-4.9989318521683403E-2"/>
        </patternFill>
      </fill>
    </dxf>
    <dxf>
      <fill>
        <patternFill>
          <bgColor theme="8" tint="0.59996337778862885"/>
        </patternFill>
      </fill>
    </dxf>
    <dxf>
      <fill>
        <patternFill>
          <bgColor theme="2"/>
        </patternFill>
      </fill>
    </dxf>
    <dxf>
      <fill>
        <patternFill>
          <bgColor theme="0" tint="-0.14996795556505021"/>
        </patternFill>
      </fill>
    </dxf>
    <dxf>
      <fill>
        <patternFill>
          <bgColor theme="8" tint="0.39994506668294322"/>
        </patternFill>
      </fill>
    </dxf>
    <dxf>
      <fill>
        <patternFill>
          <bgColor theme="8" tint="0.79998168889431442"/>
        </patternFill>
      </fill>
    </dxf>
    <dxf>
      <fill>
        <patternFill>
          <bgColor theme="0"/>
        </patternFill>
      </fill>
    </dxf>
    <dxf>
      <fill>
        <patternFill>
          <bgColor theme="7" tint="0.39994506668294322"/>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0"/>
        </patternFill>
      </fill>
    </dxf>
    <dxf>
      <fill>
        <patternFill>
          <bgColor theme="0"/>
        </patternFill>
      </fill>
    </dxf>
    <dxf>
      <fill>
        <patternFill>
          <bgColor theme="7" tint="0.59996337778862885"/>
        </patternFill>
      </fill>
    </dxf>
    <dxf>
      <fill>
        <patternFill>
          <bgColor rgb="FFFFFF00"/>
        </patternFill>
      </fill>
    </dxf>
    <dxf>
      <fill>
        <patternFill>
          <bgColor rgb="FFFFFF00"/>
        </patternFill>
      </fill>
    </dxf>
    <dxf>
      <fill>
        <patternFill>
          <bgColor rgb="FFFFFF00"/>
        </patternFill>
      </fill>
    </dxf>
    <dxf>
      <fill>
        <patternFill>
          <bgColor theme="3" tint="0.79998168889431442"/>
        </patternFill>
      </fill>
    </dxf>
    <dxf>
      <fill>
        <patternFill>
          <bgColor rgb="FFFFC000"/>
        </patternFill>
      </fill>
    </dxf>
    <dxf>
      <fill>
        <patternFill>
          <bgColor theme="7" tint="0.59996337778862885"/>
        </patternFill>
      </fill>
    </dxf>
    <dxf>
      <fill>
        <patternFill>
          <bgColor theme="9" tint="0.79998168889431442"/>
        </patternFill>
      </fill>
    </dxf>
    <dxf>
      <fill>
        <patternFill>
          <bgColor theme="9" tint="0.59996337778862885"/>
        </patternFill>
      </fill>
    </dxf>
    <dxf>
      <fill>
        <patternFill>
          <bgColor theme="9" tint="0.39994506668294322"/>
        </patternFill>
      </fill>
    </dxf>
    <dxf>
      <fill>
        <patternFill>
          <bgColor rgb="FFFFFF00"/>
        </patternFill>
      </fill>
    </dxf>
    <dxf>
      <fill>
        <patternFill>
          <bgColor theme="9" tint="0.59996337778862885"/>
        </patternFill>
      </fill>
    </dxf>
    <dxf>
      <fill>
        <patternFill>
          <bgColor theme="9" tint="0.39994506668294322"/>
        </patternFill>
      </fill>
    </dxf>
    <dxf>
      <fill>
        <patternFill>
          <bgColor theme="9" tint="0.79998168889431442"/>
        </patternFill>
      </fill>
    </dxf>
    <dxf>
      <fill>
        <patternFill>
          <bgColor theme="7" tint="0.59996337778862885"/>
        </patternFill>
      </fill>
    </dxf>
    <dxf>
      <fill>
        <patternFill patternType="solid">
          <fgColor theme="0"/>
          <bgColor auto="1"/>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patternType="gray0625">
          <bgColor theme="0"/>
        </patternFill>
      </fill>
      <border>
        <left/>
        <right style="thin">
          <color auto="1"/>
        </right>
      </border>
    </dxf>
    <dxf>
      <fill>
        <patternFill patternType="gray0625">
          <bgColor theme="0"/>
        </patternFill>
      </fill>
      <border>
        <left/>
        <right style="thin">
          <color auto="1"/>
        </right>
        <top style="thin">
          <color auto="1"/>
        </top>
      </border>
    </dxf>
    <dxf>
      <fill>
        <patternFill>
          <bgColor rgb="FFFFFF00"/>
        </patternFill>
      </fill>
    </dxf>
    <dxf>
      <fill>
        <patternFill>
          <bgColor theme="0"/>
        </patternFill>
      </fill>
    </dxf>
    <dxf>
      <fill>
        <patternFill>
          <bgColor theme="8" tint="0.79998168889431442"/>
        </patternFill>
      </fill>
    </dxf>
    <dxf>
      <fill>
        <patternFill>
          <bgColor theme="8" tint="0.59996337778862885"/>
        </patternFill>
      </fill>
    </dxf>
    <dxf>
      <fill>
        <patternFill>
          <bgColor rgb="FF00B0F0"/>
        </patternFill>
      </fill>
      <border>
        <left style="thin">
          <color auto="1"/>
        </left>
        <right style="thin">
          <color auto="1"/>
        </right>
        <top style="thin">
          <color auto="1"/>
        </top>
        <bottom style="thin">
          <color auto="1"/>
        </bottom>
        <vertical/>
        <horizontal/>
      </border>
    </dxf>
    <dxf>
      <fill>
        <patternFill>
          <bgColor theme="8" tint="0.39994506668294322"/>
        </patternFill>
      </fill>
    </dxf>
    <dxf>
      <fill>
        <patternFill patternType="gray0625">
          <bgColor theme="0"/>
        </patternFill>
      </fill>
      <border>
        <left/>
        <right/>
      </border>
    </dxf>
    <dxf>
      <fill>
        <patternFill patternType="gray0625">
          <bgColor theme="0"/>
        </patternFill>
      </fill>
      <border>
        <left/>
        <right/>
        <top style="thin">
          <color auto="1"/>
        </top>
      </border>
    </dxf>
    <dxf>
      <fill>
        <patternFill patternType="gray0625">
          <fgColor auto="1"/>
          <bgColor theme="0"/>
        </patternFill>
      </fill>
      <border>
        <left/>
      </border>
    </dxf>
    <dxf>
      <fill>
        <patternFill patternType="gray0625">
          <fgColor auto="1"/>
          <bgColor theme="0"/>
        </patternFill>
      </fill>
      <border>
        <left/>
        <top style="thin">
          <color auto="1"/>
        </top>
      </border>
    </dxf>
    <dxf>
      <fill>
        <patternFill>
          <bgColor rgb="FFFFFF00"/>
        </patternFill>
      </fill>
    </dxf>
    <dxf>
      <fill>
        <patternFill>
          <bgColor rgb="FFFFFF00"/>
        </patternFill>
      </fill>
    </dxf>
    <dxf>
      <fill>
        <patternFill>
          <bgColor theme="0"/>
        </patternFill>
      </fill>
    </dxf>
    <dxf>
      <fill>
        <patternFill>
          <bgColor rgb="FFFF0000"/>
        </patternFill>
      </fill>
    </dxf>
    <dxf>
      <fill>
        <patternFill>
          <bgColor theme="8" tint="0.39994506668294322"/>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theme="8" tint="0.39994506668294322"/>
        </patternFill>
      </fill>
    </dxf>
    <dxf>
      <fill>
        <patternFill>
          <bgColor theme="0" tint="-4.9989318521683403E-2"/>
        </patternFill>
      </fill>
    </dxf>
    <dxf>
      <font>
        <color auto="1"/>
      </font>
      <fill>
        <patternFill>
          <bgColor rgb="FF00B0F0"/>
        </patternFill>
      </fill>
      <border>
        <left style="thin">
          <color auto="1"/>
        </left>
        <right style="thin">
          <color auto="1"/>
        </right>
        <top style="thin">
          <color auto="1"/>
        </top>
        <bottom style="thin">
          <color auto="1"/>
        </bottom>
      </border>
    </dxf>
    <dxf>
      <fill>
        <patternFill>
          <bgColor theme="0" tint="-4.9989318521683403E-2"/>
        </patternFill>
      </fill>
    </dxf>
    <dxf>
      <fill>
        <patternFill>
          <bgColor theme="7" tint="0.39994506668294322"/>
        </patternFill>
      </fill>
    </dxf>
    <dxf>
      <fill>
        <patternFill>
          <bgColor theme="0" tint="-4.9989318521683403E-2"/>
        </patternFill>
      </fill>
    </dxf>
    <dxf>
      <fill>
        <patternFill>
          <bgColor theme="2"/>
        </patternFill>
      </fill>
    </dxf>
    <dxf>
      <fill>
        <patternFill>
          <bgColor theme="2"/>
        </patternFill>
      </fill>
    </dxf>
    <dxf>
      <font>
        <color rgb="FFFF0000"/>
      </font>
      <fill>
        <patternFill patternType="none">
          <bgColor auto="1"/>
        </patternFill>
      </fill>
    </dxf>
    <dxf>
      <fill>
        <patternFill>
          <bgColor theme="0" tint="-4.9989318521683403E-2"/>
        </patternFill>
      </fill>
    </dxf>
    <dxf>
      <font>
        <color rgb="FFFF0000"/>
      </font>
      <fill>
        <patternFill patternType="none">
          <bgColor auto="1"/>
        </patternFill>
      </fill>
    </dxf>
    <dxf>
      <fill>
        <patternFill>
          <bgColor rgb="FFFFFF00"/>
        </patternFill>
      </fill>
    </dxf>
    <dxf>
      <font>
        <color rgb="FF9C0006"/>
      </font>
      <fill>
        <patternFill>
          <bgColor rgb="FFFFC7CE"/>
        </patternFill>
      </fill>
    </dxf>
    <dxf>
      <font>
        <color rgb="FFFF0000"/>
      </font>
      <fill>
        <patternFill>
          <bgColor theme="0"/>
        </patternFill>
      </fill>
    </dxf>
    <dxf>
      <font>
        <color rgb="FFFF0000"/>
      </font>
      <fill>
        <patternFill>
          <bgColor theme="0"/>
        </patternFill>
      </fill>
    </dxf>
    <dxf>
      <font>
        <color rgb="FFFF0000"/>
      </font>
      <fill>
        <patternFill patternType="solid">
          <bgColor theme="0"/>
        </patternFill>
      </fill>
    </dxf>
    <dxf>
      <fill>
        <patternFill>
          <bgColor rgb="FFFFC000"/>
        </patternFill>
      </fill>
    </dxf>
    <dxf>
      <fill>
        <patternFill>
          <bgColor rgb="FFE4AC00"/>
        </patternFill>
      </fill>
    </dxf>
    <dxf>
      <fill>
        <patternFill>
          <bgColor rgb="FFC89800"/>
        </patternFill>
      </fill>
    </dxf>
    <dxf>
      <font>
        <color rgb="FFFF0000"/>
      </font>
      <fill>
        <patternFill>
          <bgColor theme="0"/>
        </patternFill>
      </fill>
    </dxf>
    <dxf>
      <font>
        <color rgb="FFFF0000"/>
      </font>
      <fill>
        <patternFill>
          <bgColor theme="0"/>
        </patternFill>
      </fill>
    </dxf>
    <dxf>
      <font>
        <color rgb="FFFF0000"/>
      </font>
      <fill>
        <patternFill>
          <bgColor theme="0"/>
        </patternFill>
      </fill>
    </dxf>
    <dxf>
      <fill>
        <patternFill>
          <bgColor rgb="FFFFFF00"/>
        </patternFill>
      </fill>
    </dxf>
    <dxf>
      <fill>
        <patternFill patternType="solid">
          <fgColor theme="7" tint="0.79998168889431442"/>
          <bgColor theme="7" tint="0.79998168889431442"/>
        </patternFill>
      </fill>
    </dxf>
    <dxf>
      <font>
        <color rgb="FFFF0000"/>
      </font>
      <fill>
        <patternFill>
          <bgColor theme="0"/>
        </patternFill>
      </fill>
    </dxf>
    <dxf>
      <font>
        <color rgb="FFFF0000"/>
      </font>
      <fill>
        <patternFill>
          <bgColor theme="0"/>
        </patternFill>
      </fill>
    </dxf>
    <dxf>
      <font>
        <color rgb="FFFF0000"/>
      </font>
      <fill>
        <patternFill>
          <bgColor theme="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ont>
        <color auto="1"/>
      </font>
      <fill>
        <patternFill>
          <bgColor rgb="FFFF0000"/>
        </patternFill>
      </fill>
    </dxf>
    <dxf>
      <font>
        <color rgb="FFFF0000"/>
      </font>
      <fill>
        <patternFill>
          <bgColor theme="0"/>
        </patternFill>
      </fill>
    </dxf>
    <dxf>
      <fill>
        <patternFill>
          <bgColor theme="3" tint="0.59996337778862885"/>
        </patternFill>
      </fill>
    </dxf>
    <dxf>
      <fill>
        <patternFill>
          <bgColor theme="7" tint="0.39994506668294322"/>
        </patternFill>
      </fill>
    </dxf>
    <dxf>
      <fill>
        <patternFill patternType="lightHorizontal">
          <fgColor auto="1"/>
          <bgColor rgb="FFFFC000"/>
        </patternFill>
      </fill>
      <border>
        <left/>
        <right/>
        <top/>
      </border>
    </dxf>
    <dxf>
      <fill>
        <patternFill patternType="lightHorizontal">
          <fgColor auto="1"/>
          <bgColor rgb="FFFFC000"/>
        </patternFill>
      </fill>
      <border>
        <left/>
        <right/>
        <top/>
      </border>
    </dxf>
    <dxf>
      <fill>
        <patternFill patternType="lightHorizontal">
          <fgColor auto="1"/>
          <bgColor theme="3" tint="0.59996337778862885"/>
        </patternFill>
      </fill>
    </dxf>
    <dxf>
      <fill>
        <patternFill patternType="lightHorizontal">
          <fgColor auto="1"/>
          <bgColor theme="3" tint="0.59996337778862885"/>
        </patternFill>
      </fill>
      <border>
        <left/>
        <right/>
        <top/>
      </border>
    </dxf>
    <dxf>
      <fill>
        <patternFill>
          <bgColor theme="3" tint="0.59996337778862885"/>
        </patternFill>
      </fill>
    </dxf>
    <dxf>
      <fill>
        <patternFill>
          <bgColor theme="2"/>
        </patternFill>
      </fill>
    </dxf>
    <dxf>
      <fill>
        <patternFill>
          <bgColor theme="8" tint="0.39994506668294322"/>
        </patternFill>
      </fill>
    </dxf>
    <dxf>
      <font>
        <color auto="1"/>
      </font>
      <fill>
        <patternFill patternType="solid">
          <fgColor auto="1"/>
          <bgColor theme="5" tint="0.59996337778862885"/>
        </patternFill>
      </fill>
      <border>
        <left style="thin">
          <color auto="1"/>
        </left>
        <right style="thin">
          <color auto="1"/>
        </right>
        <top style="thin">
          <color auto="1"/>
        </top>
        <bottom style="thin">
          <color auto="1"/>
        </bottom>
      </border>
    </dxf>
    <dxf>
      <font>
        <color auto="1"/>
      </font>
      <fill>
        <patternFill patternType="solid">
          <fgColor auto="1"/>
          <bgColor rgb="FFFFFF00"/>
        </patternFill>
      </fill>
      <border>
        <left style="thin">
          <color auto="1"/>
        </left>
        <right style="thin">
          <color auto="1"/>
        </right>
        <top style="thin">
          <color auto="1"/>
        </top>
        <bottom style="thin">
          <color auto="1"/>
        </bottom>
      </border>
    </dxf>
    <dxf>
      <font>
        <strike val="0"/>
      </font>
      <fill>
        <patternFill>
          <bgColor theme="8" tint="0.39994506668294322"/>
        </patternFill>
      </fill>
    </dxf>
    <dxf>
      <fill>
        <patternFill>
          <bgColor theme="8" tint="0.79998168889431442"/>
        </patternFill>
      </fill>
      <border>
        <left/>
        <right/>
        <top/>
        <bottom/>
        <vertical/>
        <horizontal/>
      </border>
    </dxf>
    <dxf>
      <fill>
        <patternFill>
          <bgColor theme="8" tint="0.39994506668294322"/>
        </patternFill>
      </fill>
      <border>
        <left/>
        <right/>
        <top/>
        <bottom/>
        <vertical/>
        <horizontal/>
      </border>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ill>
        <patternFill>
          <bgColor rgb="FFFFFF00"/>
        </patternFill>
      </fill>
    </dxf>
    <dxf>
      <font>
        <color auto="1"/>
      </font>
      <fill>
        <patternFill>
          <bgColor rgb="FF00B0F0"/>
        </patternFill>
      </fill>
      <border>
        <left style="thin">
          <color auto="1"/>
        </left>
        <right style="thin">
          <color auto="1"/>
        </right>
        <top style="thin">
          <color auto="1"/>
        </top>
        <bottom style="thin">
          <color auto="1"/>
        </bottom>
      </border>
    </dxf>
    <dxf>
      <fill>
        <patternFill>
          <bgColor theme="0" tint="-4.9989318521683403E-2"/>
        </patternFill>
      </fill>
    </dxf>
    <dxf>
      <fill>
        <patternFill>
          <bgColor theme="0" tint="-4.9989318521683403E-2"/>
        </patternFill>
      </fill>
    </dxf>
    <dxf>
      <fill>
        <patternFill>
          <bgColor theme="7" tint="0.39994506668294322"/>
        </patternFill>
      </fill>
    </dxf>
    <dxf>
      <fill>
        <patternFill>
          <bgColor rgb="FFFFC000"/>
        </patternFill>
      </fill>
    </dxf>
    <dxf>
      <fill>
        <patternFill>
          <bgColor theme="2"/>
        </patternFill>
      </fill>
    </dxf>
    <dxf>
      <fill>
        <patternFill>
          <bgColor rgb="FFFFFF00"/>
        </patternFill>
      </fill>
    </dxf>
  </dxfs>
  <tableStyles count="1" defaultTableStyle="TableStyleMedium2" defaultPivotStyle="PivotStyleLight16">
    <tableStyle name="Invisible" pivot="0" table="0" count="0" xr9:uid="{8670FBD6-2588-4786-9290-45A7D2DB0FF1}"/>
  </tableStyles>
  <colors>
    <mruColors>
      <color rgb="FFFFFFC0"/>
      <color rgb="FFC0FFFF"/>
      <color rgb="FF00C0FF"/>
      <color rgb="FFF2FDB1"/>
      <color rgb="FFFBFDB1"/>
      <color rgb="FFFFC000"/>
      <color rgb="FFE4AC00"/>
      <color rgb="FFC89800"/>
      <color rgb="FFD6A300"/>
      <color rgb="FFFF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eetMetadata" Target="metadata.xml"/><Relationship Id="rId26" Type="http://schemas.openxmlformats.org/officeDocument/2006/relationships/customXml" Target="../customXml/item1.xml"/><Relationship Id="rId3" Type="http://schemas.openxmlformats.org/officeDocument/2006/relationships/worksheet" Target="worksheets/sheet3.xml"/><Relationship Id="rId21" Type="http://schemas.microsoft.com/office/2017/06/relationships/rdRichValue" Target="richData/rdrichvalue.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5"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tyles" Target="styles.xml"/><Relationship Id="rId20" Type="http://schemas.microsoft.com/office/2022/10/relationships/richValueRel" Target="richData/richValueRel.xml"/><Relationship Id="rId29" Type="http://schemas.openxmlformats.org/officeDocument/2006/relationships/customXml" Target="../customXml/item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microsoft.com/office/2022/11/relationships/FeaturePropertyBag" Target="featurePropertyBag/featurePropertyBag.xml"/><Relationship Id="rId5" Type="http://schemas.openxmlformats.org/officeDocument/2006/relationships/worksheet" Target="worksheets/sheet5.xml"/><Relationship Id="rId15" Type="http://schemas.openxmlformats.org/officeDocument/2006/relationships/theme" Target="theme/theme1.xml"/><Relationship Id="rId23" Type="http://schemas.microsoft.com/office/2017/06/relationships/rdRichValueTypes" Target="richData/rdRichValueTypes.xml"/><Relationship Id="rId28" Type="http://schemas.openxmlformats.org/officeDocument/2006/relationships/customXml" Target="../customXml/item3.xml"/><Relationship Id="rId10" Type="http://schemas.openxmlformats.org/officeDocument/2006/relationships/worksheet" Target="worksheets/sheet10.xml"/><Relationship Id="rId19" Type="http://schemas.microsoft.com/office/2020/07/relationships/rdRichValueWebImage" Target="richData/rdRichValueWebImage.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06/relationships/rdRichValueStructure" Target="richData/rdrichvaluestructure.xml"/><Relationship Id="rId27" Type="http://schemas.openxmlformats.org/officeDocument/2006/relationships/customXml" Target="../customXml/item2.xml"/></Relationships>
</file>

<file path=xl/activeX/_rels/activeX1.xml.rels><?xml version="1.0" encoding="UTF-8" standalone="yes"?>
<Relationships xmlns="http://schemas.openxmlformats.org/package/2006/relationships"><Relationship Id="rId1" Type="http://schemas.microsoft.com/office/2006/relationships/activeXControlBinary" Target="activeX1.bin"/></Relationships>
</file>

<file path=xl/activeX/_rels/activeX2.xml.rels><?xml version="1.0" encoding="UTF-8" standalone="yes"?>
<Relationships xmlns="http://schemas.openxmlformats.org/package/2006/relationships"><Relationship Id="rId1" Type="http://schemas.microsoft.com/office/2006/relationships/activeXControlBinary" Target="activeX2.bin"/></Relationships>
</file>

<file path=xl/activeX/_rels/activeX3.xml.rels><?xml version="1.0" encoding="UTF-8" standalone="yes"?>
<Relationships xmlns="http://schemas.openxmlformats.org/package/2006/relationships"><Relationship Id="rId1" Type="http://schemas.microsoft.com/office/2006/relationships/activeXControlBinary" Target="activeX3.bin"/></Relationships>
</file>

<file path=xl/activeX/_rels/activeX4.xml.rels><?xml version="1.0" encoding="UTF-8" standalone="yes"?>
<Relationships xmlns="http://schemas.openxmlformats.org/package/2006/relationships"><Relationship Id="rId1" Type="http://schemas.microsoft.com/office/2006/relationships/activeXControlBinary" Target="activeX4.bin"/></Relationships>
</file>

<file path=xl/activeX/_rels/activeX5.xml.rels><?xml version="1.0" encoding="UTF-8" standalone="yes"?>
<Relationships xmlns="http://schemas.openxmlformats.org/package/2006/relationships"><Relationship Id="rId1" Type="http://schemas.microsoft.com/office/2006/relationships/activeXControlBinary" Target="activeX5.bin"/></Relationships>
</file>

<file path=xl/activeX/_rels/activeX6.xml.rels><?xml version="1.0" encoding="UTF-8" standalone="yes"?>
<Relationships xmlns="http://schemas.openxmlformats.org/package/2006/relationships"><Relationship Id="rId1" Type="http://schemas.microsoft.com/office/2006/relationships/activeXControlBinary" Target="activeX6.bin"/></Relationships>
</file>

<file path=xl/activeX/_rels/activeX7.xml.rels><?xml version="1.0" encoding="UTF-8" standalone="yes"?>
<Relationships xmlns="http://schemas.openxmlformats.org/package/2006/relationships"><Relationship Id="rId1" Type="http://schemas.microsoft.com/office/2006/relationships/activeXControlBinary" Target="activeX7.bin"/></Relationships>
</file>

<file path=xl/activeX/_rels/activeX8.xml.rels><?xml version="1.0" encoding="UTF-8" standalone="yes"?>
<Relationships xmlns="http://schemas.openxmlformats.org/package/2006/relationships"><Relationship Id="rId1" Type="http://schemas.microsoft.com/office/2006/relationships/activeXControlBinary" Target="activeX8.bin"/></Relationships>
</file>

<file path=xl/activeX/_rels/activeX9.xml.rels><?xml version="1.0" encoding="UTF-8" standalone="yes"?>
<Relationships xmlns="http://schemas.openxmlformats.org/package/2006/relationships"><Relationship Id="rId1" Type="http://schemas.microsoft.com/office/2006/relationships/activeXControlBinary" Target="activeX9.bin"/></Relationships>
</file>

<file path=xl/activeX/_rels/activeX10.xml.rels><?xml version="1.0" encoding="UTF-8" standalone="yes"?>
<Relationships xmlns="http://schemas.openxmlformats.org/package/2006/relationships"><Relationship Id="rId1" Type="http://schemas.microsoft.com/office/2006/relationships/activeXControlBinary" Target="activeX10.bin"/></Relationships>
</file>

<file path=xl/activeX/_rels/activeX11.xml.rels><?xml version="1.0" encoding="UTF-8" standalone="yes"?>
<Relationships xmlns="http://schemas.openxmlformats.org/package/2006/relationships"><Relationship Id="rId1" Type="http://schemas.microsoft.com/office/2006/relationships/activeXControlBinary" Target="activeX11.bin"/></Relationships>
</file>

<file path=xl/activeX/_rels/activeX12.xml.rels><?xml version="1.0" encoding="UTF-8" standalone="yes"?>
<Relationships xmlns="http://schemas.openxmlformats.org/package/2006/relationships"><Relationship Id="rId1" Type="http://schemas.microsoft.com/office/2006/relationships/activeXControlBinary" Target="activeX12.bin"/></Relationships>
</file>

<file path=xl/activeX/_rels/activeX13.xml.rels><?xml version="1.0" encoding="UTF-8" standalone="yes"?>
<Relationships xmlns="http://schemas.openxmlformats.org/package/2006/relationships"><Relationship Id="rId1" Type="http://schemas.microsoft.com/office/2006/relationships/activeXControlBinary" Target="activeX13.bin"/></Relationships>
</file>

<file path=xl/activeX/_rels/activeX14.xml.rels><?xml version="1.0" encoding="UTF-8" standalone="yes"?>
<Relationships xmlns="http://schemas.openxmlformats.org/package/2006/relationships"><Relationship Id="rId1" Type="http://schemas.microsoft.com/office/2006/relationships/activeXControlBinary" Target="activeX14.bin"/></Relationships>
</file>

<file path=xl/activeX/_rels/activeX15.xml.rels><?xml version="1.0" encoding="UTF-8" standalone="yes"?>
<Relationships xmlns="http://schemas.openxmlformats.org/package/2006/relationships"><Relationship Id="rId1" Type="http://schemas.microsoft.com/office/2006/relationships/activeXControlBinary" Target="activeX15.bin"/></Relationships>
</file>

<file path=xl/activeX/_rels/activeX16.xml.rels><?xml version="1.0" encoding="UTF-8" standalone="yes"?>
<Relationships xmlns="http://schemas.openxmlformats.org/package/2006/relationships"><Relationship Id="rId1" Type="http://schemas.microsoft.com/office/2006/relationships/activeXControlBinary" Target="activeX16.bin"/></Relationships>
</file>

<file path=xl/activeX/_rels/activeX17.xml.rels><?xml version="1.0" encoding="UTF-8" standalone="yes"?>
<Relationships xmlns="http://schemas.openxmlformats.org/package/2006/relationships"><Relationship Id="rId1" Type="http://schemas.microsoft.com/office/2006/relationships/activeXControlBinary" Target="activeX17.bin"/></Relationships>
</file>

<file path=xl/activeX/_rels/activeX18.xml.rels><?xml version="1.0" encoding="UTF-8" standalone="yes"?>
<Relationships xmlns="http://schemas.openxmlformats.org/package/2006/relationships"><Relationship Id="rId1" Type="http://schemas.microsoft.com/office/2006/relationships/activeXControlBinary" Target="activeX18.bin"/></Relationships>
</file>

<file path=xl/activeX/_rels/activeX19.xml.rels><?xml version="1.0" encoding="UTF-8" standalone="yes"?>
<Relationships xmlns="http://schemas.openxmlformats.org/package/2006/relationships"><Relationship Id="rId1" Type="http://schemas.microsoft.com/office/2006/relationships/activeXControlBinary" Target="activeX19.bin"/></Relationships>
</file>

<file path=xl/activeX/_rels/activeX20.xml.rels><?xml version="1.0" encoding="UTF-8" standalone="yes"?>
<Relationships xmlns="http://schemas.openxmlformats.org/package/2006/relationships"><Relationship Id="rId1" Type="http://schemas.microsoft.com/office/2006/relationships/activeXControlBinary" Target="activeX20.bin"/></Relationships>
</file>

<file path=xl/activeX/_rels/activeX21.xml.rels><?xml version="1.0" encoding="UTF-8" standalone="yes"?>
<Relationships xmlns="http://schemas.openxmlformats.org/package/2006/relationships"><Relationship Id="rId1" Type="http://schemas.microsoft.com/office/2006/relationships/activeXControlBinary" Target="activeX21.bin"/></Relationships>
</file>

<file path=xl/activeX/_rels/activeX22.xml.rels><?xml version="1.0" encoding="UTF-8" standalone="yes"?>
<Relationships xmlns="http://schemas.openxmlformats.org/package/2006/relationships"><Relationship Id="rId1" Type="http://schemas.microsoft.com/office/2006/relationships/activeXControlBinary" Target="activeX22.bin"/></Relationships>
</file>

<file path=xl/activeX/_rels/activeX23.xml.rels><?xml version="1.0" encoding="UTF-8" standalone="yes"?>
<Relationships xmlns="http://schemas.openxmlformats.org/package/2006/relationships"><Relationship Id="rId1" Type="http://schemas.microsoft.com/office/2006/relationships/activeXControlBinary" Target="activeX23.bin"/></Relationships>
</file>

<file path=xl/activeX/_rels/activeX24.xml.rels><?xml version="1.0" encoding="UTF-8" standalone="yes"?>
<Relationships xmlns="http://schemas.openxmlformats.org/package/2006/relationships"><Relationship Id="rId1" Type="http://schemas.microsoft.com/office/2006/relationships/activeXControlBinary" Target="activeX24.bin"/></Relationships>
</file>

<file path=xl/activeX/_rels/activeX25.xml.rels><?xml version="1.0" encoding="UTF-8" standalone="yes"?>
<Relationships xmlns="http://schemas.openxmlformats.org/package/2006/relationships"><Relationship Id="rId1" Type="http://schemas.microsoft.com/office/2006/relationships/activeXControlBinary" Target="activeX25.bin"/></Relationships>
</file>

<file path=xl/activeX/_rels/activeX26.xml.rels><?xml version="1.0" encoding="UTF-8" standalone="yes"?>
<Relationships xmlns="http://schemas.openxmlformats.org/package/2006/relationships"><Relationship Id="rId1" Type="http://schemas.microsoft.com/office/2006/relationships/activeXControlBinary" Target="activeX26.bin"/></Relationships>
</file>

<file path=xl/activeX/_rels/activeX27.xml.rels><?xml version="1.0" encoding="UTF-8" standalone="yes"?>
<Relationships xmlns="http://schemas.openxmlformats.org/package/2006/relationships"><Relationship Id="rId1" Type="http://schemas.microsoft.com/office/2006/relationships/activeXControlBinary" Target="activeX27.bin"/></Relationships>
</file>

<file path=xl/activeX/_rels/activeX28.xml.rels><?xml version="1.0" encoding="UTF-8" standalone="yes"?>
<Relationships xmlns="http://schemas.openxmlformats.org/package/2006/relationships"><Relationship Id="rId1" Type="http://schemas.microsoft.com/office/2006/relationships/activeXControlBinary" Target="activeX28.bin"/></Relationships>
</file>

<file path=xl/activeX/_rels/activeX29.xml.rels><?xml version="1.0" encoding="UTF-8" standalone="yes"?>
<Relationships xmlns="http://schemas.openxmlformats.org/package/2006/relationships"><Relationship Id="rId1" Type="http://schemas.microsoft.com/office/2006/relationships/activeXControlBinary" Target="activeX29.bin"/></Relationships>
</file>

<file path=xl/activeX/_rels/activeX30.xml.rels><?xml version="1.0" encoding="UTF-8" standalone="yes"?>
<Relationships xmlns="http://schemas.openxmlformats.org/package/2006/relationships"><Relationship Id="rId1" Type="http://schemas.microsoft.com/office/2006/relationships/activeXControlBinary" Target="activeX30.bin"/></Relationships>
</file>

<file path=xl/activeX/_rels/activeX31.xml.rels><?xml version="1.0" encoding="UTF-8" standalone="yes"?>
<Relationships xmlns="http://schemas.openxmlformats.org/package/2006/relationships"><Relationship Id="rId1" Type="http://schemas.microsoft.com/office/2006/relationships/activeXControlBinary" Target="activeX31.bin"/></Relationships>
</file>

<file path=xl/activeX/_rels/activeX32.xml.rels><?xml version="1.0" encoding="UTF-8" standalone="yes"?>
<Relationships xmlns="http://schemas.openxmlformats.org/package/2006/relationships"><Relationship Id="rId1" Type="http://schemas.microsoft.com/office/2006/relationships/activeXControlBinary" Target="activeX32.bin"/></Relationships>
</file>

<file path=xl/activeX/_rels/activeX33.xml.rels><?xml version="1.0" encoding="UTF-8" standalone="yes"?>
<Relationships xmlns="http://schemas.openxmlformats.org/package/2006/relationships"><Relationship Id="rId1" Type="http://schemas.microsoft.com/office/2006/relationships/activeXControlBinary" Target="activeX33.bin"/></Relationships>
</file>

<file path=xl/activeX/_rels/activeX34.xml.rels><?xml version="1.0" encoding="UTF-8" standalone="yes"?>
<Relationships xmlns="http://schemas.openxmlformats.org/package/2006/relationships"><Relationship Id="rId1" Type="http://schemas.microsoft.com/office/2006/relationships/activeXControlBinary" Target="activeX34.bin"/></Relationships>
</file>

<file path=xl/activeX/_rels/activeX35.xml.rels><?xml version="1.0" encoding="UTF-8" standalone="yes"?>
<Relationships xmlns="http://schemas.openxmlformats.org/package/2006/relationships"><Relationship Id="rId1" Type="http://schemas.microsoft.com/office/2006/relationships/activeXControlBinary" Target="activeX35.bin"/></Relationships>
</file>

<file path=xl/activeX/_rels/activeX36.xml.rels><?xml version="1.0" encoding="UTF-8" standalone="yes"?>
<Relationships xmlns="http://schemas.openxmlformats.org/package/2006/relationships"><Relationship Id="rId1" Type="http://schemas.microsoft.com/office/2006/relationships/activeXControlBinary" Target="activeX36.bin"/></Relationships>
</file>

<file path=xl/activeX/_rels/activeX37.xml.rels><?xml version="1.0" encoding="UTF-8" standalone="yes"?>
<Relationships xmlns="http://schemas.openxmlformats.org/package/2006/relationships"><Relationship Id="rId1" Type="http://schemas.microsoft.com/office/2006/relationships/activeXControlBinary" Target="activeX37.bin"/></Relationships>
</file>

<file path=xl/activeX/_rels/activeX38.xml.rels><?xml version="1.0" encoding="UTF-8" standalone="yes"?>
<Relationships xmlns="http://schemas.openxmlformats.org/package/2006/relationships"><Relationship Id="rId1" Type="http://schemas.microsoft.com/office/2006/relationships/activeXControlBinary" Target="activeX38.bin"/></Relationships>
</file>

<file path=xl/activeX/_rels/activeX39.xml.rels><?xml version="1.0" encoding="UTF-8" standalone="yes"?>
<Relationships xmlns="http://schemas.openxmlformats.org/package/2006/relationships"><Relationship Id="rId1" Type="http://schemas.microsoft.com/office/2006/relationships/activeXControlBinary" Target="activeX39.bin"/></Relationships>
</file>

<file path=xl/activeX/_rels/activeX40.xml.rels><?xml version="1.0" encoding="UTF-8" standalone="yes"?>
<Relationships xmlns="http://schemas.openxmlformats.org/package/2006/relationships"><Relationship Id="rId1" Type="http://schemas.microsoft.com/office/2006/relationships/activeXControlBinary" Target="activeX40.bin"/></Relationships>
</file>

<file path=xl/activeX/_rels/activeX41.xml.rels><?xml version="1.0" encoding="UTF-8" standalone="yes"?>
<Relationships xmlns="http://schemas.openxmlformats.org/package/2006/relationships"><Relationship Id="rId1" Type="http://schemas.microsoft.com/office/2006/relationships/activeXControlBinary" Target="activeX41.bin"/></Relationships>
</file>

<file path=xl/activeX/_rels/activeX42.xml.rels><?xml version="1.0" encoding="UTF-8" standalone="yes"?>
<Relationships xmlns="http://schemas.openxmlformats.org/package/2006/relationships"><Relationship Id="rId1" Type="http://schemas.microsoft.com/office/2006/relationships/activeXControlBinary" Target="activeX42.bin"/></Relationships>
</file>

<file path=xl/activeX/_rels/activeX43.xml.rels><?xml version="1.0" encoding="UTF-8" standalone="yes"?>
<Relationships xmlns="http://schemas.openxmlformats.org/package/2006/relationships"><Relationship Id="rId1" Type="http://schemas.microsoft.com/office/2006/relationships/activeXControlBinary" Target="activeX43.bin"/></Relationships>
</file>

<file path=xl/activeX/_rels/activeX44.xml.rels><?xml version="1.0" encoding="UTF-8" standalone="yes"?>
<Relationships xmlns="http://schemas.openxmlformats.org/package/2006/relationships"><Relationship Id="rId1" Type="http://schemas.microsoft.com/office/2006/relationships/activeXControlBinary" Target="activeX44.bin"/></Relationships>
</file>

<file path=xl/activeX/_rels/activeX45.xml.rels><?xml version="1.0" encoding="UTF-8" standalone="yes"?>
<Relationships xmlns="http://schemas.openxmlformats.org/package/2006/relationships"><Relationship Id="rId1" Type="http://schemas.microsoft.com/office/2006/relationships/activeXControlBinary" Target="activeX45.bin"/></Relationships>
</file>

<file path=xl/activeX/_rels/activeX46.xml.rels><?xml version="1.0" encoding="UTF-8" standalone="yes"?>
<Relationships xmlns="http://schemas.openxmlformats.org/package/2006/relationships"><Relationship Id="rId1" Type="http://schemas.microsoft.com/office/2006/relationships/activeXControlBinary" Target="activeX46.bin"/></Relationships>
</file>

<file path=xl/activeX/_rels/activeX47.xml.rels><?xml version="1.0" encoding="UTF-8" standalone="yes"?>
<Relationships xmlns="http://schemas.openxmlformats.org/package/2006/relationships"><Relationship Id="rId1" Type="http://schemas.microsoft.com/office/2006/relationships/activeXControlBinary" Target="activeX47.bin"/></Relationships>
</file>

<file path=xl/activeX/_rels/activeX48.xml.rels><?xml version="1.0" encoding="UTF-8" standalone="yes"?>
<Relationships xmlns="http://schemas.openxmlformats.org/package/2006/relationships"><Relationship Id="rId1" Type="http://schemas.microsoft.com/office/2006/relationships/activeXControlBinary" Target="activeX48.bin"/></Relationships>
</file>

<file path=xl/activeX/_rels/activeX49.xml.rels><?xml version="1.0" encoding="UTF-8" standalone="yes"?>
<Relationships xmlns="http://schemas.openxmlformats.org/package/2006/relationships"><Relationship Id="rId1" Type="http://schemas.microsoft.com/office/2006/relationships/activeXControlBinary" Target="activeX49.bin"/></Relationships>
</file>

<file path=xl/activeX/_rels/activeX50.xml.rels><?xml version="1.0" encoding="UTF-8" standalone="yes"?>
<Relationships xmlns="http://schemas.openxmlformats.org/package/2006/relationships"><Relationship Id="rId1" Type="http://schemas.microsoft.com/office/2006/relationships/activeXControlBinary" Target="activeX50.bin"/></Relationships>
</file>

<file path=xl/activeX/_rels/activeX51.xml.rels><?xml version="1.0" encoding="UTF-8" standalone="yes"?>
<Relationships xmlns="http://schemas.openxmlformats.org/package/2006/relationships"><Relationship Id="rId1" Type="http://schemas.microsoft.com/office/2006/relationships/activeXControlBinary" Target="activeX51.bin"/></Relationships>
</file>

<file path=xl/activeX/_rels/activeX52.xml.rels><?xml version="1.0" encoding="UTF-8" standalone="yes"?>
<Relationships xmlns="http://schemas.openxmlformats.org/package/2006/relationships"><Relationship Id="rId1" Type="http://schemas.microsoft.com/office/2006/relationships/activeXControlBinary" Target="activeX52.bin"/></Relationships>
</file>

<file path=xl/activeX/_rels/activeX53.xml.rels><?xml version="1.0" encoding="UTF-8" standalone="yes"?>
<Relationships xmlns="http://schemas.openxmlformats.org/package/2006/relationships"><Relationship Id="rId1" Type="http://schemas.microsoft.com/office/2006/relationships/activeXControlBinary" Target="activeX53.bin"/></Relationships>
</file>

<file path=xl/activeX/_rels/activeX54.xml.rels><?xml version="1.0" encoding="UTF-8" standalone="yes"?>
<Relationships xmlns="http://schemas.openxmlformats.org/package/2006/relationships"><Relationship Id="rId1" Type="http://schemas.microsoft.com/office/2006/relationships/activeXControlBinary" Target="activeX54.bin"/></Relationships>
</file>

<file path=xl/activeX/_rels/activeX55.xml.rels><?xml version="1.0" encoding="UTF-8" standalone="yes"?>
<Relationships xmlns="http://schemas.openxmlformats.org/package/2006/relationships"><Relationship Id="rId1" Type="http://schemas.microsoft.com/office/2006/relationships/activeXControlBinary" Target="activeX55.bin"/></Relationships>
</file>

<file path=xl/activeX/_rels/activeX56.xml.rels><?xml version="1.0" encoding="UTF-8" standalone="yes"?>
<Relationships xmlns="http://schemas.openxmlformats.org/package/2006/relationships"><Relationship Id="rId1" Type="http://schemas.microsoft.com/office/2006/relationships/activeXControlBinary" Target="activeX56.bin"/></Relationships>
</file>

<file path=xl/activeX/_rels/activeX57.xml.rels><?xml version="1.0" encoding="UTF-8" standalone="yes"?>
<Relationships xmlns="http://schemas.openxmlformats.org/package/2006/relationships"><Relationship Id="rId1" Type="http://schemas.microsoft.com/office/2006/relationships/activeXControlBinary" Target="activeX57.bin"/></Relationships>
</file>

<file path=xl/activeX/_rels/activeX58.xml.rels><?xml version="1.0" encoding="UTF-8" standalone="yes"?>
<Relationships xmlns="http://schemas.openxmlformats.org/package/2006/relationships"><Relationship Id="rId1" Type="http://schemas.microsoft.com/office/2006/relationships/activeXControlBinary" Target="activeX58.bin"/></Relationships>
</file>

<file path=xl/activeX/_rels/activeX59.xml.rels><?xml version="1.0" encoding="UTF-8" standalone="yes"?>
<Relationships xmlns="http://schemas.openxmlformats.org/package/2006/relationships"><Relationship Id="rId1" Type="http://schemas.microsoft.com/office/2006/relationships/activeXControlBinary" Target="activeX59.bin"/></Relationships>
</file>

<file path=xl/activeX/_rels/activeX60.xml.rels><?xml version="1.0" encoding="UTF-8" standalone="yes"?>
<Relationships xmlns="http://schemas.openxmlformats.org/package/2006/relationships"><Relationship Id="rId1" Type="http://schemas.microsoft.com/office/2006/relationships/activeXControlBinary" Target="activeX60.bin"/></Relationships>
</file>

<file path=xl/activeX/_rels/activeX61.xml.rels><?xml version="1.0" encoding="UTF-8" standalone="yes"?>
<Relationships xmlns="http://schemas.openxmlformats.org/package/2006/relationships"><Relationship Id="rId1" Type="http://schemas.microsoft.com/office/2006/relationships/activeXControlBinary" Target="activeX61.bin"/></Relationships>
</file>

<file path=xl/activeX/_rels/activeX62.xml.rels><?xml version="1.0" encoding="UTF-8" standalone="yes"?>
<Relationships xmlns="http://schemas.openxmlformats.org/package/2006/relationships"><Relationship Id="rId1" Type="http://schemas.microsoft.com/office/2006/relationships/activeXControlBinary" Target="activeX62.bin"/></Relationships>
</file>

<file path=xl/activeX/_rels/activeX63.xml.rels><?xml version="1.0" encoding="UTF-8" standalone="yes"?>
<Relationships xmlns="http://schemas.openxmlformats.org/package/2006/relationships"><Relationship Id="rId1" Type="http://schemas.microsoft.com/office/2006/relationships/activeXControlBinary" Target="activeX63.bin"/></Relationships>
</file>

<file path=xl/activeX/_rels/activeX64.xml.rels><?xml version="1.0" encoding="UTF-8" standalone="yes"?>
<Relationships xmlns="http://schemas.openxmlformats.org/package/2006/relationships"><Relationship Id="rId1" Type="http://schemas.microsoft.com/office/2006/relationships/activeXControlBinary" Target="activeX64.bin"/></Relationships>
</file>

<file path=xl/activeX/_rels/activeX65.xml.rels><?xml version="1.0" encoding="UTF-8" standalone="yes"?>
<Relationships xmlns="http://schemas.openxmlformats.org/package/2006/relationships"><Relationship Id="rId1" Type="http://schemas.microsoft.com/office/2006/relationships/activeXControlBinary" Target="activeX65.bin"/></Relationships>
</file>

<file path=xl/activeX/_rels/activeX66.xml.rels><?xml version="1.0" encoding="UTF-8" standalone="yes"?>
<Relationships xmlns="http://schemas.openxmlformats.org/package/2006/relationships"><Relationship Id="rId1" Type="http://schemas.microsoft.com/office/2006/relationships/activeXControlBinary" Target="activeX66.bin"/></Relationships>
</file>

<file path=xl/activeX/_rels/activeX67.xml.rels><?xml version="1.0" encoding="UTF-8" standalone="yes"?>
<Relationships xmlns="http://schemas.openxmlformats.org/package/2006/relationships"><Relationship Id="rId1" Type="http://schemas.microsoft.com/office/2006/relationships/activeXControlBinary" Target="activeX67.bin"/></Relationships>
</file>

<file path=xl/activeX/_rels/activeX68.xml.rels><?xml version="1.0" encoding="UTF-8" standalone="yes"?>
<Relationships xmlns="http://schemas.openxmlformats.org/package/2006/relationships"><Relationship Id="rId1" Type="http://schemas.microsoft.com/office/2006/relationships/activeXControlBinary" Target="activeX68.bin"/></Relationships>
</file>

<file path=xl/activeX/_rels/activeX69.xml.rels><?xml version="1.0" encoding="UTF-8" standalone="yes"?>
<Relationships xmlns="http://schemas.openxmlformats.org/package/2006/relationships"><Relationship Id="rId1" Type="http://schemas.microsoft.com/office/2006/relationships/activeXControlBinary" Target="activeX69.bin"/></Relationships>
</file>

<file path=xl/activeX/_rels/activeX70.xml.rels><?xml version="1.0" encoding="UTF-8" standalone="yes"?>
<Relationships xmlns="http://schemas.openxmlformats.org/package/2006/relationships"><Relationship Id="rId1" Type="http://schemas.microsoft.com/office/2006/relationships/activeXControlBinary" Target="activeX70.bin"/></Relationships>
</file>

<file path=xl/activeX/_rels/activeX71.xml.rels><?xml version="1.0" encoding="UTF-8" standalone="yes"?>
<Relationships xmlns="http://schemas.openxmlformats.org/package/2006/relationships"><Relationship Id="rId1" Type="http://schemas.microsoft.com/office/2006/relationships/activeXControlBinary" Target="activeX71.bin"/></Relationships>
</file>

<file path=xl/activeX/_rels/activeX72.xml.rels><?xml version="1.0" encoding="UTF-8" standalone="yes"?>
<Relationships xmlns="http://schemas.openxmlformats.org/package/2006/relationships"><Relationship Id="rId1" Type="http://schemas.microsoft.com/office/2006/relationships/activeXControlBinary" Target="activeX72.bin"/></Relationships>
</file>

<file path=xl/activeX/_rels/activeX73.xml.rels><?xml version="1.0" encoding="UTF-8" standalone="yes"?>
<Relationships xmlns="http://schemas.openxmlformats.org/package/2006/relationships"><Relationship Id="rId1" Type="http://schemas.microsoft.com/office/2006/relationships/activeXControlBinary" Target="activeX73.bin"/></Relationships>
</file>

<file path=xl/activeX/_rels/activeX74.xml.rels><?xml version="1.0" encoding="UTF-8" standalone="yes"?>
<Relationships xmlns="http://schemas.openxmlformats.org/package/2006/relationships"><Relationship Id="rId1" Type="http://schemas.microsoft.com/office/2006/relationships/activeXControlBinary" Target="activeX74.bin"/></Relationships>
</file>

<file path=xl/activeX/_rels/activeX75.xml.rels><?xml version="1.0" encoding="UTF-8" standalone="yes"?>
<Relationships xmlns="http://schemas.openxmlformats.org/package/2006/relationships"><Relationship Id="rId1" Type="http://schemas.microsoft.com/office/2006/relationships/activeXControlBinary" Target="activeX75.bin"/></Relationships>
</file>

<file path=xl/activeX/_rels/activeX76.xml.rels><?xml version="1.0" encoding="UTF-8" standalone="yes"?>
<Relationships xmlns="http://schemas.openxmlformats.org/package/2006/relationships"><Relationship Id="rId1" Type="http://schemas.microsoft.com/office/2006/relationships/activeXControlBinary" Target="activeX76.bin"/></Relationships>
</file>

<file path=xl/activeX/_rels/activeX77.xml.rels><?xml version="1.0" encoding="UTF-8" standalone="yes"?>
<Relationships xmlns="http://schemas.openxmlformats.org/package/2006/relationships"><Relationship Id="rId1" Type="http://schemas.microsoft.com/office/2006/relationships/activeXControlBinary" Target="activeX77.bin"/></Relationships>
</file>

<file path=xl/activeX/_rels/activeX78.xml.rels><?xml version="1.0" encoding="UTF-8" standalone="yes"?>
<Relationships xmlns="http://schemas.openxmlformats.org/package/2006/relationships"><Relationship Id="rId1" Type="http://schemas.microsoft.com/office/2006/relationships/activeXControlBinary" Target="activeX78.bin"/></Relationships>
</file>

<file path=xl/activeX/_rels/activeX79.xml.rels><?xml version="1.0" encoding="UTF-8" standalone="yes"?>
<Relationships xmlns="http://schemas.openxmlformats.org/package/2006/relationships"><Relationship Id="rId1" Type="http://schemas.microsoft.com/office/2006/relationships/activeXControlBinary" Target="activeX79.bin"/></Relationships>
</file>

<file path=xl/activeX/_rels/activeX80.xml.rels><?xml version="1.0" encoding="UTF-8" standalone="yes"?>
<Relationships xmlns="http://schemas.openxmlformats.org/package/2006/relationships"><Relationship Id="rId1" Type="http://schemas.microsoft.com/office/2006/relationships/activeXControlBinary" Target="activeX80.bin"/></Relationships>
</file>

<file path=xl/activeX/_rels/activeX81.xml.rels><?xml version="1.0" encoding="UTF-8" standalone="yes"?>
<Relationships xmlns="http://schemas.openxmlformats.org/package/2006/relationships"><Relationship Id="rId1" Type="http://schemas.microsoft.com/office/2006/relationships/activeXControlBinary" Target="activeX81.bin"/></Relationships>
</file>

<file path=xl/activeX/_rels/activeX82.xml.rels><?xml version="1.0" encoding="UTF-8" standalone="yes"?>
<Relationships xmlns="http://schemas.openxmlformats.org/package/2006/relationships"><Relationship Id="rId1" Type="http://schemas.microsoft.com/office/2006/relationships/activeXControlBinary" Target="activeX82.bin"/></Relationships>
</file>

<file path=xl/activeX/_rels/activeX83.xml.rels><?xml version="1.0" encoding="UTF-8" standalone="yes"?>
<Relationships xmlns="http://schemas.openxmlformats.org/package/2006/relationships"><Relationship Id="rId1" Type="http://schemas.microsoft.com/office/2006/relationships/activeXControlBinary" Target="activeX83.bin"/></Relationships>
</file>

<file path=xl/activeX/_rels/activeX84.xml.rels><?xml version="1.0" encoding="UTF-8" standalone="yes"?>
<Relationships xmlns="http://schemas.openxmlformats.org/package/2006/relationships"><Relationship Id="rId1" Type="http://schemas.microsoft.com/office/2006/relationships/activeXControlBinary" Target="activeX84.bin"/></Relationships>
</file>

<file path=xl/activeX/_rels/activeX85.xml.rels><?xml version="1.0" encoding="UTF-8" standalone="yes"?>
<Relationships xmlns="http://schemas.openxmlformats.org/package/2006/relationships"><Relationship Id="rId1" Type="http://schemas.microsoft.com/office/2006/relationships/activeXControlBinary" Target="activeX85.bin"/></Relationships>
</file>

<file path=xl/activeX/_rels/activeX86.xml.rels><?xml version="1.0" encoding="UTF-8" standalone="yes"?>
<Relationships xmlns="http://schemas.openxmlformats.org/package/2006/relationships"><Relationship Id="rId1" Type="http://schemas.microsoft.com/office/2006/relationships/activeXControlBinary" Target="activeX86.bin"/></Relationships>
</file>

<file path=xl/activeX/_rels/activeX87.xml.rels><?xml version="1.0" encoding="UTF-8" standalone="yes"?>
<Relationships xmlns="http://schemas.openxmlformats.org/package/2006/relationships"><Relationship Id="rId1" Type="http://schemas.microsoft.com/office/2006/relationships/activeXControlBinary" Target="activeX87.bin"/></Relationships>
</file>

<file path=xl/activeX/_rels/activeX88.xml.rels><?xml version="1.0" encoding="UTF-8" standalone="yes"?>
<Relationships xmlns="http://schemas.openxmlformats.org/package/2006/relationships"><Relationship Id="rId1" Type="http://schemas.microsoft.com/office/2006/relationships/activeXControlBinary" Target="activeX88.bin"/></Relationships>
</file>

<file path=xl/activeX/_rels/activeX89.xml.rels><?xml version="1.0" encoding="UTF-8" standalone="yes"?>
<Relationships xmlns="http://schemas.openxmlformats.org/package/2006/relationships"><Relationship Id="rId1" Type="http://schemas.microsoft.com/office/2006/relationships/activeXControlBinary" Target="activeX89.bin"/></Relationships>
</file>

<file path=xl/activeX/_rels/activeX90.xml.rels><?xml version="1.0" encoding="UTF-8" standalone="yes"?>
<Relationships xmlns="http://schemas.openxmlformats.org/package/2006/relationships"><Relationship Id="rId1" Type="http://schemas.microsoft.com/office/2006/relationships/activeXControlBinary" Target="activeX90.bin"/></Relationships>
</file>

<file path=xl/activeX/_rels/activeX91.xml.rels><?xml version="1.0" encoding="UTF-8" standalone="yes"?>
<Relationships xmlns="http://schemas.openxmlformats.org/package/2006/relationships"><Relationship Id="rId1" Type="http://schemas.microsoft.com/office/2006/relationships/activeXControlBinary" Target="activeX91.bin"/></Relationships>
</file>

<file path=xl/activeX/_rels/activeX92.xml.rels><?xml version="1.0" encoding="UTF-8" standalone="yes"?>
<Relationships xmlns="http://schemas.openxmlformats.org/package/2006/relationships"><Relationship Id="rId1" Type="http://schemas.microsoft.com/office/2006/relationships/activeXControlBinary" Target="activeX92.bin"/></Relationships>
</file>

<file path=xl/activeX/activeX1.xml><?xml version="1.0" encoding="utf-8"?>
<ax:ocx xmlns:ax="http://schemas.microsoft.com/office/2006/activeX" xmlns:r="http://schemas.openxmlformats.org/officeDocument/2006/relationships" ax:classid="{8BD21D30-EC42-11CE-9E0D-00AA006002F3}" ax:persistence="persistStreamInit" r:id="rId1"/>
</file>

<file path=xl/activeX/activeX2.xml><?xml version="1.0" encoding="utf-8"?>
<ax:ocx xmlns:ax="http://schemas.microsoft.com/office/2006/activeX" xmlns:r="http://schemas.openxmlformats.org/officeDocument/2006/relationships" ax:classid="{8BD21D30-EC42-11CE-9E0D-00AA006002F3}" ax:persistence="persistStreamInit" r:id="rId1"/>
</file>

<file path=xl/activeX/activeX3.xml><?xml version="1.0" encoding="utf-8"?>
<ax:ocx xmlns:ax="http://schemas.microsoft.com/office/2006/activeX" xmlns:r="http://schemas.openxmlformats.org/officeDocument/2006/relationships" ax:classid="{8BD21D30-EC42-11CE-9E0D-00AA006002F3}" ax:persistence="persistStreamInit" r:id="rId1"/>
</file>

<file path=xl/activeX/activeX4.xml><?xml version="1.0" encoding="utf-8"?>
<ax:ocx xmlns:ax="http://schemas.microsoft.com/office/2006/activeX" xmlns:r="http://schemas.openxmlformats.org/officeDocument/2006/relationships" ax:classid="{8BD21D30-EC42-11CE-9E0D-00AA006002F3}" ax:persistence="persistStreamInit" r:id="rId1"/>
</file>

<file path=xl/activeX/activeX5.xml><?xml version="1.0" encoding="utf-8"?>
<ax:ocx xmlns:ax="http://schemas.microsoft.com/office/2006/activeX" xmlns:r="http://schemas.openxmlformats.org/officeDocument/2006/relationships" ax:classid="{8BD21D30-EC42-11CE-9E0D-00AA006002F3}" ax:persistence="persistStreamInit" r:id="rId1"/>
</file>

<file path=xl/activeX/activeX6.xml><?xml version="1.0" encoding="utf-8"?>
<ax:ocx xmlns:ax="http://schemas.microsoft.com/office/2006/activeX" xmlns:r="http://schemas.openxmlformats.org/officeDocument/2006/relationships" ax:classid="{8BD21D30-EC42-11CE-9E0D-00AA006002F3}" ax:persistence="persistStreamInit" r:id="rId1"/>
</file>

<file path=xl/activeX/activeX7.xml><?xml version="1.0" encoding="utf-8"?>
<ax:ocx xmlns:ax="http://schemas.microsoft.com/office/2006/activeX" xmlns:r="http://schemas.openxmlformats.org/officeDocument/2006/relationships" ax:classid="{8BD21D30-EC42-11CE-9E0D-00AA006002F3}" ax:persistence="persistStreamInit" r:id="rId1"/>
</file>

<file path=xl/activeX/activeX8.xml><?xml version="1.0" encoding="utf-8"?>
<ax:ocx xmlns:ax="http://schemas.microsoft.com/office/2006/activeX" xmlns:r="http://schemas.openxmlformats.org/officeDocument/2006/relationships" ax:classid="{8BD21D30-EC42-11CE-9E0D-00AA006002F3}" ax:persistence="persistStreamInit" r:id="rId1"/>
</file>

<file path=xl/activeX/activeX9.xml><?xml version="1.0" encoding="utf-8"?>
<ax:ocx xmlns:ax="http://schemas.microsoft.com/office/2006/activeX" xmlns:r="http://schemas.openxmlformats.org/officeDocument/2006/relationships" ax:classid="{8BD21D30-EC42-11CE-9E0D-00AA006002F3}" ax:persistence="persistStreamInit" r:id="rId1"/>
</file>

<file path=xl/activeX/activeX10.xml><?xml version="1.0" encoding="utf-8"?>
<ax:ocx xmlns:ax="http://schemas.microsoft.com/office/2006/activeX" xmlns:r="http://schemas.openxmlformats.org/officeDocument/2006/relationships" ax:classid="{8BD21D30-EC42-11CE-9E0D-00AA006002F3}" ax:persistence="persistStreamInit" r:id="rId1"/>
</file>

<file path=xl/activeX/activeX11.xml><?xml version="1.0" encoding="utf-8"?>
<ax:ocx xmlns:ax="http://schemas.microsoft.com/office/2006/activeX" xmlns:r="http://schemas.openxmlformats.org/officeDocument/2006/relationships" ax:classid="{8BD21D30-EC42-11CE-9E0D-00AA006002F3}" ax:persistence="persistStreamInit" r:id="rId1"/>
</file>

<file path=xl/activeX/activeX12.xml><?xml version="1.0" encoding="utf-8"?>
<ax:ocx xmlns:ax="http://schemas.microsoft.com/office/2006/activeX" xmlns:r="http://schemas.openxmlformats.org/officeDocument/2006/relationships" ax:classid="{8BD21D30-EC42-11CE-9E0D-00AA006002F3}" ax:persistence="persistStreamInit" r:id="rId1"/>
</file>

<file path=xl/activeX/activeX13.xml><?xml version="1.0" encoding="utf-8"?>
<ax:ocx xmlns:ax="http://schemas.microsoft.com/office/2006/activeX" xmlns:r="http://schemas.openxmlformats.org/officeDocument/2006/relationships" ax:classid="{8BD21D30-EC42-11CE-9E0D-00AA006002F3}" ax:persistence="persistStreamInit" r:id="rId1"/>
</file>

<file path=xl/activeX/activeX14.xml><?xml version="1.0" encoding="utf-8"?>
<ax:ocx xmlns:ax="http://schemas.microsoft.com/office/2006/activeX" xmlns:r="http://schemas.openxmlformats.org/officeDocument/2006/relationships" ax:classid="{8BD21D30-EC42-11CE-9E0D-00AA006002F3}" ax:persistence="persistStreamInit" r:id="rId1"/>
</file>

<file path=xl/activeX/activeX15.xml><?xml version="1.0" encoding="utf-8"?>
<ax:ocx xmlns:ax="http://schemas.microsoft.com/office/2006/activeX" xmlns:r="http://schemas.openxmlformats.org/officeDocument/2006/relationships" ax:classid="{8BD21D30-EC42-11CE-9E0D-00AA006002F3}" ax:persistence="persistStreamInit" r:id="rId1"/>
</file>

<file path=xl/activeX/activeX16.xml><?xml version="1.0" encoding="utf-8"?>
<ax:ocx xmlns:ax="http://schemas.microsoft.com/office/2006/activeX" xmlns:r="http://schemas.openxmlformats.org/officeDocument/2006/relationships" ax:classid="{8BD21D30-EC42-11CE-9E0D-00AA006002F3}" ax:persistence="persistStreamInit" r:id="rId1"/>
</file>

<file path=xl/activeX/activeX17.xml><?xml version="1.0" encoding="utf-8"?>
<ax:ocx xmlns:ax="http://schemas.microsoft.com/office/2006/activeX" xmlns:r="http://schemas.openxmlformats.org/officeDocument/2006/relationships" ax:classid="{8BD21D30-EC42-11CE-9E0D-00AA006002F3}" ax:persistence="persistStreamInit" r:id="rId1"/>
</file>

<file path=xl/activeX/activeX18.xml><?xml version="1.0" encoding="utf-8"?>
<ax:ocx xmlns:ax="http://schemas.microsoft.com/office/2006/activeX" xmlns:r="http://schemas.openxmlformats.org/officeDocument/2006/relationships" ax:classid="{8BD21D30-EC42-11CE-9E0D-00AA006002F3}" ax:persistence="persistStreamInit" r:id="rId1"/>
</file>

<file path=xl/activeX/activeX19.xml><?xml version="1.0" encoding="utf-8"?>
<ax:ocx xmlns:ax="http://schemas.microsoft.com/office/2006/activeX" xmlns:r="http://schemas.openxmlformats.org/officeDocument/2006/relationships" ax:classid="{8BD21D30-EC42-11CE-9E0D-00AA006002F3}" ax:persistence="persistStreamInit" r:id="rId1"/>
</file>

<file path=xl/activeX/activeX20.xml><?xml version="1.0" encoding="utf-8"?>
<ax:ocx xmlns:ax="http://schemas.microsoft.com/office/2006/activeX" xmlns:r="http://schemas.openxmlformats.org/officeDocument/2006/relationships" ax:classid="{8BD21D30-EC42-11CE-9E0D-00AA006002F3}" ax:persistence="persistStreamInit" r:id="rId1"/>
</file>

<file path=xl/activeX/activeX21.xml><?xml version="1.0" encoding="utf-8"?>
<ax:ocx xmlns:ax="http://schemas.microsoft.com/office/2006/activeX" xmlns:r="http://schemas.openxmlformats.org/officeDocument/2006/relationships" ax:classid="{8BD21D30-EC42-11CE-9E0D-00AA006002F3}" ax:persistence="persistStreamInit" r:id="rId1"/>
</file>

<file path=xl/activeX/activeX22.xml><?xml version="1.0" encoding="utf-8"?>
<ax:ocx xmlns:ax="http://schemas.microsoft.com/office/2006/activeX" xmlns:r="http://schemas.openxmlformats.org/officeDocument/2006/relationships" ax:classid="{8BD21D30-EC42-11CE-9E0D-00AA006002F3}" ax:persistence="persistStreamInit" r:id="rId1"/>
</file>

<file path=xl/activeX/activeX23.xml><?xml version="1.0" encoding="utf-8"?>
<ax:ocx xmlns:ax="http://schemas.microsoft.com/office/2006/activeX" xmlns:r="http://schemas.openxmlformats.org/officeDocument/2006/relationships" ax:classid="{8BD21D30-EC42-11CE-9E0D-00AA006002F3}" ax:persistence="persistStreamInit" r:id="rId1"/>
</file>

<file path=xl/activeX/activeX24.xml><?xml version="1.0" encoding="utf-8"?>
<ax:ocx xmlns:ax="http://schemas.microsoft.com/office/2006/activeX" xmlns:r="http://schemas.openxmlformats.org/officeDocument/2006/relationships" ax:classid="{8BD21D30-EC42-11CE-9E0D-00AA006002F3}" ax:persistence="persistStreamInit" r:id="rId1"/>
</file>

<file path=xl/activeX/activeX25.xml><?xml version="1.0" encoding="utf-8"?>
<ax:ocx xmlns:ax="http://schemas.microsoft.com/office/2006/activeX" xmlns:r="http://schemas.openxmlformats.org/officeDocument/2006/relationships" ax:classid="{8BD21D30-EC42-11CE-9E0D-00AA006002F3}" ax:persistence="persistStreamInit" r:id="rId1"/>
</file>

<file path=xl/activeX/activeX26.xml><?xml version="1.0" encoding="utf-8"?>
<ax:ocx xmlns:ax="http://schemas.microsoft.com/office/2006/activeX" xmlns:r="http://schemas.openxmlformats.org/officeDocument/2006/relationships" ax:classid="{8BD21D30-EC42-11CE-9E0D-00AA006002F3}" ax:persistence="persistStreamInit" r:id="rId1"/>
</file>

<file path=xl/activeX/activeX27.xml><?xml version="1.0" encoding="utf-8"?>
<ax:ocx xmlns:ax="http://schemas.microsoft.com/office/2006/activeX" xmlns:r="http://schemas.openxmlformats.org/officeDocument/2006/relationships" ax:classid="{8BD21D30-EC42-11CE-9E0D-00AA006002F3}" ax:persistence="persistStreamInit" r:id="rId1"/>
</file>

<file path=xl/activeX/activeX28.xml><?xml version="1.0" encoding="utf-8"?>
<ax:ocx xmlns:ax="http://schemas.microsoft.com/office/2006/activeX" xmlns:r="http://schemas.openxmlformats.org/officeDocument/2006/relationships" ax:classid="{8BD21D30-EC42-11CE-9E0D-00AA006002F3}" ax:persistence="persistStreamInit" r:id="rId1"/>
</file>

<file path=xl/activeX/activeX29.xml><?xml version="1.0" encoding="utf-8"?>
<ax:ocx xmlns:ax="http://schemas.microsoft.com/office/2006/activeX" xmlns:r="http://schemas.openxmlformats.org/officeDocument/2006/relationships" ax:classid="{8BD21D30-EC42-11CE-9E0D-00AA006002F3}" ax:persistence="persistStreamInit" r:id="rId1"/>
</file>

<file path=xl/activeX/activeX30.xml><?xml version="1.0" encoding="utf-8"?>
<ax:ocx xmlns:ax="http://schemas.microsoft.com/office/2006/activeX" xmlns:r="http://schemas.openxmlformats.org/officeDocument/2006/relationships" ax:classid="{8BD21D30-EC42-11CE-9E0D-00AA006002F3}" ax:persistence="persistStreamInit" r:id="rId1"/>
</file>

<file path=xl/activeX/activeX31.xml><?xml version="1.0" encoding="utf-8"?>
<ax:ocx xmlns:ax="http://schemas.microsoft.com/office/2006/activeX" xmlns:r="http://schemas.openxmlformats.org/officeDocument/2006/relationships" ax:classid="{8BD21D30-EC42-11CE-9E0D-00AA006002F3}" ax:persistence="persistStreamInit" r:id="rId1"/>
</file>

<file path=xl/activeX/activeX32.xml><?xml version="1.0" encoding="utf-8"?>
<ax:ocx xmlns:ax="http://schemas.microsoft.com/office/2006/activeX" xmlns:r="http://schemas.openxmlformats.org/officeDocument/2006/relationships" ax:classid="{8BD21D30-EC42-11CE-9E0D-00AA006002F3}" ax:persistence="persistStreamInit" r:id="rId1"/>
</file>

<file path=xl/activeX/activeX33.xml><?xml version="1.0" encoding="utf-8"?>
<ax:ocx xmlns:ax="http://schemas.microsoft.com/office/2006/activeX" xmlns:r="http://schemas.openxmlformats.org/officeDocument/2006/relationships" ax:classid="{8BD21D30-EC42-11CE-9E0D-00AA006002F3}" ax:persistence="persistStreamInit" r:id="rId1"/>
</file>

<file path=xl/activeX/activeX34.xml><?xml version="1.0" encoding="utf-8"?>
<ax:ocx xmlns:ax="http://schemas.microsoft.com/office/2006/activeX" xmlns:r="http://schemas.openxmlformats.org/officeDocument/2006/relationships" ax:classid="{8BD21D30-EC42-11CE-9E0D-00AA006002F3}" ax:persistence="persistStreamInit" r:id="rId1"/>
</file>

<file path=xl/activeX/activeX35.xml><?xml version="1.0" encoding="utf-8"?>
<ax:ocx xmlns:ax="http://schemas.microsoft.com/office/2006/activeX" xmlns:r="http://schemas.openxmlformats.org/officeDocument/2006/relationships" ax:classid="{8BD21D30-EC42-11CE-9E0D-00AA006002F3}" ax:persistence="persistStreamInit" r:id="rId1"/>
</file>

<file path=xl/activeX/activeX36.xml><?xml version="1.0" encoding="utf-8"?>
<ax:ocx xmlns:ax="http://schemas.microsoft.com/office/2006/activeX" xmlns:r="http://schemas.openxmlformats.org/officeDocument/2006/relationships" ax:classid="{8BD21D30-EC42-11CE-9E0D-00AA006002F3}" ax:persistence="persistStreamInit" r:id="rId1"/>
</file>

<file path=xl/activeX/activeX37.xml><?xml version="1.0" encoding="utf-8"?>
<ax:ocx xmlns:ax="http://schemas.microsoft.com/office/2006/activeX" xmlns:r="http://schemas.openxmlformats.org/officeDocument/2006/relationships" ax:classid="{8BD21D30-EC42-11CE-9E0D-00AA006002F3}" ax:persistence="persistStreamInit" r:id="rId1"/>
</file>

<file path=xl/activeX/activeX38.xml><?xml version="1.0" encoding="utf-8"?>
<ax:ocx xmlns:ax="http://schemas.microsoft.com/office/2006/activeX" xmlns:r="http://schemas.openxmlformats.org/officeDocument/2006/relationships" ax:classid="{8BD21D30-EC42-11CE-9E0D-00AA006002F3}" ax:persistence="persistStreamInit" r:id="rId1"/>
</file>

<file path=xl/activeX/activeX39.xml><?xml version="1.0" encoding="utf-8"?>
<ax:ocx xmlns:ax="http://schemas.microsoft.com/office/2006/activeX" xmlns:r="http://schemas.openxmlformats.org/officeDocument/2006/relationships" ax:classid="{8BD21D30-EC42-11CE-9E0D-00AA006002F3}" ax:persistence="persistStreamInit" r:id="rId1"/>
</file>

<file path=xl/activeX/activeX40.xml><?xml version="1.0" encoding="utf-8"?>
<ax:ocx xmlns:ax="http://schemas.microsoft.com/office/2006/activeX" xmlns:r="http://schemas.openxmlformats.org/officeDocument/2006/relationships" ax:classid="{8BD21D30-EC42-11CE-9E0D-00AA006002F3}" ax:persistence="persistStreamInit" r:id="rId1"/>
</file>

<file path=xl/activeX/activeX41.xml><?xml version="1.0" encoding="utf-8"?>
<ax:ocx xmlns:ax="http://schemas.microsoft.com/office/2006/activeX" xmlns:r="http://schemas.openxmlformats.org/officeDocument/2006/relationships" ax:classid="{8BD21D30-EC42-11CE-9E0D-00AA006002F3}" ax:persistence="persistStreamInit" r:id="rId1"/>
</file>

<file path=xl/activeX/activeX42.xml><?xml version="1.0" encoding="utf-8"?>
<ax:ocx xmlns:ax="http://schemas.microsoft.com/office/2006/activeX" xmlns:r="http://schemas.openxmlformats.org/officeDocument/2006/relationships" ax:classid="{8BD21D30-EC42-11CE-9E0D-00AA006002F3}" ax:persistence="persistStreamInit" r:id="rId1"/>
</file>

<file path=xl/activeX/activeX43.xml><?xml version="1.0" encoding="utf-8"?>
<ax:ocx xmlns:ax="http://schemas.microsoft.com/office/2006/activeX" xmlns:r="http://schemas.openxmlformats.org/officeDocument/2006/relationships" ax:classid="{8BD21D30-EC42-11CE-9E0D-00AA006002F3}" ax:persistence="persistStreamInit" r:id="rId1"/>
</file>

<file path=xl/activeX/activeX44.xml><?xml version="1.0" encoding="utf-8"?>
<ax:ocx xmlns:ax="http://schemas.microsoft.com/office/2006/activeX" xmlns:r="http://schemas.openxmlformats.org/officeDocument/2006/relationships" ax:classid="{8BD21D30-EC42-11CE-9E0D-00AA006002F3}" ax:persistence="persistStreamInit" r:id="rId1"/>
</file>

<file path=xl/activeX/activeX45.xml><?xml version="1.0" encoding="utf-8"?>
<ax:ocx xmlns:ax="http://schemas.microsoft.com/office/2006/activeX" xmlns:r="http://schemas.openxmlformats.org/officeDocument/2006/relationships" ax:classid="{8BD21D30-EC42-11CE-9E0D-00AA006002F3}" ax:persistence="persistStreamInit" r:id="rId1"/>
</file>

<file path=xl/activeX/activeX46.xml><?xml version="1.0" encoding="utf-8"?>
<ax:ocx xmlns:ax="http://schemas.microsoft.com/office/2006/activeX" xmlns:r="http://schemas.openxmlformats.org/officeDocument/2006/relationships" ax:classid="{8BD21D30-EC42-11CE-9E0D-00AA006002F3}" ax:persistence="persistStreamInit" r:id="rId1"/>
</file>

<file path=xl/activeX/activeX47.xml><?xml version="1.0" encoding="utf-8"?>
<ax:ocx xmlns:ax="http://schemas.microsoft.com/office/2006/activeX" xmlns:r="http://schemas.openxmlformats.org/officeDocument/2006/relationships" ax:classid="{8BD21D30-EC42-11CE-9E0D-00AA006002F3}" ax:persistence="persistStreamInit" r:id="rId1"/>
</file>

<file path=xl/activeX/activeX48.xml><?xml version="1.0" encoding="utf-8"?>
<ax:ocx xmlns:ax="http://schemas.microsoft.com/office/2006/activeX" xmlns:r="http://schemas.openxmlformats.org/officeDocument/2006/relationships" ax:classid="{8BD21D30-EC42-11CE-9E0D-00AA006002F3}" ax:persistence="persistStreamInit" r:id="rId1"/>
</file>

<file path=xl/activeX/activeX49.xml><?xml version="1.0" encoding="utf-8"?>
<ax:ocx xmlns:ax="http://schemas.microsoft.com/office/2006/activeX" xmlns:r="http://schemas.openxmlformats.org/officeDocument/2006/relationships" ax:classid="{8BD21D30-EC42-11CE-9E0D-00AA006002F3}" ax:persistence="persistStreamInit" r:id="rId1"/>
</file>

<file path=xl/activeX/activeX50.xml><?xml version="1.0" encoding="utf-8"?>
<ax:ocx xmlns:ax="http://schemas.microsoft.com/office/2006/activeX" xmlns:r="http://schemas.openxmlformats.org/officeDocument/2006/relationships" ax:classid="{8BD21D30-EC42-11CE-9E0D-00AA006002F3}" ax:persistence="persistStreamInit" r:id="rId1"/>
</file>

<file path=xl/activeX/activeX51.xml><?xml version="1.0" encoding="utf-8"?>
<ax:ocx xmlns:ax="http://schemas.microsoft.com/office/2006/activeX" xmlns:r="http://schemas.openxmlformats.org/officeDocument/2006/relationships" ax:classid="{8BD21D30-EC42-11CE-9E0D-00AA006002F3}" ax:persistence="persistStreamInit" r:id="rId1"/>
</file>

<file path=xl/activeX/activeX52.xml><?xml version="1.0" encoding="utf-8"?>
<ax:ocx xmlns:ax="http://schemas.microsoft.com/office/2006/activeX" xmlns:r="http://schemas.openxmlformats.org/officeDocument/2006/relationships" ax:classid="{8BD21D30-EC42-11CE-9E0D-00AA006002F3}" ax:persistence="persistStreamInit" r:id="rId1"/>
</file>

<file path=xl/activeX/activeX53.xml><?xml version="1.0" encoding="utf-8"?>
<ax:ocx xmlns:ax="http://schemas.microsoft.com/office/2006/activeX" xmlns:r="http://schemas.openxmlformats.org/officeDocument/2006/relationships" ax:classid="{8BD21D30-EC42-11CE-9E0D-00AA006002F3}" ax:persistence="persistStreamInit" r:id="rId1"/>
</file>

<file path=xl/activeX/activeX54.xml><?xml version="1.0" encoding="utf-8"?>
<ax:ocx xmlns:ax="http://schemas.microsoft.com/office/2006/activeX" xmlns:r="http://schemas.openxmlformats.org/officeDocument/2006/relationships" ax:classid="{8BD21D30-EC42-11CE-9E0D-00AA006002F3}" ax:persistence="persistStreamInit" r:id="rId1"/>
</file>

<file path=xl/activeX/activeX55.xml><?xml version="1.0" encoding="utf-8"?>
<ax:ocx xmlns:ax="http://schemas.microsoft.com/office/2006/activeX" xmlns:r="http://schemas.openxmlformats.org/officeDocument/2006/relationships" ax:classid="{8BD21D30-EC42-11CE-9E0D-00AA006002F3}" ax:persistence="persistStreamInit" r:id="rId1"/>
</file>

<file path=xl/activeX/activeX56.xml><?xml version="1.0" encoding="utf-8"?>
<ax:ocx xmlns:ax="http://schemas.microsoft.com/office/2006/activeX" xmlns:r="http://schemas.openxmlformats.org/officeDocument/2006/relationships" ax:classid="{8BD21D30-EC42-11CE-9E0D-00AA006002F3}" ax:persistence="persistStreamInit" r:id="rId1"/>
</file>

<file path=xl/activeX/activeX57.xml><?xml version="1.0" encoding="utf-8"?>
<ax:ocx xmlns:ax="http://schemas.microsoft.com/office/2006/activeX" xmlns:r="http://schemas.openxmlformats.org/officeDocument/2006/relationships" ax:classid="{8BD21D30-EC42-11CE-9E0D-00AA006002F3}" ax:persistence="persistStreamInit" r:id="rId1"/>
</file>

<file path=xl/activeX/activeX58.xml><?xml version="1.0" encoding="utf-8"?>
<ax:ocx xmlns:ax="http://schemas.microsoft.com/office/2006/activeX" xmlns:r="http://schemas.openxmlformats.org/officeDocument/2006/relationships" ax:classid="{8BD21D30-EC42-11CE-9E0D-00AA006002F3}" ax:persistence="persistStreamInit" r:id="rId1"/>
</file>

<file path=xl/activeX/activeX59.xml><?xml version="1.0" encoding="utf-8"?>
<ax:ocx xmlns:ax="http://schemas.microsoft.com/office/2006/activeX" xmlns:r="http://schemas.openxmlformats.org/officeDocument/2006/relationships" ax:classid="{8BD21D30-EC42-11CE-9E0D-00AA006002F3}" ax:persistence="persistStreamInit" r:id="rId1"/>
</file>

<file path=xl/activeX/activeX60.xml><?xml version="1.0" encoding="utf-8"?>
<ax:ocx xmlns:ax="http://schemas.microsoft.com/office/2006/activeX" xmlns:r="http://schemas.openxmlformats.org/officeDocument/2006/relationships" ax:classid="{8BD21D30-EC42-11CE-9E0D-00AA006002F3}" ax:persistence="persistStreamInit" r:id="rId1"/>
</file>

<file path=xl/activeX/activeX61.xml><?xml version="1.0" encoding="utf-8"?>
<ax:ocx xmlns:ax="http://schemas.microsoft.com/office/2006/activeX" xmlns:r="http://schemas.openxmlformats.org/officeDocument/2006/relationships" ax:classid="{8BD21D30-EC42-11CE-9E0D-00AA006002F3}" ax:persistence="persistStreamInit" r:id="rId1"/>
</file>

<file path=xl/activeX/activeX62.xml><?xml version="1.0" encoding="utf-8"?>
<ax:ocx xmlns:ax="http://schemas.microsoft.com/office/2006/activeX" xmlns:r="http://schemas.openxmlformats.org/officeDocument/2006/relationships" ax:classid="{8BD21D30-EC42-11CE-9E0D-00AA006002F3}" ax:persistence="persistStreamInit" r:id="rId1"/>
</file>

<file path=xl/activeX/activeX63.xml><?xml version="1.0" encoding="utf-8"?>
<ax:ocx xmlns:ax="http://schemas.microsoft.com/office/2006/activeX" xmlns:r="http://schemas.openxmlformats.org/officeDocument/2006/relationships" ax:classid="{8BD21D30-EC42-11CE-9E0D-00AA006002F3}" ax:persistence="persistStreamInit" r:id="rId1"/>
</file>

<file path=xl/activeX/activeX64.xml><?xml version="1.0" encoding="utf-8"?>
<ax:ocx xmlns:ax="http://schemas.microsoft.com/office/2006/activeX" xmlns:r="http://schemas.openxmlformats.org/officeDocument/2006/relationships" ax:classid="{8BD21D30-EC42-11CE-9E0D-00AA006002F3}" ax:persistence="persistStreamInit" r:id="rId1"/>
</file>

<file path=xl/activeX/activeX65.xml><?xml version="1.0" encoding="utf-8"?>
<ax:ocx xmlns:ax="http://schemas.microsoft.com/office/2006/activeX" xmlns:r="http://schemas.openxmlformats.org/officeDocument/2006/relationships" ax:classid="{8BD21D30-EC42-11CE-9E0D-00AA006002F3}" ax:persistence="persistStreamInit" r:id="rId1"/>
</file>

<file path=xl/activeX/activeX66.xml><?xml version="1.0" encoding="utf-8"?>
<ax:ocx xmlns:ax="http://schemas.microsoft.com/office/2006/activeX" xmlns:r="http://schemas.openxmlformats.org/officeDocument/2006/relationships" ax:classid="{8BD21D30-EC42-11CE-9E0D-00AA006002F3}" ax:persistence="persistStreamInit" r:id="rId1"/>
</file>

<file path=xl/activeX/activeX67.xml><?xml version="1.0" encoding="utf-8"?>
<ax:ocx xmlns:ax="http://schemas.microsoft.com/office/2006/activeX" xmlns:r="http://schemas.openxmlformats.org/officeDocument/2006/relationships" ax:classid="{8BD21D30-EC42-11CE-9E0D-00AA006002F3}" ax:persistence="persistStreamInit" r:id="rId1"/>
</file>

<file path=xl/activeX/activeX68.xml><?xml version="1.0" encoding="utf-8"?>
<ax:ocx xmlns:ax="http://schemas.microsoft.com/office/2006/activeX" xmlns:r="http://schemas.openxmlformats.org/officeDocument/2006/relationships" ax:classid="{8BD21D30-EC42-11CE-9E0D-00AA006002F3}" ax:persistence="persistStreamInit" r:id="rId1"/>
</file>

<file path=xl/activeX/activeX69.xml><?xml version="1.0" encoding="utf-8"?>
<ax:ocx xmlns:ax="http://schemas.microsoft.com/office/2006/activeX" xmlns:r="http://schemas.openxmlformats.org/officeDocument/2006/relationships" ax:classid="{8BD21D30-EC42-11CE-9E0D-00AA006002F3}" ax:persistence="persistStreamInit" r:id="rId1"/>
</file>

<file path=xl/activeX/activeX70.xml><?xml version="1.0" encoding="utf-8"?>
<ax:ocx xmlns:ax="http://schemas.microsoft.com/office/2006/activeX" xmlns:r="http://schemas.openxmlformats.org/officeDocument/2006/relationships" ax:classid="{8BD21D30-EC42-11CE-9E0D-00AA006002F3}" ax:persistence="persistStreamInit" r:id="rId1"/>
</file>

<file path=xl/activeX/activeX71.xml><?xml version="1.0" encoding="utf-8"?>
<ax:ocx xmlns:ax="http://schemas.microsoft.com/office/2006/activeX" xmlns:r="http://schemas.openxmlformats.org/officeDocument/2006/relationships" ax:classid="{8BD21D30-EC42-11CE-9E0D-00AA006002F3}" ax:persistence="persistStreamInit" r:id="rId1"/>
</file>

<file path=xl/activeX/activeX72.xml><?xml version="1.0" encoding="utf-8"?>
<ax:ocx xmlns:ax="http://schemas.microsoft.com/office/2006/activeX" xmlns:r="http://schemas.openxmlformats.org/officeDocument/2006/relationships" ax:classid="{8BD21D30-EC42-11CE-9E0D-00AA006002F3}" ax:persistence="persistStreamInit" r:id="rId1"/>
</file>

<file path=xl/activeX/activeX73.xml><?xml version="1.0" encoding="utf-8"?>
<ax:ocx xmlns:ax="http://schemas.microsoft.com/office/2006/activeX" xmlns:r="http://schemas.openxmlformats.org/officeDocument/2006/relationships" ax:classid="{8BD21D30-EC42-11CE-9E0D-00AA006002F3}" ax:persistence="persistStreamInit" r:id="rId1"/>
</file>

<file path=xl/activeX/activeX74.xml><?xml version="1.0" encoding="utf-8"?>
<ax:ocx xmlns:ax="http://schemas.microsoft.com/office/2006/activeX" xmlns:r="http://schemas.openxmlformats.org/officeDocument/2006/relationships" ax:classid="{8BD21D30-EC42-11CE-9E0D-00AA006002F3}" ax:persistence="persistStreamInit" r:id="rId1"/>
</file>

<file path=xl/activeX/activeX75.xml><?xml version="1.0" encoding="utf-8"?>
<ax:ocx xmlns:ax="http://schemas.microsoft.com/office/2006/activeX" xmlns:r="http://schemas.openxmlformats.org/officeDocument/2006/relationships" ax:classid="{8BD21D30-EC42-11CE-9E0D-00AA006002F3}" ax:persistence="persistStreamInit" r:id="rId1"/>
</file>

<file path=xl/activeX/activeX76.xml><?xml version="1.0" encoding="utf-8"?>
<ax:ocx xmlns:ax="http://schemas.microsoft.com/office/2006/activeX" xmlns:r="http://schemas.openxmlformats.org/officeDocument/2006/relationships" ax:classid="{8BD21D30-EC42-11CE-9E0D-00AA006002F3}" ax:persistence="persistStreamInit" r:id="rId1"/>
</file>

<file path=xl/activeX/activeX77.xml><?xml version="1.0" encoding="utf-8"?>
<ax:ocx xmlns:ax="http://schemas.microsoft.com/office/2006/activeX" xmlns:r="http://schemas.openxmlformats.org/officeDocument/2006/relationships" ax:classid="{8BD21D30-EC42-11CE-9E0D-00AA006002F3}" ax:persistence="persistStreamInit" r:id="rId1"/>
</file>

<file path=xl/activeX/activeX78.xml><?xml version="1.0" encoding="utf-8"?>
<ax:ocx xmlns:ax="http://schemas.microsoft.com/office/2006/activeX" xmlns:r="http://schemas.openxmlformats.org/officeDocument/2006/relationships" ax:classid="{8BD21D30-EC42-11CE-9E0D-00AA006002F3}" ax:persistence="persistStreamInit" r:id="rId1"/>
</file>

<file path=xl/activeX/activeX79.xml><?xml version="1.0" encoding="utf-8"?>
<ax:ocx xmlns:ax="http://schemas.microsoft.com/office/2006/activeX" xmlns:r="http://schemas.openxmlformats.org/officeDocument/2006/relationships" ax:classid="{8BD21D30-EC42-11CE-9E0D-00AA006002F3}" ax:persistence="persistStreamInit" r:id="rId1"/>
</file>

<file path=xl/activeX/activeX80.xml><?xml version="1.0" encoding="utf-8"?>
<ax:ocx xmlns:ax="http://schemas.microsoft.com/office/2006/activeX" xmlns:r="http://schemas.openxmlformats.org/officeDocument/2006/relationships" ax:classid="{8BD21D30-EC42-11CE-9E0D-00AA006002F3}" ax:persistence="persistStreamInit" r:id="rId1"/>
</file>

<file path=xl/activeX/activeX81.xml><?xml version="1.0" encoding="utf-8"?>
<ax:ocx xmlns:ax="http://schemas.microsoft.com/office/2006/activeX" xmlns:r="http://schemas.openxmlformats.org/officeDocument/2006/relationships" ax:classid="{8BD21D30-EC42-11CE-9E0D-00AA006002F3}" ax:persistence="persistStreamInit" r:id="rId1"/>
</file>

<file path=xl/activeX/activeX82.xml><?xml version="1.0" encoding="utf-8"?>
<ax:ocx xmlns:ax="http://schemas.microsoft.com/office/2006/activeX" xmlns:r="http://schemas.openxmlformats.org/officeDocument/2006/relationships" ax:classid="{8BD21D30-EC42-11CE-9E0D-00AA006002F3}" ax:persistence="persistStreamInit" r:id="rId1"/>
</file>

<file path=xl/activeX/activeX83.xml><?xml version="1.0" encoding="utf-8"?>
<ax:ocx xmlns:ax="http://schemas.microsoft.com/office/2006/activeX" xmlns:r="http://schemas.openxmlformats.org/officeDocument/2006/relationships" ax:classid="{8BD21D30-EC42-11CE-9E0D-00AA006002F3}" ax:persistence="persistStreamInit" r:id="rId1"/>
</file>

<file path=xl/activeX/activeX84.xml><?xml version="1.0" encoding="utf-8"?>
<ax:ocx xmlns:ax="http://schemas.microsoft.com/office/2006/activeX" xmlns:r="http://schemas.openxmlformats.org/officeDocument/2006/relationships" ax:classid="{8BD21D30-EC42-11CE-9E0D-00AA006002F3}" ax:persistence="persistStreamInit" r:id="rId1"/>
</file>

<file path=xl/activeX/activeX85.xml><?xml version="1.0" encoding="utf-8"?>
<ax:ocx xmlns:ax="http://schemas.microsoft.com/office/2006/activeX" xmlns:r="http://schemas.openxmlformats.org/officeDocument/2006/relationships" ax:classid="{8BD21D30-EC42-11CE-9E0D-00AA006002F3}" ax:persistence="persistStreamInit" r:id="rId1"/>
</file>

<file path=xl/activeX/activeX86.xml><?xml version="1.0" encoding="utf-8"?>
<ax:ocx xmlns:ax="http://schemas.microsoft.com/office/2006/activeX" xmlns:r="http://schemas.openxmlformats.org/officeDocument/2006/relationships" ax:classid="{8BD21D30-EC42-11CE-9E0D-00AA006002F3}" ax:persistence="persistStreamInit" r:id="rId1"/>
</file>

<file path=xl/activeX/activeX87.xml><?xml version="1.0" encoding="utf-8"?>
<ax:ocx xmlns:ax="http://schemas.microsoft.com/office/2006/activeX" xmlns:r="http://schemas.openxmlformats.org/officeDocument/2006/relationships" ax:classid="{8BD21D30-EC42-11CE-9E0D-00AA006002F3}" ax:persistence="persistStreamInit" r:id="rId1"/>
</file>

<file path=xl/activeX/activeX88.xml><?xml version="1.0" encoding="utf-8"?>
<ax:ocx xmlns:ax="http://schemas.microsoft.com/office/2006/activeX" xmlns:r="http://schemas.openxmlformats.org/officeDocument/2006/relationships" ax:classid="{8BD21D30-EC42-11CE-9E0D-00AA006002F3}" ax:persistence="persistStreamInit" r:id="rId1"/>
</file>

<file path=xl/activeX/activeX89.xml><?xml version="1.0" encoding="utf-8"?>
<ax:ocx xmlns:ax="http://schemas.microsoft.com/office/2006/activeX" xmlns:r="http://schemas.openxmlformats.org/officeDocument/2006/relationships" ax:classid="{8BD21D30-EC42-11CE-9E0D-00AA006002F3}" ax:persistence="persistStreamInit" r:id="rId1"/>
</file>

<file path=xl/activeX/activeX90.xml><?xml version="1.0" encoding="utf-8"?>
<ax:ocx xmlns:ax="http://schemas.microsoft.com/office/2006/activeX" xmlns:r="http://schemas.openxmlformats.org/officeDocument/2006/relationships" ax:classid="{8BD21D30-EC42-11CE-9E0D-00AA006002F3}" ax:persistence="persistStreamInit" r:id="rId1"/>
</file>

<file path=xl/activeX/activeX91.xml><?xml version="1.0" encoding="utf-8"?>
<ax:ocx xmlns:ax="http://schemas.microsoft.com/office/2006/activeX" xmlns:r="http://schemas.openxmlformats.org/officeDocument/2006/relationships" ax:classid="{8BD21D30-EC42-11CE-9E0D-00AA006002F3}" ax:persistence="persistStreamInit" r:id="rId1"/>
</file>

<file path=xl/activeX/activeX92.xml><?xml version="1.0" encoding="utf-8"?>
<ax:ocx xmlns:ax="http://schemas.microsoft.com/office/2006/activeX" xmlns:r="http://schemas.openxmlformats.org/officeDocument/2006/relationships" ax:classid="{8BD21D30-EC42-11CE-9E0D-00AA006002F3}" ax:persistence="persistStreamInit" r:id="rId1"/>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_rels/chart2.xml.rels><?xml version="1.0" encoding="UTF-8" standalone="yes"?>
<Relationships xmlns="http://schemas.openxmlformats.org/package/2006/relationships"><Relationship Id="rId2" Type="http://schemas.microsoft.com/office/2011/relationships/chartColorStyle" Target="colors2.xml"/><Relationship Id="rId1" Type="http://schemas.microsoft.com/office/2011/relationships/chartStyle" Target="style2.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1"/>
  <mc:AlternateContent xmlns:mc="http://schemas.openxmlformats.org/markup-compatibility/2006">
    <mc:Choice xmlns:c14="http://schemas.microsoft.com/office/drawing/2007/8/2/chart" Requires="c14">
      <c14:style val="102"/>
    </mc:Choice>
    <mc:Fallback>
      <c:style val="2"/>
    </mc:Fallback>
  </mc:AlternateContent>
  <c:chart>
    <c:autoTitleDeleted val="1"/>
    <c:plotArea>
      <c:layout>
        <c:manualLayout>
          <c:layoutTarget val="inner"/>
          <c:xMode val="edge"/>
          <c:yMode val="edge"/>
          <c:x val="2.4556993935080148E-3"/>
          <c:y val="1.7435843775342037E-2"/>
          <c:w val="0.98501492305359006"/>
          <c:h val="0.95787975341338727"/>
        </c:manualLayout>
      </c:layout>
      <c:areaChart>
        <c:grouping val="standard"/>
        <c:varyColors val="0"/>
        <c:ser>
          <c:idx val="7"/>
          <c:order val="13"/>
          <c:spPr>
            <a:solidFill>
              <a:srgbClr val="E4AC00"/>
            </a:solidFill>
            <a:ln>
              <a:noFill/>
            </a:ln>
            <a:effectLst/>
          </c:spPr>
          <c:cat>
            <c:numRef>
              <c:f>'Roof edge insulation'!$DA$2:$DA$1201</c:f>
              <c:numCache>
                <c:formatCode>General</c:formatCode>
                <c:ptCount val="1200"/>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15</c:v>
                </c:pt>
                <c:pt idx="15">
                  <c:v>16</c:v>
                </c:pt>
                <c:pt idx="16">
                  <c:v>17</c:v>
                </c:pt>
                <c:pt idx="17">
                  <c:v>18</c:v>
                </c:pt>
                <c:pt idx="18">
                  <c:v>19</c:v>
                </c:pt>
                <c:pt idx="19">
                  <c:v>20</c:v>
                </c:pt>
                <c:pt idx="20">
                  <c:v>21</c:v>
                </c:pt>
                <c:pt idx="21">
                  <c:v>22</c:v>
                </c:pt>
                <c:pt idx="22">
                  <c:v>23</c:v>
                </c:pt>
                <c:pt idx="23">
                  <c:v>24</c:v>
                </c:pt>
                <c:pt idx="24">
                  <c:v>25</c:v>
                </c:pt>
                <c:pt idx="25">
                  <c:v>26</c:v>
                </c:pt>
                <c:pt idx="26">
                  <c:v>27</c:v>
                </c:pt>
                <c:pt idx="27">
                  <c:v>28</c:v>
                </c:pt>
                <c:pt idx="28">
                  <c:v>29</c:v>
                </c:pt>
                <c:pt idx="29">
                  <c:v>30</c:v>
                </c:pt>
                <c:pt idx="30">
                  <c:v>31</c:v>
                </c:pt>
                <c:pt idx="31">
                  <c:v>32</c:v>
                </c:pt>
                <c:pt idx="32">
                  <c:v>33</c:v>
                </c:pt>
                <c:pt idx="33">
                  <c:v>34</c:v>
                </c:pt>
                <c:pt idx="34">
                  <c:v>35</c:v>
                </c:pt>
                <c:pt idx="35">
                  <c:v>36</c:v>
                </c:pt>
                <c:pt idx="36">
                  <c:v>37</c:v>
                </c:pt>
                <c:pt idx="37">
                  <c:v>38</c:v>
                </c:pt>
                <c:pt idx="38">
                  <c:v>39</c:v>
                </c:pt>
                <c:pt idx="39">
                  <c:v>40</c:v>
                </c:pt>
                <c:pt idx="40">
                  <c:v>41</c:v>
                </c:pt>
                <c:pt idx="41">
                  <c:v>42</c:v>
                </c:pt>
                <c:pt idx="42">
                  <c:v>43</c:v>
                </c:pt>
                <c:pt idx="43">
                  <c:v>44</c:v>
                </c:pt>
                <c:pt idx="44">
                  <c:v>45</c:v>
                </c:pt>
                <c:pt idx="45">
                  <c:v>46</c:v>
                </c:pt>
                <c:pt idx="46">
                  <c:v>47</c:v>
                </c:pt>
                <c:pt idx="47">
                  <c:v>48</c:v>
                </c:pt>
                <c:pt idx="48">
                  <c:v>49</c:v>
                </c:pt>
                <c:pt idx="49">
                  <c:v>50</c:v>
                </c:pt>
                <c:pt idx="50">
                  <c:v>51</c:v>
                </c:pt>
                <c:pt idx="51">
                  <c:v>52</c:v>
                </c:pt>
                <c:pt idx="52">
                  <c:v>53</c:v>
                </c:pt>
                <c:pt idx="53">
                  <c:v>54</c:v>
                </c:pt>
                <c:pt idx="54">
                  <c:v>55</c:v>
                </c:pt>
                <c:pt idx="55">
                  <c:v>56</c:v>
                </c:pt>
                <c:pt idx="56">
                  <c:v>57</c:v>
                </c:pt>
                <c:pt idx="57">
                  <c:v>58</c:v>
                </c:pt>
                <c:pt idx="58">
                  <c:v>59</c:v>
                </c:pt>
                <c:pt idx="59">
                  <c:v>60</c:v>
                </c:pt>
                <c:pt idx="60">
                  <c:v>61</c:v>
                </c:pt>
                <c:pt idx="61">
                  <c:v>62</c:v>
                </c:pt>
                <c:pt idx="62">
                  <c:v>63</c:v>
                </c:pt>
                <c:pt idx="63">
                  <c:v>64</c:v>
                </c:pt>
                <c:pt idx="64">
                  <c:v>65</c:v>
                </c:pt>
                <c:pt idx="65">
                  <c:v>66</c:v>
                </c:pt>
                <c:pt idx="66">
                  <c:v>67</c:v>
                </c:pt>
                <c:pt idx="67">
                  <c:v>68</c:v>
                </c:pt>
                <c:pt idx="68">
                  <c:v>69</c:v>
                </c:pt>
                <c:pt idx="69">
                  <c:v>70</c:v>
                </c:pt>
                <c:pt idx="70">
                  <c:v>71</c:v>
                </c:pt>
                <c:pt idx="71">
                  <c:v>72</c:v>
                </c:pt>
                <c:pt idx="72">
                  <c:v>73</c:v>
                </c:pt>
                <c:pt idx="73">
                  <c:v>74</c:v>
                </c:pt>
                <c:pt idx="74">
                  <c:v>75</c:v>
                </c:pt>
                <c:pt idx="75">
                  <c:v>76</c:v>
                </c:pt>
                <c:pt idx="76">
                  <c:v>77</c:v>
                </c:pt>
                <c:pt idx="77">
                  <c:v>78</c:v>
                </c:pt>
                <c:pt idx="78">
                  <c:v>79</c:v>
                </c:pt>
                <c:pt idx="79">
                  <c:v>80</c:v>
                </c:pt>
                <c:pt idx="80">
                  <c:v>81</c:v>
                </c:pt>
                <c:pt idx="81">
                  <c:v>82</c:v>
                </c:pt>
                <c:pt idx="82">
                  <c:v>83</c:v>
                </c:pt>
                <c:pt idx="83">
                  <c:v>84</c:v>
                </c:pt>
                <c:pt idx="84">
                  <c:v>85</c:v>
                </c:pt>
                <c:pt idx="85">
                  <c:v>86</c:v>
                </c:pt>
                <c:pt idx="86">
                  <c:v>87</c:v>
                </c:pt>
                <c:pt idx="87">
                  <c:v>88</c:v>
                </c:pt>
                <c:pt idx="88">
                  <c:v>89</c:v>
                </c:pt>
                <c:pt idx="89">
                  <c:v>90</c:v>
                </c:pt>
                <c:pt idx="90">
                  <c:v>91</c:v>
                </c:pt>
                <c:pt idx="91">
                  <c:v>92</c:v>
                </c:pt>
                <c:pt idx="92">
                  <c:v>93</c:v>
                </c:pt>
                <c:pt idx="93">
                  <c:v>94</c:v>
                </c:pt>
                <c:pt idx="94">
                  <c:v>95</c:v>
                </c:pt>
                <c:pt idx="95">
                  <c:v>96</c:v>
                </c:pt>
                <c:pt idx="96">
                  <c:v>97</c:v>
                </c:pt>
                <c:pt idx="97">
                  <c:v>98</c:v>
                </c:pt>
                <c:pt idx="98">
                  <c:v>99</c:v>
                </c:pt>
                <c:pt idx="99">
                  <c:v>100</c:v>
                </c:pt>
                <c:pt idx="100">
                  <c:v>101</c:v>
                </c:pt>
                <c:pt idx="101">
                  <c:v>102</c:v>
                </c:pt>
                <c:pt idx="102">
                  <c:v>103</c:v>
                </c:pt>
                <c:pt idx="103">
                  <c:v>104</c:v>
                </c:pt>
                <c:pt idx="104">
                  <c:v>105</c:v>
                </c:pt>
                <c:pt idx="105">
                  <c:v>106</c:v>
                </c:pt>
                <c:pt idx="106">
                  <c:v>107</c:v>
                </c:pt>
                <c:pt idx="107">
                  <c:v>108</c:v>
                </c:pt>
                <c:pt idx="108">
                  <c:v>109</c:v>
                </c:pt>
                <c:pt idx="109">
                  <c:v>110</c:v>
                </c:pt>
                <c:pt idx="110">
                  <c:v>111</c:v>
                </c:pt>
                <c:pt idx="111">
                  <c:v>112</c:v>
                </c:pt>
                <c:pt idx="112">
                  <c:v>113</c:v>
                </c:pt>
                <c:pt idx="113">
                  <c:v>114</c:v>
                </c:pt>
                <c:pt idx="114">
                  <c:v>115</c:v>
                </c:pt>
                <c:pt idx="115">
                  <c:v>116</c:v>
                </c:pt>
                <c:pt idx="116">
                  <c:v>117</c:v>
                </c:pt>
                <c:pt idx="117">
                  <c:v>118</c:v>
                </c:pt>
                <c:pt idx="118">
                  <c:v>119</c:v>
                </c:pt>
                <c:pt idx="119">
                  <c:v>120</c:v>
                </c:pt>
                <c:pt idx="120">
                  <c:v>121</c:v>
                </c:pt>
                <c:pt idx="121">
                  <c:v>122</c:v>
                </c:pt>
                <c:pt idx="122">
                  <c:v>123</c:v>
                </c:pt>
                <c:pt idx="123">
                  <c:v>124</c:v>
                </c:pt>
                <c:pt idx="124">
                  <c:v>125</c:v>
                </c:pt>
                <c:pt idx="125">
                  <c:v>126</c:v>
                </c:pt>
                <c:pt idx="126">
                  <c:v>127</c:v>
                </c:pt>
                <c:pt idx="127">
                  <c:v>128</c:v>
                </c:pt>
                <c:pt idx="128">
                  <c:v>129</c:v>
                </c:pt>
                <c:pt idx="129">
                  <c:v>130</c:v>
                </c:pt>
                <c:pt idx="130">
                  <c:v>131</c:v>
                </c:pt>
                <c:pt idx="131">
                  <c:v>132</c:v>
                </c:pt>
                <c:pt idx="132">
                  <c:v>133</c:v>
                </c:pt>
                <c:pt idx="133">
                  <c:v>134</c:v>
                </c:pt>
                <c:pt idx="134">
                  <c:v>135</c:v>
                </c:pt>
                <c:pt idx="135">
                  <c:v>136</c:v>
                </c:pt>
                <c:pt idx="136">
                  <c:v>137</c:v>
                </c:pt>
                <c:pt idx="137">
                  <c:v>138</c:v>
                </c:pt>
                <c:pt idx="138">
                  <c:v>139</c:v>
                </c:pt>
                <c:pt idx="139">
                  <c:v>140</c:v>
                </c:pt>
                <c:pt idx="140">
                  <c:v>141</c:v>
                </c:pt>
                <c:pt idx="141">
                  <c:v>142</c:v>
                </c:pt>
                <c:pt idx="142">
                  <c:v>143</c:v>
                </c:pt>
                <c:pt idx="143">
                  <c:v>144</c:v>
                </c:pt>
                <c:pt idx="144">
                  <c:v>145</c:v>
                </c:pt>
                <c:pt idx="145">
                  <c:v>146</c:v>
                </c:pt>
                <c:pt idx="146">
                  <c:v>147</c:v>
                </c:pt>
                <c:pt idx="147">
                  <c:v>148</c:v>
                </c:pt>
                <c:pt idx="148">
                  <c:v>149</c:v>
                </c:pt>
                <c:pt idx="149">
                  <c:v>150</c:v>
                </c:pt>
                <c:pt idx="150">
                  <c:v>151</c:v>
                </c:pt>
                <c:pt idx="151">
                  <c:v>152</c:v>
                </c:pt>
                <c:pt idx="152">
                  <c:v>153</c:v>
                </c:pt>
                <c:pt idx="153">
                  <c:v>154</c:v>
                </c:pt>
                <c:pt idx="154">
                  <c:v>155</c:v>
                </c:pt>
                <c:pt idx="155">
                  <c:v>156</c:v>
                </c:pt>
                <c:pt idx="156">
                  <c:v>157</c:v>
                </c:pt>
                <c:pt idx="157">
                  <c:v>158</c:v>
                </c:pt>
                <c:pt idx="158">
                  <c:v>159</c:v>
                </c:pt>
                <c:pt idx="159">
                  <c:v>160</c:v>
                </c:pt>
                <c:pt idx="160">
                  <c:v>161</c:v>
                </c:pt>
                <c:pt idx="161">
                  <c:v>162</c:v>
                </c:pt>
                <c:pt idx="162">
                  <c:v>163</c:v>
                </c:pt>
                <c:pt idx="163">
                  <c:v>164</c:v>
                </c:pt>
                <c:pt idx="164">
                  <c:v>165</c:v>
                </c:pt>
                <c:pt idx="165">
                  <c:v>166</c:v>
                </c:pt>
                <c:pt idx="166">
                  <c:v>167</c:v>
                </c:pt>
                <c:pt idx="167">
                  <c:v>168</c:v>
                </c:pt>
                <c:pt idx="168">
                  <c:v>169</c:v>
                </c:pt>
                <c:pt idx="169">
                  <c:v>170</c:v>
                </c:pt>
                <c:pt idx="170">
                  <c:v>171</c:v>
                </c:pt>
                <c:pt idx="171">
                  <c:v>172</c:v>
                </c:pt>
                <c:pt idx="172">
                  <c:v>173</c:v>
                </c:pt>
                <c:pt idx="173">
                  <c:v>174</c:v>
                </c:pt>
                <c:pt idx="174">
                  <c:v>175</c:v>
                </c:pt>
                <c:pt idx="175">
                  <c:v>176</c:v>
                </c:pt>
                <c:pt idx="176">
                  <c:v>177</c:v>
                </c:pt>
                <c:pt idx="177">
                  <c:v>178</c:v>
                </c:pt>
                <c:pt idx="178">
                  <c:v>179</c:v>
                </c:pt>
                <c:pt idx="179">
                  <c:v>180</c:v>
                </c:pt>
                <c:pt idx="180">
                  <c:v>181</c:v>
                </c:pt>
                <c:pt idx="181">
                  <c:v>182</c:v>
                </c:pt>
                <c:pt idx="182">
                  <c:v>183</c:v>
                </c:pt>
                <c:pt idx="183">
                  <c:v>184</c:v>
                </c:pt>
                <c:pt idx="184">
                  <c:v>185</c:v>
                </c:pt>
                <c:pt idx="185">
                  <c:v>186</c:v>
                </c:pt>
                <c:pt idx="186">
                  <c:v>187</c:v>
                </c:pt>
                <c:pt idx="187">
                  <c:v>188</c:v>
                </c:pt>
                <c:pt idx="188">
                  <c:v>189</c:v>
                </c:pt>
                <c:pt idx="189">
                  <c:v>190</c:v>
                </c:pt>
                <c:pt idx="190">
                  <c:v>191</c:v>
                </c:pt>
                <c:pt idx="191">
                  <c:v>192</c:v>
                </c:pt>
                <c:pt idx="192">
                  <c:v>193</c:v>
                </c:pt>
                <c:pt idx="193">
                  <c:v>194</c:v>
                </c:pt>
                <c:pt idx="194">
                  <c:v>195</c:v>
                </c:pt>
                <c:pt idx="195">
                  <c:v>196</c:v>
                </c:pt>
                <c:pt idx="196">
                  <c:v>197</c:v>
                </c:pt>
                <c:pt idx="197">
                  <c:v>198</c:v>
                </c:pt>
                <c:pt idx="198">
                  <c:v>199</c:v>
                </c:pt>
                <c:pt idx="199">
                  <c:v>200</c:v>
                </c:pt>
                <c:pt idx="200">
                  <c:v>201</c:v>
                </c:pt>
                <c:pt idx="201">
                  <c:v>202</c:v>
                </c:pt>
                <c:pt idx="202">
                  <c:v>203</c:v>
                </c:pt>
                <c:pt idx="203">
                  <c:v>204</c:v>
                </c:pt>
                <c:pt idx="204">
                  <c:v>205</c:v>
                </c:pt>
                <c:pt idx="205">
                  <c:v>206</c:v>
                </c:pt>
                <c:pt idx="206">
                  <c:v>207</c:v>
                </c:pt>
                <c:pt idx="207">
                  <c:v>208</c:v>
                </c:pt>
                <c:pt idx="208">
                  <c:v>209</c:v>
                </c:pt>
                <c:pt idx="209">
                  <c:v>210</c:v>
                </c:pt>
                <c:pt idx="210">
                  <c:v>211</c:v>
                </c:pt>
                <c:pt idx="211">
                  <c:v>212</c:v>
                </c:pt>
                <c:pt idx="212">
                  <c:v>213</c:v>
                </c:pt>
                <c:pt idx="213">
                  <c:v>214</c:v>
                </c:pt>
                <c:pt idx="214">
                  <c:v>215</c:v>
                </c:pt>
                <c:pt idx="215">
                  <c:v>216</c:v>
                </c:pt>
                <c:pt idx="216">
                  <c:v>217</c:v>
                </c:pt>
                <c:pt idx="217">
                  <c:v>218</c:v>
                </c:pt>
                <c:pt idx="218">
                  <c:v>219</c:v>
                </c:pt>
                <c:pt idx="219">
                  <c:v>220</c:v>
                </c:pt>
                <c:pt idx="220">
                  <c:v>221</c:v>
                </c:pt>
                <c:pt idx="221">
                  <c:v>222</c:v>
                </c:pt>
                <c:pt idx="222">
                  <c:v>223</c:v>
                </c:pt>
                <c:pt idx="223">
                  <c:v>224</c:v>
                </c:pt>
                <c:pt idx="224">
                  <c:v>225</c:v>
                </c:pt>
                <c:pt idx="225">
                  <c:v>226</c:v>
                </c:pt>
                <c:pt idx="226">
                  <c:v>227</c:v>
                </c:pt>
                <c:pt idx="227">
                  <c:v>228</c:v>
                </c:pt>
                <c:pt idx="228">
                  <c:v>229</c:v>
                </c:pt>
                <c:pt idx="229">
                  <c:v>230</c:v>
                </c:pt>
                <c:pt idx="230">
                  <c:v>231</c:v>
                </c:pt>
                <c:pt idx="231">
                  <c:v>232</c:v>
                </c:pt>
                <c:pt idx="232">
                  <c:v>233</c:v>
                </c:pt>
                <c:pt idx="233">
                  <c:v>234</c:v>
                </c:pt>
                <c:pt idx="234">
                  <c:v>235</c:v>
                </c:pt>
                <c:pt idx="235">
                  <c:v>236</c:v>
                </c:pt>
                <c:pt idx="236">
                  <c:v>237</c:v>
                </c:pt>
                <c:pt idx="237">
                  <c:v>238</c:v>
                </c:pt>
                <c:pt idx="238">
                  <c:v>239</c:v>
                </c:pt>
                <c:pt idx="239">
                  <c:v>240</c:v>
                </c:pt>
                <c:pt idx="240">
                  <c:v>241</c:v>
                </c:pt>
                <c:pt idx="241">
                  <c:v>242</c:v>
                </c:pt>
                <c:pt idx="242">
                  <c:v>243</c:v>
                </c:pt>
                <c:pt idx="243">
                  <c:v>244</c:v>
                </c:pt>
                <c:pt idx="244">
                  <c:v>245</c:v>
                </c:pt>
                <c:pt idx="245">
                  <c:v>246</c:v>
                </c:pt>
                <c:pt idx="246">
                  <c:v>247</c:v>
                </c:pt>
                <c:pt idx="247">
                  <c:v>248</c:v>
                </c:pt>
                <c:pt idx="248">
                  <c:v>249</c:v>
                </c:pt>
                <c:pt idx="249">
                  <c:v>250</c:v>
                </c:pt>
                <c:pt idx="250">
                  <c:v>251</c:v>
                </c:pt>
                <c:pt idx="251">
                  <c:v>252</c:v>
                </c:pt>
                <c:pt idx="252">
                  <c:v>253</c:v>
                </c:pt>
                <c:pt idx="253">
                  <c:v>254</c:v>
                </c:pt>
                <c:pt idx="254">
                  <c:v>255</c:v>
                </c:pt>
                <c:pt idx="255">
                  <c:v>256</c:v>
                </c:pt>
                <c:pt idx="256">
                  <c:v>257</c:v>
                </c:pt>
                <c:pt idx="257">
                  <c:v>258</c:v>
                </c:pt>
                <c:pt idx="258">
                  <c:v>259</c:v>
                </c:pt>
                <c:pt idx="259">
                  <c:v>260</c:v>
                </c:pt>
                <c:pt idx="260">
                  <c:v>261</c:v>
                </c:pt>
                <c:pt idx="261">
                  <c:v>262</c:v>
                </c:pt>
                <c:pt idx="262">
                  <c:v>263</c:v>
                </c:pt>
                <c:pt idx="263">
                  <c:v>264</c:v>
                </c:pt>
                <c:pt idx="264">
                  <c:v>265</c:v>
                </c:pt>
                <c:pt idx="265">
                  <c:v>266</c:v>
                </c:pt>
                <c:pt idx="266">
                  <c:v>267</c:v>
                </c:pt>
                <c:pt idx="267">
                  <c:v>268</c:v>
                </c:pt>
                <c:pt idx="268">
                  <c:v>269</c:v>
                </c:pt>
                <c:pt idx="269">
                  <c:v>270</c:v>
                </c:pt>
                <c:pt idx="270">
                  <c:v>271</c:v>
                </c:pt>
                <c:pt idx="271">
                  <c:v>272</c:v>
                </c:pt>
                <c:pt idx="272">
                  <c:v>273</c:v>
                </c:pt>
                <c:pt idx="273">
                  <c:v>274</c:v>
                </c:pt>
                <c:pt idx="274">
                  <c:v>275</c:v>
                </c:pt>
                <c:pt idx="275">
                  <c:v>276</c:v>
                </c:pt>
                <c:pt idx="276">
                  <c:v>277</c:v>
                </c:pt>
                <c:pt idx="277">
                  <c:v>278</c:v>
                </c:pt>
                <c:pt idx="278">
                  <c:v>279</c:v>
                </c:pt>
                <c:pt idx="279">
                  <c:v>280</c:v>
                </c:pt>
                <c:pt idx="280">
                  <c:v>281</c:v>
                </c:pt>
                <c:pt idx="281">
                  <c:v>282</c:v>
                </c:pt>
                <c:pt idx="282">
                  <c:v>283</c:v>
                </c:pt>
                <c:pt idx="283">
                  <c:v>284</c:v>
                </c:pt>
                <c:pt idx="284">
                  <c:v>285</c:v>
                </c:pt>
                <c:pt idx="285">
                  <c:v>286</c:v>
                </c:pt>
                <c:pt idx="286">
                  <c:v>287</c:v>
                </c:pt>
                <c:pt idx="287">
                  <c:v>288</c:v>
                </c:pt>
                <c:pt idx="288">
                  <c:v>289</c:v>
                </c:pt>
                <c:pt idx="289">
                  <c:v>290</c:v>
                </c:pt>
                <c:pt idx="290">
                  <c:v>291</c:v>
                </c:pt>
                <c:pt idx="291">
                  <c:v>292</c:v>
                </c:pt>
                <c:pt idx="292">
                  <c:v>293</c:v>
                </c:pt>
                <c:pt idx="293">
                  <c:v>294</c:v>
                </c:pt>
                <c:pt idx="294">
                  <c:v>295</c:v>
                </c:pt>
                <c:pt idx="295">
                  <c:v>296</c:v>
                </c:pt>
                <c:pt idx="296">
                  <c:v>297</c:v>
                </c:pt>
                <c:pt idx="297">
                  <c:v>298</c:v>
                </c:pt>
                <c:pt idx="298">
                  <c:v>299</c:v>
                </c:pt>
                <c:pt idx="299">
                  <c:v>300</c:v>
                </c:pt>
                <c:pt idx="300">
                  <c:v>301</c:v>
                </c:pt>
                <c:pt idx="301">
                  <c:v>302</c:v>
                </c:pt>
                <c:pt idx="302">
                  <c:v>303</c:v>
                </c:pt>
                <c:pt idx="303">
                  <c:v>304</c:v>
                </c:pt>
                <c:pt idx="304">
                  <c:v>305</c:v>
                </c:pt>
                <c:pt idx="305">
                  <c:v>306</c:v>
                </c:pt>
                <c:pt idx="306">
                  <c:v>307</c:v>
                </c:pt>
                <c:pt idx="307">
                  <c:v>308</c:v>
                </c:pt>
                <c:pt idx="308">
                  <c:v>309</c:v>
                </c:pt>
                <c:pt idx="309">
                  <c:v>310</c:v>
                </c:pt>
                <c:pt idx="310">
                  <c:v>311</c:v>
                </c:pt>
                <c:pt idx="311">
                  <c:v>312</c:v>
                </c:pt>
                <c:pt idx="312">
                  <c:v>313</c:v>
                </c:pt>
                <c:pt idx="313">
                  <c:v>314</c:v>
                </c:pt>
                <c:pt idx="314">
                  <c:v>315</c:v>
                </c:pt>
                <c:pt idx="315">
                  <c:v>316</c:v>
                </c:pt>
                <c:pt idx="316">
                  <c:v>317</c:v>
                </c:pt>
                <c:pt idx="317">
                  <c:v>318</c:v>
                </c:pt>
                <c:pt idx="318">
                  <c:v>319</c:v>
                </c:pt>
                <c:pt idx="319">
                  <c:v>320</c:v>
                </c:pt>
                <c:pt idx="320">
                  <c:v>321</c:v>
                </c:pt>
                <c:pt idx="321">
                  <c:v>322</c:v>
                </c:pt>
                <c:pt idx="322">
                  <c:v>323</c:v>
                </c:pt>
                <c:pt idx="323">
                  <c:v>324</c:v>
                </c:pt>
                <c:pt idx="324">
                  <c:v>325</c:v>
                </c:pt>
                <c:pt idx="325">
                  <c:v>326</c:v>
                </c:pt>
                <c:pt idx="326">
                  <c:v>327</c:v>
                </c:pt>
                <c:pt idx="327">
                  <c:v>328</c:v>
                </c:pt>
                <c:pt idx="328">
                  <c:v>329</c:v>
                </c:pt>
                <c:pt idx="329">
                  <c:v>330</c:v>
                </c:pt>
                <c:pt idx="330">
                  <c:v>331</c:v>
                </c:pt>
                <c:pt idx="331">
                  <c:v>332</c:v>
                </c:pt>
                <c:pt idx="332">
                  <c:v>333</c:v>
                </c:pt>
                <c:pt idx="333">
                  <c:v>334</c:v>
                </c:pt>
                <c:pt idx="334">
                  <c:v>335</c:v>
                </c:pt>
                <c:pt idx="335">
                  <c:v>336</c:v>
                </c:pt>
                <c:pt idx="336">
                  <c:v>337</c:v>
                </c:pt>
                <c:pt idx="337">
                  <c:v>338</c:v>
                </c:pt>
                <c:pt idx="338">
                  <c:v>339</c:v>
                </c:pt>
                <c:pt idx="339">
                  <c:v>340</c:v>
                </c:pt>
                <c:pt idx="340">
                  <c:v>341</c:v>
                </c:pt>
                <c:pt idx="341">
                  <c:v>342</c:v>
                </c:pt>
                <c:pt idx="342">
                  <c:v>343</c:v>
                </c:pt>
                <c:pt idx="343">
                  <c:v>344</c:v>
                </c:pt>
                <c:pt idx="344">
                  <c:v>345</c:v>
                </c:pt>
                <c:pt idx="345">
                  <c:v>346</c:v>
                </c:pt>
                <c:pt idx="346">
                  <c:v>347</c:v>
                </c:pt>
                <c:pt idx="347">
                  <c:v>348</c:v>
                </c:pt>
                <c:pt idx="348">
                  <c:v>349</c:v>
                </c:pt>
                <c:pt idx="349">
                  <c:v>350</c:v>
                </c:pt>
                <c:pt idx="350">
                  <c:v>351</c:v>
                </c:pt>
                <c:pt idx="351">
                  <c:v>352</c:v>
                </c:pt>
                <c:pt idx="352">
                  <c:v>353</c:v>
                </c:pt>
                <c:pt idx="353">
                  <c:v>354</c:v>
                </c:pt>
                <c:pt idx="354">
                  <c:v>355</c:v>
                </c:pt>
                <c:pt idx="355">
                  <c:v>356</c:v>
                </c:pt>
                <c:pt idx="356">
                  <c:v>357</c:v>
                </c:pt>
                <c:pt idx="357">
                  <c:v>358</c:v>
                </c:pt>
                <c:pt idx="358">
                  <c:v>359</c:v>
                </c:pt>
                <c:pt idx="359">
                  <c:v>360</c:v>
                </c:pt>
                <c:pt idx="360">
                  <c:v>361</c:v>
                </c:pt>
                <c:pt idx="361">
                  <c:v>362</c:v>
                </c:pt>
                <c:pt idx="362">
                  <c:v>363</c:v>
                </c:pt>
                <c:pt idx="363">
                  <c:v>364</c:v>
                </c:pt>
                <c:pt idx="364">
                  <c:v>365</c:v>
                </c:pt>
                <c:pt idx="365">
                  <c:v>366</c:v>
                </c:pt>
                <c:pt idx="366">
                  <c:v>367</c:v>
                </c:pt>
                <c:pt idx="367">
                  <c:v>368</c:v>
                </c:pt>
                <c:pt idx="368">
                  <c:v>369</c:v>
                </c:pt>
                <c:pt idx="369">
                  <c:v>370</c:v>
                </c:pt>
                <c:pt idx="370">
                  <c:v>371</c:v>
                </c:pt>
                <c:pt idx="371">
                  <c:v>372</c:v>
                </c:pt>
                <c:pt idx="372">
                  <c:v>373</c:v>
                </c:pt>
                <c:pt idx="373">
                  <c:v>374</c:v>
                </c:pt>
                <c:pt idx="374">
                  <c:v>375</c:v>
                </c:pt>
                <c:pt idx="375">
                  <c:v>376</c:v>
                </c:pt>
                <c:pt idx="376">
                  <c:v>377</c:v>
                </c:pt>
                <c:pt idx="377">
                  <c:v>378</c:v>
                </c:pt>
                <c:pt idx="378">
                  <c:v>379</c:v>
                </c:pt>
                <c:pt idx="379">
                  <c:v>380</c:v>
                </c:pt>
                <c:pt idx="380">
                  <c:v>381</c:v>
                </c:pt>
                <c:pt idx="381">
                  <c:v>382</c:v>
                </c:pt>
                <c:pt idx="382">
                  <c:v>383</c:v>
                </c:pt>
                <c:pt idx="383">
                  <c:v>384</c:v>
                </c:pt>
                <c:pt idx="384">
                  <c:v>385</c:v>
                </c:pt>
                <c:pt idx="385">
                  <c:v>386</c:v>
                </c:pt>
                <c:pt idx="386">
                  <c:v>387</c:v>
                </c:pt>
                <c:pt idx="387">
                  <c:v>388</c:v>
                </c:pt>
                <c:pt idx="388">
                  <c:v>389</c:v>
                </c:pt>
                <c:pt idx="389">
                  <c:v>390</c:v>
                </c:pt>
                <c:pt idx="390">
                  <c:v>391</c:v>
                </c:pt>
                <c:pt idx="391">
                  <c:v>392</c:v>
                </c:pt>
                <c:pt idx="392">
                  <c:v>393</c:v>
                </c:pt>
                <c:pt idx="393">
                  <c:v>394</c:v>
                </c:pt>
                <c:pt idx="394">
                  <c:v>395</c:v>
                </c:pt>
                <c:pt idx="395">
                  <c:v>396</c:v>
                </c:pt>
                <c:pt idx="396">
                  <c:v>397</c:v>
                </c:pt>
                <c:pt idx="397">
                  <c:v>398</c:v>
                </c:pt>
                <c:pt idx="398">
                  <c:v>399</c:v>
                </c:pt>
                <c:pt idx="399">
                  <c:v>400</c:v>
                </c:pt>
                <c:pt idx="400">
                  <c:v>401</c:v>
                </c:pt>
                <c:pt idx="401">
                  <c:v>402</c:v>
                </c:pt>
                <c:pt idx="402">
                  <c:v>403</c:v>
                </c:pt>
                <c:pt idx="403">
                  <c:v>404</c:v>
                </c:pt>
                <c:pt idx="404">
                  <c:v>405</c:v>
                </c:pt>
                <c:pt idx="405">
                  <c:v>406</c:v>
                </c:pt>
                <c:pt idx="406">
                  <c:v>407</c:v>
                </c:pt>
                <c:pt idx="407">
                  <c:v>408</c:v>
                </c:pt>
                <c:pt idx="408">
                  <c:v>409</c:v>
                </c:pt>
                <c:pt idx="409">
                  <c:v>410</c:v>
                </c:pt>
                <c:pt idx="410">
                  <c:v>411</c:v>
                </c:pt>
                <c:pt idx="411">
                  <c:v>412</c:v>
                </c:pt>
                <c:pt idx="412">
                  <c:v>413</c:v>
                </c:pt>
                <c:pt idx="413">
                  <c:v>414</c:v>
                </c:pt>
                <c:pt idx="414">
                  <c:v>415</c:v>
                </c:pt>
                <c:pt idx="415">
                  <c:v>416</c:v>
                </c:pt>
                <c:pt idx="416">
                  <c:v>417</c:v>
                </c:pt>
                <c:pt idx="417">
                  <c:v>418</c:v>
                </c:pt>
                <c:pt idx="418">
                  <c:v>419</c:v>
                </c:pt>
                <c:pt idx="419">
                  <c:v>420</c:v>
                </c:pt>
                <c:pt idx="420">
                  <c:v>421</c:v>
                </c:pt>
                <c:pt idx="421">
                  <c:v>422</c:v>
                </c:pt>
                <c:pt idx="422">
                  <c:v>423</c:v>
                </c:pt>
                <c:pt idx="423">
                  <c:v>424</c:v>
                </c:pt>
                <c:pt idx="424">
                  <c:v>425</c:v>
                </c:pt>
                <c:pt idx="425">
                  <c:v>426</c:v>
                </c:pt>
                <c:pt idx="426">
                  <c:v>427</c:v>
                </c:pt>
                <c:pt idx="427">
                  <c:v>428</c:v>
                </c:pt>
                <c:pt idx="428">
                  <c:v>429</c:v>
                </c:pt>
                <c:pt idx="429">
                  <c:v>430</c:v>
                </c:pt>
                <c:pt idx="430">
                  <c:v>431</c:v>
                </c:pt>
                <c:pt idx="431">
                  <c:v>432</c:v>
                </c:pt>
                <c:pt idx="432">
                  <c:v>433</c:v>
                </c:pt>
                <c:pt idx="433">
                  <c:v>434</c:v>
                </c:pt>
                <c:pt idx="434">
                  <c:v>435</c:v>
                </c:pt>
                <c:pt idx="435">
                  <c:v>436</c:v>
                </c:pt>
                <c:pt idx="436">
                  <c:v>437</c:v>
                </c:pt>
                <c:pt idx="437">
                  <c:v>438</c:v>
                </c:pt>
                <c:pt idx="438">
                  <c:v>439</c:v>
                </c:pt>
                <c:pt idx="439">
                  <c:v>440</c:v>
                </c:pt>
                <c:pt idx="440">
                  <c:v>441</c:v>
                </c:pt>
                <c:pt idx="441">
                  <c:v>442</c:v>
                </c:pt>
                <c:pt idx="442">
                  <c:v>443</c:v>
                </c:pt>
                <c:pt idx="443">
                  <c:v>444</c:v>
                </c:pt>
                <c:pt idx="444">
                  <c:v>445</c:v>
                </c:pt>
                <c:pt idx="445">
                  <c:v>446</c:v>
                </c:pt>
                <c:pt idx="446">
                  <c:v>447</c:v>
                </c:pt>
                <c:pt idx="447">
                  <c:v>448</c:v>
                </c:pt>
                <c:pt idx="448">
                  <c:v>449</c:v>
                </c:pt>
                <c:pt idx="449">
                  <c:v>450</c:v>
                </c:pt>
                <c:pt idx="450">
                  <c:v>451</c:v>
                </c:pt>
                <c:pt idx="451">
                  <c:v>452</c:v>
                </c:pt>
                <c:pt idx="452">
                  <c:v>453</c:v>
                </c:pt>
                <c:pt idx="453">
                  <c:v>454</c:v>
                </c:pt>
                <c:pt idx="454">
                  <c:v>455</c:v>
                </c:pt>
                <c:pt idx="455">
                  <c:v>456</c:v>
                </c:pt>
                <c:pt idx="456">
                  <c:v>457</c:v>
                </c:pt>
                <c:pt idx="457">
                  <c:v>458</c:v>
                </c:pt>
                <c:pt idx="458">
                  <c:v>459</c:v>
                </c:pt>
                <c:pt idx="459">
                  <c:v>460</c:v>
                </c:pt>
                <c:pt idx="460">
                  <c:v>461</c:v>
                </c:pt>
                <c:pt idx="461">
                  <c:v>462</c:v>
                </c:pt>
                <c:pt idx="462">
                  <c:v>463</c:v>
                </c:pt>
                <c:pt idx="463">
                  <c:v>464</c:v>
                </c:pt>
                <c:pt idx="464">
                  <c:v>465</c:v>
                </c:pt>
                <c:pt idx="465">
                  <c:v>466</c:v>
                </c:pt>
                <c:pt idx="466">
                  <c:v>467</c:v>
                </c:pt>
                <c:pt idx="467">
                  <c:v>468</c:v>
                </c:pt>
                <c:pt idx="468">
                  <c:v>469</c:v>
                </c:pt>
                <c:pt idx="469">
                  <c:v>470</c:v>
                </c:pt>
                <c:pt idx="470">
                  <c:v>471</c:v>
                </c:pt>
                <c:pt idx="471">
                  <c:v>472</c:v>
                </c:pt>
                <c:pt idx="472">
                  <c:v>473</c:v>
                </c:pt>
                <c:pt idx="473">
                  <c:v>474</c:v>
                </c:pt>
                <c:pt idx="474">
                  <c:v>475</c:v>
                </c:pt>
                <c:pt idx="475">
                  <c:v>476</c:v>
                </c:pt>
                <c:pt idx="476">
                  <c:v>477</c:v>
                </c:pt>
                <c:pt idx="477">
                  <c:v>478</c:v>
                </c:pt>
                <c:pt idx="478">
                  <c:v>479</c:v>
                </c:pt>
                <c:pt idx="479">
                  <c:v>480</c:v>
                </c:pt>
                <c:pt idx="480">
                  <c:v>481</c:v>
                </c:pt>
                <c:pt idx="481">
                  <c:v>482</c:v>
                </c:pt>
                <c:pt idx="482">
                  <c:v>483</c:v>
                </c:pt>
                <c:pt idx="483">
                  <c:v>484</c:v>
                </c:pt>
                <c:pt idx="484">
                  <c:v>485</c:v>
                </c:pt>
                <c:pt idx="485">
                  <c:v>486</c:v>
                </c:pt>
                <c:pt idx="486">
                  <c:v>487</c:v>
                </c:pt>
                <c:pt idx="487">
                  <c:v>488</c:v>
                </c:pt>
                <c:pt idx="488">
                  <c:v>489</c:v>
                </c:pt>
                <c:pt idx="489">
                  <c:v>490</c:v>
                </c:pt>
                <c:pt idx="490">
                  <c:v>491</c:v>
                </c:pt>
                <c:pt idx="491">
                  <c:v>492</c:v>
                </c:pt>
                <c:pt idx="492">
                  <c:v>493</c:v>
                </c:pt>
                <c:pt idx="493">
                  <c:v>494</c:v>
                </c:pt>
                <c:pt idx="494">
                  <c:v>495</c:v>
                </c:pt>
                <c:pt idx="495">
                  <c:v>496</c:v>
                </c:pt>
                <c:pt idx="496">
                  <c:v>497</c:v>
                </c:pt>
                <c:pt idx="497">
                  <c:v>498</c:v>
                </c:pt>
                <c:pt idx="498">
                  <c:v>499</c:v>
                </c:pt>
                <c:pt idx="499">
                  <c:v>500</c:v>
                </c:pt>
                <c:pt idx="500">
                  <c:v>501</c:v>
                </c:pt>
                <c:pt idx="501">
                  <c:v>502</c:v>
                </c:pt>
                <c:pt idx="502">
                  <c:v>503</c:v>
                </c:pt>
                <c:pt idx="503">
                  <c:v>504</c:v>
                </c:pt>
                <c:pt idx="504">
                  <c:v>505</c:v>
                </c:pt>
                <c:pt idx="505">
                  <c:v>506</c:v>
                </c:pt>
                <c:pt idx="506">
                  <c:v>507</c:v>
                </c:pt>
                <c:pt idx="507">
                  <c:v>508</c:v>
                </c:pt>
                <c:pt idx="508">
                  <c:v>509</c:v>
                </c:pt>
                <c:pt idx="509">
                  <c:v>510</c:v>
                </c:pt>
                <c:pt idx="510">
                  <c:v>511</c:v>
                </c:pt>
                <c:pt idx="511">
                  <c:v>512</c:v>
                </c:pt>
                <c:pt idx="512">
                  <c:v>513</c:v>
                </c:pt>
                <c:pt idx="513">
                  <c:v>514</c:v>
                </c:pt>
                <c:pt idx="514">
                  <c:v>515</c:v>
                </c:pt>
                <c:pt idx="515">
                  <c:v>516</c:v>
                </c:pt>
                <c:pt idx="516">
                  <c:v>517</c:v>
                </c:pt>
                <c:pt idx="517">
                  <c:v>518</c:v>
                </c:pt>
                <c:pt idx="518">
                  <c:v>519</c:v>
                </c:pt>
                <c:pt idx="519">
                  <c:v>520</c:v>
                </c:pt>
                <c:pt idx="520">
                  <c:v>521</c:v>
                </c:pt>
                <c:pt idx="521">
                  <c:v>522</c:v>
                </c:pt>
                <c:pt idx="522">
                  <c:v>523</c:v>
                </c:pt>
                <c:pt idx="523">
                  <c:v>524</c:v>
                </c:pt>
                <c:pt idx="524">
                  <c:v>525</c:v>
                </c:pt>
                <c:pt idx="525">
                  <c:v>526</c:v>
                </c:pt>
                <c:pt idx="526">
                  <c:v>527</c:v>
                </c:pt>
                <c:pt idx="527">
                  <c:v>528</c:v>
                </c:pt>
                <c:pt idx="528">
                  <c:v>529</c:v>
                </c:pt>
                <c:pt idx="529">
                  <c:v>530</c:v>
                </c:pt>
                <c:pt idx="530">
                  <c:v>531</c:v>
                </c:pt>
                <c:pt idx="531">
                  <c:v>532</c:v>
                </c:pt>
                <c:pt idx="532">
                  <c:v>533</c:v>
                </c:pt>
                <c:pt idx="533">
                  <c:v>534</c:v>
                </c:pt>
                <c:pt idx="534">
                  <c:v>535</c:v>
                </c:pt>
                <c:pt idx="535">
                  <c:v>536</c:v>
                </c:pt>
                <c:pt idx="536">
                  <c:v>537</c:v>
                </c:pt>
                <c:pt idx="537">
                  <c:v>538</c:v>
                </c:pt>
                <c:pt idx="538">
                  <c:v>539</c:v>
                </c:pt>
                <c:pt idx="539">
                  <c:v>540</c:v>
                </c:pt>
                <c:pt idx="540">
                  <c:v>541</c:v>
                </c:pt>
                <c:pt idx="541">
                  <c:v>542</c:v>
                </c:pt>
                <c:pt idx="542">
                  <c:v>543</c:v>
                </c:pt>
                <c:pt idx="543">
                  <c:v>544</c:v>
                </c:pt>
                <c:pt idx="544">
                  <c:v>545</c:v>
                </c:pt>
                <c:pt idx="545">
                  <c:v>546</c:v>
                </c:pt>
                <c:pt idx="546">
                  <c:v>547</c:v>
                </c:pt>
                <c:pt idx="547">
                  <c:v>548</c:v>
                </c:pt>
                <c:pt idx="548">
                  <c:v>549</c:v>
                </c:pt>
                <c:pt idx="549">
                  <c:v>550</c:v>
                </c:pt>
                <c:pt idx="550">
                  <c:v>551</c:v>
                </c:pt>
                <c:pt idx="551">
                  <c:v>552</c:v>
                </c:pt>
                <c:pt idx="552">
                  <c:v>553</c:v>
                </c:pt>
                <c:pt idx="553">
                  <c:v>554</c:v>
                </c:pt>
                <c:pt idx="554">
                  <c:v>555</c:v>
                </c:pt>
                <c:pt idx="555">
                  <c:v>556</c:v>
                </c:pt>
                <c:pt idx="556">
                  <c:v>557</c:v>
                </c:pt>
                <c:pt idx="557">
                  <c:v>558</c:v>
                </c:pt>
                <c:pt idx="558">
                  <c:v>559</c:v>
                </c:pt>
                <c:pt idx="559">
                  <c:v>560</c:v>
                </c:pt>
                <c:pt idx="560">
                  <c:v>561</c:v>
                </c:pt>
                <c:pt idx="561">
                  <c:v>562</c:v>
                </c:pt>
                <c:pt idx="562">
                  <c:v>563</c:v>
                </c:pt>
                <c:pt idx="563">
                  <c:v>564</c:v>
                </c:pt>
                <c:pt idx="564">
                  <c:v>565</c:v>
                </c:pt>
                <c:pt idx="565">
                  <c:v>566</c:v>
                </c:pt>
                <c:pt idx="566">
                  <c:v>567</c:v>
                </c:pt>
                <c:pt idx="567">
                  <c:v>568</c:v>
                </c:pt>
                <c:pt idx="568">
                  <c:v>569</c:v>
                </c:pt>
                <c:pt idx="569">
                  <c:v>570</c:v>
                </c:pt>
                <c:pt idx="570">
                  <c:v>571</c:v>
                </c:pt>
                <c:pt idx="571">
                  <c:v>572</c:v>
                </c:pt>
                <c:pt idx="572">
                  <c:v>573</c:v>
                </c:pt>
                <c:pt idx="573">
                  <c:v>574</c:v>
                </c:pt>
                <c:pt idx="574">
                  <c:v>575</c:v>
                </c:pt>
                <c:pt idx="575">
                  <c:v>576</c:v>
                </c:pt>
                <c:pt idx="576">
                  <c:v>577</c:v>
                </c:pt>
                <c:pt idx="577">
                  <c:v>578</c:v>
                </c:pt>
                <c:pt idx="578">
                  <c:v>579</c:v>
                </c:pt>
                <c:pt idx="579">
                  <c:v>580</c:v>
                </c:pt>
                <c:pt idx="580">
                  <c:v>581</c:v>
                </c:pt>
                <c:pt idx="581">
                  <c:v>582</c:v>
                </c:pt>
                <c:pt idx="582">
                  <c:v>583</c:v>
                </c:pt>
                <c:pt idx="583">
                  <c:v>584</c:v>
                </c:pt>
                <c:pt idx="584">
                  <c:v>585</c:v>
                </c:pt>
                <c:pt idx="585">
                  <c:v>586</c:v>
                </c:pt>
                <c:pt idx="586">
                  <c:v>587</c:v>
                </c:pt>
                <c:pt idx="587">
                  <c:v>588</c:v>
                </c:pt>
                <c:pt idx="588">
                  <c:v>589</c:v>
                </c:pt>
                <c:pt idx="589">
                  <c:v>590</c:v>
                </c:pt>
                <c:pt idx="590">
                  <c:v>591</c:v>
                </c:pt>
                <c:pt idx="591">
                  <c:v>592</c:v>
                </c:pt>
                <c:pt idx="592">
                  <c:v>593</c:v>
                </c:pt>
                <c:pt idx="593">
                  <c:v>594</c:v>
                </c:pt>
                <c:pt idx="594">
                  <c:v>595</c:v>
                </c:pt>
                <c:pt idx="595">
                  <c:v>596</c:v>
                </c:pt>
                <c:pt idx="596">
                  <c:v>597</c:v>
                </c:pt>
                <c:pt idx="597">
                  <c:v>598</c:v>
                </c:pt>
                <c:pt idx="598">
                  <c:v>599</c:v>
                </c:pt>
                <c:pt idx="599">
                  <c:v>600</c:v>
                </c:pt>
                <c:pt idx="600">
                  <c:v>601</c:v>
                </c:pt>
                <c:pt idx="601">
                  <c:v>602</c:v>
                </c:pt>
                <c:pt idx="602">
                  <c:v>603</c:v>
                </c:pt>
                <c:pt idx="603">
                  <c:v>604</c:v>
                </c:pt>
                <c:pt idx="604">
                  <c:v>605</c:v>
                </c:pt>
                <c:pt idx="605">
                  <c:v>606</c:v>
                </c:pt>
                <c:pt idx="606">
                  <c:v>607</c:v>
                </c:pt>
                <c:pt idx="607">
                  <c:v>608</c:v>
                </c:pt>
                <c:pt idx="608">
                  <c:v>609</c:v>
                </c:pt>
                <c:pt idx="609">
                  <c:v>610</c:v>
                </c:pt>
                <c:pt idx="610">
                  <c:v>611</c:v>
                </c:pt>
                <c:pt idx="611">
                  <c:v>612</c:v>
                </c:pt>
                <c:pt idx="612">
                  <c:v>613</c:v>
                </c:pt>
                <c:pt idx="613">
                  <c:v>614</c:v>
                </c:pt>
                <c:pt idx="614">
                  <c:v>615</c:v>
                </c:pt>
                <c:pt idx="615">
                  <c:v>616</c:v>
                </c:pt>
                <c:pt idx="616">
                  <c:v>617</c:v>
                </c:pt>
                <c:pt idx="617">
                  <c:v>618</c:v>
                </c:pt>
                <c:pt idx="618">
                  <c:v>619</c:v>
                </c:pt>
                <c:pt idx="619">
                  <c:v>620</c:v>
                </c:pt>
                <c:pt idx="620">
                  <c:v>621</c:v>
                </c:pt>
                <c:pt idx="621">
                  <c:v>622</c:v>
                </c:pt>
                <c:pt idx="622">
                  <c:v>623</c:v>
                </c:pt>
                <c:pt idx="623">
                  <c:v>624</c:v>
                </c:pt>
                <c:pt idx="624">
                  <c:v>625</c:v>
                </c:pt>
                <c:pt idx="625">
                  <c:v>626</c:v>
                </c:pt>
                <c:pt idx="626">
                  <c:v>627</c:v>
                </c:pt>
                <c:pt idx="627">
                  <c:v>628</c:v>
                </c:pt>
                <c:pt idx="628">
                  <c:v>629</c:v>
                </c:pt>
                <c:pt idx="629">
                  <c:v>630</c:v>
                </c:pt>
                <c:pt idx="630">
                  <c:v>631</c:v>
                </c:pt>
                <c:pt idx="631">
                  <c:v>632</c:v>
                </c:pt>
                <c:pt idx="632">
                  <c:v>633</c:v>
                </c:pt>
                <c:pt idx="633">
                  <c:v>634</c:v>
                </c:pt>
                <c:pt idx="634">
                  <c:v>635</c:v>
                </c:pt>
                <c:pt idx="635">
                  <c:v>636</c:v>
                </c:pt>
                <c:pt idx="636">
                  <c:v>637</c:v>
                </c:pt>
                <c:pt idx="637">
                  <c:v>638</c:v>
                </c:pt>
                <c:pt idx="638">
                  <c:v>639</c:v>
                </c:pt>
                <c:pt idx="639">
                  <c:v>640</c:v>
                </c:pt>
                <c:pt idx="640">
                  <c:v>641</c:v>
                </c:pt>
                <c:pt idx="641">
                  <c:v>642</c:v>
                </c:pt>
                <c:pt idx="642">
                  <c:v>643</c:v>
                </c:pt>
                <c:pt idx="643">
                  <c:v>644</c:v>
                </c:pt>
                <c:pt idx="644">
                  <c:v>645</c:v>
                </c:pt>
                <c:pt idx="645">
                  <c:v>646</c:v>
                </c:pt>
                <c:pt idx="646">
                  <c:v>647</c:v>
                </c:pt>
                <c:pt idx="647">
                  <c:v>648</c:v>
                </c:pt>
                <c:pt idx="648">
                  <c:v>649</c:v>
                </c:pt>
                <c:pt idx="649">
                  <c:v>650</c:v>
                </c:pt>
                <c:pt idx="650">
                  <c:v>651</c:v>
                </c:pt>
                <c:pt idx="651">
                  <c:v>652</c:v>
                </c:pt>
                <c:pt idx="652">
                  <c:v>653</c:v>
                </c:pt>
                <c:pt idx="653">
                  <c:v>654</c:v>
                </c:pt>
                <c:pt idx="654">
                  <c:v>655</c:v>
                </c:pt>
                <c:pt idx="655">
                  <c:v>656</c:v>
                </c:pt>
                <c:pt idx="656">
                  <c:v>657</c:v>
                </c:pt>
                <c:pt idx="657">
                  <c:v>658</c:v>
                </c:pt>
                <c:pt idx="658">
                  <c:v>659</c:v>
                </c:pt>
                <c:pt idx="659">
                  <c:v>660</c:v>
                </c:pt>
                <c:pt idx="660">
                  <c:v>661</c:v>
                </c:pt>
                <c:pt idx="661">
                  <c:v>662</c:v>
                </c:pt>
                <c:pt idx="662">
                  <c:v>663</c:v>
                </c:pt>
                <c:pt idx="663">
                  <c:v>664</c:v>
                </c:pt>
                <c:pt idx="664">
                  <c:v>665</c:v>
                </c:pt>
                <c:pt idx="665">
                  <c:v>666</c:v>
                </c:pt>
                <c:pt idx="666">
                  <c:v>667</c:v>
                </c:pt>
                <c:pt idx="667">
                  <c:v>668</c:v>
                </c:pt>
                <c:pt idx="668">
                  <c:v>669</c:v>
                </c:pt>
                <c:pt idx="669">
                  <c:v>670</c:v>
                </c:pt>
                <c:pt idx="670">
                  <c:v>671</c:v>
                </c:pt>
                <c:pt idx="671">
                  <c:v>672</c:v>
                </c:pt>
                <c:pt idx="672">
                  <c:v>673</c:v>
                </c:pt>
                <c:pt idx="673">
                  <c:v>674</c:v>
                </c:pt>
                <c:pt idx="674">
                  <c:v>675</c:v>
                </c:pt>
                <c:pt idx="675">
                  <c:v>676</c:v>
                </c:pt>
                <c:pt idx="676">
                  <c:v>677</c:v>
                </c:pt>
                <c:pt idx="677">
                  <c:v>678</c:v>
                </c:pt>
                <c:pt idx="678">
                  <c:v>679</c:v>
                </c:pt>
                <c:pt idx="679">
                  <c:v>680</c:v>
                </c:pt>
                <c:pt idx="680">
                  <c:v>681</c:v>
                </c:pt>
                <c:pt idx="681">
                  <c:v>682</c:v>
                </c:pt>
                <c:pt idx="682">
                  <c:v>683</c:v>
                </c:pt>
                <c:pt idx="683">
                  <c:v>684</c:v>
                </c:pt>
                <c:pt idx="684">
                  <c:v>685</c:v>
                </c:pt>
                <c:pt idx="685">
                  <c:v>686</c:v>
                </c:pt>
                <c:pt idx="686">
                  <c:v>687</c:v>
                </c:pt>
                <c:pt idx="687">
                  <c:v>688</c:v>
                </c:pt>
                <c:pt idx="688">
                  <c:v>689</c:v>
                </c:pt>
                <c:pt idx="689">
                  <c:v>690</c:v>
                </c:pt>
                <c:pt idx="690">
                  <c:v>691</c:v>
                </c:pt>
                <c:pt idx="691">
                  <c:v>692</c:v>
                </c:pt>
                <c:pt idx="692">
                  <c:v>693</c:v>
                </c:pt>
                <c:pt idx="693">
                  <c:v>694</c:v>
                </c:pt>
                <c:pt idx="694">
                  <c:v>695</c:v>
                </c:pt>
                <c:pt idx="695">
                  <c:v>696</c:v>
                </c:pt>
                <c:pt idx="696">
                  <c:v>697</c:v>
                </c:pt>
                <c:pt idx="697">
                  <c:v>698</c:v>
                </c:pt>
                <c:pt idx="698">
                  <c:v>699</c:v>
                </c:pt>
                <c:pt idx="699">
                  <c:v>700</c:v>
                </c:pt>
                <c:pt idx="700">
                  <c:v>701</c:v>
                </c:pt>
                <c:pt idx="701">
                  <c:v>702</c:v>
                </c:pt>
                <c:pt idx="702">
                  <c:v>703</c:v>
                </c:pt>
                <c:pt idx="703">
                  <c:v>704</c:v>
                </c:pt>
                <c:pt idx="704">
                  <c:v>705</c:v>
                </c:pt>
                <c:pt idx="705">
                  <c:v>706</c:v>
                </c:pt>
                <c:pt idx="706">
                  <c:v>707</c:v>
                </c:pt>
                <c:pt idx="707">
                  <c:v>708</c:v>
                </c:pt>
                <c:pt idx="708">
                  <c:v>709</c:v>
                </c:pt>
                <c:pt idx="709">
                  <c:v>710</c:v>
                </c:pt>
                <c:pt idx="710">
                  <c:v>711</c:v>
                </c:pt>
                <c:pt idx="711">
                  <c:v>712</c:v>
                </c:pt>
                <c:pt idx="712">
                  <c:v>713</c:v>
                </c:pt>
                <c:pt idx="713">
                  <c:v>714</c:v>
                </c:pt>
                <c:pt idx="714">
                  <c:v>715</c:v>
                </c:pt>
                <c:pt idx="715">
                  <c:v>716</c:v>
                </c:pt>
                <c:pt idx="716">
                  <c:v>717</c:v>
                </c:pt>
                <c:pt idx="717">
                  <c:v>718</c:v>
                </c:pt>
                <c:pt idx="718">
                  <c:v>719</c:v>
                </c:pt>
                <c:pt idx="719">
                  <c:v>720</c:v>
                </c:pt>
                <c:pt idx="720">
                  <c:v>721</c:v>
                </c:pt>
                <c:pt idx="721">
                  <c:v>722</c:v>
                </c:pt>
                <c:pt idx="722">
                  <c:v>723</c:v>
                </c:pt>
                <c:pt idx="723">
                  <c:v>724</c:v>
                </c:pt>
                <c:pt idx="724">
                  <c:v>725</c:v>
                </c:pt>
                <c:pt idx="725">
                  <c:v>726</c:v>
                </c:pt>
                <c:pt idx="726">
                  <c:v>727</c:v>
                </c:pt>
                <c:pt idx="727">
                  <c:v>728</c:v>
                </c:pt>
                <c:pt idx="728">
                  <c:v>729</c:v>
                </c:pt>
                <c:pt idx="729">
                  <c:v>730</c:v>
                </c:pt>
                <c:pt idx="730">
                  <c:v>731</c:v>
                </c:pt>
                <c:pt idx="731">
                  <c:v>732</c:v>
                </c:pt>
                <c:pt idx="732">
                  <c:v>733</c:v>
                </c:pt>
                <c:pt idx="733">
                  <c:v>734</c:v>
                </c:pt>
                <c:pt idx="734">
                  <c:v>735</c:v>
                </c:pt>
                <c:pt idx="735">
                  <c:v>736</c:v>
                </c:pt>
                <c:pt idx="736">
                  <c:v>737</c:v>
                </c:pt>
                <c:pt idx="737">
                  <c:v>738</c:v>
                </c:pt>
                <c:pt idx="738">
                  <c:v>739</c:v>
                </c:pt>
                <c:pt idx="739">
                  <c:v>740</c:v>
                </c:pt>
                <c:pt idx="740">
                  <c:v>741</c:v>
                </c:pt>
                <c:pt idx="741">
                  <c:v>742</c:v>
                </c:pt>
                <c:pt idx="742">
                  <c:v>743</c:v>
                </c:pt>
                <c:pt idx="743">
                  <c:v>744</c:v>
                </c:pt>
                <c:pt idx="744">
                  <c:v>745</c:v>
                </c:pt>
                <c:pt idx="745">
                  <c:v>746</c:v>
                </c:pt>
                <c:pt idx="746">
                  <c:v>747</c:v>
                </c:pt>
                <c:pt idx="747">
                  <c:v>748</c:v>
                </c:pt>
                <c:pt idx="748">
                  <c:v>749</c:v>
                </c:pt>
                <c:pt idx="749">
                  <c:v>750</c:v>
                </c:pt>
                <c:pt idx="750">
                  <c:v>751</c:v>
                </c:pt>
                <c:pt idx="751">
                  <c:v>752</c:v>
                </c:pt>
                <c:pt idx="752">
                  <c:v>753</c:v>
                </c:pt>
                <c:pt idx="753">
                  <c:v>754</c:v>
                </c:pt>
                <c:pt idx="754">
                  <c:v>755</c:v>
                </c:pt>
                <c:pt idx="755">
                  <c:v>756</c:v>
                </c:pt>
                <c:pt idx="756">
                  <c:v>757</c:v>
                </c:pt>
                <c:pt idx="757">
                  <c:v>758</c:v>
                </c:pt>
                <c:pt idx="758">
                  <c:v>759</c:v>
                </c:pt>
                <c:pt idx="759">
                  <c:v>760</c:v>
                </c:pt>
                <c:pt idx="760">
                  <c:v>761</c:v>
                </c:pt>
                <c:pt idx="761">
                  <c:v>762</c:v>
                </c:pt>
                <c:pt idx="762">
                  <c:v>763</c:v>
                </c:pt>
                <c:pt idx="763">
                  <c:v>764</c:v>
                </c:pt>
                <c:pt idx="764">
                  <c:v>765</c:v>
                </c:pt>
                <c:pt idx="765">
                  <c:v>766</c:v>
                </c:pt>
                <c:pt idx="766">
                  <c:v>767</c:v>
                </c:pt>
                <c:pt idx="767">
                  <c:v>768</c:v>
                </c:pt>
                <c:pt idx="768">
                  <c:v>769</c:v>
                </c:pt>
                <c:pt idx="769">
                  <c:v>770</c:v>
                </c:pt>
                <c:pt idx="770">
                  <c:v>771</c:v>
                </c:pt>
                <c:pt idx="771">
                  <c:v>772</c:v>
                </c:pt>
                <c:pt idx="772">
                  <c:v>773</c:v>
                </c:pt>
                <c:pt idx="773">
                  <c:v>774</c:v>
                </c:pt>
                <c:pt idx="774">
                  <c:v>775</c:v>
                </c:pt>
                <c:pt idx="775">
                  <c:v>776</c:v>
                </c:pt>
                <c:pt idx="776">
                  <c:v>777</c:v>
                </c:pt>
                <c:pt idx="777">
                  <c:v>778</c:v>
                </c:pt>
                <c:pt idx="778">
                  <c:v>779</c:v>
                </c:pt>
                <c:pt idx="779">
                  <c:v>780</c:v>
                </c:pt>
                <c:pt idx="780">
                  <c:v>781</c:v>
                </c:pt>
                <c:pt idx="781">
                  <c:v>782</c:v>
                </c:pt>
                <c:pt idx="782">
                  <c:v>783</c:v>
                </c:pt>
                <c:pt idx="783">
                  <c:v>784</c:v>
                </c:pt>
                <c:pt idx="784">
                  <c:v>785</c:v>
                </c:pt>
                <c:pt idx="785">
                  <c:v>786</c:v>
                </c:pt>
                <c:pt idx="786">
                  <c:v>787</c:v>
                </c:pt>
                <c:pt idx="787">
                  <c:v>788</c:v>
                </c:pt>
                <c:pt idx="788">
                  <c:v>789</c:v>
                </c:pt>
                <c:pt idx="789">
                  <c:v>790</c:v>
                </c:pt>
                <c:pt idx="790">
                  <c:v>791</c:v>
                </c:pt>
                <c:pt idx="791">
                  <c:v>792</c:v>
                </c:pt>
                <c:pt idx="792">
                  <c:v>793</c:v>
                </c:pt>
                <c:pt idx="793">
                  <c:v>794</c:v>
                </c:pt>
                <c:pt idx="794">
                  <c:v>795</c:v>
                </c:pt>
                <c:pt idx="795">
                  <c:v>796</c:v>
                </c:pt>
                <c:pt idx="796">
                  <c:v>797</c:v>
                </c:pt>
                <c:pt idx="797">
                  <c:v>798</c:v>
                </c:pt>
                <c:pt idx="798">
                  <c:v>799</c:v>
                </c:pt>
                <c:pt idx="799">
                  <c:v>800</c:v>
                </c:pt>
                <c:pt idx="800">
                  <c:v>801</c:v>
                </c:pt>
                <c:pt idx="801">
                  <c:v>802</c:v>
                </c:pt>
                <c:pt idx="802">
                  <c:v>803</c:v>
                </c:pt>
                <c:pt idx="803">
                  <c:v>804</c:v>
                </c:pt>
                <c:pt idx="804">
                  <c:v>805</c:v>
                </c:pt>
                <c:pt idx="805">
                  <c:v>806</c:v>
                </c:pt>
                <c:pt idx="806">
                  <c:v>807</c:v>
                </c:pt>
                <c:pt idx="807">
                  <c:v>808</c:v>
                </c:pt>
                <c:pt idx="808">
                  <c:v>809</c:v>
                </c:pt>
                <c:pt idx="809">
                  <c:v>810</c:v>
                </c:pt>
                <c:pt idx="810">
                  <c:v>811</c:v>
                </c:pt>
                <c:pt idx="811">
                  <c:v>812</c:v>
                </c:pt>
                <c:pt idx="812">
                  <c:v>813</c:v>
                </c:pt>
                <c:pt idx="813">
                  <c:v>814</c:v>
                </c:pt>
                <c:pt idx="814">
                  <c:v>815</c:v>
                </c:pt>
                <c:pt idx="815">
                  <c:v>816</c:v>
                </c:pt>
                <c:pt idx="816">
                  <c:v>817</c:v>
                </c:pt>
                <c:pt idx="817">
                  <c:v>818</c:v>
                </c:pt>
                <c:pt idx="818">
                  <c:v>819</c:v>
                </c:pt>
                <c:pt idx="819">
                  <c:v>820</c:v>
                </c:pt>
                <c:pt idx="820">
                  <c:v>821</c:v>
                </c:pt>
                <c:pt idx="821">
                  <c:v>822</c:v>
                </c:pt>
                <c:pt idx="822">
                  <c:v>823</c:v>
                </c:pt>
                <c:pt idx="823">
                  <c:v>824</c:v>
                </c:pt>
                <c:pt idx="824">
                  <c:v>825</c:v>
                </c:pt>
                <c:pt idx="825">
                  <c:v>826</c:v>
                </c:pt>
                <c:pt idx="826">
                  <c:v>827</c:v>
                </c:pt>
                <c:pt idx="827">
                  <c:v>828</c:v>
                </c:pt>
                <c:pt idx="828">
                  <c:v>829</c:v>
                </c:pt>
                <c:pt idx="829">
                  <c:v>830</c:v>
                </c:pt>
                <c:pt idx="830">
                  <c:v>831</c:v>
                </c:pt>
                <c:pt idx="831">
                  <c:v>832</c:v>
                </c:pt>
                <c:pt idx="832">
                  <c:v>833</c:v>
                </c:pt>
                <c:pt idx="833">
                  <c:v>834</c:v>
                </c:pt>
                <c:pt idx="834">
                  <c:v>835</c:v>
                </c:pt>
                <c:pt idx="835">
                  <c:v>836</c:v>
                </c:pt>
                <c:pt idx="836">
                  <c:v>837</c:v>
                </c:pt>
                <c:pt idx="837">
                  <c:v>838</c:v>
                </c:pt>
                <c:pt idx="838">
                  <c:v>839</c:v>
                </c:pt>
                <c:pt idx="839">
                  <c:v>840</c:v>
                </c:pt>
                <c:pt idx="840">
                  <c:v>841</c:v>
                </c:pt>
                <c:pt idx="841">
                  <c:v>842</c:v>
                </c:pt>
                <c:pt idx="842">
                  <c:v>843</c:v>
                </c:pt>
                <c:pt idx="843">
                  <c:v>844</c:v>
                </c:pt>
                <c:pt idx="844">
                  <c:v>845</c:v>
                </c:pt>
                <c:pt idx="845">
                  <c:v>846</c:v>
                </c:pt>
                <c:pt idx="846">
                  <c:v>847</c:v>
                </c:pt>
                <c:pt idx="847">
                  <c:v>848</c:v>
                </c:pt>
                <c:pt idx="848">
                  <c:v>849</c:v>
                </c:pt>
                <c:pt idx="849">
                  <c:v>850</c:v>
                </c:pt>
                <c:pt idx="850">
                  <c:v>851</c:v>
                </c:pt>
                <c:pt idx="851">
                  <c:v>852</c:v>
                </c:pt>
                <c:pt idx="852">
                  <c:v>853</c:v>
                </c:pt>
                <c:pt idx="853">
                  <c:v>854</c:v>
                </c:pt>
                <c:pt idx="854">
                  <c:v>855</c:v>
                </c:pt>
                <c:pt idx="855">
                  <c:v>856</c:v>
                </c:pt>
                <c:pt idx="856">
                  <c:v>857</c:v>
                </c:pt>
                <c:pt idx="857">
                  <c:v>858</c:v>
                </c:pt>
                <c:pt idx="858">
                  <c:v>859</c:v>
                </c:pt>
                <c:pt idx="859">
                  <c:v>860</c:v>
                </c:pt>
                <c:pt idx="860">
                  <c:v>861</c:v>
                </c:pt>
                <c:pt idx="861">
                  <c:v>862</c:v>
                </c:pt>
                <c:pt idx="862">
                  <c:v>863</c:v>
                </c:pt>
                <c:pt idx="863">
                  <c:v>864</c:v>
                </c:pt>
                <c:pt idx="864">
                  <c:v>865</c:v>
                </c:pt>
                <c:pt idx="865">
                  <c:v>866</c:v>
                </c:pt>
                <c:pt idx="866">
                  <c:v>867</c:v>
                </c:pt>
                <c:pt idx="867">
                  <c:v>868</c:v>
                </c:pt>
                <c:pt idx="868">
                  <c:v>869</c:v>
                </c:pt>
                <c:pt idx="869">
                  <c:v>870</c:v>
                </c:pt>
                <c:pt idx="870">
                  <c:v>871</c:v>
                </c:pt>
                <c:pt idx="871">
                  <c:v>872</c:v>
                </c:pt>
                <c:pt idx="872">
                  <c:v>873</c:v>
                </c:pt>
                <c:pt idx="873">
                  <c:v>874</c:v>
                </c:pt>
                <c:pt idx="874">
                  <c:v>875</c:v>
                </c:pt>
                <c:pt idx="875">
                  <c:v>876</c:v>
                </c:pt>
                <c:pt idx="876">
                  <c:v>877</c:v>
                </c:pt>
                <c:pt idx="877">
                  <c:v>878</c:v>
                </c:pt>
                <c:pt idx="878">
                  <c:v>879</c:v>
                </c:pt>
                <c:pt idx="879">
                  <c:v>880</c:v>
                </c:pt>
                <c:pt idx="880">
                  <c:v>881</c:v>
                </c:pt>
                <c:pt idx="881">
                  <c:v>882</c:v>
                </c:pt>
                <c:pt idx="882">
                  <c:v>883</c:v>
                </c:pt>
                <c:pt idx="883">
                  <c:v>884</c:v>
                </c:pt>
                <c:pt idx="884">
                  <c:v>885</c:v>
                </c:pt>
                <c:pt idx="885">
                  <c:v>886</c:v>
                </c:pt>
                <c:pt idx="886">
                  <c:v>887</c:v>
                </c:pt>
                <c:pt idx="887">
                  <c:v>888</c:v>
                </c:pt>
                <c:pt idx="888">
                  <c:v>889</c:v>
                </c:pt>
                <c:pt idx="889">
                  <c:v>890</c:v>
                </c:pt>
                <c:pt idx="890">
                  <c:v>891</c:v>
                </c:pt>
                <c:pt idx="891">
                  <c:v>892</c:v>
                </c:pt>
                <c:pt idx="892">
                  <c:v>893</c:v>
                </c:pt>
                <c:pt idx="893">
                  <c:v>894</c:v>
                </c:pt>
                <c:pt idx="894">
                  <c:v>895</c:v>
                </c:pt>
                <c:pt idx="895">
                  <c:v>896</c:v>
                </c:pt>
                <c:pt idx="896">
                  <c:v>897</c:v>
                </c:pt>
                <c:pt idx="897">
                  <c:v>898</c:v>
                </c:pt>
                <c:pt idx="898">
                  <c:v>899</c:v>
                </c:pt>
                <c:pt idx="899">
                  <c:v>900</c:v>
                </c:pt>
                <c:pt idx="900">
                  <c:v>901</c:v>
                </c:pt>
                <c:pt idx="901">
                  <c:v>902</c:v>
                </c:pt>
                <c:pt idx="902">
                  <c:v>903</c:v>
                </c:pt>
                <c:pt idx="903">
                  <c:v>904</c:v>
                </c:pt>
                <c:pt idx="904">
                  <c:v>905</c:v>
                </c:pt>
                <c:pt idx="905">
                  <c:v>906</c:v>
                </c:pt>
                <c:pt idx="906">
                  <c:v>907</c:v>
                </c:pt>
                <c:pt idx="907">
                  <c:v>908</c:v>
                </c:pt>
                <c:pt idx="908">
                  <c:v>909</c:v>
                </c:pt>
                <c:pt idx="909">
                  <c:v>910</c:v>
                </c:pt>
                <c:pt idx="910">
                  <c:v>911</c:v>
                </c:pt>
                <c:pt idx="911">
                  <c:v>912</c:v>
                </c:pt>
                <c:pt idx="912">
                  <c:v>913</c:v>
                </c:pt>
                <c:pt idx="913">
                  <c:v>914</c:v>
                </c:pt>
                <c:pt idx="914">
                  <c:v>915</c:v>
                </c:pt>
                <c:pt idx="915">
                  <c:v>916</c:v>
                </c:pt>
                <c:pt idx="916">
                  <c:v>917</c:v>
                </c:pt>
                <c:pt idx="917">
                  <c:v>918</c:v>
                </c:pt>
                <c:pt idx="918">
                  <c:v>919</c:v>
                </c:pt>
                <c:pt idx="919">
                  <c:v>920</c:v>
                </c:pt>
                <c:pt idx="920">
                  <c:v>921</c:v>
                </c:pt>
                <c:pt idx="921">
                  <c:v>922</c:v>
                </c:pt>
                <c:pt idx="922">
                  <c:v>923</c:v>
                </c:pt>
                <c:pt idx="923">
                  <c:v>924</c:v>
                </c:pt>
                <c:pt idx="924">
                  <c:v>925</c:v>
                </c:pt>
                <c:pt idx="925">
                  <c:v>926</c:v>
                </c:pt>
                <c:pt idx="926">
                  <c:v>927</c:v>
                </c:pt>
                <c:pt idx="927">
                  <c:v>928</c:v>
                </c:pt>
                <c:pt idx="928">
                  <c:v>929</c:v>
                </c:pt>
                <c:pt idx="929">
                  <c:v>930</c:v>
                </c:pt>
                <c:pt idx="930">
                  <c:v>931</c:v>
                </c:pt>
                <c:pt idx="931">
                  <c:v>932</c:v>
                </c:pt>
                <c:pt idx="932">
                  <c:v>933</c:v>
                </c:pt>
                <c:pt idx="933">
                  <c:v>934</c:v>
                </c:pt>
                <c:pt idx="934">
                  <c:v>935</c:v>
                </c:pt>
                <c:pt idx="935">
                  <c:v>936</c:v>
                </c:pt>
                <c:pt idx="936">
                  <c:v>937</c:v>
                </c:pt>
                <c:pt idx="937">
                  <c:v>938</c:v>
                </c:pt>
                <c:pt idx="938">
                  <c:v>939</c:v>
                </c:pt>
                <c:pt idx="939">
                  <c:v>940</c:v>
                </c:pt>
                <c:pt idx="940">
                  <c:v>941</c:v>
                </c:pt>
                <c:pt idx="941">
                  <c:v>942</c:v>
                </c:pt>
                <c:pt idx="942">
                  <c:v>943</c:v>
                </c:pt>
                <c:pt idx="943">
                  <c:v>944</c:v>
                </c:pt>
                <c:pt idx="944">
                  <c:v>945</c:v>
                </c:pt>
                <c:pt idx="945">
                  <c:v>946</c:v>
                </c:pt>
                <c:pt idx="946">
                  <c:v>947</c:v>
                </c:pt>
                <c:pt idx="947">
                  <c:v>948</c:v>
                </c:pt>
                <c:pt idx="948">
                  <c:v>949</c:v>
                </c:pt>
                <c:pt idx="949">
                  <c:v>950</c:v>
                </c:pt>
                <c:pt idx="950">
                  <c:v>951</c:v>
                </c:pt>
                <c:pt idx="951">
                  <c:v>952</c:v>
                </c:pt>
                <c:pt idx="952">
                  <c:v>953</c:v>
                </c:pt>
                <c:pt idx="953">
                  <c:v>954</c:v>
                </c:pt>
                <c:pt idx="954">
                  <c:v>955</c:v>
                </c:pt>
                <c:pt idx="955">
                  <c:v>956</c:v>
                </c:pt>
                <c:pt idx="956">
                  <c:v>957</c:v>
                </c:pt>
                <c:pt idx="957">
                  <c:v>958</c:v>
                </c:pt>
                <c:pt idx="958">
                  <c:v>959</c:v>
                </c:pt>
                <c:pt idx="959">
                  <c:v>960</c:v>
                </c:pt>
                <c:pt idx="960">
                  <c:v>961</c:v>
                </c:pt>
                <c:pt idx="961">
                  <c:v>962</c:v>
                </c:pt>
                <c:pt idx="962">
                  <c:v>963</c:v>
                </c:pt>
                <c:pt idx="963">
                  <c:v>964</c:v>
                </c:pt>
                <c:pt idx="964">
                  <c:v>965</c:v>
                </c:pt>
                <c:pt idx="965">
                  <c:v>966</c:v>
                </c:pt>
                <c:pt idx="966">
                  <c:v>967</c:v>
                </c:pt>
                <c:pt idx="967">
                  <c:v>968</c:v>
                </c:pt>
                <c:pt idx="968">
                  <c:v>969</c:v>
                </c:pt>
                <c:pt idx="969">
                  <c:v>970</c:v>
                </c:pt>
                <c:pt idx="970">
                  <c:v>971</c:v>
                </c:pt>
                <c:pt idx="971">
                  <c:v>972</c:v>
                </c:pt>
                <c:pt idx="972">
                  <c:v>973</c:v>
                </c:pt>
                <c:pt idx="973">
                  <c:v>974</c:v>
                </c:pt>
                <c:pt idx="974">
                  <c:v>975</c:v>
                </c:pt>
                <c:pt idx="975">
                  <c:v>976</c:v>
                </c:pt>
                <c:pt idx="976">
                  <c:v>977</c:v>
                </c:pt>
                <c:pt idx="977">
                  <c:v>978</c:v>
                </c:pt>
                <c:pt idx="978">
                  <c:v>979</c:v>
                </c:pt>
                <c:pt idx="979">
                  <c:v>980</c:v>
                </c:pt>
                <c:pt idx="980">
                  <c:v>981</c:v>
                </c:pt>
                <c:pt idx="981">
                  <c:v>982</c:v>
                </c:pt>
                <c:pt idx="982">
                  <c:v>983</c:v>
                </c:pt>
                <c:pt idx="983">
                  <c:v>984</c:v>
                </c:pt>
                <c:pt idx="984">
                  <c:v>985</c:v>
                </c:pt>
                <c:pt idx="985">
                  <c:v>986</c:v>
                </c:pt>
                <c:pt idx="986">
                  <c:v>987</c:v>
                </c:pt>
                <c:pt idx="987">
                  <c:v>988</c:v>
                </c:pt>
                <c:pt idx="988">
                  <c:v>989</c:v>
                </c:pt>
                <c:pt idx="989">
                  <c:v>990</c:v>
                </c:pt>
                <c:pt idx="990">
                  <c:v>991</c:v>
                </c:pt>
                <c:pt idx="991">
                  <c:v>992</c:v>
                </c:pt>
                <c:pt idx="992">
                  <c:v>993</c:v>
                </c:pt>
                <c:pt idx="993">
                  <c:v>994</c:v>
                </c:pt>
                <c:pt idx="994">
                  <c:v>995</c:v>
                </c:pt>
                <c:pt idx="995">
                  <c:v>996</c:v>
                </c:pt>
                <c:pt idx="996">
                  <c:v>997</c:v>
                </c:pt>
                <c:pt idx="997">
                  <c:v>998</c:v>
                </c:pt>
                <c:pt idx="998">
                  <c:v>999</c:v>
                </c:pt>
                <c:pt idx="999">
                  <c:v>1000</c:v>
                </c:pt>
                <c:pt idx="1000">
                  <c:v>1001</c:v>
                </c:pt>
                <c:pt idx="1001">
                  <c:v>1002</c:v>
                </c:pt>
                <c:pt idx="1002">
                  <c:v>1003</c:v>
                </c:pt>
                <c:pt idx="1003">
                  <c:v>1004</c:v>
                </c:pt>
                <c:pt idx="1004">
                  <c:v>1005</c:v>
                </c:pt>
                <c:pt idx="1005">
                  <c:v>1006</c:v>
                </c:pt>
                <c:pt idx="1006">
                  <c:v>1007</c:v>
                </c:pt>
                <c:pt idx="1007">
                  <c:v>1008</c:v>
                </c:pt>
                <c:pt idx="1008">
                  <c:v>1009</c:v>
                </c:pt>
                <c:pt idx="1009">
                  <c:v>1010</c:v>
                </c:pt>
                <c:pt idx="1010">
                  <c:v>1011</c:v>
                </c:pt>
                <c:pt idx="1011">
                  <c:v>1012</c:v>
                </c:pt>
                <c:pt idx="1012">
                  <c:v>1013</c:v>
                </c:pt>
                <c:pt idx="1013">
                  <c:v>1014</c:v>
                </c:pt>
                <c:pt idx="1014">
                  <c:v>1015</c:v>
                </c:pt>
                <c:pt idx="1015">
                  <c:v>1016</c:v>
                </c:pt>
                <c:pt idx="1016">
                  <c:v>1017</c:v>
                </c:pt>
                <c:pt idx="1017">
                  <c:v>1018</c:v>
                </c:pt>
                <c:pt idx="1018">
                  <c:v>1019</c:v>
                </c:pt>
                <c:pt idx="1019">
                  <c:v>1020</c:v>
                </c:pt>
                <c:pt idx="1020">
                  <c:v>1021</c:v>
                </c:pt>
                <c:pt idx="1021">
                  <c:v>1022</c:v>
                </c:pt>
                <c:pt idx="1022">
                  <c:v>1023</c:v>
                </c:pt>
                <c:pt idx="1023">
                  <c:v>1024</c:v>
                </c:pt>
                <c:pt idx="1024">
                  <c:v>1025</c:v>
                </c:pt>
                <c:pt idx="1025">
                  <c:v>1026</c:v>
                </c:pt>
                <c:pt idx="1026">
                  <c:v>1027</c:v>
                </c:pt>
                <c:pt idx="1027">
                  <c:v>1028</c:v>
                </c:pt>
                <c:pt idx="1028">
                  <c:v>1029</c:v>
                </c:pt>
                <c:pt idx="1029">
                  <c:v>1030</c:v>
                </c:pt>
                <c:pt idx="1030">
                  <c:v>1031</c:v>
                </c:pt>
                <c:pt idx="1031">
                  <c:v>1032</c:v>
                </c:pt>
                <c:pt idx="1032">
                  <c:v>1033</c:v>
                </c:pt>
                <c:pt idx="1033">
                  <c:v>1034</c:v>
                </c:pt>
                <c:pt idx="1034">
                  <c:v>1035</c:v>
                </c:pt>
                <c:pt idx="1035">
                  <c:v>1036</c:v>
                </c:pt>
                <c:pt idx="1036">
                  <c:v>1037</c:v>
                </c:pt>
                <c:pt idx="1037">
                  <c:v>1038</c:v>
                </c:pt>
                <c:pt idx="1038">
                  <c:v>1039</c:v>
                </c:pt>
                <c:pt idx="1039">
                  <c:v>1040</c:v>
                </c:pt>
                <c:pt idx="1040">
                  <c:v>1041</c:v>
                </c:pt>
                <c:pt idx="1041">
                  <c:v>1042</c:v>
                </c:pt>
                <c:pt idx="1042">
                  <c:v>1043</c:v>
                </c:pt>
                <c:pt idx="1043">
                  <c:v>1044</c:v>
                </c:pt>
                <c:pt idx="1044">
                  <c:v>1045</c:v>
                </c:pt>
                <c:pt idx="1045">
                  <c:v>1046</c:v>
                </c:pt>
                <c:pt idx="1046">
                  <c:v>1047</c:v>
                </c:pt>
                <c:pt idx="1047">
                  <c:v>1048</c:v>
                </c:pt>
                <c:pt idx="1048">
                  <c:v>1049</c:v>
                </c:pt>
                <c:pt idx="1049">
                  <c:v>1050</c:v>
                </c:pt>
                <c:pt idx="1050">
                  <c:v>1051</c:v>
                </c:pt>
                <c:pt idx="1051">
                  <c:v>1052</c:v>
                </c:pt>
                <c:pt idx="1052">
                  <c:v>1053</c:v>
                </c:pt>
                <c:pt idx="1053">
                  <c:v>1054</c:v>
                </c:pt>
                <c:pt idx="1054">
                  <c:v>1055</c:v>
                </c:pt>
                <c:pt idx="1055">
                  <c:v>1056</c:v>
                </c:pt>
                <c:pt idx="1056">
                  <c:v>1057</c:v>
                </c:pt>
                <c:pt idx="1057">
                  <c:v>1058</c:v>
                </c:pt>
                <c:pt idx="1058">
                  <c:v>1059</c:v>
                </c:pt>
                <c:pt idx="1059">
                  <c:v>1060</c:v>
                </c:pt>
                <c:pt idx="1060">
                  <c:v>1061</c:v>
                </c:pt>
                <c:pt idx="1061">
                  <c:v>1062</c:v>
                </c:pt>
                <c:pt idx="1062">
                  <c:v>1063</c:v>
                </c:pt>
                <c:pt idx="1063">
                  <c:v>1064</c:v>
                </c:pt>
                <c:pt idx="1064">
                  <c:v>1065</c:v>
                </c:pt>
                <c:pt idx="1065">
                  <c:v>1066</c:v>
                </c:pt>
                <c:pt idx="1066">
                  <c:v>1067</c:v>
                </c:pt>
                <c:pt idx="1067">
                  <c:v>1068</c:v>
                </c:pt>
                <c:pt idx="1068">
                  <c:v>1069</c:v>
                </c:pt>
                <c:pt idx="1069">
                  <c:v>1070</c:v>
                </c:pt>
                <c:pt idx="1070">
                  <c:v>1071</c:v>
                </c:pt>
                <c:pt idx="1071">
                  <c:v>1072</c:v>
                </c:pt>
                <c:pt idx="1072">
                  <c:v>1073</c:v>
                </c:pt>
                <c:pt idx="1073">
                  <c:v>1074</c:v>
                </c:pt>
                <c:pt idx="1074">
                  <c:v>1075</c:v>
                </c:pt>
                <c:pt idx="1075">
                  <c:v>1076</c:v>
                </c:pt>
                <c:pt idx="1076">
                  <c:v>1077</c:v>
                </c:pt>
                <c:pt idx="1077">
                  <c:v>1078</c:v>
                </c:pt>
                <c:pt idx="1078">
                  <c:v>1079</c:v>
                </c:pt>
                <c:pt idx="1079">
                  <c:v>1080</c:v>
                </c:pt>
                <c:pt idx="1080">
                  <c:v>1081</c:v>
                </c:pt>
                <c:pt idx="1081">
                  <c:v>1082</c:v>
                </c:pt>
                <c:pt idx="1082">
                  <c:v>1083</c:v>
                </c:pt>
                <c:pt idx="1083">
                  <c:v>1084</c:v>
                </c:pt>
                <c:pt idx="1084">
                  <c:v>1085</c:v>
                </c:pt>
                <c:pt idx="1085">
                  <c:v>1086</c:v>
                </c:pt>
                <c:pt idx="1086">
                  <c:v>1087</c:v>
                </c:pt>
                <c:pt idx="1087">
                  <c:v>1088</c:v>
                </c:pt>
                <c:pt idx="1088">
                  <c:v>1089</c:v>
                </c:pt>
                <c:pt idx="1089">
                  <c:v>1090</c:v>
                </c:pt>
                <c:pt idx="1090">
                  <c:v>1091</c:v>
                </c:pt>
                <c:pt idx="1091">
                  <c:v>1092</c:v>
                </c:pt>
                <c:pt idx="1092">
                  <c:v>1093</c:v>
                </c:pt>
                <c:pt idx="1093">
                  <c:v>1094</c:v>
                </c:pt>
                <c:pt idx="1094">
                  <c:v>1095</c:v>
                </c:pt>
                <c:pt idx="1095">
                  <c:v>1096</c:v>
                </c:pt>
                <c:pt idx="1096">
                  <c:v>1097</c:v>
                </c:pt>
                <c:pt idx="1097">
                  <c:v>1098</c:v>
                </c:pt>
                <c:pt idx="1098">
                  <c:v>1099</c:v>
                </c:pt>
                <c:pt idx="1099">
                  <c:v>1100</c:v>
                </c:pt>
                <c:pt idx="1100">
                  <c:v>1101</c:v>
                </c:pt>
                <c:pt idx="1101">
                  <c:v>1102</c:v>
                </c:pt>
                <c:pt idx="1102">
                  <c:v>1103</c:v>
                </c:pt>
                <c:pt idx="1103">
                  <c:v>1104</c:v>
                </c:pt>
                <c:pt idx="1104">
                  <c:v>1105</c:v>
                </c:pt>
                <c:pt idx="1105">
                  <c:v>1106</c:v>
                </c:pt>
                <c:pt idx="1106">
                  <c:v>1107</c:v>
                </c:pt>
                <c:pt idx="1107">
                  <c:v>1108</c:v>
                </c:pt>
                <c:pt idx="1108">
                  <c:v>1109</c:v>
                </c:pt>
                <c:pt idx="1109">
                  <c:v>1110</c:v>
                </c:pt>
                <c:pt idx="1110">
                  <c:v>1111</c:v>
                </c:pt>
                <c:pt idx="1111">
                  <c:v>1112</c:v>
                </c:pt>
                <c:pt idx="1112">
                  <c:v>1113</c:v>
                </c:pt>
                <c:pt idx="1113">
                  <c:v>1114</c:v>
                </c:pt>
                <c:pt idx="1114">
                  <c:v>1115</c:v>
                </c:pt>
                <c:pt idx="1115">
                  <c:v>1116</c:v>
                </c:pt>
                <c:pt idx="1116">
                  <c:v>1117</c:v>
                </c:pt>
                <c:pt idx="1117">
                  <c:v>1118</c:v>
                </c:pt>
                <c:pt idx="1118">
                  <c:v>1119</c:v>
                </c:pt>
                <c:pt idx="1119">
                  <c:v>1120</c:v>
                </c:pt>
                <c:pt idx="1120">
                  <c:v>1121</c:v>
                </c:pt>
                <c:pt idx="1121">
                  <c:v>1122</c:v>
                </c:pt>
                <c:pt idx="1122">
                  <c:v>1123</c:v>
                </c:pt>
                <c:pt idx="1123">
                  <c:v>1124</c:v>
                </c:pt>
                <c:pt idx="1124">
                  <c:v>1125</c:v>
                </c:pt>
                <c:pt idx="1125">
                  <c:v>1126</c:v>
                </c:pt>
                <c:pt idx="1126">
                  <c:v>1127</c:v>
                </c:pt>
                <c:pt idx="1127">
                  <c:v>1128</c:v>
                </c:pt>
                <c:pt idx="1128">
                  <c:v>1129</c:v>
                </c:pt>
                <c:pt idx="1129">
                  <c:v>1130</c:v>
                </c:pt>
                <c:pt idx="1130">
                  <c:v>1131</c:v>
                </c:pt>
                <c:pt idx="1131">
                  <c:v>1132</c:v>
                </c:pt>
                <c:pt idx="1132">
                  <c:v>1133</c:v>
                </c:pt>
                <c:pt idx="1133">
                  <c:v>1134</c:v>
                </c:pt>
                <c:pt idx="1134">
                  <c:v>1135</c:v>
                </c:pt>
                <c:pt idx="1135">
                  <c:v>1136</c:v>
                </c:pt>
                <c:pt idx="1136">
                  <c:v>1137</c:v>
                </c:pt>
                <c:pt idx="1137">
                  <c:v>1138</c:v>
                </c:pt>
                <c:pt idx="1138">
                  <c:v>1139</c:v>
                </c:pt>
                <c:pt idx="1139">
                  <c:v>1140</c:v>
                </c:pt>
                <c:pt idx="1140">
                  <c:v>1141</c:v>
                </c:pt>
                <c:pt idx="1141">
                  <c:v>1142</c:v>
                </c:pt>
                <c:pt idx="1142">
                  <c:v>1143</c:v>
                </c:pt>
                <c:pt idx="1143">
                  <c:v>1144</c:v>
                </c:pt>
                <c:pt idx="1144">
                  <c:v>1145</c:v>
                </c:pt>
                <c:pt idx="1145">
                  <c:v>1146</c:v>
                </c:pt>
                <c:pt idx="1146">
                  <c:v>1147</c:v>
                </c:pt>
                <c:pt idx="1147">
                  <c:v>1148</c:v>
                </c:pt>
                <c:pt idx="1148">
                  <c:v>1149</c:v>
                </c:pt>
                <c:pt idx="1149">
                  <c:v>1150</c:v>
                </c:pt>
                <c:pt idx="1150">
                  <c:v>1151</c:v>
                </c:pt>
                <c:pt idx="1151">
                  <c:v>1152</c:v>
                </c:pt>
                <c:pt idx="1152">
                  <c:v>1153</c:v>
                </c:pt>
                <c:pt idx="1153">
                  <c:v>1154</c:v>
                </c:pt>
                <c:pt idx="1154">
                  <c:v>1155</c:v>
                </c:pt>
                <c:pt idx="1155">
                  <c:v>1156</c:v>
                </c:pt>
                <c:pt idx="1156">
                  <c:v>1157</c:v>
                </c:pt>
                <c:pt idx="1157">
                  <c:v>1158</c:v>
                </c:pt>
                <c:pt idx="1158">
                  <c:v>1159</c:v>
                </c:pt>
                <c:pt idx="1159">
                  <c:v>1160</c:v>
                </c:pt>
                <c:pt idx="1160">
                  <c:v>1161</c:v>
                </c:pt>
                <c:pt idx="1161">
                  <c:v>1162</c:v>
                </c:pt>
                <c:pt idx="1162">
                  <c:v>1163</c:v>
                </c:pt>
                <c:pt idx="1163">
                  <c:v>1164</c:v>
                </c:pt>
                <c:pt idx="1164">
                  <c:v>1165</c:v>
                </c:pt>
                <c:pt idx="1165">
                  <c:v>1166</c:v>
                </c:pt>
                <c:pt idx="1166">
                  <c:v>1167</c:v>
                </c:pt>
                <c:pt idx="1167">
                  <c:v>1168</c:v>
                </c:pt>
                <c:pt idx="1168">
                  <c:v>1169</c:v>
                </c:pt>
                <c:pt idx="1169">
                  <c:v>1170</c:v>
                </c:pt>
                <c:pt idx="1170">
                  <c:v>1171</c:v>
                </c:pt>
                <c:pt idx="1171">
                  <c:v>1172</c:v>
                </c:pt>
                <c:pt idx="1172">
                  <c:v>1173</c:v>
                </c:pt>
                <c:pt idx="1173">
                  <c:v>1174</c:v>
                </c:pt>
                <c:pt idx="1174">
                  <c:v>1175</c:v>
                </c:pt>
                <c:pt idx="1175">
                  <c:v>1176</c:v>
                </c:pt>
                <c:pt idx="1176">
                  <c:v>1177</c:v>
                </c:pt>
                <c:pt idx="1177">
                  <c:v>1178</c:v>
                </c:pt>
                <c:pt idx="1178">
                  <c:v>1179</c:v>
                </c:pt>
                <c:pt idx="1179">
                  <c:v>1180</c:v>
                </c:pt>
                <c:pt idx="1180">
                  <c:v>1181</c:v>
                </c:pt>
                <c:pt idx="1181">
                  <c:v>1182</c:v>
                </c:pt>
                <c:pt idx="1182">
                  <c:v>1183</c:v>
                </c:pt>
                <c:pt idx="1183">
                  <c:v>1184</c:v>
                </c:pt>
                <c:pt idx="1184">
                  <c:v>1185</c:v>
                </c:pt>
                <c:pt idx="1185">
                  <c:v>1186</c:v>
                </c:pt>
                <c:pt idx="1186">
                  <c:v>1187</c:v>
                </c:pt>
                <c:pt idx="1187">
                  <c:v>1188</c:v>
                </c:pt>
                <c:pt idx="1188">
                  <c:v>1189</c:v>
                </c:pt>
                <c:pt idx="1189">
                  <c:v>1190</c:v>
                </c:pt>
                <c:pt idx="1190">
                  <c:v>1191</c:v>
                </c:pt>
                <c:pt idx="1191">
                  <c:v>1192</c:v>
                </c:pt>
                <c:pt idx="1192">
                  <c:v>1193</c:v>
                </c:pt>
                <c:pt idx="1193">
                  <c:v>1194</c:v>
                </c:pt>
                <c:pt idx="1194">
                  <c:v>1195</c:v>
                </c:pt>
                <c:pt idx="1195">
                  <c:v>1196</c:v>
                </c:pt>
                <c:pt idx="1196">
                  <c:v>1197</c:v>
                </c:pt>
                <c:pt idx="1197">
                  <c:v>1198</c:v>
                </c:pt>
                <c:pt idx="1198">
                  <c:v>1199</c:v>
                </c:pt>
                <c:pt idx="1199">
                  <c:v>1200</c:v>
                </c:pt>
              </c:numCache>
            </c:numRef>
          </c:cat>
          <c:val>
            <c:numRef>
              <c:f>'Roof edge insulation'!$DI$2:$DI$1201</c:f>
              <c:numCache>
                <c:formatCode>0</c:formatCode>
                <c:ptCount val="1200"/>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pt idx="120">
                  <c:v>0</c:v>
                </c:pt>
                <c:pt idx="121">
                  <c:v>0</c:v>
                </c:pt>
                <c:pt idx="122">
                  <c:v>0</c:v>
                </c:pt>
                <c:pt idx="123">
                  <c:v>0</c:v>
                </c:pt>
                <c:pt idx="124">
                  <c:v>0</c:v>
                </c:pt>
                <c:pt idx="125">
                  <c:v>0</c:v>
                </c:pt>
                <c:pt idx="126">
                  <c:v>0</c:v>
                </c:pt>
                <c:pt idx="127">
                  <c:v>0</c:v>
                </c:pt>
                <c:pt idx="128">
                  <c:v>0</c:v>
                </c:pt>
                <c:pt idx="129">
                  <c:v>0</c:v>
                </c:pt>
                <c:pt idx="130">
                  <c:v>0</c:v>
                </c:pt>
                <c:pt idx="131">
                  <c:v>0</c:v>
                </c:pt>
                <c:pt idx="132">
                  <c:v>0</c:v>
                </c:pt>
                <c:pt idx="133">
                  <c:v>0</c:v>
                </c:pt>
                <c:pt idx="134">
                  <c:v>0</c:v>
                </c:pt>
                <c:pt idx="135">
                  <c:v>0</c:v>
                </c:pt>
                <c:pt idx="136">
                  <c:v>0</c:v>
                </c:pt>
                <c:pt idx="137">
                  <c:v>0</c:v>
                </c:pt>
                <c:pt idx="138">
                  <c:v>0</c:v>
                </c:pt>
                <c:pt idx="139">
                  <c:v>0</c:v>
                </c:pt>
                <c:pt idx="140">
                  <c:v>0</c:v>
                </c:pt>
                <c:pt idx="141">
                  <c:v>0</c:v>
                </c:pt>
                <c:pt idx="142">
                  <c:v>0</c:v>
                </c:pt>
                <c:pt idx="143">
                  <c:v>0</c:v>
                </c:pt>
                <c:pt idx="144">
                  <c:v>0</c:v>
                </c:pt>
                <c:pt idx="145">
                  <c:v>0</c:v>
                </c:pt>
                <c:pt idx="146">
                  <c:v>0</c:v>
                </c:pt>
                <c:pt idx="147">
                  <c:v>0</c:v>
                </c:pt>
                <c:pt idx="148">
                  <c:v>0</c:v>
                </c:pt>
                <c:pt idx="149">
                  <c:v>0</c:v>
                </c:pt>
                <c:pt idx="150">
                  <c:v>0</c:v>
                </c:pt>
                <c:pt idx="151">
                  <c:v>0</c:v>
                </c:pt>
                <c:pt idx="152">
                  <c:v>0</c:v>
                </c:pt>
                <c:pt idx="153">
                  <c:v>0</c:v>
                </c:pt>
                <c:pt idx="154">
                  <c:v>0</c:v>
                </c:pt>
                <c:pt idx="155">
                  <c:v>0</c:v>
                </c:pt>
                <c:pt idx="156">
                  <c:v>0</c:v>
                </c:pt>
                <c:pt idx="157">
                  <c:v>0</c:v>
                </c:pt>
                <c:pt idx="158">
                  <c:v>0</c:v>
                </c:pt>
                <c:pt idx="159">
                  <c:v>0</c:v>
                </c:pt>
                <c:pt idx="160">
                  <c:v>0</c:v>
                </c:pt>
                <c:pt idx="161">
                  <c:v>0</c:v>
                </c:pt>
                <c:pt idx="162">
                  <c:v>0</c:v>
                </c:pt>
                <c:pt idx="163">
                  <c:v>0</c:v>
                </c:pt>
                <c:pt idx="164">
                  <c:v>0</c:v>
                </c:pt>
                <c:pt idx="165">
                  <c:v>0</c:v>
                </c:pt>
                <c:pt idx="166">
                  <c:v>0</c:v>
                </c:pt>
                <c:pt idx="167">
                  <c:v>0</c:v>
                </c:pt>
                <c:pt idx="168">
                  <c:v>0</c:v>
                </c:pt>
                <c:pt idx="169">
                  <c:v>0</c:v>
                </c:pt>
                <c:pt idx="170">
                  <c:v>0</c:v>
                </c:pt>
                <c:pt idx="171">
                  <c:v>0</c:v>
                </c:pt>
                <c:pt idx="172">
                  <c:v>0</c:v>
                </c:pt>
                <c:pt idx="173">
                  <c:v>0</c:v>
                </c:pt>
                <c:pt idx="174">
                  <c:v>0</c:v>
                </c:pt>
                <c:pt idx="175">
                  <c:v>0</c:v>
                </c:pt>
                <c:pt idx="176">
                  <c:v>0</c:v>
                </c:pt>
                <c:pt idx="177">
                  <c:v>0</c:v>
                </c:pt>
                <c:pt idx="178">
                  <c:v>0</c:v>
                </c:pt>
                <c:pt idx="179">
                  <c:v>0</c:v>
                </c:pt>
                <c:pt idx="180">
                  <c:v>0</c:v>
                </c:pt>
                <c:pt idx="181">
                  <c:v>0</c:v>
                </c:pt>
                <c:pt idx="182">
                  <c:v>0</c:v>
                </c:pt>
                <c:pt idx="183">
                  <c:v>0</c:v>
                </c:pt>
                <c:pt idx="184">
                  <c:v>0</c:v>
                </c:pt>
                <c:pt idx="185">
                  <c:v>0</c:v>
                </c:pt>
                <c:pt idx="186">
                  <c:v>0</c:v>
                </c:pt>
                <c:pt idx="187">
                  <c:v>0</c:v>
                </c:pt>
                <c:pt idx="188">
                  <c:v>0</c:v>
                </c:pt>
                <c:pt idx="189">
                  <c:v>0</c:v>
                </c:pt>
                <c:pt idx="190">
                  <c:v>0</c:v>
                </c:pt>
                <c:pt idx="191">
                  <c:v>0</c:v>
                </c:pt>
                <c:pt idx="192">
                  <c:v>0</c:v>
                </c:pt>
                <c:pt idx="193">
                  <c:v>0</c:v>
                </c:pt>
                <c:pt idx="194">
                  <c:v>0</c:v>
                </c:pt>
                <c:pt idx="195">
                  <c:v>0</c:v>
                </c:pt>
                <c:pt idx="196">
                  <c:v>0</c:v>
                </c:pt>
                <c:pt idx="197">
                  <c:v>0</c:v>
                </c:pt>
                <c:pt idx="198">
                  <c:v>0</c:v>
                </c:pt>
                <c:pt idx="199">
                  <c:v>0</c:v>
                </c:pt>
                <c:pt idx="200">
                  <c:v>0</c:v>
                </c:pt>
                <c:pt idx="201">
                  <c:v>0</c:v>
                </c:pt>
                <c:pt idx="202">
                  <c:v>0</c:v>
                </c:pt>
                <c:pt idx="203">
                  <c:v>0</c:v>
                </c:pt>
                <c:pt idx="204">
                  <c:v>0</c:v>
                </c:pt>
                <c:pt idx="205">
                  <c:v>0</c:v>
                </c:pt>
                <c:pt idx="206">
                  <c:v>0</c:v>
                </c:pt>
                <c:pt idx="207">
                  <c:v>0</c:v>
                </c:pt>
                <c:pt idx="208">
                  <c:v>0</c:v>
                </c:pt>
                <c:pt idx="209">
                  <c:v>0</c:v>
                </c:pt>
                <c:pt idx="210">
                  <c:v>0</c:v>
                </c:pt>
                <c:pt idx="211">
                  <c:v>0</c:v>
                </c:pt>
                <c:pt idx="212">
                  <c:v>0</c:v>
                </c:pt>
                <c:pt idx="213">
                  <c:v>0</c:v>
                </c:pt>
                <c:pt idx="214">
                  <c:v>0</c:v>
                </c:pt>
                <c:pt idx="215">
                  <c:v>0</c:v>
                </c:pt>
                <c:pt idx="216">
                  <c:v>0</c:v>
                </c:pt>
                <c:pt idx="217">
                  <c:v>0</c:v>
                </c:pt>
                <c:pt idx="218">
                  <c:v>0</c:v>
                </c:pt>
                <c:pt idx="219">
                  <c:v>0</c:v>
                </c:pt>
                <c:pt idx="220">
                  <c:v>0</c:v>
                </c:pt>
                <c:pt idx="221">
                  <c:v>0</c:v>
                </c:pt>
                <c:pt idx="222">
                  <c:v>0</c:v>
                </c:pt>
                <c:pt idx="223">
                  <c:v>0</c:v>
                </c:pt>
                <c:pt idx="224">
                  <c:v>0</c:v>
                </c:pt>
                <c:pt idx="225">
                  <c:v>0</c:v>
                </c:pt>
                <c:pt idx="226">
                  <c:v>0</c:v>
                </c:pt>
                <c:pt idx="227">
                  <c:v>0</c:v>
                </c:pt>
                <c:pt idx="228">
                  <c:v>0</c:v>
                </c:pt>
                <c:pt idx="229">
                  <c:v>0</c:v>
                </c:pt>
                <c:pt idx="230">
                  <c:v>0</c:v>
                </c:pt>
                <c:pt idx="231">
                  <c:v>0</c:v>
                </c:pt>
                <c:pt idx="232">
                  <c:v>0</c:v>
                </c:pt>
                <c:pt idx="233">
                  <c:v>0</c:v>
                </c:pt>
                <c:pt idx="234">
                  <c:v>0</c:v>
                </c:pt>
                <c:pt idx="235">
                  <c:v>0</c:v>
                </c:pt>
                <c:pt idx="236">
                  <c:v>0</c:v>
                </c:pt>
                <c:pt idx="237">
                  <c:v>0</c:v>
                </c:pt>
                <c:pt idx="238">
                  <c:v>0</c:v>
                </c:pt>
                <c:pt idx="239">
                  <c:v>0</c:v>
                </c:pt>
                <c:pt idx="240">
                  <c:v>0</c:v>
                </c:pt>
                <c:pt idx="241">
                  <c:v>0</c:v>
                </c:pt>
                <c:pt idx="242">
                  <c:v>0</c:v>
                </c:pt>
                <c:pt idx="243">
                  <c:v>0</c:v>
                </c:pt>
                <c:pt idx="244">
                  <c:v>0</c:v>
                </c:pt>
                <c:pt idx="245">
                  <c:v>0</c:v>
                </c:pt>
                <c:pt idx="246">
                  <c:v>0</c:v>
                </c:pt>
                <c:pt idx="247">
                  <c:v>0</c:v>
                </c:pt>
                <c:pt idx="248">
                  <c:v>0</c:v>
                </c:pt>
                <c:pt idx="249">
                  <c:v>0</c:v>
                </c:pt>
                <c:pt idx="250">
                  <c:v>0</c:v>
                </c:pt>
                <c:pt idx="251">
                  <c:v>0</c:v>
                </c:pt>
                <c:pt idx="252">
                  <c:v>0</c:v>
                </c:pt>
                <c:pt idx="253">
                  <c:v>0</c:v>
                </c:pt>
                <c:pt idx="254">
                  <c:v>0</c:v>
                </c:pt>
                <c:pt idx="255">
                  <c:v>0</c:v>
                </c:pt>
                <c:pt idx="256">
                  <c:v>0</c:v>
                </c:pt>
                <c:pt idx="257">
                  <c:v>0</c:v>
                </c:pt>
                <c:pt idx="258">
                  <c:v>0</c:v>
                </c:pt>
                <c:pt idx="259">
                  <c:v>0</c:v>
                </c:pt>
                <c:pt idx="260">
                  <c:v>0</c:v>
                </c:pt>
                <c:pt idx="261">
                  <c:v>0</c:v>
                </c:pt>
                <c:pt idx="262">
                  <c:v>0</c:v>
                </c:pt>
                <c:pt idx="263">
                  <c:v>0</c:v>
                </c:pt>
                <c:pt idx="264">
                  <c:v>0</c:v>
                </c:pt>
                <c:pt idx="265">
                  <c:v>0</c:v>
                </c:pt>
                <c:pt idx="266">
                  <c:v>0</c:v>
                </c:pt>
                <c:pt idx="267">
                  <c:v>0</c:v>
                </c:pt>
                <c:pt idx="268">
                  <c:v>0</c:v>
                </c:pt>
                <c:pt idx="269">
                  <c:v>0</c:v>
                </c:pt>
                <c:pt idx="270">
                  <c:v>0</c:v>
                </c:pt>
                <c:pt idx="271">
                  <c:v>0</c:v>
                </c:pt>
                <c:pt idx="272">
                  <c:v>0</c:v>
                </c:pt>
                <c:pt idx="273">
                  <c:v>0</c:v>
                </c:pt>
                <c:pt idx="274">
                  <c:v>0</c:v>
                </c:pt>
                <c:pt idx="275">
                  <c:v>0</c:v>
                </c:pt>
                <c:pt idx="276">
                  <c:v>0</c:v>
                </c:pt>
                <c:pt idx="277">
                  <c:v>0</c:v>
                </c:pt>
                <c:pt idx="278">
                  <c:v>0</c:v>
                </c:pt>
                <c:pt idx="279">
                  <c:v>0</c:v>
                </c:pt>
                <c:pt idx="280">
                  <c:v>0</c:v>
                </c:pt>
                <c:pt idx="281">
                  <c:v>0</c:v>
                </c:pt>
                <c:pt idx="282">
                  <c:v>0</c:v>
                </c:pt>
                <c:pt idx="283">
                  <c:v>0</c:v>
                </c:pt>
                <c:pt idx="284">
                  <c:v>0</c:v>
                </c:pt>
                <c:pt idx="285">
                  <c:v>0</c:v>
                </c:pt>
                <c:pt idx="286">
                  <c:v>0</c:v>
                </c:pt>
                <c:pt idx="287">
                  <c:v>0</c:v>
                </c:pt>
                <c:pt idx="288">
                  <c:v>0</c:v>
                </c:pt>
                <c:pt idx="289">
                  <c:v>0</c:v>
                </c:pt>
                <c:pt idx="290">
                  <c:v>0</c:v>
                </c:pt>
                <c:pt idx="291">
                  <c:v>0</c:v>
                </c:pt>
                <c:pt idx="292">
                  <c:v>0</c:v>
                </c:pt>
                <c:pt idx="293">
                  <c:v>0</c:v>
                </c:pt>
                <c:pt idx="294">
                  <c:v>0</c:v>
                </c:pt>
                <c:pt idx="295">
                  <c:v>0</c:v>
                </c:pt>
                <c:pt idx="296">
                  <c:v>0</c:v>
                </c:pt>
                <c:pt idx="297">
                  <c:v>0</c:v>
                </c:pt>
                <c:pt idx="298">
                  <c:v>0</c:v>
                </c:pt>
                <c:pt idx="299">
                  <c:v>0</c:v>
                </c:pt>
                <c:pt idx="300">
                  <c:v>0</c:v>
                </c:pt>
                <c:pt idx="301">
                  <c:v>0</c:v>
                </c:pt>
                <c:pt idx="302">
                  <c:v>0</c:v>
                </c:pt>
                <c:pt idx="303">
                  <c:v>0</c:v>
                </c:pt>
                <c:pt idx="304">
                  <c:v>0</c:v>
                </c:pt>
                <c:pt idx="305">
                  <c:v>0</c:v>
                </c:pt>
                <c:pt idx="306">
                  <c:v>0</c:v>
                </c:pt>
                <c:pt idx="307">
                  <c:v>0</c:v>
                </c:pt>
                <c:pt idx="308">
                  <c:v>0</c:v>
                </c:pt>
                <c:pt idx="309">
                  <c:v>0</c:v>
                </c:pt>
                <c:pt idx="310">
                  <c:v>0</c:v>
                </c:pt>
                <c:pt idx="311">
                  <c:v>0</c:v>
                </c:pt>
                <c:pt idx="312">
                  <c:v>0</c:v>
                </c:pt>
                <c:pt idx="313">
                  <c:v>0</c:v>
                </c:pt>
                <c:pt idx="314">
                  <c:v>0</c:v>
                </c:pt>
                <c:pt idx="315">
                  <c:v>0</c:v>
                </c:pt>
                <c:pt idx="316">
                  <c:v>0</c:v>
                </c:pt>
                <c:pt idx="317">
                  <c:v>0</c:v>
                </c:pt>
                <c:pt idx="318">
                  <c:v>0</c:v>
                </c:pt>
                <c:pt idx="319">
                  <c:v>0</c:v>
                </c:pt>
                <c:pt idx="320">
                  <c:v>0</c:v>
                </c:pt>
                <c:pt idx="321">
                  <c:v>0</c:v>
                </c:pt>
                <c:pt idx="322">
                  <c:v>0</c:v>
                </c:pt>
                <c:pt idx="323">
                  <c:v>0</c:v>
                </c:pt>
                <c:pt idx="324">
                  <c:v>0</c:v>
                </c:pt>
                <c:pt idx="325">
                  <c:v>0</c:v>
                </c:pt>
                <c:pt idx="326">
                  <c:v>0</c:v>
                </c:pt>
                <c:pt idx="327">
                  <c:v>0</c:v>
                </c:pt>
                <c:pt idx="328">
                  <c:v>0</c:v>
                </c:pt>
                <c:pt idx="329">
                  <c:v>0</c:v>
                </c:pt>
                <c:pt idx="330">
                  <c:v>0</c:v>
                </c:pt>
                <c:pt idx="331">
                  <c:v>0</c:v>
                </c:pt>
                <c:pt idx="332">
                  <c:v>0</c:v>
                </c:pt>
                <c:pt idx="333">
                  <c:v>0</c:v>
                </c:pt>
                <c:pt idx="334">
                  <c:v>0</c:v>
                </c:pt>
                <c:pt idx="335">
                  <c:v>0</c:v>
                </c:pt>
                <c:pt idx="336">
                  <c:v>0</c:v>
                </c:pt>
                <c:pt idx="337">
                  <c:v>0</c:v>
                </c:pt>
                <c:pt idx="338">
                  <c:v>0</c:v>
                </c:pt>
                <c:pt idx="339">
                  <c:v>0</c:v>
                </c:pt>
                <c:pt idx="340">
                  <c:v>0</c:v>
                </c:pt>
                <c:pt idx="341">
                  <c:v>0</c:v>
                </c:pt>
                <c:pt idx="342">
                  <c:v>0</c:v>
                </c:pt>
                <c:pt idx="343">
                  <c:v>0</c:v>
                </c:pt>
                <c:pt idx="344">
                  <c:v>0</c:v>
                </c:pt>
                <c:pt idx="345">
                  <c:v>0</c:v>
                </c:pt>
                <c:pt idx="346">
                  <c:v>0</c:v>
                </c:pt>
                <c:pt idx="347">
                  <c:v>0</c:v>
                </c:pt>
                <c:pt idx="348">
                  <c:v>0</c:v>
                </c:pt>
                <c:pt idx="349">
                  <c:v>0</c:v>
                </c:pt>
                <c:pt idx="350">
                  <c:v>0</c:v>
                </c:pt>
                <c:pt idx="351">
                  <c:v>0</c:v>
                </c:pt>
                <c:pt idx="352">
                  <c:v>0</c:v>
                </c:pt>
                <c:pt idx="353">
                  <c:v>0</c:v>
                </c:pt>
                <c:pt idx="354">
                  <c:v>0</c:v>
                </c:pt>
                <c:pt idx="355">
                  <c:v>0</c:v>
                </c:pt>
                <c:pt idx="356">
                  <c:v>0</c:v>
                </c:pt>
                <c:pt idx="357">
                  <c:v>0</c:v>
                </c:pt>
                <c:pt idx="358">
                  <c:v>0</c:v>
                </c:pt>
                <c:pt idx="359">
                  <c:v>0</c:v>
                </c:pt>
                <c:pt idx="360">
                  <c:v>0</c:v>
                </c:pt>
                <c:pt idx="361">
                  <c:v>0</c:v>
                </c:pt>
                <c:pt idx="362">
                  <c:v>0</c:v>
                </c:pt>
                <c:pt idx="363">
                  <c:v>0</c:v>
                </c:pt>
                <c:pt idx="364">
                  <c:v>0</c:v>
                </c:pt>
                <c:pt idx="365">
                  <c:v>0</c:v>
                </c:pt>
                <c:pt idx="366">
                  <c:v>0</c:v>
                </c:pt>
                <c:pt idx="367">
                  <c:v>0</c:v>
                </c:pt>
                <c:pt idx="368">
                  <c:v>0</c:v>
                </c:pt>
                <c:pt idx="369">
                  <c:v>0</c:v>
                </c:pt>
                <c:pt idx="370">
                  <c:v>0</c:v>
                </c:pt>
                <c:pt idx="371">
                  <c:v>0</c:v>
                </c:pt>
                <c:pt idx="372">
                  <c:v>0</c:v>
                </c:pt>
                <c:pt idx="373">
                  <c:v>0</c:v>
                </c:pt>
                <c:pt idx="374">
                  <c:v>0</c:v>
                </c:pt>
                <c:pt idx="375">
                  <c:v>0</c:v>
                </c:pt>
                <c:pt idx="376">
                  <c:v>0</c:v>
                </c:pt>
                <c:pt idx="377">
                  <c:v>0</c:v>
                </c:pt>
                <c:pt idx="378">
                  <c:v>0</c:v>
                </c:pt>
                <c:pt idx="379">
                  <c:v>0</c:v>
                </c:pt>
                <c:pt idx="380">
                  <c:v>0</c:v>
                </c:pt>
                <c:pt idx="381">
                  <c:v>0</c:v>
                </c:pt>
                <c:pt idx="382">
                  <c:v>0</c:v>
                </c:pt>
                <c:pt idx="383">
                  <c:v>0</c:v>
                </c:pt>
                <c:pt idx="384">
                  <c:v>0</c:v>
                </c:pt>
                <c:pt idx="385">
                  <c:v>0</c:v>
                </c:pt>
                <c:pt idx="386">
                  <c:v>0</c:v>
                </c:pt>
                <c:pt idx="387">
                  <c:v>0</c:v>
                </c:pt>
                <c:pt idx="388">
                  <c:v>0</c:v>
                </c:pt>
                <c:pt idx="389">
                  <c:v>0</c:v>
                </c:pt>
                <c:pt idx="390">
                  <c:v>0</c:v>
                </c:pt>
                <c:pt idx="391">
                  <c:v>0</c:v>
                </c:pt>
                <c:pt idx="392">
                  <c:v>0</c:v>
                </c:pt>
                <c:pt idx="393">
                  <c:v>0</c:v>
                </c:pt>
                <c:pt idx="394">
                  <c:v>0</c:v>
                </c:pt>
                <c:pt idx="395">
                  <c:v>0</c:v>
                </c:pt>
                <c:pt idx="396">
                  <c:v>0</c:v>
                </c:pt>
                <c:pt idx="397">
                  <c:v>0</c:v>
                </c:pt>
                <c:pt idx="398">
                  <c:v>0</c:v>
                </c:pt>
                <c:pt idx="399">
                  <c:v>0</c:v>
                </c:pt>
                <c:pt idx="400">
                  <c:v>0</c:v>
                </c:pt>
                <c:pt idx="401">
                  <c:v>0</c:v>
                </c:pt>
                <c:pt idx="402">
                  <c:v>0</c:v>
                </c:pt>
                <c:pt idx="403">
                  <c:v>0</c:v>
                </c:pt>
                <c:pt idx="404">
                  <c:v>0</c:v>
                </c:pt>
                <c:pt idx="405">
                  <c:v>0</c:v>
                </c:pt>
                <c:pt idx="406">
                  <c:v>0</c:v>
                </c:pt>
                <c:pt idx="407">
                  <c:v>0</c:v>
                </c:pt>
                <c:pt idx="408">
                  <c:v>0</c:v>
                </c:pt>
                <c:pt idx="409">
                  <c:v>0</c:v>
                </c:pt>
                <c:pt idx="410">
                  <c:v>0</c:v>
                </c:pt>
                <c:pt idx="411">
                  <c:v>0</c:v>
                </c:pt>
                <c:pt idx="412">
                  <c:v>0</c:v>
                </c:pt>
                <c:pt idx="413">
                  <c:v>0</c:v>
                </c:pt>
                <c:pt idx="414">
                  <c:v>0</c:v>
                </c:pt>
                <c:pt idx="415">
                  <c:v>0</c:v>
                </c:pt>
                <c:pt idx="416">
                  <c:v>0</c:v>
                </c:pt>
                <c:pt idx="417">
                  <c:v>0</c:v>
                </c:pt>
                <c:pt idx="418">
                  <c:v>0</c:v>
                </c:pt>
                <c:pt idx="419">
                  <c:v>0</c:v>
                </c:pt>
                <c:pt idx="420">
                  <c:v>0</c:v>
                </c:pt>
                <c:pt idx="421">
                  <c:v>0</c:v>
                </c:pt>
                <c:pt idx="422">
                  <c:v>0</c:v>
                </c:pt>
                <c:pt idx="423">
                  <c:v>0</c:v>
                </c:pt>
                <c:pt idx="424">
                  <c:v>0</c:v>
                </c:pt>
                <c:pt idx="425">
                  <c:v>0</c:v>
                </c:pt>
                <c:pt idx="426">
                  <c:v>0</c:v>
                </c:pt>
                <c:pt idx="427">
                  <c:v>0</c:v>
                </c:pt>
                <c:pt idx="428">
                  <c:v>0</c:v>
                </c:pt>
                <c:pt idx="429">
                  <c:v>0</c:v>
                </c:pt>
                <c:pt idx="430">
                  <c:v>0</c:v>
                </c:pt>
                <c:pt idx="431">
                  <c:v>0</c:v>
                </c:pt>
                <c:pt idx="432">
                  <c:v>0</c:v>
                </c:pt>
                <c:pt idx="433">
                  <c:v>0</c:v>
                </c:pt>
                <c:pt idx="434">
                  <c:v>0</c:v>
                </c:pt>
                <c:pt idx="435">
                  <c:v>0</c:v>
                </c:pt>
                <c:pt idx="436">
                  <c:v>0</c:v>
                </c:pt>
                <c:pt idx="437">
                  <c:v>0</c:v>
                </c:pt>
                <c:pt idx="438">
                  <c:v>0</c:v>
                </c:pt>
                <c:pt idx="439">
                  <c:v>0</c:v>
                </c:pt>
                <c:pt idx="440">
                  <c:v>0</c:v>
                </c:pt>
                <c:pt idx="441">
                  <c:v>0</c:v>
                </c:pt>
                <c:pt idx="442">
                  <c:v>0</c:v>
                </c:pt>
                <c:pt idx="443">
                  <c:v>0</c:v>
                </c:pt>
                <c:pt idx="444">
                  <c:v>0</c:v>
                </c:pt>
                <c:pt idx="445">
                  <c:v>0</c:v>
                </c:pt>
                <c:pt idx="446">
                  <c:v>0</c:v>
                </c:pt>
                <c:pt idx="447">
                  <c:v>0</c:v>
                </c:pt>
                <c:pt idx="448">
                  <c:v>0</c:v>
                </c:pt>
                <c:pt idx="449">
                  <c:v>0</c:v>
                </c:pt>
                <c:pt idx="450">
                  <c:v>0</c:v>
                </c:pt>
                <c:pt idx="451">
                  <c:v>0</c:v>
                </c:pt>
                <c:pt idx="452">
                  <c:v>0</c:v>
                </c:pt>
                <c:pt idx="453">
                  <c:v>0</c:v>
                </c:pt>
                <c:pt idx="454">
                  <c:v>0</c:v>
                </c:pt>
                <c:pt idx="455">
                  <c:v>0</c:v>
                </c:pt>
                <c:pt idx="456">
                  <c:v>0</c:v>
                </c:pt>
                <c:pt idx="457">
                  <c:v>0</c:v>
                </c:pt>
                <c:pt idx="458">
                  <c:v>0</c:v>
                </c:pt>
                <c:pt idx="459">
                  <c:v>0</c:v>
                </c:pt>
                <c:pt idx="460">
                  <c:v>0</c:v>
                </c:pt>
                <c:pt idx="461">
                  <c:v>0</c:v>
                </c:pt>
                <c:pt idx="462">
                  <c:v>0</c:v>
                </c:pt>
                <c:pt idx="463">
                  <c:v>0</c:v>
                </c:pt>
                <c:pt idx="464">
                  <c:v>0</c:v>
                </c:pt>
                <c:pt idx="465">
                  <c:v>0</c:v>
                </c:pt>
                <c:pt idx="466">
                  <c:v>0</c:v>
                </c:pt>
                <c:pt idx="467">
                  <c:v>0</c:v>
                </c:pt>
                <c:pt idx="468">
                  <c:v>0</c:v>
                </c:pt>
                <c:pt idx="469">
                  <c:v>0</c:v>
                </c:pt>
                <c:pt idx="470">
                  <c:v>0</c:v>
                </c:pt>
                <c:pt idx="471">
                  <c:v>0</c:v>
                </c:pt>
                <c:pt idx="472">
                  <c:v>0</c:v>
                </c:pt>
                <c:pt idx="473">
                  <c:v>0</c:v>
                </c:pt>
                <c:pt idx="474">
                  <c:v>0</c:v>
                </c:pt>
                <c:pt idx="475">
                  <c:v>0</c:v>
                </c:pt>
                <c:pt idx="476">
                  <c:v>0</c:v>
                </c:pt>
                <c:pt idx="477">
                  <c:v>0</c:v>
                </c:pt>
                <c:pt idx="478">
                  <c:v>0</c:v>
                </c:pt>
                <c:pt idx="479">
                  <c:v>0</c:v>
                </c:pt>
                <c:pt idx="480">
                  <c:v>0</c:v>
                </c:pt>
                <c:pt idx="481">
                  <c:v>0</c:v>
                </c:pt>
                <c:pt idx="482">
                  <c:v>0</c:v>
                </c:pt>
                <c:pt idx="483">
                  <c:v>0</c:v>
                </c:pt>
                <c:pt idx="484">
                  <c:v>0</c:v>
                </c:pt>
                <c:pt idx="485">
                  <c:v>0</c:v>
                </c:pt>
                <c:pt idx="486">
                  <c:v>0</c:v>
                </c:pt>
                <c:pt idx="487">
                  <c:v>0</c:v>
                </c:pt>
                <c:pt idx="488">
                  <c:v>0</c:v>
                </c:pt>
                <c:pt idx="489">
                  <c:v>0</c:v>
                </c:pt>
                <c:pt idx="490">
                  <c:v>0</c:v>
                </c:pt>
                <c:pt idx="491">
                  <c:v>0</c:v>
                </c:pt>
                <c:pt idx="492">
                  <c:v>0</c:v>
                </c:pt>
                <c:pt idx="493">
                  <c:v>0</c:v>
                </c:pt>
                <c:pt idx="494">
                  <c:v>0</c:v>
                </c:pt>
                <c:pt idx="495">
                  <c:v>0</c:v>
                </c:pt>
                <c:pt idx="496">
                  <c:v>0</c:v>
                </c:pt>
                <c:pt idx="497">
                  <c:v>0</c:v>
                </c:pt>
                <c:pt idx="498">
                  <c:v>0</c:v>
                </c:pt>
                <c:pt idx="499">
                  <c:v>0</c:v>
                </c:pt>
                <c:pt idx="500">
                  <c:v>0</c:v>
                </c:pt>
                <c:pt idx="501">
                  <c:v>0</c:v>
                </c:pt>
                <c:pt idx="502">
                  <c:v>0</c:v>
                </c:pt>
                <c:pt idx="503">
                  <c:v>0</c:v>
                </c:pt>
                <c:pt idx="504">
                  <c:v>0</c:v>
                </c:pt>
                <c:pt idx="505">
                  <c:v>0</c:v>
                </c:pt>
                <c:pt idx="506">
                  <c:v>0</c:v>
                </c:pt>
                <c:pt idx="507">
                  <c:v>0</c:v>
                </c:pt>
                <c:pt idx="508">
                  <c:v>0</c:v>
                </c:pt>
                <c:pt idx="509">
                  <c:v>0</c:v>
                </c:pt>
                <c:pt idx="510">
                  <c:v>0</c:v>
                </c:pt>
                <c:pt idx="511">
                  <c:v>0</c:v>
                </c:pt>
                <c:pt idx="512">
                  <c:v>0</c:v>
                </c:pt>
                <c:pt idx="513">
                  <c:v>0</c:v>
                </c:pt>
                <c:pt idx="514">
                  <c:v>0</c:v>
                </c:pt>
                <c:pt idx="515">
                  <c:v>0</c:v>
                </c:pt>
                <c:pt idx="516">
                  <c:v>0</c:v>
                </c:pt>
                <c:pt idx="517">
                  <c:v>0</c:v>
                </c:pt>
                <c:pt idx="518">
                  <c:v>0</c:v>
                </c:pt>
                <c:pt idx="519">
                  <c:v>0</c:v>
                </c:pt>
                <c:pt idx="520">
                  <c:v>0</c:v>
                </c:pt>
                <c:pt idx="521">
                  <c:v>0</c:v>
                </c:pt>
                <c:pt idx="522">
                  <c:v>0</c:v>
                </c:pt>
                <c:pt idx="523">
                  <c:v>0</c:v>
                </c:pt>
                <c:pt idx="524">
                  <c:v>0</c:v>
                </c:pt>
                <c:pt idx="525">
                  <c:v>0</c:v>
                </c:pt>
                <c:pt idx="526">
                  <c:v>0</c:v>
                </c:pt>
                <c:pt idx="527">
                  <c:v>0</c:v>
                </c:pt>
                <c:pt idx="528">
                  <c:v>0</c:v>
                </c:pt>
                <c:pt idx="529">
                  <c:v>0</c:v>
                </c:pt>
                <c:pt idx="530">
                  <c:v>0</c:v>
                </c:pt>
                <c:pt idx="531">
                  <c:v>0</c:v>
                </c:pt>
                <c:pt idx="532">
                  <c:v>0</c:v>
                </c:pt>
                <c:pt idx="533">
                  <c:v>0</c:v>
                </c:pt>
                <c:pt idx="534">
                  <c:v>0</c:v>
                </c:pt>
                <c:pt idx="535">
                  <c:v>0</c:v>
                </c:pt>
                <c:pt idx="536">
                  <c:v>0</c:v>
                </c:pt>
                <c:pt idx="537">
                  <c:v>0</c:v>
                </c:pt>
                <c:pt idx="538">
                  <c:v>0</c:v>
                </c:pt>
                <c:pt idx="539">
                  <c:v>0</c:v>
                </c:pt>
                <c:pt idx="540">
                  <c:v>0</c:v>
                </c:pt>
                <c:pt idx="541">
                  <c:v>0</c:v>
                </c:pt>
                <c:pt idx="542">
                  <c:v>0</c:v>
                </c:pt>
                <c:pt idx="543">
                  <c:v>0</c:v>
                </c:pt>
                <c:pt idx="544">
                  <c:v>0</c:v>
                </c:pt>
                <c:pt idx="545">
                  <c:v>0</c:v>
                </c:pt>
                <c:pt idx="546">
                  <c:v>0</c:v>
                </c:pt>
                <c:pt idx="547">
                  <c:v>0</c:v>
                </c:pt>
                <c:pt idx="548">
                  <c:v>0</c:v>
                </c:pt>
                <c:pt idx="549">
                  <c:v>0</c:v>
                </c:pt>
                <c:pt idx="550">
                  <c:v>0</c:v>
                </c:pt>
                <c:pt idx="551">
                  <c:v>0</c:v>
                </c:pt>
                <c:pt idx="552">
                  <c:v>0</c:v>
                </c:pt>
                <c:pt idx="553">
                  <c:v>0</c:v>
                </c:pt>
                <c:pt idx="554">
                  <c:v>0</c:v>
                </c:pt>
                <c:pt idx="555">
                  <c:v>0</c:v>
                </c:pt>
                <c:pt idx="556">
                  <c:v>0</c:v>
                </c:pt>
                <c:pt idx="557">
                  <c:v>0</c:v>
                </c:pt>
                <c:pt idx="558">
                  <c:v>0</c:v>
                </c:pt>
                <c:pt idx="559">
                  <c:v>0</c:v>
                </c:pt>
                <c:pt idx="560">
                  <c:v>0</c:v>
                </c:pt>
                <c:pt idx="561">
                  <c:v>0</c:v>
                </c:pt>
                <c:pt idx="562">
                  <c:v>0</c:v>
                </c:pt>
                <c:pt idx="563">
                  <c:v>0</c:v>
                </c:pt>
                <c:pt idx="564">
                  <c:v>0</c:v>
                </c:pt>
                <c:pt idx="565">
                  <c:v>0</c:v>
                </c:pt>
                <c:pt idx="566">
                  <c:v>0</c:v>
                </c:pt>
                <c:pt idx="567">
                  <c:v>0</c:v>
                </c:pt>
                <c:pt idx="568">
                  <c:v>0</c:v>
                </c:pt>
                <c:pt idx="569">
                  <c:v>0</c:v>
                </c:pt>
                <c:pt idx="570">
                  <c:v>0</c:v>
                </c:pt>
                <c:pt idx="571">
                  <c:v>0</c:v>
                </c:pt>
                <c:pt idx="572">
                  <c:v>0</c:v>
                </c:pt>
                <c:pt idx="573">
                  <c:v>0</c:v>
                </c:pt>
                <c:pt idx="574">
                  <c:v>0</c:v>
                </c:pt>
                <c:pt idx="575">
                  <c:v>0</c:v>
                </c:pt>
                <c:pt idx="576">
                  <c:v>0</c:v>
                </c:pt>
                <c:pt idx="577">
                  <c:v>0</c:v>
                </c:pt>
                <c:pt idx="578">
                  <c:v>0</c:v>
                </c:pt>
                <c:pt idx="579">
                  <c:v>0</c:v>
                </c:pt>
                <c:pt idx="580">
                  <c:v>0</c:v>
                </c:pt>
                <c:pt idx="581">
                  <c:v>0</c:v>
                </c:pt>
                <c:pt idx="582">
                  <c:v>0</c:v>
                </c:pt>
                <c:pt idx="583">
                  <c:v>0</c:v>
                </c:pt>
                <c:pt idx="584">
                  <c:v>0</c:v>
                </c:pt>
                <c:pt idx="585">
                  <c:v>0</c:v>
                </c:pt>
                <c:pt idx="586">
                  <c:v>0</c:v>
                </c:pt>
                <c:pt idx="587">
                  <c:v>0</c:v>
                </c:pt>
                <c:pt idx="588">
                  <c:v>0</c:v>
                </c:pt>
                <c:pt idx="589">
                  <c:v>0</c:v>
                </c:pt>
                <c:pt idx="590">
                  <c:v>0</c:v>
                </c:pt>
                <c:pt idx="591">
                  <c:v>0</c:v>
                </c:pt>
                <c:pt idx="592">
                  <c:v>0</c:v>
                </c:pt>
                <c:pt idx="593">
                  <c:v>0</c:v>
                </c:pt>
                <c:pt idx="594">
                  <c:v>0</c:v>
                </c:pt>
                <c:pt idx="595">
                  <c:v>0</c:v>
                </c:pt>
                <c:pt idx="596">
                  <c:v>0</c:v>
                </c:pt>
                <c:pt idx="597">
                  <c:v>0</c:v>
                </c:pt>
                <c:pt idx="598">
                  <c:v>0</c:v>
                </c:pt>
                <c:pt idx="599">
                  <c:v>0</c:v>
                </c:pt>
                <c:pt idx="600">
                  <c:v>0</c:v>
                </c:pt>
                <c:pt idx="601">
                  <c:v>0</c:v>
                </c:pt>
                <c:pt idx="602">
                  <c:v>0</c:v>
                </c:pt>
                <c:pt idx="603">
                  <c:v>0</c:v>
                </c:pt>
                <c:pt idx="604">
                  <c:v>0</c:v>
                </c:pt>
                <c:pt idx="605">
                  <c:v>0</c:v>
                </c:pt>
                <c:pt idx="606">
                  <c:v>0</c:v>
                </c:pt>
                <c:pt idx="607">
                  <c:v>0</c:v>
                </c:pt>
                <c:pt idx="608">
                  <c:v>0</c:v>
                </c:pt>
                <c:pt idx="609">
                  <c:v>0</c:v>
                </c:pt>
                <c:pt idx="610">
                  <c:v>0</c:v>
                </c:pt>
                <c:pt idx="611">
                  <c:v>0</c:v>
                </c:pt>
                <c:pt idx="612">
                  <c:v>0</c:v>
                </c:pt>
                <c:pt idx="613">
                  <c:v>0</c:v>
                </c:pt>
                <c:pt idx="614">
                  <c:v>0</c:v>
                </c:pt>
                <c:pt idx="615">
                  <c:v>0</c:v>
                </c:pt>
                <c:pt idx="616">
                  <c:v>0</c:v>
                </c:pt>
                <c:pt idx="617">
                  <c:v>0</c:v>
                </c:pt>
                <c:pt idx="618">
                  <c:v>0</c:v>
                </c:pt>
                <c:pt idx="619">
                  <c:v>0</c:v>
                </c:pt>
                <c:pt idx="620">
                  <c:v>0</c:v>
                </c:pt>
                <c:pt idx="621">
                  <c:v>0</c:v>
                </c:pt>
                <c:pt idx="622">
                  <c:v>0</c:v>
                </c:pt>
                <c:pt idx="623">
                  <c:v>0</c:v>
                </c:pt>
                <c:pt idx="624">
                  <c:v>0</c:v>
                </c:pt>
                <c:pt idx="625">
                  <c:v>0</c:v>
                </c:pt>
                <c:pt idx="626">
                  <c:v>0</c:v>
                </c:pt>
                <c:pt idx="627">
                  <c:v>0</c:v>
                </c:pt>
                <c:pt idx="628">
                  <c:v>0</c:v>
                </c:pt>
                <c:pt idx="629">
                  <c:v>0</c:v>
                </c:pt>
                <c:pt idx="630">
                  <c:v>0</c:v>
                </c:pt>
                <c:pt idx="631">
                  <c:v>0</c:v>
                </c:pt>
                <c:pt idx="632">
                  <c:v>0</c:v>
                </c:pt>
                <c:pt idx="633">
                  <c:v>0</c:v>
                </c:pt>
                <c:pt idx="634">
                  <c:v>0</c:v>
                </c:pt>
                <c:pt idx="635">
                  <c:v>0</c:v>
                </c:pt>
                <c:pt idx="636">
                  <c:v>0</c:v>
                </c:pt>
                <c:pt idx="637">
                  <c:v>0</c:v>
                </c:pt>
                <c:pt idx="638">
                  <c:v>0</c:v>
                </c:pt>
                <c:pt idx="639">
                  <c:v>0</c:v>
                </c:pt>
                <c:pt idx="640">
                  <c:v>0</c:v>
                </c:pt>
                <c:pt idx="641">
                  <c:v>0</c:v>
                </c:pt>
                <c:pt idx="642">
                  <c:v>0</c:v>
                </c:pt>
                <c:pt idx="643">
                  <c:v>0</c:v>
                </c:pt>
                <c:pt idx="644">
                  <c:v>0</c:v>
                </c:pt>
                <c:pt idx="645">
                  <c:v>0</c:v>
                </c:pt>
                <c:pt idx="646">
                  <c:v>0</c:v>
                </c:pt>
                <c:pt idx="647">
                  <c:v>0</c:v>
                </c:pt>
                <c:pt idx="648">
                  <c:v>0</c:v>
                </c:pt>
                <c:pt idx="649">
                  <c:v>0</c:v>
                </c:pt>
                <c:pt idx="650">
                  <c:v>0</c:v>
                </c:pt>
                <c:pt idx="651">
                  <c:v>0</c:v>
                </c:pt>
                <c:pt idx="652">
                  <c:v>0</c:v>
                </c:pt>
                <c:pt idx="653">
                  <c:v>0</c:v>
                </c:pt>
                <c:pt idx="654">
                  <c:v>0</c:v>
                </c:pt>
                <c:pt idx="655">
                  <c:v>0</c:v>
                </c:pt>
                <c:pt idx="656">
                  <c:v>0</c:v>
                </c:pt>
                <c:pt idx="657">
                  <c:v>0</c:v>
                </c:pt>
                <c:pt idx="658">
                  <c:v>0</c:v>
                </c:pt>
                <c:pt idx="659">
                  <c:v>0</c:v>
                </c:pt>
                <c:pt idx="660">
                  <c:v>0</c:v>
                </c:pt>
                <c:pt idx="661">
                  <c:v>0</c:v>
                </c:pt>
                <c:pt idx="662">
                  <c:v>0</c:v>
                </c:pt>
                <c:pt idx="663">
                  <c:v>0</c:v>
                </c:pt>
                <c:pt idx="664">
                  <c:v>0</c:v>
                </c:pt>
                <c:pt idx="665">
                  <c:v>0</c:v>
                </c:pt>
                <c:pt idx="666">
                  <c:v>0</c:v>
                </c:pt>
                <c:pt idx="667">
                  <c:v>0</c:v>
                </c:pt>
                <c:pt idx="668">
                  <c:v>0</c:v>
                </c:pt>
                <c:pt idx="669">
                  <c:v>0</c:v>
                </c:pt>
                <c:pt idx="670">
                  <c:v>0</c:v>
                </c:pt>
                <c:pt idx="671">
                  <c:v>0</c:v>
                </c:pt>
                <c:pt idx="672">
                  <c:v>0</c:v>
                </c:pt>
                <c:pt idx="673">
                  <c:v>0</c:v>
                </c:pt>
                <c:pt idx="674">
                  <c:v>0</c:v>
                </c:pt>
                <c:pt idx="675">
                  <c:v>0</c:v>
                </c:pt>
                <c:pt idx="676">
                  <c:v>0</c:v>
                </c:pt>
                <c:pt idx="677">
                  <c:v>0</c:v>
                </c:pt>
                <c:pt idx="678">
                  <c:v>0</c:v>
                </c:pt>
                <c:pt idx="679">
                  <c:v>0</c:v>
                </c:pt>
                <c:pt idx="680">
                  <c:v>0</c:v>
                </c:pt>
                <c:pt idx="681">
                  <c:v>0</c:v>
                </c:pt>
                <c:pt idx="682">
                  <c:v>0</c:v>
                </c:pt>
                <c:pt idx="683">
                  <c:v>0</c:v>
                </c:pt>
                <c:pt idx="684">
                  <c:v>0</c:v>
                </c:pt>
                <c:pt idx="685">
                  <c:v>0</c:v>
                </c:pt>
                <c:pt idx="686">
                  <c:v>0</c:v>
                </c:pt>
                <c:pt idx="687">
                  <c:v>0</c:v>
                </c:pt>
                <c:pt idx="688">
                  <c:v>0</c:v>
                </c:pt>
                <c:pt idx="689">
                  <c:v>0</c:v>
                </c:pt>
                <c:pt idx="690">
                  <c:v>0</c:v>
                </c:pt>
                <c:pt idx="691">
                  <c:v>0</c:v>
                </c:pt>
                <c:pt idx="692">
                  <c:v>0</c:v>
                </c:pt>
                <c:pt idx="693">
                  <c:v>0</c:v>
                </c:pt>
                <c:pt idx="694">
                  <c:v>0</c:v>
                </c:pt>
                <c:pt idx="695">
                  <c:v>0</c:v>
                </c:pt>
                <c:pt idx="696">
                  <c:v>0</c:v>
                </c:pt>
                <c:pt idx="697">
                  <c:v>0</c:v>
                </c:pt>
                <c:pt idx="698">
                  <c:v>0</c:v>
                </c:pt>
                <c:pt idx="699">
                  <c:v>0</c:v>
                </c:pt>
                <c:pt idx="700">
                  <c:v>0</c:v>
                </c:pt>
                <c:pt idx="701">
                  <c:v>0</c:v>
                </c:pt>
                <c:pt idx="702">
                  <c:v>0</c:v>
                </c:pt>
                <c:pt idx="703">
                  <c:v>0</c:v>
                </c:pt>
                <c:pt idx="704">
                  <c:v>0</c:v>
                </c:pt>
                <c:pt idx="705">
                  <c:v>0</c:v>
                </c:pt>
                <c:pt idx="706">
                  <c:v>0</c:v>
                </c:pt>
                <c:pt idx="707">
                  <c:v>0</c:v>
                </c:pt>
                <c:pt idx="708">
                  <c:v>0</c:v>
                </c:pt>
                <c:pt idx="709">
                  <c:v>0</c:v>
                </c:pt>
                <c:pt idx="710">
                  <c:v>0</c:v>
                </c:pt>
                <c:pt idx="711">
                  <c:v>0</c:v>
                </c:pt>
                <c:pt idx="712">
                  <c:v>0</c:v>
                </c:pt>
                <c:pt idx="713">
                  <c:v>0</c:v>
                </c:pt>
                <c:pt idx="714">
                  <c:v>0</c:v>
                </c:pt>
                <c:pt idx="715">
                  <c:v>0</c:v>
                </c:pt>
                <c:pt idx="716">
                  <c:v>0</c:v>
                </c:pt>
                <c:pt idx="717">
                  <c:v>0</c:v>
                </c:pt>
                <c:pt idx="718">
                  <c:v>0</c:v>
                </c:pt>
                <c:pt idx="719">
                  <c:v>0</c:v>
                </c:pt>
                <c:pt idx="720">
                  <c:v>0</c:v>
                </c:pt>
                <c:pt idx="721">
                  <c:v>0</c:v>
                </c:pt>
                <c:pt idx="722">
                  <c:v>0</c:v>
                </c:pt>
                <c:pt idx="723">
                  <c:v>0</c:v>
                </c:pt>
                <c:pt idx="724">
                  <c:v>0</c:v>
                </c:pt>
                <c:pt idx="725">
                  <c:v>0</c:v>
                </c:pt>
                <c:pt idx="726">
                  <c:v>0</c:v>
                </c:pt>
                <c:pt idx="727">
                  <c:v>0</c:v>
                </c:pt>
                <c:pt idx="728">
                  <c:v>0</c:v>
                </c:pt>
                <c:pt idx="729">
                  <c:v>0</c:v>
                </c:pt>
                <c:pt idx="730">
                  <c:v>0</c:v>
                </c:pt>
                <c:pt idx="731">
                  <c:v>0</c:v>
                </c:pt>
                <c:pt idx="732">
                  <c:v>0</c:v>
                </c:pt>
                <c:pt idx="733">
                  <c:v>0</c:v>
                </c:pt>
                <c:pt idx="734">
                  <c:v>0</c:v>
                </c:pt>
                <c:pt idx="735">
                  <c:v>0</c:v>
                </c:pt>
                <c:pt idx="736">
                  <c:v>0</c:v>
                </c:pt>
                <c:pt idx="737">
                  <c:v>0</c:v>
                </c:pt>
                <c:pt idx="738">
                  <c:v>0</c:v>
                </c:pt>
                <c:pt idx="739">
                  <c:v>0</c:v>
                </c:pt>
                <c:pt idx="740">
                  <c:v>0</c:v>
                </c:pt>
                <c:pt idx="741">
                  <c:v>0</c:v>
                </c:pt>
                <c:pt idx="742">
                  <c:v>0</c:v>
                </c:pt>
                <c:pt idx="743">
                  <c:v>0</c:v>
                </c:pt>
                <c:pt idx="744">
                  <c:v>0</c:v>
                </c:pt>
                <c:pt idx="745">
                  <c:v>0</c:v>
                </c:pt>
                <c:pt idx="746">
                  <c:v>0</c:v>
                </c:pt>
                <c:pt idx="747">
                  <c:v>0</c:v>
                </c:pt>
                <c:pt idx="748">
                  <c:v>0</c:v>
                </c:pt>
                <c:pt idx="749">
                  <c:v>0</c:v>
                </c:pt>
                <c:pt idx="750">
                  <c:v>0</c:v>
                </c:pt>
                <c:pt idx="751">
                  <c:v>0</c:v>
                </c:pt>
                <c:pt idx="752">
                  <c:v>0</c:v>
                </c:pt>
                <c:pt idx="753">
                  <c:v>0</c:v>
                </c:pt>
                <c:pt idx="754">
                  <c:v>0</c:v>
                </c:pt>
                <c:pt idx="755">
                  <c:v>0</c:v>
                </c:pt>
                <c:pt idx="756">
                  <c:v>0</c:v>
                </c:pt>
                <c:pt idx="757">
                  <c:v>0</c:v>
                </c:pt>
                <c:pt idx="758">
                  <c:v>0</c:v>
                </c:pt>
                <c:pt idx="759">
                  <c:v>0</c:v>
                </c:pt>
                <c:pt idx="760">
                  <c:v>0</c:v>
                </c:pt>
                <c:pt idx="761">
                  <c:v>0</c:v>
                </c:pt>
                <c:pt idx="762">
                  <c:v>0</c:v>
                </c:pt>
                <c:pt idx="763">
                  <c:v>0</c:v>
                </c:pt>
                <c:pt idx="764">
                  <c:v>0</c:v>
                </c:pt>
                <c:pt idx="765">
                  <c:v>0</c:v>
                </c:pt>
                <c:pt idx="766">
                  <c:v>0</c:v>
                </c:pt>
                <c:pt idx="767">
                  <c:v>0</c:v>
                </c:pt>
                <c:pt idx="768">
                  <c:v>0</c:v>
                </c:pt>
                <c:pt idx="769">
                  <c:v>0</c:v>
                </c:pt>
                <c:pt idx="770">
                  <c:v>0</c:v>
                </c:pt>
                <c:pt idx="771">
                  <c:v>0</c:v>
                </c:pt>
                <c:pt idx="772">
                  <c:v>0</c:v>
                </c:pt>
                <c:pt idx="773">
                  <c:v>0</c:v>
                </c:pt>
                <c:pt idx="774">
                  <c:v>0</c:v>
                </c:pt>
                <c:pt idx="775">
                  <c:v>0</c:v>
                </c:pt>
                <c:pt idx="776">
                  <c:v>0</c:v>
                </c:pt>
                <c:pt idx="777">
                  <c:v>0</c:v>
                </c:pt>
                <c:pt idx="778">
                  <c:v>0</c:v>
                </c:pt>
                <c:pt idx="779">
                  <c:v>0</c:v>
                </c:pt>
                <c:pt idx="780">
                  <c:v>0</c:v>
                </c:pt>
                <c:pt idx="781">
                  <c:v>0</c:v>
                </c:pt>
                <c:pt idx="782">
                  <c:v>0</c:v>
                </c:pt>
                <c:pt idx="783">
                  <c:v>0</c:v>
                </c:pt>
                <c:pt idx="784">
                  <c:v>0</c:v>
                </c:pt>
                <c:pt idx="785">
                  <c:v>0</c:v>
                </c:pt>
                <c:pt idx="786">
                  <c:v>0</c:v>
                </c:pt>
                <c:pt idx="787">
                  <c:v>0</c:v>
                </c:pt>
                <c:pt idx="788">
                  <c:v>0</c:v>
                </c:pt>
                <c:pt idx="789">
                  <c:v>0</c:v>
                </c:pt>
                <c:pt idx="790">
                  <c:v>0</c:v>
                </c:pt>
                <c:pt idx="791">
                  <c:v>0</c:v>
                </c:pt>
                <c:pt idx="792">
                  <c:v>0</c:v>
                </c:pt>
                <c:pt idx="793">
                  <c:v>0</c:v>
                </c:pt>
                <c:pt idx="794">
                  <c:v>0</c:v>
                </c:pt>
                <c:pt idx="795">
                  <c:v>0</c:v>
                </c:pt>
                <c:pt idx="796">
                  <c:v>0</c:v>
                </c:pt>
                <c:pt idx="797">
                  <c:v>0</c:v>
                </c:pt>
                <c:pt idx="798">
                  <c:v>0</c:v>
                </c:pt>
                <c:pt idx="799">
                  <c:v>0</c:v>
                </c:pt>
                <c:pt idx="800">
                  <c:v>0</c:v>
                </c:pt>
                <c:pt idx="801">
                  <c:v>0</c:v>
                </c:pt>
                <c:pt idx="802">
                  <c:v>0</c:v>
                </c:pt>
                <c:pt idx="803">
                  <c:v>0</c:v>
                </c:pt>
                <c:pt idx="804">
                  <c:v>0</c:v>
                </c:pt>
                <c:pt idx="805">
                  <c:v>0</c:v>
                </c:pt>
                <c:pt idx="806">
                  <c:v>0</c:v>
                </c:pt>
                <c:pt idx="807">
                  <c:v>0</c:v>
                </c:pt>
                <c:pt idx="808">
                  <c:v>0</c:v>
                </c:pt>
                <c:pt idx="809">
                  <c:v>0</c:v>
                </c:pt>
                <c:pt idx="810">
                  <c:v>0</c:v>
                </c:pt>
                <c:pt idx="811">
                  <c:v>0</c:v>
                </c:pt>
                <c:pt idx="812">
                  <c:v>0</c:v>
                </c:pt>
                <c:pt idx="813">
                  <c:v>0</c:v>
                </c:pt>
                <c:pt idx="814">
                  <c:v>0</c:v>
                </c:pt>
                <c:pt idx="815">
                  <c:v>0</c:v>
                </c:pt>
                <c:pt idx="816">
                  <c:v>0</c:v>
                </c:pt>
                <c:pt idx="817">
                  <c:v>0</c:v>
                </c:pt>
                <c:pt idx="818">
                  <c:v>0</c:v>
                </c:pt>
                <c:pt idx="819">
                  <c:v>0</c:v>
                </c:pt>
                <c:pt idx="820">
                  <c:v>0</c:v>
                </c:pt>
                <c:pt idx="821">
                  <c:v>0</c:v>
                </c:pt>
                <c:pt idx="822">
                  <c:v>0</c:v>
                </c:pt>
                <c:pt idx="823">
                  <c:v>0</c:v>
                </c:pt>
                <c:pt idx="824">
                  <c:v>0</c:v>
                </c:pt>
                <c:pt idx="825">
                  <c:v>0</c:v>
                </c:pt>
                <c:pt idx="826">
                  <c:v>0</c:v>
                </c:pt>
                <c:pt idx="827">
                  <c:v>0</c:v>
                </c:pt>
                <c:pt idx="828">
                  <c:v>0</c:v>
                </c:pt>
                <c:pt idx="829">
                  <c:v>0</c:v>
                </c:pt>
                <c:pt idx="830">
                  <c:v>0</c:v>
                </c:pt>
                <c:pt idx="831">
                  <c:v>0</c:v>
                </c:pt>
                <c:pt idx="832">
                  <c:v>0</c:v>
                </c:pt>
                <c:pt idx="833">
                  <c:v>0</c:v>
                </c:pt>
                <c:pt idx="834">
                  <c:v>0</c:v>
                </c:pt>
                <c:pt idx="835">
                  <c:v>0</c:v>
                </c:pt>
                <c:pt idx="836">
                  <c:v>0</c:v>
                </c:pt>
                <c:pt idx="837">
                  <c:v>0</c:v>
                </c:pt>
                <c:pt idx="838">
                  <c:v>0</c:v>
                </c:pt>
                <c:pt idx="839">
                  <c:v>0</c:v>
                </c:pt>
                <c:pt idx="840">
                  <c:v>0</c:v>
                </c:pt>
                <c:pt idx="841">
                  <c:v>0</c:v>
                </c:pt>
                <c:pt idx="842">
                  <c:v>0</c:v>
                </c:pt>
                <c:pt idx="843">
                  <c:v>0</c:v>
                </c:pt>
                <c:pt idx="844">
                  <c:v>0</c:v>
                </c:pt>
                <c:pt idx="845">
                  <c:v>0</c:v>
                </c:pt>
                <c:pt idx="846">
                  <c:v>0</c:v>
                </c:pt>
                <c:pt idx="847">
                  <c:v>0</c:v>
                </c:pt>
                <c:pt idx="848">
                  <c:v>0</c:v>
                </c:pt>
                <c:pt idx="849">
                  <c:v>0</c:v>
                </c:pt>
                <c:pt idx="850">
                  <c:v>0</c:v>
                </c:pt>
                <c:pt idx="851">
                  <c:v>0</c:v>
                </c:pt>
                <c:pt idx="852">
                  <c:v>0</c:v>
                </c:pt>
                <c:pt idx="853">
                  <c:v>0</c:v>
                </c:pt>
                <c:pt idx="854">
                  <c:v>0</c:v>
                </c:pt>
                <c:pt idx="855">
                  <c:v>0</c:v>
                </c:pt>
                <c:pt idx="856">
                  <c:v>0</c:v>
                </c:pt>
                <c:pt idx="857">
                  <c:v>0</c:v>
                </c:pt>
                <c:pt idx="858">
                  <c:v>0</c:v>
                </c:pt>
                <c:pt idx="859">
                  <c:v>0</c:v>
                </c:pt>
                <c:pt idx="860">
                  <c:v>0</c:v>
                </c:pt>
                <c:pt idx="861">
                  <c:v>0</c:v>
                </c:pt>
                <c:pt idx="862">
                  <c:v>0</c:v>
                </c:pt>
                <c:pt idx="863">
                  <c:v>0</c:v>
                </c:pt>
                <c:pt idx="864">
                  <c:v>0</c:v>
                </c:pt>
                <c:pt idx="865">
                  <c:v>0</c:v>
                </c:pt>
                <c:pt idx="866">
                  <c:v>0</c:v>
                </c:pt>
                <c:pt idx="867">
                  <c:v>0</c:v>
                </c:pt>
                <c:pt idx="868">
                  <c:v>0</c:v>
                </c:pt>
                <c:pt idx="869">
                  <c:v>0</c:v>
                </c:pt>
                <c:pt idx="870">
                  <c:v>0</c:v>
                </c:pt>
                <c:pt idx="871">
                  <c:v>0</c:v>
                </c:pt>
                <c:pt idx="872">
                  <c:v>0</c:v>
                </c:pt>
                <c:pt idx="873">
                  <c:v>0</c:v>
                </c:pt>
                <c:pt idx="874">
                  <c:v>0</c:v>
                </c:pt>
                <c:pt idx="875">
                  <c:v>0</c:v>
                </c:pt>
                <c:pt idx="876">
                  <c:v>0</c:v>
                </c:pt>
                <c:pt idx="877">
                  <c:v>0</c:v>
                </c:pt>
                <c:pt idx="878">
                  <c:v>0</c:v>
                </c:pt>
                <c:pt idx="879">
                  <c:v>0</c:v>
                </c:pt>
                <c:pt idx="880">
                  <c:v>0</c:v>
                </c:pt>
                <c:pt idx="881">
                  <c:v>0</c:v>
                </c:pt>
                <c:pt idx="882">
                  <c:v>0</c:v>
                </c:pt>
                <c:pt idx="883">
                  <c:v>0</c:v>
                </c:pt>
                <c:pt idx="884">
                  <c:v>0</c:v>
                </c:pt>
                <c:pt idx="885">
                  <c:v>0</c:v>
                </c:pt>
                <c:pt idx="886">
                  <c:v>0</c:v>
                </c:pt>
                <c:pt idx="887">
                  <c:v>0</c:v>
                </c:pt>
                <c:pt idx="888">
                  <c:v>0</c:v>
                </c:pt>
                <c:pt idx="889">
                  <c:v>0</c:v>
                </c:pt>
                <c:pt idx="890">
                  <c:v>0</c:v>
                </c:pt>
                <c:pt idx="891">
                  <c:v>0</c:v>
                </c:pt>
                <c:pt idx="892">
                  <c:v>0</c:v>
                </c:pt>
                <c:pt idx="893">
                  <c:v>0</c:v>
                </c:pt>
                <c:pt idx="894">
                  <c:v>0</c:v>
                </c:pt>
                <c:pt idx="895">
                  <c:v>0</c:v>
                </c:pt>
                <c:pt idx="896">
                  <c:v>0</c:v>
                </c:pt>
                <c:pt idx="897">
                  <c:v>0</c:v>
                </c:pt>
                <c:pt idx="898">
                  <c:v>0</c:v>
                </c:pt>
                <c:pt idx="899">
                  <c:v>0</c:v>
                </c:pt>
                <c:pt idx="900">
                  <c:v>0</c:v>
                </c:pt>
                <c:pt idx="901">
                  <c:v>0</c:v>
                </c:pt>
                <c:pt idx="902">
                  <c:v>0</c:v>
                </c:pt>
                <c:pt idx="903">
                  <c:v>0</c:v>
                </c:pt>
                <c:pt idx="904">
                  <c:v>0</c:v>
                </c:pt>
                <c:pt idx="905">
                  <c:v>0</c:v>
                </c:pt>
                <c:pt idx="906">
                  <c:v>0</c:v>
                </c:pt>
                <c:pt idx="907">
                  <c:v>0</c:v>
                </c:pt>
                <c:pt idx="908">
                  <c:v>0</c:v>
                </c:pt>
                <c:pt idx="909">
                  <c:v>0</c:v>
                </c:pt>
                <c:pt idx="910">
                  <c:v>0</c:v>
                </c:pt>
                <c:pt idx="911">
                  <c:v>0</c:v>
                </c:pt>
                <c:pt idx="912">
                  <c:v>0</c:v>
                </c:pt>
                <c:pt idx="913">
                  <c:v>0</c:v>
                </c:pt>
                <c:pt idx="914">
                  <c:v>0</c:v>
                </c:pt>
                <c:pt idx="915">
                  <c:v>0</c:v>
                </c:pt>
                <c:pt idx="916">
                  <c:v>0</c:v>
                </c:pt>
                <c:pt idx="917">
                  <c:v>0</c:v>
                </c:pt>
                <c:pt idx="918">
                  <c:v>0</c:v>
                </c:pt>
                <c:pt idx="919">
                  <c:v>0</c:v>
                </c:pt>
                <c:pt idx="920">
                  <c:v>0</c:v>
                </c:pt>
                <c:pt idx="921">
                  <c:v>0</c:v>
                </c:pt>
                <c:pt idx="922">
                  <c:v>0</c:v>
                </c:pt>
                <c:pt idx="923">
                  <c:v>0</c:v>
                </c:pt>
                <c:pt idx="924">
                  <c:v>0</c:v>
                </c:pt>
                <c:pt idx="925">
                  <c:v>0</c:v>
                </c:pt>
                <c:pt idx="926">
                  <c:v>0</c:v>
                </c:pt>
                <c:pt idx="927">
                  <c:v>0</c:v>
                </c:pt>
                <c:pt idx="928">
                  <c:v>0</c:v>
                </c:pt>
                <c:pt idx="929">
                  <c:v>0</c:v>
                </c:pt>
                <c:pt idx="930">
                  <c:v>0</c:v>
                </c:pt>
                <c:pt idx="931">
                  <c:v>0</c:v>
                </c:pt>
                <c:pt idx="932">
                  <c:v>0</c:v>
                </c:pt>
                <c:pt idx="933">
                  <c:v>0</c:v>
                </c:pt>
                <c:pt idx="934">
                  <c:v>0</c:v>
                </c:pt>
                <c:pt idx="935">
                  <c:v>0</c:v>
                </c:pt>
                <c:pt idx="936">
                  <c:v>0</c:v>
                </c:pt>
                <c:pt idx="937">
                  <c:v>0</c:v>
                </c:pt>
                <c:pt idx="938">
                  <c:v>0</c:v>
                </c:pt>
                <c:pt idx="939">
                  <c:v>0</c:v>
                </c:pt>
                <c:pt idx="940">
                  <c:v>0</c:v>
                </c:pt>
                <c:pt idx="941">
                  <c:v>0</c:v>
                </c:pt>
                <c:pt idx="942">
                  <c:v>0</c:v>
                </c:pt>
                <c:pt idx="943">
                  <c:v>0</c:v>
                </c:pt>
                <c:pt idx="944">
                  <c:v>0</c:v>
                </c:pt>
                <c:pt idx="945">
                  <c:v>0</c:v>
                </c:pt>
                <c:pt idx="946">
                  <c:v>0</c:v>
                </c:pt>
                <c:pt idx="947">
                  <c:v>0</c:v>
                </c:pt>
                <c:pt idx="948">
                  <c:v>0</c:v>
                </c:pt>
                <c:pt idx="949">
                  <c:v>0</c:v>
                </c:pt>
                <c:pt idx="950">
                  <c:v>0</c:v>
                </c:pt>
                <c:pt idx="951">
                  <c:v>0</c:v>
                </c:pt>
                <c:pt idx="952">
                  <c:v>0</c:v>
                </c:pt>
                <c:pt idx="953">
                  <c:v>0</c:v>
                </c:pt>
                <c:pt idx="954">
                  <c:v>0</c:v>
                </c:pt>
                <c:pt idx="955">
                  <c:v>0</c:v>
                </c:pt>
                <c:pt idx="956">
                  <c:v>0</c:v>
                </c:pt>
                <c:pt idx="957">
                  <c:v>0</c:v>
                </c:pt>
                <c:pt idx="958">
                  <c:v>0</c:v>
                </c:pt>
                <c:pt idx="959">
                  <c:v>0</c:v>
                </c:pt>
                <c:pt idx="960">
                  <c:v>0</c:v>
                </c:pt>
                <c:pt idx="961">
                  <c:v>0</c:v>
                </c:pt>
                <c:pt idx="962">
                  <c:v>0</c:v>
                </c:pt>
                <c:pt idx="963">
                  <c:v>0</c:v>
                </c:pt>
                <c:pt idx="964">
                  <c:v>0</c:v>
                </c:pt>
                <c:pt idx="965">
                  <c:v>0</c:v>
                </c:pt>
                <c:pt idx="966">
                  <c:v>0</c:v>
                </c:pt>
                <c:pt idx="967">
                  <c:v>0</c:v>
                </c:pt>
                <c:pt idx="968">
                  <c:v>0</c:v>
                </c:pt>
                <c:pt idx="969">
                  <c:v>0</c:v>
                </c:pt>
                <c:pt idx="970">
                  <c:v>0</c:v>
                </c:pt>
                <c:pt idx="971">
                  <c:v>0</c:v>
                </c:pt>
                <c:pt idx="972">
                  <c:v>0</c:v>
                </c:pt>
                <c:pt idx="973">
                  <c:v>0</c:v>
                </c:pt>
                <c:pt idx="974">
                  <c:v>0</c:v>
                </c:pt>
                <c:pt idx="975">
                  <c:v>0</c:v>
                </c:pt>
                <c:pt idx="976">
                  <c:v>0</c:v>
                </c:pt>
                <c:pt idx="977">
                  <c:v>0</c:v>
                </c:pt>
                <c:pt idx="978">
                  <c:v>0</c:v>
                </c:pt>
                <c:pt idx="979">
                  <c:v>0</c:v>
                </c:pt>
                <c:pt idx="980">
                  <c:v>0</c:v>
                </c:pt>
                <c:pt idx="981">
                  <c:v>0</c:v>
                </c:pt>
                <c:pt idx="982">
                  <c:v>0</c:v>
                </c:pt>
                <c:pt idx="983">
                  <c:v>0</c:v>
                </c:pt>
                <c:pt idx="984">
                  <c:v>0</c:v>
                </c:pt>
                <c:pt idx="985">
                  <c:v>0</c:v>
                </c:pt>
                <c:pt idx="986">
                  <c:v>0</c:v>
                </c:pt>
                <c:pt idx="987">
                  <c:v>0</c:v>
                </c:pt>
                <c:pt idx="988">
                  <c:v>0</c:v>
                </c:pt>
                <c:pt idx="989">
                  <c:v>0</c:v>
                </c:pt>
                <c:pt idx="990">
                  <c:v>0</c:v>
                </c:pt>
                <c:pt idx="991">
                  <c:v>0</c:v>
                </c:pt>
                <c:pt idx="992">
                  <c:v>0</c:v>
                </c:pt>
                <c:pt idx="993">
                  <c:v>0</c:v>
                </c:pt>
                <c:pt idx="994">
                  <c:v>0</c:v>
                </c:pt>
                <c:pt idx="995">
                  <c:v>0</c:v>
                </c:pt>
                <c:pt idx="996">
                  <c:v>0</c:v>
                </c:pt>
                <c:pt idx="997">
                  <c:v>0</c:v>
                </c:pt>
                <c:pt idx="998">
                  <c:v>0</c:v>
                </c:pt>
                <c:pt idx="999">
                  <c:v>0</c:v>
                </c:pt>
                <c:pt idx="1000">
                  <c:v>0</c:v>
                </c:pt>
                <c:pt idx="1001">
                  <c:v>0</c:v>
                </c:pt>
                <c:pt idx="1002">
                  <c:v>0</c:v>
                </c:pt>
                <c:pt idx="1003">
                  <c:v>0</c:v>
                </c:pt>
                <c:pt idx="1004">
                  <c:v>0</c:v>
                </c:pt>
                <c:pt idx="1005">
                  <c:v>0</c:v>
                </c:pt>
                <c:pt idx="1006">
                  <c:v>0</c:v>
                </c:pt>
                <c:pt idx="1007">
                  <c:v>0</c:v>
                </c:pt>
                <c:pt idx="1008">
                  <c:v>0</c:v>
                </c:pt>
                <c:pt idx="1009">
                  <c:v>0</c:v>
                </c:pt>
                <c:pt idx="1010">
                  <c:v>0</c:v>
                </c:pt>
                <c:pt idx="1011">
                  <c:v>0</c:v>
                </c:pt>
                <c:pt idx="1012">
                  <c:v>0</c:v>
                </c:pt>
                <c:pt idx="1013">
                  <c:v>0</c:v>
                </c:pt>
                <c:pt idx="1014">
                  <c:v>0</c:v>
                </c:pt>
                <c:pt idx="1015">
                  <c:v>0</c:v>
                </c:pt>
                <c:pt idx="1016">
                  <c:v>0</c:v>
                </c:pt>
                <c:pt idx="1017">
                  <c:v>0</c:v>
                </c:pt>
                <c:pt idx="1018">
                  <c:v>0</c:v>
                </c:pt>
                <c:pt idx="1019">
                  <c:v>0</c:v>
                </c:pt>
                <c:pt idx="1020">
                  <c:v>0</c:v>
                </c:pt>
                <c:pt idx="1021">
                  <c:v>0</c:v>
                </c:pt>
                <c:pt idx="1022">
                  <c:v>0</c:v>
                </c:pt>
                <c:pt idx="1023">
                  <c:v>0</c:v>
                </c:pt>
                <c:pt idx="1024">
                  <c:v>0</c:v>
                </c:pt>
                <c:pt idx="1025">
                  <c:v>0</c:v>
                </c:pt>
                <c:pt idx="1026">
                  <c:v>0</c:v>
                </c:pt>
                <c:pt idx="1027">
                  <c:v>0</c:v>
                </c:pt>
                <c:pt idx="1028">
                  <c:v>0</c:v>
                </c:pt>
                <c:pt idx="1029">
                  <c:v>0</c:v>
                </c:pt>
                <c:pt idx="1030">
                  <c:v>0</c:v>
                </c:pt>
                <c:pt idx="1031">
                  <c:v>0</c:v>
                </c:pt>
                <c:pt idx="1032">
                  <c:v>0</c:v>
                </c:pt>
                <c:pt idx="1033">
                  <c:v>0</c:v>
                </c:pt>
                <c:pt idx="1034">
                  <c:v>0</c:v>
                </c:pt>
                <c:pt idx="1035">
                  <c:v>0</c:v>
                </c:pt>
                <c:pt idx="1036">
                  <c:v>0</c:v>
                </c:pt>
                <c:pt idx="1037">
                  <c:v>0</c:v>
                </c:pt>
                <c:pt idx="1038">
                  <c:v>0</c:v>
                </c:pt>
                <c:pt idx="1039">
                  <c:v>0</c:v>
                </c:pt>
                <c:pt idx="1040">
                  <c:v>0</c:v>
                </c:pt>
                <c:pt idx="1041">
                  <c:v>0</c:v>
                </c:pt>
                <c:pt idx="1042">
                  <c:v>0</c:v>
                </c:pt>
                <c:pt idx="1043">
                  <c:v>0</c:v>
                </c:pt>
                <c:pt idx="1044">
                  <c:v>0</c:v>
                </c:pt>
                <c:pt idx="1045">
                  <c:v>0</c:v>
                </c:pt>
                <c:pt idx="1046">
                  <c:v>0</c:v>
                </c:pt>
                <c:pt idx="1047">
                  <c:v>0</c:v>
                </c:pt>
                <c:pt idx="1048">
                  <c:v>0</c:v>
                </c:pt>
                <c:pt idx="1049">
                  <c:v>0</c:v>
                </c:pt>
                <c:pt idx="1050">
                  <c:v>0</c:v>
                </c:pt>
                <c:pt idx="1051">
                  <c:v>0</c:v>
                </c:pt>
                <c:pt idx="1052">
                  <c:v>0</c:v>
                </c:pt>
                <c:pt idx="1053">
                  <c:v>0</c:v>
                </c:pt>
                <c:pt idx="1054">
                  <c:v>0</c:v>
                </c:pt>
                <c:pt idx="1055">
                  <c:v>0</c:v>
                </c:pt>
                <c:pt idx="1056">
                  <c:v>0</c:v>
                </c:pt>
                <c:pt idx="1057">
                  <c:v>0</c:v>
                </c:pt>
                <c:pt idx="1058">
                  <c:v>0</c:v>
                </c:pt>
                <c:pt idx="1059">
                  <c:v>0</c:v>
                </c:pt>
                <c:pt idx="1060">
                  <c:v>0</c:v>
                </c:pt>
                <c:pt idx="1061">
                  <c:v>0</c:v>
                </c:pt>
                <c:pt idx="1062">
                  <c:v>0</c:v>
                </c:pt>
                <c:pt idx="1063">
                  <c:v>0</c:v>
                </c:pt>
                <c:pt idx="1064">
                  <c:v>0</c:v>
                </c:pt>
                <c:pt idx="1065">
                  <c:v>0</c:v>
                </c:pt>
                <c:pt idx="1066">
                  <c:v>0</c:v>
                </c:pt>
                <c:pt idx="1067">
                  <c:v>0</c:v>
                </c:pt>
                <c:pt idx="1068">
                  <c:v>0</c:v>
                </c:pt>
                <c:pt idx="1069">
                  <c:v>0</c:v>
                </c:pt>
                <c:pt idx="1070">
                  <c:v>0</c:v>
                </c:pt>
                <c:pt idx="1071">
                  <c:v>0</c:v>
                </c:pt>
                <c:pt idx="1072">
                  <c:v>0</c:v>
                </c:pt>
                <c:pt idx="1073">
                  <c:v>0</c:v>
                </c:pt>
                <c:pt idx="1074">
                  <c:v>0</c:v>
                </c:pt>
                <c:pt idx="1075">
                  <c:v>0</c:v>
                </c:pt>
                <c:pt idx="1076">
                  <c:v>0</c:v>
                </c:pt>
                <c:pt idx="1077">
                  <c:v>0</c:v>
                </c:pt>
                <c:pt idx="1078">
                  <c:v>0</c:v>
                </c:pt>
                <c:pt idx="1079">
                  <c:v>0</c:v>
                </c:pt>
                <c:pt idx="1080">
                  <c:v>0</c:v>
                </c:pt>
                <c:pt idx="1081">
                  <c:v>0</c:v>
                </c:pt>
                <c:pt idx="1082">
                  <c:v>0</c:v>
                </c:pt>
                <c:pt idx="1083">
                  <c:v>0</c:v>
                </c:pt>
                <c:pt idx="1084">
                  <c:v>0</c:v>
                </c:pt>
                <c:pt idx="1085">
                  <c:v>0</c:v>
                </c:pt>
                <c:pt idx="1086">
                  <c:v>0</c:v>
                </c:pt>
                <c:pt idx="1087">
                  <c:v>0</c:v>
                </c:pt>
                <c:pt idx="1088">
                  <c:v>0</c:v>
                </c:pt>
                <c:pt idx="1089">
                  <c:v>0</c:v>
                </c:pt>
                <c:pt idx="1090">
                  <c:v>0</c:v>
                </c:pt>
                <c:pt idx="1091">
                  <c:v>0</c:v>
                </c:pt>
                <c:pt idx="1092">
                  <c:v>0</c:v>
                </c:pt>
                <c:pt idx="1093">
                  <c:v>0</c:v>
                </c:pt>
                <c:pt idx="1094">
                  <c:v>0</c:v>
                </c:pt>
                <c:pt idx="1095">
                  <c:v>0</c:v>
                </c:pt>
                <c:pt idx="1096">
                  <c:v>0</c:v>
                </c:pt>
                <c:pt idx="1097">
                  <c:v>0</c:v>
                </c:pt>
                <c:pt idx="1098">
                  <c:v>0</c:v>
                </c:pt>
                <c:pt idx="1099">
                  <c:v>0</c:v>
                </c:pt>
                <c:pt idx="1100">
                  <c:v>0</c:v>
                </c:pt>
                <c:pt idx="1101">
                  <c:v>0</c:v>
                </c:pt>
                <c:pt idx="1102">
                  <c:v>0</c:v>
                </c:pt>
                <c:pt idx="1103">
                  <c:v>0</c:v>
                </c:pt>
                <c:pt idx="1104">
                  <c:v>0</c:v>
                </c:pt>
                <c:pt idx="1105">
                  <c:v>0</c:v>
                </c:pt>
                <c:pt idx="1106">
                  <c:v>0</c:v>
                </c:pt>
                <c:pt idx="1107">
                  <c:v>0</c:v>
                </c:pt>
                <c:pt idx="1108">
                  <c:v>0</c:v>
                </c:pt>
                <c:pt idx="1109">
                  <c:v>0</c:v>
                </c:pt>
                <c:pt idx="1110">
                  <c:v>0</c:v>
                </c:pt>
                <c:pt idx="1111">
                  <c:v>0</c:v>
                </c:pt>
                <c:pt idx="1112">
                  <c:v>0</c:v>
                </c:pt>
                <c:pt idx="1113">
                  <c:v>0</c:v>
                </c:pt>
                <c:pt idx="1114">
                  <c:v>0</c:v>
                </c:pt>
                <c:pt idx="1115">
                  <c:v>0</c:v>
                </c:pt>
                <c:pt idx="1116">
                  <c:v>0</c:v>
                </c:pt>
                <c:pt idx="1117">
                  <c:v>0</c:v>
                </c:pt>
                <c:pt idx="1118">
                  <c:v>0</c:v>
                </c:pt>
                <c:pt idx="1119">
                  <c:v>0</c:v>
                </c:pt>
                <c:pt idx="1120">
                  <c:v>0</c:v>
                </c:pt>
                <c:pt idx="1121">
                  <c:v>0</c:v>
                </c:pt>
                <c:pt idx="1122">
                  <c:v>0</c:v>
                </c:pt>
                <c:pt idx="1123">
                  <c:v>0</c:v>
                </c:pt>
                <c:pt idx="1124">
                  <c:v>0</c:v>
                </c:pt>
                <c:pt idx="1125">
                  <c:v>0</c:v>
                </c:pt>
                <c:pt idx="1126">
                  <c:v>0</c:v>
                </c:pt>
                <c:pt idx="1127">
                  <c:v>0</c:v>
                </c:pt>
                <c:pt idx="1128">
                  <c:v>0</c:v>
                </c:pt>
                <c:pt idx="1129">
                  <c:v>0</c:v>
                </c:pt>
                <c:pt idx="1130">
                  <c:v>0</c:v>
                </c:pt>
                <c:pt idx="1131">
                  <c:v>0</c:v>
                </c:pt>
                <c:pt idx="1132">
                  <c:v>0</c:v>
                </c:pt>
                <c:pt idx="1133">
                  <c:v>0</c:v>
                </c:pt>
                <c:pt idx="1134">
                  <c:v>0</c:v>
                </c:pt>
                <c:pt idx="1135">
                  <c:v>0</c:v>
                </c:pt>
                <c:pt idx="1136">
                  <c:v>0</c:v>
                </c:pt>
                <c:pt idx="1137">
                  <c:v>0</c:v>
                </c:pt>
                <c:pt idx="1138">
                  <c:v>0</c:v>
                </c:pt>
                <c:pt idx="1139">
                  <c:v>0</c:v>
                </c:pt>
                <c:pt idx="1140">
                  <c:v>0</c:v>
                </c:pt>
                <c:pt idx="1141">
                  <c:v>0</c:v>
                </c:pt>
                <c:pt idx="1142">
                  <c:v>0</c:v>
                </c:pt>
                <c:pt idx="1143">
                  <c:v>0</c:v>
                </c:pt>
                <c:pt idx="1144">
                  <c:v>0</c:v>
                </c:pt>
                <c:pt idx="1145">
                  <c:v>0</c:v>
                </c:pt>
                <c:pt idx="1146">
                  <c:v>0</c:v>
                </c:pt>
                <c:pt idx="1147">
                  <c:v>0</c:v>
                </c:pt>
                <c:pt idx="1148">
                  <c:v>0</c:v>
                </c:pt>
                <c:pt idx="1149">
                  <c:v>0</c:v>
                </c:pt>
                <c:pt idx="1150">
                  <c:v>0</c:v>
                </c:pt>
                <c:pt idx="1151">
                  <c:v>0</c:v>
                </c:pt>
                <c:pt idx="1152">
                  <c:v>0</c:v>
                </c:pt>
                <c:pt idx="1153">
                  <c:v>0</c:v>
                </c:pt>
                <c:pt idx="1154">
                  <c:v>0</c:v>
                </c:pt>
                <c:pt idx="1155">
                  <c:v>0</c:v>
                </c:pt>
                <c:pt idx="1156">
                  <c:v>0</c:v>
                </c:pt>
                <c:pt idx="1157">
                  <c:v>0</c:v>
                </c:pt>
                <c:pt idx="1158">
                  <c:v>0</c:v>
                </c:pt>
                <c:pt idx="1159">
                  <c:v>0</c:v>
                </c:pt>
                <c:pt idx="1160">
                  <c:v>0</c:v>
                </c:pt>
                <c:pt idx="1161">
                  <c:v>0</c:v>
                </c:pt>
                <c:pt idx="1162">
                  <c:v>0</c:v>
                </c:pt>
                <c:pt idx="1163">
                  <c:v>0</c:v>
                </c:pt>
                <c:pt idx="1164">
                  <c:v>0</c:v>
                </c:pt>
                <c:pt idx="1165">
                  <c:v>0</c:v>
                </c:pt>
                <c:pt idx="1166">
                  <c:v>0</c:v>
                </c:pt>
                <c:pt idx="1167">
                  <c:v>0</c:v>
                </c:pt>
                <c:pt idx="1168">
                  <c:v>0</c:v>
                </c:pt>
                <c:pt idx="1169">
                  <c:v>0</c:v>
                </c:pt>
                <c:pt idx="1170">
                  <c:v>0</c:v>
                </c:pt>
                <c:pt idx="1171">
                  <c:v>0</c:v>
                </c:pt>
                <c:pt idx="1172">
                  <c:v>0</c:v>
                </c:pt>
                <c:pt idx="1173">
                  <c:v>0</c:v>
                </c:pt>
                <c:pt idx="1174">
                  <c:v>0</c:v>
                </c:pt>
                <c:pt idx="1175">
                  <c:v>0</c:v>
                </c:pt>
                <c:pt idx="1176">
                  <c:v>0</c:v>
                </c:pt>
                <c:pt idx="1177">
                  <c:v>0</c:v>
                </c:pt>
                <c:pt idx="1178">
                  <c:v>0</c:v>
                </c:pt>
                <c:pt idx="1179">
                  <c:v>0</c:v>
                </c:pt>
                <c:pt idx="1180">
                  <c:v>0</c:v>
                </c:pt>
                <c:pt idx="1181">
                  <c:v>0</c:v>
                </c:pt>
                <c:pt idx="1182">
                  <c:v>0</c:v>
                </c:pt>
                <c:pt idx="1183">
                  <c:v>0</c:v>
                </c:pt>
                <c:pt idx="1184">
                  <c:v>0</c:v>
                </c:pt>
                <c:pt idx="1185">
                  <c:v>0</c:v>
                </c:pt>
                <c:pt idx="1186">
                  <c:v>0</c:v>
                </c:pt>
                <c:pt idx="1187">
                  <c:v>0</c:v>
                </c:pt>
                <c:pt idx="1188">
                  <c:v>0</c:v>
                </c:pt>
                <c:pt idx="1189">
                  <c:v>0</c:v>
                </c:pt>
                <c:pt idx="1190">
                  <c:v>0</c:v>
                </c:pt>
                <c:pt idx="1191">
                  <c:v>0</c:v>
                </c:pt>
                <c:pt idx="1192">
                  <c:v>0</c:v>
                </c:pt>
                <c:pt idx="1193">
                  <c:v>0</c:v>
                </c:pt>
                <c:pt idx="1194">
                  <c:v>0</c:v>
                </c:pt>
                <c:pt idx="1195">
                  <c:v>0</c:v>
                </c:pt>
                <c:pt idx="1196">
                  <c:v>0</c:v>
                </c:pt>
                <c:pt idx="1197">
                  <c:v>0</c:v>
                </c:pt>
                <c:pt idx="1198">
                  <c:v>0</c:v>
                </c:pt>
                <c:pt idx="1199">
                  <c:v>0</c:v>
                </c:pt>
              </c:numCache>
            </c:numRef>
          </c:val>
          <c:extLst>
            <c:ext xmlns:c16="http://schemas.microsoft.com/office/drawing/2014/chart" uri="{C3380CC4-5D6E-409C-BE32-E72D297353CC}">
              <c16:uniqueId val="{00000000-1870-4810-9A39-24D6FCF8F1F9}"/>
            </c:ext>
          </c:extLst>
        </c:ser>
        <c:ser>
          <c:idx val="2"/>
          <c:order val="14"/>
          <c:spPr>
            <a:solidFill>
              <a:srgbClr val="FFC000"/>
            </a:solidFill>
            <a:ln>
              <a:noFill/>
            </a:ln>
            <a:effectLst/>
          </c:spPr>
          <c:cat>
            <c:numRef>
              <c:f>'Roof edge insulation'!$DA$2:$DA$1201</c:f>
              <c:numCache>
                <c:formatCode>General</c:formatCode>
                <c:ptCount val="1200"/>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15</c:v>
                </c:pt>
                <c:pt idx="15">
                  <c:v>16</c:v>
                </c:pt>
                <c:pt idx="16">
                  <c:v>17</c:v>
                </c:pt>
                <c:pt idx="17">
                  <c:v>18</c:v>
                </c:pt>
                <c:pt idx="18">
                  <c:v>19</c:v>
                </c:pt>
                <c:pt idx="19">
                  <c:v>20</c:v>
                </c:pt>
                <c:pt idx="20">
                  <c:v>21</c:v>
                </c:pt>
                <c:pt idx="21">
                  <c:v>22</c:v>
                </c:pt>
                <c:pt idx="22">
                  <c:v>23</c:v>
                </c:pt>
                <c:pt idx="23">
                  <c:v>24</c:v>
                </c:pt>
                <c:pt idx="24">
                  <c:v>25</c:v>
                </c:pt>
                <c:pt idx="25">
                  <c:v>26</c:v>
                </c:pt>
                <c:pt idx="26">
                  <c:v>27</c:v>
                </c:pt>
                <c:pt idx="27">
                  <c:v>28</c:v>
                </c:pt>
                <c:pt idx="28">
                  <c:v>29</c:v>
                </c:pt>
                <c:pt idx="29">
                  <c:v>30</c:v>
                </c:pt>
                <c:pt idx="30">
                  <c:v>31</c:v>
                </c:pt>
                <c:pt idx="31">
                  <c:v>32</c:v>
                </c:pt>
                <c:pt idx="32">
                  <c:v>33</c:v>
                </c:pt>
                <c:pt idx="33">
                  <c:v>34</c:v>
                </c:pt>
                <c:pt idx="34">
                  <c:v>35</c:v>
                </c:pt>
                <c:pt idx="35">
                  <c:v>36</c:v>
                </c:pt>
                <c:pt idx="36">
                  <c:v>37</c:v>
                </c:pt>
                <c:pt idx="37">
                  <c:v>38</c:v>
                </c:pt>
                <c:pt idx="38">
                  <c:v>39</c:v>
                </c:pt>
                <c:pt idx="39">
                  <c:v>40</c:v>
                </c:pt>
                <c:pt idx="40">
                  <c:v>41</c:v>
                </c:pt>
                <c:pt idx="41">
                  <c:v>42</c:v>
                </c:pt>
                <c:pt idx="42">
                  <c:v>43</c:v>
                </c:pt>
                <c:pt idx="43">
                  <c:v>44</c:v>
                </c:pt>
                <c:pt idx="44">
                  <c:v>45</c:v>
                </c:pt>
                <c:pt idx="45">
                  <c:v>46</c:v>
                </c:pt>
                <c:pt idx="46">
                  <c:v>47</c:v>
                </c:pt>
                <c:pt idx="47">
                  <c:v>48</c:v>
                </c:pt>
                <c:pt idx="48">
                  <c:v>49</c:v>
                </c:pt>
                <c:pt idx="49">
                  <c:v>50</c:v>
                </c:pt>
                <c:pt idx="50">
                  <c:v>51</c:v>
                </c:pt>
                <c:pt idx="51">
                  <c:v>52</c:v>
                </c:pt>
                <c:pt idx="52">
                  <c:v>53</c:v>
                </c:pt>
                <c:pt idx="53">
                  <c:v>54</c:v>
                </c:pt>
                <c:pt idx="54">
                  <c:v>55</c:v>
                </c:pt>
                <c:pt idx="55">
                  <c:v>56</c:v>
                </c:pt>
                <c:pt idx="56">
                  <c:v>57</c:v>
                </c:pt>
                <c:pt idx="57">
                  <c:v>58</c:v>
                </c:pt>
                <c:pt idx="58">
                  <c:v>59</c:v>
                </c:pt>
                <c:pt idx="59">
                  <c:v>60</c:v>
                </c:pt>
                <c:pt idx="60">
                  <c:v>61</c:v>
                </c:pt>
                <c:pt idx="61">
                  <c:v>62</c:v>
                </c:pt>
                <c:pt idx="62">
                  <c:v>63</c:v>
                </c:pt>
                <c:pt idx="63">
                  <c:v>64</c:v>
                </c:pt>
                <c:pt idx="64">
                  <c:v>65</c:v>
                </c:pt>
                <c:pt idx="65">
                  <c:v>66</c:v>
                </c:pt>
                <c:pt idx="66">
                  <c:v>67</c:v>
                </c:pt>
                <c:pt idx="67">
                  <c:v>68</c:v>
                </c:pt>
                <c:pt idx="68">
                  <c:v>69</c:v>
                </c:pt>
                <c:pt idx="69">
                  <c:v>70</c:v>
                </c:pt>
                <c:pt idx="70">
                  <c:v>71</c:v>
                </c:pt>
                <c:pt idx="71">
                  <c:v>72</c:v>
                </c:pt>
                <c:pt idx="72">
                  <c:v>73</c:v>
                </c:pt>
                <c:pt idx="73">
                  <c:v>74</c:v>
                </c:pt>
                <c:pt idx="74">
                  <c:v>75</c:v>
                </c:pt>
                <c:pt idx="75">
                  <c:v>76</c:v>
                </c:pt>
                <c:pt idx="76">
                  <c:v>77</c:v>
                </c:pt>
                <c:pt idx="77">
                  <c:v>78</c:v>
                </c:pt>
                <c:pt idx="78">
                  <c:v>79</c:v>
                </c:pt>
                <c:pt idx="79">
                  <c:v>80</c:v>
                </c:pt>
                <c:pt idx="80">
                  <c:v>81</c:v>
                </c:pt>
                <c:pt idx="81">
                  <c:v>82</c:v>
                </c:pt>
                <c:pt idx="82">
                  <c:v>83</c:v>
                </c:pt>
                <c:pt idx="83">
                  <c:v>84</c:v>
                </c:pt>
                <c:pt idx="84">
                  <c:v>85</c:v>
                </c:pt>
                <c:pt idx="85">
                  <c:v>86</c:v>
                </c:pt>
                <c:pt idx="86">
                  <c:v>87</c:v>
                </c:pt>
                <c:pt idx="87">
                  <c:v>88</c:v>
                </c:pt>
                <c:pt idx="88">
                  <c:v>89</c:v>
                </c:pt>
                <c:pt idx="89">
                  <c:v>90</c:v>
                </c:pt>
                <c:pt idx="90">
                  <c:v>91</c:v>
                </c:pt>
                <c:pt idx="91">
                  <c:v>92</c:v>
                </c:pt>
                <c:pt idx="92">
                  <c:v>93</c:v>
                </c:pt>
                <c:pt idx="93">
                  <c:v>94</c:v>
                </c:pt>
                <c:pt idx="94">
                  <c:v>95</c:v>
                </c:pt>
                <c:pt idx="95">
                  <c:v>96</c:v>
                </c:pt>
                <c:pt idx="96">
                  <c:v>97</c:v>
                </c:pt>
                <c:pt idx="97">
                  <c:v>98</c:v>
                </c:pt>
                <c:pt idx="98">
                  <c:v>99</c:v>
                </c:pt>
                <c:pt idx="99">
                  <c:v>100</c:v>
                </c:pt>
                <c:pt idx="100">
                  <c:v>101</c:v>
                </c:pt>
                <c:pt idx="101">
                  <c:v>102</c:v>
                </c:pt>
                <c:pt idx="102">
                  <c:v>103</c:v>
                </c:pt>
                <c:pt idx="103">
                  <c:v>104</c:v>
                </c:pt>
                <c:pt idx="104">
                  <c:v>105</c:v>
                </c:pt>
                <c:pt idx="105">
                  <c:v>106</c:v>
                </c:pt>
                <c:pt idx="106">
                  <c:v>107</c:v>
                </c:pt>
                <c:pt idx="107">
                  <c:v>108</c:v>
                </c:pt>
                <c:pt idx="108">
                  <c:v>109</c:v>
                </c:pt>
                <c:pt idx="109">
                  <c:v>110</c:v>
                </c:pt>
                <c:pt idx="110">
                  <c:v>111</c:v>
                </c:pt>
                <c:pt idx="111">
                  <c:v>112</c:v>
                </c:pt>
                <c:pt idx="112">
                  <c:v>113</c:v>
                </c:pt>
                <c:pt idx="113">
                  <c:v>114</c:v>
                </c:pt>
                <c:pt idx="114">
                  <c:v>115</c:v>
                </c:pt>
                <c:pt idx="115">
                  <c:v>116</c:v>
                </c:pt>
                <c:pt idx="116">
                  <c:v>117</c:v>
                </c:pt>
                <c:pt idx="117">
                  <c:v>118</c:v>
                </c:pt>
                <c:pt idx="118">
                  <c:v>119</c:v>
                </c:pt>
                <c:pt idx="119">
                  <c:v>120</c:v>
                </c:pt>
                <c:pt idx="120">
                  <c:v>121</c:v>
                </c:pt>
                <c:pt idx="121">
                  <c:v>122</c:v>
                </c:pt>
                <c:pt idx="122">
                  <c:v>123</c:v>
                </c:pt>
                <c:pt idx="123">
                  <c:v>124</c:v>
                </c:pt>
                <c:pt idx="124">
                  <c:v>125</c:v>
                </c:pt>
                <c:pt idx="125">
                  <c:v>126</c:v>
                </c:pt>
                <c:pt idx="126">
                  <c:v>127</c:v>
                </c:pt>
                <c:pt idx="127">
                  <c:v>128</c:v>
                </c:pt>
                <c:pt idx="128">
                  <c:v>129</c:v>
                </c:pt>
                <c:pt idx="129">
                  <c:v>130</c:v>
                </c:pt>
                <c:pt idx="130">
                  <c:v>131</c:v>
                </c:pt>
                <c:pt idx="131">
                  <c:v>132</c:v>
                </c:pt>
                <c:pt idx="132">
                  <c:v>133</c:v>
                </c:pt>
                <c:pt idx="133">
                  <c:v>134</c:v>
                </c:pt>
                <c:pt idx="134">
                  <c:v>135</c:v>
                </c:pt>
                <c:pt idx="135">
                  <c:v>136</c:v>
                </c:pt>
                <c:pt idx="136">
                  <c:v>137</c:v>
                </c:pt>
                <c:pt idx="137">
                  <c:v>138</c:v>
                </c:pt>
                <c:pt idx="138">
                  <c:v>139</c:v>
                </c:pt>
                <c:pt idx="139">
                  <c:v>140</c:v>
                </c:pt>
                <c:pt idx="140">
                  <c:v>141</c:v>
                </c:pt>
                <c:pt idx="141">
                  <c:v>142</c:v>
                </c:pt>
                <c:pt idx="142">
                  <c:v>143</c:v>
                </c:pt>
                <c:pt idx="143">
                  <c:v>144</c:v>
                </c:pt>
                <c:pt idx="144">
                  <c:v>145</c:v>
                </c:pt>
                <c:pt idx="145">
                  <c:v>146</c:v>
                </c:pt>
                <c:pt idx="146">
                  <c:v>147</c:v>
                </c:pt>
                <c:pt idx="147">
                  <c:v>148</c:v>
                </c:pt>
                <c:pt idx="148">
                  <c:v>149</c:v>
                </c:pt>
                <c:pt idx="149">
                  <c:v>150</c:v>
                </c:pt>
                <c:pt idx="150">
                  <c:v>151</c:v>
                </c:pt>
                <c:pt idx="151">
                  <c:v>152</c:v>
                </c:pt>
                <c:pt idx="152">
                  <c:v>153</c:v>
                </c:pt>
                <c:pt idx="153">
                  <c:v>154</c:v>
                </c:pt>
                <c:pt idx="154">
                  <c:v>155</c:v>
                </c:pt>
                <c:pt idx="155">
                  <c:v>156</c:v>
                </c:pt>
                <c:pt idx="156">
                  <c:v>157</c:v>
                </c:pt>
                <c:pt idx="157">
                  <c:v>158</c:v>
                </c:pt>
                <c:pt idx="158">
                  <c:v>159</c:v>
                </c:pt>
                <c:pt idx="159">
                  <c:v>160</c:v>
                </c:pt>
                <c:pt idx="160">
                  <c:v>161</c:v>
                </c:pt>
                <c:pt idx="161">
                  <c:v>162</c:v>
                </c:pt>
                <c:pt idx="162">
                  <c:v>163</c:v>
                </c:pt>
                <c:pt idx="163">
                  <c:v>164</c:v>
                </c:pt>
                <c:pt idx="164">
                  <c:v>165</c:v>
                </c:pt>
                <c:pt idx="165">
                  <c:v>166</c:v>
                </c:pt>
                <c:pt idx="166">
                  <c:v>167</c:v>
                </c:pt>
                <c:pt idx="167">
                  <c:v>168</c:v>
                </c:pt>
                <c:pt idx="168">
                  <c:v>169</c:v>
                </c:pt>
                <c:pt idx="169">
                  <c:v>170</c:v>
                </c:pt>
                <c:pt idx="170">
                  <c:v>171</c:v>
                </c:pt>
                <c:pt idx="171">
                  <c:v>172</c:v>
                </c:pt>
                <c:pt idx="172">
                  <c:v>173</c:v>
                </c:pt>
                <c:pt idx="173">
                  <c:v>174</c:v>
                </c:pt>
                <c:pt idx="174">
                  <c:v>175</c:v>
                </c:pt>
                <c:pt idx="175">
                  <c:v>176</c:v>
                </c:pt>
                <c:pt idx="176">
                  <c:v>177</c:v>
                </c:pt>
                <c:pt idx="177">
                  <c:v>178</c:v>
                </c:pt>
                <c:pt idx="178">
                  <c:v>179</c:v>
                </c:pt>
                <c:pt idx="179">
                  <c:v>180</c:v>
                </c:pt>
                <c:pt idx="180">
                  <c:v>181</c:v>
                </c:pt>
                <c:pt idx="181">
                  <c:v>182</c:v>
                </c:pt>
                <c:pt idx="182">
                  <c:v>183</c:v>
                </c:pt>
                <c:pt idx="183">
                  <c:v>184</c:v>
                </c:pt>
                <c:pt idx="184">
                  <c:v>185</c:v>
                </c:pt>
                <c:pt idx="185">
                  <c:v>186</c:v>
                </c:pt>
                <c:pt idx="186">
                  <c:v>187</c:v>
                </c:pt>
                <c:pt idx="187">
                  <c:v>188</c:v>
                </c:pt>
                <c:pt idx="188">
                  <c:v>189</c:v>
                </c:pt>
                <c:pt idx="189">
                  <c:v>190</c:v>
                </c:pt>
                <c:pt idx="190">
                  <c:v>191</c:v>
                </c:pt>
                <c:pt idx="191">
                  <c:v>192</c:v>
                </c:pt>
                <c:pt idx="192">
                  <c:v>193</c:v>
                </c:pt>
                <c:pt idx="193">
                  <c:v>194</c:v>
                </c:pt>
                <c:pt idx="194">
                  <c:v>195</c:v>
                </c:pt>
                <c:pt idx="195">
                  <c:v>196</c:v>
                </c:pt>
                <c:pt idx="196">
                  <c:v>197</c:v>
                </c:pt>
                <c:pt idx="197">
                  <c:v>198</c:v>
                </c:pt>
                <c:pt idx="198">
                  <c:v>199</c:v>
                </c:pt>
                <c:pt idx="199">
                  <c:v>200</c:v>
                </c:pt>
                <c:pt idx="200">
                  <c:v>201</c:v>
                </c:pt>
                <c:pt idx="201">
                  <c:v>202</c:v>
                </c:pt>
                <c:pt idx="202">
                  <c:v>203</c:v>
                </c:pt>
                <c:pt idx="203">
                  <c:v>204</c:v>
                </c:pt>
                <c:pt idx="204">
                  <c:v>205</c:v>
                </c:pt>
                <c:pt idx="205">
                  <c:v>206</c:v>
                </c:pt>
                <c:pt idx="206">
                  <c:v>207</c:v>
                </c:pt>
                <c:pt idx="207">
                  <c:v>208</c:v>
                </c:pt>
                <c:pt idx="208">
                  <c:v>209</c:v>
                </c:pt>
                <c:pt idx="209">
                  <c:v>210</c:v>
                </c:pt>
                <c:pt idx="210">
                  <c:v>211</c:v>
                </c:pt>
                <c:pt idx="211">
                  <c:v>212</c:v>
                </c:pt>
                <c:pt idx="212">
                  <c:v>213</c:v>
                </c:pt>
                <c:pt idx="213">
                  <c:v>214</c:v>
                </c:pt>
                <c:pt idx="214">
                  <c:v>215</c:v>
                </c:pt>
                <c:pt idx="215">
                  <c:v>216</c:v>
                </c:pt>
                <c:pt idx="216">
                  <c:v>217</c:v>
                </c:pt>
                <c:pt idx="217">
                  <c:v>218</c:v>
                </c:pt>
                <c:pt idx="218">
                  <c:v>219</c:v>
                </c:pt>
                <c:pt idx="219">
                  <c:v>220</c:v>
                </c:pt>
                <c:pt idx="220">
                  <c:v>221</c:v>
                </c:pt>
                <c:pt idx="221">
                  <c:v>222</c:v>
                </c:pt>
                <c:pt idx="222">
                  <c:v>223</c:v>
                </c:pt>
                <c:pt idx="223">
                  <c:v>224</c:v>
                </c:pt>
                <c:pt idx="224">
                  <c:v>225</c:v>
                </c:pt>
                <c:pt idx="225">
                  <c:v>226</c:v>
                </c:pt>
                <c:pt idx="226">
                  <c:v>227</c:v>
                </c:pt>
                <c:pt idx="227">
                  <c:v>228</c:v>
                </c:pt>
                <c:pt idx="228">
                  <c:v>229</c:v>
                </c:pt>
                <c:pt idx="229">
                  <c:v>230</c:v>
                </c:pt>
                <c:pt idx="230">
                  <c:v>231</c:v>
                </c:pt>
                <c:pt idx="231">
                  <c:v>232</c:v>
                </c:pt>
                <c:pt idx="232">
                  <c:v>233</c:v>
                </c:pt>
                <c:pt idx="233">
                  <c:v>234</c:v>
                </c:pt>
                <c:pt idx="234">
                  <c:v>235</c:v>
                </c:pt>
                <c:pt idx="235">
                  <c:v>236</c:v>
                </c:pt>
                <c:pt idx="236">
                  <c:v>237</c:v>
                </c:pt>
                <c:pt idx="237">
                  <c:v>238</c:v>
                </c:pt>
                <c:pt idx="238">
                  <c:v>239</c:v>
                </c:pt>
                <c:pt idx="239">
                  <c:v>240</c:v>
                </c:pt>
                <c:pt idx="240">
                  <c:v>241</c:v>
                </c:pt>
                <c:pt idx="241">
                  <c:v>242</c:v>
                </c:pt>
                <c:pt idx="242">
                  <c:v>243</c:v>
                </c:pt>
                <c:pt idx="243">
                  <c:v>244</c:v>
                </c:pt>
                <c:pt idx="244">
                  <c:v>245</c:v>
                </c:pt>
                <c:pt idx="245">
                  <c:v>246</c:v>
                </c:pt>
                <c:pt idx="246">
                  <c:v>247</c:v>
                </c:pt>
                <c:pt idx="247">
                  <c:v>248</c:v>
                </c:pt>
                <c:pt idx="248">
                  <c:v>249</c:v>
                </c:pt>
                <c:pt idx="249">
                  <c:v>250</c:v>
                </c:pt>
                <c:pt idx="250">
                  <c:v>251</c:v>
                </c:pt>
                <c:pt idx="251">
                  <c:v>252</c:v>
                </c:pt>
                <c:pt idx="252">
                  <c:v>253</c:v>
                </c:pt>
                <c:pt idx="253">
                  <c:v>254</c:v>
                </c:pt>
                <c:pt idx="254">
                  <c:v>255</c:v>
                </c:pt>
                <c:pt idx="255">
                  <c:v>256</c:v>
                </c:pt>
                <c:pt idx="256">
                  <c:v>257</c:v>
                </c:pt>
                <c:pt idx="257">
                  <c:v>258</c:v>
                </c:pt>
                <c:pt idx="258">
                  <c:v>259</c:v>
                </c:pt>
                <c:pt idx="259">
                  <c:v>260</c:v>
                </c:pt>
                <c:pt idx="260">
                  <c:v>261</c:v>
                </c:pt>
                <c:pt idx="261">
                  <c:v>262</c:v>
                </c:pt>
                <c:pt idx="262">
                  <c:v>263</c:v>
                </c:pt>
                <c:pt idx="263">
                  <c:v>264</c:v>
                </c:pt>
                <c:pt idx="264">
                  <c:v>265</c:v>
                </c:pt>
                <c:pt idx="265">
                  <c:v>266</c:v>
                </c:pt>
                <c:pt idx="266">
                  <c:v>267</c:v>
                </c:pt>
                <c:pt idx="267">
                  <c:v>268</c:v>
                </c:pt>
                <c:pt idx="268">
                  <c:v>269</c:v>
                </c:pt>
                <c:pt idx="269">
                  <c:v>270</c:v>
                </c:pt>
                <c:pt idx="270">
                  <c:v>271</c:v>
                </c:pt>
                <c:pt idx="271">
                  <c:v>272</c:v>
                </c:pt>
                <c:pt idx="272">
                  <c:v>273</c:v>
                </c:pt>
                <c:pt idx="273">
                  <c:v>274</c:v>
                </c:pt>
                <c:pt idx="274">
                  <c:v>275</c:v>
                </c:pt>
                <c:pt idx="275">
                  <c:v>276</c:v>
                </c:pt>
                <c:pt idx="276">
                  <c:v>277</c:v>
                </c:pt>
                <c:pt idx="277">
                  <c:v>278</c:v>
                </c:pt>
                <c:pt idx="278">
                  <c:v>279</c:v>
                </c:pt>
                <c:pt idx="279">
                  <c:v>280</c:v>
                </c:pt>
                <c:pt idx="280">
                  <c:v>281</c:v>
                </c:pt>
                <c:pt idx="281">
                  <c:v>282</c:v>
                </c:pt>
                <c:pt idx="282">
                  <c:v>283</c:v>
                </c:pt>
                <c:pt idx="283">
                  <c:v>284</c:v>
                </c:pt>
                <c:pt idx="284">
                  <c:v>285</c:v>
                </c:pt>
                <c:pt idx="285">
                  <c:v>286</c:v>
                </c:pt>
                <c:pt idx="286">
                  <c:v>287</c:v>
                </c:pt>
                <c:pt idx="287">
                  <c:v>288</c:v>
                </c:pt>
                <c:pt idx="288">
                  <c:v>289</c:v>
                </c:pt>
                <c:pt idx="289">
                  <c:v>290</c:v>
                </c:pt>
                <c:pt idx="290">
                  <c:v>291</c:v>
                </c:pt>
                <c:pt idx="291">
                  <c:v>292</c:v>
                </c:pt>
                <c:pt idx="292">
                  <c:v>293</c:v>
                </c:pt>
                <c:pt idx="293">
                  <c:v>294</c:v>
                </c:pt>
                <c:pt idx="294">
                  <c:v>295</c:v>
                </c:pt>
                <c:pt idx="295">
                  <c:v>296</c:v>
                </c:pt>
                <c:pt idx="296">
                  <c:v>297</c:v>
                </c:pt>
                <c:pt idx="297">
                  <c:v>298</c:v>
                </c:pt>
                <c:pt idx="298">
                  <c:v>299</c:v>
                </c:pt>
                <c:pt idx="299">
                  <c:v>300</c:v>
                </c:pt>
                <c:pt idx="300">
                  <c:v>301</c:v>
                </c:pt>
                <c:pt idx="301">
                  <c:v>302</c:v>
                </c:pt>
                <c:pt idx="302">
                  <c:v>303</c:v>
                </c:pt>
                <c:pt idx="303">
                  <c:v>304</c:v>
                </c:pt>
                <c:pt idx="304">
                  <c:v>305</c:v>
                </c:pt>
                <c:pt idx="305">
                  <c:v>306</c:v>
                </c:pt>
                <c:pt idx="306">
                  <c:v>307</c:v>
                </c:pt>
                <c:pt idx="307">
                  <c:v>308</c:v>
                </c:pt>
                <c:pt idx="308">
                  <c:v>309</c:v>
                </c:pt>
                <c:pt idx="309">
                  <c:v>310</c:v>
                </c:pt>
                <c:pt idx="310">
                  <c:v>311</c:v>
                </c:pt>
                <c:pt idx="311">
                  <c:v>312</c:v>
                </c:pt>
                <c:pt idx="312">
                  <c:v>313</c:v>
                </c:pt>
                <c:pt idx="313">
                  <c:v>314</c:v>
                </c:pt>
                <c:pt idx="314">
                  <c:v>315</c:v>
                </c:pt>
                <c:pt idx="315">
                  <c:v>316</c:v>
                </c:pt>
                <c:pt idx="316">
                  <c:v>317</c:v>
                </c:pt>
                <c:pt idx="317">
                  <c:v>318</c:v>
                </c:pt>
                <c:pt idx="318">
                  <c:v>319</c:v>
                </c:pt>
                <c:pt idx="319">
                  <c:v>320</c:v>
                </c:pt>
                <c:pt idx="320">
                  <c:v>321</c:v>
                </c:pt>
                <c:pt idx="321">
                  <c:v>322</c:v>
                </c:pt>
                <c:pt idx="322">
                  <c:v>323</c:v>
                </c:pt>
                <c:pt idx="323">
                  <c:v>324</c:v>
                </c:pt>
                <c:pt idx="324">
                  <c:v>325</c:v>
                </c:pt>
                <c:pt idx="325">
                  <c:v>326</c:v>
                </c:pt>
                <c:pt idx="326">
                  <c:v>327</c:v>
                </c:pt>
                <c:pt idx="327">
                  <c:v>328</c:v>
                </c:pt>
                <c:pt idx="328">
                  <c:v>329</c:v>
                </c:pt>
                <c:pt idx="329">
                  <c:v>330</c:v>
                </c:pt>
                <c:pt idx="330">
                  <c:v>331</c:v>
                </c:pt>
                <c:pt idx="331">
                  <c:v>332</c:v>
                </c:pt>
                <c:pt idx="332">
                  <c:v>333</c:v>
                </c:pt>
                <c:pt idx="333">
                  <c:v>334</c:v>
                </c:pt>
                <c:pt idx="334">
                  <c:v>335</c:v>
                </c:pt>
                <c:pt idx="335">
                  <c:v>336</c:v>
                </c:pt>
                <c:pt idx="336">
                  <c:v>337</c:v>
                </c:pt>
                <c:pt idx="337">
                  <c:v>338</c:v>
                </c:pt>
                <c:pt idx="338">
                  <c:v>339</c:v>
                </c:pt>
                <c:pt idx="339">
                  <c:v>340</c:v>
                </c:pt>
                <c:pt idx="340">
                  <c:v>341</c:v>
                </c:pt>
                <c:pt idx="341">
                  <c:v>342</c:v>
                </c:pt>
                <c:pt idx="342">
                  <c:v>343</c:v>
                </c:pt>
                <c:pt idx="343">
                  <c:v>344</c:v>
                </c:pt>
                <c:pt idx="344">
                  <c:v>345</c:v>
                </c:pt>
                <c:pt idx="345">
                  <c:v>346</c:v>
                </c:pt>
                <c:pt idx="346">
                  <c:v>347</c:v>
                </c:pt>
                <c:pt idx="347">
                  <c:v>348</c:v>
                </c:pt>
                <c:pt idx="348">
                  <c:v>349</c:v>
                </c:pt>
                <c:pt idx="349">
                  <c:v>350</c:v>
                </c:pt>
                <c:pt idx="350">
                  <c:v>351</c:v>
                </c:pt>
                <c:pt idx="351">
                  <c:v>352</c:v>
                </c:pt>
                <c:pt idx="352">
                  <c:v>353</c:v>
                </c:pt>
                <c:pt idx="353">
                  <c:v>354</c:v>
                </c:pt>
                <c:pt idx="354">
                  <c:v>355</c:v>
                </c:pt>
                <c:pt idx="355">
                  <c:v>356</c:v>
                </c:pt>
                <c:pt idx="356">
                  <c:v>357</c:v>
                </c:pt>
                <c:pt idx="357">
                  <c:v>358</c:v>
                </c:pt>
                <c:pt idx="358">
                  <c:v>359</c:v>
                </c:pt>
                <c:pt idx="359">
                  <c:v>360</c:v>
                </c:pt>
                <c:pt idx="360">
                  <c:v>361</c:v>
                </c:pt>
                <c:pt idx="361">
                  <c:v>362</c:v>
                </c:pt>
                <c:pt idx="362">
                  <c:v>363</c:v>
                </c:pt>
                <c:pt idx="363">
                  <c:v>364</c:v>
                </c:pt>
                <c:pt idx="364">
                  <c:v>365</c:v>
                </c:pt>
                <c:pt idx="365">
                  <c:v>366</c:v>
                </c:pt>
                <c:pt idx="366">
                  <c:v>367</c:v>
                </c:pt>
                <c:pt idx="367">
                  <c:v>368</c:v>
                </c:pt>
                <c:pt idx="368">
                  <c:v>369</c:v>
                </c:pt>
                <c:pt idx="369">
                  <c:v>370</c:v>
                </c:pt>
                <c:pt idx="370">
                  <c:v>371</c:v>
                </c:pt>
                <c:pt idx="371">
                  <c:v>372</c:v>
                </c:pt>
                <c:pt idx="372">
                  <c:v>373</c:v>
                </c:pt>
                <c:pt idx="373">
                  <c:v>374</c:v>
                </c:pt>
                <c:pt idx="374">
                  <c:v>375</c:v>
                </c:pt>
                <c:pt idx="375">
                  <c:v>376</c:v>
                </c:pt>
                <c:pt idx="376">
                  <c:v>377</c:v>
                </c:pt>
                <c:pt idx="377">
                  <c:v>378</c:v>
                </c:pt>
                <c:pt idx="378">
                  <c:v>379</c:v>
                </c:pt>
                <c:pt idx="379">
                  <c:v>380</c:v>
                </c:pt>
                <c:pt idx="380">
                  <c:v>381</c:v>
                </c:pt>
                <c:pt idx="381">
                  <c:v>382</c:v>
                </c:pt>
                <c:pt idx="382">
                  <c:v>383</c:v>
                </c:pt>
                <c:pt idx="383">
                  <c:v>384</c:v>
                </c:pt>
                <c:pt idx="384">
                  <c:v>385</c:v>
                </c:pt>
                <c:pt idx="385">
                  <c:v>386</c:v>
                </c:pt>
                <c:pt idx="386">
                  <c:v>387</c:v>
                </c:pt>
                <c:pt idx="387">
                  <c:v>388</c:v>
                </c:pt>
                <c:pt idx="388">
                  <c:v>389</c:v>
                </c:pt>
                <c:pt idx="389">
                  <c:v>390</c:v>
                </c:pt>
                <c:pt idx="390">
                  <c:v>391</c:v>
                </c:pt>
                <c:pt idx="391">
                  <c:v>392</c:v>
                </c:pt>
                <c:pt idx="392">
                  <c:v>393</c:v>
                </c:pt>
                <c:pt idx="393">
                  <c:v>394</c:v>
                </c:pt>
                <c:pt idx="394">
                  <c:v>395</c:v>
                </c:pt>
                <c:pt idx="395">
                  <c:v>396</c:v>
                </c:pt>
                <c:pt idx="396">
                  <c:v>397</c:v>
                </c:pt>
                <c:pt idx="397">
                  <c:v>398</c:v>
                </c:pt>
                <c:pt idx="398">
                  <c:v>399</c:v>
                </c:pt>
                <c:pt idx="399">
                  <c:v>400</c:v>
                </c:pt>
                <c:pt idx="400">
                  <c:v>401</c:v>
                </c:pt>
                <c:pt idx="401">
                  <c:v>402</c:v>
                </c:pt>
                <c:pt idx="402">
                  <c:v>403</c:v>
                </c:pt>
                <c:pt idx="403">
                  <c:v>404</c:v>
                </c:pt>
                <c:pt idx="404">
                  <c:v>405</c:v>
                </c:pt>
                <c:pt idx="405">
                  <c:v>406</c:v>
                </c:pt>
                <c:pt idx="406">
                  <c:v>407</c:v>
                </c:pt>
                <c:pt idx="407">
                  <c:v>408</c:v>
                </c:pt>
                <c:pt idx="408">
                  <c:v>409</c:v>
                </c:pt>
                <c:pt idx="409">
                  <c:v>410</c:v>
                </c:pt>
                <c:pt idx="410">
                  <c:v>411</c:v>
                </c:pt>
                <c:pt idx="411">
                  <c:v>412</c:v>
                </c:pt>
                <c:pt idx="412">
                  <c:v>413</c:v>
                </c:pt>
                <c:pt idx="413">
                  <c:v>414</c:v>
                </c:pt>
                <c:pt idx="414">
                  <c:v>415</c:v>
                </c:pt>
                <c:pt idx="415">
                  <c:v>416</c:v>
                </c:pt>
                <c:pt idx="416">
                  <c:v>417</c:v>
                </c:pt>
                <c:pt idx="417">
                  <c:v>418</c:v>
                </c:pt>
                <c:pt idx="418">
                  <c:v>419</c:v>
                </c:pt>
                <c:pt idx="419">
                  <c:v>420</c:v>
                </c:pt>
                <c:pt idx="420">
                  <c:v>421</c:v>
                </c:pt>
                <c:pt idx="421">
                  <c:v>422</c:v>
                </c:pt>
                <c:pt idx="422">
                  <c:v>423</c:v>
                </c:pt>
                <c:pt idx="423">
                  <c:v>424</c:v>
                </c:pt>
                <c:pt idx="424">
                  <c:v>425</c:v>
                </c:pt>
                <c:pt idx="425">
                  <c:v>426</c:v>
                </c:pt>
                <c:pt idx="426">
                  <c:v>427</c:v>
                </c:pt>
                <c:pt idx="427">
                  <c:v>428</c:v>
                </c:pt>
                <c:pt idx="428">
                  <c:v>429</c:v>
                </c:pt>
                <c:pt idx="429">
                  <c:v>430</c:v>
                </c:pt>
                <c:pt idx="430">
                  <c:v>431</c:v>
                </c:pt>
                <c:pt idx="431">
                  <c:v>432</c:v>
                </c:pt>
                <c:pt idx="432">
                  <c:v>433</c:v>
                </c:pt>
                <c:pt idx="433">
                  <c:v>434</c:v>
                </c:pt>
                <c:pt idx="434">
                  <c:v>435</c:v>
                </c:pt>
                <c:pt idx="435">
                  <c:v>436</c:v>
                </c:pt>
                <c:pt idx="436">
                  <c:v>437</c:v>
                </c:pt>
                <c:pt idx="437">
                  <c:v>438</c:v>
                </c:pt>
                <c:pt idx="438">
                  <c:v>439</c:v>
                </c:pt>
                <c:pt idx="439">
                  <c:v>440</c:v>
                </c:pt>
                <c:pt idx="440">
                  <c:v>441</c:v>
                </c:pt>
                <c:pt idx="441">
                  <c:v>442</c:v>
                </c:pt>
                <c:pt idx="442">
                  <c:v>443</c:v>
                </c:pt>
                <c:pt idx="443">
                  <c:v>444</c:v>
                </c:pt>
                <c:pt idx="444">
                  <c:v>445</c:v>
                </c:pt>
                <c:pt idx="445">
                  <c:v>446</c:v>
                </c:pt>
                <c:pt idx="446">
                  <c:v>447</c:v>
                </c:pt>
                <c:pt idx="447">
                  <c:v>448</c:v>
                </c:pt>
                <c:pt idx="448">
                  <c:v>449</c:v>
                </c:pt>
                <c:pt idx="449">
                  <c:v>450</c:v>
                </c:pt>
                <c:pt idx="450">
                  <c:v>451</c:v>
                </c:pt>
                <c:pt idx="451">
                  <c:v>452</c:v>
                </c:pt>
                <c:pt idx="452">
                  <c:v>453</c:v>
                </c:pt>
                <c:pt idx="453">
                  <c:v>454</c:v>
                </c:pt>
                <c:pt idx="454">
                  <c:v>455</c:v>
                </c:pt>
                <c:pt idx="455">
                  <c:v>456</c:v>
                </c:pt>
                <c:pt idx="456">
                  <c:v>457</c:v>
                </c:pt>
                <c:pt idx="457">
                  <c:v>458</c:v>
                </c:pt>
                <c:pt idx="458">
                  <c:v>459</c:v>
                </c:pt>
                <c:pt idx="459">
                  <c:v>460</c:v>
                </c:pt>
                <c:pt idx="460">
                  <c:v>461</c:v>
                </c:pt>
                <c:pt idx="461">
                  <c:v>462</c:v>
                </c:pt>
                <c:pt idx="462">
                  <c:v>463</c:v>
                </c:pt>
                <c:pt idx="463">
                  <c:v>464</c:v>
                </c:pt>
                <c:pt idx="464">
                  <c:v>465</c:v>
                </c:pt>
                <c:pt idx="465">
                  <c:v>466</c:v>
                </c:pt>
                <c:pt idx="466">
                  <c:v>467</c:v>
                </c:pt>
                <c:pt idx="467">
                  <c:v>468</c:v>
                </c:pt>
                <c:pt idx="468">
                  <c:v>469</c:v>
                </c:pt>
                <c:pt idx="469">
                  <c:v>470</c:v>
                </c:pt>
                <c:pt idx="470">
                  <c:v>471</c:v>
                </c:pt>
                <c:pt idx="471">
                  <c:v>472</c:v>
                </c:pt>
                <c:pt idx="472">
                  <c:v>473</c:v>
                </c:pt>
                <c:pt idx="473">
                  <c:v>474</c:v>
                </c:pt>
                <c:pt idx="474">
                  <c:v>475</c:v>
                </c:pt>
                <c:pt idx="475">
                  <c:v>476</c:v>
                </c:pt>
                <c:pt idx="476">
                  <c:v>477</c:v>
                </c:pt>
                <c:pt idx="477">
                  <c:v>478</c:v>
                </c:pt>
                <c:pt idx="478">
                  <c:v>479</c:v>
                </c:pt>
                <c:pt idx="479">
                  <c:v>480</c:v>
                </c:pt>
                <c:pt idx="480">
                  <c:v>481</c:v>
                </c:pt>
                <c:pt idx="481">
                  <c:v>482</c:v>
                </c:pt>
                <c:pt idx="482">
                  <c:v>483</c:v>
                </c:pt>
                <c:pt idx="483">
                  <c:v>484</c:v>
                </c:pt>
                <c:pt idx="484">
                  <c:v>485</c:v>
                </c:pt>
                <c:pt idx="485">
                  <c:v>486</c:v>
                </c:pt>
                <c:pt idx="486">
                  <c:v>487</c:v>
                </c:pt>
                <c:pt idx="487">
                  <c:v>488</c:v>
                </c:pt>
                <c:pt idx="488">
                  <c:v>489</c:v>
                </c:pt>
                <c:pt idx="489">
                  <c:v>490</c:v>
                </c:pt>
                <c:pt idx="490">
                  <c:v>491</c:v>
                </c:pt>
                <c:pt idx="491">
                  <c:v>492</c:v>
                </c:pt>
                <c:pt idx="492">
                  <c:v>493</c:v>
                </c:pt>
                <c:pt idx="493">
                  <c:v>494</c:v>
                </c:pt>
                <c:pt idx="494">
                  <c:v>495</c:v>
                </c:pt>
                <c:pt idx="495">
                  <c:v>496</c:v>
                </c:pt>
                <c:pt idx="496">
                  <c:v>497</c:v>
                </c:pt>
                <c:pt idx="497">
                  <c:v>498</c:v>
                </c:pt>
                <c:pt idx="498">
                  <c:v>499</c:v>
                </c:pt>
                <c:pt idx="499">
                  <c:v>500</c:v>
                </c:pt>
                <c:pt idx="500">
                  <c:v>501</c:v>
                </c:pt>
                <c:pt idx="501">
                  <c:v>502</c:v>
                </c:pt>
                <c:pt idx="502">
                  <c:v>503</c:v>
                </c:pt>
                <c:pt idx="503">
                  <c:v>504</c:v>
                </c:pt>
                <c:pt idx="504">
                  <c:v>505</c:v>
                </c:pt>
                <c:pt idx="505">
                  <c:v>506</c:v>
                </c:pt>
                <c:pt idx="506">
                  <c:v>507</c:v>
                </c:pt>
                <c:pt idx="507">
                  <c:v>508</c:v>
                </c:pt>
                <c:pt idx="508">
                  <c:v>509</c:v>
                </c:pt>
                <c:pt idx="509">
                  <c:v>510</c:v>
                </c:pt>
                <c:pt idx="510">
                  <c:v>511</c:v>
                </c:pt>
                <c:pt idx="511">
                  <c:v>512</c:v>
                </c:pt>
                <c:pt idx="512">
                  <c:v>513</c:v>
                </c:pt>
                <c:pt idx="513">
                  <c:v>514</c:v>
                </c:pt>
                <c:pt idx="514">
                  <c:v>515</c:v>
                </c:pt>
                <c:pt idx="515">
                  <c:v>516</c:v>
                </c:pt>
                <c:pt idx="516">
                  <c:v>517</c:v>
                </c:pt>
                <c:pt idx="517">
                  <c:v>518</c:v>
                </c:pt>
                <c:pt idx="518">
                  <c:v>519</c:v>
                </c:pt>
                <c:pt idx="519">
                  <c:v>520</c:v>
                </c:pt>
                <c:pt idx="520">
                  <c:v>521</c:v>
                </c:pt>
                <c:pt idx="521">
                  <c:v>522</c:v>
                </c:pt>
                <c:pt idx="522">
                  <c:v>523</c:v>
                </c:pt>
                <c:pt idx="523">
                  <c:v>524</c:v>
                </c:pt>
                <c:pt idx="524">
                  <c:v>525</c:v>
                </c:pt>
                <c:pt idx="525">
                  <c:v>526</c:v>
                </c:pt>
                <c:pt idx="526">
                  <c:v>527</c:v>
                </c:pt>
                <c:pt idx="527">
                  <c:v>528</c:v>
                </c:pt>
                <c:pt idx="528">
                  <c:v>529</c:v>
                </c:pt>
                <c:pt idx="529">
                  <c:v>530</c:v>
                </c:pt>
                <c:pt idx="530">
                  <c:v>531</c:v>
                </c:pt>
                <c:pt idx="531">
                  <c:v>532</c:v>
                </c:pt>
                <c:pt idx="532">
                  <c:v>533</c:v>
                </c:pt>
                <c:pt idx="533">
                  <c:v>534</c:v>
                </c:pt>
                <c:pt idx="534">
                  <c:v>535</c:v>
                </c:pt>
                <c:pt idx="535">
                  <c:v>536</c:v>
                </c:pt>
                <c:pt idx="536">
                  <c:v>537</c:v>
                </c:pt>
                <c:pt idx="537">
                  <c:v>538</c:v>
                </c:pt>
                <c:pt idx="538">
                  <c:v>539</c:v>
                </c:pt>
                <c:pt idx="539">
                  <c:v>540</c:v>
                </c:pt>
                <c:pt idx="540">
                  <c:v>541</c:v>
                </c:pt>
                <c:pt idx="541">
                  <c:v>542</c:v>
                </c:pt>
                <c:pt idx="542">
                  <c:v>543</c:v>
                </c:pt>
                <c:pt idx="543">
                  <c:v>544</c:v>
                </c:pt>
                <c:pt idx="544">
                  <c:v>545</c:v>
                </c:pt>
                <c:pt idx="545">
                  <c:v>546</c:v>
                </c:pt>
                <c:pt idx="546">
                  <c:v>547</c:v>
                </c:pt>
                <c:pt idx="547">
                  <c:v>548</c:v>
                </c:pt>
                <c:pt idx="548">
                  <c:v>549</c:v>
                </c:pt>
                <c:pt idx="549">
                  <c:v>550</c:v>
                </c:pt>
                <c:pt idx="550">
                  <c:v>551</c:v>
                </c:pt>
                <c:pt idx="551">
                  <c:v>552</c:v>
                </c:pt>
                <c:pt idx="552">
                  <c:v>553</c:v>
                </c:pt>
                <c:pt idx="553">
                  <c:v>554</c:v>
                </c:pt>
                <c:pt idx="554">
                  <c:v>555</c:v>
                </c:pt>
                <c:pt idx="555">
                  <c:v>556</c:v>
                </c:pt>
                <c:pt idx="556">
                  <c:v>557</c:v>
                </c:pt>
                <c:pt idx="557">
                  <c:v>558</c:v>
                </c:pt>
                <c:pt idx="558">
                  <c:v>559</c:v>
                </c:pt>
                <c:pt idx="559">
                  <c:v>560</c:v>
                </c:pt>
                <c:pt idx="560">
                  <c:v>561</c:v>
                </c:pt>
                <c:pt idx="561">
                  <c:v>562</c:v>
                </c:pt>
                <c:pt idx="562">
                  <c:v>563</c:v>
                </c:pt>
                <c:pt idx="563">
                  <c:v>564</c:v>
                </c:pt>
                <c:pt idx="564">
                  <c:v>565</c:v>
                </c:pt>
                <c:pt idx="565">
                  <c:v>566</c:v>
                </c:pt>
                <c:pt idx="566">
                  <c:v>567</c:v>
                </c:pt>
                <c:pt idx="567">
                  <c:v>568</c:v>
                </c:pt>
                <c:pt idx="568">
                  <c:v>569</c:v>
                </c:pt>
                <c:pt idx="569">
                  <c:v>570</c:v>
                </c:pt>
                <c:pt idx="570">
                  <c:v>571</c:v>
                </c:pt>
                <c:pt idx="571">
                  <c:v>572</c:v>
                </c:pt>
                <c:pt idx="572">
                  <c:v>573</c:v>
                </c:pt>
                <c:pt idx="573">
                  <c:v>574</c:v>
                </c:pt>
                <c:pt idx="574">
                  <c:v>575</c:v>
                </c:pt>
                <c:pt idx="575">
                  <c:v>576</c:v>
                </c:pt>
                <c:pt idx="576">
                  <c:v>577</c:v>
                </c:pt>
                <c:pt idx="577">
                  <c:v>578</c:v>
                </c:pt>
                <c:pt idx="578">
                  <c:v>579</c:v>
                </c:pt>
                <c:pt idx="579">
                  <c:v>580</c:v>
                </c:pt>
                <c:pt idx="580">
                  <c:v>581</c:v>
                </c:pt>
                <c:pt idx="581">
                  <c:v>582</c:v>
                </c:pt>
                <c:pt idx="582">
                  <c:v>583</c:v>
                </c:pt>
                <c:pt idx="583">
                  <c:v>584</c:v>
                </c:pt>
                <c:pt idx="584">
                  <c:v>585</c:v>
                </c:pt>
                <c:pt idx="585">
                  <c:v>586</c:v>
                </c:pt>
                <c:pt idx="586">
                  <c:v>587</c:v>
                </c:pt>
                <c:pt idx="587">
                  <c:v>588</c:v>
                </c:pt>
                <c:pt idx="588">
                  <c:v>589</c:v>
                </c:pt>
                <c:pt idx="589">
                  <c:v>590</c:v>
                </c:pt>
                <c:pt idx="590">
                  <c:v>591</c:v>
                </c:pt>
                <c:pt idx="591">
                  <c:v>592</c:v>
                </c:pt>
                <c:pt idx="592">
                  <c:v>593</c:v>
                </c:pt>
                <c:pt idx="593">
                  <c:v>594</c:v>
                </c:pt>
                <c:pt idx="594">
                  <c:v>595</c:v>
                </c:pt>
                <c:pt idx="595">
                  <c:v>596</c:v>
                </c:pt>
                <c:pt idx="596">
                  <c:v>597</c:v>
                </c:pt>
                <c:pt idx="597">
                  <c:v>598</c:v>
                </c:pt>
                <c:pt idx="598">
                  <c:v>599</c:v>
                </c:pt>
                <c:pt idx="599">
                  <c:v>600</c:v>
                </c:pt>
                <c:pt idx="600">
                  <c:v>601</c:v>
                </c:pt>
                <c:pt idx="601">
                  <c:v>602</c:v>
                </c:pt>
                <c:pt idx="602">
                  <c:v>603</c:v>
                </c:pt>
                <c:pt idx="603">
                  <c:v>604</c:v>
                </c:pt>
                <c:pt idx="604">
                  <c:v>605</c:v>
                </c:pt>
                <c:pt idx="605">
                  <c:v>606</c:v>
                </c:pt>
                <c:pt idx="606">
                  <c:v>607</c:v>
                </c:pt>
                <c:pt idx="607">
                  <c:v>608</c:v>
                </c:pt>
                <c:pt idx="608">
                  <c:v>609</c:v>
                </c:pt>
                <c:pt idx="609">
                  <c:v>610</c:v>
                </c:pt>
                <c:pt idx="610">
                  <c:v>611</c:v>
                </c:pt>
                <c:pt idx="611">
                  <c:v>612</c:v>
                </c:pt>
                <c:pt idx="612">
                  <c:v>613</c:v>
                </c:pt>
                <c:pt idx="613">
                  <c:v>614</c:v>
                </c:pt>
                <c:pt idx="614">
                  <c:v>615</c:v>
                </c:pt>
                <c:pt idx="615">
                  <c:v>616</c:v>
                </c:pt>
                <c:pt idx="616">
                  <c:v>617</c:v>
                </c:pt>
                <c:pt idx="617">
                  <c:v>618</c:v>
                </c:pt>
                <c:pt idx="618">
                  <c:v>619</c:v>
                </c:pt>
                <c:pt idx="619">
                  <c:v>620</c:v>
                </c:pt>
                <c:pt idx="620">
                  <c:v>621</c:v>
                </c:pt>
                <c:pt idx="621">
                  <c:v>622</c:v>
                </c:pt>
                <c:pt idx="622">
                  <c:v>623</c:v>
                </c:pt>
                <c:pt idx="623">
                  <c:v>624</c:v>
                </c:pt>
                <c:pt idx="624">
                  <c:v>625</c:v>
                </c:pt>
                <c:pt idx="625">
                  <c:v>626</c:v>
                </c:pt>
                <c:pt idx="626">
                  <c:v>627</c:v>
                </c:pt>
                <c:pt idx="627">
                  <c:v>628</c:v>
                </c:pt>
                <c:pt idx="628">
                  <c:v>629</c:v>
                </c:pt>
                <c:pt idx="629">
                  <c:v>630</c:v>
                </c:pt>
                <c:pt idx="630">
                  <c:v>631</c:v>
                </c:pt>
                <c:pt idx="631">
                  <c:v>632</c:v>
                </c:pt>
                <c:pt idx="632">
                  <c:v>633</c:v>
                </c:pt>
                <c:pt idx="633">
                  <c:v>634</c:v>
                </c:pt>
                <c:pt idx="634">
                  <c:v>635</c:v>
                </c:pt>
                <c:pt idx="635">
                  <c:v>636</c:v>
                </c:pt>
                <c:pt idx="636">
                  <c:v>637</c:v>
                </c:pt>
                <c:pt idx="637">
                  <c:v>638</c:v>
                </c:pt>
                <c:pt idx="638">
                  <c:v>639</c:v>
                </c:pt>
                <c:pt idx="639">
                  <c:v>640</c:v>
                </c:pt>
                <c:pt idx="640">
                  <c:v>641</c:v>
                </c:pt>
                <c:pt idx="641">
                  <c:v>642</c:v>
                </c:pt>
                <c:pt idx="642">
                  <c:v>643</c:v>
                </c:pt>
                <c:pt idx="643">
                  <c:v>644</c:v>
                </c:pt>
                <c:pt idx="644">
                  <c:v>645</c:v>
                </c:pt>
                <c:pt idx="645">
                  <c:v>646</c:v>
                </c:pt>
                <c:pt idx="646">
                  <c:v>647</c:v>
                </c:pt>
                <c:pt idx="647">
                  <c:v>648</c:v>
                </c:pt>
                <c:pt idx="648">
                  <c:v>649</c:v>
                </c:pt>
                <c:pt idx="649">
                  <c:v>650</c:v>
                </c:pt>
                <c:pt idx="650">
                  <c:v>651</c:v>
                </c:pt>
                <c:pt idx="651">
                  <c:v>652</c:v>
                </c:pt>
                <c:pt idx="652">
                  <c:v>653</c:v>
                </c:pt>
                <c:pt idx="653">
                  <c:v>654</c:v>
                </c:pt>
                <c:pt idx="654">
                  <c:v>655</c:v>
                </c:pt>
                <c:pt idx="655">
                  <c:v>656</c:v>
                </c:pt>
                <c:pt idx="656">
                  <c:v>657</c:v>
                </c:pt>
                <c:pt idx="657">
                  <c:v>658</c:v>
                </c:pt>
                <c:pt idx="658">
                  <c:v>659</c:v>
                </c:pt>
                <c:pt idx="659">
                  <c:v>660</c:v>
                </c:pt>
                <c:pt idx="660">
                  <c:v>661</c:v>
                </c:pt>
                <c:pt idx="661">
                  <c:v>662</c:v>
                </c:pt>
                <c:pt idx="662">
                  <c:v>663</c:v>
                </c:pt>
                <c:pt idx="663">
                  <c:v>664</c:v>
                </c:pt>
                <c:pt idx="664">
                  <c:v>665</c:v>
                </c:pt>
                <c:pt idx="665">
                  <c:v>666</c:v>
                </c:pt>
                <c:pt idx="666">
                  <c:v>667</c:v>
                </c:pt>
                <c:pt idx="667">
                  <c:v>668</c:v>
                </c:pt>
                <c:pt idx="668">
                  <c:v>669</c:v>
                </c:pt>
                <c:pt idx="669">
                  <c:v>670</c:v>
                </c:pt>
                <c:pt idx="670">
                  <c:v>671</c:v>
                </c:pt>
                <c:pt idx="671">
                  <c:v>672</c:v>
                </c:pt>
                <c:pt idx="672">
                  <c:v>673</c:v>
                </c:pt>
                <c:pt idx="673">
                  <c:v>674</c:v>
                </c:pt>
                <c:pt idx="674">
                  <c:v>675</c:v>
                </c:pt>
                <c:pt idx="675">
                  <c:v>676</c:v>
                </c:pt>
                <c:pt idx="676">
                  <c:v>677</c:v>
                </c:pt>
                <c:pt idx="677">
                  <c:v>678</c:v>
                </c:pt>
                <c:pt idx="678">
                  <c:v>679</c:v>
                </c:pt>
                <c:pt idx="679">
                  <c:v>680</c:v>
                </c:pt>
                <c:pt idx="680">
                  <c:v>681</c:v>
                </c:pt>
                <c:pt idx="681">
                  <c:v>682</c:v>
                </c:pt>
                <c:pt idx="682">
                  <c:v>683</c:v>
                </c:pt>
                <c:pt idx="683">
                  <c:v>684</c:v>
                </c:pt>
                <c:pt idx="684">
                  <c:v>685</c:v>
                </c:pt>
                <c:pt idx="685">
                  <c:v>686</c:v>
                </c:pt>
                <c:pt idx="686">
                  <c:v>687</c:v>
                </c:pt>
                <c:pt idx="687">
                  <c:v>688</c:v>
                </c:pt>
                <c:pt idx="688">
                  <c:v>689</c:v>
                </c:pt>
                <c:pt idx="689">
                  <c:v>690</c:v>
                </c:pt>
                <c:pt idx="690">
                  <c:v>691</c:v>
                </c:pt>
                <c:pt idx="691">
                  <c:v>692</c:v>
                </c:pt>
                <c:pt idx="692">
                  <c:v>693</c:v>
                </c:pt>
                <c:pt idx="693">
                  <c:v>694</c:v>
                </c:pt>
                <c:pt idx="694">
                  <c:v>695</c:v>
                </c:pt>
                <c:pt idx="695">
                  <c:v>696</c:v>
                </c:pt>
                <c:pt idx="696">
                  <c:v>697</c:v>
                </c:pt>
                <c:pt idx="697">
                  <c:v>698</c:v>
                </c:pt>
                <c:pt idx="698">
                  <c:v>699</c:v>
                </c:pt>
                <c:pt idx="699">
                  <c:v>700</c:v>
                </c:pt>
                <c:pt idx="700">
                  <c:v>701</c:v>
                </c:pt>
                <c:pt idx="701">
                  <c:v>702</c:v>
                </c:pt>
                <c:pt idx="702">
                  <c:v>703</c:v>
                </c:pt>
                <c:pt idx="703">
                  <c:v>704</c:v>
                </c:pt>
                <c:pt idx="704">
                  <c:v>705</c:v>
                </c:pt>
                <c:pt idx="705">
                  <c:v>706</c:v>
                </c:pt>
                <c:pt idx="706">
                  <c:v>707</c:v>
                </c:pt>
                <c:pt idx="707">
                  <c:v>708</c:v>
                </c:pt>
                <c:pt idx="708">
                  <c:v>709</c:v>
                </c:pt>
                <c:pt idx="709">
                  <c:v>710</c:v>
                </c:pt>
                <c:pt idx="710">
                  <c:v>711</c:v>
                </c:pt>
                <c:pt idx="711">
                  <c:v>712</c:v>
                </c:pt>
                <c:pt idx="712">
                  <c:v>713</c:v>
                </c:pt>
                <c:pt idx="713">
                  <c:v>714</c:v>
                </c:pt>
                <c:pt idx="714">
                  <c:v>715</c:v>
                </c:pt>
                <c:pt idx="715">
                  <c:v>716</c:v>
                </c:pt>
                <c:pt idx="716">
                  <c:v>717</c:v>
                </c:pt>
                <c:pt idx="717">
                  <c:v>718</c:v>
                </c:pt>
                <c:pt idx="718">
                  <c:v>719</c:v>
                </c:pt>
                <c:pt idx="719">
                  <c:v>720</c:v>
                </c:pt>
                <c:pt idx="720">
                  <c:v>721</c:v>
                </c:pt>
                <c:pt idx="721">
                  <c:v>722</c:v>
                </c:pt>
                <c:pt idx="722">
                  <c:v>723</c:v>
                </c:pt>
                <c:pt idx="723">
                  <c:v>724</c:v>
                </c:pt>
                <c:pt idx="724">
                  <c:v>725</c:v>
                </c:pt>
                <c:pt idx="725">
                  <c:v>726</c:v>
                </c:pt>
                <c:pt idx="726">
                  <c:v>727</c:v>
                </c:pt>
                <c:pt idx="727">
                  <c:v>728</c:v>
                </c:pt>
                <c:pt idx="728">
                  <c:v>729</c:v>
                </c:pt>
                <c:pt idx="729">
                  <c:v>730</c:v>
                </c:pt>
                <c:pt idx="730">
                  <c:v>731</c:v>
                </c:pt>
                <c:pt idx="731">
                  <c:v>732</c:v>
                </c:pt>
                <c:pt idx="732">
                  <c:v>733</c:v>
                </c:pt>
                <c:pt idx="733">
                  <c:v>734</c:v>
                </c:pt>
                <c:pt idx="734">
                  <c:v>735</c:v>
                </c:pt>
                <c:pt idx="735">
                  <c:v>736</c:v>
                </c:pt>
                <c:pt idx="736">
                  <c:v>737</c:v>
                </c:pt>
                <c:pt idx="737">
                  <c:v>738</c:v>
                </c:pt>
                <c:pt idx="738">
                  <c:v>739</c:v>
                </c:pt>
                <c:pt idx="739">
                  <c:v>740</c:v>
                </c:pt>
                <c:pt idx="740">
                  <c:v>741</c:v>
                </c:pt>
                <c:pt idx="741">
                  <c:v>742</c:v>
                </c:pt>
                <c:pt idx="742">
                  <c:v>743</c:v>
                </c:pt>
                <c:pt idx="743">
                  <c:v>744</c:v>
                </c:pt>
                <c:pt idx="744">
                  <c:v>745</c:v>
                </c:pt>
                <c:pt idx="745">
                  <c:v>746</c:v>
                </c:pt>
                <c:pt idx="746">
                  <c:v>747</c:v>
                </c:pt>
                <c:pt idx="747">
                  <c:v>748</c:v>
                </c:pt>
                <c:pt idx="748">
                  <c:v>749</c:v>
                </c:pt>
                <c:pt idx="749">
                  <c:v>750</c:v>
                </c:pt>
                <c:pt idx="750">
                  <c:v>751</c:v>
                </c:pt>
                <c:pt idx="751">
                  <c:v>752</c:v>
                </c:pt>
                <c:pt idx="752">
                  <c:v>753</c:v>
                </c:pt>
                <c:pt idx="753">
                  <c:v>754</c:v>
                </c:pt>
                <c:pt idx="754">
                  <c:v>755</c:v>
                </c:pt>
                <c:pt idx="755">
                  <c:v>756</c:v>
                </c:pt>
                <c:pt idx="756">
                  <c:v>757</c:v>
                </c:pt>
                <c:pt idx="757">
                  <c:v>758</c:v>
                </c:pt>
                <c:pt idx="758">
                  <c:v>759</c:v>
                </c:pt>
                <c:pt idx="759">
                  <c:v>760</c:v>
                </c:pt>
                <c:pt idx="760">
                  <c:v>761</c:v>
                </c:pt>
                <c:pt idx="761">
                  <c:v>762</c:v>
                </c:pt>
                <c:pt idx="762">
                  <c:v>763</c:v>
                </c:pt>
                <c:pt idx="763">
                  <c:v>764</c:v>
                </c:pt>
                <c:pt idx="764">
                  <c:v>765</c:v>
                </c:pt>
                <c:pt idx="765">
                  <c:v>766</c:v>
                </c:pt>
                <c:pt idx="766">
                  <c:v>767</c:v>
                </c:pt>
                <c:pt idx="767">
                  <c:v>768</c:v>
                </c:pt>
                <c:pt idx="768">
                  <c:v>769</c:v>
                </c:pt>
                <c:pt idx="769">
                  <c:v>770</c:v>
                </c:pt>
                <c:pt idx="770">
                  <c:v>771</c:v>
                </c:pt>
                <c:pt idx="771">
                  <c:v>772</c:v>
                </c:pt>
                <c:pt idx="772">
                  <c:v>773</c:v>
                </c:pt>
                <c:pt idx="773">
                  <c:v>774</c:v>
                </c:pt>
                <c:pt idx="774">
                  <c:v>775</c:v>
                </c:pt>
                <c:pt idx="775">
                  <c:v>776</c:v>
                </c:pt>
                <c:pt idx="776">
                  <c:v>777</c:v>
                </c:pt>
                <c:pt idx="777">
                  <c:v>778</c:v>
                </c:pt>
                <c:pt idx="778">
                  <c:v>779</c:v>
                </c:pt>
                <c:pt idx="779">
                  <c:v>780</c:v>
                </c:pt>
                <c:pt idx="780">
                  <c:v>781</c:v>
                </c:pt>
                <c:pt idx="781">
                  <c:v>782</c:v>
                </c:pt>
                <c:pt idx="782">
                  <c:v>783</c:v>
                </c:pt>
                <c:pt idx="783">
                  <c:v>784</c:v>
                </c:pt>
                <c:pt idx="784">
                  <c:v>785</c:v>
                </c:pt>
                <c:pt idx="785">
                  <c:v>786</c:v>
                </c:pt>
                <c:pt idx="786">
                  <c:v>787</c:v>
                </c:pt>
                <c:pt idx="787">
                  <c:v>788</c:v>
                </c:pt>
                <c:pt idx="788">
                  <c:v>789</c:v>
                </c:pt>
                <c:pt idx="789">
                  <c:v>790</c:v>
                </c:pt>
                <c:pt idx="790">
                  <c:v>791</c:v>
                </c:pt>
                <c:pt idx="791">
                  <c:v>792</c:v>
                </c:pt>
                <c:pt idx="792">
                  <c:v>793</c:v>
                </c:pt>
                <c:pt idx="793">
                  <c:v>794</c:v>
                </c:pt>
                <c:pt idx="794">
                  <c:v>795</c:v>
                </c:pt>
                <c:pt idx="795">
                  <c:v>796</c:v>
                </c:pt>
                <c:pt idx="796">
                  <c:v>797</c:v>
                </c:pt>
                <c:pt idx="797">
                  <c:v>798</c:v>
                </c:pt>
                <c:pt idx="798">
                  <c:v>799</c:v>
                </c:pt>
                <c:pt idx="799">
                  <c:v>800</c:v>
                </c:pt>
                <c:pt idx="800">
                  <c:v>801</c:v>
                </c:pt>
                <c:pt idx="801">
                  <c:v>802</c:v>
                </c:pt>
                <c:pt idx="802">
                  <c:v>803</c:v>
                </c:pt>
                <c:pt idx="803">
                  <c:v>804</c:v>
                </c:pt>
                <c:pt idx="804">
                  <c:v>805</c:v>
                </c:pt>
                <c:pt idx="805">
                  <c:v>806</c:v>
                </c:pt>
                <c:pt idx="806">
                  <c:v>807</c:v>
                </c:pt>
                <c:pt idx="807">
                  <c:v>808</c:v>
                </c:pt>
                <c:pt idx="808">
                  <c:v>809</c:v>
                </c:pt>
                <c:pt idx="809">
                  <c:v>810</c:v>
                </c:pt>
                <c:pt idx="810">
                  <c:v>811</c:v>
                </c:pt>
                <c:pt idx="811">
                  <c:v>812</c:v>
                </c:pt>
                <c:pt idx="812">
                  <c:v>813</c:v>
                </c:pt>
                <c:pt idx="813">
                  <c:v>814</c:v>
                </c:pt>
                <c:pt idx="814">
                  <c:v>815</c:v>
                </c:pt>
                <c:pt idx="815">
                  <c:v>816</c:v>
                </c:pt>
                <c:pt idx="816">
                  <c:v>817</c:v>
                </c:pt>
                <c:pt idx="817">
                  <c:v>818</c:v>
                </c:pt>
                <c:pt idx="818">
                  <c:v>819</c:v>
                </c:pt>
                <c:pt idx="819">
                  <c:v>820</c:v>
                </c:pt>
                <c:pt idx="820">
                  <c:v>821</c:v>
                </c:pt>
                <c:pt idx="821">
                  <c:v>822</c:v>
                </c:pt>
                <c:pt idx="822">
                  <c:v>823</c:v>
                </c:pt>
                <c:pt idx="823">
                  <c:v>824</c:v>
                </c:pt>
                <c:pt idx="824">
                  <c:v>825</c:v>
                </c:pt>
                <c:pt idx="825">
                  <c:v>826</c:v>
                </c:pt>
                <c:pt idx="826">
                  <c:v>827</c:v>
                </c:pt>
                <c:pt idx="827">
                  <c:v>828</c:v>
                </c:pt>
                <c:pt idx="828">
                  <c:v>829</c:v>
                </c:pt>
                <c:pt idx="829">
                  <c:v>830</c:v>
                </c:pt>
                <c:pt idx="830">
                  <c:v>831</c:v>
                </c:pt>
                <c:pt idx="831">
                  <c:v>832</c:v>
                </c:pt>
                <c:pt idx="832">
                  <c:v>833</c:v>
                </c:pt>
                <c:pt idx="833">
                  <c:v>834</c:v>
                </c:pt>
                <c:pt idx="834">
                  <c:v>835</c:v>
                </c:pt>
                <c:pt idx="835">
                  <c:v>836</c:v>
                </c:pt>
                <c:pt idx="836">
                  <c:v>837</c:v>
                </c:pt>
                <c:pt idx="837">
                  <c:v>838</c:v>
                </c:pt>
                <c:pt idx="838">
                  <c:v>839</c:v>
                </c:pt>
                <c:pt idx="839">
                  <c:v>840</c:v>
                </c:pt>
                <c:pt idx="840">
                  <c:v>841</c:v>
                </c:pt>
                <c:pt idx="841">
                  <c:v>842</c:v>
                </c:pt>
                <c:pt idx="842">
                  <c:v>843</c:v>
                </c:pt>
                <c:pt idx="843">
                  <c:v>844</c:v>
                </c:pt>
                <c:pt idx="844">
                  <c:v>845</c:v>
                </c:pt>
                <c:pt idx="845">
                  <c:v>846</c:v>
                </c:pt>
                <c:pt idx="846">
                  <c:v>847</c:v>
                </c:pt>
                <c:pt idx="847">
                  <c:v>848</c:v>
                </c:pt>
                <c:pt idx="848">
                  <c:v>849</c:v>
                </c:pt>
                <c:pt idx="849">
                  <c:v>850</c:v>
                </c:pt>
                <c:pt idx="850">
                  <c:v>851</c:v>
                </c:pt>
                <c:pt idx="851">
                  <c:v>852</c:v>
                </c:pt>
                <c:pt idx="852">
                  <c:v>853</c:v>
                </c:pt>
                <c:pt idx="853">
                  <c:v>854</c:v>
                </c:pt>
                <c:pt idx="854">
                  <c:v>855</c:v>
                </c:pt>
                <c:pt idx="855">
                  <c:v>856</c:v>
                </c:pt>
                <c:pt idx="856">
                  <c:v>857</c:v>
                </c:pt>
                <c:pt idx="857">
                  <c:v>858</c:v>
                </c:pt>
                <c:pt idx="858">
                  <c:v>859</c:v>
                </c:pt>
                <c:pt idx="859">
                  <c:v>860</c:v>
                </c:pt>
                <c:pt idx="860">
                  <c:v>861</c:v>
                </c:pt>
                <c:pt idx="861">
                  <c:v>862</c:v>
                </c:pt>
                <c:pt idx="862">
                  <c:v>863</c:v>
                </c:pt>
                <c:pt idx="863">
                  <c:v>864</c:v>
                </c:pt>
                <c:pt idx="864">
                  <c:v>865</c:v>
                </c:pt>
                <c:pt idx="865">
                  <c:v>866</c:v>
                </c:pt>
                <c:pt idx="866">
                  <c:v>867</c:v>
                </c:pt>
                <c:pt idx="867">
                  <c:v>868</c:v>
                </c:pt>
                <c:pt idx="868">
                  <c:v>869</c:v>
                </c:pt>
                <c:pt idx="869">
                  <c:v>870</c:v>
                </c:pt>
                <c:pt idx="870">
                  <c:v>871</c:v>
                </c:pt>
                <c:pt idx="871">
                  <c:v>872</c:v>
                </c:pt>
                <c:pt idx="872">
                  <c:v>873</c:v>
                </c:pt>
                <c:pt idx="873">
                  <c:v>874</c:v>
                </c:pt>
                <c:pt idx="874">
                  <c:v>875</c:v>
                </c:pt>
                <c:pt idx="875">
                  <c:v>876</c:v>
                </c:pt>
                <c:pt idx="876">
                  <c:v>877</c:v>
                </c:pt>
                <c:pt idx="877">
                  <c:v>878</c:v>
                </c:pt>
                <c:pt idx="878">
                  <c:v>879</c:v>
                </c:pt>
                <c:pt idx="879">
                  <c:v>880</c:v>
                </c:pt>
                <c:pt idx="880">
                  <c:v>881</c:v>
                </c:pt>
                <c:pt idx="881">
                  <c:v>882</c:v>
                </c:pt>
                <c:pt idx="882">
                  <c:v>883</c:v>
                </c:pt>
                <c:pt idx="883">
                  <c:v>884</c:v>
                </c:pt>
                <c:pt idx="884">
                  <c:v>885</c:v>
                </c:pt>
                <c:pt idx="885">
                  <c:v>886</c:v>
                </c:pt>
                <c:pt idx="886">
                  <c:v>887</c:v>
                </c:pt>
                <c:pt idx="887">
                  <c:v>888</c:v>
                </c:pt>
                <c:pt idx="888">
                  <c:v>889</c:v>
                </c:pt>
                <c:pt idx="889">
                  <c:v>890</c:v>
                </c:pt>
                <c:pt idx="890">
                  <c:v>891</c:v>
                </c:pt>
                <c:pt idx="891">
                  <c:v>892</c:v>
                </c:pt>
                <c:pt idx="892">
                  <c:v>893</c:v>
                </c:pt>
                <c:pt idx="893">
                  <c:v>894</c:v>
                </c:pt>
                <c:pt idx="894">
                  <c:v>895</c:v>
                </c:pt>
                <c:pt idx="895">
                  <c:v>896</c:v>
                </c:pt>
                <c:pt idx="896">
                  <c:v>897</c:v>
                </c:pt>
                <c:pt idx="897">
                  <c:v>898</c:v>
                </c:pt>
                <c:pt idx="898">
                  <c:v>899</c:v>
                </c:pt>
                <c:pt idx="899">
                  <c:v>900</c:v>
                </c:pt>
                <c:pt idx="900">
                  <c:v>901</c:v>
                </c:pt>
                <c:pt idx="901">
                  <c:v>902</c:v>
                </c:pt>
                <c:pt idx="902">
                  <c:v>903</c:v>
                </c:pt>
                <c:pt idx="903">
                  <c:v>904</c:v>
                </c:pt>
                <c:pt idx="904">
                  <c:v>905</c:v>
                </c:pt>
                <c:pt idx="905">
                  <c:v>906</c:v>
                </c:pt>
                <c:pt idx="906">
                  <c:v>907</c:v>
                </c:pt>
                <c:pt idx="907">
                  <c:v>908</c:v>
                </c:pt>
                <c:pt idx="908">
                  <c:v>909</c:v>
                </c:pt>
                <c:pt idx="909">
                  <c:v>910</c:v>
                </c:pt>
                <c:pt idx="910">
                  <c:v>911</c:v>
                </c:pt>
                <c:pt idx="911">
                  <c:v>912</c:v>
                </c:pt>
                <c:pt idx="912">
                  <c:v>913</c:v>
                </c:pt>
                <c:pt idx="913">
                  <c:v>914</c:v>
                </c:pt>
                <c:pt idx="914">
                  <c:v>915</c:v>
                </c:pt>
                <c:pt idx="915">
                  <c:v>916</c:v>
                </c:pt>
                <c:pt idx="916">
                  <c:v>917</c:v>
                </c:pt>
                <c:pt idx="917">
                  <c:v>918</c:v>
                </c:pt>
                <c:pt idx="918">
                  <c:v>919</c:v>
                </c:pt>
                <c:pt idx="919">
                  <c:v>920</c:v>
                </c:pt>
                <c:pt idx="920">
                  <c:v>921</c:v>
                </c:pt>
                <c:pt idx="921">
                  <c:v>922</c:v>
                </c:pt>
                <c:pt idx="922">
                  <c:v>923</c:v>
                </c:pt>
                <c:pt idx="923">
                  <c:v>924</c:v>
                </c:pt>
                <c:pt idx="924">
                  <c:v>925</c:v>
                </c:pt>
                <c:pt idx="925">
                  <c:v>926</c:v>
                </c:pt>
                <c:pt idx="926">
                  <c:v>927</c:v>
                </c:pt>
                <c:pt idx="927">
                  <c:v>928</c:v>
                </c:pt>
                <c:pt idx="928">
                  <c:v>929</c:v>
                </c:pt>
                <c:pt idx="929">
                  <c:v>930</c:v>
                </c:pt>
                <c:pt idx="930">
                  <c:v>931</c:v>
                </c:pt>
                <c:pt idx="931">
                  <c:v>932</c:v>
                </c:pt>
                <c:pt idx="932">
                  <c:v>933</c:v>
                </c:pt>
                <c:pt idx="933">
                  <c:v>934</c:v>
                </c:pt>
                <c:pt idx="934">
                  <c:v>935</c:v>
                </c:pt>
                <c:pt idx="935">
                  <c:v>936</c:v>
                </c:pt>
                <c:pt idx="936">
                  <c:v>937</c:v>
                </c:pt>
                <c:pt idx="937">
                  <c:v>938</c:v>
                </c:pt>
                <c:pt idx="938">
                  <c:v>939</c:v>
                </c:pt>
                <c:pt idx="939">
                  <c:v>940</c:v>
                </c:pt>
                <c:pt idx="940">
                  <c:v>941</c:v>
                </c:pt>
                <c:pt idx="941">
                  <c:v>942</c:v>
                </c:pt>
                <c:pt idx="942">
                  <c:v>943</c:v>
                </c:pt>
                <c:pt idx="943">
                  <c:v>944</c:v>
                </c:pt>
                <c:pt idx="944">
                  <c:v>945</c:v>
                </c:pt>
                <c:pt idx="945">
                  <c:v>946</c:v>
                </c:pt>
                <c:pt idx="946">
                  <c:v>947</c:v>
                </c:pt>
                <c:pt idx="947">
                  <c:v>948</c:v>
                </c:pt>
                <c:pt idx="948">
                  <c:v>949</c:v>
                </c:pt>
                <c:pt idx="949">
                  <c:v>950</c:v>
                </c:pt>
                <c:pt idx="950">
                  <c:v>951</c:v>
                </c:pt>
                <c:pt idx="951">
                  <c:v>952</c:v>
                </c:pt>
                <c:pt idx="952">
                  <c:v>953</c:v>
                </c:pt>
                <c:pt idx="953">
                  <c:v>954</c:v>
                </c:pt>
                <c:pt idx="954">
                  <c:v>955</c:v>
                </c:pt>
                <c:pt idx="955">
                  <c:v>956</c:v>
                </c:pt>
                <c:pt idx="956">
                  <c:v>957</c:v>
                </c:pt>
                <c:pt idx="957">
                  <c:v>958</c:v>
                </c:pt>
                <c:pt idx="958">
                  <c:v>959</c:v>
                </c:pt>
                <c:pt idx="959">
                  <c:v>960</c:v>
                </c:pt>
                <c:pt idx="960">
                  <c:v>961</c:v>
                </c:pt>
                <c:pt idx="961">
                  <c:v>962</c:v>
                </c:pt>
                <c:pt idx="962">
                  <c:v>963</c:v>
                </c:pt>
                <c:pt idx="963">
                  <c:v>964</c:v>
                </c:pt>
                <c:pt idx="964">
                  <c:v>965</c:v>
                </c:pt>
                <c:pt idx="965">
                  <c:v>966</c:v>
                </c:pt>
                <c:pt idx="966">
                  <c:v>967</c:v>
                </c:pt>
                <c:pt idx="967">
                  <c:v>968</c:v>
                </c:pt>
                <c:pt idx="968">
                  <c:v>969</c:v>
                </c:pt>
                <c:pt idx="969">
                  <c:v>970</c:v>
                </c:pt>
                <c:pt idx="970">
                  <c:v>971</c:v>
                </c:pt>
                <c:pt idx="971">
                  <c:v>972</c:v>
                </c:pt>
                <c:pt idx="972">
                  <c:v>973</c:v>
                </c:pt>
                <c:pt idx="973">
                  <c:v>974</c:v>
                </c:pt>
                <c:pt idx="974">
                  <c:v>975</c:v>
                </c:pt>
                <c:pt idx="975">
                  <c:v>976</c:v>
                </c:pt>
                <c:pt idx="976">
                  <c:v>977</c:v>
                </c:pt>
                <c:pt idx="977">
                  <c:v>978</c:v>
                </c:pt>
                <c:pt idx="978">
                  <c:v>979</c:v>
                </c:pt>
                <c:pt idx="979">
                  <c:v>980</c:v>
                </c:pt>
                <c:pt idx="980">
                  <c:v>981</c:v>
                </c:pt>
                <c:pt idx="981">
                  <c:v>982</c:v>
                </c:pt>
                <c:pt idx="982">
                  <c:v>983</c:v>
                </c:pt>
                <c:pt idx="983">
                  <c:v>984</c:v>
                </c:pt>
                <c:pt idx="984">
                  <c:v>985</c:v>
                </c:pt>
                <c:pt idx="985">
                  <c:v>986</c:v>
                </c:pt>
                <c:pt idx="986">
                  <c:v>987</c:v>
                </c:pt>
                <c:pt idx="987">
                  <c:v>988</c:v>
                </c:pt>
                <c:pt idx="988">
                  <c:v>989</c:v>
                </c:pt>
                <c:pt idx="989">
                  <c:v>990</c:v>
                </c:pt>
                <c:pt idx="990">
                  <c:v>991</c:v>
                </c:pt>
                <c:pt idx="991">
                  <c:v>992</c:v>
                </c:pt>
                <c:pt idx="992">
                  <c:v>993</c:v>
                </c:pt>
                <c:pt idx="993">
                  <c:v>994</c:v>
                </c:pt>
                <c:pt idx="994">
                  <c:v>995</c:v>
                </c:pt>
                <c:pt idx="995">
                  <c:v>996</c:v>
                </c:pt>
                <c:pt idx="996">
                  <c:v>997</c:v>
                </c:pt>
                <c:pt idx="997">
                  <c:v>998</c:v>
                </c:pt>
                <c:pt idx="998">
                  <c:v>999</c:v>
                </c:pt>
                <c:pt idx="999">
                  <c:v>1000</c:v>
                </c:pt>
                <c:pt idx="1000">
                  <c:v>1001</c:v>
                </c:pt>
                <c:pt idx="1001">
                  <c:v>1002</c:v>
                </c:pt>
                <c:pt idx="1002">
                  <c:v>1003</c:v>
                </c:pt>
                <c:pt idx="1003">
                  <c:v>1004</c:v>
                </c:pt>
                <c:pt idx="1004">
                  <c:v>1005</c:v>
                </c:pt>
                <c:pt idx="1005">
                  <c:v>1006</c:v>
                </c:pt>
                <c:pt idx="1006">
                  <c:v>1007</c:v>
                </c:pt>
                <c:pt idx="1007">
                  <c:v>1008</c:v>
                </c:pt>
                <c:pt idx="1008">
                  <c:v>1009</c:v>
                </c:pt>
                <c:pt idx="1009">
                  <c:v>1010</c:v>
                </c:pt>
                <c:pt idx="1010">
                  <c:v>1011</c:v>
                </c:pt>
                <c:pt idx="1011">
                  <c:v>1012</c:v>
                </c:pt>
                <c:pt idx="1012">
                  <c:v>1013</c:v>
                </c:pt>
                <c:pt idx="1013">
                  <c:v>1014</c:v>
                </c:pt>
                <c:pt idx="1014">
                  <c:v>1015</c:v>
                </c:pt>
                <c:pt idx="1015">
                  <c:v>1016</c:v>
                </c:pt>
                <c:pt idx="1016">
                  <c:v>1017</c:v>
                </c:pt>
                <c:pt idx="1017">
                  <c:v>1018</c:v>
                </c:pt>
                <c:pt idx="1018">
                  <c:v>1019</c:v>
                </c:pt>
                <c:pt idx="1019">
                  <c:v>1020</c:v>
                </c:pt>
                <c:pt idx="1020">
                  <c:v>1021</c:v>
                </c:pt>
                <c:pt idx="1021">
                  <c:v>1022</c:v>
                </c:pt>
                <c:pt idx="1022">
                  <c:v>1023</c:v>
                </c:pt>
                <c:pt idx="1023">
                  <c:v>1024</c:v>
                </c:pt>
                <c:pt idx="1024">
                  <c:v>1025</c:v>
                </c:pt>
                <c:pt idx="1025">
                  <c:v>1026</c:v>
                </c:pt>
                <c:pt idx="1026">
                  <c:v>1027</c:v>
                </c:pt>
                <c:pt idx="1027">
                  <c:v>1028</c:v>
                </c:pt>
                <c:pt idx="1028">
                  <c:v>1029</c:v>
                </c:pt>
                <c:pt idx="1029">
                  <c:v>1030</c:v>
                </c:pt>
                <c:pt idx="1030">
                  <c:v>1031</c:v>
                </c:pt>
                <c:pt idx="1031">
                  <c:v>1032</c:v>
                </c:pt>
                <c:pt idx="1032">
                  <c:v>1033</c:v>
                </c:pt>
                <c:pt idx="1033">
                  <c:v>1034</c:v>
                </c:pt>
                <c:pt idx="1034">
                  <c:v>1035</c:v>
                </c:pt>
                <c:pt idx="1035">
                  <c:v>1036</c:v>
                </c:pt>
                <c:pt idx="1036">
                  <c:v>1037</c:v>
                </c:pt>
                <c:pt idx="1037">
                  <c:v>1038</c:v>
                </c:pt>
                <c:pt idx="1038">
                  <c:v>1039</c:v>
                </c:pt>
                <c:pt idx="1039">
                  <c:v>1040</c:v>
                </c:pt>
                <c:pt idx="1040">
                  <c:v>1041</c:v>
                </c:pt>
                <c:pt idx="1041">
                  <c:v>1042</c:v>
                </c:pt>
                <c:pt idx="1042">
                  <c:v>1043</c:v>
                </c:pt>
                <c:pt idx="1043">
                  <c:v>1044</c:v>
                </c:pt>
                <c:pt idx="1044">
                  <c:v>1045</c:v>
                </c:pt>
                <c:pt idx="1045">
                  <c:v>1046</c:v>
                </c:pt>
                <c:pt idx="1046">
                  <c:v>1047</c:v>
                </c:pt>
                <c:pt idx="1047">
                  <c:v>1048</c:v>
                </c:pt>
                <c:pt idx="1048">
                  <c:v>1049</c:v>
                </c:pt>
                <c:pt idx="1049">
                  <c:v>1050</c:v>
                </c:pt>
                <c:pt idx="1050">
                  <c:v>1051</c:v>
                </c:pt>
                <c:pt idx="1051">
                  <c:v>1052</c:v>
                </c:pt>
                <c:pt idx="1052">
                  <c:v>1053</c:v>
                </c:pt>
                <c:pt idx="1053">
                  <c:v>1054</c:v>
                </c:pt>
                <c:pt idx="1054">
                  <c:v>1055</c:v>
                </c:pt>
                <c:pt idx="1055">
                  <c:v>1056</c:v>
                </c:pt>
                <c:pt idx="1056">
                  <c:v>1057</c:v>
                </c:pt>
                <c:pt idx="1057">
                  <c:v>1058</c:v>
                </c:pt>
                <c:pt idx="1058">
                  <c:v>1059</c:v>
                </c:pt>
                <c:pt idx="1059">
                  <c:v>1060</c:v>
                </c:pt>
                <c:pt idx="1060">
                  <c:v>1061</c:v>
                </c:pt>
                <c:pt idx="1061">
                  <c:v>1062</c:v>
                </c:pt>
                <c:pt idx="1062">
                  <c:v>1063</c:v>
                </c:pt>
                <c:pt idx="1063">
                  <c:v>1064</c:v>
                </c:pt>
                <c:pt idx="1064">
                  <c:v>1065</c:v>
                </c:pt>
                <c:pt idx="1065">
                  <c:v>1066</c:v>
                </c:pt>
                <c:pt idx="1066">
                  <c:v>1067</c:v>
                </c:pt>
                <c:pt idx="1067">
                  <c:v>1068</c:v>
                </c:pt>
                <c:pt idx="1068">
                  <c:v>1069</c:v>
                </c:pt>
                <c:pt idx="1069">
                  <c:v>1070</c:v>
                </c:pt>
                <c:pt idx="1070">
                  <c:v>1071</c:v>
                </c:pt>
                <c:pt idx="1071">
                  <c:v>1072</c:v>
                </c:pt>
                <c:pt idx="1072">
                  <c:v>1073</c:v>
                </c:pt>
                <c:pt idx="1073">
                  <c:v>1074</c:v>
                </c:pt>
                <c:pt idx="1074">
                  <c:v>1075</c:v>
                </c:pt>
                <c:pt idx="1075">
                  <c:v>1076</c:v>
                </c:pt>
                <c:pt idx="1076">
                  <c:v>1077</c:v>
                </c:pt>
                <c:pt idx="1077">
                  <c:v>1078</c:v>
                </c:pt>
                <c:pt idx="1078">
                  <c:v>1079</c:v>
                </c:pt>
                <c:pt idx="1079">
                  <c:v>1080</c:v>
                </c:pt>
                <c:pt idx="1080">
                  <c:v>1081</c:v>
                </c:pt>
                <c:pt idx="1081">
                  <c:v>1082</c:v>
                </c:pt>
                <c:pt idx="1082">
                  <c:v>1083</c:v>
                </c:pt>
                <c:pt idx="1083">
                  <c:v>1084</c:v>
                </c:pt>
                <c:pt idx="1084">
                  <c:v>1085</c:v>
                </c:pt>
                <c:pt idx="1085">
                  <c:v>1086</c:v>
                </c:pt>
                <c:pt idx="1086">
                  <c:v>1087</c:v>
                </c:pt>
                <c:pt idx="1087">
                  <c:v>1088</c:v>
                </c:pt>
                <c:pt idx="1088">
                  <c:v>1089</c:v>
                </c:pt>
                <c:pt idx="1089">
                  <c:v>1090</c:v>
                </c:pt>
                <c:pt idx="1090">
                  <c:v>1091</c:v>
                </c:pt>
                <c:pt idx="1091">
                  <c:v>1092</c:v>
                </c:pt>
                <c:pt idx="1092">
                  <c:v>1093</c:v>
                </c:pt>
                <c:pt idx="1093">
                  <c:v>1094</c:v>
                </c:pt>
                <c:pt idx="1094">
                  <c:v>1095</c:v>
                </c:pt>
                <c:pt idx="1095">
                  <c:v>1096</c:v>
                </c:pt>
                <c:pt idx="1096">
                  <c:v>1097</c:v>
                </c:pt>
                <c:pt idx="1097">
                  <c:v>1098</c:v>
                </c:pt>
                <c:pt idx="1098">
                  <c:v>1099</c:v>
                </c:pt>
                <c:pt idx="1099">
                  <c:v>1100</c:v>
                </c:pt>
                <c:pt idx="1100">
                  <c:v>1101</c:v>
                </c:pt>
                <c:pt idx="1101">
                  <c:v>1102</c:v>
                </c:pt>
                <c:pt idx="1102">
                  <c:v>1103</c:v>
                </c:pt>
                <c:pt idx="1103">
                  <c:v>1104</c:v>
                </c:pt>
                <c:pt idx="1104">
                  <c:v>1105</c:v>
                </c:pt>
                <c:pt idx="1105">
                  <c:v>1106</c:v>
                </c:pt>
                <c:pt idx="1106">
                  <c:v>1107</c:v>
                </c:pt>
                <c:pt idx="1107">
                  <c:v>1108</c:v>
                </c:pt>
                <c:pt idx="1108">
                  <c:v>1109</c:v>
                </c:pt>
                <c:pt idx="1109">
                  <c:v>1110</c:v>
                </c:pt>
                <c:pt idx="1110">
                  <c:v>1111</c:v>
                </c:pt>
                <c:pt idx="1111">
                  <c:v>1112</c:v>
                </c:pt>
                <c:pt idx="1112">
                  <c:v>1113</c:v>
                </c:pt>
                <c:pt idx="1113">
                  <c:v>1114</c:v>
                </c:pt>
                <c:pt idx="1114">
                  <c:v>1115</c:v>
                </c:pt>
                <c:pt idx="1115">
                  <c:v>1116</c:v>
                </c:pt>
                <c:pt idx="1116">
                  <c:v>1117</c:v>
                </c:pt>
                <c:pt idx="1117">
                  <c:v>1118</c:v>
                </c:pt>
                <c:pt idx="1118">
                  <c:v>1119</c:v>
                </c:pt>
                <c:pt idx="1119">
                  <c:v>1120</c:v>
                </c:pt>
                <c:pt idx="1120">
                  <c:v>1121</c:v>
                </c:pt>
                <c:pt idx="1121">
                  <c:v>1122</c:v>
                </c:pt>
                <c:pt idx="1122">
                  <c:v>1123</c:v>
                </c:pt>
                <c:pt idx="1123">
                  <c:v>1124</c:v>
                </c:pt>
                <c:pt idx="1124">
                  <c:v>1125</c:v>
                </c:pt>
                <c:pt idx="1125">
                  <c:v>1126</c:v>
                </c:pt>
                <c:pt idx="1126">
                  <c:v>1127</c:v>
                </c:pt>
                <c:pt idx="1127">
                  <c:v>1128</c:v>
                </c:pt>
                <c:pt idx="1128">
                  <c:v>1129</c:v>
                </c:pt>
                <c:pt idx="1129">
                  <c:v>1130</c:v>
                </c:pt>
                <c:pt idx="1130">
                  <c:v>1131</c:v>
                </c:pt>
                <c:pt idx="1131">
                  <c:v>1132</c:v>
                </c:pt>
                <c:pt idx="1132">
                  <c:v>1133</c:v>
                </c:pt>
                <c:pt idx="1133">
                  <c:v>1134</c:v>
                </c:pt>
                <c:pt idx="1134">
                  <c:v>1135</c:v>
                </c:pt>
                <c:pt idx="1135">
                  <c:v>1136</c:v>
                </c:pt>
                <c:pt idx="1136">
                  <c:v>1137</c:v>
                </c:pt>
                <c:pt idx="1137">
                  <c:v>1138</c:v>
                </c:pt>
                <c:pt idx="1138">
                  <c:v>1139</c:v>
                </c:pt>
                <c:pt idx="1139">
                  <c:v>1140</c:v>
                </c:pt>
                <c:pt idx="1140">
                  <c:v>1141</c:v>
                </c:pt>
                <c:pt idx="1141">
                  <c:v>1142</c:v>
                </c:pt>
                <c:pt idx="1142">
                  <c:v>1143</c:v>
                </c:pt>
                <c:pt idx="1143">
                  <c:v>1144</c:v>
                </c:pt>
                <c:pt idx="1144">
                  <c:v>1145</c:v>
                </c:pt>
                <c:pt idx="1145">
                  <c:v>1146</c:v>
                </c:pt>
                <c:pt idx="1146">
                  <c:v>1147</c:v>
                </c:pt>
                <c:pt idx="1147">
                  <c:v>1148</c:v>
                </c:pt>
                <c:pt idx="1148">
                  <c:v>1149</c:v>
                </c:pt>
                <c:pt idx="1149">
                  <c:v>1150</c:v>
                </c:pt>
                <c:pt idx="1150">
                  <c:v>1151</c:v>
                </c:pt>
                <c:pt idx="1151">
                  <c:v>1152</c:v>
                </c:pt>
                <c:pt idx="1152">
                  <c:v>1153</c:v>
                </c:pt>
                <c:pt idx="1153">
                  <c:v>1154</c:v>
                </c:pt>
                <c:pt idx="1154">
                  <c:v>1155</c:v>
                </c:pt>
                <c:pt idx="1155">
                  <c:v>1156</c:v>
                </c:pt>
                <c:pt idx="1156">
                  <c:v>1157</c:v>
                </c:pt>
                <c:pt idx="1157">
                  <c:v>1158</c:v>
                </c:pt>
                <c:pt idx="1158">
                  <c:v>1159</c:v>
                </c:pt>
                <c:pt idx="1159">
                  <c:v>1160</c:v>
                </c:pt>
                <c:pt idx="1160">
                  <c:v>1161</c:v>
                </c:pt>
                <c:pt idx="1161">
                  <c:v>1162</c:v>
                </c:pt>
                <c:pt idx="1162">
                  <c:v>1163</c:v>
                </c:pt>
                <c:pt idx="1163">
                  <c:v>1164</c:v>
                </c:pt>
                <c:pt idx="1164">
                  <c:v>1165</c:v>
                </c:pt>
                <c:pt idx="1165">
                  <c:v>1166</c:v>
                </c:pt>
                <c:pt idx="1166">
                  <c:v>1167</c:v>
                </c:pt>
                <c:pt idx="1167">
                  <c:v>1168</c:v>
                </c:pt>
                <c:pt idx="1168">
                  <c:v>1169</c:v>
                </c:pt>
                <c:pt idx="1169">
                  <c:v>1170</c:v>
                </c:pt>
                <c:pt idx="1170">
                  <c:v>1171</c:v>
                </c:pt>
                <c:pt idx="1171">
                  <c:v>1172</c:v>
                </c:pt>
                <c:pt idx="1172">
                  <c:v>1173</c:v>
                </c:pt>
                <c:pt idx="1173">
                  <c:v>1174</c:v>
                </c:pt>
                <c:pt idx="1174">
                  <c:v>1175</c:v>
                </c:pt>
                <c:pt idx="1175">
                  <c:v>1176</c:v>
                </c:pt>
                <c:pt idx="1176">
                  <c:v>1177</c:v>
                </c:pt>
                <c:pt idx="1177">
                  <c:v>1178</c:v>
                </c:pt>
                <c:pt idx="1178">
                  <c:v>1179</c:v>
                </c:pt>
                <c:pt idx="1179">
                  <c:v>1180</c:v>
                </c:pt>
                <c:pt idx="1180">
                  <c:v>1181</c:v>
                </c:pt>
                <c:pt idx="1181">
                  <c:v>1182</c:v>
                </c:pt>
                <c:pt idx="1182">
                  <c:v>1183</c:v>
                </c:pt>
                <c:pt idx="1183">
                  <c:v>1184</c:v>
                </c:pt>
                <c:pt idx="1184">
                  <c:v>1185</c:v>
                </c:pt>
                <c:pt idx="1185">
                  <c:v>1186</c:v>
                </c:pt>
                <c:pt idx="1186">
                  <c:v>1187</c:v>
                </c:pt>
                <c:pt idx="1187">
                  <c:v>1188</c:v>
                </c:pt>
                <c:pt idx="1188">
                  <c:v>1189</c:v>
                </c:pt>
                <c:pt idx="1189">
                  <c:v>1190</c:v>
                </c:pt>
                <c:pt idx="1190">
                  <c:v>1191</c:v>
                </c:pt>
                <c:pt idx="1191">
                  <c:v>1192</c:v>
                </c:pt>
                <c:pt idx="1192">
                  <c:v>1193</c:v>
                </c:pt>
                <c:pt idx="1193">
                  <c:v>1194</c:v>
                </c:pt>
                <c:pt idx="1194">
                  <c:v>1195</c:v>
                </c:pt>
                <c:pt idx="1195">
                  <c:v>1196</c:v>
                </c:pt>
                <c:pt idx="1196">
                  <c:v>1197</c:v>
                </c:pt>
                <c:pt idx="1197">
                  <c:v>1198</c:v>
                </c:pt>
                <c:pt idx="1198">
                  <c:v>1199</c:v>
                </c:pt>
                <c:pt idx="1199">
                  <c:v>1200</c:v>
                </c:pt>
              </c:numCache>
            </c:numRef>
          </c:cat>
          <c:val>
            <c:numRef>
              <c:f>'Roof edge insulation'!$DJ$2:$DJ$1201</c:f>
              <c:numCache>
                <c:formatCode>0</c:formatCode>
                <c:ptCount val="1200"/>
                <c:pt idx="0">
                  <c:v>0</c:v>
                </c:pt>
                <c:pt idx="1">
                  <c:v>0</c:v>
                </c:pt>
                <c:pt idx="2">
                  <c:v>0</c:v>
                </c:pt>
                <c:pt idx="3">
                  <c:v>0</c:v>
                </c:pt>
                <c:pt idx="4">
                  <c:v>0</c:v>
                </c:pt>
                <c:pt idx="5">
                  <c:v>0</c:v>
                </c:pt>
                <c:pt idx="6">
                  <c:v>0</c:v>
                </c:pt>
                <c:pt idx="7">
                  <c:v>0</c:v>
                </c:pt>
                <c:pt idx="8">
                  <c:v>0</c:v>
                </c:pt>
                <c:pt idx="9">
                  <c:v>0</c:v>
                </c:pt>
                <c:pt idx="10">
                  <c:v>0</c:v>
                </c:pt>
                <c:pt idx="11">
                  <c:v>0</c:v>
                </c:pt>
                <c:pt idx="12">
                  <c:v>0</c:v>
                </c:pt>
                <c:pt idx="13">
                  <c:v>0</c:v>
                </c:pt>
                <c:pt idx="14">
                  <c:v>0</c:v>
                </c:pt>
                <c:pt idx="15">
                  <c:v>0</c:v>
                </c:pt>
                <c:pt idx="16">
                  <c:v>0</c:v>
                </c:pt>
                <c:pt idx="17">
                  <c:v>0</c:v>
                </c:pt>
                <c:pt idx="18">
                  <c:v>0</c:v>
                </c:pt>
                <c:pt idx="19">
                  <c:v>0</c:v>
                </c:pt>
                <c:pt idx="20">
                  <c:v>0</c:v>
                </c:pt>
                <c:pt idx="21">
                  <c:v>0</c:v>
                </c:pt>
                <c:pt idx="22">
                  <c:v>0</c:v>
                </c:pt>
                <c:pt idx="23">
                  <c:v>0</c:v>
                </c:pt>
                <c:pt idx="24">
                  <c:v>0</c:v>
                </c:pt>
                <c:pt idx="25">
                  <c:v>0</c:v>
                </c:pt>
                <c:pt idx="26">
                  <c:v>0</c:v>
                </c:pt>
                <c:pt idx="27">
                  <c:v>0</c:v>
                </c:pt>
                <c:pt idx="28">
                  <c:v>0</c:v>
                </c:pt>
                <c:pt idx="29">
                  <c:v>0</c:v>
                </c:pt>
                <c:pt idx="30">
                  <c:v>0</c:v>
                </c:pt>
                <c:pt idx="31">
                  <c:v>0</c:v>
                </c:pt>
                <c:pt idx="32">
                  <c:v>0</c:v>
                </c:pt>
                <c:pt idx="33">
                  <c:v>0</c:v>
                </c:pt>
                <c:pt idx="34">
                  <c:v>0</c:v>
                </c:pt>
                <c:pt idx="35">
                  <c:v>0</c:v>
                </c:pt>
                <c:pt idx="36">
                  <c:v>0</c:v>
                </c:pt>
                <c:pt idx="37">
                  <c:v>0</c:v>
                </c:pt>
                <c:pt idx="38">
                  <c:v>0</c:v>
                </c:pt>
                <c:pt idx="39">
                  <c:v>0</c:v>
                </c:pt>
                <c:pt idx="40">
                  <c:v>0</c:v>
                </c:pt>
                <c:pt idx="41">
                  <c:v>0</c:v>
                </c:pt>
                <c:pt idx="42">
                  <c:v>0</c:v>
                </c:pt>
                <c:pt idx="43">
                  <c:v>0</c:v>
                </c:pt>
                <c:pt idx="44">
                  <c:v>0</c:v>
                </c:pt>
                <c:pt idx="45">
                  <c:v>0</c:v>
                </c:pt>
                <c:pt idx="46">
                  <c:v>0</c:v>
                </c:pt>
                <c:pt idx="47">
                  <c:v>0</c:v>
                </c:pt>
                <c:pt idx="48">
                  <c:v>0</c:v>
                </c:pt>
                <c:pt idx="49">
                  <c:v>0</c:v>
                </c:pt>
                <c:pt idx="50">
                  <c:v>0</c:v>
                </c:pt>
                <c:pt idx="51">
                  <c:v>0</c:v>
                </c:pt>
                <c:pt idx="52">
                  <c:v>0</c:v>
                </c:pt>
                <c:pt idx="53">
                  <c:v>0</c:v>
                </c:pt>
                <c:pt idx="54">
                  <c:v>0</c:v>
                </c:pt>
                <c:pt idx="55">
                  <c:v>0</c:v>
                </c:pt>
                <c:pt idx="56">
                  <c:v>0</c:v>
                </c:pt>
                <c:pt idx="57">
                  <c:v>0</c:v>
                </c:pt>
                <c:pt idx="58">
                  <c:v>0</c:v>
                </c:pt>
                <c:pt idx="59">
                  <c:v>0</c:v>
                </c:pt>
                <c:pt idx="60">
                  <c:v>0</c:v>
                </c:pt>
                <c:pt idx="61">
                  <c:v>0</c:v>
                </c:pt>
                <c:pt idx="62">
                  <c:v>0</c:v>
                </c:pt>
                <c:pt idx="63">
                  <c:v>0</c:v>
                </c:pt>
                <c:pt idx="64">
                  <c:v>0</c:v>
                </c:pt>
                <c:pt idx="65">
                  <c:v>0</c:v>
                </c:pt>
                <c:pt idx="66">
                  <c:v>0</c:v>
                </c:pt>
                <c:pt idx="67">
                  <c:v>0</c:v>
                </c:pt>
                <c:pt idx="68">
                  <c:v>0</c:v>
                </c:pt>
                <c:pt idx="69">
                  <c:v>0</c:v>
                </c:pt>
                <c:pt idx="70">
                  <c:v>0</c:v>
                </c:pt>
                <c:pt idx="71">
                  <c:v>0</c:v>
                </c:pt>
                <c:pt idx="72">
                  <c:v>0</c:v>
                </c:pt>
                <c:pt idx="73">
                  <c:v>0</c:v>
                </c:pt>
                <c:pt idx="74">
                  <c:v>0</c:v>
                </c:pt>
                <c:pt idx="75">
                  <c:v>0</c:v>
                </c:pt>
                <c:pt idx="76">
                  <c:v>0</c:v>
                </c:pt>
                <c:pt idx="77">
                  <c:v>0</c:v>
                </c:pt>
                <c:pt idx="78">
                  <c:v>0</c:v>
                </c:pt>
                <c:pt idx="79">
                  <c:v>0</c:v>
                </c:pt>
                <c:pt idx="80">
                  <c:v>0</c:v>
                </c:pt>
                <c:pt idx="81">
                  <c:v>0</c:v>
                </c:pt>
                <c:pt idx="82">
                  <c:v>0</c:v>
                </c:pt>
                <c:pt idx="83">
                  <c:v>0</c:v>
                </c:pt>
                <c:pt idx="84">
                  <c:v>0</c:v>
                </c:pt>
                <c:pt idx="85">
                  <c:v>0</c:v>
                </c:pt>
                <c:pt idx="86">
                  <c:v>0</c:v>
                </c:pt>
                <c:pt idx="87">
                  <c:v>0</c:v>
                </c:pt>
                <c:pt idx="88">
                  <c:v>0</c:v>
                </c:pt>
                <c:pt idx="89">
                  <c:v>0</c:v>
                </c:pt>
                <c:pt idx="90">
                  <c:v>0</c:v>
                </c:pt>
                <c:pt idx="91">
                  <c:v>0</c:v>
                </c:pt>
                <c:pt idx="92">
                  <c:v>0</c:v>
                </c:pt>
                <c:pt idx="93">
                  <c:v>0</c:v>
                </c:pt>
                <c:pt idx="94">
                  <c:v>0</c:v>
                </c:pt>
                <c:pt idx="95">
                  <c:v>0</c:v>
                </c:pt>
                <c:pt idx="96">
                  <c:v>0</c:v>
                </c:pt>
                <c:pt idx="97">
                  <c:v>0</c:v>
                </c:pt>
                <c:pt idx="98">
                  <c:v>0</c:v>
                </c:pt>
                <c:pt idx="99">
                  <c:v>0</c:v>
                </c:pt>
                <c:pt idx="100">
                  <c:v>0</c:v>
                </c:pt>
                <c:pt idx="101">
                  <c:v>0</c:v>
                </c:pt>
                <c:pt idx="102">
                  <c:v>0</c:v>
                </c:pt>
                <c:pt idx="103">
                  <c:v>0</c:v>
                </c:pt>
                <c:pt idx="104">
                  <c:v>0</c:v>
                </c:pt>
                <c:pt idx="105">
                  <c:v>0</c:v>
                </c:pt>
                <c:pt idx="106">
                  <c:v>0</c:v>
                </c:pt>
                <c:pt idx="107">
                  <c:v>0</c:v>
                </c:pt>
                <c:pt idx="108">
                  <c:v>0</c:v>
                </c:pt>
                <c:pt idx="109">
                  <c:v>0</c:v>
                </c:pt>
                <c:pt idx="110">
                  <c:v>0</c:v>
                </c:pt>
                <c:pt idx="111">
                  <c:v>0</c:v>
                </c:pt>
                <c:pt idx="112">
                  <c:v>0</c:v>
                </c:pt>
                <c:pt idx="113">
                  <c:v>0</c:v>
                </c:pt>
                <c:pt idx="114">
                  <c:v>0</c:v>
                </c:pt>
                <c:pt idx="115">
                  <c:v>0</c:v>
                </c:pt>
                <c:pt idx="116">
                  <c:v>0</c:v>
                </c:pt>
                <c:pt idx="117">
                  <c:v>0</c:v>
                </c:pt>
                <c:pt idx="118">
                  <c:v>0</c:v>
                </c:pt>
                <c:pt idx="119">
                  <c:v>0</c:v>
                </c:pt>
                <c:pt idx="120">
                  <c:v>0</c:v>
                </c:pt>
                <c:pt idx="121">
                  <c:v>0</c:v>
                </c:pt>
                <c:pt idx="122">
                  <c:v>0</c:v>
                </c:pt>
                <c:pt idx="123">
                  <c:v>0</c:v>
                </c:pt>
                <c:pt idx="124">
                  <c:v>0</c:v>
                </c:pt>
                <c:pt idx="125">
                  <c:v>0</c:v>
                </c:pt>
                <c:pt idx="126">
                  <c:v>0</c:v>
                </c:pt>
                <c:pt idx="127">
                  <c:v>0</c:v>
                </c:pt>
                <c:pt idx="128">
                  <c:v>0</c:v>
                </c:pt>
                <c:pt idx="129">
                  <c:v>0</c:v>
                </c:pt>
                <c:pt idx="130">
                  <c:v>0</c:v>
                </c:pt>
                <c:pt idx="131">
                  <c:v>0</c:v>
                </c:pt>
                <c:pt idx="132">
                  <c:v>0</c:v>
                </c:pt>
                <c:pt idx="133">
                  <c:v>0</c:v>
                </c:pt>
                <c:pt idx="134">
                  <c:v>0</c:v>
                </c:pt>
                <c:pt idx="135">
                  <c:v>0</c:v>
                </c:pt>
                <c:pt idx="136">
                  <c:v>0</c:v>
                </c:pt>
                <c:pt idx="137">
                  <c:v>0</c:v>
                </c:pt>
                <c:pt idx="138">
                  <c:v>0</c:v>
                </c:pt>
                <c:pt idx="139">
                  <c:v>0</c:v>
                </c:pt>
                <c:pt idx="140">
                  <c:v>0</c:v>
                </c:pt>
                <c:pt idx="141">
                  <c:v>0</c:v>
                </c:pt>
                <c:pt idx="142">
                  <c:v>0</c:v>
                </c:pt>
                <c:pt idx="143">
                  <c:v>0</c:v>
                </c:pt>
                <c:pt idx="144">
                  <c:v>0</c:v>
                </c:pt>
                <c:pt idx="145">
                  <c:v>0</c:v>
                </c:pt>
                <c:pt idx="146">
                  <c:v>0</c:v>
                </c:pt>
                <c:pt idx="147">
                  <c:v>0</c:v>
                </c:pt>
                <c:pt idx="148">
                  <c:v>0</c:v>
                </c:pt>
                <c:pt idx="149">
                  <c:v>0</c:v>
                </c:pt>
                <c:pt idx="150">
                  <c:v>0</c:v>
                </c:pt>
                <c:pt idx="151">
                  <c:v>0</c:v>
                </c:pt>
                <c:pt idx="152">
                  <c:v>0</c:v>
                </c:pt>
                <c:pt idx="153">
                  <c:v>0</c:v>
                </c:pt>
                <c:pt idx="154">
                  <c:v>0</c:v>
                </c:pt>
                <c:pt idx="155">
                  <c:v>0</c:v>
                </c:pt>
                <c:pt idx="156">
                  <c:v>0</c:v>
                </c:pt>
                <c:pt idx="157">
                  <c:v>0</c:v>
                </c:pt>
                <c:pt idx="158">
                  <c:v>0</c:v>
                </c:pt>
                <c:pt idx="159">
                  <c:v>0</c:v>
                </c:pt>
                <c:pt idx="160">
                  <c:v>0</c:v>
                </c:pt>
                <c:pt idx="161">
                  <c:v>0</c:v>
                </c:pt>
                <c:pt idx="162">
                  <c:v>0</c:v>
                </c:pt>
                <c:pt idx="163">
                  <c:v>0</c:v>
                </c:pt>
                <c:pt idx="164">
                  <c:v>0</c:v>
                </c:pt>
                <c:pt idx="165">
                  <c:v>0</c:v>
                </c:pt>
                <c:pt idx="166">
                  <c:v>0</c:v>
                </c:pt>
                <c:pt idx="167">
                  <c:v>0</c:v>
                </c:pt>
                <c:pt idx="168">
                  <c:v>0</c:v>
                </c:pt>
                <c:pt idx="169">
                  <c:v>0</c:v>
                </c:pt>
                <c:pt idx="170">
                  <c:v>0</c:v>
                </c:pt>
                <c:pt idx="171">
                  <c:v>0</c:v>
                </c:pt>
                <c:pt idx="172">
                  <c:v>0</c:v>
                </c:pt>
                <c:pt idx="173">
                  <c:v>0</c:v>
                </c:pt>
                <c:pt idx="174">
                  <c:v>0</c:v>
                </c:pt>
                <c:pt idx="175">
                  <c:v>0</c:v>
                </c:pt>
                <c:pt idx="176">
                  <c:v>0</c:v>
                </c:pt>
                <c:pt idx="177">
                  <c:v>0</c:v>
                </c:pt>
                <c:pt idx="178">
                  <c:v>0</c:v>
                </c:pt>
                <c:pt idx="179">
                  <c:v>0</c:v>
                </c:pt>
                <c:pt idx="180">
                  <c:v>0</c:v>
                </c:pt>
                <c:pt idx="181">
                  <c:v>0</c:v>
                </c:pt>
                <c:pt idx="182">
                  <c:v>0</c:v>
                </c:pt>
                <c:pt idx="183">
                  <c:v>0</c:v>
                </c:pt>
                <c:pt idx="184">
                  <c:v>0</c:v>
                </c:pt>
                <c:pt idx="185">
                  <c:v>0</c:v>
                </c:pt>
                <c:pt idx="186">
                  <c:v>0</c:v>
                </c:pt>
                <c:pt idx="187">
                  <c:v>0</c:v>
                </c:pt>
                <c:pt idx="188">
                  <c:v>0</c:v>
                </c:pt>
                <c:pt idx="189">
                  <c:v>0</c:v>
                </c:pt>
                <c:pt idx="190">
                  <c:v>0</c:v>
                </c:pt>
                <c:pt idx="191">
                  <c:v>0</c:v>
                </c:pt>
                <c:pt idx="192">
                  <c:v>0</c:v>
                </c:pt>
                <c:pt idx="193">
                  <c:v>0</c:v>
                </c:pt>
                <c:pt idx="194">
                  <c:v>0</c:v>
                </c:pt>
                <c:pt idx="195">
                  <c:v>0</c:v>
                </c:pt>
                <c:pt idx="196">
                  <c:v>0</c:v>
                </c:pt>
                <c:pt idx="197">
                  <c:v>0</c:v>
                </c:pt>
                <c:pt idx="198">
                  <c:v>0</c:v>
                </c:pt>
                <c:pt idx="199">
                  <c:v>0</c:v>
                </c:pt>
                <c:pt idx="200">
                  <c:v>0</c:v>
                </c:pt>
                <c:pt idx="201">
                  <c:v>0</c:v>
                </c:pt>
                <c:pt idx="202">
                  <c:v>0</c:v>
                </c:pt>
                <c:pt idx="203">
                  <c:v>0</c:v>
                </c:pt>
                <c:pt idx="204">
                  <c:v>0</c:v>
                </c:pt>
                <c:pt idx="205">
                  <c:v>0</c:v>
                </c:pt>
                <c:pt idx="206">
                  <c:v>0</c:v>
                </c:pt>
                <c:pt idx="207">
                  <c:v>0</c:v>
                </c:pt>
                <c:pt idx="208">
                  <c:v>0</c:v>
                </c:pt>
                <c:pt idx="209">
                  <c:v>0</c:v>
                </c:pt>
                <c:pt idx="210">
                  <c:v>0</c:v>
                </c:pt>
                <c:pt idx="211">
                  <c:v>0</c:v>
                </c:pt>
                <c:pt idx="212">
                  <c:v>0</c:v>
                </c:pt>
                <c:pt idx="213">
                  <c:v>0</c:v>
                </c:pt>
                <c:pt idx="214">
                  <c:v>0</c:v>
                </c:pt>
                <c:pt idx="215">
                  <c:v>0</c:v>
                </c:pt>
                <c:pt idx="216">
                  <c:v>0</c:v>
                </c:pt>
                <c:pt idx="217">
                  <c:v>0</c:v>
                </c:pt>
                <c:pt idx="218">
                  <c:v>0</c:v>
                </c:pt>
                <c:pt idx="219">
                  <c:v>0</c:v>
                </c:pt>
                <c:pt idx="220">
                  <c:v>0</c:v>
                </c:pt>
                <c:pt idx="221">
                  <c:v>0</c:v>
                </c:pt>
                <c:pt idx="222">
                  <c:v>0</c:v>
                </c:pt>
                <c:pt idx="223">
                  <c:v>0</c:v>
                </c:pt>
                <c:pt idx="224">
                  <c:v>0</c:v>
                </c:pt>
                <c:pt idx="225">
                  <c:v>0</c:v>
                </c:pt>
                <c:pt idx="226">
                  <c:v>0</c:v>
                </c:pt>
                <c:pt idx="227">
                  <c:v>0</c:v>
                </c:pt>
                <c:pt idx="228">
                  <c:v>0</c:v>
                </c:pt>
                <c:pt idx="229">
                  <c:v>0</c:v>
                </c:pt>
                <c:pt idx="230">
                  <c:v>0</c:v>
                </c:pt>
                <c:pt idx="231">
                  <c:v>0</c:v>
                </c:pt>
                <c:pt idx="232">
                  <c:v>0</c:v>
                </c:pt>
                <c:pt idx="233">
                  <c:v>0</c:v>
                </c:pt>
                <c:pt idx="234">
                  <c:v>0</c:v>
                </c:pt>
                <c:pt idx="235">
                  <c:v>0</c:v>
                </c:pt>
                <c:pt idx="236">
                  <c:v>0</c:v>
                </c:pt>
                <c:pt idx="237">
                  <c:v>0</c:v>
                </c:pt>
                <c:pt idx="238">
                  <c:v>0</c:v>
                </c:pt>
                <c:pt idx="239">
                  <c:v>0</c:v>
                </c:pt>
                <c:pt idx="240">
                  <c:v>0</c:v>
                </c:pt>
                <c:pt idx="241">
                  <c:v>0</c:v>
                </c:pt>
                <c:pt idx="242">
                  <c:v>0</c:v>
                </c:pt>
                <c:pt idx="243">
                  <c:v>0</c:v>
                </c:pt>
                <c:pt idx="244">
                  <c:v>0</c:v>
                </c:pt>
                <c:pt idx="245">
                  <c:v>0</c:v>
                </c:pt>
                <c:pt idx="246">
                  <c:v>0</c:v>
                </c:pt>
                <c:pt idx="247">
                  <c:v>0</c:v>
                </c:pt>
                <c:pt idx="248">
                  <c:v>0</c:v>
                </c:pt>
                <c:pt idx="249">
                  <c:v>0</c:v>
                </c:pt>
                <c:pt idx="250">
                  <c:v>0</c:v>
                </c:pt>
                <c:pt idx="251">
                  <c:v>0</c:v>
                </c:pt>
                <c:pt idx="252">
                  <c:v>0</c:v>
                </c:pt>
                <c:pt idx="253">
                  <c:v>0</c:v>
                </c:pt>
                <c:pt idx="254">
                  <c:v>0</c:v>
                </c:pt>
                <c:pt idx="255">
                  <c:v>0</c:v>
                </c:pt>
                <c:pt idx="256">
                  <c:v>0</c:v>
                </c:pt>
                <c:pt idx="257">
                  <c:v>0</c:v>
                </c:pt>
                <c:pt idx="258">
                  <c:v>0</c:v>
                </c:pt>
                <c:pt idx="259">
                  <c:v>0</c:v>
                </c:pt>
                <c:pt idx="260">
                  <c:v>0</c:v>
                </c:pt>
                <c:pt idx="261">
                  <c:v>0</c:v>
                </c:pt>
                <c:pt idx="262">
                  <c:v>0</c:v>
                </c:pt>
                <c:pt idx="263">
                  <c:v>0</c:v>
                </c:pt>
                <c:pt idx="264">
                  <c:v>0</c:v>
                </c:pt>
                <c:pt idx="265">
                  <c:v>0</c:v>
                </c:pt>
                <c:pt idx="266">
                  <c:v>0</c:v>
                </c:pt>
                <c:pt idx="267">
                  <c:v>0</c:v>
                </c:pt>
                <c:pt idx="268">
                  <c:v>0</c:v>
                </c:pt>
                <c:pt idx="269">
                  <c:v>0</c:v>
                </c:pt>
                <c:pt idx="270">
                  <c:v>0</c:v>
                </c:pt>
                <c:pt idx="271">
                  <c:v>0</c:v>
                </c:pt>
                <c:pt idx="272">
                  <c:v>0</c:v>
                </c:pt>
                <c:pt idx="273">
                  <c:v>0</c:v>
                </c:pt>
                <c:pt idx="274">
                  <c:v>0</c:v>
                </c:pt>
                <c:pt idx="275">
                  <c:v>0</c:v>
                </c:pt>
                <c:pt idx="276">
                  <c:v>0</c:v>
                </c:pt>
                <c:pt idx="277">
                  <c:v>0</c:v>
                </c:pt>
                <c:pt idx="278">
                  <c:v>0</c:v>
                </c:pt>
                <c:pt idx="279">
                  <c:v>0</c:v>
                </c:pt>
                <c:pt idx="280">
                  <c:v>0</c:v>
                </c:pt>
                <c:pt idx="281">
                  <c:v>0</c:v>
                </c:pt>
                <c:pt idx="282">
                  <c:v>0</c:v>
                </c:pt>
                <c:pt idx="283">
                  <c:v>0</c:v>
                </c:pt>
                <c:pt idx="284">
                  <c:v>0</c:v>
                </c:pt>
                <c:pt idx="285">
                  <c:v>0</c:v>
                </c:pt>
                <c:pt idx="286">
                  <c:v>0</c:v>
                </c:pt>
                <c:pt idx="287">
                  <c:v>0</c:v>
                </c:pt>
                <c:pt idx="288">
                  <c:v>0</c:v>
                </c:pt>
                <c:pt idx="289">
                  <c:v>0</c:v>
                </c:pt>
                <c:pt idx="290">
                  <c:v>0</c:v>
                </c:pt>
                <c:pt idx="291">
                  <c:v>0</c:v>
                </c:pt>
                <c:pt idx="292">
                  <c:v>0</c:v>
                </c:pt>
                <c:pt idx="293">
                  <c:v>0</c:v>
                </c:pt>
                <c:pt idx="294">
                  <c:v>0</c:v>
                </c:pt>
                <c:pt idx="295">
                  <c:v>0</c:v>
                </c:pt>
                <c:pt idx="296">
                  <c:v>0</c:v>
                </c:pt>
                <c:pt idx="297">
                  <c:v>0</c:v>
                </c:pt>
                <c:pt idx="298">
                  <c:v>0</c:v>
                </c:pt>
                <c:pt idx="299">
                  <c:v>0</c:v>
                </c:pt>
                <c:pt idx="300">
                  <c:v>0</c:v>
                </c:pt>
                <c:pt idx="301">
                  <c:v>0</c:v>
                </c:pt>
                <c:pt idx="302">
                  <c:v>0</c:v>
                </c:pt>
                <c:pt idx="303">
                  <c:v>0</c:v>
                </c:pt>
                <c:pt idx="304">
                  <c:v>0</c:v>
                </c:pt>
                <c:pt idx="305">
                  <c:v>0</c:v>
                </c:pt>
                <c:pt idx="306">
                  <c:v>0</c:v>
                </c:pt>
                <c:pt idx="307">
                  <c:v>0</c:v>
                </c:pt>
                <c:pt idx="308">
                  <c:v>0</c:v>
                </c:pt>
                <c:pt idx="309">
                  <c:v>0</c:v>
                </c:pt>
                <c:pt idx="310">
                  <c:v>0</c:v>
                </c:pt>
                <c:pt idx="311">
                  <c:v>0</c:v>
                </c:pt>
                <c:pt idx="312">
                  <c:v>0</c:v>
                </c:pt>
                <c:pt idx="313">
                  <c:v>0</c:v>
                </c:pt>
                <c:pt idx="314">
                  <c:v>0</c:v>
                </c:pt>
                <c:pt idx="315">
                  <c:v>0</c:v>
                </c:pt>
                <c:pt idx="316">
                  <c:v>0</c:v>
                </c:pt>
                <c:pt idx="317">
                  <c:v>0</c:v>
                </c:pt>
                <c:pt idx="318">
                  <c:v>0</c:v>
                </c:pt>
                <c:pt idx="319">
                  <c:v>0</c:v>
                </c:pt>
                <c:pt idx="320">
                  <c:v>0</c:v>
                </c:pt>
                <c:pt idx="321">
                  <c:v>0</c:v>
                </c:pt>
                <c:pt idx="322">
                  <c:v>0</c:v>
                </c:pt>
                <c:pt idx="323">
                  <c:v>0</c:v>
                </c:pt>
                <c:pt idx="324">
                  <c:v>0</c:v>
                </c:pt>
                <c:pt idx="325">
                  <c:v>0</c:v>
                </c:pt>
                <c:pt idx="326">
                  <c:v>0</c:v>
                </c:pt>
                <c:pt idx="327">
                  <c:v>0</c:v>
                </c:pt>
                <c:pt idx="328">
                  <c:v>0</c:v>
                </c:pt>
                <c:pt idx="329">
                  <c:v>0</c:v>
                </c:pt>
                <c:pt idx="330">
                  <c:v>0</c:v>
                </c:pt>
                <c:pt idx="331">
                  <c:v>0</c:v>
                </c:pt>
                <c:pt idx="332">
                  <c:v>0</c:v>
                </c:pt>
                <c:pt idx="333">
                  <c:v>0</c:v>
                </c:pt>
                <c:pt idx="334">
                  <c:v>0</c:v>
                </c:pt>
                <c:pt idx="335">
                  <c:v>0</c:v>
                </c:pt>
                <c:pt idx="336">
                  <c:v>0</c:v>
                </c:pt>
                <c:pt idx="337">
                  <c:v>0</c:v>
                </c:pt>
                <c:pt idx="338">
                  <c:v>0</c:v>
                </c:pt>
                <c:pt idx="339">
                  <c:v>0</c:v>
                </c:pt>
                <c:pt idx="340">
                  <c:v>0</c:v>
                </c:pt>
                <c:pt idx="341">
                  <c:v>0</c:v>
                </c:pt>
                <c:pt idx="342">
                  <c:v>0</c:v>
                </c:pt>
                <c:pt idx="343">
                  <c:v>0</c:v>
                </c:pt>
                <c:pt idx="344">
                  <c:v>0</c:v>
                </c:pt>
                <c:pt idx="345">
                  <c:v>0</c:v>
                </c:pt>
                <c:pt idx="346">
                  <c:v>0</c:v>
                </c:pt>
                <c:pt idx="347">
                  <c:v>0</c:v>
                </c:pt>
                <c:pt idx="348">
                  <c:v>0</c:v>
                </c:pt>
                <c:pt idx="349">
                  <c:v>0</c:v>
                </c:pt>
                <c:pt idx="350">
                  <c:v>0</c:v>
                </c:pt>
                <c:pt idx="351">
                  <c:v>0</c:v>
                </c:pt>
                <c:pt idx="352">
                  <c:v>0</c:v>
                </c:pt>
                <c:pt idx="353">
                  <c:v>0</c:v>
                </c:pt>
                <c:pt idx="354">
                  <c:v>0</c:v>
                </c:pt>
                <c:pt idx="355">
                  <c:v>0</c:v>
                </c:pt>
                <c:pt idx="356">
                  <c:v>0</c:v>
                </c:pt>
                <c:pt idx="357">
                  <c:v>0</c:v>
                </c:pt>
                <c:pt idx="358">
                  <c:v>0</c:v>
                </c:pt>
                <c:pt idx="359">
                  <c:v>0</c:v>
                </c:pt>
                <c:pt idx="360">
                  <c:v>0</c:v>
                </c:pt>
                <c:pt idx="361">
                  <c:v>0</c:v>
                </c:pt>
                <c:pt idx="362">
                  <c:v>0</c:v>
                </c:pt>
                <c:pt idx="363">
                  <c:v>0</c:v>
                </c:pt>
                <c:pt idx="364">
                  <c:v>0</c:v>
                </c:pt>
                <c:pt idx="365">
                  <c:v>0</c:v>
                </c:pt>
                <c:pt idx="366">
                  <c:v>0</c:v>
                </c:pt>
                <c:pt idx="367">
                  <c:v>0</c:v>
                </c:pt>
                <c:pt idx="368">
                  <c:v>0</c:v>
                </c:pt>
                <c:pt idx="369">
                  <c:v>0</c:v>
                </c:pt>
                <c:pt idx="370">
                  <c:v>0</c:v>
                </c:pt>
                <c:pt idx="371">
                  <c:v>0</c:v>
                </c:pt>
                <c:pt idx="372">
                  <c:v>0</c:v>
                </c:pt>
                <c:pt idx="373">
                  <c:v>0</c:v>
                </c:pt>
                <c:pt idx="374">
                  <c:v>0</c:v>
                </c:pt>
                <c:pt idx="375">
                  <c:v>0</c:v>
                </c:pt>
                <c:pt idx="376">
                  <c:v>0</c:v>
                </c:pt>
                <c:pt idx="377">
                  <c:v>0</c:v>
                </c:pt>
                <c:pt idx="378">
                  <c:v>0</c:v>
                </c:pt>
                <c:pt idx="379">
                  <c:v>0</c:v>
                </c:pt>
                <c:pt idx="380">
                  <c:v>0</c:v>
                </c:pt>
                <c:pt idx="381">
                  <c:v>0</c:v>
                </c:pt>
                <c:pt idx="382">
                  <c:v>0</c:v>
                </c:pt>
                <c:pt idx="383">
                  <c:v>0</c:v>
                </c:pt>
                <c:pt idx="384">
                  <c:v>0</c:v>
                </c:pt>
                <c:pt idx="385">
                  <c:v>0</c:v>
                </c:pt>
                <c:pt idx="386">
                  <c:v>0</c:v>
                </c:pt>
                <c:pt idx="387">
                  <c:v>0</c:v>
                </c:pt>
                <c:pt idx="388">
                  <c:v>0</c:v>
                </c:pt>
                <c:pt idx="389">
                  <c:v>0</c:v>
                </c:pt>
                <c:pt idx="390">
                  <c:v>0</c:v>
                </c:pt>
                <c:pt idx="391">
                  <c:v>0</c:v>
                </c:pt>
                <c:pt idx="392">
                  <c:v>0</c:v>
                </c:pt>
                <c:pt idx="393">
                  <c:v>0</c:v>
                </c:pt>
                <c:pt idx="394">
                  <c:v>0</c:v>
                </c:pt>
                <c:pt idx="395">
                  <c:v>0</c:v>
                </c:pt>
                <c:pt idx="396">
                  <c:v>0</c:v>
                </c:pt>
                <c:pt idx="397">
                  <c:v>0</c:v>
                </c:pt>
                <c:pt idx="398">
                  <c:v>0</c:v>
                </c:pt>
                <c:pt idx="399">
                  <c:v>0</c:v>
                </c:pt>
                <c:pt idx="400">
                  <c:v>0</c:v>
                </c:pt>
                <c:pt idx="401">
                  <c:v>0</c:v>
                </c:pt>
                <c:pt idx="402">
                  <c:v>0</c:v>
                </c:pt>
                <c:pt idx="403">
                  <c:v>0</c:v>
                </c:pt>
                <c:pt idx="404">
                  <c:v>0</c:v>
                </c:pt>
                <c:pt idx="405">
                  <c:v>0</c:v>
                </c:pt>
                <c:pt idx="406">
                  <c:v>0</c:v>
                </c:pt>
                <c:pt idx="407">
                  <c:v>0</c:v>
                </c:pt>
                <c:pt idx="408">
                  <c:v>0</c:v>
                </c:pt>
                <c:pt idx="409">
                  <c:v>0</c:v>
                </c:pt>
                <c:pt idx="410">
                  <c:v>0</c:v>
                </c:pt>
                <c:pt idx="411">
                  <c:v>0</c:v>
                </c:pt>
                <c:pt idx="412">
                  <c:v>0</c:v>
                </c:pt>
                <c:pt idx="413">
                  <c:v>0</c:v>
                </c:pt>
                <c:pt idx="414">
                  <c:v>0</c:v>
                </c:pt>
                <c:pt idx="415">
                  <c:v>0</c:v>
                </c:pt>
                <c:pt idx="416">
                  <c:v>0</c:v>
                </c:pt>
                <c:pt idx="417">
                  <c:v>0</c:v>
                </c:pt>
                <c:pt idx="418">
                  <c:v>0</c:v>
                </c:pt>
                <c:pt idx="419">
                  <c:v>0</c:v>
                </c:pt>
                <c:pt idx="420">
                  <c:v>0</c:v>
                </c:pt>
                <c:pt idx="421">
                  <c:v>0</c:v>
                </c:pt>
                <c:pt idx="422">
                  <c:v>0</c:v>
                </c:pt>
                <c:pt idx="423">
                  <c:v>0</c:v>
                </c:pt>
                <c:pt idx="424">
                  <c:v>0</c:v>
                </c:pt>
                <c:pt idx="425">
                  <c:v>0</c:v>
                </c:pt>
                <c:pt idx="426">
                  <c:v>0</c:v>
                </c:pt>
                <c:pt idx="427">
                  <c:v>0</c:v>
                </c:pt>
                <c:pt idx="428">
                  <c:v>0</c:v>
                </c:pt>
                <c:pt idx="429">
                  <c:v>0</c:v>
                </c:pt>
                <c:pt idx="430">
                  <c:v>0</c:v>
                </c:pt>
                <c:pt idx="431">
                  <c:v>0</c:v>
                </c:pt>
                <c:pt idx="432">
                  <c:v>0</c:v>
                </c:pt>
                <c:pt idx="433">
                  <c:v>0</c:v>
                </c:pt>
                <c:pt idx="434">
                  <c:v>0</c:v>
                </c:pt>
                <c:pt idx="435">
                  <c:v>0</c:v>
                </c:pt>
                <c:pt idx="436">
                  <c:v>0</c:v>
                </c:pt>
                <c:pt idx="437">
                  <c:v>0</c:v>
                </c:pt>
                <c:pt idx="438">
                  <c:v>0</c:v>
                </c:pt>
                <c:pt idx="439">
                  <c:v>0</c:v>
                </c:pt>
                <c:pt idx="440">
                  <c:v>0</c:v>
                </c:pt>
                <c:pt idx="441">
                  <c:v>0</c:v>
                </c:pt>
                <c:pt idx="442">
                  <c:v>0</c:v>
                </c:pt>
                <c:pt idx="443">
                  <c:v>0</c:v>
                </c:pt>
                <c:pt idx="444">
                  <c:v>0</c:v>
                </c:pt>
                <c:pt idx="445">
                  <c:v>0</c:v>
                </c:pt>
                <c:pt idx="446">
                  <c:v>0</c:v>
                </c:pt>
                <c:pt idx="447">
                  <c:v>0</c:v>
                </c:pt>
                <c:pt idx="448">
                  <c:v>0</c:v>
                </c:pt>
                <c:pt idx="449">
                  <c:v>0</c:v>
                </c:pt>
                <c:pt idx="450">
                  <c:v>0</c:v>
                </c:pt>
                <c:pt idx="451">
                  <c:v>0</c:v>
                </c:pt>
                <c:pt idx="452">
                  <c:v>0</c:v>
                </c:pt>
                <c:pt idx="453">
                  <c:v>0</c:v>
                </c:pt>
                <c:pt idx="454">
                  <c:v>0</c:v>
                </c:pt>
                <c:pt idx="455">
                  <c:v>0</c:v>
                </c:pt>
                <c:pt idx="456">
                  <c:v>0</c:v>
                </c:pt>
                <c:pt idx="457">
                  <c:v>0</c:v>
                </c:pt>
                <c:pt idx="458">
                  <c:v>0</c:v>
                </c:pt>
                <c:pt idx="459">
                  <c:v>0</c:v>
                </c:pt>
                <c:pt idx="460">
                  <c:v>0</c:v>
                </c:pt>
                <c:pt idx="461">
                  <c:v>0</c:v>
                </c:pt>
                <c:pt idx="462">
                  <c:v>0</c:v>
                </c:pt>
                <c:pt idx="463">
                  <c:v>0</c:v>
                </c:pt>
                <c:pt idx="464">
                  <c:v>0</c:v>
                </c:pt>
                <c:pt idx="465">
                  <c:v>0</c:v>
                </c:pt>
                <c:pt idx="466">
                  <c:v>0</c:v>
                </c:pt>
                <c:pt idx="467">
                  <c:v>0</c:v>
                </c:pt>
                <c:pt idx="468">
                  <c:v>0</c:v>
                </c:pt>
                <c:pt idx="469">
                  <c:v>0</c:v>
                </c:pt>
                <c:pt idx="470">
                  <c:v>0</c:v>
                </c:pt>
                <c:pt idx="471">
                  <c:v>0</c:v>
                </c:pt>
                <c:pt idx="472">
                  <c:v>0</c:v>
                </c:pt>
                <c:pt idx="473">
                  <c:v>0</c:v>
                </c:pt>
                <c:pt idx="474">
                  <c:v>0</c:v>
                </c:pt>
                <c:pt idx="475">
                  <c:v>0</c:v>
                </c:pt>
                <c:pt idx="476">
                  <c:v>0</c:v>
                </c:pt>
                <c:pt idx="477">
                  <c:v>0</c:v>
                </c:pt>
                <c:pt idx="478">
                  <c:v>0</c:v>
                </c:pt>
                <c:pt idx="479">
                  <c:v>0</c:v>
                </c:pt>
                <c:pt idx="480">
                  <c:v>0</c:v>
                </c:pt>
                <c:pt idx="481">
                  <c:v>0</c:v>
                </c:pt>
                <c:pt idx="482">
                  <c:v>0</c:v>
                </c:pt>
                <c:pt idx="483">
                  <c:v>0</c:v>
                </c:pt>
                <c:pt idx="484">
                  <c:v>0</c:v>
                </c:pt>
                <c:pt idx="485">
                  <c:v>0</c:v>
                </c:pt>
                <c:pt idx="486">
                  <c:v>0</c:v>
                </c:pt>
                <c:pt idx="487">
                  <c:v>0</c:v>
                </c:pt>
                <c:pt idx="488">
                  <c:v>0</c:v>
                </c:pt>
                <c:pt idx="489">
                  <c:v>0</c:v>
                </c:pt>
                <c:pt idx="490">
                  <c:v>0</c:v>
                </c:pt>
                <c:pt idx="491">
                  <c:v>0</c:v>
                </c:pt>
                <c:pt idx="492">
                  <c:v>0</c:v>
                </c:pt>
                <c:pt idx="493">
                  <c:v>0</c:v>
                </c:pt>
                <c:pt idx="494">
                  <c:v>0</c:v>
                </c:pt>
                <c:pt idx="495">
                  <c:v>0</c:v>
                </c:pt>
                <c:pt idx="496">
                  <c:v>0</c:v>
                </c:pt>
                <c:pt idx="497">
                  <c:v>0</c:v>
                </c:pt>
                <c:pt idx="498">
                  <c:v>0</c:v>
                </c:pt>
                <c:pt idx="499">
                  <c:v>0</c:v>
                </c:pt>
                <c:pt idx="500">
                  <c:v>0</c:v>
                </c:pt>
                <c:pt idx="501">
                  <c:v>0</c:v>
                </c:pt>
                <c:pt idx="502">
                  <c:v>0</c:v>
                </c:pt>
                <c:pt idx="503">
                  <c:v>0</c:v>
                </c:pt>
                <c:pt idx="504">
                  <c:v>0</c:v>
                </c:pt>
                <c:pt idx="505">
                  <c:v>0</c:v>
                </c:pt>
                <c:pt idx="506">
                  <c:v>0</c:v>
                </c:pt>
                <c:pt idx="507">
                  <c:v>0</c:v>
                </c:pt>
                <c:pt idx="508">
                  <c:v>0</c:v>
                </c:pt>
                <c:pt idx="509">
                  <c:v>0</c:v>
                </c:pt>
                <c:pt idx="510">
                  <c:v>0</c:v>
                </c:pt>
                <c:pt idx="511">
                  <c:v>0</c:v>
                </c:pt>
                <c:pt idx="512">
                  <c:v>0</c:v>
                </c:pt>
                <c:pt idx="513">
                  <c:v>0</c:v>
                </c:pt>
                <c:pt idx="514">
                  <c:v>0</c:v>
                </c:pt>
                <c:pt idx="515">
                  <c:v>0</c:v>
                </c:pt>
                <c:pt idx="516">
                  <c:v>0</c:v>
                </c:pt>
                <c:pt idx="517">
                  <c:v>0</c:v>
                </c:pt>
                <c:pt idx="518">
                  <c:v>0</c:v>
                </c:pt>
                <c:pt idx="519">
                  <c:v>0</c:v>
                </c:pt>
                <c:pt idx="520">
                  <c:v>0</c:v>
                </c:pt>
                <c:pt idx="521">
                  <c:v>0</c:v>
                </c:pt>
                <c:pt idx="522">
                  <c:v>0</c:v>
                </c:pt>
                <c:pt idx="523">
                  <c:v>0</c:v>
                </c:pt>
                <c:pt idx="524">
                  <c:v>0</c:v>
                </c:pt>
                <c:pt idx="525">
                  <c:v>0</c:v>
                </c:pt>
                <c:pt idx="526">
                  <c:v>0</c:v>
                </c:pt>
                <c:pt idx="527">
                  <c:v>0</c:v>
                </c:pt>
                <c:pt idx="528">
                  <c:v>0</c:v>
                </c:pt>
                <c:pt idx="529">
                  <c:v>0</c:v>
                </c:pt>
                <c:pt idx="530">
                  <c:v>0</c:v>
                </c:pt>
                <c:pt idx="531">
                  <c:v>0</c:v>
                </c:pt>
                <c:pt idx="532">
                  <c:v>0</c:v>
                </c:pt>
                <c:pt idx="533">
                  <c:v>0</c:v>
                </c:pt>
                <c:pt idx="534">
                  <c:v>0</c:v>
                </c:pt>
                <c:pt idx="535">
                  <c:v>0</c:v>
                </c:pt>
                <c:pt idx="536">
                  <c:v>0</c:v>
                </c:pt>
                <c:pt idx="537">
                  <c:v>0</c:v>
                </c:pt>
                <c:pt idx="538">
                  <c:v>0</c:v>
                </c:pt>
                <c:pt idx="539">
                  <c:v>0</c:v>
                </c:pt>
                <c:pt idx="540">
                  <c:v>0</c:v>
                </c:pt>
                <c:pt idx="541">
                  <c:v>0</c:v>
                </c:pt>
                <c:pt idx="542">
                  <c:v>0</c:v>
                </c:pt>
                <c:pt idx="543">
                  <c:v>0</c:v>
                </c:pt>
                <c:pt idx="544">
                  <c:v>0</c:v>
                </c:pt>
                <c:pt idx="545">
                  <c:v>0</c:v>
                </c:pt>
                <c:pt idx="546">
                  <c:v>0</c:v>
                </c:pt>
                <c:pt idx="547">
                  <c:v>0</c:v>
                </c:pt>
                <c:pt idx="548">
                  <c:v>0</c:v>
                </c:pt>
                <c:pt idx="549">
                  <c:v>0</c:v>
                </c:pt>
                <c:pt idx="550">
                  <c:v>0</c:v>
                </c:pt>
                <c:pt idx="551">
                  <c:v>0</c:v>
                </c:pt>
                <c:pt idx="552">
                  <c:v>0</c:v>
                </c:pt>
                <c:pt idx="553">
                  <c:v>0</c:v>
                </c:pt>
                <c:pt idx="554">
                  <c:v>0</c:v>
                </c:pt>
                <c:pt idx="555">
                  <c:v>0</c:v>
                </c:pt>
                <c:pt idx="556">
                  <c:v>0</c:v>
                </c:pt>
                <c:pt idx="557">
                  <c:v>0</c:v>
                </c:pt>
                <c:pt idx="558">
                  <c:v>0</c:v>
                </c:pt>
                <c:pt idx="559">
                  <c:v>0</c:v>
                </c:pt>
                <c:pt idx="560">
                  <c:v>0</c:v>
                </c:pt>
                <c:pt idx="561">
                  <c:v>0</c:v>
                </c:pt>
                <c:pt idx="562">
                  <c:v>0</c:v>
                </c:pt>
                <c:pt idx="563">
                  <c:v>0</c:v>
                </c:pt>
                <c:pt idx="564">
                  <c:v>0</c:v>
                </c:pt>
                <c:pt idx="565">
                  <c:v>0</c:v>
                </c:pt>
                <c:pt idx="566">
                  <c:v>0</c:v>
                </c:pt>
                <c:pt idx="567">
                  <c:v>0</c:v>
                </c:pt>
                <c:pt idx="568">
                  <c:v>0</c:v>
                </c:pt>
                <c:pt idx="569">
                  <c:v>0</c:v>
                </c:pt>
                <c:pt idx="570">
                  <c:v>0</c:v>
                </c:pt>
                <c:pt idx="571">
                  <c:v>0</c:v>
                </c:pt>
                <c:pt idx="572">
                  <c:v>0</c:v>
                </c:pt>
                <c:pt idx="573">
                  <c:v>0</c:v>
                </c:pt>
                <c:pt idx="574">
                  <c:v>0</c:v>
                </c:pt>
                <c:pt idx="575">
                  <c:v>0</c:v>
                </c:pt>
                <c:pt idx="576">
                  <c:v>0</c:v>
                </c:pt>
                <c:pt idx="577">
                  <c:v>0</c:v>
                </c:pt>
                <c:pt idx="578">
                  <c:v>0</c:v>
                </c:pt>
                <c:pt idx="579">
                  <c:v>0</c:v>
                </c:pt>
                <c:pt idx="580">
                  <c:v>0</c:v>
                </c:pt>
                <c:pt idx="581">
                  <c:v>0</c:v>
                </c:pt>
                <c:pt idx="582">
                  <c:v>0</c:v>
                </c:pt>
                <c:pt idx="583">
                  <c:v>0</c:v>
                </c:pt>
                <c:pt idx="584">
                  <c:v>0</c:v>
                </c:pt>
                <c:pt idx="585">
                  <c:v>0</c:v>
                </c:pt>
                <c:pt idx="586">
                  <c:v>0</c:v>
                </c:pt>
                <c:pt idx="587">
                  <c:v>0</c:v>
                </c:pt>
                <c:pt idx="588">
                  <c:v>0</c:v>
                </c:pt>
                <c:pt idx="589">
                  <c:v>0</c:v>
                </c:pt>
                <c:pt idx="590">
                  <c:v>0</c:v>
                </c:pt>
                <c:pt idx="591">
                  <c:v>0</c:v>
                </c:pt>
                <c:pt idx="592">
                  <c:v>0</c:v>
                </c:pt>
                <c:pt idx="593">
                  <c:v>0</c:v>
                </c:pt>
                <c:pt idx="594">
                  <c:v>0</c:v>
                </c:pt>
                <c:pt idx="595">
                  <c:v>0</c:v>
                </c:pt>
                <c:pt idx="596">
                  <c:v>0</c:v>
                </c:pt>
                <c:pt idx="597">
                  <c:v>0</c:v>
                </c:pt>
                <c:pt idx="598">
                  <c:v>0</c:v>
                </c:pt>
                <c:pt idx="599">
                  <c:v>0</c:v>
                </c:pt>
                <c:pt idx="600">
                  <c:v>0</c:v>
                </c:pt>
                <c:pt idx="601">
                  <c:v>0</c:v>
                </c:pt>
                <c:pt idx="602">
                  <c:v>0</c:v>
                </c:pt>
                <c:pt idx="603">
                  <c:v>0</c:v>
                </c:pt>
                <c:pt idx="604">
                  <c:v>0</c:v>
                </c:pt>
                <c:pt idx="605">
                  <c:v>0</c:v>
                </c:pt>
                <c:pt idx="606">
                  <c:v>0</c:v>
                </c:pt>
                <c:pt idx="607">
                  <c:v>0</c:v>
                </c:pt>
                <c:pt idx="608">
                  <c:v>0</c:v>
                </c:pt>
                <c:pt idx="609">
                  <c:v>0</c:v>
                </c:pt>
                <c:pt idx="610">
                  <c:v>0</c:v>
                </c:pt>
                <c:pt idx="611">
                  <c:v>0</c:v>
                </c:pt>
                <c:pt idx="612">
                  <c:v>0</c:v>
                </c:pt>
                <c:pt idx="613">
                  <c:v>0</c:v>
                </c:pt>
                <c:pt idx="614">
                  <c:v>0</c:v>
                </c:pt>
                <c:pt idx="615">
                  <c:v>0</c:v>
                </c:pt>
                <c:pt idx="616">
                  <c:v>0</c:v>
                </c:pt>
                <c:pt idx="617">
                  <c:v>0</c:v>
                </c:pt>
                <c:pt idx="618">
                  <c:v>0</c:v>
                </c:pt>
                <c:pt idx="619">
                  <c:v>0</c:v>
                </c:pt>
                <c:pt idx="620">
                  <c:v>0</c:v>
                </c:pt>
                <c:pt idx="621">
                  <c:v>0</c:v>
                </c:pt>
                <c:pt idx="622">
                  <c:v>0</c:v>
                </c:pt>
                <c:pt idx="623">
                  <c:v>0</c:v>
                </c:pt>
                <c:pt idx="624">
                  <c:v>0</c:v>
                </c:pt>
                <c:pt idx="625">
                  <c:v>0</c:v>
                </c:pt>
                <c:pt idx="626">
                  <c:v>0</c:v>
                </c:pt>
                <c:pt idx="627">
                  <c:v>0</c:v>
                </c:pt>
                <c:pt idx="628">
                  <c:v>0</c:v>
                </c:pt>
                <c:pt idx="629">
                  <c:v>0</c:v>
                </c:pt>
                <c:pt idx="630">
                  <c:v>0</c:v>
                </c:pt>
                <c:pt idx="631">
                  <c:v>0</c:v>
                </c:pt>
                <c:pt idx="632">
                  <c:v>0</c:v>
                </c:pt>
                <c:pt idx="633">
                  <c:v>0</c:v>
                </c:pt>
                <c:pt idx="634">
                  <c:v>0</c:v>
                </c:pt>
                <c:pt idx="635">
                  <c:v>0</c:v>
                </c:pt>
                <c:pt idx="636">
                  <c:v>0</c:v>
                </c:pt>
                <c:pt idx="637">
                  <c:v>0</c:v>
                </c:pt>
                <c:pt idx="638">
                  <c:v>0</c:v>
                </c:pt>
                <c:pt idx="639">
                  <c:v>0</c:v>
                </c:pt>
                <c:pt idx="640">
                  <c:v>0</c:v>
                </c:pt>
                <c:pt idx="641">
                  <c:v>0</c:v>
                </c:pt>
                <c:pt idx="642">
                  <c:v>0</c:v>
                </c:pt>
                <c:pt idx="643">
                  <c:v>0</c:v>
                </c:pt>
                <c:pt idx="644">
                  <c:v>0</c:v>
                </c:pt>
                <c:pt idx="645">
                  <c:v>0</c:v>
                </c:pt>
                <c:pt idx="646">
                  <c:v>0</c:v>
                </c:pt>
                <c:pt idx="647">
                  <c:v>0</c:v>
                </c:pt>
                <c:pt idx="648">
                  <c:v>0</c:v>
                </c:pt>
                <c:pt idx="649">
                  <c:v>0</c:v>
                </c:pt>
                <c:pt idx="650">
                  <c:v>0</c:v>
                </c:pt>
                <c:pt idx="651">
                  <c:v>0</c:v>
                </c:pt>
                <c:pt idx="652">
                  <c:v>0</c:v>
                </c:pt>
                <c:pt idx="653">
                  <c:v>0</c:v>
                </c:pt>
                <c:pt idx="654">
                  <c:v>0</c:v>
                </c:pt>
                <c:pt idx="655">
                  <c:v>0</c:v>
                </c:pt>
                <c:pt idx="656">
                  <c:v>0</c:v>
                </c:pt>
                <c:pt idx="657">
                  <c:v>0</c:v>
                </c:pt>
                <c:pt idx="658">
                  <c:v>0</c:v>
                </c:pt>
                <c:pt idx="659">
                  <c:v>0</c:v>
                </c:pt>
                <c:pt idx="660">
                  <c:v>0</c:v>
                </c:pt>
                <c:pt idx="661">
                  <c:v>0</c:v>
                </c:pt>
                <c:pt idx="662">
                  <c:v>0</c:v>
                </c:pt>
                <c:pt idx="663">
                  <c:v>0</c:v>
                </c:pt>
                <c:pt idx="664">
                  <c:v>0</c:v>
                </c:pt>
                <c:pt idx="665">
                  <c:v>0</c:v>
                </c:pt>
                <c:pt idx="666">
                  <c:v>0</c:v>
                </c:pt>
                <c:pt idx="667">
                  <c:v>0</c:v>
                </c:pt>
                <c:pt idx="668">
                  <c:v>0</c:v>
                </c:pt>
                <c:pt idx="669">
                  <c:v>0</c:v>
                </c:pt>
                <c:pt idx="670">
                  <c:v>0</c:v>
                </c:pt>
                <c:pt idx="671">
                  <c:v>0</c:v>
                </c:pt>
                <c:pt idx="672">
                  <c:v>0</c:v>
                </c:pt>
                <c:pt idx="673">
                  <c:v>0</c:v>
                </c:pt>
                <c:pt idx="674">
                  <c:v>0</c:v>
                </c:pt>
                <c:pt idx="675">
                  <c:v>0</c:v>
                </c:pt>
                <c:pt idx="676">
                  <c:v>0</c:v>
                </c:pt>
                <c:pt idx="677">
                  <c:v>0</c:v>
                </c:pt>
                <c:pt idx="678">
                  <c:v>0</c:v>
                </c:pt>
                <c:pt idx="679">
                  <c:v>0</c:v>
                </c:pt>
                <c:pt idx="680">
                  <c:v>0</c:v>
                </c:pt>
                <c:pt idx="681">
                  <c:v>0</c:v>
                </c:pt>
                <c:pt idx="682">
                  <c:v>0</c:v>
                </c:pt>
                <c:pt idx="683">
                  <c:v>0</c:v>
                </c:pt>
                <c:pt idx="684">
                  <c:v>0</c:v>
                </c:pt>
                <c:pt idx="685">
                  <c:v>0</c:v>
                </c:pt>
                <c:pt idx="686">
                  <c:v>0</c:v>
                </c:pt>
                <c:pt idx="687">
                  <c:v>0</c:v>
                </c:pt>
                <c:pt idx="688">
                  <c:v>0</c:v>
                </c:pt>
                <c:pt idx="689">
                  <c:v>0</c:v>
                </c:pt>
                <c:pt idx="690">
                  <c:v>0</c:v>
                </c:pt>
                <c:pt idx="691">
                  <c:v>0</c:v>
                </c:pt>
                <c:pt idx="692">
                  <c:v>0</c:v>
                </c:pt>
                <c:pt idx="693">
                  <c:v>0</c:v>
                </c:pt>
                <c:pt idx="694">
                  <c:v>0</c:v>
                </c:pt>
                <c:pt idx="695">
                  <c:v>0</c:v>
                </c:pt>
                <c:pt idx="696">
                  <c:v>0</c:v>
                </c:pt>
                <c:pt idx="697">
                  <c:v>0</c:v>
                </c:pt>
                <c:pt idx="698">
                  <c:v>0</c:v>
                </c:pt>
                <c:pt idx="699">
                  <c:v>0</c:v>
                </c:pt>
                <c:pt idx="700">
                  <c:v>0</c:v>
                </c:pt>
                <c:pt idx="701">
                  <c:v>0</c:v>
                </c:pt>
                <c:pt idx="702">
                  <c:v>0</c:v>
                </c:pt>
                <c:pt idx="703">
                  <c:v>0</c:v>
                </c:pt>
                <c:pt idx="704">
                  <c:v>0</c:v>
                </c:pt>
                <c:pt idx="705">
                  <c:v>0</c:v>
                </c:pt>
                <c:pt idx="706">
                  <c:v>0</c:v>
                </c:pt>
                <c:pt idx="707">
                  <c:v>0</c:v>
                </c:pt>
                <c:pt idx="708">
                  <c:v>0</c:v>
                </c:pt>
                <c:pt idx="709">
                  <c:v>0</c:v>
                </c:pt>
                <c:pt idx="710">
                  <c:v>0</c:v>
                </c:pt>
                <c:pt idx="711">
                  <c:v>0</c:v>
                </c:pt>
                <c:pt idx="712">
                  <c:v>0</c:v>
                </c:pt>
                <c:pt idx="713">
                  <c:v>0</c:v>
                </c:pt>
                <c:pt idx="714">
                  <c:v>0</c:v>
                </c:pt>
                <c:pt idx="715">
                  <c:v>0</c:v>
                </c:pt>
                <c:pt idx="716">
                  <c:v>0</c:v>
                </c:pt>
                <c:pt idx="717">
                  <c:v>0</c:v>
                </c:pt>
                <c:pt idx="718">
                  <c:v>0</c:v>
                </c:pt>
                <c:pt idx="719">
                  <c:v>0</c:v>
                </c:pt>
                <c:pt idx="720">
                  <c:v>0</c:v>
                </c:pt>
                <c:pt idx="721">
                  <c:v>0</c:v>
                </c:pt>
                <c:pt idx="722">
                  <c:v>0</c:v>
                </c:pt>
                <c:pt idx="723">
                  <c:v>0</c:v>
                </c:pt>
                <c:pt idx="724">
                  <c:v>0</c:v>
                </c:pt>
                <c:pt idx="725">
                  <c:v>0</c:v>
                </c:pt>
                <c:pt idx="726">
                  <c:v>0</c:v>
                </c:pt>
                <c:pt idx="727">
                  <c:v>0</c:v>
                </c:pt>
                <c:pt idx="728">
                  <c:v>0</c:v>
                </c:pt>
                <c:pt idx="729">
                  <c:v>0</c:v>
                </c:pt>
                <c:pt idx="730">
                  <c:v>0</c:v>
                </c:pt>
                <c:pt idx="731">
                  <c:v>0</c:v>
                </c:pt>
                <c:pt idx="732">
                  <c:v>0</c:v>
                </c:pt>
                <c:pt idx="733">
                  <c:v>0</c:v>
                </c:pt>
                <c:pt idx="734">
                  <c:v>0</c:v>
                </c:pt>
                <c:pt idx="735">
                  <c:v>0</c:v>
                </c:pt>
                <c:pt idx="736">
                  <c:v>0</c:v>
                </c:pt>
                <c:pt idx="737">
                  <c:v>0</c:v>
                </c:pt>
                <c:pt idx="738">
                  <c:v>0</c:v>
                </c:pt>
                <c:pt idx="739">
                  <c:v>0</c:v>
                </c:pt>
                <c:pt idx="740">
                  <c:v>0</c:v>
                </c:pt>
                <c:pt idx="741">
                  <c:v>0</c:v>
                </c:pt>
                <c:pt idx="742">
                  <c:v>0</c:v>
                </c:pt>
                <c:pt idx="743">
                  <c:v>0</c:v>
                </c:pt>
                <c:pt idx="744">
                  <c:v>0</c:v>
                </c:pt>
                <c:pt idx="745">
                  <c:v>0</c:v>
                </c:pt>
                <c:pt idx="746">
                  <c:v>0</c:v>
                </c:pt>
                <c:pt idx="747">
                  <c:v>0</c:v>
                </c:pt>
                <c:pt idx="748">
                  <c:v>0</c:v>
                </c:pt>
                <c:pt idx="749">
                  <c:v>0</c:v>
                </c:pt>
                <c:pt idx="750">
                  <c:v>0</c:v>
                </c:pt>
                <c:pt idx="751">
                  <c:v>0</c:v>
                </c:pt>
                <c:pt idx="752">
                  <c:v>0</c:v>
                </c:pt>
                <c:pt idx="753">
                  <c:v>0</c:v>
                </c:pt>
                <c:pt idx="754">
                  <c:v>0</c:v>
                </c:pt>
                <c:pt idx="755">
                  <c:v>0</c:v>
                </c:pt>
                <c:pt idx="756">
                  <c:v>0</c:v>
                </c:pt>
                <c:pt idx="757">
                  <c:v>0</c:v>
                </c:pt>
                <c:pt idx="758">
                  <c:v>0</c:v>
                </c:pt>
                <c:pt idx="759">
                  <c:v>0</c:v>
                </c:pt>
                <c:pt idx="760">
                  <c:v>0</c:v>
                </c:pt>
                <c:pt idx="761">
                  <c:v>0</c:v>
                </c:pt>
                <c:pt idx="762">
                  <c:v>0</c:v>
                </c:pt>
                <c:pt idx="763">
                  <c:v>0</c:v>
                </c:pt>
                <c:pt idx="764">
                  <c:v>0</c:v>
                </c:pt>
                <c:pt idx="765">
                  <c:v>0</c:v>
                </c:pt>
                <c:pt idx="766">
                  <c:v>0</c:v>
                </c:pt>
                <c:pt idx="767">
                  <c:v>0</c:v>
                </c:pt>
                <c:pt idx="768">
                  <c:v>0</c:v>
                </c:pt>
                <c:pt idx="769">
                  <c:v>0</c:v>
                </c:pt>
                <c:pt idx="770">
                  <c:v>0</c:v>
                </c:pt>
                <c:pt idx="771">
                  <c:v>0</c:v>
                </c:pt>
                <c:pt idx="772">
                  <c:v>0</c:v>
                </c:pt>
                <c:pt idx="773">
                  <c:v>0</c:v>
                </c:pt>
                <c:pt idx="774">
                  <c:v>0</c:v>
                </c:pt>
                <c:pt idx="775">
                  <c:v>0</c:v>
                </c:pt>
                <c:pt idx="776">
                  <c:v>0</c:v>
                </c:pt>
                <c:pt idx="777">
                  <c:v>0</c:v>
                </c:pt>
                <c:pt idx="778">
                  <c:v>0</c:v>
                </c:pt>
                <c:pt idx="779">
                  <c:v>0</c:v>
                </c:pt>
                <c:pt idx="780">
                  <c:v>0</c:v>
                </c:pt>
                <c:pt idx="781">
                  <c:v>0</c:v>
                </c:pt>
                <c:pt idx="782">
                  <c:v>0</c:v>
                </c:pt>
                <c:pt idx="783">
                  <c:v>0</c:v>
                </c:pt>
                <c:pt idx="784">
                  <c:v>0</c:v>
                </c:pt>
                <c:pt idx="785">
                  <c:v>0</c:v>
                </c:pt>
                <c:pt idx="786">
                  <c:v>0</c:v>
                </c:pt>
                <c:pt idx="787">
                  <c:v>0</c:v>
                </c:pt>
                <c:pt idx="788">
                  <c:v>0</c:v>
                </c:pt>
                <c:pt idx="789">
                  <c:v>0</c:v>
                </c:pt>
                <c:pt idx="790">
                  <c:v>0</c:v>
                </c:pt>
                <c:pt idx="791">
                  <c:v>0</c:v>
                </c:pt>
                <c:pt idx="792">
                  <c:v>0</c:v>
                </c:pt>
                <c:pt idx="793">
                  <c:v>0</c:v>
                </c:pt>
                <c:pt idx="794">
                  <c:v>0</c:v>
                </c:pt>
                <c:pt idx="795">
                  <c:v>0</c:v>
                </c:pt>
                <c:pt idx="796">
                  <c:v>0</c:v>
                </c:pt>
                <c:pt idx="797">
                  <c:v>0</c:v>
                </c:pt>
                <c:pt idx="798">
                  <c:v>0</c:v>
                </c:pt>
                <c:pt idx="799">
                  <c:v>0</c:v>
                </c:pt>
                <c:pt idx="800">
                  <c:v>0</c:v>
                </c:pt>
                <c:pt idx="801">
                  <c:v>0</c:v>
                </c:pt>
                <c:pt idx="802">
                  <c:v>0</c:v>
                </c:pt>
                <c:pt idx="803">
                  <c:v>0</c:v>
                </c:pt>
                <c:pt idx="804">
                  <c:v>0</c:v>
                </c:pt>
                <c:pt idx="805">
                  <c:v>0</c:v>
                </c:pt>
                <c:pt idx="806">
                  <c:v>0</c:v>
                </c:pt>
                <c:pt idx="807">
                  <c:v>0</c:v>
                </c:pt>
                <c:pt idx="808">
                  <c:v>0</c:v>
                </c:pt>
                <c:pt idx="809">
                  <c:v>0</c:v>
                </c:pt>
                <c:pt idx="810">
                  <c:v>0</c:v>
                </c:pt>
                <c:pt idx="811">
                  <c:v>0</c:v>
                </c:pt>
                <c:pt idx="812">
                  <c:v>0</c:v>
                </c:pt>
                <c:pt idx="813">
                  <c:v>0</c:v>
                </c:pt>
                <c:pt idx="814">
                  <c:v>0</c:v>
                </c:pt>
                <c:pt idx="815">
                  <c:v>0</c:v>
                </c:pt>
                <c:pt idx="816">
                  <c:v>0</c:v>
                </c:pt>
                <c:pt idx="817">
                  <c:v>0</c:v>
                </c:pt>
                <c:pt idx="818">
                  <c:v>0</c:v>
                </c:pt>
                <c:pt idx="819">
                  <c:v>0</c:v>
                </c:pt>
                <c:pt idx="820">
                  <c:v>0</c:v>
                </c:pt>
                <c:pt idx="821">
                  <c:v>0</c:v>
                </c:pt>
                <c:pt idx="822">
                  <c:v>0</c:v>
                </c:pt>
                <c:pt idx="823">
                  <c:v>0</c:v>
                </c:pt>
                <c:pt idx="824">
                  <c:v>0</c:v>
                </c:pt>
                <c:pt idx="825">
                  <c:v>0</c:v>
                </c:pt>
                <c:pt idx="826">
                  <c:v>0</c:v>
                </c:pt>
                <c:pt idx="827">
                  <c:v>0</c:v>
                </c:pt>
                <c:pt idx="828">
                  <c:v>0</c:v>
                </c:pt>
                <c:pt idx="829">
                  <c:v>0</c:v>
                </c:pt>
                <c:pt idx="830">
                  <c:v>0</c:v>
                </c:pt>
                <c:pt idx="831">
                  <c:v>0</c:v>
                </c:pt>
                <c:pt idx="832">
                  <c:v>0</c:v>
                </c:pt>
                <c:pt idx="833">
                  <c:v>0</c:v>
                </c:pt>
                <c:pt idx="834">
                  <c:v>0</c:v>
                </c:pt>
                <c:pt idx="835">
                  <c:v>0</c:v>
                </c:pt>
                <c:pt idx="836">
                  <c:v>0</c:v>
                </c:pt>
                <c:pt idx="837">
                  <c:v>0</c:v>
                </c:pt>
                <c:pt idx="838">
                  <c:v>0</c:v>
                </c:pt>
                <c:pt idx="839">
                  <c:v>0</c:v>
                </c:pt>
                <c:pt idx="840">
                  <c:v>0</c:v>
                </c:pt>
                <c:pt idx="841">
                  <c:v>0</c:v>
                </c:pt>
                <c:pt idx="842">
                  <c:v>0</c:v>
                </c:pt>
                <c:pt idx="843">
                  <c:v>0</c:v>
                </c:pt>
                <c:pt idx="844">
                  <c:v>0</c:v>
                </c:pt>
                <c:pt idx="845">
                  <c:v>0</c:v>
                </c:pt>
                <c:pt idx="846">
                  <c:v>0</c:v>
                </c:pt>
                <c:pt idx="847">
                  <c:v>0</c:v>
                </c:pt>
                <c:pt idx="848">
                  <c:v>0</c:v>
                </c:pt>
                <c:pt idx="849">
                  <c:v>0</c:v>
                </c:pt>
                <c:pt idx="850">
                  <c:v>0</c:v>
                </c:pt>
                <c:pt idx="851">
                  <c:v>0</c:v>
                </c:pt>
                <c:pt idx="852">
                  <c:v>0</c:v>
                </c:pt>
                <c:pt idx="853">
                  <c:v>0</c:v>
                </c:pt>
                <c:pt idx="854">
                  <c:v>0</c:v>
                </c:pt>
                <c:pt idx="855">
                  <c:v>0</c:v>
                </c:pt>
                <c:pt idx="856">
                  <c:v>0</c:v>
                </c:pt>
                <c:pt idx="857">
                  <c:v>0</c:v>
                </c:pt>
                <c:pt idx="858">
                  <c:v>0</c:v>
                </c:pt>
                <c:pt idx="859">
                  <c:v>0</c:v>
                </c:pt>
                <c:pt idx="860">
                  <c:v>0</c:v>
                </c:pt>
                <c:pt idx="861">
                  <c:v>0</c:v>
                </c:pt>
                <c:pt idx="862">
                  <c:v>0</c:v>
                </c:pt>
                <c:pt idx="863">
                  <c:v>0</c:v>
                </c:pt>
                <c:pt idx="864">
                  <c:v>0</c:v>
                </c:pt>
                <c:pt idx="865">
                  <c:v>0</c:v>
                </c:pt>
                <c:pt idx="866">
                  <c:v>0</c:v>
                </c:pt>
                <c:pt idx="867">
                  <c:v>0</c:v>
                </c:pt>
                <c:pt idx="868">
                  <c:v>0</c:v>
                </c:pt>
                <c:pt idx="869">
                  <c:v>0</c:v>
                </c:pt>
                <c:pt idx="870">
                  <c:v>0</c:v>
                </c:pt>
                <c:pt idx="871">
                  <c:v>0</c:v>
                </c:pt>
                <c:pt idx="872">
                  <c:v>0</c:v>
                </c:pt>
                <c:pt idx="873">
                  <c:v>0</c:v>
                </c:pt>
                <c:pt idx="874">
                  <c:v>0</c:v>
                </c:pt>
                <c:pt idx="875">
                  <c:v>0</c:v>
                </c:pt>
                <c:pt idx="876">
                  <c:v>0</c:v>
                </c:pt>
                <c:pt idx="877">
                  <c:v>0</c:v>
                </c:pt>
                <c:pt idx="878">
                  <c:v>0</c:v>
                </c:pt>
                <c:pt idx="879">
                  <c:v>0</c:v>
                </c:pt>
                <c:pt idx="880">
                  <c:v>0</c:v>
                </c:pt>
                <c:pt idx="881">
                  <c:v>0</c:v>
                </c:pt>
                <c:pt idx="882">
                  <c:v>0</c:v>
                </c:pt>
                <c:pt idx="883">
                  <c:v>0</c:v>
                </c:pt>
                <c:pt idx="884">
                  <c:v>0</c:v>
                </c:pt>
                <c:pt idx="885">
                  <c:v>0</c:v>
                </c:pt>
                <c:pt idx="886">
                  <c:v>0</c:v>
                </c:pt>
                <c:pt idx="887">
                  <c:v>0</c:v>
                </c:pt>
                <c:pt idx="888">
                  <c:v>0</c:v>
                </c:pt>
                <c:pt idx="889">
                  <c:v>0</c:v>
                </c:pt>
                <c:pt idx="890">
                  <c:v>0</c:v>
                </c:pt>
                <c:pt idx="891">
                  <c:v>0</c:v>
                </c:pt>
                <c:pt idx="892">
                  <c:v>0</c:v>
                </c:pt>
                <c:pt idx="893">
                  <c:v>0</c:v>
                </c:pt>
                <c:pt idx="894">
                  <c:v>0</c:v>
                </c:pt>
                <c:pt idx="895">
                  <c:v>0</c:v>
                </c:pt>
                <c:pt idx="896">
                  <c:v>0</c:v>
                </c:pt>
                <c:pt idx="897">
                  <c:v>0</c:v>
                </c:pt>
                <c:pt idx="898">
                  <c:v>0</c:v>
                </c:pt>
                <c:pt idx="899">
                  <c:v>0</c:v>
                </c:pt>
                <c:pt idx="900">
                  <c:v>0</c:v>
                </c:pt>
                <c:pt idx="901">
                  <c:v>0</c:v>
                </c:pt>
                <c:pt idx="902">
                  <c:v>0</c:v>
                </c:pt>
                <c:pt idx="903">
                  <c:v>0</c:v>
                </c:pt>
                <c:pt idx="904">
                  <c:v>0</c:v>
                </c:pt>
                <c:pt idx="905">
                  <c:v>0</c:v>
                </c:pt>
                <c:pt idx="906">
                  <c:v>0</c:v>
                </c:pt>
                <c:pt idx="907">
                  <c:v>0</c:v>
                </c:pt>
                <c:pt idx="908">
                  <c:v>0</c:v>
                </c:pt>
                <c:pt idx="909">
                  <c:v>0</c:v>
                </c:pt>
                <c:pt idx="910">
                  <c:v>0</c:v>
                </c:pt>
                <c:pt idx="911">
                  <c:v>0</c:v>
                </c:pt>
                <c:pt idx="912">
                  <c:v>0</c:v>
                </c:pt>
                <c:pt idx="913">
                  <c:v>0</c:v>
                </c:pt>
                <c:pt idx="914">
                  <c:v>0</c:v>
                </c:pt>
                <c:pt idx="915">
                  <c:v>0</c:v>
                </c:pt>
                <c:pt idx="916">
                  <c:v>0</c:v>
                </c:pt>
                <c:pt idx="917">
                  <c:v>0</c:v>
                </c:pt>
                <c:pt idx="918">
                  <c:v>0</c:v>
                </c:pt>
                <c:pt idx="919">
                  <c:v>0</c:v>
                </c:pt>
                <c:pt idx="920">
                  <c:v>0</c:v>
                </c:pt>
                <c:pt idx="921">
                  <c:v>0</c:v>
                </c:pt>
                <c:pt idx="922">
                  <c:v>0</c:v>
                </c:pt>
                <c:pt idx="923">
                  <c:v>0</c:v>
                </c:pt>
                <c:pt idx="924">
                  <c:v>0</c:v>
                </c:pt>
                <c:pt idx="925">
                  <c:v>0</c:v>
                </c:pt>
                <c:pt idx="926">
                  <c:v>0</c:v>
                </c:pt>
                <c:pt idx="927">
                  <c:v>0</c:v>
                </c:pt>
                <c:pt idx="928">
                  <c:v>0</c:v>
                </c:pt>
                <c:pt idx="929">
                  <c:v>0</c:v>
                </c:pt>
                <c:pt idx="930">
                  <c:v>0</c:v>
                </c:pt>
                <c:pt idx="931">
                  <c:v>0</c:v>
                </c:pt>
                <c:pt idx="932">
                  <c:v>0</c:v>
                </c:pt>
                <c:pt idx="933">
                  <c:v>0</c:v>
                </c:pt>
                <c:pt idx="934">
                  <c:v>0</c:v>
                </c:pt>
                <c:pt idx="935">
                  <c:v>0</c:v>
                </c:pt>
                <c:pt idx="936">
                  <c:v>0</c:v>
                </c:pt>
                <c:pt idx="937">
                  <c:v>0</c:v>
                </c:pt>
                <c:pt idx="938">
                  <c:v>0</c:v>
                </c:pt>
                <c:pt idx="939">
                  <c:v>0</c:v>
                </c:pt>
                <c:pt idx="940">
                  <c:v>0</c:v>
                </c:pt>
                <c:pt idx="941">
                  <c:v>0</c:v>
                </c:pt>
                <c:pt idx="942">
                  <c:v>0</c:v>
                </c:pt>
                <c:pt idx="943">
                  <c:v>0</c:v>
                </c:pt>
                <c:pt idx="944">
                  <c:v>0</c:v>
                </c:pt>
                <c:pt idx="945">
                  <c:v>0</c:v>
                </c:pt>
                <c:pt idx="946">
                  <c:v>0</c:v>
                </c:pt>
                <c:pt idx="947">
                  <c:v>0</c:v>
                </c:pt>
                <c:pt idx="948">
                  <c:v>0</c:v>
                </c:pt>
                <c:pt idx="949">
                  <c:v>0</c:v>
                </c:pt>
                <c:pt idx="950">
                  <c:v>0</c:v>
                </c:pt>
                <c:pt idx="951">
                  <c:v>0</c:v>
                </c:pt>
                <c:pt idx="952">
                  <c:v>0</c:v>
                </c:pt>
                <c:pt idx="953">
                  <c:v>0</c:v>
                </c:pt>
                <c:pt idx="954">
                  <c:v>0</c:v>
                </c:pt>
                <c:pt idx="955">
                  <c:v>0</c:v>
                </c:pt>
                <c:pt idx="956">
                  <c:v>0</c:v>
                </c:pt>
                <c:pt idx="957">
                  <c:v>0</c:v>
                </c:pt>
                <c:pt idx="958">
                  <c:v>0</c:v>
                </c:pt>
                <c:pt idx="959">
                  <c:v>0</c:v>
                </c:pt>
                <c:pt idx="960">
                  <c:v>0</c:v>
                </c:pt>
                <c:pt idx="961">
                  <c:v>0</c:v>
                </c:pt>
                <c:pt idx="962">
                  <c:v>0</c:v>
                </c:pt>
                <c:pt idx="963">
                  <c:v>0</c:v>
                </c:pt>
                <c:pt idx="964">
                  <c:v>0</c:v>
                </c:pt>
                <c:pt idx="965">
                  <c:v>0</c:v>
                </c:pt>
                <c:pt idx="966">
                  <c:v>0</c:v>
                </c:pt>
                <c:pt idx="967">
                  <c:v>0</c:v>
                </c:pt>
                <c:pt idx="968">
                  <c:v>0</c:v>
                </c:pt>
                <c:pt idx="969">
                  <c:v>0</c:v>
                </c:pt>
                <c:pt idx="970">
                  <c:v>0</c:v>
                </c:pt>
                <c:pt idx="971">
                  <c:v>0</c:v>
                </c:pt>
                <c:pt idx="972">
                  <c:v>0</c:v>
                </c:pt>
                <c:pt idx="973">
                  <c:v>0</c:v>
                </c:pt>
                <c:pt idx="974">
                  <c:v>0</c:v>
                </c:pt>
                <c:pt idx="975">
                  <c:v>0</c:v>
                </c:pt>
                <c:pt idx="976">
                  <c:v>0</c:v>
                </c:pt>
                <c:pt idx="977">
                  <c:v>0</c:v>
                </c:pt>
                <c:pt idx="978">
                  <c:v>0</c:v>
                </c:pt>
                <c:pt idx="979">
                  <c:v>0</c:v>
                </c:pt>
                <c:pt idx="980">
                  <c:v>0</c:v>
                </c:pt>
                <c:pt idx="981">
                  <c:v>0</c:v>
                </c:pt>
                <c:pt idx="982">
                  <c:v>0</c:v>
                </c:pt>
                <c:pt idx="983">
                  <c:v>0</c:v>
                </c:pt>
                <c:pt idx="984">
                  <c:v>0</c:v>
                </c:pt>
                <c:pt idx="985">
                  <c:v>0</c:v>
                </c:pt>
                <c:pt idx="986">
                  <c:v>0</c:v>
                </c:pt>
                <c:pt idx="987">
                  <c:v>0</c:v>
                </c:pt>
                <c:pt idx="988">
                  <c:v>0</c:v>
                </c:pt>
                <c:pt idx="989">
                  <c:v>0</c:v>
                </c:pt>
                <c:pt idx="990">
                  <c:v>0</c:v>
                </c:pt>
                <c:pt idx="991">
                  <c:v>0</c:v>
                </c:pt>
                <c:pt idx="992">
                  <c:v>0</c:v>
                </c:pt>
                <c:pt idx="993">
                  <c:v>0</c:v>
                </c:pt>
                <c:pt idx="994">
                  <c:v>0</c:v>
                </c:pt>
                <c:pt idx="995">
                  <c:v>0</c:v>
                </c:pt>
                <c:pt idx="996">
                  <c:v>0</c:v>
                </c:pt>
                <c:pt idx="997">
                  <c:v>0</c:v>
                </c:pt>
                <c:pt idx="998">
                  <c:v>0</c:v>
                </c:pt>
                <c:pt idx="999">
                  <c:v>0</c:v>
                </c:pt>
                <c:pt idx="1000">
                  <c:v>0</c:v>
                </c:pt>
                <c:pt idx="1001">
                  <c:v>0</c:v>
                </c:pt>
                <c:pt idx="1002">
                  <c:v>0</c:v>
                </c:pt>
                <c:pt idx="1003">
                  <c:v>0</c:v>
                </c:pt>
                <c:pt idx="1004">
                  <c:v>0</c:v>
                </c:pt>
                <c:pt idx="1005">
                  <c:v>0</c:v>
                </c:pt>
                <c:pt idx="1006">
                  <c:v>0</c:v>
                </c:pt>
                <c:pt idx="1007">
                  <c:v>0</c:v>
                </c:pt>
                <c:pt idx="1008">
                  <c:v>0</c:v>
                </c:pt>
                <c:pt idx="1009">
                  <c:v>0</c:v>
                </c:pt>
                <c:pt idx="1010">
                  <c:v>0</c:v>
                </c:pt>
                <c:pt idx="1011">
                  <c:v>0</c:v>
                </c:pt>
                <c:pt idx="1012">
                  <c:v>0</c:v>
                </c:pt>
                <c:pt idx="1013">
                  <c:v>0</c:v>
                </c:pt>
                <c:pt idx="1014">
                  <c:v>0</c:v>
                </c:pt>
                <c:pt idx="1015">
                  <c:v>0</c:v>
                </c:pt>
                <c:pt idx="1016">
                  <c:v>0</c:v>
                </c:pt>
                <c:pt idx="1017">
                  <c:v>0</c:v>
                </c:pt>
                <c:pt idx="1018">
                  <c:v>0</c:v>
                </c:pt>
                <c:pt idx="1019">
                  <c:v>0</c:v>
                </c:pt>
                <c:pt idx="1020">
                  <c:v>0</c:v>
                </c:pt>
                <c:pt idx="1021">
                  <c:v>0</c:v>
                </c:pt>
                <c:pt idx="1022">
                  <c:v>0</c:v>
                </c:pt>
                <c:pt idx="1023">
                  <c:v>0</c:v>
                </c:pt>
                <c:pt idx="1024">
                  <c:v>0</c:v>
                </c:pt>
                <c:pt idx="1025">
                  <c:v>0</c:v>
                </c:pt>
                <c:pt idx="1026">
                  <c:v>0</c:v>
                </c:pt>
                <c:pt idx="1027">
                  <c:v>0</c:v>
                </c:pt>
                <c:pt idx="1028">
                  <c:v>0</c:v>
                </c:pt>
                <c:pt idx="1029">
                  <c:v>0</c:v>
                </c:pt>
                <c:pt idx="1030">
                  <c:v>0</c:v>
                </c:pt>
                <c:pt idx="1031">
                  <c:v>0</c:v>
                </c:pt>
                <c:pt idx="1032">
                  <c:v>0</c:v>
                </c:pt>
                <c:pt idx="1033">
                  <c:v>0</c:v>
                </c:pt>
                <c:pt idx="1034">
                  <c:v>0</c:v>
                </c:pt>
                <c:pt idx="1035">
                  <c:v>0</c:v>
                </c:pt>
                <c:pt idx="1036">
                  <c:v>0</c:v>
                </c:pt>
                <c:pt idx="1037">
                  <c:v>0</c:v>
                </c:pt>
                <c:pt idx="1038">
                  <c:v>0</c:v>
                </c:pt>
                <c:pt idx="1039">
                  <c:v>0</c:v>
                </c:pt>
                <c:pt idx="1040">
                  <c:v>0</c:v>
                </c:pt>
                <c:pt idx="1041">
                  <c:v>0</c:v>
                </c:pt>
                <c:pt idx="1042">
                  <c:v>0</c:v>
                </c:pt>
                <c:pt idx="1043">
                  <c:v>0</c:v>
                </c:pt>
                <c:pt idx="1044">
                  <c:v>0</c:v>
                </c:pt>
                <c:pt idx="1045">
                  <c:v>0</c:v>
                </c:pt>
                <c:pt idx="1046">
                  <c:v>0</c:v>
                </c:pt>
                <c:pt idx="1047">
                  <c:v>0</c:v>
                </c:pt>
                <c:pt idx="1048">
                  <c:v>0</c:v>
                </c:pt>
                <c:pt idx="1049">
                  <c:v>0</c:v>
                </c:pt>
                <c:pt idx="1050">
                  <c:v>0</c:v>
                </c:pt>
                <c:pt idx="1051">
                  <c:v>0</c:v>
                </c:pt>
                <c:pt idx="1052">
                  <c:v>0</c:v>
                </c:pt>
                <c:pt idx="1053">
                  <c:v>0</c:v>
                </c:pt>
                <c:pt idx="1054">
                  <c:v>0</c:v>
                </c:pt>
                <c:pt idx="1055">
                  <c:v>0</c:v>
                </c:pt>
                <c:pt idx="1056">
                  <c:v>0</c:v>
                </c:pt>
                <c:pt idx="1057">
                  <c:v>0</c:v>
                </c:pt>
                <c:pt idx="1058">
                  <c:v>0</c:v>
                </c:pt>
                <c:pt idx="1059">
                  <c:v>0</c:v>
                </c:pt>
                <c:pt idx="1060">
                  <c:v>0</c:v>
                </c:pt>
                <c:pt idx="1061">
                  <c:v>0</c:v>
                </c:pt>
                <c:pt idx="1062">
                  <c:v>0</c:v>
                </c:pt>
                <c:pt idx="1063">
                  <c:v>0</c:v>
                </c:pt>
                <c:pt idx="1064">
                  <c:v>0</c:v>
                </c:pt>
                <c:pt idx="1065">
                  <c:v>0</c:v>
                </c:pt>
                <c:pt idx="1066">
                  <c:v>0</c:v>
                </c:pt>
                <c:pt idx="1067">
                  <c:v>0</c:v>
                </c:pt>
                <c:pt idx="1068">
                  <c:v>0</c:v>
                </c:pt>
                <c:pt idx="1069">
                  <c:v>0</c:v>
                </c:pt>
                <c:pt idx="1070">
                  <c:v>0</c:v>
                </c:pt>
                <c:pt idx="1071">
                  <c:v>0</c:v>
                </c:pt>
                <c:pt idx="1072">
                  <c:v>0</c:v>
                </c:pt>
                <c:pt idx="1073">
                  <c:v>0</c:v>
                </c:pt>
                <c:pt idx="1074">
                  <c:v>0</c:v>
                </c:pt>
                <c:pt idx="1075">
                  <c:v>0</c:v>
                </c:pt>
                <c:pt idx="1076">
                  <c:v>0</c:v>
                </c:pt>
                <c:pt idx="1077">
                  <c:v>0</c:v>
                </c:pt>
                <c:pt idx="1078">
                  <c:v>0</c:v>
                </c:pt>
                <c:pt idx="1079">
                  <c:v>0</c:v>
                </c:pt>
                <c:pt idx="1080">
                  <c:v>0</c:v>
                </c:pt>
                <c:pt idx="1081">
                  <c:v>0</c:v>
                </c:pt>
                <c:pt idx="1082">
                  <c:v>0</c:v>
                </c:pt>
                <c:pt idx="1083">
                  <c:v>0</c:v>
                </c:pt>
                <c:pt idx="1084">
                  <c:v>0</c:v>
                </c:pt>
                <c:pt idx="1085">
                  <c:v>0</c:v>
                </c:pt>
                <c:pt idx="1086">
                  <c:v>0</c:v>
                </c:pt>
                <c:pt idx="1087">
                  <c:v>0</c:v>
                </c:pt>
                <c:pt idx="1088">
                  <c:v>0</c:v>
                </c:pt>
                <c:pt idx="1089">
                  <c:v>0</c:v>
                </c:pt>
                <c:pt idx="1090">
                  <c:v>0</c:v>
                </c:pt>
                <c:pt idx="1091">
                  <c:v>0</c:v>
                </c:pt>
                <c:pt idx="1092">
                  <c:v>0</c:v>
                </c:pt>
                <c:pt idx="1093">
                  <c:v>0</c:v>
                </c:pt>
                <c:pt idx="1094">
                  <c:v>0</c:v>
                </c:pt>
                <c:pt idx="1095">
                  <c:v>0</c:v>
                </c:pt>
                <c:pt idx="1096">
                  <c:v>0</c:v>
                </c:pt>
                <c:pt idx="1097">
                  <c:v>0</c:v>
                </c:pt>
                <c:pt idx="1098">
                  <c:v>0</c:v>
                </c:pt>
                <c:pt idx="1099">
                  <c:v>0</c:v>
                </c:pt>
                <c:pt idx="1100">
                  <c:v>0</c:v>
                </c:pt>
                <c:pt idx="1101">
                  <c:v>0</c:v>
                </c:pt>
                <c:pt idx="1102">
                  <c:v>0</c:v>
                </c:pt>
                <c:pt idx="1103">
                  <c:v>0</c:v>
                </c:pt>
                <c:pt idx="1104">
                  <c:v>0</c:v>
                </c:pt>
                <c:pt idx="1105">
                  <c:v>0</c:v>
                </c:pt>
                <c:pt idx="1106">
                  <c:v>0</c:v>
                </c:pt>
                <c:pt idx="1107">
                  <c:v>0</c:v>
                </c:pt>
                <c:pt idx="1108">
                  <c:v>0</c:v>
                </c:pt>
                <c:pt idx="1109">
                  <c:v>0</c:v>
                </c:pt>
                <c:pt idx="1110">
                  <c:v>0</c:v>
                </c:pt>
                <c:pt idx="1111">
                  <c:v>0</c:v>
                </c:pt>
                <c:pt idx="1112">
                  <c:v>0</c:v>
                </c:pt>
                <c:pt idx="1113">
                  <c:v>0</c:v>
                </c:pt>
                <c:pt idx="1114">
                  <c:v>0</c:v>
                </c:pt>
                <c:pt idx="1115">
                  <c:v>0</c:v>
                </c:pt>
                <c:pt idx="1116">
                  <c:v>0</c:v>
                </c:pt>
                <c:pt idx="1117">
                  <c:v>0</c:v>
                </c:pt>
                <c:pt idx="1118">
                  <c:v>0</c:v>
                </c:pt>
                <c:pt idx="1119">
                  <c:v>0</c:v>
                </c:pt>
                <c:pt idx="1120">
                  <c:v>0</c:v>
                </c:pt>
                <c:pt idx="1121">
                  <c:v>0</c:v>
                </c:pt>
                <c:pt idx="1122">
                  <c:v>0</c:v>
                </c:pt>
                <c:pt idx="1123">
                  <c:v>0</c:v>
                </c:pt>
                <c:pt idx="1124">
                  <c:v>0</c:v>
                </c:pt>
                <c:pt idx="1125">
                  <c:v>0</c:v>
                </c:pt>
                <c:pt idx="1126">
                  <c:v>0</c:v>
                </c:pt>
                <c:pt idx="1127">
                  <c:v>0</c:v>
                </c:pt>
                <c:pt idx="1128">
                  <c:v>0</c:v>
                </c:pt>
                <c:pt idx="1129">
                  <c:v>0</c:v>
                </c:pt>
                <c:pt idx="1130">
                  <c:v>0</c:v>
                </c:pt>
                <c:pt idx="1131">
                  <c:v>0</c:v>
                </c:pt>
                <c:pt idx="1132">
                  <c:v>0</c:v>
                </c:pt>
                <c:pt idx="1133">
                  <c:v>0</c:v>
                </c:pt>
                <c:pt idx="1134">
                  <c:v>0</c:v>
                </c:pt>
                <c:pt idx="1135">
                  <c:v>0</c:v>
                </c:pt>
                <c:pt idx="1136">
                  <c:v>0</c:v>
                </c:pt>
                <c:pt idx="1137">
                  <c:v>0</c:v>
                </c:pt>
                <c:pt idx="1138">
                  <c:v>0</c:v>
                </c:pt>
                <c:pt idx="1139">
                  <c:v>0</c:v>
                </c:pt>
                <c:pt idx="1140">
                  <c:v>0</c:v>
                </c:pt>
                <c:pt idx="1141">
                  <c:v>0</c:v>
                </c:pt>
                <c:pt idx="1142">
                  <c:v>0</c:v>
                </c:pt>
                <c:pt idx="1143">
                  <c:v>0</c:v>
                </c:pt>
                <c:pt idx="1144">
                  <c:v>0</c:v>
                </c:pt>
                <c:pt idx="1145">
                  <c:v>0</c:v>
                </c:pt>
                <c:pt idx="1146">
                  <c:v>0</c:v>
                </c:pt>
                <c:pt idx="1147">
                  <c:v>0</c:v>
                </c:pt>
                <c:pt idx="1148">
                  <c:v>0</c:v>
                </c:pt>
                <c:pt idx="1149">
                  <c:v>0</c:v>
                </c:pt>
                <c:pt idx="1150">
                  <c:v>0</c:v>
                </c:pt>
                <c:pt idx="1151">
                  <c:v>0</c:v>
                </c:pt>
                <c:pt idx="1152">
                  <c:v>0</c:v>
                </c:pt>
                <c:pt idx="1153">
                  <c:v>0</c:v>
                </c:pt>
                <c:pt idx="1154">
                  <c:v>0</c:v>
                </c:pt>
                <c:pt idx="1155">
                  <c:v>0</c:v>
                </c:pt>
                <c:pt idx="1156">
                  <c:v>0</c:v>
                </c:pt>
                <c:pt idx="1157">
                  <c:v>0</c:v>
                </c:pt>
                <c:pt idx="1158">
                  <c:v>0</c:v>
                </c:pt>
                <c:pt idx="1159">
                  <c:v>0</c:v>
                </c:pt>
                <c:pt idx="1160">
                  <c:v>0</c:v>
                </c:pt>
                <c:pt idx="1161">
                  <c:v>0</c:v>
                </c:pt>
                <c:pt idx="1162">
                  <c:v>0</c:v>
                </c:pt>
                <c:pt idx="1163">
                  <c:v>0</c:v>
                </c:pt>
                <c:pt idx="1164">
                  <c:v>0</c:v>
                </c:pt>
                <c:pt idx="1165">
                  <c:v>0</c:v>
                </c:pt>
                <c:pt idx="1166">
                  <c:v>0</c:v>
                </c:pt>
                <c:pt idx="1167">
                  <c:v>0</c:v>
                </c:pt>
                <c:pt idx="1168">
                  <c:v>0</c:v>
                </c:pt>
                <c:pt idx="1169">
                  <c:v>0</c:v>
                </c:pt>
                <c:pt idx="1170">
                  <c:v>0</c:v>
                </c:pt>
                <c:pt idx="1171">
                  <c:v>0</c:v>
                </c:pt>
                <c:pt idx="1172">
                  <c:v>0</c:v>
                </c:pt>
                <c:pt idx="1173">
                  <c:v>0</c:v>
                </c:pt>
                <c:pt idx="1174">
                  <c:v>0</c:v>
                </c:pt>
                <c:pt idx="1175">
                  <c:v>0</c:v>
                </c:pt>
                <c:pt idx="1176">
                  <c:v>0</c:v>
                </c:pt>
                <c:pt idx="1177">
                  <c:v>0</c:v>
                </c:pt>
                <c:pt idx="1178">
                  <c:v>0</c:v>
                </c:pt>
                <c:pt idx="1179">
                  <c:v>0</c:v>
                </c:pt>
                <c:pt idx="1180">
                  <c:v>0</c:v>
                </c:pt>
                <c:pt idx="1181">
                  <c:v>0</c:v>
                </c:pt>
                <c:pt idx="1182">
                  <c:v>0</c:v>
                </c:pt>
                <c:pt idx="1183">
                  <c:v>0</c:v>
                </c:pt>
                <c:pt idx="1184">
                  <c:v>0</c:v>
                </c:pt>
                <c:pt idx="1185">
                  <c:v>0</c:v>
                </c:pt>
                <c:pt idx="1186">
                  <c:v>0</c:v>
                </c:pt>
                <c:pt idx="1187">
                  <c:v>0</c:v>
                </c:pt>
                <c:pt idx="1188">
                  <c:v>0</c:v>
                </c:pt>
                <c:pt idx="1189">
                  <c:v>0</c:v>
                </c:pt>
                <c:pt idx="1190">
                  <c:v>0</c:v>
                </c:pt>
                <c:pt idx="1191">
                  <c:v>0</c:v>
                </c:pt>
                <c:pt idx="1192">
                  <c:v>0</c:v>
                </c:pt>
                <c:pt idx="1193">
                  <c:v>0</c:v>
                </c:pt>
                <c:pt idx="1194">
                  <c:v>0</c:v>
                </c:pt>
                <c:pt idx="1195">
                  <c:v>0</c:v>
                </c:pt>
                <c:pt idx="1196">
                  <c:v>0</c:v>
                </c:pt>
                <c:pt idx="1197">
                  <c:v>0</c:v>
                </c:pt>
                <c:pt idx="1198">
                  <c:v>0</c:v>
                </c:pt>
                <c:pt idx="1199">
                  <c:v>0</c:v>
                </c:pt>
              </c:numCache>
            </c:numRef>
          </c:val>
          <c:extLst>
            <c:ext xmlns:c16="http://schemas.microsoft.com/office/drawing/2014/chart" uri="{C3380CC4-5D6E-409C-BE32-E72D297353CC}">
              <c16:uniqueId val="{00000001-1870-4810-9A39-24D6FCF8F1F9}"/>
            </c:ext>
          </c:extLst>
        </c:ser>
        <c:ser>
          <c:idx val="6"/>
          <c:order val="15"/>
          <c:spPr>
            <a:solidFill>
              <a:srgbClr val="C89800"/>
            </a:solidFill>
            <a:ln>
              <a:solidFill>
                <a:schemeClr val="bg2"/>
              </a:solidFill>
              <a:prstDash val="solid"/>
            </a:ln>
            <a:effectLst/>
          </c:spPr>
          <c:cat>
            <c:numRef>
              <c:f>'Roof edge insulation'!$DA$2:$DA$1201</c:f>
              <c:numCache>
                <c:formatCode>General</c:formatCode>
                <c:ptCount val="1200"/>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15</c:v>
                </c:pt>
                <c:pt idx="15">
                  <c:v>16</c:v>
                </c:pt>
                <c:pt idx="16">
                  <c:v>17</c:v>
                </c:pt>
                <c:pt idx="17">
                  <c:v>18</c:v>
                </c:pt>
                <c:pt idx="18">
                  <c:v>19</c:v>
                </c:pt>
                <c:pt idx="19">
                  <c:v>20</c:v>
                </c:pt>
                <c:pt idx="20">
                  <c:v>21</c:v>
                </c:pt>
                <c:pt idx="21">
                  <c:v>22</c:v>
                </c:pt>
                <c:pt idx="22">
                  <c:v>23</c:v>
                </c:pt>
                <c:pt idx="23">
                  <c:v>24</c:v>
                </c:pt>
                <c:pt idx="24">
                  <c:v>25</c:v>
                </c:pt>
                <c:pt idx="25">
                  <c:v>26</c:v>
                </c:pt>
                <c:pt idx="26">
                  <c:v>27</c:v>
                </c:pt>
                <c:pt idx="27">
                  <c:v>28</c:v>
                </c:pt>
                <c:pt idx="28">
                  <c:v>29</c:v>
                </c:pt>
                <c:pt idx="29">
                  <c:v>30</c:v>
                </c:pt>
                <c:pt idx="30">
                  <c:v>31</c:v>
                </c:pt>
                <c:pt idx="31">
                  <c:v>32</c:v>
                </c:pt>
                <c:pt idx="32">
                  <c:v>33</c:v>
                </c:pt>
                <c:pt idx="33">
                  <c:v>34</c:v>
                </c:pt>
                <c:pt idx="34">
                  <c:v>35</c:v>
                </c:pt>
                <c:pt idx="35">
                  <c:v>36</c:v>
                </c:pt>
                <c:pt idx="36">
                  <c:v>37</c:v>
                </c:pt>
                <c:pt idx="37">
                  <c:v>38</c:v>
                </c:pt>
                <c:pt idx="38">
                  <c:v>39</c:v>
                </c:pt>
                <c:pt idx="39">
                  <c:v>40</c:v>
                </c:pt>
                <c:pt idx="40">
                  <c:v>41</c:v>
                </c:pt>
                <c:pt idx="41">
                  <c:v>42</c:v>
                </c:pt>
                <c:pt idx="42">
                  <c:v>43</c:v>
                </c:pt>
                <c:pt idx="43">
                  <c:v>44</c:v>
                </c:pt>
                <c:pt idx="44">
                  <c:v>45</c:v>
                </c:pt>
                <c:pt idx="45">
                  <c:v>46</c:v>
                </c:pt>
                <c:pt idx="46">
                  <c:v>47</c:v>
                </c:pt>
                <c:pt idx="47">
                  <c:v>48</c:v>
                </c:pt>
                <c:pt idx="48">
                  <c:v>49</c:v>
                </c:pt>
                <c:pt idx="49">
                  <c:v>50</c:v>
                </c:pt>
                <c:pt idx="50">
                  <c:v>51</c:v>
                </c:pt>
                <c:pt idx="51">
                  <c:v>52</c:v>
                </c:pt>
                <c:pt idx="52">
                  <c:v>53</c:v>
                </c:pt>
                <c:pt idx="53">
                  <c:v>54</c:v>
                </c:pt>
                <c:pt idx="54">
                  <c:v>55</c:v>
                </c:pt>
                <c:pt idx="55">
                  <c:v>56</c:v>
                </c:pt>
                <c:pt idx="56">
                  <c:v>57</c:v>
                </c:pt>
                <c:pt idx="57">
                  <c:v>58</c:v>
                </c:pt>
                <c:pt idx="58">
                  <c:v>59</c:v>
                </c:pt>
                <c:pt idx="59">
                  <c:v>60</c:v>
                </c:pt>
                <c:pt idx="60">
                  <c:v>61</c:v>
                </c:pt>
                <c:pt idx="61">
                  <c:v>62</c:v>
                </c:pt>
                <c:pt idx="62">
                  <c:v>63</c:v>
                </c:pt>
                <c:pt idx="63">
                  <c:v>64</c:v>
                </c:pt>
                <c:pt idx="64">
                  <c:v>65</c:v>
                </c:pt>
                <c:pt idx="65">
                  <c:v>66</c:v>
                </c:pt>
                <c:pt idx="66">
                  <c:v>67</c:v>
                </c:pt>
                <c:pt idx="67">
                  <c:v>68</c:v>
                </c:pt>
                <c:pt idx="68">
                  <c:v>69</c:v>
                </c:pt>
                <c:pt idx="69">
                  <c:v>70</c:v>
                </c:pt>
                <c:pt idx="70">
                  <c:v>71</c:v>
                </c:pt>
                <c:pt idx="71">
                  <c:v>72</c:v>
                </c:pt>
                <c:pt idx="72">
                  <c:v>73</c:v>
                </c:pt>
                <c:pt idx="73">
                  <c:v>74</c:v>
                </c:pt>
                <c:pt idx="74">
                  <c:v>75</c:v>
                </c:pt>
                <c:pt idx="75">
                  <c:v>76</c:v>
                </c:pt>
                <c:pt idx="76">
                  <c:v>77</c:v>
                </c:pt>
                <c:pt idx="77">
                  <c:v>78</c:v>
                </c:pt>
                <c:pt idx="78">
                  <c:v>79</c:v>
                </c:pt>
                <c:pt idx="79">
                  <c:v>80</c:v>
                </c:pt>
                <c:pt idx="80">
                  <c:v>81</c:v>
                </c:pt>
                <c:pt idx="81">
                  <c:v>82</c:v>
                </c:pt>
                <c:pt idx="82">
                  <c:v>83</c:v>
                </c:pt>
                <c:pt idx="83">
                  <c:v>84</c:v>
                </c:pt>
                <c:pt idx="84">
                  <c:v>85</c:v>
                </c:pt>
                <c:pt idx="85">
                  <c:v>86</c:v>
                </c:pt>
                <c:pt idx="86">
                  <c:v>87</c:v>
                </c:pt>
                <c:pt idx="87">
                  <c:v>88</c:v>
                </c:pt>
                <c:pt idx="88">
                  <c:v>89</c:v>
                </c:pt>
                <c:pt idx="89">
                  <c:v>90</c:v>
                </c:pt>
                <c:pt idx="90">
                  <c:v>91</c:v>
                </c:pt>
                <c:pt idx="91">
                  <c:v>92</c:v>
                </c:pt>
                <c:pt idx="92">
                  <c:v>93</c:v>
                </c:pt>
                <c:pt idx="93">
                  <c:v>94</c:v>
                </c:pt>
                <c:pt idx="94">
                  <c:v>95</c:v>
                </c:pt>
                <c:pt idx="95">
                  <c:v>96</c:v>
                </c:pt>
                <c:pt idx="96">
                  <c:v>97</c:v>
                </c:pt>
                <c:pt idx="97">
                  <c:v>98</c:v>
                </c:pt>
                <c:pt idx="98">
                  <c:v>99</c:v>
                </c:pt>
                <c:pt idx="99">
                  <c:v>100</c:v>
                </c:pt>
                <c:pt idx="100">
                  <c:v>101</c:v>
                </c:pt>
                <c:pt idx="101">
                  <c:v>102</c:v>
                </c:pt>
                <c:pt idx="102">
                  <c:v>103</c:v>
                </c:pt>
                <c:pt idx="103">
                  <c:v>104</c:v>
                </c:pt>
                <c:pt idx="104">
                  <c:v>105</c:v>
                </c:pt>
                <c:pt idx="105">
                  <c:v>106</c:v>
                </c:pt>
                <c:pt idx="106">
                  <c:v>107</c:v>
                </c:pt>
                <c:pt idx="107">
                  <c:v>108</c:v>
                </c:pt>
                <c:pt idx="108">
                  <c:v>109</c:v>
                </c:pt>
                <c:pt idx="109">
                  <c:v>110</c:v>
                </c:pt>
                <c:pt idx="110">
                  <c:v>111</c:v>
                </c:pt>
                <c:pt idx="111">
                  <c:v>112</c:v>
                </c:pt>
                <c:pt idx="112">
                  <c:v>113</c:v>
                </c:pt>
                <c:pt idx="113">
                  <c:v>114</c:v>
                </c:pt>
                <c:pt idx="114">
                  <c:v>115</c:v>
                </c:pt>
                <c:pt idx="115">
                  <c:v>116</c:v>
                </c:pt>
                <c:pt idx="116">
                  <c:v>117</c:v>
                </c:pt>
                <c:pt idx="117">
                  <c:v>118</c:v>
                </c:pt>
                <c:pt idx="118">
                  <c:v>119</c:v>
                </c:pt>
                <c:pt idx="119">
                  <c:v>120</c:v>
                </c:pt>
                <c:pt idx="120">
                  <c:v>121</c:v>
                </c:pt>
                <c:pt idx="121">
                  <c:v>122</c:v>
                </c:pt>
                <c:pt idx="122">
                  <c:v>123</c:v>
                </c:pt>
                <c:pt idx="123">
                  <c:v>124</c:v>
                </c:pt>
                <c:pt idx="124">
                  <c:v>125</c:v>
                </c:pt>
                <c:pt idx="125">
                  <c:v>126</c:v>
                </c:pt>
                <c:pt idx="126">
                  <c:v>127</c:v>
                </c:pt>
                <c:pt idx="127">
                  <c:v>128</c:v>
                </c:pt>
                <c:pt idx="128">
                  <c:v>129</c:v>
                </c:pt>
                <c:pt idx="129">
                  <c:v>130</c:v>
                </c:pt>
                <c:pt idx="130">
                  <c:v>131</c:v>
                </c:pt>
                <c:pt idx="131">
                  <c:v>132</c:v>
                </c:pt>
                <c:pt idx="132">
                  <c:v>133</c:v>
                </c:pt>
                <c:pt idx="133">
                  <c:v>134</c:v>
                </c:pt>
                <c:pt idx="134">
                  <c:v>135</c:v>
                </c:pt>
                <c:pt idx="135">
                  <c:v>136</c:v>
                </c:pt>
                <c:pt idx="136">
                  <c:v>137</c:v>
                </c:pt>
                <c:pt idx="137">
                  <c:v>138</c:v>
                </c:pt>
                <c:pt idx="138">
                  <c:v>139</c:v>
                </c:pt>
                <c:pt idx="139">
                  <c:v>140</c:v>
                </c:pt>
                <c:pt idx="140">
                  <c:v>141</c:v>
                </c:pt>
                <c:pt idx="141">
                  <c:v>142</c:v>
                </c:pt>
                <c:pt idx="142">
                  <c:v>143</c:v>
                </c:pt>
                <c:pt idx="143">
                  <c:v>144</c:v>
                </c:pt>
                <c:pt idx="144">
                  <c:v>145</c:v>
                </c:pt>
                <c:pt idx="145">
                  <c:v>146</c:v>
                </c:pt>
                <c:pt idx="146">
                  <c:v>147</c:v>
                </c:pt>
                <c:pt idx="147">
                  <c:v>148</c:v>
                </c:pt>
                <c:pt idx="148">
                  <c:v>149</c:v>
                </c:pt>
                <c:pt idx="149">
                  <c:v>150</c:v>
                </c:pt>
                <c:pt idx="150">
                  <c:v>151</c:v>
                </c:pt>
                <c:pt idx="151">
                  <c:v>152</c:v>
                </c:pt>
                <c:pt idx="152">
                  <c:v>153</c:v>
                </c:pt>
                <c:pt idx="153">
                  <c:v>154</c:v>
                </c:pt>
                <c:pt idx="154">
                  <c:v>155</c:v>
                </c:pt>
                <c:pt idx="155">
                  <c:v>156</c:v>
                </c:pt>
                <c:pt idx="156">
                  <c:v>157</c:v>
                </c:pt>
                <c:pt idx="157">
                  <c:v>158</c:v>
                </c:pt>
                <c:pt idx="158">
                  <c:v>159</c:v>
                </c:pt>
                <c:pt idx="159">
                  <c:v>160</c:v>
                </c:pt>
                <c:pt idx="160">
                  <c:v>161</c:v>
                </c:pt>
                <c:pt idx="161">
                  <c:v>162</c:v>
                </c:pt>
                <c:pt idx="162">
                  <c:v>163</c:v>
                </c:pt>
                <c:pt idx="163">
                  <c:v>164</c:v>
                </c:pt>
                <c:pt idx="164">
                  <c:v>165</c:v>
                </c:pt>
                <c:pt idx="165">
                  <c:v>166</c:v>
                </c:pt>
                <c:pt idx="166">
                  <c:v>167</c:v>
                </c:pt>
                <c:pt idx="167">
                  <c:v>168</c:v>
                </c:pt>
                <c:pt idx="168">
                  <c:v>169</c:v>
                </c:pt>
                <c:pt idx="169">
                  <c:v>170</c:v>
                </c:pt>
                <c:pt idx="170">
                  <c:v>171</c:v>
                </c:pt>
                <c:pt idx="171">
                  <c:v>172</c:v>
                </c:pt>
                <c:pt idx="172">
                  <c:v>173</c:v>
                </c:pt>
                <c:pt idx="173">
                  <c:v>174</c:v>
                </c:pt>
                <c:pt idx="174">
                  <c:v>175</c:v>
                </c:pt>
                <c:pt idx="175">
                  <c:v>176</c:v>
                </c:pt>
                <c:pt idx="176">
                  <c:v>177</c:v>
                </c:pt>
                <c:pt idx="177">
                  <c:v>178</c:v>
                </c:pt>
                <c:pt idx="178">
                  <c:v>179</c:v>
                </c:pt>
                <c:pt idx="179">
                  <c:v>180</c:v>
                </c:pt>
                <c:pt idx="180">
                  <c:v>181</c:v>
                </c:pt>
                <c:pt idx="181">
                  <c:v>182</c:v>
                </c:pt>
                <c:pt idx="182">
                  <c:v>183</c:v>
                </c:pt>
                <c:pt idx="183">
                  <c:v>184</c:v>
                </c:pt>
                <c:pt idx="184">
                  <c:v>185</c:v>
                </c:pt>
                <c:pt idx="185">
                  <c:v>186</c:v>
                </c:pt>
                <c:pt idx="186">
                  <c:v>187</c:v>
                </c:pt>
                <c:pt idx="187">
                  <c:v>188</c:v>
                </c:pt>
                <c:pt idx="188">
                  <c:v>189</c:v>
                </c:pt>
                <c:pt idx="189">
                  <c:v>190</c:v>
                </c:pt>
                <c:pt idx="190">
                  <c:v>191</c:v>
                </c:pt>
                <c:pt idx="191">
                  <c:v>192</c:v>
                </c:pt>
                <c:pt idx="192">
                  <c:v>193</c:v>
                </c:pt>
                <c:pt idx="193">
                  <c:v>194</c:v>
                </c:pt>
                <c:pt idx="194">
                  <c:v>195</c:v>
                </c:pt>
                <c:pt idx="195">
                  <c:v>196</c:v>
                </c:pt>
                <c:pt idx="196">
                  <c:v>197</c:v>
                </c:pt>
                <c:pt idx="197">
                  <c:v>198</c:v>
                </c:pt>
                <c:pt idx="198">
                  <c:v>199</c:v>
                </c:pt>
                <c:pt idx="199">
                  <c:v>200</c:v>
                </c:pt>
                <c:pt idx="200">
                  <c:v>201</c:v>
                </c:pt>
                <c:pt idx="201">
                  <c:v>202</c:v>
                </c:pt>
                <c:pt idx="202">
                  <c:v>203</c:v>
                </c:pt>
                <c:pt idx="203">
                  <c:v>204</c:v>
                </c:pt>
                <c:pt idx="204">
                  <c:v>205</c:v>
                </c:pt>
                <c:pt idx="205">
                  <c:v>206</c:v>
                </c:pt>
                <c:pt idx="206">
                  <c:v>207</c:v>
                </c:pt>
                <c:pt idx="207">
                  <c:v>208</c:v>
                </c:pt>
                <c:pt idx="208">
                  <c:v>209</c:v>
                </c:pt>
                <c:pt idx="209">
                  <c:v>210</c:v>
                </c:pt>
                <c:pt idx="210">
                  <c:v>211</c:v>
                </c:pt>
                <c:pt idx="211">
                  <c:v>212</c:v>
                </c:pt>
                <c:pt idx="212">
                  <c:v>213</c:v>
                </c:pt>
                <c:pt idx="213">
                  <c:v>214</c:v>
                </c:pt>
                <c:pt idx="214">
                  <c:v>215</c:v>
                </c:pt>
                <c:pt idx="215">
                  <c:v>216</c:v>
                </c:pt>
                <c:pt idx="216">
                  <c:v>217</c:v>
                </c:pt>
                <c:pt idx="217">
                  <c:v>218</c:v>
                </c:pt>
                <c:pt idx="218">
                  <c:v>219</c:v>
                </c:pt>
                <c:pt idx="219">
                  <c:v>220</c:v>
                </c:pt>
                <c:pt idx="220">
                  <c:v>221</c:v>
                </c:pt>
                <c:pt idx="221">
                  <c:v>222</c:v>
                </c:pt>
                <c:pt idx="222">
                  <c:v>223</c:v>
                </c:pt>
                <c:pt idx="223">
                  <c:v>224</c:v>
                </c:pt>
                <c:pt idx="224">
                  <c:v>225</c:v>
                </c:pt>
                <c:pt idx="225">
                  <c:v>226</c:v>
                </c:pt>
                <c:pt idx="226">
                  <c:v>227</c:v>
                </c:pt>
                <c:pt idx="227">
                  <c:v>228</c:v>
                </c:pt>
                <c:pt idx="228">
                  <c:v>229</c:v>
                </c:pt>
                <c:pt idx="229">
                  <c:v>230</c:v>
                </c:pt>
                <c:pt idx="230">
                  <c:v>231</c:v>
                </c:pt>
                <c:pt idx="231">
                  <c:v>232</c:v>
                </c:pt>
                <c:pt idx="232">
                  <c:v>233</c:v>
                </c:pt>
                <c:pt idx="233">
                  <c:v>234</c:v>
                </c:pt>
                <c:pt idx="234">
                  <c:v>235</c:v>
                </c:pt>
                <c:pt idx="235">
                  <c:v>236</c:v>
                </c:pt>
                <c:pt idx="236">
                  <c:v>237</c:v>
                </c:pt>
                <c:pt idx="237">
                  <c:v>238</c:v>
                </c:pt>
                <c:pt idx="238">
                  <c:v>239</c:v>
                </c:pt>
                <c:pt idx="239">
                  <c:v>240</c:v>
                </c:pt>
                <c:pt idx="240">
                  <c:v>241</c:v>
                </c:pt>
                <c:pt idx="241">
                  <c:v>242</c:v>
                </c:pt>
                <c:pt idx="242">
                  <c:v>243</c:v>
                </c:pt>
                <c:pt idx="243">
                  <c:v>244</c:v>
                </c:pt>
                <c:pt idx="244">
                  <c:v>245</c:v>
                </c:pt>
                <c:pt idx="245">
                  <c:v>246</c:v>
                </c:pt>
                <c:pt idx="246">
                  <c:v>247</c:v>
                </c:pt>
                <c:pt idx="247">
                  <c:v>248</c:v>
                </c:pt>
                <c:pt idx="248">
                  <c:v>249</c:v>
                </c:pt>
                <c:pt idx="249">
                  <c:v>250</c:v>
                </c:pt>
                <c:pt idx="250">
                  <c:v>251</c:v>
                </c:pt>
                <c:pt idx="251">
                  <c:v>252</c:v>
                </c:pt>
                <c:pt idx="252">
                  <c:v>253</c:v>
                </c:pt>
                <c:pt idx="253">
                  <c:v>254</c:v>
                </c:pt>
                <c:pt idx="254">
                  <c:v>255</c:v>
                </c:pt>
                <c:pt idx="255">
                  <c:v>256</c:v>
                </c:pt>
                <c:pt idx="256">
                  <c:v>257</c:v>
                </c:pt>
                <c:pt idx="257">
                  <c:v>258</c:v>
                </c:pt>
                <c:pt idx="258">
                  <c:v>259</c:v>
                </c:pt>
                <c:pt idx="259">
                  <c:v>260</c:v>
                </c:pt>
                <c:pt idx="260">
                  <c:v>261</c:v>
                </c:pt>
                <c:pt idx="261">
                  <c:v>262</c:v>
                </c:pt>
                <c:pt idx="262">
                  <c:v>263</c:v>
                </c:pt>
                <c:pt idx="263">
                  <c:v>264</c:v>
                </c:pt>
                <c:pt idx="264">
                  <c:v>265</c:v>
                </c:pt>
                <c:pt idx="265">
                  <c:v>266</c:v>
                </c:pt>
                <c:pt idx="266">
                  <c:v>267</c:v>
                </c:pt>
                <c:pt idx="267">
                  <c:v>268</c:v>
                </c:pt>
                <c:pt idx="268">
                  <c:v>269</c:v>
                </c:pt>
                <c:pt idx="269">
                  <c:v>270</c:v>
                </c:pt>
                <c:pt idx="270">
                  <c:v>271</c:v>
                </c:pt>
                <c:pt idx="271">
                  <c:v>272</c:v>
                </c:pt>
                <c:pt idx="272">
                  <c:v>273</c:v>
                </c:pt>
                <c:pt idx="273">
                  <c:v>274</c:v>
                </c:pt>
                <c:pt idx="274">
                  <c:v>275</c:v>
                </c:pt>
                <c:pt idx="275">
                  <c:v>276</c:v>
                </c:pt>
                <c:pt idx="276">
                  <c:v>277</c:v>
                </c:pt>
                <c:pt idx="277">
                  <c:v>278</c:v>
                </c:pt>
                <c:pt idx="278">
                  <c:v>279</c:v>
                </c:pt>
                <c:pt idx="279">
                  <c:v>280</c:v>
                </c:pt>
                <c:pt idx="280">
                  <c:v>281</c:v>
                </c:pt>
                <c:pt idx="281">
                  <c:v>282</c:v>
                </c:pt>
                <c:pt idx="282">
                  <c:v>283</c:v>
                </c:pt>
                <c:pt idx="283">
                  <c:v>284</c:v>
                </c:pt>
                <c:pt idx="284">
                  <c:v>285</c:v>
                </c:pt>
                <c:pt idx="285">
                  <c:v>286</c:v>
                </c:pt>
                <c:pt idx="286">
                  <c:v>287</c:v>
                </c:pt>
                <c:pt idx="287">
                  <c:v>288</c:v>
                </c:pt>
                <c:pt idx="288">
                  <c:v>289</c:v>
                </c:pt>
                <c:pt idx="289">
                  <c:v>290</c:v>
                </c:pt>
                <c:pt idx="290">
                  <c:v>291</c:v>
                </c:pt>
                <c:pt idx="291">
                  <c:v>292</c:v>
                </c:pt>
                <c:pt idx="292">
                  <c:v>293</c:v>
                </c:pt>
                <c:pt idx="293">
                  <c:v>294</c:v>
                </c:pt>
                <c:pt idx="294">
                  <c:v>295</c:v>
                </c:pt>
                <c:pt idx="295">
                  <c:v>296</c:v>
                </c:pt>
                <c:pt idx="296">
                  <c:v>297</c:v>
                </c:pt>
                <c:pt idx="297">
                  <c:v>298</c:v>
                </c:pt>
                <c:pt idx="298">
                  <c:v>299</c:v>
                </c:pt>
                <c:pt idx="299">
                  <c:v>300</c:v>
                </c:pt>
                <c:pt idx="300">
                  <c:v>301</c:v>
                </c:pt>
                <c:pt idx="301">
                  <c:v>302</c:v>
                </c:pt>
                <c:pt idx="302">
                  <c:v>303</c:v>
                </c:pt>
                <c:pt idx="303">
                  <c:v>304</c:v>
                </c:pt>
                <c:pt idx="304">
                  <c:v>305</c:v>
                </c:pt>
                <c:pt idx="305">
                  <c:v>306</c:v>
                </c:pt>
                <c:pt idx="306">
                  <c:v>307</c:v>
                </c:pt>
                <c:pt idx="307">
                  <c:v>308</c:v>
                </c:pt>
                <c:pt idx="308">
                  <c:v>309</c:v>
                </c:pt>
                <c:pt idx="309">
                  <c:v>310</c:v>
                </c:pt>
                <c:pt idx="310">
                  <c:v>311</c:v>
                </c:pt>
                <c:pt idx="311">
                  <c:v>312</c:v>
                </c:pt>
                <c:pt idx="312">
                  <c:v>313</c:v>
                </c:pt>
                <c:pt idx="313">
                  <c:v>314</c:v>
                </c:pt>
                <c:pt idx="314">
                  <c:v>315</c:v>
                </c:pt>
                <c:pt idx="315">
                  <c:v>316</c:v>
                </c:pt>
                <c:pt idx="316">
                  <c:v>317</c:v>
                </c:pt>
                <c:pt idx="317">
                  <c:v>318</c:v>
                </c:pt>
                <c:pt idx="318">
                  <c:v>319</c:v>
                </c:pt>
                <c:pt idx="319">
                  <c:v>320</c:v>
                </c:pt>
                <c:pt idx="320">
                  <c:v>321</c:v>
                </c:pt>
                <c:pt idx="321">
                  <c:v>322</c:v>
                </c:pt>
                <c:pt idx="322">
                  <c:v>323</c:v>
                </c:pt>
                <c:pt idx="323">
                  <c:v>324</c:v>
                </c:pt>
                <c:pt idx="324">
                  <c:v>325</c:v>
                </c:pt>
                <c:pt idx="325">
                  <c:v>326</c:v>
                </c:pt>
                <c:pt idx="326">
                  <c:v>327</c:v>
                </c:pt>
                <c:pt idx="327">
                  <c:v>328</c:v>
                </c:pt>
                <c:pt idx="328">
                  <c:v>329</c:v>
                </c:pt>
                <c:pt idx="329">
                  <c:v>330</c:v>
                </c:pt>
                <c:pt idx="330">
                  <c:v>331</c:v>
                </c:pt>
                <c:pt idx="331">
                  <c:v>332</c:v>
                </c:pt>
                <c:pt idx="332">
                  <c:v>333</c:v>
                </c:pt>
                <c:pt idx="333">
                  <c:v>334</c:v>
                </c:pt>
                <c:pt idx="334">
                  <c:v>335</c:v>
                </c:pt>
                <c:pt idx="335">
                  <c:v>336</c:v>
                </c:pt>
                <c:pt idx="336">
                  <c:v>337</c:v>
                </c:pt>
                <c:pt idx="337">
                  <c:v>338</c:v>
                </c:pt>
                <c:pt idx="338">
                  <c:v>339</c:v>
                </c:pt>
                <c:pt idx="339">
                  <c:v>340</c:v>
                </c:pt>
                <c:pt idx="340">
                  <c:v>341</c:v>
                </c:pt>
                <c:pt idx="341">
                  <c:v>342</c:v>
                </c:pt>
                <c:pt idx="342">
                  <c:v>343</c:v>
                </c:pt>
                <c:pt idx="343">
                  <c:v>344</c:v>
                </c:pt>
                <c:pt idx="344">
                  <c:v>345</c:v>
                </c:pt>
                <c:pt idx="345">
                  <c:v>346</c:v>
                </c:pt>
                <c:pt idx="346">
                  <c:v>347</c:v>
                </c:pt>
                <c:pt idx="347">
                  <c:v>348</c:v>
                </c:pt>
                <c:pt idx="348">
                  <c:v>349</c:v>
                </c:pt>
                <c:pt idx="349">
                  <c:v>350</c:v>
                </c:pt>
                <c:pt idx="350">
                  <c:v>351</c:v>
                </c:pt>
                <c:pt idx="351">
                  <c:v>352</c:v>
                </c:pt>
                <c:pt idx="352">
                  <c:v>353</c:v>
                </c:pt>
                <c:pt idx="353">
                  <c:v>354</c:v>
                </c:pt>
                <c:pt idx="354">
                  <c:v>355</c:v>
                </c:pt>
                <c:pt idx="355">
                  <c:v>356</c:v>
                </c:pt>
                <c:pt idx="356">
                  <c:v>357</c:v>
                </c:pt>
                <c:pt idx="357">
                  <c:v>358</c:v>
                </c:pt>
                <c:pt idx="358">
                  <c:v>359</c:v>
                </c:pt>
                <c:pt idx="359">
                  <c:v>360</c:v>
                </c:pt>
                <c:pt idx="360">
                  <c:v>361</c:v>
                </c:pt>
                <c:pt idx="361">
                  <c:v>362</c:v>
                </c:pt>
                <c:pt idx="362">
                  <c:v>363</c:v>
                </c:pt>
                <c:pt idx="363">
                  <c:v>364</c:v>
                </c:pt>
                <c:pt idx="364">
                  <c:v>365</c:v>
                </c:pt>
                <c:pt idx="365">
                  <c:v>366</c:v>
                </c:pt>
                <c:pt idx="366">
                  <c:v>367</c:v>
                </c:pt>
                <c:pt idx="367">
                  <c:v>368</c:v>
                </c:pt>
                <c:pt idx="368">
                  <c:v>369</c:v>
                </c:pt>
                <c:pt idx="369">
                  <c:v>370</c:v>
                </c:pt>
                <c:pt idx="370">
                  <c:v>371</c:v>
                </c:pt>
                <c:pt idx="371">
                  <c:v>372</c:v>
                </c:pt>
                <c:pt idx="372">
                  <c:v>373</c:v>
                </c:pt>
                <c:pt idx="373">
                  <c:v>374</c:v>
                </c:pt>
                <c:pt idx="374">
                  <c:v>375</c:v>
                </c:pt>
                <c:pt idx="375">
                  <c:v>376</c:v>
                </c:pt>
                <c:pt idx="376">
                  <c:v>377</c:v>
                </c:pt>
                <c:pt idx="377">
                  <c:v>378</c:v>
                </c:pt>
                <c:pt idx="378">
                  <c:v>379</c:v>
                </c:pt>
                <c:pt idx="379">
                  <c:v>380</c:v>
                </c:pt>
                <c:pt idx="380">
                  <c:v>381</c:v>
                </c:pt>
                <c:pt idx="381">
                  <c:v>382</c:v>
                </c:pt>
                <c:pt idx="382">
                  <c:v>383</c:v>
                </c:pt>
                <c:pt idx="383">
                  <c:v>384</c:v>
                </c:pt>
                <c:pt idx="384">
                  <c:v>385</c:v>
                </c:pt>
                <c:pt idx="385">
                  <c:v>386</c:v>
                </c:pt>
                <c:pt idx="386">
                  <c:v>387</c:v>
                </c:pt>
                <c:pt idx="387">
                  <c:v>388</c:v>
                </c:pt>
                <c:pt idx="388">
                  <c:v>389</c:v>
                </c:pt>
                <c:pt idx="389">
                  <c:v>390</c:v>
                </c:pt>
                <c:pt idx="390">
                  <c:v>391</c:v>
                </c:pt>
                <c:pt idx="391">
                  <c:v>392</c:v>
                </c:pt>
                <c:pt idx="392">
                  <c:v>393</c:v>
                </c:pt>
                <c:pt idx="393">
                  <c:v>394</c:v>
                </c:pt>
                <c:pt idx="394">
                  <c:v>395</c:v>
                </c:pt>
                <c:pt idx="395">
                  <c:v>396</c:v>
                </c:pt>
                <c:pt idx="396">
                  <c:v>397</c:v>
                </c:pt>
                <c:pt idx="397">
                  <c:v>398</c:v>
                </c:pt>
                <c:pt idx="398">
                  <c:v>399</c:v>
                </c:pt>
                <c:pt idx="399">
                  <c:v>400</c:v>
                </c:pt>
                <c:pt idx="400">
                  <c:v>401</c:v>
                </c:pt>
                <c:pt idx="401">
                  <c:v>402</c:v>
                </c:pt>
                <c:pt idx="402">
                  <c:v>403</c:v>
                </c:pt>
                <c:pt idx="403">
                  <c:v>404</c:v>
                </c:pt>
                <c:pt idx="404">
                  <c:v>405</c:v>
                </c:pt>
                <c:pt idx="405">
                  <c:v>406</c:v>
                </c:pt>
                <c:pt idx="406">
                  <c:v>407</c:v>
                </c:pt>
                <c:pt idx="407">
                  <c:v>408</c:v>
                </c:pt>
                <c:pt idx="408">
                  <c:v>409</c:v>
                </c:pt>
                <c:pt idx="409">
                  <c:v>410</c:v>
                </c:pt>
                <c:pt idx="410">
                  <c:v>411</c:v>
                </c:pt>
                <c:pt idx="411">
                  <c:v>412</c:v>
                </c:pt>
                <c:pt idx="412">
                  <c:v>413</c:v>
                </c:pt>
                <c:pt idx="413">
                  <c:v>414</c:v>
                </c:pt>
                <c:pt idx="414">
                  <c:v>415</c:v>
                </c:pt>
                <c:pt idx="415">
                  <c:v>416</c:v>
                </c:pt>
                <c:pt idx="416">
                  <c:v>417</c:v>
                </c:pt>
                <c:pt idx="417">
                  <c:v>418</c:v>
                </c:pt>
                <c:pt idx="418">
                  <c:v>419</c:v>
                </c:pt>
                <c:pt idx="419">
                  <c:v>420</c:v>
                </c:pt>
                <c:pt idx="420">
                  <c:v>421</c:v>
                </c:pt>
                <c:pt idx="421">
                  <c:v>422</c:v>
                </c:pt>
                <c:pt idx="422">
                  <c:v>423</c:v>
                </c:pt>
                <c:pt idx="423">
                  <c:v>424</c:v>
                </c:pt>
                <c:pt idx="424">
                  <c:v>425</c:v>
                </c:pt>
                <c:pt idx="425">
                  <c:v>426</c:v>
                </c:pt>
                <c:pt idx="426">
                  <c:v>427</c:v>
                </c:pt>
                <c:pt idx="427">
                  <c:v>428</c:v>
                </c:pt>
                <c:pt idx="428">
                  <c:v>429</c:v>
                </c:pt>
                <c:pt idx="429">
                  <c:v>430</c:v>
                </c:pt>
                <c:pt idx="430">
                  <c:v>431</c:v>
                </c:pt>
                <c:pt idx="431">
                  <c:v>432</c:v>
                </c:pt>
                <c:pt idx="432">
                  <c:v>433</c:v>
                </c:pt>
                <c:pt idx="433">
                  <c:v>434</c:v>
                </c:pt>
                <c:pt idx="434">
                  <c:v>435</c:v>
                </c:pt>
                <c:pt idx="435">
                  <c:v>436</c:v>
                </c:pt>
                <c:pt idx="436">
                  <c:v>437</c:v>
                </c:pt>
                <c:pt idx="437">
                  <c:v>438</c:v>
                </c:pt>
                <c:pt idx="438">
                  <c:v>439</c:v>
                </c:pt>
                <c:pt idx="439">
                  <c:v>440</c:v>
                </c:pt>
                <c:pt idx="440">
                  <c:v>441</c:v>
                </c:pt>
                <c:pt idx="441">
                  <c:v>442</c:v>
                </c:pt>
                <c:pt idx="442">
                  <c:v>443</c:v>
                </c:pt>
                <c:pt idx="443">
                  <c:v>444</c:v>
                </c:pt>
                <c:pt idx="444">
                  <c:v>445</c:v>
                </c:pt>
                <c:pt idx="445">
                  <c:v>446</c:v>
                </c:pt>
                <c:pt idx="446">
                  <c:v>447</c:v>
                </c:pt>
                <c:pt idx="447">
                  <c:v>448</c:v>
                </c:pt>
                <c:pt idx="448">
                  <c:v>449</c:v>
                </c:pt>
                <c:pt idx="449">
                  <c:v>450</c:v>
                </c:pt>
                <c:pt idx="450">
                  <c:v>451</c:v>
                </c:pt>
                <c:pt idx="451">
                  <c:v>452</c:v>
                </c:pt>
                <c:pt idx="452">
                  <c:v>453</c:v>
                </c:pt>
                <c:pt idx="453">
                  <c:v>454</c:v>
                </c:pt>
                <c:pt idx="454">
                  <c:v>455</c:v>
                </c:pt>
                <c:pt idx="455">
                  <c:v>456</c:v>
                </c:pt>
                <c:pt idx="456">
                  <c:v>457</c:v>
                </c:pt>
                <c:pt idx="457">
                  <c:v>458</c:v>
                </c:pt>
                <c:pt idx="458">
                  <c:v>459</c:v>
                </c:pt>
                <c:pt idx="459">
                  <c:v>460</c:v>
                </c:pt>
                <c:pt idx="460">
                  <c:v>461</c:v>
                </c:pt>
                <c:pt idx="461">
                  <c:v>462</c:v>
                </c:pt>
                <c:pt idx="462">
                  <c:v>463</c:v>
                </c:pt>
                <c:pt idx="463">
                  <c:v>464</c:v>
                </c:pt>
                <c:pt idx="464">
                  <c:v>465</c:v>
                </c:pt>
                <c:pt idx="465">
                  <c:v>466</c:v>
                </c:pt>
                <c:pt idx="466">
                  <c:v>467</c:v>
                </c:pt>
                <c:pt idx="467">
                  <c:v>468</c:v>
                </c:pt>
                <c:pt idx="468">
                  <c:v>469</c:v>
                </c:pt>
                <c:pt idx="469">
                  <c:v>470</c:v>
                </c:pt>
                <c:pt idx="470">
                  <c:v>471</c:v>
                </c:pt>
                <c:pt idx="471">
                  <c:v>472</c:v>
                </c:pt>
                <c:pt idx="472">
                  <c:v>473</c:v>
                </c:pt>
                <c:pt idx="473">
                  <c:v>474</c:v>
                </c:pt>
                <c:pt idx="474">
                  <c:v>475</c:v>
                </c:pt>
                <c:pt idx="475">
                  <c:v>476</c:v>
                </c:pt>
                <c:pt idx="476">
                  <c:v>477</c:v>
                </c:pt>
                <c:pt idx="477">
                  <c:v>478</c:v>
                </c:pt>
                <c:pt idx="478">
                  <c:v>479</c:v>
                </c:pt>
                <c:pt idx="479">
                  <c:v>480</c:v>
                </c:pt>
                <c:pt idx="480">
                  <c:v>481</c:v>
                </c:pt>
                <c:pt idx="481">
                  <c:v>482</c:v>
                </c:pt>
                <c:pt idx="482">
                  <c:v>483</c:v>
                </c:pt>
                <c:pt idx="483">
                  <c:v>484</c:v>
                </c:pt>
                <c:pt idx="484">
                  <c:v>485</c:v>
                </c:pt>
                <c:pt idx="485">
                  <c:v>486</c:v>
                </c:pt>
                <c:pt idx="486">
                  <c:v>487</c:v>
                </c:pt>
                <c:pt idx="487">
                  <c:v>488</c:v>
                </c:pt>
                <c:pt idx="488">
                  <c:v>489</c:v>
                </c:pt>
                <c:pt idx="489">
                  <c:v>490</c:v>
                </c:pt>
                <c:pt idx="490">
                  <c:v>491</c:v>
                </c:pt>
                <c:pt idx="491">
                  <c:v>492</c:v>
                </c:pt>
                <c:pt idx="492">
                  <c:v>493</c:v>
                </c:pt>
                <c:pt idx="493">
                  <c:v>494</c:v>
                </c:pt>
                <c:pt idx="494">
                  <c:v>495</c:v>
                </c:pt>
                <c:pt idx="495">
                  <c:v>496</c:v>
                </c:pt>
                <c:pt idx="496">
                  <c:v>497</c:v>
                </c:pt>
                <c:pt idx="497">
                  <c:v>498</c:v>
                </c:pt>
                <c:pt idx="498">
                  <c:v>499</c:v>
                </c:pt>
                <c:pt idx="499">
                  <c:v>500</c:v>
                </c:pt>
                <c:pt idx="500">
                  <c:v>501</c:v>
                </c:pt>
                <c:pt idx="501">
                  <c:v>502</c:v>
                </c:pt>
                <c:pt idx="502">
                  <c:v>503</c:v>
                </c:pt>
                <c:pt idx="503">
                  <c:v>504</c:v>
                </c:pt>
                <c:pt idx="504">
                  <c:v>505</c:v>
                </c:pt>
                <c:pt idx="505">
                  <c:v>506</c:v>
                </c:pt>
                <c:pt idx="506">
                  <c:v>507</c:v>
                </c:pt>
                <c:pt idx="507">
                  <c:v>508</c:v>
                </c:pt>
                <c:pt idx="508">
                  <c:v>509</c:v>
                </c:pt>
                <c:pt idx="509">
                  <c:v>510</c:v>
                </c:pt>
                <c:pt idx="510">
                  <c:v>511</c:v>
                </c:pt>
                <c:pt idx="511">
                  <c:v>512</c:v>
                </c:pt>
                <c:pt idx="512">
                  <c:v>513</c:v>
                </c:pt>
                <c:pt idx="513">
                  <c:v>514</c:v>
                </c:pt>
                <c:pt idx="514">
                  <c:v>515</c:v>
                </c:pt>
                <c:pt idx="515">
                  <c:v>516</c:v>
                </c:pt>
                <c:pt idx="516">
                  <c:v>517</c:v>
                </c:pt>
                <c:pt idx="517">
                  <c:v>518</c:v>
                </c:pt>
                <c:pt idx="518">
                  <c:v>519</c:v>
                </c:pt>
                <c:pt idx="519">
                  <c:v>520</c:v>
                </c:pt>
                <c:pt idx="520">
                  <c:v>521</c:v>
                </c:pt>
                <c:pt idx="521">
                  <c:v>522</c:v>
                </c:pt>
                <c:pt idx="522">
                  <c:v>523</c:v>
                </c:pt>
                <c:pt idx="523">
                  <c:v>524</c:v>
                </c:pt>
                <c:pt idx="524">
                  <c:v>525</c:v>
                </c:pt>
                <c:pt idx="525">
                  <c:v>526</c:v>
                </c:pt>
                <c:pt idx="526">
                  <c:v>527</c:v>
                </c:pt>
                <c:pt idx="527">
                  <c:v>528</c:v>
                </c:pt>
                <c:pt idx="528">
                  <c:v>529</c:v>
                </c:pt>
                <c:pt idx="529">
                  <c:v>530</c:v>
                </c:pt>
                <c:pt idx="530">
                  <c:v>531</c:v>
                </c:pt>
                <c:pt idx="531">
                  <c:v>532</c:v>
                </c:pt>
                <c:pt idx="532">
                  <c:v>533</c:v>
                </c:pt>
                <c:pt idx="533">
                  <c:v>534</c:v>
                </c:pt>
                <c:pt idx="534">
                  <c:v>535</c:v>
                </c:pt>
                <c:pt idx="535">
                  <c:v>536</c:v>
                </c:pt>
                <c:pt idx="536">
                  <c:v>537</c:v>
                </c:pt>
                <c:pt idx="537">
                  <c:v>538</c:v>
                </c:pt>
                <c:pt idx="538">
                  <c:v>539</c:v>
                </c:pt>
                <c:pt idx="539">
                  <c:v>540</c:v>
                </c:pt>
                <c:pt idx="540">
                  <c:v>541</c:v>
                </c:pt>
                <c:pt idx="541">
                  <c:v>542</c:v>
                </c:pt>
                <c:pt idx="542">
                  <c:v>543</c:v>
                </c:pt>
                <c:pt idx="543">
                  <c:v>544</c:v>
                </c:pt>
                <c:pt idx="544">
                  <c:v>545</c:v>
                </c:pt>
                <c:pt idx="545">
                  <c:v>546</c:v>
                </c:pt>
                <c:pt idx="546">
                  <c:v>547</c:v>
                </c:pt>
                <c:pt idx="547">
                  <c:v>548</c:v>
                </c:pt>
                <c:pt idx="548">
                  <c:v>549</c:v>
                </c:pt>
                <c:pt idx="549">
                  <c:v>550</c:v>
                </c:pt>
                <c:pt idx="550">
                  <c:v>551</c:v>
                </c:pt>
                <c:pt idx="551">
                  <c:v>552</c:v>
                </c:pt>
                <c:pt idx="552">
                  <c:v>553</c:v>
                </c:pt>
                <c:pt idx="553">
                  <c:v>554</c:v>
                </c:pt>
                <c:pt idx="554">
                  <c:v>555</c:v>
                </c:pt>
                <c:pt idx="555">
                  <c:v>556</c:v>
                </c:pt>
                <c:pt idx="556">
                  <c:v>557</c:v>
                </c:pt>
                <c:pt idx="557">
                  <c:v>558</c:v>
                </c:pt>
                <c:pt idx="558">
                  <c:v>559</c:v>
                </c:pt>
                <c:pt idx="559">
                  <c:v>560</c:v>
                </c:pt>
                <c:pt idx="560">
                  <c:v>561</c:v>
                </c:pt>
                <c:pt idx="561">
                  <c:v>562</c:v>
                </c:pt>
                <c:pt idx="562">
                  <c:v>563</c:v>
                </c:pt>
                <c:pt idx="563">
                  <c:v>564</c:v>
                </c:pt>
                <c:pt idx="564">
                  <c:v>565</c:v>
                </c:pt>
                <c:pt idx="565">
                  <c:v>566</c:v>
                </c:pt>
                <c:pt idx="566">
                  <c:v>567</c:v>
                </c:pt>
                <c:pt idx="567">
                  <c:v>568</c:v>
                </c:pt>
                <c:pt idx="568">
                  <c:v>569</c:v>
                </c:pt>
                <c:pt idx="569">
                  <c:v>570</c:v>
                </c:pt>
                <c:pt idx="570">
                  <c:v>571</c:v>
                </c:pt>
                <c:pt idx="571">
                  <c:v>572</c:v>
                </c:pt>
                <c:pt idx="572">
                  <c:v>573</c:v>
                </c:pt>
                <c:pt idx="573">
                  <c:v>574</c:v>
                </c:pt>
                <c:pt idx="574">
                  <c:v>575</c:v>
                </c:pt>
                <c:pt idx="575">
                  <c:v>576</c:v>
                </c:pt>
                <c:pt idx="576">
                  <c:v>577</c:v>
                </c:pt>
                <c:pt idx="577">
                  <c:v>578</c:v>
                </c:pt>
                <c:pt idx="578">
                  <c:v>579</c:v>
                </c:pt>
                <c:pt idx="579">
                  <c:v>580</c:v>
                </c:pt>
                <c:pt idx="580">
                  <c:v>581</c:v>
                </c:pt>
                <c:pt idx="581">
                  <c:v>582</c:v>
                </c:pt>
                <c:pt idx="582">
                  <c:v>583</c:v>
                </c:pt>
                <c:pt idx="583">
                  <c:v>584</c:v>
                </c:pt>
                <c:pt idx="584">
                  <c:v>585</c:v>
                </c:pt>
                <c:pt idx="585">
                  <c:v>586</c:v>
                </c:pt>
                <c:pt idx="586">
                  <c:v>587</c:v>
                </c:pt>
                <c:pt idx="587">
                  <c:v>588</c:v>
                </c:pt>
                <c:pt idx="588">
                  <c:v>589</c:v>
                </c:pt>
                <c:pt idx="589">
                  <c:v>590</c:v>
                </c:pt>
                <c:pt idx="590">
                  <c:v>591</c:v>
                </c:pt>
                <c:pt idx="591">
                  <c:v>592</c:v>
                </c:pt>
                <c:pt idx="592">
                  <c:v>593</c:v>
                </c:pt>
                <c:pt idx="593">
                  <c:v>594</c:v>
                </c:pt>
                <c:pt idx="594">
                  <c:v>595</c:v>
                </c:pt>
                <c:pt idx="595">
                  <c:v>596</c:v>
                </c:pt>
                <c:pt idx="596">
                  <c:v>597</c:v>
                </c:pt>
                <c:pt idx="597">
                  <c:v>598</c:v>
                </c:pt>
                <c:pt idx="598">
                  <c:v>599</c:v>
                </c:pt>
                <c:pt idx="599">
                  <c:v>600</c:v>
                </c:pt>
                <c:pt idx="600">
                  <c:v>601</c:v>
                </c:pt>
                <c:pt idx="601">
                  <c:v>602</c:v>
                </c:pt>
                <c:pt idx="602">
                  <c:v>603</c:v>
                </c:pt>
                <c:pt idx="603">
                  <c:v>604</c:v>
                </c:pt>
                <c:pt idx="604">
                  <c:v>605</c:v>
                </c:pt>
                <c:pt idx="605">
                  <c:v>606</c:v>
                </c:pt>
                <c:pt idx="606">
                  <c:v>607</c:v>
                </c:pt>
                <c:pt idx="607">
                  <c:v>608</c:v>
                </c:pt>
                <c:pt idx="608">
                  <c:v>609</c:v>
                </c:pt>
                <c:pt idx="609">
                  <c:v>610</c:v>
                </c:pt>
                <c:pt idx="610">
                  <c:v>611</c:v>
                </c:pt>
                <c:pt idx="611">
                  <c:v>612</c:v>
                </c:pt>
                <c:pt idx="612">
                  <c:v>613</c:v>
                </c:pt>
                <c:pt idx="613">
                  <c:v>614</c:v>
                </c:pt>
                <c:pt idx="614">
                  <c:v>615</c:v>
                </c:pt>
                <c:pt idx="615">
                  <c:v>616</c:v>
                </c:pt>
                <c:pt idx="616">
                  <c:v>617</c:v>
                </c:pt>
                <c:pt idx="617">
                  <c:v>618</c:v>
                </c:pt>
                <c:pt idx="618">
                  <c:v>619</c:v>
                </c:pt>
                <c:pt idx="619">
                  <c:v>620</c:v>
                </c:pt>
                <c:pt idx="620">
                  <c:v>621</c:v>
                </c:pt>
                <c:pt idx="621">
                  <c:v>622</c:v>
                </c:pt>
                <c:pt idx="622">
                  <c:v>623</c:v>
                </c:pt>
                <c:pt idx="623">
                  <c:v>624</c:v>
                </c:pt>
                <c:pt idx="624">
                  <c:v>625</c:v>
                </c:pt>
                <c:pt idx="625">
                  <c:v>626</c:v>
                </c:pt>
                <c:pt idx="626">
                  <c:v>627</c:v>
                </c:pt>
                <c:pt idx="627">
                  <c:v>628</c:v>
                </c:pt>
                <c:pt idx="628">
                  <c:v>629</c:v>
                </c:pt>
                <c:pt idx="629">
                  <c:v>630</c:v>
                </c:pt>
                <c:pt idx="630">
                  <c:v>631</c:v>
                </c:pt>
                <c:pt idx="631">
                  <c:v>632</c:v>
                </c:pt>
                <c:pt idx="632">
                  <c:v>633</c:v>
                </c:pt>
                <c:pt idx="633">
                  <c:v>634</c:v>
                </c:pt>
                <c:pt idx="634">
                  <c:v>635</c:v>
                </c:pt>
                <c:pt idx="635">
                  <c:v>636</c:v>
                </c:pt>
                <c:pt idx="636">
                  <c:v>637</c:v>
                </c:pt>
                <c:pt idx="637">
                  <c:v>638</c:v>
                </c:pt>
                <c:pt idx="638">
                  <c:v>639</c:v>
                </c:pt>
                <c:pt idx="639">
                  <c:v>640</c:v>
                </c:pt>
                <c:pt idx="640">
                  <c:v>641</c:v>
                </c:pt>
                <c:pt idx="641">
                  <c:v>642</c:v>
                </c:pt>
                <c:pt idx="642">
                  <c:v>643</c:v>
                </c:pt>
                <c:pt idx="643">
                  <c:v>644</c:v>
                </c:pt>
                <c:pt idx="644">
                  <c:v>645</c:v>
                </c:pt>
                <c:pt idx="645">
                  <c:v>646</c:v>
                </c:pt>
                <c:pt idx="646">
                  <c:v>647</c:v>
                </c:pt>
                <c:pt idx="647">
                  <c:v>648</c:v>
                </c:pt>
                <c:pt idx="648">
                  <c:v>649</c:v>
                </c:pt>
                <c:pt idx="649">
                  <c:v>650</c:v>
                </c:pt>
                <c:pt idx="650">
                  <c:v>651</c:v>
                </c:pt>
                <c:pt idx="651">
                  <c:v>652</c:v>
                </c:pt>
                <c:pt idx="652">
                  <c:v>653</c:v>
                </c:pt>
                <c:pt idx="653">
                  <c:v>654</c:v>
                </c:pt>
                <c:pt idx="654">
                  <c:v>655</c:v>
                </c:pt>
                <c:pt idx="655">
                  <c:v>656</c:v>
                </c:pt>
                <c:pt idx="656">
                  <c:v>657</c:v>
                </c:pt>
                <c:pt idx="657">
                  <c:v>658</c:v>
                </c:pt>
                <c:pt idx="658">
                  <c:v>659</c:v>
                </c:pt>
                <c:pt idx="659">
                  <c:v>660</c:v>
                </c:pt>
                <c:pt idx="660">
                  <c:v>661</c:v>
                </c:pt>
                <c:pt idx="661">
                  <c:v>662</c:v>
                </c:pt>
                <c:pt idx="662">
                  <c:v>663</c:v>
                </c:pt>
                <c:pt idx="663">
                  <c:v>664</c:v>
                </c:pt>
                <c:pt idx="664">
                  <c:v>665</c:v>
                </c:pt>
                <c:pt idx="665">
                  <c:v>666</c:v>
                </c:pt>
                <c:pt idx="666">
                  <c:v>667</c:v>
                </c:pt>
                <c:pt idx="667">
                  <c:v>668</c:v>
                </c:pt>
                <c:pt idx="668">
                  <c:v>669</c:v>
                </c:pt>
                <c:pt idx="669">
                  <c:v>670</c:v>
                </c:pt>
                <c:pt idx="670">
                  <c:v>671</c:v>
                </c:pt>
                <c:pt idx="671">
                  <c:v>672</c:v>
                </c:pt>
                <c:pt idx="672">
                  <c:v>673</c:v>
                </c:pt>
                <c:pt idx="673">
                  <c:v>674</c:v>
                </c:pt>
                <c:pt idx="674">
                  <c:v>675</c:v>
                </c:pt>
                <c:pt idx="675">
                  <c:v>676</c:v>
                </c:pt>
                <c:pt idx="676">
                  <c:v>677</c:v>
                </c:pt>
                <c:pt idx="677">
                  <c:v>678</c:v>
                </c:pt>
                <c:pt idx="678">
                  <c:v>679</c:v>
                </c:pt>
                <c:pt idx="679">
                  <c:v>680</c:v>
                </c:pt>
                <c:pt idx="680">
                  <c:v>681</c:v>
                </c:pt>
                <c:pt idx="681">
                  <c:v>682</c:v>
                </c:pt>
                <c:pt idx="682">
                  <c:v>683</c:v>
                </c:pt>
                <c:pt idx="683">
                  <c:v>684</c:v>
                </c:pt>
                <c:pt idx="684">
                  <c:v>685</c:v>
                </c:pt>
                <c:pt idx="685">
                  <c:v>686</c:v>
                </c:pt>
                <c:pt idx="686">
                  <c:v>687</c:v>
                </c:pt>
                <c:pt idx="687">
                  <c:v>688</c:v>
                </c:pt>
                <c:pt idx="688">
                  <c:v>689</c:v>
                </c:pt>
                <c:pt idx="689">
                  <c:v>690</c:v>
                </c:pt>
                <c:pt idx="690">
                  <c:v>691</c:v>
                </c:pt>
                <c:pt idx="691">
                  <c:v>692</c:v>
                </c:pt>
                <c:pt idx="692">
                  <c:v>693</c:v>
                </c:pt>
                <c:pt idx="693">
                  <c:v>694</c:v>
                </c:pt>
                <c:pt idx="694">
                  <c:v>695</c:v>
                </c:pt>
                <c:pt idx="695">
                  <c:v>696</c:v>
                </c:pt>
                <c:pt idx="696">
                  <c:v>697</c:v>
                </c:pt>
                <c:pt idx="697">
                  <c:v>698</c:v>
                </c:pt>
                <c:pt idx="698">
                  <c:v>699</c:v>
                </c:pt>
                <c:pt idx="699">
                  <c:v>700</c:v>
                </c:pt>
                <c:pt idx="700">
                  <c:v>701</c:v>
                </c:pt>
                <c:pt idx="701">
                  <c:v>702</c:v>
                </c:pt>
                <c:pt idx="702">
                  <c:v>703</c:v>
                </c:pt>
                <c:pt idx="703">
                  <c:v>704</c:v>
                </c:pt>
                <c:pt idx="704">
                  <c:v>705</c:v>
                </c:pt>
                <c:pt idx="705">
                  <c:v>706</c:v>
                </c:pt>
                <c:pt idx="706">
                  <c:v>707</c:v>
                </c:pt>
                <c:pt idx="707">
                  <c:v>708</c:v>
                </c:pt>
                <c:pt idx="708">
                  <c:v>709</c:v>
                </c:pt>
                <c:pt idx="709">
                  <c:v>710</c:v>
                </c:pt>
                <c:pt idx="710">
                  <c:v>711</c:v>
                </c:pt>
                <c:pt idx="711">
                  <c:v>712</c:v>
                </c:pt>
                <c:pt idx="712">
                  <c:v>713</c:v>
                </c:pt>
                <c:pt idx="713">
                  <c:v>714</c:v>
                </c:pt>
                <c:pt idx="714">
                  <c:v>715</c:v>
                </c:pt>
                <c:pt idx="715">
                  <c:v>716</c:v>
                </c:pt>
                <c:pt idx="716">
                  <c:v>717</c:v>
                </c:pt>
                <c:pt idx="717">
                  <c:v>718</c:v>
                </c:pt>
                <c:pt idx="718">
                  <c:v>719</c:v>
                </c:pt>
                <c:pt idx="719">
                  <c:v>720</c:v>
                </c:pt>
                <c:pt idx="720">
                  <c:v>721</c:v>
                </c:pt>
                <c:pt idx="721">
                  <c:v>722</c:v>
                </c:pt>
                <c:pt idx="722">
                  <c:v>723</c:v>
                </c:pt>
                <c:pt idx="723">
                  <c:v>724</c:v>
                </c:pt>
                <c:pt idx="724">
                  <c:v>725</c:v>
                </c:pt>
                <c:pt idx="725">
                  <c:v>726</c:v>
                </c:pt>
                <c:pt idx="726">
                  <c:v>727</c:v>
                </c:pt>
                <c:pt idx="727">
                  <c:v>728</c:v>
                </c:pt>
                <c:pt idx="728">
                  <c:v>729</c:v>
                </c:pt>
                <c:pt idx="729">
                  <c:v>730</c:v>
                </c:pt>
                <c:pt idx="730">
                  <c:v>731</c:v>
                </c:pt>
                <c:pt idx="731">
                  <c:v>732</c:v>
                </c:pt>
                <c:pt idx="732">
                  <c:v>733</c:v>
                </c:pt>
                <c:pt idx="733">
                  <c:v>734</c:v>
                </c:pt>
                <c:pt idx="734">
                  <c:v>735</c:v>
                </c:pt>
                <c:pt idx="735">
                  <c:v>736</c:v>
                </c:pt>
                <c:pt idx="736">
                  <c:v>737</c:v>
                </c:pt>
                <c:pt idx="737">
                  <c:v>738</c:v>
                </c:pt>
                <c:pt idx="738">
                  <c:v>739</c:v>
                </c:pt>
                <c:pt idx="739">
                  <c:v>740</c:v>
                </c:pt>
                <c:pt idx="740">
                  <c:v>741</c:v>
                </c:pt>
                <c:pt idx="741">
                  <c:v>742</c:v>
                </c:pt>
                <c:pt idx="742">
                  <c:v>743</c:v>
                </c:pt>
                <c:pt idx="743">
                  <c:v>744</c:v>
                </c:pt>
                <c:pt idx="744">
                  <c:v>745</c:v>
                </c:pt>
                <c:pt idx="745">
                  <c:v>746</c:v>
                </c:pt>
                <c:pt idx="746">
                  <c:v>747</c:v>
                </c:pt>
                <c:pt idx="747">
                  <c:v>748</c:v>
                </c:pt>
                <c:pt idx="748">
                  <c:v>749</c:v>
                </c:pt>
                <c:pt idx="749">
                  <c:v>750</c:v>
                </c:pt>
                <c:pt idx="750">
                  <c:v>751</c:v>
                </c:pt>
                <c:pt idx="751">
                  <c:v>752</c:v>
                </c:pt>
                <c:pt idx="752">
                  <c:v>753</c:v>
                </c:pt>
                <c:pt idx="753">
                  <c:v>754</c:v>
                </c:pt>
                <c:pt idx="754">
                  <c:v>755</c:v>
                </c:pt>
                <c:pt idx="755">
                  <c:v>756</c:v>
                </c:pt>
                <c:pt idx="756">
                  <c:v>757</c:v>
                </c:pt>
                <c:pt idx="757">
                  <c:v>758</c:v>
                </c:pt>
                <c:pt idx="758">
                  <c:v>759</c:v>
                </c:pt>
                <c:pt idx="759">
                  <c:v>760</c:v>
                </c:pt>
                <c:pt idx="760">
                  <c:v>761</c:v>
                </c:pt>
                <c:pt idx="761">
                  <c:v>762</c:v>
                </c:pt>
                <c:pt idx="762">
                  <c:v>763</c:v>
                </c:pt>
                <c:pt idx="763">
                  <c:v>764</c:v>
                </c:pt>
                <c:pt idx="764">
                  <c:v>765</c:v>
                </c:pt>
                <c:pt idx="765">
                  <c:v>766</c:v>
                </c:pt>
                <c:pt idx="766">
                  <c:v>767</c:v>
                </c:pt>
                <c:pt idx="767">
                  <c:v>768</c:v>
                </c:pt>
                <c:pt idx="768">
                  <c:v>769</c:v>
                </c:pt>
                <c:pt idx="769">
                  <c:v>770</c:v>
                </c:pt>
                <c:pt idx="770">
                  <c:v>771</c:v>
                </c:pt>
                <c:pt idx="771">
                  <c:v>772</c:v>
                </c:pt>
                <c:pt idx="772">
                  <c:v>773</c:v>
                </c:pt>
                <c:pt idx="773">
                  <c:v>774</c:v>
                </c:pt>
                <c:pt idx="774">
                  <c:v>775</c:v>
                </c:pt>
                <c:pt idx="775">
                  <c:v>776</c:v>
                </c:pt>
                <c:pt idx="776">
                  <c:v>777</c:v>
                </c:pt>
                <c:pt idx="777">
                  <c:v>778</c:v>
                </c:pt>
                <c:pt idx="778">
                  <c:v>779</c:v>
                </c:pt>
                <c:pt idx="779">
                  <c:v>780</c:v>
                </c:pt>
                <c:pt idx="780">
                  <c:v>781</c:v>
                </c:pt>
                <c:pt idx="781">
                  <c:v>782</c:v>
                </c:pt>
                <c:pt idx="782">
                  <c:v>783</c:v>
                </c:pt>
                <c:pt idx="783">
                  <c:v>784</c:v>
                </c:pt>
                <c:pt idx="784">
                  <c:v>785</c:v>
                </c:pt>
                <c:pt idx="785">
                  <c:v>786</c:v>
                </c:pt>
                <c:pt idx="786">
                  <c:v>787</c:v>
                </c:pt>
                <c:pt idx="787">
                  <c:v>788</c:v>
                </c:pt>
                <c:pt idx="788">
                  <c:v>789</c:v>
                </c:pt>
                <c:pt idx="789">
                  <c:v>790</c:v>
                </c:pt>
                <c:pt idx="790">
                  <c:v>791</c:v>
                </c:pt>
                <c:pt idx="791">
                  <c:v>792</c:v>
                </c:pt>
                <c:pt idx="792">
                  <c:v>793</c:v>
                </c:pt>
                <c:pt idx="793">
                  <c:v>794</c:v>
                </c:pt>
                <c:pt idx="794">
                  <c:v>795</c:v>
                </c:pt>
                <c:pt idx="795">
                  <c:v>796</c:v>
                </c:pt>
                <c:pt idx="796">
                  <c:v>797</c:v>
                </c:pt>
                <c:pt idx="797">
                  <c:v>798</c:v>
                </c:pt>
                <c:pt idx="798">
                  <c:v>799</c:v>
                </c:pt>
                <c:pt idx="799">
                  <c:v>800</c:v>
                </c:pt>
                <c:pt idx="800">
                  <c:v>801</c:v>
                </c:pt>
                <c:pt idx="801">
                  <c:v>802</c:v>
                </c:pt>
                <c:pt idx="802">
                  <c:v>803</c:v>
                </c:pt>
                <c:pt idx="803">
                  <c:v>804</c:v>
                </c:pt>
                <c:pt idx="804">
                  <c:v>805</c:v>
                </c:pt>
                <c:pt idx="805">
                  <c:v>806</c:v>
                </c:pt>
                <c:pt idx="806">
                  <c:v>807</c:v>
                </c:pt>
                <c:pt idx="807">
                  <c:v>808</c:v>
                </c:pt>
                <c:pt idx="808">
                  <c:v>809</c:v>
                </c:pt>
                <c:pt idx="809">
                  <c:v>810</c:v>
                </c:pt>
                <c:pt idx="810">
                  <c:v>811</c:v>
                </c:pt>
                <c:pt idx="811">
                  <c:v>812</c:v>
                </c:pt>
                <c:pt idx="812">
                  <c:v>813</c:v>
                </c:pt>
                <c:pt idx="813">
                  <c:v>814</c:v>
                </c:pt>
                <c:pt idx="814">
                  <c:v>815</c:v>
                </c:pt>
                <c:pt idx="815">
                  <c:v>816</c:v>
                </c:pt>
                <c:pt idx="816">
                  <c:v>817</c:v>
                </c:pt>
                <c:pt idx="817">
                  <c:v>818</c:v>
                </c:pt>
                <c:pt idx="818">
                  <c:v>819</c:v>
                </c:pt>
                <c:pt idx="819">
                  <c:v>820</c:v>
                </c:pt>
                <c:pt idx="820">
                  <c:v>821</c:v>
                </c:pt>
                <c:pt idx="821">
                  <c:v>822</c:v>
                </c:pt>
                <c:pt idx="822">
                  <c:v>823</c:v>
                </c:pt>
                <c:pt idx="823">
                  <c:v>824</c:v>
                </c:pt>
                <c:pt idx="824">
                  <c:v>825</c:v>
                </c:pt>
                <c:pt idx="825">
                  <c:v>826</c:v>
                </c:pt>
                <c:pt idx="826">
                  <c:v>827</c:v>
                </c:pt>
                <c:pt idx="827">
                  <c:v>828</c:v>
                </c:pt>
                <c:pt idx="828">
                  <c:v>829</c:v>
                </c:pt>
                <c:pt idx="829">
                  <c:v>830</c:v>
                </c:pt>
                <c:pt idx="830">
                  <c:v>831</c:v>
                </c:pt>
                <c:pt idx="831">
                  <c:v>832</c:v>
                </c:pt>
                <c:pt idx="832">
                  <c:v>833</c:v>
                </c:pt>
                <c:pt idx="833">
                  <c:v>834</c:v>
                </c:pt>
                <c:pt idx="834">
                  <c:v>835</c:v>
                </c:pt>
                <c:pt idx="835">
                  <c:v>836</c:v>
                </c:pt>
                <c:pt idx="836">
                  <c:v>837</c:v>
                </c:pt>
                <c:pt idx="837">
                  <c:v>838</c:v>
                </c:pt>
                <c:pt idx="838">
                  <c:v>839</c:v>
                </c:pt>
                <c:pt idx="839">
                  <c:v>840</c:v>
                </c:pt>
                <c:pt idx="840">
                  <c:v>841</c:v>
                </c:pt>
                <c:pt idx="841">
                  <c:v>842</c:v>
                </c:pt>
                <c:pt idx="842">
                  <c:v>843</c:v>
                </c:pt>
                <c:pt idx="843">
                  <c:v>844</c:v>
                </c:pt>
                <c:pt idx="844">
                  <c:v>845</c:v>
                </c:pt>
                <c:pt idx="845">
                  <c:v>846</c:v>
                </c:pt>
                <c:pt idx="846">
                  <c:v>847</c:v>
                </c:pt>
                <c:pt idx="847">
                  <c:v>848</c:v>
                </c:pt>
                <c:pt idx="848">
                  <c:v>849</c:v>
                </c:pt>
                <c:pt idx="849">
                  <c:v>850</c:v>
                </c:pt>
                <c:pt idx="850">
                  <c:v>851</c:v>
                </c:pt>
                <c:pt idx="851">
                  <c:v>852</c:v>
                </c:pt>
                <c:pt idx="852">
                  <c:v>853</c:v>
                </c:pt>
                <c:pt idx="853">
                  <c:v>854</c:v>
                </c:pt>
                <c:pt idx="854">
                  <c:v>855</c:v>
                </c:pt>
                <c:pt idx="855">
                  <c:v>856</c:v>
                </c:pt>
                <c:pt idx="856">
                  <c:v>857</c:v>
                </c:pt>
                <c:pt idx="857">
                  <c:v>858</c:v>
                </c:pt>
                <c:pt idx="858">
                  <c:v>859</c:v>
                </c:pt>
                <c:pt idx="859">
                  <c:v>860</c:v>
                </c:pt>
                <c:pt idx="860">
                  <c:v>861</c:v>
                </c:pt>
                <c:pt idx="861">
                  <c:v>862</c:v>
                </c:pt>
                <c:pt idx="862">
                  <c:v>863</c:v>
                </c:pt>
                <c:pt idx="863">
                  <c:v>864</c:v>
                </c:pt>
                <c:pt idx="864">
                  <c:v>865</c:v>
                </c:pt>
                <c:pt idx="865">
                  <c:v>866</c:v>
                </c:pt>
                <c:pt idx="866">
                  <c:v>867</c:v>
                </c:pt>
                <c:pt idx="867">
                  <c:v>868</c:v>
                </c:pt>
                <c:pt idx="868">
                  <c:v>869</c:v>
                </c:pt>
                <c:pt idx="869">
                  <c:v>870</c:v>
                </c:pt>
                <c:pt idx="870">
                  <c:v>871</c:v>
                </c:pt>
                <c:pt idx="871">
                  <c:v>872</c:v>
                </c:pt>
                <c:pt idx="872">
                  <c:v>873</c:v>
                </c:pt>
                <c:pt idx="873">
                  <c:v>874</c:v>
                </c:pt>
                <c:pt idx="874">
                  <c:v>875</c:v>
                </c:pt>
                <c:pt idx="875">
                  <c:v>876</c:v>
                </c:pt>
                <c:pt idx="876">
                  <c:v>877</c:v>
                </c:pt>
                <c:pt idx="877">
                  <c:v>878</c:v>
                </c:pt>
                <c:pt idx="878">
                  <c:v>879</c:v>
                </c:pt>
                <c:pt idx="879">
                  <c:v>880</c:v>
                </c:pt>
                <c:pt idx="880">
                  <c:v>881</c:v>
                </c:pt>
                <c:pt idx="881">
                  <c:v>882</c:v>
                </c:pt>
                <c:pt idx="882">
                  <c:v>883</c:v>
                </c:pt>
                <c:pt idx="883">
                  <c:v>884</c:v>
                </c:pt>
                <c:pt idx="884">
                  <c:v>885</c:v>
                </c:pt>
                <c:pt idx="885">
                  <c:v>886</c:v>
                </c:pt>
                <c:pt idx="886">
                  <c:v>887</c:v>
                </c:pt>
                <c:pt idx="887">
                  <c:v>888</c:v>
                </c:pt>
                <c:pt idx="888">
                  <c:v>889</c:v>
                </c:pt>
                <c:pt idx="889">
                  <c:v>890</c:v>
                </c:pt>
                <c:pt idx="890">
                  <c:v>891</c:v>
                </c:pt>
                <c:pt idx="891">
                  <c:v>892</c:v>
                </c:pt>
                <c:pt idx="892">
                  <c:v>893</c:v>
                </c:pt>
                <c:pt idx="893">
                  <c:v>894</c:v>
                </c:pt>
                <c:pt idx="894">
                  <c:v>895</c:v>
                </c:pt>
                <c:pt idx="895">
                  <c:v>896</c:v>
                </c:pt>
                <c:pt idx="896">
                  <c:v>897</c:v>
                </c:pt>
                <c:pt idx="897">
                  <c:v>898</c:v>
                </c:pt>
                <c:pt idx="898">
                  <c:v>899</c:v>
                </c:pt>
                <c:pt idx="899">
                  <c:v>900</c:v>
                </c:pt>
                <c:pt idx="900">
                  <c:v>901</c:v>
                </c:pt>
                <c:pt idx="901">
                  <c:v>902</c:v>
                </c:pt>
                <c:pt idx="902">
                  <c:v>903</c:v>
                </c:pt>
                <c:pt idx="903">
                  <c:v>904</c:v>
                </c:pt>
                <c:pt idx="904">
                  <c:v>905</c:v>
                </c:pt>
                <c:pt idx="905">
                  <c:v>906</c:v>
                </c:pt>
                <c:pt idx="906">
                  <c:v>907</c:v>
                </c:pt>
                <c:pt idx="907">
                  <c:v>908</c:v>
                </c:pt>
                <c:pt idx="908">
                  <c:v>909</c:v>
                </c:pt>
                <c:pt idx="909">
                  <c:v>910</c:v>
                </c:pt>
                <c:pt idx="910">
                  <c:v>911</c:v>
                </c:pt>
                <c:pt idx="911">
                  <c:v>912</c:v>
                </c:pt>
                <c:pt idx="912">
                  <c:v>913</c:v>
                </c:pt>
                <c:pt idx="913">
                  <c:v>914</c:v>
                </c:pt>
                <c:pt idx="914">
                  <c:v>915</c:v>
                </c:pt>
                <c:pt idx="915">
                  <c:v>916</c:v>
                </c:pt>
                <c:pt idx="916">
                  <c:v>917</c:v>
                </c:pt>
                <c:pt idx="917">
                  <c:v>918</c:v>
                </c:pt>
                <c:pt idx="918">
                  <c:v>919</c:v>
                </c:pt>
                <c:pt idx="919">
                  <c:v>920</c:v>
                </c:pt>
                <c:pt idx="920">
                  <c:v>921</c:v>
                </c:pt>
                <c:pt idx="921">
                  <c:v>922</c:v>
                </c:pt>
                <c:pt idx="922">
                  <c:v>923</c:v>
                </c:pt>
                <c:pt idx="923">
                  <c:v>924</c:v>
                </c:pt>
                <c:pt idx="924">
                  <c:v>925</c:v>
                </c:pt>
                <c:pt idx="925">
                  <c:v>926</c:v>
                </c:pt>
                <c:pt idx="926">
                  <c:v>927</c:v>
                </c:pt>
                <c:pt idx="927">
                  <c:v>928</c:v>
                </c:pt>
                <c:pt idx="928">
                  <c:v>929</c:v>
                </c:pt>
                <c:pt idx="929">
                  <c:v>930</c:v>
                </c:pt>
                <c:pt idx="930">
                  <c:v>931</c:v>
                </c:pt>
                <c:pt idx="931">
                  <c:v>932</c:v>
                </c:pt>
                <c:pt idx="932">
                  <c:v>933</c:v>
                </c:pt>
                <c:pt idx="933">
                  <c:v>934</c:v>
                </c:pt>
                <c:pt idx="934">
                  <c:v>935</c:v>
                </c:pt>
                <c:pt idx="935">
                  <c:v>936</c:v>
                </c:pt>
                <c:pt idx="936">
                  <c:v>937</c:v>
                </c:pt>
                <c:pt idx="937">
                  <c:v>938</c:v>
                </c:pt>
                <c:pt idx="938">
                  <c:v>939</c:v>
                </c:pt>
                <c:pt idx="939">
                  <c:v>940</c:v>
                </c:pt>
                <c:pt idx="940">
                  <c:v>941</c:v>
                </c:pt>
                <c:pt idx="941">
                  <c:v>942</c:v>
                </c:pt>
                <c:pt idx="942">
                  <c:v>943</c:v>
                </c:pt>
                <c:pt idx="943">
                  <c:v>944</c:v>
                </c:pt>
                <c:pt idx="944">
                  <c:v>945</c:v>
                </c:pt>
                <c:pt idx="945">
                  <c:v>946</c:v>
                </c:pt>
                <c:pt idx="946">
                  <c:v>947</c:v>
                </c:pt>
                <c:pt idx="947">
                  <c:v>948</c:v>
                </c:pt>
                <c:pt idx="948">
                  <c:v>949</c:v>
                </c:pt>
                <c:pt idx="949">
                  <c:v>950</c:v>
                </c:pt>
                <c:pt idx="950">
                  <c:v>951</c:v>
                </c:pt>
                <c:pt idx="951">
                  <c:v>952</c:v>
                </c:pt>
                <c:pt idx="952">
                  <c:v>953</c:v>
                </c:pt>
                <c:pt idx="953">
                  <c:v>954</c:v>
                </c:pt>
                <c:pt idx="954">
                  <c:v>955</c:v>
                </c:pt>
                <c:pt idx="955">
                  <c:v>956</c:v>
                </c:pt>
                <c:pt idx="956">
                  <c:v>957</c:v>
                </c:pt>
                <c:pt idx="957">
                  <c:v>958</c:v>
                </c:pt>
                <c:pt idx="958">
                  <c:v>959</c:v>
                </c:pt>
                <c:pt idx="959">
                  <c:v>960</c:v>
                </c:pt>
                <c:pt idx="960">
                  <c:v>961</c:v>
                </c:pt>
                <c:pt idx="961">
                  <c:v>962</c:v>
                </c:pt>
                <c:pt idx="962">
                  <c:v>963</c:v>
                </c:pt>
                <c:pt idx="963">
                  <c:v>964</c:v>
                </c:pt>
                <c:pt idx="964">
                  <c:v>965</c:v>
                </c:pt>
                <c:pt idx="965">
                  <c:v>966</c:v>
                </c:pt>
                <c:pt idx="966">
                  <c:v>967</c:v>
                </c:pt>
                <c:pt idx="967">
                  <c:v>968</c:v>
                </c:pt>
                <c:pt idx="968">
                  <c:v>969</c:v>
                </c:pt>
                <c:pt idx="969">
                  <c:v>970</c:v>
                </c:pt>
                <c:pt idx="970">
                  <c:v>971</c:v>
                </c:pt>
                <c:pt idx="971">
                  <c:v>972</c:v>
                </c:pt>
                <c:pt idx="972">
                  <c:v>973</c:v>
                </c:pt>
                <c:pt idx="973">
                  <c:v>974</c:v>
                </c:pt>
                <c:pt idx="974">
                  <c:v>975</c:v>
                </c:pt>
                <c:pt idx="975">
                  <c:v>976</c:v>
                </c:pt>
                <c:pt idx="976">
                  <c:v>977</c:v>
                </c:pt>
                <c:pt idx="977">
                  <c:v>978</c:v>
                </c:pt>
                <c:pt idx="978">
                  <c:v>979</c:v>
                </c:pt>
                <c:pt idx="979">
                  <c:v>980</c:v>
                </c:pt>
                <c:pt idx="980">
                  <c:v>981</c:v>
                </c:pt>
                <c:pt idx="981">
                  <c:v>982</c:v>
                </c:pt>
                <c:pt idx="982">
                  <c:v>983</c:v>
                </c:pt>
                <c:pt idx="983">
                  <c:v>984</c:v>
                </c:pt>
                <c:pt idx="984">
                  <c:v>985</c:v>
                </c:pt>
                <c:pt idx="985">
                  <c:v>986</c:v>
                </c:pt>
                <c:pt idx="986">
                  <c:v>987</c:v>
                </c:pt>
                <c:pt idx="987">
                  <c:v>988</c:v>
                </c:pt>
                <c:pt idx="988">
                  <c:v>989</c:v>
                </c:pt>
                <c:pt idx="989">
                  <c:v>990</c:v>
                </c:pt>
                <c:pt idx="990">
                  <c:v>991</c:v>
                </c:pt>
                <c:pt idx="991">
                  <c:v>992</c:v>
                </c:pt>
                <c:pt idx="992">
                  <c:v>993</c:v>
                </c:pt>
                <c:pt idx="993">
                  <c:v>994</c:v>
                </c:pt>
                <c:pt idx="994">
                  <c:v>995</c:v>
                </c:pt>
                <c:pt idx="995">
                  <c:v>996</c:v>
                </c:pt>
                <c:pt idx="996">
                  <c:v>997</c:v>
                </c:pt>
                <c:pt idx="997">
                  <c:v>998</c:v>
                </c:pt>
                <c:pt idx="998">
                  <c:v>999</c:v>
                </c:pt>
                <c:pt idx="999">
                  <c:v>1000</c:v>
                </c:pt>
                <c:pt idx="1000">
                  <c:v>1001</c:v>
                </c:pt>
                <c:pt idx="1001">
                  <c:v>1002</c:v>
                </c:pt>
                <c:pt idx="1002">
                  <c:v>1003</c:v>
                </c:pt>
                <c:pt idx="1003">
                  <c:v>1004</c:v>
                </c:pt>
                <c:pt idx="1004">
                  <c:v>1005</c:v>
                </c:pt>
                <c:pt idx="1005">
                  <c:v>1006</c:v>
                </c:pt>
                <c:pt idx="1006">
                  <c:v>1007</c:v>
                </c:pt>
                <c:pt idx="1007">
                  <c:v>1008</c:v>
                </c:pt>
                <c:pt idx="1008">
                  <c:v>1009</c:v>
                </c:pt>
                <c:pt idx="1009">
                  <c:v>1010</c:v>
                </c:pt>
                <c:pt idx="1010">
                  <c:v>1011</c:v>
                </c:pt>
                <c:pt idx="1011">
                  <c:v>1012</c:v>
                </c:pt>
                <c:pt idx="1012">
                  <c:v>1013</c:v>
                </c:pt>
                <c:pt idx="1013">
                  <c:v>1014</c:v>
                </c:pt>
                <c:pt idx="1014">
                  <c:v>1015</c:v>
                </c:pt>
                <c:pt idx="1015">
                  <c:v>1016</c:v>
                </c:pt>
                <c:pt idx="1016">
                  <c:v>1017</c:v>
                </c:pt>
                <c:pt idx="1017">
                  <c:v>1018</c:v>
                </c:pt>
                <c:pt idx="1018">
                  <c:v>1019</c:v>
                </c:pt>
                <c:pt idx="1019">
                  <c:v>1020</c:v>
                </c:pt>
                <c:pt idx="1020">
                  <c:v>1021</c:v>
                </c:pt>
                <c:pt idx="1021">
                  <c:v>1022</c:v>
                </c:pt>
                <c:pt idx="1022">
                  <c:v>1023</c:v>
                </c:pt>
                <c:pt idx="1023">
                  <c:v>1024</c:v>
                </c:pt>
                <c:pt idx="1024">
                  <c:v>1025</c:v>
                </c:pt>
                <c:pt idx="1025">
                  <c:v>1026</c:v>
                </c:pt>
                <c:pt idx="1026">
                  <c:v>1027</c:v>
                </c:pt>
                <c:pt idx="1027">
                  <c:v>1028</c:v>
                </c:pt>
                <c:pt idx="1028">
                  <c:v>1029</c:v>
                </c:pt>
                <c:pt idx="1029">
                  <c:v>1030</c:v>
                </c:pt>
                <c:pt idx="1030">
                  <c:v>1031</c:v>
                </c:pt>
                <c:pt idx="1031">
                  <c:v>1032</c:v>
                </c:pt>
                <c:pt idx="1032">
                  <c:v>1033</c:v>
                </c:pt>
                <c:pt idx="1033">
                  <c:v>1034</c:v>
                </c:pt>
                <c:pt idx="1034">
                  <c:v>1035</c:v>
                </c:pt>
                <c:pt idx="1035">
                  <c:v>1036</c:v>
                </c:pt>
                <c:pt idx="1036">
                  <c:v>1037</c:v>
                </c:pt>
                <c:pt idx="1037">
                  <c:v>1038</c:v>
                </c:pt>
                <c:pt idx="1038">
                  <c:v>1039</c:v>
                </c:pt>
                <c:pt idx="1039">
                  <c:v>1040</c:v>
                </c:pt>
                <c:pt idx="1040">
                  <c:v>1041</c:v>
                </c:pt>
                <c:pt idx="1041">
                  <c:v>1042</c:v>
                </c:pt>
                <c:pt idx="1042">
                  <c:v>1043</c:v>
                </c:pt>
                <c:pt idx="1043">
                  <c:v>1044</c:v>
                </c:pt>
                <c:pt idx="1044">
                  <c:v>1045</c:v>
                </c:pt>
                <c:pt idx="1045">
                  <c:v>1046</c:v>
                </c:pt>
                <c:pt idx="1046">
                  <c:v>1047</c:v>
                </c:pt>
                <c:pt idx="1047">
                  <c:v>1048</c:v>
                </c:pt>
                <c:pt idx="1048">
                  <c:v>1049</c:v>
                </c:pt>
                <c:pt idx="1049">
                  <c:v>1050</c:v>
                </c:pt>
                <c:pt idx="1050">
                  <c:v>1051</c:v>
                </c:pt>
                <c:pt idx="1051">
                  <c:v>1052</c:v>
                </c:pt>
                <c:pt idx="1052">
                  <c:v>1053</c:v>
                </c:pt>
                <c:pt idx="1053">
                  <c:v>1054</c:v>
                </c:pt>
                <c:pt idx="1054">
                  <c:v>1055</c:v>
                </c:pt>
                <c:pt idx="1055">
                  <c:v>1056</c:v>
                </c:pt>
                <c:pt idx="1056">
                  <c:v>1057</c:v>
                </c:pt>
                <c:pt idx="1057">
                  <c:v>1058</c:v>
                </c:pt>
                <c:pt idx="1058">
                  <c:v>1059</c:v>
                </c:pt>
                <c:pt idx="1059">
                  <c:v>1060</c:v>
                </c:pt>
                <c:pt idx="1060">
                  <c:v>1061</c:v>
                </c:pt>
                <c:pt idx="1061">
                  <c:v>1062</c:v>
                </c:pt>
                <c:pt idx="1062">
                  <c:v>1063</c:v>
                </c:pt>
                <c:pt idx="1063">
                  <c:v>1064</c:v>
                </c:pt>
                <c:pt idx="1064">
                  <c:v>1065</c:v>
                </c:pt>
                <c:pt idx="1065">
                  <c:v>1066</c:v>
                </c:pt>
                <c:pt idx="1066">
                  <c:v>1067</c:v>
                </c:pt>
                <c:pt idx="1067">
                  <c:v>1068</c:v>
                </c:pt>
                <c:pt idx="1068">
                  <c:v>1069</c:v>
                </c:pt>
                <c:pt idx="1069">
                  <c:v>1070</c:v>
                </c:pt>
                <c:pt idx="1070">
                  <c:v>1071</c:v>
                </c:pt>
                <c:pt idx="1071">
                  <c:v>1072</c:v>
                </c:pt>
                <c:pt idx="1072">
                  <c:v>1073</c:v>
                </c:pt>
                <c:pt idx="1073">
                  <c:v>1074</c:v>
                </c:pt>
                <c:pt idx="1074">
                  <c:v>1075</c:v>
                </c:pt>
                <c:pt idx="1075">
                  <c:v>1076</c:v>
                </c:pt>
                <c:pt idx="1076">
                  <c:v>1077</c:v>
                </c:pt>
                <c:pt idx="1077">
                  <c:v>1078</c:v>
                </c:pt>
                <c:pt idx="1078">
                  <c:v>1079</c:v>
                </c:pt>
                <c:pt idx="1079">
                  <c:v>1080</c:v>
                </c:pt>
                <c:pt idx="1080">
                  <c:v>1081</c:v>
                </c:pt>
                <c:pt idx="1081">
                  <c:v>1082</c:v>
                </c:pt>
                <c:pt idx="1082">
                  <c:v>1083</c:v>
                </c:pt>
                <c:pt idx="1083">
                  <c:v>1084</c:v>
                </c:pt>
                <c:pt idx="1084">
                  <c:v>1085</c:v>
                </c:pt>
                <c:pt idx="1085">
                  <c:v>1086</c:v>
                </c:pt>
                <c:pt idx="1086">
                  <c:v>1087</c:v>
                </c:pt>
                <c:pt idx="1087">
                  <c:v>1088</c:v>
                </c:pt>
                <c:pt idx="1088">
                  <c:v>1089</c:v>
                </c:pt>
                <c:pt idx="1089">
                  <c:v>1090</c:v>
                </c:pt>
                <c:pt idx="1090">
                  <c:v>1091</c:v>
                </c:pt>
                <c:pt idx="1091">
                  <c:v>1092</c:v>
                </c:pt>
                <c:pt idx="1092">
                  <c:v>1093</c:v>
                </c:pt>
                <c:pt idx="1093">
                  <c:v>1094</c:v>
                </c:pt>
                <c:pt idx="1094">
                  <c:v>1095</c:v>
                </c:pt>
                <c:pt idx="1095">
                  <c:v>1096</c:v>
                </c:pt>
                <c:pt idx="1096">
                  <c:v>1097</c:v>
                </c:pt>
                <c:pt idx="1097">
                  <c:v>1098</c:v>
                </c:pt>
                <c:pt idx="1098">
                  <c:v>1099</c:v>
                </c:pt>
                <c:pt idx="1099">
                  <c:v>1100</c:v>
                </c:pt>
                <c:pt idx="1100">
                  <c:v>1101</c:v>
                </c:pt>
                <c:pt idx="1101">
                  <c:v>1102</c:v>
                </c:pt>
                <c:pt idx="1102">
                  <c:v>1103</c:v>
                </c:pt>
                <c:pt idx="1103">
                  <c:v>1104</c:v>
                </c:pt>
                <c:pt idx="1104">
                  <c:v>1105</c:v>
                </c:pt>
                <c:pt idx="1105">
                  <c:v>1106</c:v>
                </c:pt>
                <c:pt idx="1106">
                  <c:v>1107</c:v>
                </c:pt>
                <c:pt idx="1107">
                  <c:v>1108</c:v>
                </c:pt>
                <c:pt idx="1108">
                  <c:v>1109</c:v>
                </c:pt>
                <c:pt idx="1109">
                  <c:v>1110</c:v>
                </c:pt>
                <c:pt idx="1110">
                  <c:v>1111</c:v>
                </c:pt>
                <c:pt idx="1111">
                  <c:v>1112</c:v>
                </c:pt>
                <c:pt idx="1112">
                  <c:v>1113</c:v>
                </c:pt>
                <c:pt idx="1113">
                  <c:v>1114</c:v>
                </c:pt>
                <c:pt idx="1114">
                  <c:v>1115</c:v>
                </c:pt>
                <c:pt idx="1115">
                  <c:v>1116</c:v>
                </c:pt>
                <c:pt idx="1116">
                  <c:v>1117</c:v>
                </c:pt>
                <c:pt idx="1117">
                  <c:v>1118</c:v>
                </c:pt>
                <c:pt idx="1118">
                  <c:v>1119</c:v>
                </c:pt>
                <c:pt idx="1119">
                  <c:v>1120</c:v>
                </c:pt>
                <c:pt idx="1120">
                  <c:v>1121</c:v>
                </c:pt>
                <c:pt idx="1121">
                  <c:v>1122</c:v>
                </c:pt>
                <c:pt idx="1122">
                  <c:v>1123</c:v>
                </c:pt>
                <c:pt idx="1123">
                  <c:v>1124</c:v>
                </c:pt>
                <c:pt idx="1124">
                  <c:v>1125</c:v>
                </c:pt>
                <c:pt idx="1125">
                  <c:v>1126</c:v>
                </c:pt>
                <c:pt idx="1126">
                  <c:v>1127</c:v>
                </c:pt>
                <c:pt idx="1127">
                  <c:v>1128</c:v>
                </c:pt>
                <c:pt idx="1128">
                  <c:v>1129</c:v>
                </c:pt>
                <c:pt idx="1129">
                  <c:v>1130</c:v>
                </c:pt>
                <c:pt idx="1130">
                  <c:v>1131</c:v>
                </c:pt>
                <c:pt idx="1131">
                  <c:v>1132</c:v>
                </c:pt>
                <c:pt idx="1132">
                  <c:v>1133</c:v>
                </c:pt>
                <c:pt idx="1133">
                  <c:v>1134</c:v>
                </c:pt>
                <c:pt idx="1134">
                  <c:v>1135</c:v>
                </c:pt>
                <c:pt idx="1135">
                  <c:v>1136</c:v>
                </c:pt>
                <c:pt idx="1136">
                  <c:v>1137</c:v>
                </c:pt>
                <c:pt idx="1137">
                  <c:v>1138</c:v>
                </c:pt>
                <c:pt idx="1138">
                  <c:v>1139</c:v>
                </c:pt>
                <c:pt idx="1139">
                  <c:v>1140</c:v>
                </c:pt>
                <c:pt idx="1140">
                  <c:v>1141</c:v>
                </c:pt>
                <c:pt idx="1141">
                  <c:v>1142</c:v>
                </c:pt>
                <c:pt idx="1142">
                  <c:v>1143</c:v>
                </c:pt>
                <c:pt idx="1143">
                  <c:v>1144</c:v>
                </c:pt>
                <c:pt idx="1144">
                  <c:v>1145</c:v>
                </c:pt>
                <c:pt idx="1145">
                  <c:v>1146</c:v>
                </c:pt>
                <c:pt idx="1146">
                  <c:v>1147</c:v>
                </c:pt>
                <c:pt idx="1147">
                  <c:v>1148</c:v>
                </c:pt>
                <c:pt idx="1148">
                  <c:v>1149</c:v>
                </c:pt>
                <c:pt idx="1149">
                  <c:v>1150</c:v>
                </c:pt>
                <c:pt idx="1150">
                  <c:v>1151</c:v>
                </c:pt>
                <c:pt idx="1151">
                  <c:v>1152</c:v>
                </c:pt>
                <c:pt idx="1152">
                  <c:v>1153</c:v>
                </c:pt>
                <c:pt idx="1153">
                  <c:v>1154</c:v>
                </c:pt>
                <c:pt idx="1154">
                  <c:v>1155</c:v>
                </c:pt>
                <c:pt idx="1155">
                  <c:v>1156</c:v>
                </c:pt>
                <c:pt idx="1156">
                  <c:v>1157</c:v>
                </c:pt>
                <c:pt idx="1157">
                  <c:v>1158</c:v>
                </c:pt>
                <c:pt idx="1158">
                  <c:v>1159</c:v>
                </c:pt>
                <c:pt idx="1159">
                  <c:v>1160</c:v>
                </c:pt>
                <c:pt idx="1160">
                  <c:v>1161</c:v>
                </c:pt>
                <c:pt idx="1161">
                  <c:v>1162</c:v>
                </c:pt>
                <c:pt idx="1162">
                  <c:v>1163</c:v>
                </c:pt>
                <c:pt idx="1163">
                  <c:v>1164</c:v>
                </c:pt>
                <c:pt idx="1164">
                  <c:v>1165</c:v>
                </c:pt>
                <c:pt idx="1165">
                  <c:v>1166</c:v>
                </c:pt>
                <c:pt idx="1166">
                  <c:v>1167</c:v>
                </c:pt>
                <c:pt idx="1167">
                  <c:v>1168</c:v>
                </c:pt>
                <c:pt idx="1168">
                  <c:v>1169</c:v>
                </c:pt>
                <c:pt idx="1169">
                  <c:v>1170</c:v>
                </c:pt>
                <c:pt idx="1170">
                  <c:v>1171</c:v>
                </c:pt>
                <c:pt idx="1171">
                  <c:v>1172</c:v>
                </c:pt>
                <c:pt idx="1172">
                  <c:v>1173</c:v>
                </c:pt>
                <c:pt idx="1173">
                  <c:v>1174</c:v>
                </c:pt>
                <c:pt idx="1174">
                  <c:v>1175</c:v>
                </c:pt>
                <c:pt idx="1175">
                  <c:v>1176</c:v>
                </c:pt>
                <c:pt idx="1176">
                  <c:v>1177</c:v>
                </c:pt>
                <c:pt idx="1177">
                  <c:v>1178</c:v>
                </c:pt>
                <c:pt idx="1178">
                  <c:v>1179</c:v>
                </c:pt>
                <c:pt idx="1179">
                  <c:v>1180</c:v>
                </c:pt>
                <c:pt idx="1180">
                  <c:v>1181</c:v>
                </c:pt>
                <c:pt idx="1181">
                  <c:v>1182</c:v>
                </c:pt>
                <c:pt idx="1182">
                  <c:v>1183</c:v>
                </c:pt>
                <c:pt idx="1183">
                  <c:v>1184</c:v>
                </c:pt>
                <c:pt idx="1184">
                  <c:v>1185</c:v>
                </c:pt>
                <c:pt idx="1185">
                  <c:v>1186</c:v>
                </c:pt>
                <c:pt idx="1186">
                  <c:v>1187</c:v>
                </c:pt>
                <c:pt idx="1187">
                  <c:v>1188</c:v>
                </c:pt>
                <c:pt idx="1188">
                  <c:v>1189</c:v>
                </c:pt>
                <c:pt idx="1189">
                  <c:v>1190</c:v>
                </c:pt>
                <c:pt idx="1190">
                  <c:v>1191</c:v>
                </c:pt>
                <c:pt idx="1191">
                  <c:v>1192</c:v>
                </c:pt>
                <c:pt idx="1192">
                  <c:v>1193</c:v>
                </c:pt>
                <c:pt idx="1193">
                  <c:v>1194</c:v>
                </c:pt>
                <c:pt idx="1194">
                  <c:v>1195</c:v>
                </c:pt>
                <c:pt idx="1195">
                  <c:v>1196</c:v>
                </c:pt>
                <c:pt idx="1196">
                  <c:v>1197</c:v>
                </c:pt>
                <c:pt idx="1197">
                  <c:v>1198</c:v>
                </c:pt>
                <c:pt idx="1198">
                  <c:v>1199</c:v>
                </c:pt>
                <c:pt idx="1199">
                  <c:v>1200</c:v>
                </c:pt>
              </c:numCache>
            </c:numRef>
          </c:cat>
          <c:val>
            <c:numRef>
              <c:f>'Roof edge insulation'!$DH$2:$DH$1201</c:f>
              <c:numCache>
                <c:formatCode>0</c:formatCode>
                <c:ptCount val="1200"/>
                <c:pt idx="0">
                  <c:v>200.36397023426619</c:v>
                </c:pt>
                <c:pt idx="1">
                  <c:v>200.72794046853241</c:v>
                </c:pt>
                <c:pt idx="2">
                  <c:v>201.0919107027986</c:v>
                </c:pt>
                <c:pt idx="3">
                  <c:v>201.45588093706482</c:v>
                </c:pt>
                <c:pt idx="4">
                  <c:v>201.81985117133101</c:v>
                </c:pt>
                <c:pt idx="5">
                  <c:v>202.1838214055972</c:v>
                </c:pt>
                <c:pt idx="6">
                  <c:v>202.54779163986342</c:v>
                </c:pt>
                <c:pt idx="7">
                  <c:v>202.91176187412961</c:v>
                </c:pt>
                <c:pt idx="8">
                  <c:v>203.27573210839583</c:v>
                </c:pt>
                <c:pt idx="9">
                  <c:v>203.63970234266202</c:v>
                </c:pt>
                <c:pt idx="10">
                  <c:v>204.00367257692824</c:v>
                </c:pt>
                <c:pt idx="11">
                  <c:v>204.36764281119443</c:v>
                </c:pt>
                <c:pt idx="12">
                  <c:v>204.73161304546062</c:v>
                </c:pt>
                <c:pt idx="13">
                  <c:v>205.09558327972684</c:v>
                </c:pt>
                <c:pt idx="14">
                  <c:v>205.45955351399303</c:v>
                </c:pt>
                <c:pt idx="15">
                  <c:v>205.82352374825925</c:v>
                </c:pt>
                <c:pt idx="16">
                  <c:v>206.18749398252544</c:v>
                </c:pt>
                <c:pt idx="17">
                  <c:v>206.55146421679163</c:v>
                </c:pt>
                <c:pt idx="18">
                  <c:v>206.91543445105785</c:v>
                </c:pt>
                <c:pt idx="19">
                  <c:v>207.27940468532404</c:v>
                </c:pt>
                <c:pt idx="20">
                  <c:v>207.64337491959026</c:v>
                </c:pt>
                <c:pt idx="21">
                  <c:v>208.00734515385645</c:v>
                </c:pt>
                <c:pt idx="22">
                  <c:v>208.37131538812264</c:v>
                </c:pt>
                <c:pt idx="23">
                  <c:v>208.73528562238886</c:v>
                </c:pt>
                <c:pt idx="24">
                  <c:v>209.09925585665505</c:v>
                </c:pt>
                <c:pt idx="25">
                  <c:v>209.46322609092127</c:v>
                </c:pt>
                <c:pt idx="26">
                  <c:v>209.82719632518746</c:v>
                </c:pt>
                <c:pt idx="27">
                  <c:v>210.19116655945368</c:v>
                </c:pt>
                <c:pt idx="28">
                  <c:v>210.55513679371987</c:v>
                </c:pt>
                <c:pt idx="29">
                  <c:v>210.91910702798606</c:v>
                </c:pt>
                <c:pt idx="30">
                  <c:v>211.28307726225228</c:v>
                </c:pt>
                <c:pt idx="31">
                  <c:v>211.64704749651847</c:v>
                </c:pt>
                <c:pt idx="32">
                  <c:v>212.01101773078469</c:v>
                </c:pt>
                <c:pt idx="33">
                  <c:v>212.37498796505088</c:v>
                </c:pt>
                <c:pt idx="34">
                  <c:v>212.7389581993171</c:v>
                </c:pt>
                <c:pt idx="35">
                  <c:v>213.10292843358329</c:v>
                </c:pt>
                <c:pt idx="36">
                  <c:v>213.46689866784948</c:v>
                </c:pt>
                <c:pt idx="37">
                  <c:v>213.8308689021157</c:v>
                </c:pt>
                <c:pt idx="38">
                  <c:v>214.19483913638189</c:v>
                </c:pt>
                <c:pt idx="39">
                  <c:v>214.55880937064811</c:v>
                </c:pt>
                <c:pt idx="40">
                  <c:v>214.9227796049143</c:v>
                </c:pt>
                <c:pt idx="41">
                  <c:v>215.28674983918049</c:v>
                </c:pt>
                <c:pt idx="42">
                  <c:v>215.65072007344671</c:v>
                </c:pt>
                <c:pt idx="43">
                  <c:v>216.0146903077129</c:v>
                </c:pt>
                <c:pt idx="44">
                  <c:v>216.37866054197912</c:v>
                </c:pt>
                <c:pt idx="45">
                  <c:v>216.74263077624531</c:v>
                </c:pt>
                <c:pt idx="46">
                  <c:v>217.1066010105115</c:v>
                </c:pt>
                <c:pt idx="47">
                  <c:v>217.47057124477772</c:v>
                </c:pt>
                <c:pt idx="48">
                  <c:v>217.83454147904391</c:v>
                </c:pt>
                <c:pt idx="49">
                  <c:v>218.19851171331013</c:v>
                </c:pt>
                <c:pt idx="50">
                  <c:v>218.56248194757632</c:v>
                </c:pt>
                <c:pt idx="51">
                  <c:v>218.92645218184254</c:v>
                </c:pt>
                <c:pt idx="52">
                  <c:v>219.29042241610873</c:v>
                </c:pt>
                <c:pt idx="53">
                  <c:v>219.65439265037492</c:v>
                </c:pt>
                <c:pt idx="54">
                  <c:v>220.01836288464114</c:v>
                </c:pt>
                <c:pt idx="55">
                  <c:v>220.38233311890733</c:v>
                </c:pt>
                <c:pt idx="56">
                  <c:v>220.74630335317354</c:v>
                </c:pt>
                <c:pt idx="57">
                  <c:v>221.11027358743974</c:v>
                </c:pt>
                <c:pt idx="58">
                  <c:v>221.47424382170593</c:v>
                </c:pt>
                <c:pt idx="59">
                  <c:v>221.83821405597214</c:v>
                </c:pt>
                <c:pt idx="60">
                  <c:v>222.20218429023834</c:v>
                </c:pt>
                <c:pt idx="61">
                  <c:v>222.56615452450455</c:v>
                </c:pt>
                <c:pt idx="62">
                  <c:v>222.93012475877075</c:v>
                </c:pt>
                <c:pt idx="63">
                  <c:v>223.29409499303694</c:v>
                </c:pt>
                <c:pt idx="64">
                  <c:v>223.65806522730315</c:v>
                </c:pt>
                <c:pt idx="65">
                  <c:v>224.02203546156935</c:v>
                </c:pt>
                <c:pt idx="66">
                  <c:v>224.38600569583556</c:v>
                </c:pt>
                <c:pt idx="67">
                  <c:v>224.74997593010175</c:v>
                </c:pt>
                <c:pt idx="68">
                  <c:v>225.11394616436797</c:v>
                </c:pt>
                <c:pt idx="69">
                  <c:v>225.47791639863416</c:v>
                </c:pt>
                <c:pt idx="70">
                  <c:v>225.84188663290035</c:v>
                </c:pt>
                <c:pt idx="71">
                  <c:v>226.20585686716657</c:v>
                </c:pt>
                <c:pt idx="72">
                  <c:v>226.56982710143276</c:v>
                </c:pt>
                <c:pt idx="73">
                  <c:v>226.93379733569898</c:v>
                </c:pt>
                <c:pt idx="74">
                  <c:v>227.29776756996517</c:v>
                </c:pt>
                <c:pt idx="75">
                  <c:v>227.66173780423139</c:v>
                </c:pt>
                <c:pt idx="76">
                  <c:v>228.02570803849758</c:v>
                </c:pt>
                <c:pt idx="77">
                  <c:v>228.38967827276377</c:v>
                </c:pt>
                <c:pt idx="78">
                  <c:v>228.75364850702999</c:v>
                </c:pt>
                <c:pt idx="79">
                  <c:v>229.11761874129618</c:v>
                </c:pt>
                <c:pt idx="80">
                  <c:v>229.48158897556237</c:v>
                </c:pt>
                <c:pt idx="81">
                  <c:v>229.84555920982859</c:v>
                </c:pt>
                <c:pt idx="82">
                  <c:v>230.20952944409478</c:v>
                </c:pt>
                <c:pt idx="83">
                  <c:v>230.573499678361</c:v>
                </c:pt>
                <c:pt idx="84">
                  <c:v>230.93746991262719</c:v>
                </c:pt>
                <c:pt idx="85">
                  <c:v>231.30144014689341</c:v>
                </c:pt>
                <c:pt idx="86">
                  <c:v>231.6654103811596</c:v>
                </c:pt>
                <c:pt idx="87">
                  <c:v>232.02938061542579</c:v>
                </c:pt>
                <c:pt idx="88">
                  <c:v>232.39335084969201</c:v>
                </c:pt>
                <c:pt idx="89">
                  <c:v>232.7573210839582</c:v>
                </c:pt>
                <c:pt idx="90">
                  <c:v>233.12129131822442</c:v>
                </c:pt>
                <c:pt idx="91">
                  <c:v>233.48526155249061</c:v>
                </c:pt>
                <c:pt idx="92">
                  <c:v>233.84923178675683</c:v>
                </c:pt>
                <c:pt idx="93">
                  <c:v>234.21320202102302</c:v>
                </c:pt>
                <c:pt idx="94">
                  <c:v>234.57717225528921</c:v>
                </c:pt>
                <c:pt idx="95">
                  <c:v>234.94114248955543</c:v>
                </c:pt>
                <c:pt idx="96">
                  <c:v>235.30511272382162</c:v>
                </c:pt>
                <c:pt idx="97">
                  <c:v>235.66908295808781</c:v>
                </c:pt>
                <c:pt idx="98">
                  <c:v>236.03305319235403</c:v>
                </c:pt>
                <c:pt idx="99">
                  <c:v>236.39702342662025</c:v>
                </c:pt>
                <c:pt idx="100">
                  <c:v>236.76099366088644</c:v>
                </c:pt>
                <c:pt idx="101">
                  <c:v>237.12496389515263</c:v>
                </c:pt>
                <c:pt idx="102">
                  <c:v>237.48893412941885</c:v>
                </c:pt>
                <c:pt idx="103">
                  <c:v>237.85290436368504</c:v>
                </c:pt>
                <c:pt idx="104">
                  <c:v>238.21687459795123</c:v>
                </c:pt>
                <c:pt idx="105">
                  <c:v>238.58084483221745</c:v>
                </c:pt>
                <c:pt idx="106">
                  <c:v>238.94481506648364</c:v>
                </c:pt>
                <c:pt idx="107">
                  <c:v>239.30878530074986</c:v>
                </c:pt>
                <c:pt idx="108">
                  <c:v>239.67275553501605</c:v>
                </c:pt>
                <c:pt idx="109">
                  <c:v>240.03672576928227</c:v>
                </c:pt>
                <c:pt idx="110">
                  <c:v>240.40069600354846</c:v>
                </c:pt>
                <c:pt idx="111">
                  <c:v>240.76466623781465</c:v>
                </c:pt>
                <c:pt idx="112">
                  <c:v>241.12863647208087</c:v>
                </c:pt>
                <c:pt idx="113">
                  <c:v>241.49260670634706</c:v>
                </c:pt>
                <c:pt idx="114">
                  <c:v>241.85657694061325</c:v>
                </c:pt>
                <c:pt idx="115">
                  <c:v>242.22054717487947</c:v>
                </c:pt>
                <c:pt idx="116">
                  <c:v>242.58451740914569</c:v>
                </c:pt>
                <c:pt idx="117">
                  <c:v>242.94848764341188</c:v>
                </c:pt>
                <c:pt idx="118">
                  <c:v>243.31245787767807</c:v>
                </c:pt>
                <c:pt idx="119">
                  <c:v>243.67642811194429</c:v>
                </c:pt>
                <c:pt idx="120">
                  <c:v>244.04039834621048</c:v>
                </c:pt>
                <c:pt idx="121">
                  <c:v>244.40436858047667</c:v>
                </c:pt>
                <c:pt idx="122">
                  <c:v>244.76833881474289</c:v>
                </c:pt>
                <c:pt idx="123">
                  <c:v>245.13230904900908</c:v>
                </c:pt>
                <c:pt idx="124">
                  <c:v>245.4962792832753</c:v>
                </c:pt>
                <c:pt idx="125">
                  <c:v>245.86024951754149</c:v>
                </c:pt>
                <c:pt idx="126">
                  <c:v>246.22421975180771</c:v>
                </c:pt>
                <c:pt idx="127">
                  <c:v>246.5881899860739</c:v>
                </c:pt>
                <c:pt idx="128">
                  <c:v>246.95216022034009</c:v>
                </c:pt>
                <c:pt idx="129">
                  <c:v>247.31613045460631</c:v>
                </c:pt>
                <c:pt idx="130">
                  <c:v>247.6801006888725</c:v>
                </c:pt>
                <c:pt idx="131">
                  <c:v>248.04407092313872</c:v>
                </c:pt>
                <c:pt idx="132">
                  <c:v>248.40804115740491</c:v>
                </c:pt>
                <c:pt idx="133">
                  <c:v>248.77201139167113</c:v>
                </c:pt>
                <c:pt idx="134">
                  <c:v>249.13598162593732</c:v>
                </c:pt>
                <c:pt idx="135">
                  <c:v>249.49995186020351</c:v>
                </c:pt>
                <c:pt idx="136">
                  <c:v>249.86392209446973</c:v>
                </c:pt>
                <c:pt idx="137">
                  <c:v>250.22789232873592</c:v>
                </c:pt>
                <c:pt idx="138">
                  <c:v>250.59186256300211</c:v>
                </c:pt>
                <c:pt idx="139">
                  <c:v>250.95583279726833</c:v>
                </c:pt>
                <c:pt idx="140">
                  <c:v>251.31980303153455</c:v>
                </c:pt>
                <c:pt idx="141">
                  <c:v>251.68377326580074</c:v>
                </c:pt>
                <c:pt idx="142">
                  <c:v>252.04774350006693</c:v>
                </c:pt>
                <c:pt idx="143">
                  <c:v>252.41171373433315</c:v>
                </c:pt>
                <c:pt idx="144">
                  <c:v>252.77568396859934</c:v>
                </c:pt>
                <c:pt idx="145">
                  <c:v>253.13965420286553</c:v>
                </c:pt>
                <c:pt idx="146">
                  <c:v>253.50362443713175</c:v>
                </c:pt>
                <c:pt idx="147">
                  <c:v>253.86759467139794</c:v>
                </c:pt>
                <c:pt idx="148">
                  <c:v>254.23156490566416</c:v>
                </c:pt>
                <c:pt idx="149">
                  <c:v>254.59553513993035</c:v>
                </c:pt>
                <c:pt idx="150">
                  <c:v>254.95950537419657</c:v>
                </c:pt>
                <c:pt idx="151">
                  <c:v>255.32347560846276</c:v>
                </c:pt>
                <c:pt idx="152">
                  <c:v>255.68744584272895</c:v>
                </c:pt>
                <c:pt idx="153">
                  <c:v>256.05141607699517</c:v>
                </c:pt>
                <c:pt idx="154">
                  <c:v>256.41538631126139</c:v>
                </c:pt>
                <c:pt idx="155">
                  <c:v>256.77935654552755</c:v>
                </c:pt>
                <c:pt idx="156">
                  <c:v>257.14332677979377</c:v>
                </c:pt>
                <c:pt idx="157">
                  <c:v>257.50729701405999</c:v>
                </c:pt>
                <c:pt idx="158">
                  <c:v>257.87126724832615</c:v>
                </c:pt>
                <c:pt idx="159">
                  <c:v>258.23523748259237</c:v>
                </c:pt>
                <c:pt idx="160">
                  <c:v>258.59920771685859</c:v>
                </c:pt>
                <c:pt idx="161">
                  <c:v>258.96317795112475</c:v>
                </c:pt>
                <c:pt idx="162">
                  <c:v>259.32714818539097</c:v>
                </c:pt>
                <c:pt idx="163">
                  <c:v>259.69111841965719</c:v>
                </c:pt>
                <c:pt idx="164">
                  <c:v>260</c:v>
                </c:pt>
                <c:pt idx="165">
                  <c:v>260</c:v>
                </c:pt>
                <c:pt idx="166">
                  <c:v>260</c:v>
                </c:pt>
                <c:pt idx="167">
                  <c:v>260</c:v>
                </c:pt>
                <c:pt idx="168">
                  <c:v>260</c:v>
                </c:pt>
                <c:pt idx="169">
                  <c:v>260</c:v>
                </c:pt>
                <c:pt idx="170">
                  <c:v>260</c:v>
                </c:pt>
                <c:pt idx="171">
                  <c:v>260</c:v>
                </c:pt>
                <c:pt idx="172">
                  <c:v>260</c:v>
                </c:pt>
                <c:pt idx="173">
                  <c:v>260</c:v>
                </c:pt>
                <c:pt idx="174">
                  <c:v>260</c:v>
                </c:pt>
                <c:pt idx="175">
                  <c:v>260</c:v>
                </c:pt>
                <c:pt idx="176">
                  <c:v>260</c:v>
                </c:pt>
                <c:pt idx="177">
                  <c:v>260</c:v>
                </c:pt>
                <c:pt idx="178">
                  <c:v>260</c:v>
                </c:pt>
                <c:pt idx="179">
                  <c:v>260</c:v>
                </c:pt>
                <c:pt idx="180">
                  <c:v>260</c:v>
                </c:pt>
                <c:pt idx="181">
                  <c:v>260</c:v>
                </c:pt>
                <c:pt idx="182">
                  <c:v>260</c:v>
                </c:pt>
                <c:pt idx="183">
                  <c:v>260</c:v>
                </c:pt>
                <c:pt idx="184">
                  <c:v>260</c:v>
                </c:pt>
                <c:pt idx="185">
                  <c:v>260</c:v>
                </c:pt>
                <c:pt idx="186">
                  <c:v>260</c:v>
                </c:pt>
                <c:pt idx="187">
                  <c:v>260</c:v>
                </c:pt>
                <c:pt idx="188">
                  <c:v>260</c:v>
                </c:pt>
                <c:pt idx="189">
                  <c:v>260</c:v>
                </c:pt>
                <c:pt idx="190">
                  <c:v>260</c:v>
                </c:pt>
                <c:pt idx="191">
                  <c:v>260</c:v>
                </c:pt>
                <c:pt idx="192">
                  <c:v>260</c:v>
                </c:pt>
                <c:pt idx="193">
                  <c:v>260</c:v>
                </c:pt>
                <c:pt idx="194">
                  <c:v>260</c:v>
                </c:pt>
                <c:pt idx="195">
                  <c:v>260</c:v>
                </c:pt>
                <c:pt idx="196">
                  <c:v>260</c:v>
                </c:pt>
                <c:pt idx="197">
                  <c:v>260</c:v>
                </c:pt>
                <c:pt idx="198">
                  <c:v>260</c:v>
                </c:pt>
                <c:pt idx="199">
                  <c:v>260</c:v>
                </c:pt>
                <c:pt idx="200">
                  <c:v>260</c:v>
                </c:pt>
                <c:pt idx="201">
                  <c:v>260</c:v>
                </c:pt>
                <c:pt idx="202">
                  <c:v>260</c:v>
                </c:pt>
                <c:pt idx="203">
                  <c:v>260</c:v>
                </c:pt>
                <c:pt idx="204">
                  <c:v>260</c:v>
                </c:pt>
                <c:pt idx="205">
                  <c:v>260</c:v>
                </c:pt>
                <c:pt idx="206">
                  <c:v>260</c:v>
                </c:pt>
                <c:pt idx="207">
                  <c:v>260</c:v>
                </c:pt>
                <c:pt idx="208">
                  <c:v>260</c:v>
                </c:pt>
                <c:pt idx="209">
                  <c:v>260</c:v>
                </c:pt>
                <c:pt idx="210">
                  <c:v>260</c:v>
                </c:pt>
                <c:pt idx="211">
                  <c:v>260</c:v>
                </c:pt>
                <c:pt idx="212">
                  <c:v>260</c:v>
                </c:pt>
                <c:pt idx="213">
                  <c:v>260</c:v>
                </c:pt>
                <c:pt idx="214">
                  <c:v>260</c:v>
                </c:pt>
                <c:pt idx="215">
                  <c:v>260</c:v>
                </c:pt>
                <c:pt idx="216">
                  <c:v>260</c:v>
                </c:pt>
                <c:pt idx="217">
                  <c:v>260</c:v>
                </c:pt>
                <c:pt idx="218">
                  <c:v>260</c:v>
                </c:pt>
                <c:pt idx="219">
                  <c:v>260</c:v>
                </c:pt>
                <c:pt idx="220">
                  <c:v>260</c:v>
                </c:pt>
                <c:pt idx="221">
                  <c:v>260</c:v>
                </c:pt>
                <c:pt idx="222">
                  <c:v>260</c:v>
                </c:pt>
                <c:pt idx="223">
                  <c:v>260</c:v>
                </c:pt>
                <c:pt idx="224">
                  <c:v>260</c:v>
                </c:pt>
                <c:pt idx="225">
                  <c:v>260</c:v>
                </c:pt>
                <c:pt idx="226">
                  <c:v>260</c:v>
                </c:pt>
                <c:pt idx="227">
                  <c:v>260</c:v>
                </c:pt>
                <c:pt idx="228">
                  <c:v>260</c:v>
                </c:pt>
                <c:pt idx="229">
                  <c:v>260</c:v>
                </c:pt>
                <c:pt idx="230">
                  <c:v>260</c:v>
                </c:pt>
                <c:pt idx="231">
                  <c:v>260</c:v>
                </c:pt>
                <c:pt idx="232">
                  <c:v>260</c:v>
                </c:pt>
                <c:pt idx="233">
                  <c:v>260</c:v>
                </c:pt>
                <c:pt idx="234">
                  <c:v>260</c:v>
                </c:pt>
                <c:pt idx="235">
                  <c:v>260</c:v>
                </c:pt>
                <c:pt idx="236">
                  <c:v>260</c:v>
                </c:pt>
                <c:pt idx="237">
                  <c:v>260</c:v>
                </c:pt>
                <c:pt idx="238">
                  <c:v>260</c:v>
                </c:pt>
                <c:pt idx="239">
                  <c:v>260</c:v>
                </c:pt>
                <c:pt idx="240">
                  <c:v>260</c:v>
                </c:pt>
                <c:pt idx="241">
                  <c:v>260</c:v>
                </c:pt>
                <c:pt idx="242">
                  <c:v>260</c:v>
                </c:pt>
                <c:pt idx="243">
                  <c:v>260</c:v>
                </c:pt>
                <c:pt idx="244">
                  <c:v>260</c:v>
                </c:pt>
                <c:pt idx="245">
                  <c:v>260</c:v>
                </c:pt>
                <c:pt idx="246">
                  <c:v>260</c:v>
                </c:pt>
                <c:pt idx="247">
                  <c:v>260</c:v>
                </c:pt>
                <c:pt idx="248">
                  <c:v>260</c:v>
                </c:pt>
                <c:pt idx="249">
                  <c:v>260</c:v>
                </c:pt>
                <c:pt idx="250">
                  <c:v>260</c:v>
                </c:pt>
                <c:pt idx="251">
                  <c:v>260</c:v>
                </c:pt>
                <c:pt idx="252">
                  <c:v>260</c:v>
                </c:pt>
                <c:pt idx="253">
                  <c:v>260</c:v>
                </c:pt>
                <c:pt idx="254">
                  <c:v>260</c:v>
                </c:pt>
                <c:pt idx="255">
                  <c:v>260</c:v>
                </c:pt>
                <c:pt idx="256">
                  <c:v>260</c:v>
                </c:pt>
                <c:pt idx="257">
                  <c:v>260</c:v>
                </c:pt>
                <c:pt idx="258">
                  <c:v>260</c:v>
                </c:pt>
                <c:pt idx="259">
                  <c:v>260</c:v>
                </c:pt>
                <c:pt idx="260">
                  <c:v>260</c:v>
                </c:pt>
                <c:pt idx="261">
                  <c:v>260</c:v>
                </c:pt>
                <c:pt idx="262">
                  <c:v>260</c:v>
                </c:pt>
                <c:pt idx="263">
                  <c:v>260</c:v>
                </c:pt>
                <c:pt idx="264">
                  <c:v>260</c:v>
                </c:pt>
                <c:pt idx="265">
                  <c:v>260</c:v>
                </c:pt>
                <c:pt idx="266">
                  <c:v>260</c:v>
                </c:pt>
                <c:pt idx="267">
                  <c:v>260</c:v>
                </c:pt>
                <c:pt idx="268">
                  <c:v>260</c:v>
                </c:pt>
                <c:pt idx="269">
                  <c:v>260</c:v>
                </c:pt>
                <c:pt idx="270">
                  <c:v>260</c:v>
                </c:pt>
                <c:pt idx="271">
                  <c:v>260</c:v>
                </c:pt>
                <c:pt idx="272">
                  <c:v>260</c:v>
                </c:pt>
                <c:pt idx="273">
                  <c:v>260</c:v>
                </c:pt>
                <c:pt idx="274">
                  <c:v>260</c:v>
                </c:pt>
                <c:pt idx="275">
                  <c:v>260</c:v>
                </c:pt>
                <c:pt idx="276">
                  <c:v>260</c:v>
                </c:pt>
                <c:pt idx="277">
                  <c:v>260</c:v>
                </c:pt>
                <c:pt idx="278">
                  <c:v>260</c:v>
                </c:pt>
                <c:pt idx="279">
                  <c:v>260</c:v>
                </c:pt>
                <c:pt idx="280">
                  <c:v>260</c:v>
                </c:pt>
                <c:pt idx="281">
                  <c:v>260</c:v>
                </c:pt>
                <c:pt idx="282">
                  <c:v>260</c:v>
                </c:pt>
                <c:pt idx="283">
                  <c:v>260</c:v>
                </c:pt>
                <c:pt idx="284">
                  <c:v>260</c:v>
                </c:pt>
                <c:pt idx="285">
                  <c:v>260</c:v>
                </c:pt>
                <c:pt idx="286">
                  <c:v>260</c:v>
                </c:pt>
                <c:pt idx="287">
                  <c:v>260</c:v>
                </c:pt>
                <c:pt idx="288">
                  <c:v>260</c:v>
                </c:pt>
                <c:pt idx="289">
                  <c:v>260</c:v>
                </c:pt>
                <c:pt idx="290">
                  <c:v>260</c:v>
                </c:pt>
                <c:pt idx="291">
                  <c:v>260</c:v>
                </c:pt>
                <c:pt idx="292">
                  <c:v>260</c:v>
                </c:pt>
                <c:pt idx="293">
                  <c:v>260</c:v>
                </c:pt>
                <c:pt idx="294">
                  <c:v>260</c:v>
                </c:pt>
                <c:pt idx="295">
                  <c:v>260</c:v>
                </c:pt>
                <c:pt idx="296">
                  <c:v>260</c:v>
                </c:pt>
                <c:pt idx="297">
                  <c:v>260</c:v>
                </c:pt>
                <c:pt idx="298">
                  <c:v>260</c:v>
                </c:pt>
                <c:pt idx="299">
                  <c:v>260</c:v>
                </c:pt>
                <c:pt idx="300">
                  <c:v>260</c:v>
                </c:pt>
                <c:pt idx="301">
                  <c:v>260</c:v>
                </c:pt>
                <c:pt idx="302">
                  <c:v>260</c:v>
                </c:pt>
                <c:pt idx="303">
                  <c:v>260</c:v>
                </c:pt>
                <c:pt idx="304">
                  <c:v>260</c:v>
                </c:pt>
                <c:pt idx="305">
                  <c:v>260</c:v>
                </c:pt>
                <c:pt idx="306">
                  <c:v>260</c:v>
                </c:pt>
                <c:pt idx="307">
                  <c:v>260</c:v>
                </c:pt>
                <c:pt idx="308">
                  <c:v>260</c:v>
                </c:pt>
                <c:pt idx="309">
                  <c:v>260</c:v>
                </c:pt>
                <c:pt idx="310">
                  <c:v>260</c:v>
                </c:pt>
                <c:pt idx="311">
                  <c:v>260</c:v>
                </c:pt>
                <c:pt idx="312">
                  <c:v>260</c:v>
                </c:pt>
                <c:pt idx="313">
                  <c:v>260</c:v>
                </c:pt>
                <c:pt idx="314">
                  <c:v>260</c:v>
                </c:pt>
                <c:pt idx="315">
                  <c:v>260</c:v>
                </c:pt>
                <c:pt idx="316">
                  <c:v>260</c:v>
                </c:pt>
                <c:pt idx="317">
                  <c:v>260</c:v>
                </c:pt>
                <c:pt idx="318">
                  <c:v>260</c:v>
                </c:pt>
                <c:pt idx="319">
                  <c:v>260</c:v>
                </c:pt>
                <c:pt idx="320">
                  <c:v>260</c:v>
                </c:pt>
                <c:pt idx="321">
                  <c:v>260</c:v>
                </c:pt>
                <c:pt idx="322">
                  <c:v>260</c:v>
                </c:pt>
                <c:pt idx="323">
                  <c:v>260</c:v>
                </c:pt>
                <c:pt idx="324">
                  <c:v>260</c:v>
                </c:pt>
                <c:pt idx="325">
                  <c:v>260</c:v>
                </c:pt>
                <c:pt idx="326">
                  <c:v>260</c:v>
                </c:pt>
                <c:pt idx="327">
                  <c:v>260</c:v>
                </c:pt>
                <c:pt idx="328">
                  <c:v>260</c:v>
                </c:pt>
                <c:pt idx="329">
                  <c:v>260</c:v>
                </c:pt>
                <c:pt idx="330">
                  <c:v>260</c:v>
                </c:pt>
                <c:pt idx="331">
                  <c:v>260</c:v>
                </c:pt>
                <c:pt idx="332">
                  <c:v>260</c:v>
                </c:pt>
                <c:pt idx="333">
                  <c:v>260</c:v>
                </c:pt>
                <c:pt idx="334">
                  <c:v>260</c:v>
                </c:pt>
                <c:pt idx="335">
                  <c:v>260</c:v>
                </c:pt>
                <c:pt idx="336">
                  <c:v>260</c:v>
                </c:pt>
                <c:pt idx="337">
                  <c:v>260</c:v>
                </c:pt>
                <c:pt idx="338">
                  <c:v>260</c:v>
                </c:pt>
                <c:pt idx="339">
                  <c:v>260</c:v>
                </c:pt>
                <c:pt idx="340">
                  <c:v>260</c:v>
                </c:pt>
                <c:pt idx="341">
                  <c:v>260</c:v>
                </c:pt>
                <c:pt idx="342">
                  <c:v>260</c:v>
                </c:pt>
                <c:pt idx="343">
                  <c:v>260</c:v>
                </c:pt>
                <c:pt idx="344">
                  <c:v>260</c:v>
                </c:pt>
                <c:pt idx="345">
                  <c:v>260</c:v>
                </c:pt>
                <c:pt idx="346">
                  <c:v>260</c:v>
                </c:pt>
                <c:pt idx="347">
                  <c:v>260</c:v>
                </c:pt>
                <c:pt idx="348">
                  <c:v>260</c:v>
                </c:pt>
                <c:pt idx="349">
                  <c:v>260</c:v>
                </c:pt>
                <c:pt idx="350">
                  <c:v>260</c:v>
                </c:pt>
                <c:pt idx="351">
                  <c:v>260</c:v>
                </c:pt>
                <c:pt idx="352">
                  <c:v>260</c:v>
                </c:pt>
                <c:pt idx="353">
                  <c:v>260</c:v>
                </c:pt>
                <c:pt idx="354">
                  <c:v>260</c:v>
                </c:pt>
                <c:pt idx="355">
                  <c:v>260</c:v>
                </c:pt>
                <c:pt idx="356">
                  <c:v>260</c:v>
                </c:pt>
                <c:pt idx="357">
                  <c:v>260</c:v>
                </c:pt>
                <c:pt idx="358">
                  <c:v>260</c:v>
                </c:pt>
                <c:pt idx="359">
                  <c:v>260</c:v>
                </c:pt>
                <c:pt idx="360">
                  <c:v>260</c:v>
                </c:pt>
                <c:pt idx="361">
                  <c:v>260</c:v>
                </c:pt>
                <c:pt idx="362">
                  <c:v>260</c:v>
                </c:pt>
                <c:pt idx="363">
                  <c:v>260</c:v>
                </c:pt>
                <c:pt idx="364">
                  <c:v>260</c:v>
                </c:pt>
                <c:pt idx="365">
                  <c:v>260</c:v>
                </c:pt>
                <c:pt idx="366">
                  <c:v>260</c:v>
                </c:pt>
                <c:pt idx="367">
                  <c:v>260</c:v>
                </c:pt>
                <c:pt idx="368">
                  <c:v>260</c:v>
                </c:pt>
                <c:pt idx="369">
                  <c:v>260</c:v>
                </c:pt>
                <c:pt idx="370">
                  <c:v>260</c:v>
                </c:pt>
                <c:pt idx="371">
                  <c:v>260</c:v>
                </c:pt>
                <c:pt idx="372">
                  <c:v>260</c:v>
                </c:pt>
                <c:pt idx="373">
                  <c:v>260</c:v>
                </c:pt>
                <c:pt idx="374">
                  <c:v>260</c:v>
                </c:pt>
                <c:pt idx="375">
                  <c:v>260</c:v>
                </c:pt>
                <c:pt idx="376">
                  <c:v>260</c:v>
                </c:pt>
                <c:pt idx="377">
                  <c:v>260</c:v>
                </c:pt>
                <c:pt idx="378">
                  <c:v>260</c:v>
                </c:pt>
                <c:pt idx="379">
                  <c:v>260</c:v>
                </c:pt>
                <c:pt idx="380">
                  <c:v>260</c:v>
                </c:pt>
                <c:pt idx="381">
                  <c:v>260</c:v>
                </c:pt>
                <c:pt idx="382">
                  <c:v>260</c:v>
                </c:pt>
                <c:pt idx="383">
                  <c:v>260</c:v>
                </c:pt>
                <c:pt idx="384">
                  <c:v>260</c:v>
                </c:pt>
                <c:pt idx="385">
                  <c:v>260</c:v>
                </c:pt>
                <c:pt idx="386">
                  <c:v>260</c:v>
                </c:pt>
                <c:pt idx="387">
                  <c:v>260</c:v>
                </c:pt>
                <c:pt idx="388">
                  <c:v>260</c:v>
                </c:pt>
                <c:pt idx="389">
                  <c:v>260</c:v>
                </c:pt>
                <c:pt idx="390">
                  <c:v>260</c:v>
                </c:pt>
                <c:pt idx="391">
                  <c:v>260</c:v>
                </c:pt>
                <c:pt idx="392">
                  <c:v>260</c:v>
                </c:pt>
                <c:pt idx="393">
                  <c:v>260</c:v>
                </c:pt>
                <c:pt idx="394">
                  <c:v>260</c:v>
                </c:pt>
                <c:pt idx="395">
                  <c:v>260</c:v>
                </c:pt>
                <c:pt idx="396">
                  <c:v>260</c:v>
                </c:pt>
                <c:pt idx="397">
                  <c:v>260</c:v>
                </c:pt>
                <c:pt idx="398">
                  <c:v>260</c:v>
                </c:pt>
                <c:pt idx="399">
                  <c:v>260</c:v>
                </c:pt>
                <c:pt idx="400">
                  <c:v>260</c:v>
                </c:pt>
                <c:pt idx="401">
                  <c:v>260</c:v>
                </c:pt>
                <c:pt idx="402">
                  <c:v>260</c:v>
                </c:pt>
                <c:pt idx="403">
                  <c:v>260</c:v>
                </c:pt>
                <c:pt idx="404">
                  <c:v>260</c:v>
                </c:pt>
                <c:pt idx="405">
                  <c:v>260</c:v>
                </c:pt>
                <c:pt idx="406">
                  <c:v>260</c:v>
                </c:pt>
                <c:pt idx="407">
                  <c:v>260</c:v>
                </c:pt>
                <c:pt idx="408">
                  <c:v>260</c:v>
                </c:pt>
                <c:pt idx="409">
                  <c:v>260</c:v>
                </c:pt>
                <c:pt idx="410">
                  <c:v>260</c:v>
                </c:pt>
                <c:pt idx="411">
                  <c:v>260</c:v>
                </c:pt>
                <c:pt idx="412">
                  <c:v>260</c:v>
                </c:pt>
                <c:pt idx="413">
                  <c:v>260</c:v>
                </c:pt>
                <c:pt idx="414">
                  <c:v>260</c:v>
                </c:pt>
                <c:pt idx="415">
                  <c:v>260</c:v>
                </c:pt>
                <c:pt idx="416">
                  <c:v>260</c:v>
                </c:pt>
                <c:pt idx="417">
                  <c:v>260</c:v>
                </c:pt>
                <c:pt idx="418">
                  <c:v>260</c:v>
                </c:pt>
                <c:pt idx="419">
                  <c:v>260</c:v>
                </c:pt>
                <c:pt idx="420">
                  <c:v>260</c:v>
                </c:pt>
                <c:pt idx="421">
                  <c:v>260</c:v>
                </c:pt>
                <c:pt idx="422">
                  <c:v>260</c:v>
                </c:pt>
                <c:pt idx="423">
                  <c:v>260</c:v>
                </c:pt>
                <c:pt idx="424">
                  <c:v>260</c:v>
                </c:pt>
                <c:pt idx="425">
                  <c:v>260</c:v>
                </c:pt>
                <c:pt idx="426">
                  <c:v>260</c:v>
                </c:pt>
                <c:pt idx="427">
                  <c:v>260</c:v>
                </c:pt>
                <c:pt idx="428">
                  <c:v>260</c:v>
                </c:pt>
                <c:pt idx="429">
                  <c:v>260</c:v>
                </c:pt>
                <c:pt idx="430">
                  <c:v>260</c:v>
                </c:pt>
                <c:pt idx="431">
                  <c:v>260</c:v>
                </c:pt>
                <c:pt idx="432">
                  <c:v>260</c:v>
                </c:pt>
                <c:pt idx="433">
                  <c:v>260</c:v>
                </c:pt>
                <c:pt idx="434">
                  <c:v>260</c:v>
                </c:pt>
                <c:pt idx="435">
                  <c:v>260</c:v>
                </c:pt>
                <c:pt idx="436">
                  <c:v>260</c:v>
                </c:pt>
                <c:pt idx="437">
                  <c:v>260</c:v>
                </c:pt>
                <c:pt idx="438">
                  <c:v>260</c:v>
                </c:pt>
                <c:pt idx="439">
                  <c:v>260</c:v>
                </c:pt>
                <c:pt idx="440">
                  <c:v>260</c:v>
                </c:pt>
                <c:pt idx="441">
                  <c:v>260</c:v>
                </c:pt>
                <c:pt idx="442">
                  <c:v>260</c:v>
                </c:pt>
                <c:pt idx="443">
                  <c:v>260</c:v>
                </c:pt>
                <c:pt idx="444">
                  <c:v>260</c:v>
                </c:pt>
                <c:pt idx="445">
                  <c:v>260</c:v>
                </c:pt>
                <c:pt idx="446">
                  <c:v>260</c:v>
                </c:pt>
                <c:pt idx="447">
                  <c:v>260</c:v>
                </c:pt>
                <c:pt idx="448">
                  <c:v>260</c:v>
                </c:pt>
                <c:pt idx="449">
                  <c:v>260</c:v>
                </c:pt>
                <c:pt idx="450">
                  <c:v>260</c:v>
                </c:pt>
                <c:pt idx="451">
                  <c:v>260</c:v>
                </c:pt>
                <c:pt idx="452">
                  <c:v>260</c:v>
                </c:pt>
                <c:pt idx="453">
                  <c:v>260</c:v>
                </c:pt>
                <c:pt idx="454">
                  <c:v>260</c:v>
                </c:pt>
                <c:pt idx="455">
                  <c:v>260</c:v>
                </c:pt>
                <c:pt idx="456">
                  <c:v>260</c:v>
                </c:pt>
                <c:pt idx="457">
                  <c:v>260</c:v>
                </c:pt>
                <c:pt idx="458">
                  <c:v>260</c:v>
                </c:pt>
                <c:pt idx="459">
                  <c:v>260</c:v>
                </c:pt>
                <c:pt idx="460">
                  <c:v>260</c:v>
                </c:pt>
                <c:pt idx="461">
                  <c:v>260</c:v>
                </c:pt>
                <c:pt idx="462">
                  <c:v>260</c:v>
                </c:pt>
                <c:pt idx="463">
                  <c:v>260</c:v>
                </c:pt>
                <c:pt idx="464">
                  <c:v>260</c:v>
                </c:pt>
                <c:pt idx="465">
                  <c:v>260</c:v>
                </c:pt>
                <c:pt idx="466">
                  <c:v>260</c:v>
                </c:pt>
                <c:pt idx="467">
                  <c:v>260</c:v>
                </c:pt>
                <c:pt idx="468">
                  <c:v>260</c:v>
                </c:pt>
                <c:pt idx="469">
                  <c:v>260</c:v>
                </c:pt>
                <c:pt idx="470">
                  <c:v>260</c:v>
                </c:pt>
                <c:pt idx="471">
                  <c:v>260</c:v>
                </c:pt>
                <c:pt idx="472">
                  <c:v>260</c:v>
                </c:pt>
                <c:pt idx="473">
                  <c:v>260</c:v>
                </c:pt>
                <c:pt idx="474">
                  <c:v>260</c:v>
                </c:pt>
                <c:pt idx="475">
                  <c:v>260</c:v>
                </c:pt>
                <c:pt idx="476">
                  <c:v>260</c:v>
                </c:pt>
                <c:pt idx="477">
                  <c:v>260</c:v>
                </c:pt>
                <c:pt idx="478">
                  <c:v>260</c:v>
                </c:pt>
                <c:pt idx="479">
                  <c:v>260</c:v>
                </c:pt>
                <c:pt idx="480">
                  <c:v>260</c:v>
                </c:pt>
                <c:pt idx="481">
                  <c:v>260</c:v>
                </c:pt>
                <c:pt idx="482">
                  <c:v>260</c:v>
                </c:pt>
                <c:pt idx="483">
                  <c:v>260</c:v>
                </c:pt>
                <c:pt idx="484">
                  <c:v>260</c:v>
                </c:pt>
                <c:pt idx="485">
                  <c:v>260</c:v>
                </c:pt>
                <c:pt idx="486">
                  <c:v>260</c:v>
                </c:pt>
                <c:pt idx="487">
                  <c:v>260</c:v>
                </c:pt>
                <c:pt idx="488">
                  <c:v>260</c:v>
                </c:pt>
                <c:pt idx="489">
                  <c:v>260</c:v>
                </c:pt>
                <c:pt idx="490">
                  <c:v>260</c:v>
                </c:pt>
                <c:pt idx="491">
                  <c:v>260</c:v>
                </c:pt>
                <c:pt idx="492">
                  <c:v>260</c:v>
                </c:pt>
                <c:pt idx="493">
                  <c:v>260</c:v>
                </c:pt>
                <c:pt idx="494">
                  <c:v>260</c:v>
                </c:pt>
                <c:pt idx="495">
                  <c:v>260</c:v>
                </c:pt>
                <c:pt idx="496">
                  <c:v>260</c:v>
                </c:pt>
                <c:pt idx="497">
                  <c:v>260</c:v>
                </c:pt>
                <c:pt idx="498">
                  <c:v>260</c:v>
                </c:pt>
                <c:pt idx="499">
                  <c:v>260</c:v>
                </c:pt>
                <c:pt idx="500">
                  <c:v>260</c:v>
                </c:pt>
                <c:pt idx="501">
                  <c:v>260</c:v>
                </c:pt>
                <c:pt idx="502">
                  <c:v>260</c:v>
                </c:pt>
                <c:pt idx="503">
                  <c:v>260</c:v>
                </c:pt>
                <c:pt idx="504">
                  <c:v>260</c:v>
                </c:pt>
                <c:pt idx="505">
                  <c:v>260</c:v>
                </c:pt>
                <c:pt idx="506">
                  <c:v>260</c:v>
                </c:pt>
                <c:pt idx="507">
                  <c:v>260</c:v>
                </c:pt>
                <c:pt idx="508">
                  <c:v>260</c:v>
                </c:pt>
                <c:pt idx="509">
                  <c:v>260</c:v>
                </c:pt>
                <c:pt idx="510">
                  <c:v>260</c:v>
                </c:pt>
                <c:pt idx="511">
                  <c:v>260</c:v>
                </c:pt>
                <c:pt idx="512">
                  <c:v>260</c:v>
                </c:pt>
                <c:pt idx="513">
                  <c:v>260</c:v>
                </c:pt>
                <c:pt idx="514">
                  <c:v>260</c:v>
                </c:pt>
                <c:pt idx="515">
                  <c:v>260</c:v>
                </c:pt>
                <c:pt idx="516">
                  <c:v>260</c:v>
                </c:pt>
                <c:pt idx="517">
                  <c:v>260</c:v>
                </c:pt>
                <c:pt idx="518">
                  <c:v>260</c:v>
                </c:pt>
                <c:pt idx="519">
                  <c:v>260</c:v>
                </c:pt>
                <c:pt idx="520">
                  <c:v>260</c:v>
                </c:pt>
                <c:pt idx="521">
                  <c:v>260</c:v>
                </c:pt>
                <c:pt idx="522">
                  <c:v>260</c:v>
                </c:pt>
                <c:pt idx="523">
                  <c:v>260</c:v>
                </c:pt>
                <c:pt idx="524">
                  <c:v>260</c:v>
                </c:pt>
                <c:pt idx="525">
                  <c:v>260</c:v>
                </c:pt>
                <c:pt idx="526">
                  <c:v>260</c:v>
                </c:pt>
                <c:pt idx="527">
                  <c:v>260</c:v>
                </c:pt>
                <c:pt idx="528">
                  <c:v>260</c:v>
                </c:pt>
                <c:pt idx="529">
                  <c:v>260</c:v>
                </c:pt>
                <c:pt idx="530">
                  <c:v>260</c:v>
                </c:pt>
                <c:pt idx="531">
                  <c:v>260</c:v>
                </c:pt>
                <c:pt idx="532">
                  <c:v>260</c:v>
                </c:pt>
                <c:pt idx="533">
                  <c:v>260</c:v>
                </c:pt>
                <c:pt idx="534">
                  <c:v>260</c:v>
                </c:pt>
                <c:pt idx="535">
                  <c:v>260</c:v>
                </c:pt>
                <c:pt idx="536">
                  <c:v>260</c:v>
                </c:pt>
                <c:pt idx="537">
                  <c:v>260</c:v>
                </c:pt>
                <c:pt idx="538">
                  <c:v>260</c:v>
                </c:pt>
                <c:pt idx="539">
                  <c:v>260</c:v>
                </c:pt>
                <c:pt idx="540">
                  <c:v>260</c:v>
                </c:pt>
                <c:pt idx="541">
                  <c:v>260</c:v>
                </c:pt>
                <c:pt idx="542">
                  <c:v>260</c:v>
                </c:pt>
                <c:pt idx="543">
                  <c:v>260</c:v>
                </c:pt>
                <c:pt idx="544">
                  <c:v>260</c:v>
                </c:pt>
                <c:pt idx="545">
                  <c:v>260</c:v>
                </c:pt>
                <c:pt idx="546">
                  <c:v>260</c:v>
                </c:pt>
                <c:pt idx="547">
                  <c:v>260</c:v>
                </c:pt>
                <c:pt idx="548">
                  <c:v>260</c:v>
                </c:pt>
                <c:pt idx="549">
                  <c:v>260</c:v>
                </c:pt>
                <c:pt idx="550">
                  <c:v>260</c:v>
                </c:pt>
                <c:pt idx="551">
                  <c:v>260</c:v>
                </c:pt>
                <c:pt idx="552">
                  <c:v>260</c:v>
                </c:pt>
                <c:pt idx="553">
                  <c:v>260</c:v>
                </c:pt>
                <c:pt idx="554">
                  <c:v>260</c:v>
                </c:pt>
                <c:pt idx="555">
                  <c:v>260</c:v>
                </c:pt>
                <c:pt idx="556">
                  <c:v>260</c:v>
                </c:pt>
                <c:pt idx="557">
                  <c:v>260</c:v>
                </c:pt>
                <c:pt idx="558">
                  <c:v>260</c:v>
                </c:pt>
                <c:pt idx="559">
                  <c:v>260</c:v>
                </c:pt>
                <c:pt idx="560">
                  <c:v>260</c:v>
                </c:pt>
                <c:pt idx="561">
                  <c:v>260</c:v>
                </c:pt>
                <c:pt idx="562">
                  <c:v>260</c:v>
                </c:pt>
                <c:pt idx="563">
                  <c:v>260</c:v>
                </c:pt>
                <c:pt idx="564">
                  <c:v>260</c:v>
                </c:pt>
                <c:pt idx="565">
                  <c:v>260</c:v>
                </c:pt>
                <c:pt idx="566">
                  <c:v>260</c:v>
                </c:pt>
                <c:pt idx="567">
                  <c:v>260</c:v>
                </c:pt>
                <c:pt idx="568">
                  <c:v>260</c:v>
                </c:pt>
                <c:pt idx="569">
                  <c:v>260</c:v>
                </c:pt>
                <c:pt idx="570">
                  <c:v>260</c:v>
                </c:pt>
                <c:pt idx="571">
                  <c:v>260</c:v>
                </c:pt>
                <c:pt idx="572">
                  <c:v>260</c:v>
                </c:pt>
                <c:pt idx="573">
                  <c:v>260</c:v>
                </c:pt>
                <c:pt idx="574">
                  <c:v>260</c:v>
                </c:pt>
                <c:pt idx="575">
                  <c:v>260</c:v>
                </c:pt>
                <c:pt idx="576">
                  <c:v>260</c:v>
                </c:pt>
                <c:pt idx="577">
                  <c:v>260</c:v>
                </c:pt>
                <c:pt idx="578">
                  <c:v>260</c:v>
                </c:pt>
                <c:pt idx="579">
                  <c:v>260</c:v>
                </c:pt>
                <c:pt idx="580">
                  <c:v>260</c:v>
                </c:pt>
                <c:pt idx="581">
                  <c:v>260</c:v>
                </c:pt>
                <c:pt idx="582">
                  <c:v>260</c:v>
                </c:pt>
                <c:pt idx="583">
                  <c:v>260</c:v>
                </c:pt>
                <c:pt idx="584">
                  <c:v>260</c:v>
                </c:pt>
                <c:pt idx="585">
                  <c:v>260</c:v>
                </c:pt>
                <c:pt idx="586">
                  <c:v>260</c:v>
                </c:pt>
                <c:pt idx="587">
                  <c:v>260</c:v>
                </c:pt>
                <c:pt idx="588">
                  <c:v>260</c:v>
                </c:pt>
                <c:pt idx="589">
                  <c:v>260</c:v>
                </c:pt>
                <c:pt idx="590">
                  <c:v>260</c:v>
                </c:pt>
                <c:pt idx="591">
                  <c:v>260</c:v>
                </c:pt>
                <c:pt idx="592">
                  <c:v>260</c:v>
                </c:pt>
                <c:pt idx="593">
                  <c:v>260</c:v>
                </c:pt>
                <c:pt idx="594">
                  <c:v>260</c:v>
                </c:pt>
                <c:pt idx="595">
                  <c:v>260</c:v>
                </c:pt>
                <c:pt idx="596">
                  <c:v>260</c:v>
                </c:pt>
                <c:pt idx="597">
                  <c:v>260</c:v>
                </c:pt>
                <c:pt idx="598">
                  <c:v>260</c:v>
                </c:pt>
                <c:pt idx="599">
                  <c:v>0</c:v>
                </c:pt>
                <c:pt idx="600">
                  <c:v>0</c:v>
                </c:pt>
                <c:pt idx="601">
                  <c:v>0</c:v>
                </c:pt>
                <c:pt idx="602">
                  <c:v>0</c:v>
                </c:pt>
                <c:pt idx="603">
                  <c:v>0</c:v>
                </c:pt>
                <c:pt idx="604">
                  <c:v>0</c:v>
                </c:pt>
                <c:pt idx="605">
                  <c:v>0</c:v>
                </c:pt>
                <c:pt idx="606">
                  <c:v>0</c:v>
                </c:pt>
                <c:pt idx="607">
                  <c:v>0</c:v>
                </c:pt>
                <c:pt idx="608">
                  <c:v>0</c:v>
                </c:pt>
                <c:pt idx="609">
                  <c:v>0</c:v>
                </c:pt>
                <c:pt idx="610">
                  <c:v>0</c:v>
                </c:pt>
                <c:pt idx="611">
                  <c:v>0</c:v>
                </c:pt>
                <c:pt idx="612">
                  <c:v>0</c:v>
                </c:pt>
                <c:pt idx="613">
                  <c:v>0</c:v>
                </c:pt>
                <c:pt idx="614">
                  <c:v>0</c:v>
                </c:pt>
                <c:pt idx="615">
                  <c:v>0</c:v>
                </c:pt>
                <c:pt idx="616">
                  <c:v>0</c:v>
                </c:pt>
                <c:pt idx="617">
                  <c:v>0</c:v>
                </c:pt>
                <c:pt idx="618">
                  <c:v>0</c:v>
                </c:pt>
                <c:pt idx="619">
                  <c:v>0</c:v>
                </c:pt>
                <c:pt idx="620">
                  <c:v>0</c:v>
                </c:pt>
                <c:pt idx="621">
                  <c:v>0</c:v>
                </c:pt>
                <c:pt idx="622">
                  <c:v>0</c:v>
                </c:pt>
                <c:pt idx="623">
                  <c:v>0</c:v>
                </c:pt>
                <c:pt idx="624">
                  <c:v>0</c:v>
                </c:pt>
                <c:pt idx="625">
                  <c:v>0</c:v>
                </c:pt>
                <c:pt idx="626">
                  <c:v>0</c:v>
                </c:pt>
                <c:pt idx="627">
                  <c:v>0</c:v>
                </c:pt>
                <c:pt idx="628">
                  <c:v>0</c:v>
                </c:pt>
                <c:pt idx="629">
                  <c:v>0</c:v>
                </c:pt>
                <c:pt idx="630">
                  <c:v>0</c:v>
                </c:pt>
                <c:pt idx="631">
                  <c:v>0</c:v>
                </c:pt>
                <c:pt idx="632">
                  <c:v>0</c:v>
                </c:pt>
                <c:pt idx="633">
                  <c:v>0</c:v>
                </c:pt>
                <c:pt idx="634">
                  <c:v>0</c:v>
                </c:pt>
                <c:pt idx="635">
                  <c:v>0</c:v>
                </c:pt>
                <c:pt idx="636">
                  <c:v>0</c:v>
                </c:pt>
                <c:pt idx="637">
                  <c:v>0</c:v>
                </c:pt>
                <c:pt idx="638">
                  <c:v>0</c:v>
                </c:pt>
                <c:pt idx="639">
                  <c:v>0</c:v>
                </c:pt>
                <c:pt idx="640">
                  <c:v>0</c:v>
                </c:pt>
                <c:pt idx="641">
                  <c:v>0</c:v>
                </c:pt>
                <c:pt idx="642">
                  <c:v>0</c:v>
                </c:pt>
                <c:pt idx="643">
                  <c:v>0</c:v>
                </c:pt>
                <c:pt idx="644">
                  <c:v>0</c:v>
                </c:pt>
                <c:pt idx="645">
                  <c:v>0</c:v>
                </c:pt>
                <c:pt idx="646">
                  <c:v>0</c:v>
                </c:pt>
                <c:pt idx="647">
                  <c:v>0</c:v>
                </c:pt>
                <c:pt idx="648">
                  <c:v>0</c:v>
                </c:pt>
                <c:pt idx="649">
                  <c:v>0</c:v>
                </c:pt>
                <c:pt idx="650">
                  <c:v>0</c:v>
                </c:pt>
                <c:pt idx="651">
                  <c:v>0</c:v>
                </c:pt>
                <c:pt idx="652">
                  <c:v>0</c:v>
                </c:pt>
                <c:pt idx="653">
                  <c:v>0</c:v>
                </c:pt>
                <c:pt idx="654">
                  <c:v>0</c:v>
                </c:pt>
                <c:pt idx="655">
                  <c:v>0</c:v>
                </c:pt>
                <c:pt idx="656">
                  <c:v>0</c:v>
                </c:pt>
                <c:pt idx="657">
                  <c:v>0</c:v>
                </c:pt>
                <c:pt idx="658">
                  <c:v>0</c:v>
                </c:pt>
                <c:pt idx="659">
                  <c:v>0</c:v>
                </c:pt>
                <c:pt idx="660">
                  <c:v>0</c:v>
                </c:pt>
                <c:pt idx="661">
                  <c:v>0</c:v>
                </c:pt>
                <c:pt idx="662">
                  <c:v>0</c:v>
                </c:pt>
                <c:pt idx="663">
                  <c:v>0</c:v>
                </c:pt>
                <c:pt idx="664">
                  <c:v>0</c:v>
                </c:pt>
                <c:pt idx="665">
                  <c:v>0</c:v>
                </c:pt>
                <c:pt idx="666">
                  <c:v>0</c:v>
                </c:pt>
                <c:pt idx="667">
                  <c:v>0</c:v>
                </c:pt>
                <c:pt idx="668">
                  <c:v>0</c:v>
                </c:pt>
                <c:pt idx="669">
                  <c:v>0</c:v>
                </c:pt>
                <c:pt idx="670">
                  <c:v>0</c:v>
                </c:pt>
                <c:pt idx="671">
                  <c:v>0</c:v>
                </c:pt>
                <c:pt idx="672">
                  <c:v>0</c:v>
                </c:pt>
                <c:pt idx="673">
                  <c:v>0</c:v>
                </c:pt>
                <c:pt idx="674">
                  <c:v>0</c:v>
                </c:pt>
                <c:pt idx="675">
                  <c:v>0</c:v>
                </c:pt>
                <c:pt idx="676">
                  <c:v>0</c:v>
                </c:pt>
                <c:pt idx="677">
                  <c:v>0</c:v>
                </c:pt>
                <c:pt idx="678">
                  <c:v>0</c:v>
                </c:pt>
                <c:pt idx="679">
                  <c:v>0</c:v>
                </c:pt>
                <c:pt idx="680">
                  <c:v>0</c:v>
                </c:pt>
                <c:pt idx="681">
                  <c:v>0</c:v>
                </c:pt>
                <c:pt idx="682">
                  <c:v>0</c:v>
                </c:pt>
                <c:pt idx="683">
                  <c:v>0</c:v>
                </c:pt>
                <c:pt idx="684">
                  <c:v>0</c:v>
                </c:pt>
                <c:pt idx="685">
                  <c:v>0</c:v>
                </c:pt>
                <c:pt idx="686">
                  <c:v>0</c:v>
                </c:pt>
                <c:pt idx="687">
                  <c:v>0</c:v>
                </c:pt>
                <c:pt idx="688">
                  <c:v>0</c:v>
                </c:pt>
                <c:pt idx="689">
                  <c:v>0</c:v>
                </c:pt>
                <c:pt idx="690">
                  <c:v>0</c:v>
                </c:pt>
                <c:pt idx="691">
                  <c:v>0</c:v>
                </c:pt>
                <c:pt idx="692">
                  <c:v>0</c:v>
                </c:pt>
                <c:pt idx="693">
                  <c:v>0</c:v>
                </c:pt>
                <c:pt idx="694">
                  <c:v>0</c:v>
                </c:pt>
                <c:pt idx="695">
                  <c:v>0</c:v>
                </c:pt>
                <c:pt idx="696">
                  <c:v>0</c:v>
                </c:pt>
                <c:pt idx="697">
                  <c:v>0</c:v>
                </c:pt>
                <c:pt idx="698">
                  <c:v>0</c:v>
                </c:pt>
                <c:pt idx="699">
                  <c:v>0</c:v>
                </c:pt>
                <c:pt idx="700">
                  <c:v>0</c:v>
                </c:pt>
                <c:pt idx="701">
                  <c:v>0</c:v>
                </c:pt>
                <c:pt idx="702">
                  <c:v>0</c:v>
                </c:pt>
                <c:pt idx="703">
                  <c:v>0</c:v>
                </c:pt>
                <c:pt idx="704">
                  <c:v>0</c:v>
                </c:pt>
                <c:pt idx="705">
                  <c:v>0</c:v>
                </c:pt>
                <c:pt idx="706">
                  <c:v>0</c:v>
                </c:pt>
                <c:pt idx="707">
                  <c:v>0</c:v>
                </c:pt>
                <c:pt idx="708">
                  <c:v>0</c:v>
                </c:pt>
                <c:pt idx="709">
                  <c:v>0</c:v>
                </c:pt>
                <c:pt idx="710">
                  <c:v>0</c:v>
                </c:pt>
                <c:pt idx="711">
                  <c:v>0</c:v>
                </c:pt>
                <c:pt idx="712">
                  <c:v>0</c:v>
                </c:pt>
                <c:pt idx="713">
                  <c:v>0</c:v>
                </c:pt>
                <c:pt idx="714">
                  <c:v>0</c:v>
                </c:pt>
                <c:pt idx="715">
                  <c:v>0</c:v>
                </c:pt>
                <c:pt idx="716">
                  <c:v>0</c:v>
                </c:pt>
                <c:pt idx="717">
                  <c:v>0</c:v>
                </c:pt>
                <c:pt idx="718">
                  <c:v>0</c:v>
                </c:pt>
                <c:pt idx="719">
                  <c:v>0</c:v>
                </c:pt>
                <c:pt idx="720">
                  <c:v>0</c:v>
                </c:pt>
                <c:pt idx="721">
                  <c:v>0</c:v>
                </c:pt>
                <c:pt idx="722">
                  <c:v>0</c:v>
                </c:pt>
                <c:pt idx="723">
                  <c:v>0</c:v>
                </c:pt>
                <c:pt idx="724">
                  <c:v>0</c:v>
                </c:pt>
                <c:pt idx="725">
                  <c:v>0</c:v>
                </c:pt>
                <c:pt idx="726">
                  <c:v>0</c:v>
                </c:pt>
                <c:pt idx="727">
                  <c:v>0</c:v>
                </c:pt>
                <c:pt idx="728">
                  <c:v>0</c:v>
                </c:pt>
                <c:pt idx="729">
                  <c:v>0</c:v>
                </c:pt>
                <c:pt idx="730">
                  <c:v>0</c:v>
                </c:pt>
                <c:pt idx="731">
                  <c:v>0</c:v>
                </c:pt>
                <c:pt idx="732">
                  <c:v>0</c:v>
                </c:pt>
                <c:pt idx="733">
                  <c:v>0</c:v>
                </c:pt>
                <c:pt idx="734">
                  <c:v>0</c:v>
                </c:pt>
                <c:pt idx="735">
                  <c:v>0</c:v>
                </c:pt>
                <c:pt idx="736">
                  <c:v>0</c:v>
                </c:pt>
                <c:pt idx="737">
                  <c:v>0</c:v>
                </c:pt>
                <c:pt idx="738">
                  <c:v>0</c:v>
                </c:pt>
                <c:pt idx="739">
                  <c:v>0</c:v>
                </c:pt>
                <c:pt idx="740">
                  <c:v>0</c:v>
                </c:pt>
                <c:pt idx="741">
                  <c:v>0</c:v>
                </c:pt>
                <c:pt idx="742">
                  <c:v>0</c:v>
                </c:pt>
                <c:pt idx="743">
                  <c:v>0</c:v>
                </c:pt>
                <c:pt idx="744">
                  <c:v>0</c:v>
                </c:pt>
                <c:pt idx="745">
                  <c:v>0</c:v>
                </c:pt>
                <c:pt idx="746">
                  <c:v>0</c:v>
                </c:pt>
                <c:pt idx="747">
                  <c:v>0</c:v>
                </c:pt>
                <c:pt idx="748">
                  <c:v>0</c:v>
                </c:pt>
                <c:pt idx="749">
                  <c:v>0</c:v>
                </c:pt>
                <c:pt idx="750">
                  <c:v>0</c:v>
                </c:pt>
                <c:pt idx="751">
                  <c:v>0</c:v>
                </c:pt>
                <c:pt idx="752">
                  <c:v>0</c:v>
                </c:pt>
                <c:pt idx="753">
                  <c:v>0</c:v>
                </c:pt>
                <c:pt idx="754">
                  <c:v>0</c:v>
                </c:pt>
                <c:pt idx="755">
                  <c:v>0</c:v>
                </c:pt>
                <c:pt idx="756">
                  <c:v>0</c:v>
                </c:pt>
                <c:pt idx="757">
                  <c:v>0</c:v>
                </c:pt>
                <c:pt idx="758">
                  <c:v>0</c:v>
                </c:pt>
                <c:pt idx="759">
                  <c:v>0</c:v>
                </c:pt>
                <c:pt idx="760">
                  <c:v>0</c:v>
                </c:pt>
                <c:pt idx="761">
                  <c:v>0</c:v>
                </c:pt>
                <c:pt idx="762">
                  <c:v>0</c:v>
                </c:pt>
                <c:pt idx="763">
                  <c:v>0</c:v>
                </c:pt>
                <c:pt idx="764">
                  <c:v>0</c:v>
                </c:pt>
                <c:pt idx="765">
                  <c:v>0</c:v>
                </c:pt>
                <c:pt idx="766">
                  <c:v>0</c:v>
                </c:pt>
                <c:pt idx="767">
                  <c:v>0</c:v>
                </c:pt>
                <c:pt idx="768">
                  <c:v>0</c:v>
                </c:pt>
                <c:pt idx="769">
                  <c:v>0</c:v>
                </c:pt>
                <c:pt idx="770">
                  <c:v>0</c:v>
                </c:pt>
                <c:pt idx="771">
                  <c:v>0</c:v>
                </c:pt>
                <c:pt idx="772">
                  <c:v>0</c:v>
                </c:pt>
                <c:pt idx="773">
                  <c:v>0</c:v>
                </c:pt>
                <c:pt idx="774">
                  <c:v>0</c:v>
                </c:pt>
                <c:pt idx="775">
                  <c:v>0</c:v>
                </c:pt>
                <c:pt idx="776">
                  <c:v>0</c:v>
                </c:pt>
                <c:pt idx="777">
                  <c:v>0</c:v>
                </c:pt>
                <c:pt idx="778">
                  <c:v>0</c:v>
                </c:pt>
                <c:pt idx="779">
                  <c:v>0</c:v>
                </c:pt>
                <c:pt idx="780">
                  <c:v>0</c:v>
                </c:pt>
                <c:pt idx="781">
                  <c:v>0</c:v>
                </c:pt>
                <c:pt idx="782">
                  <c:v>0</c:v>
                </c:pt>
                <c:pt idx="783">
                  <c:v>0</c:v>
                </c:pt>
                <c:pt idx="784">
                  <c:v>0</c:v>
                </c:pt>
                <c:pt idx="785">
                  <c:v>0</c:v>
                </c:pt>
                <c:pt idx="786">
                  <c:v>0</c:v>
                </c:pt>
                <c:pt idx="787">
                  <c:v>0</c:v>
                </c:pt>
                <c:pt idx="788">
                  <c:v>0</c:v>
                </c:pt>
                <c:pt idx="789">
                  <c:v>0</c:v>
                </c:pt>
                <c:pt idx="790">
                  <c:v>0</c:v>
                </c:pt>
                <c:pt idx="791">
                  <c:v>0</c:v>
                </c:pt>
                <c:pt idx="792">
                  <c:v>0</c:v>
                </c:pt>
                <c:pt idx="793">
                  <c:v>0</c:v>
                </c:pt>
                <c:pt idx="794">
                  <c:v>0</c:v>
                </c:pt>
                <c:pt idx="795">
                  <c:v>0</c:v>
                </c:pt>
                <c:pt idx="796">
                  <c:v>0</c:v>
                </c:pt>
                <c:pt idx="797">
                  <c:v>0</c:v>
                </c:pt>
                <c:pt idx="798">
                  <c:v>0</c:v>
                </c:pt>
                <c:pt idx="799">
                  <c:v>0</c:v>
                </c:pt>
                <c:pt idx="800">
                  <c:v>0</c:v>
                </c:pt>
                <c:pt idx="801">
                  <c:v>0</c:v>
                </c:pt>
                <c:pt idx="802">
                  <c:v>0</c:v>
                </c:pt>
                <c:pt idx="803">
                  <c:v>0</c:v>
                </c:pt>
                <c:pt idx="804">
                  <c:v>0</c:v>
                </c:pt>
                <c:pt idx="805">
                  <c:v>0</c:v>
                </c:pt>
                <c:pt idx="806">
                  <c:v>0</c:v>
                </c:pt>
                <c:pt idx="807">
                  <c:v>0</c:v>
                </c:pt>
                <c:pt idx="808">
                  <c:v>0</c:v>
                </c:pt>
                <c:pt idx="809">
                  <c:v>0</c:v>
                </c:pt>
                <c:pt idx="810">
                  <c:v>0</c:v>
                </c:pt>
                <c:pt idx="811">
                  <c:v>0</c:v>
                </c:pt>
                <c:pt idx="812">
                  <c:v>0</c:v>
                </c:pt>
                <c:pt idx="813">
                  <c:v>0</c:v>
                </c:pt>
                <c:pt idx="814">
                  <c:v>0</c:v>
                </c:pt>
                <c:pt idx="815">
                  <c:v>0</c:v>
                </c:pt>
                <c:pt idx="816">
                  <c:v>0</c:v>
                </c:pt>
                <c:pt idx="817">
                  <c:v>0</c:v>
                </c:pt>
                <c:pt idx="818">
                  <c:v>0</c:v>
                </c:pt>
                <c:pt idx="819">
                  <c:v>0</c:v>
                </c:pt>
                <c:pt idx="820">
                  <c:v>0</c:v>
                </c:pt>
                <c:pt idx="821">
                  <c:v>0</c:v>
                </c:pt>
                <c:pt idx="822">
                  <c:v>0</c:v>
                </c:pt>
                <c:pt idx="823">
                  <c:v>0</c:v>
                </c:pt>
                <c:pt idx="824">
                  <c:v>0</c:v>
                </c:pt>
                <c:pt idx="825">
                  <c:v>0</c:v>
                </c:pt>
                <c:pt idx="826">
                  <c:v>0</c:v>
                </c:pt>
                <c:pt idx="827">
                  <c:v>0</c:v>
                </c:pt>
                <c:pt idx="828">
                  <c:v>0</c:v>
                </c:pt>
                <c:pt idx="829">
                  <c:v>0</c:v>
                </c:pt>
                <c:pt idx="830">
                  <c:v>0</c:v>
                </c:pt>
                <c:pt idx="831">
                  <c:v>0</c:v>
                </c:pt>
                <c:pt idx="832">
                  <c:v>0</c:v>
                </c:pt>
                <c:pt idx="833">
                  <c:v>0</c:v>
                </c:pt>
                <c:pt idx="834">
                  <c:v>0</c:v>
                </c:pt>
                <c:pt idx="835">
                  <c:v>0</c:v>
                </c:pt>
                <c:pt idx="836">
                  <c:v>0</c:v>
                </c:pt>
                <c:pt idx="837">
                  <c:v>0</c:v>
                </c:pt>
                <c:pt idx="838">
                  <c:v>0</c:v>
                </c:pt>
                <c:pt idx="839">
                  <c:v>0</c:v>
                </c:pt>
                <c:pt idx="840">
                  <c:v>0</c:v>
                </c:pt>
                <c:pt idx="841">
                  <c:v>0</c:v>
                </c:pt>
                <c:pt idx="842">
                  <c:v>0</c:v>
                </c:pt>
                <c:pt idx="843">
                  <c:v>0</c:v>
                </c:pt>
                <c:pt idx="844">
                  <c:v>0</c:v>
                </c:pt>
                <c:pt idx="845">
                  <c:v>0</c:v>
                </c:pt>
                <c:pt idx="846">
                  <c:v>0</c:v>
                </c:pt>
                <c:pt idx="847">
                  <c:v>0</c:v>
                </c:pt>
                <c:pt idx="848">
                  <c:v>0</c:v>
                </c:pt>
                <c:pt idx="849">
                  <c:v>0</c:v>
                </c:pt>
                <c:pt idx="850">
                  <c:v>0</c:v>
                </c:pt>
                <c:pt idx="851">
                  <c:v>0</c:v>
                </c:pt>
                <c:pt idx="852">
                  <c:v>0</c:v>
                </c:pt>
                <c:pt idx="853">
                  <c:v>0</c:v>
                </c:pt>
                <c:pt idx="854">
                  <c:v>0</c:v>
                </c:pt>
                <c:pt idx="855">
                  <c:v>0</c:v>
                </c:pt>
                <c:pt idx="856">
                  <c:v>0</c:v>
                </c:pt>
                <c:pt idx="857">
                  <c:v>0</c:v>
                </c:pt>
                <c:pt idx="858">
                  <c:v>0</c:v>
                </c:pt>
                <c:pt idx="859">
                  <c:v>0</c:v>
                </c:pt>
                <c:pt idx="860">
                  <c:v>0</c:v>
                </c:pt>
                <c:pt idx="861">
                  <c:v>0</c:v>
                </c:pt>
                <c:pt idx="862">
                  <c:v>0</c:v>
                </c:pt>
                <c:pt idx="863">
                  <c:v>0</c:v>
                </c:pt>
                <c:pt idx="864">
                  <c:v>0</c:v>
                </c:pt>
                <c:pt idx="865">
                  <c:v>0</c:v>
                </c:pt>
                <c:pt idx="866">
                  <c:v>0</c:v>
                </c:pt>
                <c:pt idx="867">
                  <c:v>0</c:v>
                </c:pt>
                <c:pt idx="868">
                  <c:v>0</c:v>
                </c:pt>
                <c:pt idx="869">
                  <c:v>0</c:v>
                </c:pt>
                <c:pt idx="870">
                  <c:v>0</c:v>
                </c:pt>
                <c:pt idx="871">
                  <c:v>0</c:v>
                </c:pt>
                <c:pt idx="872">
                  <c:v>0</c:v>
                </c:pt>
                <c:pt idx="873">
                  <c:v>0</c:v>
                </c:pt>
                <c:pt idx="874">
                  <c:v>0</c:v>
                </c:pt>
                <c:pt idx="875">
                  <c:v>0</c:v>
                </c:pt>
                <c:pt idx="876">
                  <c:v>0</c:v>
                </c:pt>
                <c:pt idx="877">
                  <c:v>0</c:v>
                </c:pt>
                <c:pt idx="878">
                  <c:v>0</c:v>
                </c:pt>
                <c:pt idx="879">
                  <c:v>0</c:v>
                </c:pt>
                <c:pt idx="880">
                  <c:v>0</c:v>
                </c:pt>
                <c:pt idx="881">
                  <c:v>0</c:v>
                </c:pt>
                <c:pt idx="882">
                  <c:v>0</c:v>
                </c:pt>
                <c:pt idx="883">
                  <c:v>0</c:v>
                </c:pt>
                <c:pt idx="884">
                  <c:v>0</c:v>
                </c:pt>
                <c:pt idx="885">
                  <c:v>0</c:v>
                </c:pt>
                <c:pt idx="886">
                  <c:v>0</c:v>
                </c:pt>
                <c:pt idx="887">
                  <c:v>0</c:v>
                </c:pt>
                <c:pt idx="888">
                  <c:v>0</c:v>
                </c:pt>
                <c:pt idx="889">
                  <c:v>0</c:v>
                </c:pt>
                <c:pt idx="890">
                  <c:v>0</c:v>
                </c:pt>
                <c:pt idx="891">
                  <c:v>0</c:v>
                </c:pt>
                <c:pt idx="892">
                  <c:v>0</c:v>
                </c:pt>
                <c:pt idx="893">
                  <c:v>0</c:v>
                </c:pt>
                <c:pt idx="894">
                  <c:v>0</c:v>
                </c:pt>
                <c:pt idx="895">
                  <c:v>0</c:v>
                </c:pt>
                <c:pt idx="896">
                  <c:v>0</c:v>
                </c:pt>
                <c:pt idx="897">
                  <c:v>0</c:v>
                </c:pt>
                <c:pt idx="898">
                  <c:v>0</c:v>
                </c:pt>
                <c:pt idx="899">
                  <c:v>0</c:v>
                </c:pt>
                <c:pt idx="900">
                  <c:v>0</c:v>
                </c:pt>
                <c:pt idx="901">
                  <c:v>0</c:v>
                </c:pt>
                <c:pt idx="902">
                  <c:v>0</c:v>
                </c:pt>
                <c:pt idx="903">
                  <c:v>0</c:v>
                </c:pt>
                <c:pt idx="904">
                  <c:v>0</c:v>
                </c:pt>
                <c:pt idx="905">
                  <c:v>0</c:v>
                </c:pt>
                <c:pt idx="906">
                  <c:v>0</c:v>
                </c:pt>
                <c:pt idx="907">
                  <c:v>0</c:v>
                </c:pt>
                <c:pt idx="908">
                  <c:v>0</c:v>
                </c:pt>
                <c:pt idx="909">
                  <c:v>0</c:v>
                </c:pt>
                <c:pt idx="910">
                  <c:v>0</c:v>
                </c:pt>
                <c:pt idx="911">
                  <c:v>0</c:v>
                </c:pt>
                <c:pt idx="912">
                  <c:v>0</c:v>
                </c:pt>
                <c:pt idx="913">
                  <c:v>0</c:v>
                </c:pt>
                <c:pt idx="914">
                  <c:v>0</c:v>
                </c:pt>
                <c:pt idx="915">
                  <c:v>0</c:v>
                </c:pt>
                <c:pt idx="916">
                  <c:v>0</c:v>
                </c:pt>
                <c:pt idx="917">
                  <c:v>0</c:v>
                </c:pt>
                <c:pt idx="918">
                  <c:v>0</c:v>
                </c:pt>
                <c:pt idx="919">
                  <c:v>0</c:v>
                </c:pt>
                <c:pt idx="920">
                  <c:v>0</c:v>
                </c:pt>
                <c:pt idx="921">
                  <c:v>0</c:v>
                </c:pt>
                <c:pt idx="922">
                  <c:v>0</c:v>
                </c:pt>
                <c:pt idx="923">
                  <c:v>0</c:v>
                </c:pt>
                <c:pt idx="924">
                  <c:v>0</c:v>
                </c:pt>
                <c:pt idx="925">
                  <c:v>0</c:v>
                </c:pt>
                <c:pt idx="926">
                  <c:v>0</c:v>
                </c:pt>
                <c:pt idx="927">
                  <c:v>0</c:v>
                </c:pt>
                <c:pt idx="928">
                  <c:v>0</c:v>
                </c:pt>
                <c:pt idx="929">
                  <c:v>0</c:v>
                </c:pt>
                <c:pt idx="930">
                  <c:v>0</c:v>
                </c:pt>
                <c:pt idx="931">
                  <c:v>0</c:v>
                </c:pt>
                <c:pt idx="932">
                  <c:v>0</c:v>
                </c:pt>
                <c:pt idx="933">
                  <c:v>0</c:v>
                </c:pt>
                <c:pt idx="934">
                  <c:v>0</c:v>
                </c:pt>
                <c:pt idx="935">
                  <c:v>0</c:v>
                </c:pt>
                <c:pt idx="936">
                  <c:v>0</c:v>
                </c:pt>
                <c:pt idx="937">
                  <c:v>0</c:v>
                </c:pt>
                <c:pt idx="938">
                  <c:v>0</c:v>
                </c:pt>
                <c:pt idx="939">
                  <c:v>0</c:v>
                </c:pt>
                <c:pt idx="940">
                  <c:v>0</c:v>
                </c:pt>
                <c:pt idx="941">
                  <c:v>0</c:v>
                </c:pt>
                <c:pt idx="942">
                  <c:v>0</c:v>
                </c:pt>
                <c:pt idx="943">
                  <c:v>0</c:v>
                </c:pt>
                <c:pt idx="944">
                  <c:v>0</c:v>
                </c:pt>
                <c:pt idx="945">
                  <c:v>0</c:v>
                </c:pt>
                <c:pt idx="946">
                  <c:v>0</c:v>
                </c:pt>
                <c:pt idx="947">
                  <c:v>0</c:v>
                </c:pt>
                <c:pt idx="948">
                  <c:v>0</c:v>
                </c:pt>
                <c:pt idx="949">
                  <c:v>0</c:v>
                </c:pt>
                <c:pt idx="950">
                  <c:v>0</c:v>
                </c:pt>
                <c:pt idx="951">
                  <c:v>0</c:v>
                </c:pt>
                <c:pt idx="952">
                  <c:v>0</c:v>
                </c:pt>
                <c:pt idx="953">
                  <c:v>0</c:v>
                </c:pt>
                <c:pt idx="954">
                  <c:v>0</c:v>
                </c:pt>
                <c:pt idx="955">
                  <c:v>0</c:v>
                </c:pt>
                <c:pt idx="956">
                  <c:v>0</c:v>
                </c:pt>
                <c:pt idx="957">
                  <c:v>0</c:v>
                </c:pt>
                <c:pt idx="958">
                  <c:v>0</c:v>
                </c:pt>
                <c:pt idx="959">
                  <c:v>0</c:v>
                </c:pt>
                <c:pt idx="960">
                  <c:v>0</c:v>
                </c:pt>
                <c:pt idx="961">
                  <c:v>0</c:v>
                </c:pt>
                <c:pt idx="962">
                  <c:v>0</c:v>
                </c:pt>
                <c:pt idx="963">
                  <c:v>0</c:v>
                </c:pt>
                <c:pt idx="964">
                  <c:v>0</c:v>
                </c:pt>
                <c:pt idx="965">
                  <c:v>0</c:v>
                </c:pt>
                <c:pt idx="966">
                  <c:v>0</c:v>
                </c:pt>
                <c:pt idx="967">
                  <c:v>0</c:v>
                </c:pt>
                <c:pt idx="968">
                  <c:v>0</c:v>
                </c:pt>
                <c:pt idx="969">
                  <c:v>0</c:v>
                </c:pt>
                <c:pt idx="970">
                  <c:v>0</c:v>
                </c:pt>
                <c:pt idx="971">
                  <c:v>0</c:v>
                </c:pt>
                <c:pt idx="972">
                  <c:v>0</c:v>
                </c:pt>
                <c:pt idx="973">
                  <c:v>0</c:v>
                </c:pt>
                <c:pt idx="974">
                  <c:v>0</c:v>
                </c:pt>
                <c:pt idx="975">
                  <c:v>0</c:v>
                </c:pt>
                <c:pt idx="976">
                  <c:v>0</c:v>
                </c:pt>
                <c:pt idx="977">
                  <c:v>0</c:v>
                </c:pt>
                <c:pt idx="978">
                  <c:v>0</c:v>
                </c:pt>
                <c:pt idx="979">
                  <c:v>0</c:v>
                </c:pt>
                <c:pt idx="980">
                  <c:v>0</c:v>
                </c:pt>
                <c:pt idx="981">
                  <c:v>0</c:v>
                </c:pt>
                <c:pt idx="982">
                  <c:v>0</c:v>
                </c:pt>
                <c:pt idx="983">
                  <c:v>0</c:v>
                </c:pt>
                <c:pt idx="984">
                  <c:v>0</c:v>
                </c:pt>
                <c:pt idx="985">
                  <c:v>0</c:v>
                </c:pt>
                <c:pt idx="986">
                  <c:v>0</c:v>
                </c:pt>
                <c:pt idx="987">
                  <c:v>0</c:v>
                </c:pt>
                <c:pt idx="988">
                  <c:v>0</c:v>
                </c:pt>
                <c:pt idx="989">
                  <c:v>0</c:v>
                </c:pt>
                <c:pt idx="990">
                  <c:v>0</c:v>
                </c:pt>
                <c:pt idx="991">
                  <c:v>0</c:v>
                </c:pt>
                <c:pt idx="992">
                  <c:v>0</c:v>
                </c:pt>
                <c:pt idx="993">
                  <c:v>0</c:v>
                </c:pt>
                <c:pt idx="994">
                  <c:v>0</c:v>
                </c:pt>
                <c:pt idx="995">
                  <c:v>0</c:v>
                </c:pt>
                <c:pt idx="996">
                  <c:v>0</c:v>
                </c:pt>
                <c:pt idx="997">
                  <c:v>0</c:v>
                </c:pt>
                <c:pt idx="998">
                  <c:v>0</c:v>
                </c:pt>
                <c:pt idx="999">
                  <c:v>0</c:v>
                </c:pt>
                <c:pt idx="1000">
                  <c:v>0</c:v>
                </c:pt>
                <c:pt idx="1001">
                  <c:v>0</c:v>
                </c:pt>
                <c:pt idx="1002">
                  <c:v>0</c:v>
                </c:pt>
                <c:pt idx="1003">
                  <c:v>0</c:v>
                </c:pt>
                <c:pt idx="1004">
                  <c:v>0</c:v>
                </c:pt>
                <c:pt idx="1005">
                  <c:v>0</c:v>
                </c:pt>
                <c:pt idx="1006">
                  <c:v>0</c:v>
                </c:pt>
                <c:pt idx="1007">
                  <c:v>0</c:v>
                </c:pt>
                <c:pt idx="1008">
                  <c:v>0</c:v>
                </c:pt>
                <c:pt idx="1009">
                  <c:v>0</c:v>
                </c:pt>
                <c:pt idx="1010">
                  <c:v>0</c:v>
                </c:pt>
                <c:pt idx="1011">
                  <c:v>0</c:v>
                </c:pt>
                <c:pt idx="1012">
                  <c:v>0</c:v>
                </c:pt>
                <c:pt idx="1013">
                  <c:v>0</c:v>
                </c:pt>
                <c:pt idx="1014">
                  <c:v>0</c:v>
                </c:pt>
                <c:pt idx="1015">
                  <c:v>0</c:v>
                </c:pt>
                <c:pt idx="1016">
                  <c:v>0</c:v>
                </c:pt>
                <c:pt idx="1017">
                  <c:v>0</c:v>
                </c:pt>
                <c:pt idx="1018">
                  <c:v>0</c:v>
                </c:pt>
                <c:pt idx="1019">
                  <c:v>0</c:v>
                </c:pt>
                <c:pt idx="1020">
                  <c:v>0</c:v>
                </c:pt>
                <c:pt idx="1021">
                  <c:v>0</c:v>
                </c:pt>
                <c:pt idx="1022">
                  <c:v>0</c:v>
                </c:pt>
                <c:pt idx="1023">
                  <c:v>0</c:v>
                </c:pt>
                <c:pt idx="1024">
                  <c:v>0</c:v>
                </c:pt>
                <c:pt idx="1025">
                  <c:v>0</c:v>
                </c:pt>
                <c:pt idx="1026">
                  <c:v>0</c:v>
                </c:pt>
                <c:pt idx="1027">
                  <c:v>0</c:v>
                </c:pt>
                <c:pt idx="1028">
                  <c:v>0</c:v>
                </c:pt>
                <c:pt idx="1029">
                  <c:v>0</c:v>
                </c:pt>
                <c:pt idx="1030">
                  <c:v>0</c:v>
                </c:pt>
                <c:pt idx="1031">
                  <c:v>0</c:v>
                </c:pt>
                <c:pt idx="1032">
                  <c:v>0</c:v>
                </c:pt>
                <c:pt idx="1033">
                  <c:v>0</c:v>
                </c:pt>
                <c:pt idx="1034">
                  <c:v>0</c:v>
                </c:pt>
                <c:pt idx="1035">
                  <c:v>0</c:v>
                </c:pt>
                <c:pt idx="1036">
                  <c:v>0</c:v>
                </c:pt>
                <c:pt idx="1037">
                  <c:v>0</c:v>
                </c:pt>
                <c:pt idx="1038">
                  <c:v>0</c:v>
                </c:pt>
                <c:pt idx="1039">
                  <c:v>0</c:v>
                </c:pt>
                <c:pt idx="1040">
                  <c:v>0</c:v>
                </c:pt>
                <c:pt idx="1041">
                  <c:v>0</c:v>
                </c:pt>
                <c:pt idx="1042">
                  <c:v>0</c:v>
                </c:pt>
                <c:pt idx="1043">
                  <c:v>0</c:v>
                </c:pt>
                <c:pt idx="1044">
                  <c:v>0</c:v>
                </c:pt>
                <c:pt idx="1045">
                  <c:v>0</c:v>
                </c:pt>
                <c:pt idx="1046">
                  <c:v>0</c:v>
                </c:pt>
                <c:pt idx="1047">
                  <c:v>0</c:v>
                </c:pt>
                <c:pt idx="1048">
                  <c:v>0</c:v>
                </c:pt>
                <c:pt idx="1049">
                  <c:v>0</c:v>
                </c:pt>
                <c:pt idx="1050">
                  <c:v>0</c:v>
                </c:pt>
                <c:pt idx="1051">
                  <c:v>0</c:v>
                </c:pt>
                <c:pt idx="1052">
                  <c:v>0</c:v>
                </c:pt>
                <c:pt idx="1053">
                  <c:v>0</c:v>
                </c:pt>
                <c:pt idx="1054">
                  <c:v>0</c:v>
                </c:pt>
                <c:pt idx="1055">
                  <c:v>0</c:v>
                </c:pt>
                <c:pt idx="1056">
                  <c:v>0</c:v>
                </c:pt>
                <c:pt idx="1057">
                  <c:v>0</c:v>
                </c:pt>
                <c:pt idx="1058">
                  <c:v>0</c:v>
                </c:pt>
                <c:pt idx="1059">
                  <c:v>0</c:v>
                </c:pt>
                <c:pt idx="1060">
                  <c:v>0</c:v>
                </c:pt>
                <c:pt idx="1061">
                  <c:v>0</c:v>
                </c:pt>
                <c:pt idx="1062">
                  <c:v>0</c:v>
                </c:pt>
                <c:pt idx="1063">
                  <c:v>0</c:v>
                </c:pt>
                <c:pt idx="1064">
                  <c:v>0</c:v>
                </c:pt>
                <c:pt idx="1065">
                  <c:v>0</c:v>
                </c:pt>
                <c:pt idx="1066">
                  <c:v>0</c:v>
                </c:pt>
                <c:pt idx="1067">
                  <c:v>0</c:v>
                </c:pt>
                <c:pt idx="1068">
                  <c:v>0</c:v>
                </c:pt>
                <c:pt idx="1069">
                  <c:v>0</c:v>
                </c:pt>
                <c:pt idx="1070">
                  <c:v>0</c:v>
                </c:pt>
                <c:pt idx="1071">
                  <c:v>0</c:v>
                </c:pt>
                <c:pt idx="1072">
                  <c:v>0</c:v>
                </c:pt>
                <c:pt idx="1073">
                  <c:v>0</c:v>
                </c:pt>
                <c:pt idx="1074">
                  <c:v>0</c:v>
                </c:pt>
                <c:pt idx="1075">
                  <c:v>0</c:v>
                </c:pt>
                <c:pt idx="1076">
                  <c:v>0</c:v>
                </c:pt>
                <c:pt idx="1077">
                  <c:v>0</c:v>
                </c:pt>
                <c:pt idx="1078">
                  <c:v>0</c:v>
                </c:pt>
                <c:pt idx="1079">
                  <c:v>0</c:v>
                </c:pt>
                <c:pt idx="1080">
                  <c:v>0</c:v>
                </c:pt>
                <c:pt idx="1081">
                  <c:v>0</c:v>
                </c:pt>
                <c:pt idx="1082">
                  <c:v>0</c:v>
                </c:pt>
                <c:pt idx="1083">
                  <c:v>0</c:v>
                </c:pt>
                <c:pt idx="1084">
                  <c:v>0</c:v>
                </c:pt>
                <c:pt idx="1085">
                  <c:v>0</c:v>
                </c:pt>
                <c:pt idx="1086">
                  <c:v>0</c:v>
                </c:pt>
                <c:pt idx="1087">
                  <c:v>0</c:v>
                </c:pt>
                <c:pt idx="1088">
                  <c:v>0</c:v>
                </c:pt>
                <c:pt idx="1089">
                  <c:v>0</c:v>
                </c:pt>
                <c:pt idx="1090">
                  <c:v>0</c:v>
                </c:pt>
                <c:pt idx="1091">
                  <c:v>0</c:v>
                </c:pt>
                <c:pt idx="1092">
                  <c:v>0</c:v>
                </c:pt>
                <c:pt idx="1093">
                  <c:v>0</c:v>
                </c:pt>
                <c:pt idx="1094">
                  <c:v>0</c:v>
                </c:pt>
                <c:pt idx="1095">
                  <c:v>0</c:v>
                </c:pt>
                <c:pt idx="1096">
                  <c:v>0</c:v>
                </c:pt>
                <c:pt idx="1097">
                  <c:v>0</c:v>
                </c:pt>
                <c:pt idx="1098">
                  <c:v>0</c:v>
                </c:pt>
                <c:pt idx="1099">
                  <c:v>0</c:v>
                </c:pt>
                <c:pt idx="1100">
                  <c:v>0</c:v>
                </c:pt>
                <c:pt idx="1101">
                  <c:v>0</c:v>
                </c:pt>
                <c:pt idx="1102">
                  <c:v>0</c:v>
                </c:pt>
                <c:pt idx="1103">
                  <c:v>0</c:v>
                </c:pt>
                <c:pt idx="1104">
                  <c:v>0</c:v>
                </c:pt>
                <c:pt idx="1105">
                  <c:v>0</c:v>
                </c:pt>
                <c:pt idx="1106">
                  <c:v>0</c:v>
                </c:pt>
                <c:pt idx="1107">
                  <c:v>0</c:v>
                </c:pt>
                <c:pt idx="1108">
                  <c:v>0</c:v>
                </c:pt>
                <c:pt idx="1109">
                  <c:v>0</c:v>
                </c:pt>
                <c:pt idx="1110">
                  <c:v>0</c:v>
                </c:pt>
                <c:pt idx="1111">
                  <c:v>0</c:v>
                </c:pt>
                <c:pt idx="1112">
                  <c:v>0</c:v>
                </c:pt>
                <c:pt idx="1113">
                  <c:v>0</c:v>
                </c:pt>
                <c:pt idx="1114">
                  <c:v>0</c:v>
                </c:pt>
                <c:pt idx="1115">
                  <c:v>0</c:v>
                </c:pt>
                <c:pt idx="1116">
                  <c:v>0</c:v>
                </c:pt>
                <c:pt idx="1117">
                  <c:v>0</c:v>
                </c:pt>
                <c:pt idx="1118">
                  <c:v>0</c:v>
                </c:pt>
                <c:pt idx="1119">
                  <c:v>0</c:v>
                </c:pt>
                <c:pt idx="1120">
                  <c:v>0</c:v>
                </c:pt>
                <c:pt idx="1121">
                  <c:v>0</c:v>
                </c:pt>
                <c:pt idx="1122">
                  <c:v>0</c:v>
                </c:pt>
                <c:pt idx="1123">
                  <c:v>0</c:v>
                </c:pt>
                <c:pt idx="1124">
                  <c:v>0</c:v>
                </c:pt>
                <c:pt idx="1125">
                  <c:v>0</c:v>
                </c:pt>
                <c:pt idx="1126">
                  <c:v>0</c:v>
                </c:pt>
                <c:pt idx="1127">
                  <c:v>0</c:v>
                </c:pt>
                <c:pt idx="1128">
                  <c:v>0</c:v>
                </c:pt>
                <c:pt idx="1129">
                  <c:v>0</c:v>
                </c:pt>
                <c:pt idx="1130">
                  <c:v>0</c:v>
                </c:pt>
                <c:pt idx="1131">
                  <c:v>0</c:v>
                </c:pt>
                <c:pt idx="1132">
                  <c:v>0</c:v>
                </c:pt>
                <c:pt idx="1133">
                  <c:v>0</c:v>
                </c:pt>
                <c:pt idx="1134">
                  <c:v>0</c:v>
                </c:pt>
                <c:pt idx="1135">
                  <c:v>0</c:v>
                </c:pt>
                <c:pt idx="1136">
                  <c:v>0</c:v>
                </c:pt>
                <c:pt idx="1137">
                  <c:v>0</c:v>
                </c:pt>
                <c:pt idx="1138">
                  <c:v>0</c:v>
                </c:pt>
                <c:pt idx="1139">
                  <c:v>0</c:v>
                </c:pt>
                <c:pt idx="1140">
                  <c:v>0</c:v>
                </c:pt>
                <c:pt idx="1141">
                  <c:v>0</c:v>
                </c:pt>
                <c:pt idx="1142">
                  <c:v>0</c:v>
                </c:pt>
                <c:pt idx="1143">
                  <c:v>0</c:v>
                </c:pt>
                <c:pt idx="1144">
                  <c:v>0</c:v>
                </c:pt>
                <c:pt idx="1145">
                  <c:v>0</c:v>
                </c:pt>
                <c:pt idx="1146">
                  <c:v>0</c:v>
                </c:pt>
                <c:pt idx="1147">
                  <c:v>0</c:v>
                </c:pt>
                <c:pt idx="1148">
                  <c:v>0</c:v>
                </c:pt>
                <c:pt idx="1149">
                  <c:v>0</c:v>
                </c:pt>
                <c:pt idx="1150">
                  <c:v>0</c:v>
                </c:pt>
                <c:pt idx="1151">
                  <c:v>0</c:v>
                </c:pt>
                <c:pt idx="1152">
                  <c:v>0</c:v>
                </c:pt>
                <c:pt idx="1153">
                  <c:v>0</c:v>
                </c:pt>
                <c:pt idx="1154">
                  <c:v>0</c:v>
                </c:pt>
                <c:pt idx="1155">
                  <c:v>0</c:v>
                </c:pt>
                <c:pt idx="1156">
                  <c:v>0</c:v>
                </c:pt>
                <c:pt idx="1157">
                  <c:v>0</c:v>
                </c:pt>
                <c:pt idx="1158">
                  <c:v>0</c:v>
                </c:pt>
                <c:pt idx="1159">
                  <c:v>0</c:v>
                </c:pt>
                <c:pt idx="1160">
                  <c:v>0</c:v>
                </c:pt>
                <c:pt idx="1161">
                  <c:v>0</c:v>
                </c:pt>
                <c:pt idx="1162">
                  <c:v>0</c:v>
                </c:pt>
                <c:pt idx="1163">
                  <c:v>0</c:v>
                </c:pt>
                <c:pt idx="1164">
                  <c:v>0</c:v>
                </c:pt>
                <c:pt idx="1165">
                  <c:v>0</c:v>
                </c:pt>
                <c:pt idx="1166">
                  <c:v>0</c:v>
                </c:pt>
                <c:pt idx="1167">
                  <c:v>0</c:v>
                </c:pt>
                <c:pt idx="1168">
                  <c:v>0</c:v>
                </c:pt>
                <c:pt idx="1169">
                  <c:v>0</c:v>
                </c:pt>
                <c:pt idx="1170">
                  <c:v>0</c:v>
                </c:pt>
                <c:pt idx="1171">
                  <c:v>0</c:v>
                </c:pt>
                <c:pt idx="1172">
                  <c:v>0</c:v>
                </c:pt>
                <c:pt idx="1173">
                  <c:v>0</c:v>
                </c:pt>
                <c:pt idx="1174">
                  <c:v>0</c:v>
                </c:pt>
                <c:pt idx="1175">
                  <c:v>0</c:v>
                </c:pt>
                <c:pt idx="1176">
                  <c:v>0</c:v>
                </c:pt>
                <c:pt idx="1177">
                  <c:v>0</c:v>
                </c:pt>
                <c:pt idx="1178">
                  <c:v>0</c:v>
                </c:pt>
                <c:pt idx="1179">
                  <c:v>0</c:v>
                </c:pt>
                <c:pt idx="1180">
                  <c:v>0</c:v>
                </c:pt>
                <c:pt idx="1181">
                  <c:v>0</c:v>
                </c:pt>
                <c:pt idx="1182">
                  <c:v>0</c:v>
                </c:pt>
                <c:pt idx="1183">
                  <c:v>0</c:v>
                </c:pt>
                <c:pt idx="1184">
                  <c:v>0</c:v>
                </c:pt>
                <c:pt idx="1185">
                  <c:v>0</c:v>
                </c:pt>
                <c:pt idx="1186">
                  <c:v>0</c:v>
                </c:pt>
                <c:pt idx="1187">
                  <c:v>0</c:v>
                </c:pt>
                <c:pt idx="1188">
                  <c:v>0</c:v>
                </c:pt>
                <c:pt idx="1189">
                  <c:v>0</c:v>
                </c:pt>
                <c:pt idx="1190">
                  <c:v>0</c:v>
                </c:pt>
                <c:pt idx="1191">
                  <c:v>0</c:v>
                </c:pt>
                <c:pt idx="1192">
                  <c:v>0</c:v>
                </c:pt>
                <c:pt idx="1193">
                  <c:v>0</c:v>
                </c:pt>
                <c:pt idx="1194">
                  <c:v>0</c:v>
                </c:pt>
                <c:pt idx="1195">
                  <c:v>0</c:v>
                </c:pt>
                <c:pt idx="1196">
                  <c:v>0</c:v>
                </c:pt>
                <c:pt idx="1197">
                  <c:v>0</c:v>
                </c:pt>
                <c:pt idx="1198">
                  <c:v>0</c:v>
                </c:pt>
                <c:pt idx="1199">
                  <c:v>0</c:v>
                </c:pt>
              </c:numCache>
            </c:numRef>
          </c:val>
          <c:extLst>
            <c:ext xmlns:c16="http://schemas.microsoft.com/office/drawing/2014/chart" uri="{C3380CC4-5D6E-409C-BE32-E72D297353CC}">
              <c16:uniqueId val="{00000002-1870-4810-9A39-24D6FCF8F1F9}"/>
            </c:ext>
          </c:extLst>
        </c:ser>
        <c:dLbls>
          <c:showLegendKey val="0"/>
          <c:showVal val="0"/>
          <c:showCatName val="0"/>
          <c:showSerName val="0"/>
          <c:showPercent val="0"/>
          <c:showBubbleSize val="0"/>
        </c:dLbls>
        <c:axId val="470431407"/>
        <c:axId val="470429487"/>
      </c:areaChart>
      <c:scatterChart>
        <c:scatterStyle val="lineMarker"/>
        <c:varyColors val="0"/>
        <c:ser>
          <c:idx val="3"/>
          <c:order val="1"/>
          <c:spPr>
            <a:ln w="25400" cap="rnd">
              <a:noFill/>
              <a:prstDash val="dash"/>
              <a:round/>
            </a:ln>
            <a:effectLst/>
          </c:spPr>
          <c:marker>
            <c:symbol val="none"/>
          </c:marker>
          <c:dLbls>
            <c:dLbl>
              <c:idx val="0"/>
              <c:delete val="1"/>
              <c:extLst>
                <c:ext xmlns:c15="http://schemas.microsoft.com/office/drawing/2012/chart" uri="{CE6537A1-D6FC-4f65-9D91-7224C49458BB}"/>
                <c:ext xmlns:c16="http://schemas.microsoft.com/office/drawing/2014/chart" uri="{C3380CC4-5D6E-409C-BE32-E72D297353CC}">
                  <c16:uniqueId val="{00000003-1870-4810-9A39-24D6FCF8F1F9}"/>
                </c:ext>
              </c:extLst>
            </c:dLbl>
            <c:dLbl>
              <c:idx val="1"/>
              <c:layout>
                <c:manualLayout>
                  <c:x val="-2.377952077712223E-2"/>
                  <c:y val="-2.3075704299567144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4-1870-4810-9A39-24D6FCF8F1F9}"/>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0"/>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15:showLeaderLines val="0"/>
              </c:ext>
            </c:extLst>
          </c:dLbls>
          <c:xVal>
            <c:numRef>
              <c:f>'Roof edge insulation'!$CX$32:$CX$33</c:f>
              <c:numCache>
                <c:formatCode>0</c:formatCode>
                <c:ptCount val="2"/>
                <c:pt idx="0">
                  <c:v>164.84864516727734</c:v>
                </c:pt>
                <c:pt idx="1">
                  <c:v>164.84864516727734</c:v>
                </c:pt>
              </c:numCache>
            </c:numRef>
          </c:xVal>
          <c:yVal>
            <c:numRef>
              <c:f>'Roof edge insulation'!$CY$32:$CY$33</c:f>
              <c:numCache>
                <c:formatCode>0</c:formatCode>
                <c:ptCount val="2"/>
                <c:pt idx="0" formatCode="General">
                  <c:v>0</c:v>
                </c:pt>
                <c:pt idx="1">
                  <c:v>260</c:v>
                </c:pt>
              </c:numCache>
            </c:numRef>
          </c:yVal>
          <c:smooth val="0"/>
          <c:extLst>
            <c:ext xmlns:c16="http://schemas.microsoft.com/office/drawing/2014/chart" uri="{C3380CC4-5D6E-409C-BE32-E72D297353CC}">
              <c16:uniqueId val="{00000005-1870-4810-9A39-24D6FCF8F1F9}"/>
            </c:ext>
          </c:extLst>
        </c:ser>
        <c:ser>
          <c:idx val="4"/>
          <c:order val="2"/>
          <c:spPr>
            <a:ln w="25400" cap="rnd">
              <a:noFill/>
              <a:prstDash val="dash"/>
              <a:round/>
            </a:ln>
            <a:effectLst/>
          </c:spPr>
          <c:marker>
            <c:symbol val="none"/>
          </c:marker>
          <c:dPt>
            <c:idx val="1"/>
            <c:marker>
              <c:symbol val="none"/>
            </c:marker>
            <c:bubble3D val="0"/>
            <c:spPr>
              <a:ln w="25400" cap="rnd">
                <a:noFill/>
                <a:prstDash val="dash"/>
                <a:round/>
              </a:ln>
              <a:effectLst/>
            </c:spPr>
            <c:extLst>
              <c:ext xmlns:c16="http://schemas.microsoft.com/office/drawing/2014/chart" uri="{C3380CC4-5D6E-409C-BE32-E72D297353CC}">
                <c16:uniqueId val="{00000007-1870-4810-9A39-24D6FCF8F1F9}"/>
              </c:ext>
            </c:extLst>
          </c:dPt>
          <c:dLbls>
            <c:dLbl>
              <c:idx val="0"/>
              <c:delete val="1"/>
              <c:extLst>
                <c:ext xmlns:c15="http://schemas.microsoft.com/office/drawing/2012/chart" uri="{CE6537A1-D6FC-4f65-9D91-7224C49458BB}"/>
                <c:ext xmlns:c16="http://schemas.microsoft.com/office/drawing/2014/chart" uri="{C3380CC4-5D6E-409C-BE32-E72D297353CC}">
                  <c16:uniqueId val="{00000008-1870-4810-9A39-24D6FCF8F1F9}"/>
                </c:ext>
              </c:extLst>
            </c:dLbl>
            <c:dLbl>
              <c:idx val="1"/>
              <c:layout>
                <c:manualLayout>
                  <c:x val="-2.377952077712223E-2"/>
                  <c:y val="-2.5383274729523758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7-1870-4810-9A39-24D6FCF8F1F9}"/>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0"/>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15:showLeaderLines val="0"/>
              </c:ext>
            </c:extLst>
          </c:dLbls>
          <c:xVal>
            <c:numRef>
              <c:f>'Roof edge insulation'!$CX$17:$CX$18</c:f>
              <c:numCache>
                <c:formatCode>0</c:formatCode>
                <c:ptCount val="2"/>
                <c:pt idx="0">
                  <c:v>600</c:v>
                </c:pt>
                <c:pt idx="1">
                  <c:v>600</c:v>
                </c:pt>
              </c:numCache>
            </c:numRef>
          </c:xVal>
          <c:yVal>
            <c:numRef>
              <c:f>'Roof edge insulation'!$CY$17:$CY$18</c:f>
              <c:numCache>
                <c:formatCode>0</c:formatCode>
                <c:ptCount val="2"/>
                <c:pt idx="0">
                  <c:v>0</c:v>
                </c:pt>
                <c:pt idx="1">
                  <c:v>0</c:v>
                </c:pt>
              </c:numCache>
            </c:numRef>
          </c:yVal>
          <c:smooth val="0"/>
          <c:extLst>
            <c:ext xmlns:c16="http://schemas.microsoft.com/office/drawing/2014/chart" uri="{C3380CC4-5D6E-409C-BE32-E72D297353CC}">
              <c16:uniqueId val="{00000009-1870-4810-9A39-24D6FCF8F1F9}"/>
            </c:ext>
          </c:extLst>
        </c:ser>
        <c:ser>
          <c:idx val="5"/>
          <c:order val="3"/>
          <c:spPr>
            <a:ln w="12700" cap="rnd">
              <a:solidFill>
                <a:schemeClr val="bg1">
                  <a:lumMod val="75000"/>
                </a:schemeClr>
              </a:solidFill>
              <a:prstDash val="solid"/>
              <a:round/>
            </a:ln>
            <a:effectLst/>
          </c:spPr>
          <c:marker>
            <c:symbol val="none"/>
          </c:marker>
          <c:dLbls>
            <c:dLbl>
              <c:idx val="0"/>
              <c:delete val="1"/>
              <c:extLst>
                <c:ext xmlns:c15="http://schemas.microsoft.com/office/drawing/2012/chart" uri="{CE6537A1-D6FC-4f65-9D91-7224C49458BB}"/>
                <c:ext xmlns:c16="http://schemas.microsoft.com/office/drawing/2014/chart" uri="{C3380CC4-5D6E-409C-BE32-E72D297353CC}">
                  <c16:uniqueId val="{0000000A-1870-4810-9A39-24D6FCF8F1F9}"/>
                </c:ext>
              </c:extLst>
            </c:dLbl>
            <c:dLbl>
              <c:idx val="1"/>
              <c:layout>
                <c:manualLayout>
                  <c:x val="-3.465730594539234E-3"/>
                  <c:y val="1.6630847688272148E-2"/>
                </c:manualLayout>
              </c:layout>
              <c:showLegendKey val="0"/>
              <c:showVal val="1"/>
              <c:showCatName val="1"/>
              <c:showSerName val="0"/>
              <c:showPercent val="0"/>
              <c:showBubbleSize val="0"/>
              <c:extLst>
                <c:ext xmlns:c15="http://schemas.microsoft.com/office/drawing/2012/chart" uri="{CE6537A1-D6FC-4f65-9D91-7224C49458BB}">
                  <c15:layout>
                    <c:manualLayout>
                      <c:w val="3.7455093477110769E-2"/>
                      <c:h val="2.806642421095543E-2"/>
                    </c:manualLayout>
                  </c15:layout>
                </c:ext>
                <c:ext xmlns:c16="http://schemas.microsoft.com/office/drawing/2014/chart" uri="{C3380CC4-5D6E-409C-BE32-E72D297353CC}">
                  <c16:uniqueId val="{0000000B-1870-4810-9A39-24D6FCF8F1F9}"/>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0"/>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15:showLeaderLines val="0"/>
              </c:ext>
            </c:extLst>
          </c:dLbls>
          <c:xVal>
            <c:numRef>
              <c:f>'Roof edge insulation'!$CX$19:$CX$20</c:f>
              <c:numCache>
                <c:formatCode>0</c:formatCode>
                <c:ptCount val="2"/>
                <c:pt idx="0">
                  <c:v>600</c:v>
                </c:pt>
                <c:pt idx="1">
                  <c:v>600</c:v>
                </c:pt>
              </c:numCache>
            </c:numRef>
          </c:xVal>
          <c:yVal>
            <c:numRef>
              <c:f>'Roof edge insulation'!$CY$19:$CY$20</c:f>
              <c:numCache>
                <c:formatCode>0</c:formatCode>
                <c:ptCount val="2"/>
                <c:pt idx="0">
                  <c:v>0</c:v>
                </c:pt>
                <c:pt idx="1">
                  <c:v>0</c:v>
                </c:pt>
              </c:numCache>
            </c:numRef>
          </c:yVal>
          <c:smooth val="0"/>
          <c:extLst>
            <c:ext xmlns:c16="http://schemas.microsoft.com/office/drawing/2014/chart" uri="{C3380CC4-5D6E-409C-BE32-E72D297353CC}">
              <c16:uniqueId val="{0000000C-1870-4810-9A39-24D6FCF8F1F9}"/>
            </c:ext>
          </c:extLst>
        </c:ser>
        <c:ser>
          <c:idx val="12"/>
          <c:order val="4"/>
          <c:spPr>
            <a:ln w="25400" cap="rnd">
              <a:noFill/>
              <a:prstDash val="dash"/>
              <a:round/>
            </a:ln>
            <a:effectLst/>
          </c:spPr>
          <c:marker>
            <c:symbol val="none"/>
          </c:marker>
          <c:dLbls>
            <c:dLbl>
              <c:idx val="0"/>
              <c:delete val="1"/>
              <c:extLst>
                <c:ext xmlns:c15="http://schemas.microsoft.com/office/drawing/2012/chart" uri="{CE6537A1-D6FC-4f65-9D91-7224C49458BB}"/>
                <c:ext xmlns:c16="http://schemas.microsoft.com/office/drawing/2014/chart" uri="{C3380CC4-5D6E-409C-BE32-E72D297353CC}">
                  <c16:uniqueId val="{0000000D-1870-4810-9A39-24D6FCF8F1F9}"/>
                </c:ext>
              </c:extLst>
            </c:dLbl>
            <c:dLbl>
              <c:idx val="1"/>
              <c:layout>
                <c:manualLayout>
                  <c:x val="-2.9724400971402786E-2"/>
                  <c:y val="-2.0768133869610277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0E-1870-4810-9A39-24D6FCF8F1F9}"/>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0"/>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15:showLeaderLines val="0"/>
              </c:ext>
            </c:extLst>
          </c:dLbls>
          <c:xVal>
            <c:numRef>
              <c:f>'Roof edge insulation'!$CX$23:$CX$24</c:f>
              <c:numCache>
                <c:formatCode>0</c:formatCode>
                <c:ptCount val="2"/>
                <c:pt idx="0">
                  <c:v>600</c:v>
                </c:pt>
                <c:pt idx="1">
                  <c:v>600</c:v>
                </c:pt>
              </c:numCache>
            </c:numRef>
          </c:xVal>
          <c:yVal>
            <c:numRef>
              <c:f>'Roof edge insulation'!$CY$23:$CY$24</c:f>
              <c:numCache>
                <c:formatCode>0</c:formatCode>
                <c:ptCount val="2"/>
                <c:pt idx="0">
                  <c:v>0</c:v>
                </c:pt>
                <c:pt idx="1">
                  <c:v>0</c:v>
                </c:pt>
              </c:numCache>
            </c:numRef>
          </c:yVal>
          <c:smooth val="0"/>
          <c:extLst>
            <c:ext xmlns:c16="http://schemas.microsoft.com/office/drawing/2014/chart" uri="{C3380CC4-5D6E-409C-BE32-E72D297353CC}">
              <c16:uniqueId val="{0000000F-1870-4810-9A39-24D6FCF8F1F9}"/>
            </c:ext>
          </c:extLst>
        </c:ser>
        <c:ser>
          <c:idx val="11"/>
          <c:order val="5"/>
          <c:spPr>
            <a:ln w="12700" cap="rnd">
              <a:noFill/>
              <a:prstDash val="solid"/>
              <a:round/>
            </a:ln>
            <a:effectLst/>
          </c:spPr>
          <c:marker>
            <c:symbol val="none"/>
          </c:marker>
          <c:dLbls>
            <c:dLbl>
              <c:idx val="1"/>
              <c:layout>
                <c:manualLayout>
                  <c:x val="-3.823291322846627E-3"/>
                  <c:y val="2.2783169780493641E-2"/>
                </c:manualLayout>
              </c:layout>
              <c:showLegendKey val="0"/>
              <c:showVal val="1"/>
              <c:showCatName val="1"/>
              <c:showSerName val="0"/>
              <c:showPercent val="0"/>
              <c:showBubbleSize val="0"/>
              <c:extLst>
                <c:ext xmlns:c15="http://schemas.microsoft.com/office/drawing/2012/chart" uri="{CE6537A1-D6FC-4f65-9D91-7224C49458BB}">
                  <c15:layout>
                    <c:manualLayout>
                      <c:w val="4.3399965922261564E-2"/>
                      <c:h val="3.5004753231688793E-2"/>
                    </c:manualLayout>
                  </c15:layout>
                </c:ext>
                <c:ext xmlns:c16="http://schemas.microsoft.com/office/drawing/2014/chart" uri="{C3380CC4-5D6E-409C-BE32-E72D297353CC}">
                  <c16:uniqueId val="{00000010-1870-4810-9A39-24D6FCF8F1F9}"/>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0"/>
            <c:showCatName val="0"/>
            <c:showSerName val="0"/>
            <c:showPercent val="0"/>
            <c:showBubbleSize val="0"/>
            <c:extLst>
              <c:ext xmlns:c15="http://schemas.microsoft.com/office/drawing/2012/chart" uri="{CE6537A1-D6FC-4f65-9D91-7224C49458BB}">
                <c15:spPr xmlns:c15="http://schemas.microsoft.com/office/drawing/2012/chart">
                  <a:prstGeom prst="wedgeRectCallout">
                    <a:avLst/>
                  </a:prstGeom>
                  <a:noFill/>
                  <a:ln>
                    <a:noFill/>
                  </a:ln>
                </c15:spPr>
                <c15:showLeaderLines val="1"/>
                <c15:leaderLines>
                  <c:spPr>
                    <a:ln w="9525" cap="flat" cmpd="sng" algn="ctr">
                      <a:solidFill>
                        <a:schemeClr val="tx1">
                          <a:lumMod val="35000"/>
                          <a:lumOff val="65000"/>
                        </a:schemeClr>
                      </a:solidFill>
                      <a:round/>
                    </a:ln>
                    <a:effectLst/>
                  </c:spPr>
                </c15:leaderLines>
              </c:ext>
            </c:extLst>
          </c:dLbls>
          <c:xVal>
            <c:numRef>
              <c:f>'Roof edge insulation'!$CX$25:$CX$26</c:f>
              <c:numCache>
                <c:formatCode>0</c:formatCode>
                <c:ptCount val="2"/>
                <c:pt idx="0">
                  <c:v>600</c:v>
                </c:pt>
                <c:pt idx="1">
                  <c:v>600</c:v>
                </c:pt>
              </c:numCache>
            </c:numRef>
          </c:xVal>
          <c:yVal>
            <c:numRef>
              <c:f>'Roof edge insulation'!$CY$25:$CY$26</c:f>
              <c:numCache>
                <c:formatCode>0</c:formatCode>
                <c:ptCount val="2"/>
                <c:pt idx="0">
                  <c:v>0</c:v>
                </c:pt>
                <c:pt idx="1">
                  <c:v>0</c:v>
                </c:pt>
              </c:numCache>
            </c:numRef>
          </c:yVal>
          <c:smooth val="0"/>
          <c:extLst>
            <c:ext xmlns:c16="http://schemas.microsoft.com/office/drawing/2014/chart" uri="{C3380CC4-5D6E-409C-BE32-E72D297353CC}">
              <c16:uniqueId val="{00000011-1870-4810-9A39-24D6FCF8F1F9}"/>
            </c:ext>
          </c:extLst>
        </c:ser>
        <c:ser>
          <c:idx val="8"/>
          <c:order val="6"/>
          <c:spPr>
            <a:ln w="12700" cap="rnd">
              <a:noFill/>
              <a:prstDash val="solid"/>
              <a:round/>
            </a:ln>
            <a:effectLst/>
          </c:spPr>
          <c:marker>
            <c:symbol val="none"/>
          </c:marker>
          <c:dLbls>
            <c:dLbl>
              <c:idx val="0"/>
              <c:delete val="1"/>
              <c:extLst>
                <c:ext xmlns:c15="http://schemas.microsoft.com/office/drawing/2012/chart" uri="{CE6537A1-D6FC-4f65-9D91-7224C49458BB}"/>
                <c:ext xmlns:c16="http://schemas.microsoft.com/office/drawing/2014/chart" uri="{C3380CC4-5D6E-409C-BE32-E72D297353CC}">
                  <c16:uniqueId val="{00000012-1870-4810-9A39-24D6FCF8F1F9}"/>
                </c:ext>
              </c:extLst>
            </c:dLbl>
            <c:dLbl>
              <c:idx val="1"/>
              <c:layout>
                <c:manualLayout>
                  <c:x val="-2.5425675266614613E-3"/>
                  <c:y val="2.1637197599254514E-2"/>
                </c:manualLayout>
              </c:layout>
              <c:showLegendKey val="0"/>
              <c:showVal val="1"/>
              <c:showCatName val="1"/>
              <c:showSerName val="0"/>
              <c:showPercent val="0"/>
              <c:showBubbleSize val="0"/>
              <c:extLst>
                <c:ext xmlns:c15="http://schemas.microsoft.com/office/drawing/2012/chart" uri="{CE6537A1-D6FC-4f65-9D91-7224C49458BB}">
                  <c15:layout>
                    <c:manualLayout>
                      <c:w val="3.7455093477110769E-2"/>
                      <c:h val="3.2697245645751639E-2"/>
                    </c:manualLayout>
                  </c15:layout>
                </c:ext>
                <c:ext xmlns:c16="http://schemas.microsoft.com/office/drawing/2014/chart" uri="{C3380CC4-5D6E-409C-BE32-E72D297353CC}">
                  <c16:uniqueId val="{00000013-1870-4810-9A39-24D6FCF8F1F9}"/>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0"/>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15:showLeaderLines val="1"/>
                <c15:leaderLines>
                  <c:spPr>
                    <a:ln w="9525" cap="flat" cmpd="sng" algn="ctr">
                      <a:solidFill>
                        <a:schemeClr val="tx1">
                          <a:lumMod val="35000"/>
                          <a:lumOff val="65000"/>
                        </a:schemeClr>
                      </a:solidFill>
                      <a:round/>
                    </a:ln>
                    <a:effectLst/>
                  </c:spPr>
                </c15:leaderLines>
              </c:ext>
            </c:extLst>
          </c:dLbls>
          <c:xVal>
            <c:numRef>
              <c:f>'Roof edge insulation'!$CX$21:$CX$22</c:f>
              <c:numCache>
                <c:formatCode>0</c:formatCode>
                <c:ptCount val="2"/>
                <c:pt idx="0">
                  <c:v>600</c:v>
                </c:pt>
                <c:pt idx="1">
                  <c:v>600</c:v>
                </c:pt>
              </c:numCache>
            </c:numRef>
          </c:xVal>
          <c:yVal>
            <c:numRef>
              <c:f>'Roof edge insulation'!$CY$21:$CY$22</c:f>
              <c:numCache>
                <c:formatCode>0</c:formatCode>
                <c:ptCount val="2"/>
                <c:pt idx="0">
                  <c:v>0</c:v>
                </c:pt>
                <c:pt idx="1">
                  <c:v>0</c:v>
                </c:pt>
              </c:numCache>
            </c:numRef>
          </c:yVal>
          <c:smooth val="0"/>
          <c:extLst>
            <c:ext xmlns:c16="http://schemas.microsoft.com/office/drawing/2014/chart" uri="{C3380CC4-5D6E-409C-BE32-E72D297353CC}">
              <c16:uniqueId val="{00000014-1870-4810-9A39-24D6FCF8F1F9}"/>
            </c:ext>
          </c:extLst>
        </c:ser>
        <c:ser>
          <c:idx val="9"/>
          <c:order val="8"/>
          <c:spPr>
            <a:ln w="50800" cap="rnd">
              <a:solidFill>
                <a:srgbClr val="00B0F0"/>
              </a:solidFill>
              <a:round/>
            </a:ln>
            <a:effectLst/>
          </c:spPr>
          <c:marker>
            <c:symbol val="none"/>
          </c:marker>
          <c:xVal>
            <c:numRef>
              <c:f>'Roof edge insulation'!$CX$49:$CX$58</c:f>
              <c:numCache>
                <c:formatCode>0</c:formatCode>
                <c:ptCount val="10"/>
                <c:pt idx="0">
                  <c:v>605</c:v>
                </c:pt>
                <c:pt idx="1">
                  <c:v>605</c:v>
                </c:pt>
                <c:pt idx="3">
                  <c:v>605</c:v>
                </c:pt>
                <c:pt idx="4">
                  <c:v>605</c:v>
                </c:pt>
                <c:pt idx="5">
                  <c:v>595</c:v>
                </c:pt>
                <c:pt idx="6">
                  <c:v>595</c:v>
                </c:pt>
                <c:pt idx="8">
                  <c:v>595</c:v>
                </c:pt>
                <c:pt idx="9">
                  <c:v>595</c:v>
                </c:pt>
              </c:numCache>
            </c:numRef>
          </c:xVal>
          <c:yVal>
            <c:numRef>
              <c:f>'Roof edge insulation'!$CY$49:$CY$58</c:f>
              <c:numCache>
                <c:formatCode>0</c:formatCode>
                <c:ptCount val="10"/>
                <c:pt idx="0">
                  <c:v>0</c:v>
                </c:pt>
                <c:pt idx="1">
                  <c:v>10</c:v>
                </c:pt>
                <c:pt idx="3">
                  <c:v>585</c:v>
                </c:pt>
                <c:pt idx="4">
                  <c:v>595</c:v>
                </c:pt>
                <c:pt idx="5">
                  <c:v>595</c:v>
                </c:pt>
                <c:pt idx="6">
                  <c:v>585</c:v>
                </c:pt>
                <c:pt idx="8">
                  <c:v>10</c:v>
                </c:pt>
                <c:pt idx="9">
                  <c:v>0</c:v>
                </c:pt>
              </c:numCache>
            </c:numRef>
          </c:yVal>
          <c:smooth val="0"/>
          <c:extLst>
            <c:ext xmlns:c16="http://schemas.microsoft.com/office/drawing/2014/chart" uri="{C3380CC4-5D6E-409C-BE32-E72D297353CC}">
              <c16:uniqueId val="{00000015-1870-4810-9A39-24D6FCF8F1F9}"/>
            </c:ext>
          </c:extLst>
        </c:ser>
        <c:ser>
          <c:idx val="1"/>
          <c:order val="9"/>
          <c:spPr>
            <a:ln w="38100" cap="rnd">
              <a:solidFill>
                <a:srgbClr val="FFC000"/>
              </a:solidFill>
              <a:prstDash val="sysDash"/>
              <a:round/>
            </a:ln>
            <a:effectLst/>
          </c:spPr>
          <c:marker>
            <c:symbol val="none"/>
          </c:marker>
          <c:dLbls>
            <c:dLbl>
              <c:idx val="0"/>
              <c:delete val="1"/>
              <c:extLst>
                <c:ext xmlns:c15="http://schemas.microsoft.com/office/drawing/2012/chart" uri="{CE6537A1-D6FC-4f65-9D91-7224C49458BB}"/>
                <c:ext xmlns:c16="http://schemas.microsoft.com/office/drawing/2014/chart" uri="{C3380CC4-5D6E-409C-BE32-E72D297353CC}">
                  <c16:uniqueId val="{00000016-1870-4810-9A39-24D6FCF8F1F9}"/>
                </c:ext>
              </c:extLst>
            </c:dLbl>
            <c:dLbl>
              <c:idx val="1"/>
              <c:layout>
                <c:manualLayout>
                  <c:x val="0"/>
                  <c:y val="1.3845422579740186E-2"/>
                </c:manualLayout>
              </c:layout>
              <c:showLegendKey val="0"/>
              <c:showVal val="1"/>
              <c:showCatName val="1"/>
              <c:showSerName val="0"/>
              <c:showPercent val="0"/>
              <c:showBubbleSize val="0"/>
              <c:extLst>
                <c:ext xmlns:c15="http://schemas.microsoft.com/office/drawing/2012/chart" uri="{CE6537A1-D6FC-4f65-9D91-7224C49458BB}"/>
                <c:ext xmlns:c16="http://schemas.microsoft.com/office/drawing/2014/chart" uri="{C3380CC4-5D6E-409C-BE32-E72D297353CC}">
                  <c16:uniqueId val="{00000017-1870-4810-9A39-24D6FCF8F1F9}"/>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0"/>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15:showLeaderLines val="0"/>
              </c:ext>
            </c:extLst>
          </c:dLbls>
          <c:xVal>
            <c:numRef>
              <c:f>'Roof edge insulation'!$CX$35:$CX$36</c:f>
              <c:numCache>
                <c:formatCode>General</c:formatCode>
                <c:ptCount val="2"/>
                <c:pt idx="0" formatCode="0">
                  <c:v>0</c:v>
                </c:pt>
                <c:pt idx="1">
                  <c:v>0</c:v>
                </c:pt>
              </c:numCache>
            </c:numRef>
          </c:xVal>
          <c:yVal>
            <c:numRef>
              <c:f>'Roof edge insulation'!$CY$35:$CY$36</c:f>
              <c:numCache>
                <c:formatCode>General</c:formatCode>
                <c:ptCount val="2"/>
                <c:pt idx="0" formatCode="0">
                  <c:v>0</c:v>
                </c:pt>
                <c:pt idx="1">
                  <c:v>200</c:v>
                </c:pt>
              </c:numCache>
            </c:numRef>
          </c:yVal>
          <c:smooth val="0"/>
          <c:extLst>
            <c:ext xmlns:c16="http://schemas.microsoft.com/office/drawing/2014/chart" uri="{C3380CC4-5D6E-409C-BE32-E72D297353CC}">
              <c16:uniqueId val="{00000018-1870-4810-9A39-24D6FCF8F1F9}"/>
            </c:ext>
          </c:extLst>
        </c:ser>
        <c:ser>
          <c:idx val="15"/>
          <c:order val="11"/>
          <c:spPr>
            <a:ln w="12700" cap="rnd">
              <a:solidFill>
                <a:schemeClr val="tx1"/>
              </a:solidFill>
              <a:prstDash val="dash"/>
              <a:round/>
            </a:ln>
            <a:effectLst/>
          </c:spPr>
          <c:marker>
            <c:symbol val="none"/>
          </c:marker>
          <c:xVal>
            <c:numRef>
              <c:f>'Roof edge insulation'!$CX$70:$CX$74</c:f>
              <c:numCache>
                <c:formatCode>General</c:formatCode>
                <c:ptCount val="5"/>
                <c:pt idx="0">
                  <c:v>0</c:v>
                </c:pt>
                <c:pt idx="1">
                  <c:v>0</c:v>
                </c:pt>
                <c:pt idx="3">
                  <c:v>600</c:v>
                </c:pt>
                <c:pt idx="4">
                  <c:v>600</c:v>
                </c:pt>
              </c:numCache>
            </c:numRef>
          </c:xVal>
          <c:yVal>
            <c:numRef>
              <c:f>'Roof edge insulation'!$CY$70:$CY$74</c:f>
              <c:numCache>
                <c:formatCode>0</c:formatCode>
                <c:ptCount val="5"/>
                <c:pt idx="0">
                  <c:v>202</c:v>
                </c:pt>
                <c:pt idx="1">
                  <c:v>600</c:v>
                </c:pt>
                <c:pt idx="3">
                  <c:v>600</c:v>
                </c:pt>
                <c:pt idx="4">
                  <c:v>420.38214055972139</c:v>
                </c:pt>
              </c:numCache>
            </c:numRef>
          </c:yVal>
          <c:smooth val="0"/>
          <c:extLst>
            <c:ext xmlns:c16="http://schemas.microsoft.com/office/drawing/2014/chart" uri="{C3380CC4-5D6E-409C-BE32-E72D297353CC}">
              <c16:uniqueId val="{00000019-1870-4810-9A39-24D6FCF8F1F9}"/>
            </c:ext>
          </c:extLst>
        </c:ser>
        <c:ser>
          <c:idx val="16"/>
          <c:order val="12"/>
          <c:spPr>
            <a:ln w="12700" cap="rnd">
              <a:solidFill>
                <a:schemeClr val="tx1"/>
              </a:solidFill>
              <a:prstDash val="dash"/>
              <a:round/>
            </a:ln>
            <a:effectLst/>
          </c:spPr>
          <c:marker>
            <c:symbol val="none"/>
          </c:marker>
          <c:xVal>
            <c:numRef>
              <c:f>'Roof edge insulation'!$CX$76:$CX$77</c:f>
              <c:numCache>
                <c:formatCode>General</c:formatCode>
                <c:ptCount val="2"/>
                <c:pt idx="0">
                  <c:v>600</c:v>
                </c:pt>
                <c:pt idx="1">
                  <c:v>600</c:v>
                </c:pt>
              </c:numCache>
            </c:numRef>
          </c:xVal>
          <c:yVal>
            <c:numRef>
              <c:f>'Roof edge insulation'!$CY$76:$CY$77</c:f>
              <c:numCache>
                <c:formatCode>0</c:formatCode>
                <c:ptCount val="2"/>
                <c:pt idx="0">
                  <c:v>420.38214055972139</c:v>
                </c:pt>
                <c:pt idx="1">
                  <c:v>600</c:v>
                </c:pt>
              </c:numCache>
            </c:numRef>
          </c:yVal>
          <c:smooth val="0"/>
          <c:extLst>
            <c:ext xmlns:c16="http://schemas.microsoft.com/office/drawing/2014/chart" uri="{C3380CC4-5D6E-409C-BE32-E72D297353CC}">
              <c16:uniqueId val="{0000001A-1870-4810-9A39-24D6FCF8F1F9}"/>
            </c:ext>
          </c:extLst>
        </c:ser>
        <c:dLbls>
          <c:showLegendKey val="0"/>
          <c:showVal val="0"/>
          <c:showCatName val="0"/>
          <c:showSerName val="0"/>
          <c:showPercent val="0"/>
          <c:showBubbleSize val="0"/>
        </c:dLbls>
        <c:axId val="1467372448"/>
        <c:axId val="1467387808"/>
      </c:scatterChart>
      <c:scatterChart>
        <c:scatterStyle val="lineMarker"/>
        <c:varyColors val="0"/>
        <c:ser>
          <c:idx val="0"/>
          <c:order val="0"/>
          <c:spPr>
            <a:ln w="12700" cap="rnd">
              <a:solidFill>
                <a:schemeClr val="tx1"/>
              </a:solidFill>
              <a:prstDash val="lgDash"/>
              <a:round/>
            </a:ln>
            <a:effectLst/>
          </c:spPr>
          <c:marker>
            <c:symbol val="none"/>
          </c:marker>
          <c:dPt>
            <c:idx val="1"/>
            <c:marker>
              <c:symbol val="none"/>
            </c:marker>
            <c:bubble3D val="0"/>
            <c:spPr>
              <a:ln w="19050" cap="rnd">
                <a:solidFill>
                  <a:schemeClr val="tx1"/>
                </a:solidFill>
                <a:prstDash val="lgDash"/>
                <a:round/>
              </a:ln>
              <a:effectLst/>
            </c:spPr>
            <c:extLst>
              <c:ext xmlns:c16="http://schemas.microsoft.com/office/drawing/2014/chart" uri="{C3380CC4-5D6E-409C-BE32-E72D297353CC}">
                <c16:uniqueId val="{0000001C-1870-4810-9A39-24D6FCF8F1F9}"/>
              </c:ext>
            </c:extLst>
          </c:dPt>
          <c:dLbls>
            <c:dLbl>
              <c:idx val="0"/>
              <c:delete val="1"/>
              <c:extLst>
                <c:ext xmlns:c15="http://schemas.microsoft.com/office/drawing/2012/chart" uri="{CE6537A1-D6FC-4f65-9D91-7224C49458BB}"/>
                <c:ext xmlns:c16="http://schemas.microsoft.com/office/drawing/2014/chart" uri="{C3380CC4-5D6E-409C-BE32-E72D297353CC}">
                  <c16:uniqueId val="{0000001D-1870-4810-9A39-24D6FCF8F1F9}"/>
                </c:ext>
              </c:extLst>
            </c:dLbl>
            <c:dLbl>
              <c:idx val="1"/>
              <c:delete val="1"/>
              <c:extLst>
                <c:ext xmlns:c15="http://schemas.microsoft.com/office/drawing/2012/chart" uri="{CE6537A1-D6FC-4f65-9D91-7224C49458BB}"/>
                <c:ext xmlns:c16="http://schemas.microsoft.com/office/drawing/2014/chart" uri="{C3380CC4-5D6E-409C-BE32-E72D297353CC}">
                  <c16:uniqueId val="{0000001C-1870-4810-9A39-24D6FCF8F1F9}"/>
                </c:ext>
              </c:extLst>
            </c:dLbl>
            <c:spPr>
              <a:solidFill>
                <a:sysClr val="window" lastClr="FFFFFF"/>
              </a:solidFill>
              <a:ln>
                <a:solidFill>
                  <a:sysClr val="windowText" lastClr="000000">
                    <a:lumMod val="25000"/>
                    <a:lumOff val="75000"/>
                  </a:sysClr>
                </a:solidFill>
              </a:ln>
              <a:effectLst/>
            </c:spPr>
            <c:txPr>
              <a:bodyPr rot="0" spcFirstLastPara="1" vertOverflow="clip" horzOverflow="clip" vert="horz" wrap="square" lIns="38100" tIns="19050" rIns="38100" bIns="19050" anchor="ctr" anchorCtr="1">
                <a:spAutoFit/>
              </a:bodyPr>
              <a:lstStyle/>
              <a:p>
                <a:pPr>
                  <a:defRPr sz="900" b="0" i="0" u="none" strike="noStrike" kern="1200" baseline="0">
                    <a:solidFill>
                      <a:schemeClr val="dk1">
                        <a:lumMod val="65000"/>
                        <a:lumOff val="35000"/>
                      </a:schemeClr>
                    </a:solidFill>
                    <a:latin typeface="+mn-lt"/>
                    <a:ea typeface="+mn-ea"/>
                    <a:cs typeface="+mn-cs"/>
                  </a:defRPr>
                </a:pPr>
                <a:endParaRPr lang="en-US"/>
              </a:p>
            </c:txPr>
            <c:showLegendKey val="0"/>
            <c:showVal val="1"/>
            <c:showCatName val="1"/>
            <c:showSerName val="0"/>
            <c:showPercent val="0"/>
            <c:showBubbleSize val="0"/>
            <c:showLeaderLines val="0"/>
            <c:extLst>
              <c:ext xmlns:c15="http://schemas.microsoft.com/office/drawing/2012/chart" uri="{CE6537A1-D6FC-4f65-9D91-7224C49458BB}">
                <c15:spPr xmlns:c15="http://schemas.microsoft.com/office/drawing/2012/chart">
                  <a:prstGeom prst="wedgeRectCallout">
                    <a:avLst/>
                  </a:prstGeom>
                  <a:noFill/>
                  <a:ln>
                    <a:noFill/>
                  </a:ln>
                </c15:spPr>
                <c15:showLeaderLines val="0"/>
              </c:ext>
            </c:extLst>
          </c:dLbls>
          <c:xVal>
            <c:numRef>
              <c:f>'Roof edge insulation'!$CX$14:$CX$15</c:f>
              <c:numCache>
                <c:formatCode>0</c:formatCode>
                <c:ptCount val="2"/>
                <c:pt idx="0">
                  <c:v>-100</c:v>
                </c:pt>
                <c:pt idx="1">
                  <c:v>1200</c:v>
                </c:pt>
              </c:numCache>
            </c:numRef>
          </c:xVal>
          <c:yVal>
            <c:numRef>
              <c:f>'Roof edge insulation'!$CY$14:$CY$15</c:f>
              <c:numCache>
                <c:formatCode>0</c:formatCode>
                <c:ptCount val="2"/>
                <c:pt idx="0">
                  <c:v>167.60297657337975</c:v>
                </c:pt>
                <c:pt idx="1">
                  <c:v>640.76428111944278</c:v>
                </c:pt>
              </c:numCache>
            </c:numRef>
          </c:yVal>
          <c:smooth val="0"/>
          <c:extLst>
            <c:ext xmlns:c16="http://schemas.microsoft.com/office/drawing/2014/chart" uri="{C3380CC4-5D6E-409C-BE32-E72D297353CC}">
              <c16:uniqueId val="{0000001E-1870-4810-9A39-24D6FCF8F1F9}"/>
            </c:ext>
          </c:extLst>
        </c:ser>
        <c:ser>
          <c:idx val="14"/>
          <c:order val="7"/>
          <c:spPr>
            <a:ln w="50800" cap="rnd">
              <a:solidFill>
                <a:srgbClr val="FFFF00"/>
              </a:solidFill>
              <a:prstDash val="solid"/>
              <a:round/>
            </a:ln>
            <a:effectLst/>
          </c:spPr>
          <c:marker>
            <c:symbol val="none"/>
          </c:marker>
          <c:xVal>
            <c:numRef>
              <c:f>'Roof edge insulation'!$CX$38:$CX$47</c:f>
              <c:numCache>
                <c:formatCode>General</c:formatCode>
                <c:ptCount val="10"/>
                <c:pt idx="0">
                  <c:v>5</c:v>
                </c:pt>
                <c:pt idx="1">
                  <c:v>5</c:v>
                </c:pt>
                <c:pt idx="3" formatCode="0">
                  <c:v>5</c:v>
                </c:pt>
                <c:pt idx="4" formatCode="0">
                  <c:v>5</c:v>
                </c:pt>
                <c:pt idx="5">
                  <c:v>595</c:v>
                </c:pt>
                <c:pt idx="6">
                  <c:v>595</c:v>
                </c:pt>
                <c:pt idx="8">
                  <c:v>595</c:v>
                </c:pt>
                <c:pt idx="9">
                  <c:v>595</c:v>
                </c:pt>
              </c:numCache>
            </c:numRef>
          </c:xVal>
          <c:yVal>
            <c:numRef>
              <c:f>'Roof edge insulation'!$CY$38:$CY$47</c:f>
              <c:numCache>
                <c:formatCode>0</c:formatCode>
                <c:ptCount val="10"/>
                <c:pt idx="0" formatCode="General">
                  <c:v>0</c:v>
                </c:pt>
                <c:pt idx="1">
                  <c:v>10</c:v>
                </c:pt>
                <c:pt idx="3">
                  <c:v>585</c:v>
                </c:pt>
                <c:pt idx="4">
                  <c:v>595</c:v>
                </c:pt>
                <c:pt idx="5">
                  <c:v>595</c:v>
                </c:pt>
                <c:pt idx="6">
                  <c:v>585</c:v>
                </c:pt>
                <c:pt idx="8">
                  <c:v>10</c:v>
                </c:pt>
                <c:pt idx="9" formatCode="General">
                  <c:v>0</c:v>
                </c:pt>
              </c:numCache>
            </c:numRef>
          </c:yVal>
          <c:smooth val="0"/>
          <c:extLst>
            <c:ext xmlns:c16="http://schemas.microsoft.com/office/drawing/2014/chart" uri="{C3380CC4-5D6E-409C-BE32-E72D297353CC}">
              <c16:uniqueId val="{0000001F-1870-4810-9A39-24D6FCF8F1F9}"/>
            </c:ext>
          </c:extLst>
        </c:ser>
        <c:ser>
          <c:idx val="10"/>
          <c:order val="10"/>
          <c:spPr>
            <a:ln w="19050" cap="rnd">
              <a:solidFill>
                <a:schemeClr val="tx1"/>
              </a:solidFill>
              <a:round/>
            </a:ln>
            <a:effectLst/>
          </c:spPr>
          <c:marker>
            <c:symbol val="none"/>
          </c:marker>
          <c:dPt>
            <c:idx val="1"/>
            <c:marker>
              <c:symbol val="none"/>
            </c:marker>
            <c:bubble3D val="0"/>
            <c:spPr>
              <a:ln w="19050" cap="rnd">
                <a:solidFill>
                  <a:srgbClr val="FFC000"/>
                </a:solidFill>
                <a:round/>
              </a:ln>
              <a:effectLst/>
            </c:spPr>
            <c:extLst>
              <c:ext xmlns:c16="http://schemas.microsoft.com/office/drawing/2014/chart" uri="{C3380CC4-5D6E-409C-BE32-E72D297353CC}">
                <c16:uniqueId val="{00000021-1870-4810-9A39-24D6FCF8F1F9}"/>
              </c:ext>
            </c:extLst>
          </c:dPt>
          <c:xVal>
            <c:numRef>
              <c:f>'Roof edge insulation'!$CX$66:$CX$67</c:f>
              <c:numCache>
                <c:formatCode>General</c:formatCode>
                <c:ptCount val="2"/>
                <c:pt idx="0">
                  <c:v>0</c:v>
                </c:pt>
                <c:pt idx="1">
                  <c:v>1200</c:v>
                </c:pt>
              </c:numCache>
            </c:numRef>
          </c:xVal>
          <c:yVal>
            <c:numRef>
              <c:f>'Roof edge insulation'!$CY$66:$CY$67</c:f>
              <c:numCache>
                <c:formatCode>0</c:formatCode>
                <c:ptCount val="2"/>
                <c:pt idx="0">
                  <c:v>0</c:v>
                </c:pt>
                <c:pt idx="1">
                  <c:v>0</c:v>
                </c:pt>
              </c:numCache>
            </c:numRef>
          </c:yVal>
          <c:smooth val="0"/>
          <c:extLst>
            <c:ext xmlns:c16="http://schemas.microsoft.com/office/drawing/2014/chart" uri="{C3380CC4-5D6E-409C-BE32-E72D297353CC}">
              <c16:uniqueId val="{00000022-1870-4810-9A39-24D6FCF8F1F9}"/>
            </c:ext>
          </c:extLst>
        </c:ser>
        <c:ser>
          <c:idx val="13"/>
          <c:order val="16"/>
          <c:spPr>
            <a:ln w="38100" cap="rnd">
              <a:solidFill>
                <a:srgbClr val="FFC000"/>
              </a:solidFill>
              <a:prstDash val="sysDash"/>
              <a:round/>
            </a:ln>
            <a:effectLst/>
          </c:spPr>
          <c:marker>
            <c:symbol val="none"/>
          </c:marker>
          <c:xVal>
            <c:numRef>
              <c:f>'Roof edge insulation'!$DF$2:$DF$1201</c:f>
              <c:numCache>
                <c:formatCode>0</c:formatCode>
                <c:ptCount val="1200"/>
                <c:pt idx="0">
                  <c:v>1</c:v>
                </c:pt>
                <c:pt idx="1">
                  <c:v>2</c:v>
                </c:pt>
                <c:pt idx="2">
                  <c:v>3</c:v>
                </c:pt>
                <c:pt idx="3">
                  <c:v>4</c:v>
                </c:pt>
                <c:pt idx="4">
                  <c:v>5</c:v>
                </c:pt>
                <c:pt idx="5">
                  <c:v>6</c:v>
                </c:pt>
                <c:pt idx="6">
                  <c:v>7</c:v>
                </c:pt>
                <c:pt idx="7">
                  <c:v>8</c:v>
                </c:pt>
                <c:pt idx="8">
                  <c:v>9</c:v>
                </c:pt>
                <c:pt idx="9">
                  <c:v>10</c:v>
                </c:pt>
                <c:pt idx="10">
                  <c:v>11</c:v>
                </c:pt>
                <c:pt idx="11">
                  <c:v>12</c:v>
                </c:pt>
                <c:pt idx="12">
                  <c:v>13</c:v>
                </c:pt>
                <c:pt idx="13">
                  <c:v>14</c:v>
                </c:pt>
                <c:pt idx="14">
                  <c:v>15</c:v>
                </c:pt>
                <c:pt idx="15">
                  <c:v>16</c:v>
                </c:pt>
                <c:pt idx="16">
                  <c:v>17</c:v>
                </c:pt>
                <c:pt idx="17">
                  <c:v>18</c:v>
                </c:pt>
                <c:pt idx="18">
                  <c:v>19</c:v>
                </c:pt>
                <c:pt idx="19">
                  <c:v>20</c:v>
                </c:pt>
                <c:pt idx="20">
                  <c:v>21</c:v>
                </c:pt>
                <c:pt idx="21">
                  <c:v>22</c:v>
                </c:pt>
                <c:pt idx="22">
                  <c:v>23</c:v>
                </c:pt>
                <c:pt idx="23">
                  <c:v>24</c:v>
                </c:pt>
                <c:pt idx="24">
                  <c:v>25</c:v>
                </c:pt>
                <c:pt idx="25">
                  <c:v>26</c:v>
                </c:pt>
                <c:pt idx="26">
                  <c:v>27</c:v>
                </c:pt>
                <c:pt idx="27">
                  <c:v>28</c:v>
                </c:pt>
                <c:pt idx="28">
                  <c:v>29</c:v>
                </c:pt>
                <c:pt idx="29">
                  <c:v>30</c:v>
                </c:pt>
                <c:pt idx="30">
                  <c:v>31</c:v>
                </c:pt>
                <c:pt idx="31">
                  <c:v>32</c:v>
                </c:pt>
                <c:pt idx="32">
                  <c:v>33</c:v>
                </c:pt>
                <c:pt idx="33">
                  <c:v>34</c:v>
                </c:pt>
                <c:pt idx="34">
                  <c:v>35</c:v>
                </c:pt>
                <c:pt idx="35">
                  <c:v>36</c:v>
                </c:pt>
                <c:pt idx="36">
                  <c:v>37</c:v>
                </c:pt>
                <c:pt idx="37">
                  <c:v>38</c:v>
                </c:pt>
                <c:pt idx="38">
                  <c:v>39</c:v>
                </c:pt>
                <c:pt idx="39">
                  <c:v>40</c:v>
                </c:pt>
                <c:pt idx="40">
                  <c:v>41</c:v>
                </c:pt>
                <c:pt idx="41">
                  <c:v>42</c:v>
                </c:pt>
                <c:pt idx="42">
                  <c:v>43</c:v>
                </c:pt>
                <c:pt idx="43">
                  <c:v>44</c:v>
                </c:pt>
                <c:pt idx="44">
                  <c:v>45</c:v>
                </c:pt>
                <c:pt idx="45">
                  <c:v>46</c:v>
                </c:pt>
                <c:pt idx="46">
                  <c:v>47</c:v>
                </c:pt>
                <c:pt idx="47">
                  <c:v>48</c:v>
                </c:pt>
                <c:pt idx="48">
                  <c:v>49</c:v>
                </c:pt>
                <c:pt idx="49">
                  <c:v>50</c:v>
                </c:pt>
                <c:pt idx="50">
                  <c:v>51</c:v>
                </c:pt>
                <c:pt idx="51">
                  <c:v>52</c:v>
                </c:pt>
                <c:pt idx="52">
                  <c:v>53</c:v>
                </c:pt>
                <c:pt idx="53">
                  <c:v>54</c:v>
                </c:pt>
                <c:pt idx="54">
                  <c:v>55</c:v>
                </c:pt>
                <c:pt idx="55">
                  <c:v>56</c:v>
                </c:pt>
                <c:pt idx="56">
                  <c:v>57</c:v>
                </c:pt>
                <c:pt idx="57">
                  <c:v>58</c:v>
                </c:pt>
                <c:pt idx="58">
                  <c:v>59</c:v>
                </c:pt>
                <c:pt idx="59">
                  <c:v>60</c:v>
                </c:pt>
                <c:pt idx="60">
                  <c:v>61</c:v>
                </c:pt>
                <c:pt idx="61">
                  <c:v>62</c:v>
                </c:pt>
                <c:pt idx="62">
                  <c:v>63</c:v>
                </c:pt>
                <c:pt idx="63">
                  <c:v>64</c:v>
                </c:pt>
                <c:pt idx="64">
                  <c:v>65</c:v>
                </c:pt>
                <c:pt idx="65">
                  <c:v>66</c:v>
                </c:pt>
                <c:pt idx="66">
                  <c:v>67</c:v>
                </c:pt>
                <c:pt idx="67">
                  <c:v>68</c:v>
                </c:pt>
                <c:pt idx="68">
                  <c:v>69</c:v>
                </c:pt>
                <c:pt idx="69">
                  <c:v>70</c:v>
                </c:pt>
                <c:pt idx="70">
                  <c:v>71</c:v>
                </c:pt>
                <c:pt idx="71">
                  <c:v>72</c:v>
                </c:pt>
                <c:pt idx="72">
                  <c:v>73</c:v>
                </c:pt>
                <c:pt idx="73">
                  <c:v>74</c:v>
                </c:pt>
                <c:pt idx="74">
                  <c:v>75</c:v>
                </c:pt>
                <c:pt idx="75">
                  <c:v>76</c:v>
                </c:pt>
                <c:pt idx="76">
                  <c:v>77</c:v>
                </c:pt>
                <c:pt idx="77">
                  <c:v>78</c:v>
                </c:pt>
                <c:pt idx="78">
                  <c:v>79</c:v>
                </c:pt>
                <c:pt idx="79">
                  <c:v>80</c:v>
                </c:pt>
                <c:pt idx="80">
                  <c:v>81</c:v>
                </c:pt>
                <c:pt idx="81">
                  <c:v>82</c:v>
                </c:pt>
                <c:pt idx="82">
                  <c:v>83</c:v>
                </c:pt>
                <c:pt idx="83">
                  <c:v>84</c:v>
                </c:pt>
                <c:pt idx="84">
                  <c:v>85</c:v>
                </c:pt>
                <c:pt idx="85">
                  <c:v>86</c:v>
                </c:pt>
                <c:pt idx="86">
                  <c:v>87</c:v>
                </c:pt>
                <c:pt idx="87">
                  <c:v>88</c:v>
                </c:pt>
                <c:pt idx="88">
                  <c:v>89</c:v>
                </c:pt>
                <c:pt idx="89">
                  <c:v>90</c:v>
                </c:pt>
                <c:pt idx="90">
                  <c:v>91</c:v>
                </c:pt>
                <c:pt idx="91">
                  <c:v>92</c:v>
                </c:pt>
                <c:pt idx="92">
                  <c:v>93</c:v>
                </c:pt>
                <c:pt idx="93">
                  <c:v>94</c:v>
                </c:pt>
                <c:pt idx="94">
                  <c:v>95</c:v>
                </c:pt>
                <c:pt idx="95">
                  <c:v>96</c:v>
                </c:pt>
                <c:pt idx="96">
                  <c:v>97</c:v>
                </c:pt>
                <c:pt idx="97">
                  <c:v>98</c:v>
                </c:pt>
                <c:pt idx="98">
                  <c:v>99</c:v>
                </c:pt>
                <c:pt idx="99">
                  <c:v>100</c:v>
                </c:pt>
                <c:pt idx="100">
                  <c:v>101</c:v>
                </c:pt>
                <c:pt idx="101">
                  <c:v>102</c:v>
                </c:pt>
                <c:pt idx="102">
                  <c:v>103</c:v>
                </c:pt>
                <c:pt idx="103">
                  <c:v>104</c:v>
                </c:pt>
                <c:pt idx="104">
                  <c:v>105</c:v>
                </c:pt>
                <c:pt idx="105">
                  <c:v>106</c:v>
                </c:pt>
                <c:pt idx="106">
                  <c:v>107</c:v>
                </c:pt>
                <c:pt idx="107">
                  <c:v>108</c:v>
                </c:pt>
                <c:pt idx="108">
                  <c:v>109</c:v>
                </c:pt>
                <c:pt idx="109">
                  <c:v>110</c:v>
                </c:pt>
                <c:pt idx="110">
                  <c:v>111</c:v>
                </c:pt>
                <c:pt idx="111">
                  <c:v>112</c:v>
                </c:pt>
                <c:pt idx="112">
                  <c:v>113</c:v>
                </c:pt>
                <c:pt idx="113">
                  <c:v>114</c:v>
                </c:pt>
                <c:pt idx="114">
                  <c:v>115</c:v>
                </c:pt>
                <c:pt idx="115">
                  <c:v>116</c:v>
                </c:pt>
                <c:pt idx="116">
                  <c:v>117</c:v>
                </c:pt>
                <c:pt idx="117">
                  <c:v>118</c:v>
                </c:pt>
                <c:pt idx="118">
                  <c:v>119</c:v>
                </c:pt>
                <c:pt idx="119">
                  <c:v>120</c:v>
                </c:pt>
                <c:pt idx="120">
                  <c:v>121</c:v>
                </c:pt>
                <c:pt idx="121">
                  <c:v>122</c:v>
                </c:pt>
                <c:pt idx="122">
                  <c:v>123</c:v>
                </c:pt>
                <c:pt idx="123">
                  <c:v>124</c:v>
                </c:pt>
                <c:pt idx="124">
                  <c:v>125</c:v>
                </c:pt>
                <c:pt idx="125">
                  <c:v>126</c:v>
                </c:pt>
                <c:pt idx="126">
                  <c:v>127</c:v>
                </c:pt>
                <c:pt idx="127">
                  <c:v>128</c:v>
                </c:pt>
                <c:pt idx="128">
                  <c:v>129</c:v>
                </c:pt>
                <c:pt idx="129">
                  <c:v>130</c:v>
                </c:pt>
                <c:pt idx="130">
                  <c:v>131</c:v>
                </c:pt>
                <c:pt idx="131">
                  <c:v>132</c:v>
                </c:pt>
                <c:pt idx="132">
                  <c:v>133</c:v>
                </c:pt>
                <c:pt idx="133">
                  <c:v>134</c:v>
                </c:pt>
                <c:pt idx="134">
                  <c:v>135</c:v>
                </c:pt>
                <c:pt idx="135">
                  <c:v>136</c:v>
                </c:pt>
                <c:pt idx="136">
                  <c:v>137</c:v>
                </c:pt>
                <c:pt idx="137">
                  <c:v>138</c:v>
                </c:pt>
                <c:pt idx="138">
                  <c:v>139</c:v>
                </c:pt>
                <c:pt idx="139">
                  <c:v>140</c:v>
                </c:pt>
                <c:pt idx="140">
                  <c:v>141</c:v>
                </c:pt>
                <c:pt idx="141">
                  <c:v>142</c:v>
                </c:pt>
                <c:pt idx="142">
                  <c:v>143</c:v>
                </c:pt>
                <c:pt idx="143">
                  <c:v>144</c:v>
                </c:pt>
                <c:pt idx="144">
                  <c:v>145</c:v>
                </c:pt>
                <c:pt idx="145">
                  <c:v>146</c:v>
                </c:pt>
                <c:pt idx="146">
                  <c:v>147</c:v>
                </c:pt>
                <c:pt idx="147">
                  <c:v>148</c:v>
                </c:pt>
                <c:pt idx="148">
                  <c:v>149</c:v>
                </c:pt>
                <c:pt idx="149">
                  <c:v>150</c:v>
                </c:pt>
                <c:pt idx="150">
                  <c:v>151</c:v>
                </c:pt>
                <c:pt idx="151">
                  <c:v>152</c:v>
                </c:pt>
                <c:pt idx="152">
                  <c:v>153</c:v>
                </c:pt>
                <c:pt idx="153">
                  <c:v>154</c:v>
                </c:pt>
                <c:pt idx="154">
                  <c:v>155</c:v>
                </c:pt>
                <c:pt idx="155">
                  <c:v>156</c:v>
                </c:pt>
                <c:pt idx="156">
                  <c:v>157</c:v>
                </c:pt>
                <c:pt idx="157">
                  <c:v>158</c:v>
                </c:pt>
                <c:pt idx="158">
                  <c:v>159</c:v>
                </c:pt>
                <c:pt idx="159">
                  <c:v>160</c:v>
                </c:pt>
                <c:pt idx="160">
                  <c:v>161</c:v>
                </c:pt>
                <c:pt idx="161">
                  <c:v>162</c:v>
                </c:pt>
                <c:pt idx="162">
                  <c:v>163</c:v>
                </c:pt>
                <c:pt idx="163">
                  <c:v>164</c:v>
                </c:pt>
                <c:pt idx="164">
                  <c:v>165</c:v>
                </c:pt>
                <c:pt idx="165">
                  <c:v>166</c:v>
                </c:pt>
                <c:pt idx="166">
                  <c:v>167</c:v>
                </c:pt>
                <c:pt idx="167">
                  <c:v>168</c:v>
                </c:pt>
                <c:pt idx="168">
                  <c:v>169</c:v>
                </c:pt>
                <c:pt idx="169">
                  <c:v>170</c:v>
                </c:pt>
                <c:pt idx="170">
                  <c:v>171</c:v>
                </c:pt>
                <c:pt idx="171">
                  <c:v>172</c:v>
                </c:pt>
                <c:pt idx="172">
                  <c:v>173</c:v>
                </c:pt>
                <c:pt idx="173">
                  <c:v>174</c:v>
                </c:pt>
                <c:pt idx="174">
                  <c:v>175</c:v>
                </c:pt>
                <c:pt idx="175">
                  <c:v>176</c:v>
                </c:pt>
                <c:pt idx="176">
                  <c:v>177</c:v>
                </c:pt>
                <c:pt idx="177">
                  <c:v>178</c:v>
                </c:pt>
                <c:pt idx="178">
                  <c:v>179</c:v>
                </c:pt>
                <c:pt idx="179">
                  <c:v>180</c:v>
                </c:pt>
                <c:pt idx="180">
                  <c:v>181</c:v>
                </c:pt>
                <c:pt idx="181">
                  <c:v>182</c:v>
                </c:pt>
                <c:pt idx="182">
                  <c:v>183</c:v>
                </c:pt>
                <c:pt idx="183">
                  <c:v>184</c:v>
                </c:pt>
                <c:pt idx="184">
                  <c:v>185</c:v>
                </c:pt>
                <c:pt idx="185">
                  <c:v>186</c:v>
                </c:pt>
                <c:pt idx="186">
                  <c:v>187</c:v>
                </c:pt>
                <c:pt idx="187">
                  <c:v>188</c:v>
                </c:pt>
                <c:pt idx="188">
                  <c:v>189</c:v>
                </c:pt>
                <c:pt idx="189">
                  <c:v>190</c:v>
                </c:pt>
                <c:pt idx="190">
                  <c:v>191</c:v>
                </c:pt>
                <c:pt idx="191">
                  <c:v>192</c:v>
                </c:pt>
                <c:pt idx="192">
                  <c:v>193</c:v>
                </c:pt>
                <c:pt idx="193">
                  <c:v>194</c:v>
                </c:pt>
                <c:pt idx="194">
                  <c:v>195</c:v>
                </c:pt>
                <c:pt idx="195">
                  <c:v>196</c:v>
                </c:pt>
                <c:pt idx="196">
                  <c:v>197</c:v>
                </c:pt>
                <c:pt idx="197">
                  <c:v>198</c:v>
                </c:pt>
                <c:pt idx="198">
                  <c:v>199</c:v>
                </c:pt>
                <c:pt idx="199">
                  <c:v>200</c:v>
                </c:pt>
                <c:pt idx="200">
                  <c:v>201</c:v>
                </c:pt>
                <c:pt idx="201">
                  <c:v>202</c:v>
                </c:pt>
                <c:pt idx="202">
                  <c:v>203</c:v>
                </c:pt>
                <c:pt idx="203">
                  <c:v>204</c:v>
                </c:pt>
                <c:pt idx="204">
                  <c:v>205</c:v>
                </c:pt>
                <c:pt idx="205">
                  <c:v>206</c:v>
                </c:pt>
                <c:pt idx="206">
                  <c:v>207</c:v>
                </c:pt>
                <c:pt idx="207">
                  <c:v>208</c:v>
                </c:pt>
                <c:pt idx="208">
                  <c:v>209</c:v>
                </c:pt>
                <c:pt idx="209">
                  <c:v>210</c:v>
                </c:pt>
                <c:pt idx="210">
                  <c:v>211</c:v>
                </c:pt>
                <c:pt idx="211">
                  <c:v>212</c:v>
                </c:pt>
                <c:pt idx="212">
                  <c:v>213</c:v>
                </c:pt>
                <c:pt idx="213">
                  <c:v>214</c:v>
                </c:pt>
                <c:pt idx="214">
                  <c:v>215</c:v>
                </c:pt>
                <c:pt idx="215">
                  <c:v>216</c:v>
                </c:pt>
                <c:pt idx="216">
                  <c:v>217</c:v>
                </c:pt>
                <c:pt idx="217">
                  <c:v>218</c:v>
                </c:pt>
                <c:pt idx="218">
                  <c:v>219</c:v>
                </c:pt>
                <c:pt idx="219">
                  <c:v>220</c:v>
                </c:pt>
                <c:pt idx="220">
                  <c:v>221</c:v>
                </c:pt>
                <c:pt idx="221">
                  <c:v>222</c:v>
                </c:pt>
                <c:pt idx="222">
                  <c:v>223</c:v>
                </c:pt>
                <c:pt idx="223">
                  <c:v>224</c:v>
                </c:pt>
                <c:pt idx="224">
                  <c:v>225</c:v>
                </c:pt>
                <c:pt idx="225">
                  <c:v>226</c:v>
                </c:pt>
                <c:pt idx="226">
                  <c:v>227</c:v>
                </c:pt>
                <c:pt idx="227">
                  <c:v>228</c:v>
                </c:pt>
                <c:pt idx="228">
                  <c:v>229</c:v>
                </c:pt>
                <c:pt idx="229">
                  <c:v>230</c:v>
                </c:pt>
                <c:pt idx="230">
                  <c:v>231</c:v>
                </c:pt>
                <c:pt idx="231">
                  <c:v>232</c:v>
                </c:pt>
                <c:pt idx="232">
                  <c:v>233</c:v>
                </c:pt>
                <c:pt idx="233">
                  <c:v>234</c:v>
                </c:pt>
                <c:pt idx="234">
                  <c:v>235</c:v>
                </c:pt>
                <c:pt idx="235">
                  <c:v>236</c:v>
                </c:pt>
                <c:pt idx="236">
                  <c:v>237</c:v>
                </c:pt>
                <c:pt idx="237">
                  <c:v>238</c:v>
                </c:pt>
                <c:pt idx="238">
                  <c:v>239</c:v>
                </c:pt>
                <c:pt idx="239">
                  <c:v>240</c:v>
                </c:pt>
                <c:pt idx="240">
                  <c:v>241</c:v>
                </c:pt>
                <c:pt idx="241">
                  <c:v>242</c:v>
                </c:pt>
                <c:pt idx="242">
                  <c:v>243</c:v>
                </c:pt>
                <c:pt idx="243">
                  <c:v>244</c:v>
                </c:pt>
                <c:pt idx="244">
                  <c:v>245</c:v>
                </c:pt>
                <c:pt idx="245">
                  <c:v>246</c:v>
                </c:pt>
                <c:pt idx="246">
                  <c:v>247</c:v>
                </c:pt>
                <c:pt idx="247">
                  <c:v>248</c:v>
                </c:pt>
                <c:pt idx="248">
                  <c:v>249</c:v>
                </c:pt>
                <c:pt idx="249">
                  <c:v>250</c:v>
                </c:pt>
                <c:pt idx="250">
                  <c:v>251</c:v>
                </c:pt>
                <c:pt idx="251">
                  <c:v>252</c:v>
                </c:pt>
                <c:pt idx="252">
                  <c:v>253</c:v>
                </c:pt>
                <c:pt idx="253">
                  <c:v>254</c:v>
                </c:pt>
                <c:pt idx="254">
                  <c:v>255</c:v>
                </c:pt>
                <c:pt idx="255">
                  <c:v>256</c:v>
                </c:pt>
                <c:pt idx="256">
                  <c:v>257</c:v>
                </c:pt>
                <c:pt idx="257">
                  <c:v>258</c:v>
                </c:pt>
                <c:pt idx="258">
                  <c:v>259</c:v>
                </c:pt>
                <c:pt idx="259">
                  <c:v>260</c:v>
                </c:pt>
                <c:pt idx="260">
                  <c:v>261</c:v>
                </c:pt>
                <c:pt idx="261">
                  <c:v>262</c:v>
                </c:pt>
                <c:pt idx="262">
                  <c:v>263</c:v>
                </c:pt>
                <c:pt idx="263">
                  <c:v>264</c:v>
                </c:pt>
                <c:pt idx="264">
                  <c:v>265</c:v>
                </c:pt>
                <c:pt idx="265">
                  <c:v>266</c:v>
                </c:pt>
                <c:pt idx="266">
                  <c:v>267</c:v>
                </c:pt>
                <c:pt idx="267">
                  <c:v>268</c:v>
                </c:pt>
                <c:pt idx="268">
                  <c:v>269</c:v>
                </c:pt>
                <c:pt idx="269">
                  <c:v>270</c:v>
                </c:pt>
                <c:pt idx="270">
                  <c:v>271</c:v>
                </c:pt>
                <c:pt idx="271">
                  <c:v>272</c:v>
                </c:pt>
                <c:pt idx="272">
                  <c:v>273</c:v>
                </c:pt>
                <c:pt idx="273">
                  <c:v>274</c:v>
                </c:pt>
                <c:pt idx="274">
                  <c:v>275</c:v>
                </c:pt>
                <c:pt idx="275">
                  <c:v>276</c:v>
                </c:pt>
                <c:pt idx="276">
                  <c:v>277</c:v>
                </c:pt>
                <c:pt idx="277">
                  <c:v>278</c:v>
                </c:pt>
                <c:pt idx="278">
                  <c:v>279</c:v>
                </c:pt>
                <c:pt idx="279">
                  <c:v>280</c:v>
                </c:pt>
                <c:pt idx="280">
                  <c:v>281</c:v>
                </c:pt>
                <c:pt idx="281">
                  <c:v>282</c:v>
                </c:pt>
                <c:pt idx="282">
                  <c:v>283</c:v>
                </c:pt>
                <c:pt idx="283">
                  <c:v>284</c:v>
                </c:pt>
                <c:pt idx="284">
                  <c:v>285</c:v>
                </c:pt>
                <c:pt idx="285">
                  <c:v>286</c:v>
                </c:pt>
                <c:pt idx="286">
                  <c:v>287</c:v>
                </c:pt>
                <c:pt idx="287">
                  <c:v>288</c:v>
                </c:pt>
                <c:pt idx="288">
                  <c:v>289</c:v>
                </c:pt>
                <c:pt idx="289">
                  <c:v>290</c:v>
                </c:pt>
                <c:pt idx="290">
                  <c:v>291</c:v>
                </c:pt>
                <c:pt idx="291">
                  <c:v>292</c:v>
                </c:pt>
                <c:pt idx="292">
                  <c:v>293</c:v>
                </c:pt>
                <c:pt idx="293">
                  <c:v>294</c:v>
                </c:pt>
                <c:pt idx="294">
                  <c:v>295</c:v>
                </c:pt>
                <c:pt idx="295">
                  <c:v>296</c:v>
                </c:pt>
                <c:pt idx="296">
                  <c:v>297</c:v>
                </c:pt>
                <c:pt idx="297">
                  <c:v>298</c:v>
                </c:pt>
                <c:pt idx="298">
                  <c:v>299</c:v>
                </c:pt>
                <c:pt idx="299">
                  <c:v>300</c:v>
                </c:pt>
                <c:pt idx="300">
                  <c:v>301</c:v>
                </c:pt>
                <c:pt idx="301">
                  <c:v>302</c:v>
                </c:pt>
                <c:pt idx="302">
                  <c:v>303</c:v>
                </c:pt>
                <c:pt idx="303">
                  <c:v>304</c:v>
                </c:pt>
                <c:pt idx="304">
                  <c:v>305</c:v>
                </c:pt>
                <c:pt idx="305">
                  <c:v>306</c:v>
                </c:pt>
                <c:pt idx="306">
                  <c:v>307</c:v>
                </c:pt>
                <c:pt idx="307">
                  <c:v>308</c:v>
                </c:pt>
                <c:pt idx="308">
                  <c:v>309</c:v>
                </c:pt>
                <c:pt idx="309">
                  <c:v>310</c:v>
                </c:pt>
                <c:pt idx="310">
                  <c:v>311</c:v>
                </c:pt>
                <c:pt idx="311">
                  <c:v>312</c:v>
                </c:pt>
                <c:pt idx="312">
                  <c:v>313</c:v>
                </c:pt>
                <c:pt idx="313">
                  <c:v>314</c:v>
                </c:pt>
                <c:pt idx="314">
                  <c:v>315</c:v>
                </c:pt>
                <c:pt idx="315">
                  <c:v>316</c:v>
                </c:pt>
                <c:pt idx="316">
                  <c:v>317</c:v>
                </c:pt>
                <c:pt idx="317">
                  <c:v>318</c:v>
                </c:pt>
                <c:pt idx="318">
                  <c:v>319</c:v>
                </c:pt>
                <c:pt idx="319">
                  <c:v>320</c:v>
                </c:pt>
                <c:pt idx="320">
                  <c:v>321</c:v>
                </c:pt>
                <c:pt idx="321">
                  <c:v>322</c:v>
                </c:pt>
                <c:pt idx="322">
                  <c:v>323</c:v>
                </c:pt>
                <c:pt idx="323">
                  <c:v>324</c:v>
                </c:pt>
                <c:pt idx="324">
                  <c:v>325</c:v>
                </c:pt>
                <c:pt idx="325">
                  <c:v>326</c:v>
                </c:pt>
                <c:pt idx="326">
                  <c:v>327</c:v>
                </c:pt>
                <c:pt idx="327">
                  <c:v>328</c:v>
                </c:pt>
                <c:pt idx="328">
                  <c:v>329</c:v>
                </c:pt>
                <c:pt idx="329">
                  <c:v>330</c:v>
                </c:pt>
                <c:pt idx="330">
                  <c:v>331</c:v>
                </c:pt>
                <c:pt idx="331">
                  <c:v>332</c:v>
                </c:pt>
                <c:pt idx="332">
                  <c:v>333</c:v>
                </c:pt>
                <c:pt idx="333">
                  <c:v>334</c:v>
                </c:pt>
                <c:pt idx="334">
                  <c:v>335</c:v>
                </c:pt>
                <c:pt idx="335">
                  <c:v>336</c:v>
                </c:pt>
                <c:pt idx="336">
                  <c:v>337</c:v>
                </c:pt>
                <c:pt idx="337">
                  <c:v>338</c:v>
                </c:pt>
                <c:pt idx="338">
                  <c:v>339</c:v>
                </c:pt>
                <c:pt idx="339">
                  <c:v>340</c:v>
                </c:pt>
                <c:pt idx="340">
                  <c:v>341</c:v>
                </c:pt>
                <c:pt idx="341">
                  <c:v>342</c:v>
                </c:pt>
                <c:pt idx="342">
                  <c:v>343</c:v>
                </c:pt>
                <c:pt idx="343">
                  <c:v>344</c:v>
                </c:pt>
                <c:pt idx="344">
                  <c:v>345</c:v>
                </c:pt>
                <c:pt idx="345">
                  <c:v>346</c:v>
                </c:pt>
                <c:pt idx="346">
                  <c:v>347</c:v>
                </c:pt>
                <c:pt idx="347">
                  <c:v>348</c:v>
                </c:pt>
                <c:pt idx="348">
                  <c:v>349</c:v>
                </c:pt>
                <c:pt idx="349">
                  <c:v>350</c:v>
                </c:pt>
                <c:pt idx="350">
                  <c:v>351</c:v>
                </c:pt>
                <c:pt idx="351">
                  <c:v>352</c:v>
                </c:pt>
                <c:pt idx="352">
                  <c:v>353</c:v>
                </c:pt>
                <c:pt idx="353">
                  <c:v>354</c:v>
                </c:pt>
                <c:pt idx="354">
                  <c:v>355</c:v>
                </c:pt>
                <c:pt idx="355">
                  <c:v>356</c:v>
                </c:pt>
                <c:pt idx="356">
                  <c:v>357</c:v>
                </c:pt>
                <c:pt idx="357">
                  <c:v>358</c:v>
                </c:pt>
                <c:pt idx="358">
                  <c:v>359</c:v>
                </c:pt>
                <c:pt idx="359">
                  <c:v>360</c:v>
                </c:pt>
                <c:pt idx="360">
                  <c:v>361</c:v>
                </c:pt>
                <c:pt idx="361">
                  <c:v>362</c:v>
                </c:pt>
                <c:pt idx="362">
                  <c:v>363</c:v>
                </c:pt>
                <c:pt idx="363">
                  <c:v>364</c:v>
                </c:pt>
                <c:pt idx="364">
                  <c:v>365</c:v>
                </c:pt>
                <c:pt idx="365">
                  <c:v>366</c:v>
                </c:pt>
                <c:pt idx="366">
                  <c:v>367</c:v>
                </c:pt>
                <c:pt idx="367">
                  <c:v>368</c:v>
                </c:pt>
                <c:pt idx="368">
                  <c:v>369</c:v>
                </c:pt>
                <c:pt idx="369">
                  <c:v>370</c:v>
                </c:pt>
                <c:pt idx="370">
                  <c:v>371</c:v>
                </c:pt>
                <c:pt idx="371">
                  <c:v>372</c:v>
                </c:pt>
                <c:pt idx="372">
                  <c:v>373</c:v>
                </c:pt>
                <c:pt idx="373">
                  <c:v>374</c:v>
                </c:pt>
                <c:pt idx="374">
                  <c:v>375</c:v>
                </c:pt>
                <c:pt idx="375">
                  <c:v>376</c:v>
                </c:pt>
                <c:pt idx="376">
                  <c:v>377</c:v>
                </c:pt>
                <c:pt idx="377">
                  <c:v>378</c:v>
                </c:pt>
                <c:pt idx="378">
                  <c:v>379</c:v>
                </c:pt>
                <c:pt idx="379">
                  <c:v>380</c:v>
                </c:pt>
                <c:pt idx="380">
                  <c:v>381</c:v>
                </c:pt>
                <c:pt idx="381">
                  <c:v>382</c:v>
                </c:pt>
                <c:pt idx="382">
                  <c:v>383</c:v>
                </c:pt>
                <c:pt idx="383">
                  <c:v>384</c:v>
                </c:pt>
                <c:pt idx="384">
                  <c:v>385</c:v>
                </c:pt>
                <c:pt idx="385">
                  <c:v>386</c:v>
                </c:pt>
                <c:pt idx="386">
                  <c:v>387</c:v>
                </c:pt>
                <c:pt idx="387">
                  <c:v>388</c:v>
                </c:pt>
                <c:pt idx="388">
                  <c:v>389</c:v>
                </c:pt>
                <c:pt idx="389">
                  <c:v>390</c:v>
                </c:pt>
                <c:pt idx="390">
                  <c:v>391</c:v>
                </c:pt>
                <c:pt idx="391">
                  <c:v>392</c:v>
                </c:pt>
                <c:pt idx="392">
                  <c:v>393</c:v>
                </c:pt>
                <c:pt idx="393">
                  <c:v>394</c:v>
                </c:pt>
                <c:pt idx="394">
                  <c:v>395</c:v>
                </c:pt>
                <c:pt idx="395">
                  <c:v>396</c:v>
                </c:pt>
                <c:pt idx="396">
                  <c:v>397</c:v>
                </c:pt>
                <c:pt idx="397">
                  <c:v>398</c:v>
                </c:pt>
                <c:pt idx="398">
                  <c:v>399</c:v>
                </c:pt>
                <c:pt idx="399">
                  <c:v>400</c:v>
                </c:pt>
                <c:pt idx="400">
                  <c:v>401</c:v>
                </c:pt>
                <c:pt idx="401">
                  <c:v>402</c:v>
                </c:pt>
                <c:pt idx="402">
                  <c:v>403</c:v>
                </c:pt>
                <c:pt idx="403">
                  <c:v>404</c:v>
                </c:pt>
                <c:pt idx="404">
                  <c:v>405</c:v>
                </c:pt>
                <c:pt idx="405">
                  <c:v>406</c:v>
                </c:pt>
                <c:pt idx="406">
                  <c:v>407</c:v>
                </c:pt>
                <c:pt idx="407">
                  <c:v>408</c:v>
                </c:pt>
                <c:pt idx="408">
                  <c:v>409</c:v>
                </c:pt>
                <c:pt idx="409">
                  <c:v>410</c:v>
                </c:pt>
                <c:pt idx="410">
                  <c:v>411</c:v>
                </c:pt>
                <c:pt idx="411">
                  <c:v>412</c:v>
                </c:pt>
                <c:pt idx="412">
                  <c:v>413</c:v>
                </c:pt>
                <c:pt idx="413">
                  <c:v>414</c:v>
                </c:pt>
                <c:pt idx="414">
                  <c:v>415</c:v>
                </c:pt>
                <c:pt idx="415">
                  <c:v>416</c:v>
                </c:pt>
                <c:pt idx="416">
                  <c:v>417</c:v>
                </c:pt>
                <c:pt idx="417">
                  <c:v>418</c:v>
                </c:pt>
                <c:pt idx="418">
                  <c:v>419</c:v>
                </c:pt>
                <c:pt idx="419">
                  <c:v>420</c:v>
                </c:pt>
                <c:pt idx="420">
                  <c:v>421</c:v>
                </c:pt>
                <c:pt idx="421">
                  <c:v>422</c:v>
                </c:pt>
                <c:pt idx="422">
                  <c:v>423</c:v>
                </c:pt>
                <c:pt idx="423">
                  <c:v>424</c:v>
                </c:pt>
                <c:pt idx="424">
                  <c:v>425</c:v>
                </c:pt>
                <c:pt idx="425">
                  <c:v>426</c:v>
                </c:pt>
                <c:pt idx="426">
                  <c:v>427</c:v>
                </c:pt>
                <c:pt idx="427">
                  <c:v>428</c:v>
                </c:pt>
                <c:pt idx="428">
                  <c:v>429</c:v>
                </c:pt>
                <c:pt idx="429">
                  <c:v>430</c:v>
                </c:pt>
                <c:pt idx="430">
                  <c:v>431</c:v>
                </c:pt>
                <c:pt idx="431">
                  <c:v>432</c:v>
                </c:pt>
                <c:pt idx="432">
                  <c:v>433</c:v>
                </c:pt>
                <c:pt idx="433">
                  <c:v>434</c:v>
                </c:pt>
                <c:pt idx="434">
                  <c:v>435</c:v>
                </c:pt>
                <c:pt idx="435">
                  <c:v>436</c:v>
                </c:pt>
                <c:pt idx="436">
                  <c:v>437</c:v>
                </c:pt>
                <c:pt idx="437">
                  <c:v>438</c:v>
                </c:pt>
                <c:pt idx="438">
                  <c:v>439</c:v>
                </c:pt>
                <c:pt idx="439">
                  <c:v>440</c:v>
                </c:pt>
                <c:pt idx="440">
                  <c:v>441</c:v>
                </c:pt>
                <c:pt idx="441">
                  <c:v>442</c:v>
                </c:pt>
                <c:pt idx="442">
                  <c:v>443</c:v>
                </c:pt>
                <c:pt idx="443">
                  <c:v>444</c:v>
                </c:pt>
                <c:pt idx="444">
                  <c:v>445</c:v>
                </c:pt>
                <c:pt idx="445">
                  <c:v>446</c:v>
                </c:pt>
                <c:pt idx="446">
                  <c:v>447</c:v>
                </c:pt>
                <c:pt idx="447">
                  <c:v>448</c:v>
                </c:pt>
                <c:pt idx="448">
                  <c:v>449</c:v>
                </c:pt>
                <c:pt idx="449">
                  <c:v>450</c:v>
                </c:pt>
                <c:pt idx="450">
                  <c:v>451</c:v>
                </c:pt>
                <c:pt idx="451">
                  <c:v>452</c:v>
                </c:pt>
                <c:pt idx="452">
                  <c:v>453</c:v>
                </c:pt>
                <c:pt idx="453">
                  <c:v>454</c:v>
                </c:pt>
                <c:pt idx="454">
                  <c:v>455</c:v>
                </c:pt>
                <c:pt idx="455">
                  <c:v>456</c:v>
                </c:pt>
                <c:pt idx="456">
                  <c:v>457</c:v>
                </c:pt>
                <c:pt idx="457">
                  <c:v>458</c:v>
                </c:pt>
                <c:pt idx="458">
                  <c:v>459</c:v>
                </c:pt>
                <c:pt idx="459">
                  <c:v>460</c:v>
                </c:pt>
                <c:pt idx="460">
                  <c:v>461</c:v>
                </c:pt>
                <c:pt idx="461">
                  <c:v>462</c:v>
                </c:pt>
                <c:pt idx="462">
                  <c:v>463</c:v>
                </c:pt>
                <c:pt idx="463">
                  <c:v>464</c:v>
                </c:pt>
                <c:pt idx="464">
                  <c:v>465</c:v>
                </c:pt>
                <c:pt idx="465">
                  <c:v>466</c:v>
                </c:pt>
                <c:pt idx="466">
                  <c:v>467</c:v>
                </c:pt>
                <c:pt idx="467">
                  <c:v>468</c:v>
                </c:pt>
                <c:pt idx="468">
                  <c:v>469</c:v>
                </c:pt>
                <c:pt idx="469">
                  <c:v>470</c:v>
                </c:pt>
                <c:pt idx="470">
                  <c:v>471</c:v>
                </c:pt>
                <c:pt idx="471">
                  <c:v>472</c:v>
                </c:pt>
                <c:pt idx="472">
                  <c:v>473</c:v>
                </c:pt>
                <c:pt idx="473">
                  <c:v>474</c:v>
                </c:pt>
                <c:pt idx="474">
                  <c:v>475</c:v>
                </c:pt>
                <c:pt idx="475">
                  <c:v>476</c:v>
                </c:pt>
                <c:pt idx="476">
                  <c:v>477</c:v>
                </c:pt>
                <c:pt idx="477">
                  <c:v>478</c:v>
                </c:pt>
                <c:pt idx="478">
                  <c:v>479</c:v>
                </c:pt>
                <c:pt idx="479">
                  <c:v>480</c:v>
                </c:pt>
                <c:pt idx="480">
                  <c:v>481</c:v>
                </c:pt>
                <c:pt idx="481">
                  <c:v>482</c:v>
                </c:pt>
                <c:pt idx="482">
                  <c:v>483</c:v>
                </c:pt>
                <c:pt idx="483">
                  <c:v>484</c:v>
                </c:pt>
                <c:pt idx="484">
                  <c:v>485</c:v>
                </c:pt>
                <c:pt idx="485">
                  <c:v>486</c:v>
                </c:pt>
                <c:pt idx="486">
                  <c:v>487</c:v>
                </c:pt>
                <c:pt idx="487">
                  <c:v>488</c:v>
                </c:pt>
                <c:pt idx="488">
                  <c:v>489</c:v>
                </c:pt>
                <c:pt idx="489">
                  <c:v>490</c:v>
                </c:pt>
                <c:pt idx="490">
                  <c:v>491</c:v>
                </c:pt>
                <c:pt idx="491">
                  <c:v>492</c:v>
                </c:pt>
                <c:pt idx="492">
                  <c:v>493</c:v>
                </c:pt>
                <c:pt idx="493">
                  <c:v>494</c:v>
                </c:pt>
                <c:pt idx="494">
                  <c:v>495</c:v>
                </c:pt>
                <c:pt idx="495">
                  <c:v>496</c:v>
                </c:pt>
                <c:pt idx="496">
                  <c:v>497</c:v>
                </c:pt>
                <c:pt idx="497">
                  <c:v>498</c:v>
                </c:pt>
                <c:pt idx="498">
                  <c:v>499</c:v>
                </c:pt>
                <c:pt idx="499">
                  <c:v>500</c:v>
                </c:pt>
                <c:pt idx="500">
                  <c:v>501</c:v>
                </c:pt>
                <c:pt idx="501">
                  <c:v>502</c:v>
                </c:pt>
                <c:pt idx="502">
                  <c:v>503</c:v>
                </c:pt>
                <c:pt idx="503">
                  <c:v>504</c:v>
                </c:pt>
                <c:pt idx="504">
                  <c:v>505</c:v>
                </c:pt>
                <c:pt idx="505">
                  <c:v>506</c:v>
                </c:pt>
                <c:pt idx="506">
                  <c:v>507</c:v>
                </c:pt>
                <c:pt idx="507">
                  <c:v>508</c:v>
                </c:pt>
                <c:pt idx="508">
                  <c:v>509</c:v>
                </c:pt>
                <c:pt idx="509">
                  <c:v>510</c:v>
                </c:pt>
                <c:pt idx="510">
                  <c:v>511</c:v>
                </c:pt>
                <c:pt idx="511">
                  <c:v>512</c:v>
                </c:pt>
                <c:pt idx="512">
                  <c:v>513</c:v>
                </c:pt>
                <c:pt idx="513">
                  <c:v>514</c:v>
                </c:pt>
                <c:pt idx="514">
                  <c:v>515</c:v>
                </c:pt>
                <c:pt idx="515">
                  <c:v>516</c:v>
                </c:pt>
                <c:pt idx="516">
                  <c:v>517</c:v>
                </c:pt>
                <c:pt idx="517">
                  <c:v>518</c:v>
                </c:pt>
                <c:pt idx="518">
                  <c:v>519</c:v>
                </c:pt>
                <c:pt idx="519">
                  <c:v>520</c:v>
                </c:pt>
                <c:pt idx="520">
                  <c:v>521</c:v>
                </c:pt>
                <c:pt idx="521">
                  <c:v>522</c:v>
                </c:pt>
                <c:pt idx="522">
                  <c:v>523</c:v>
                </c:pt>
                <c:pt idx="523">
                  <c:v>524</c:v>
                </c:pt>
                <c:pt idx="524">
                  <c:v>525</c:v>
                </c:pt>
                <c:pt idx="525">
                  <c:v>526</c:v>
                </c:pt>
                <c:pt idx="526">
                  <c:v>527</c:v>
                </c:pt>
                <c:pt idx="527">
                  <c:v>528</c:v>
                </c:pt>
                <c:pt idx="528">
                  <c:v>529</c:v>
                </c:pt>
                <c:pt idx="529">
                  <c:v>530</c:v>
                </c:pt>
                <c:pt idx="530">
                  <c:v>531</c:v>
                </c:pt>
                <c:pt idx="531">
                  <c:v>532</c:v>
                </c:pt>
                <c:pt idx="532">
                  <c:v>533</c:v>
                </c:pt>
                <c:pt idx="533">
                  <c:v>534</c:v>
                </c:pt>
                <c:pt idx="534">
                  <c:v>535</c:v>
                </c:pt>
                <c:pt idx="535">
                  <c:v>536</c:v>
                </c:pt>
                <c:pt idx="536">
                  <c:v>537</c:v>
                </c:pt>
                <c:pt idx="537">
                  <c:v>538</c:v>
                </c:pt>
                <c:pt idx="538">
                  <c:v>539</c:v>
                </c:pt>
                <c:pt idx="539">
                  <c:v>540</c:v>
                </c:pt>
                <c:pt idx="540">
                  <c:v>541</c:v>
                </c:pt>
                <c:pt idx="541">
                  <c:v>542</c:v>
                </c:pt>
                <c:pt idx="542">
                  <c:v>543</c:v>
                </c:pt>
                <c:pt idx="543">
                  <c:v>544</c:v>
                </c:pt>
                <c:pt idx="544">
                  <c:v>545</c:v>
                </c:pt>
                <c:pt idx="545">
                  <c:v>546</c:v>
                </c:pt>
                <c:pt idx="546">
                  <c:v>547</c:v>
                </c:pt>
                <c:pt idx="547">
                  <c:v>548</c:v>
                </c:pt>
                <c:pt idx="548">
                  <c:v>549</c:v>
                </c:pt>
                <c:pt idx="549">
                  <c:v>550</c:v>
                </c:pt>
                <c:pt idx="550">
                  <c:v>551</c:v>
                </c:pt>
                <c:pt idx="551">
                  <c:v>552</c:v>
                </c:pt>
                <c:pt idx="552">
                  <c:v>553</c:v>
                </c:pt>
                <c:pt idx="553">
                  <c:v>554</c:v>
                </c:pt>
                <c:pt idx="554">
                  <c:v>555</c:v>
                </c:pt>
                <c:pt idx="555">
                  <c:v>556</c:v>
                </c:pt>
                <c:pt idx="556">
                  <c:v>557</c:v>
                </c:pt>
                <c:pt idx="557">
                  <c:v>558</c:v>
                </c:pt>
                <c:pt idx="558">
                  <c:v>559</c:v>
                </c:pt>
                <c:pt idx="559">
                  <c:v>560</c:v>
                </c:pt>
                <c:pt idx="560">
                  <c:v>561</c:v>
                </c:pt>
                <c:pt idx="561">
                  <c:v>562</c:v>
                </c:pt>
                <c:pt idx="562">
                  <c:v>563</c:v>
                </c:pt>
                <c:pt idx="563">
                  <c:v>564</c:v>
                </c:pt>
                <c:pt idx="564">
                  <c:v>565</c:v>
                </c:pt>
                <c:pt idx="565">
                  <c:v>566</c:v>
                </c:pt>
                <c:pt idx="566">
                  <c:v>567</c:v>
                </c:pt>
                <c:pt idx="567">
                  <c:v>568</c:v>
                </c:pt>
                <c:pt idx="568">
                  <c:v>569</c:v>
                </c:pt>
                <c:pt idx="569">
                  <c:v>570</c:v>
                </c:pt>
                <c:pt idx="570">
                  <c:v>571</c:v>
                </c:pt>
                <c:pt idx="571">
                  <c:v>572</c:v>
                </c:pt>
                <c:pt idx="572">
                  <c:v>573</c:v>
                </c:pt>
                <c:pt idx="573">
                  <c:v>574</c:v>
                </c:pt>
                <c:pt idx="574">
                  <c:v>575</c:v>
                </c:pt>
                <c:pt idx="575">
                  <c:v>576</c:v>
                </c:pt>
                <c:pt idx="576">
                  <c:v>577</c:v>
                </c:pt>
                <c:pt idx="577">
                  <c:v>578</c:v>
                </c:pt>
                <c:pt idx="578">
                  <c:v>579</c:v>
                </c:pt>
                <c:pt idx="579">
                  <c:v>580</c:v>
                </c:pt>
                <c:pt idx="580">
                  <c:v>581</c:v>
                </c:pt>
                <c:pt idx="581">
                  <c:v>582</c:v>
                </c:pt>
                <c:pt idx="582">
                  <c:v>583</c:v>
                </c:pt>
                <c:pt idx="583">
                  <c:v>584</c:v>
                </c:pt>
                <c:pt idx="584">
                  <c:v>585</c:v>
                </c:pt>
                <c:pt idx="585">
                  <c:v>586</c:v>
                </c:pt>
                <c:pt idx="586">
                  <c:v>587</c:v>
                </c:pt>
                <c:pt idx="587">
                  <c:v>588</c:v>
                </c:pt>
                <c:pt idx="588">
                  <c:v>589</c:v>
                </c:pt>
                <c:pt idx="589">
                  <c:v>590</c:v>
                </c:pt>
                <c:pt idx="590">
                  <c:v>591</c:v>
                </c:pt>
                <c:pt idx="591">
                  <c:v>592</c:v>
                </c:pt>
                <c:pt idx="592">
                  <c:v>593</c:v>
                </c:pt>
                <c:pt idx="593">
                  <c:v>594</c:v>
                </c:pt>
                <c:pt idx="594">
                  <c:v>595</c:v>
                </c:pt>
                <c:pt idx="595">
                  <c:v>596</c:v>
                </c:pt>
                <c:pt idx="596">
                  <c:v>597</c:v>
                </c:pt>
                <c:pt idx="597">
                  <c:v>598</c:v>
                </c:pt>
                <c:pt idx="598">
                  <c:v>599</c:v>
                </c:pt>
                <c:pt idx="599">
                  <c:v>600</c:v>
                </c:pt>
                <c:pt idx="600">
                  <c:v>600</c:v>
                </c:pt>
                <c:pt idx="601">
                  <c:v>600</c:v>
                </c:pt>
                <c:pt idx="602">
                  <c:v>600</c:v>
                </c:pt>
                <c:pt idx="603">
                  <c:v>600</c:v>
                </c:pt>
                <c:pt idx="604">
                  <c:v>600</c:v>
                </c:pt>
                <c:pt idx="605">
                  <c:v>600</c:v>
                </c:pt>
                <c:pt idx="606">
                  <c:v>600</c:v>
                </c:pt>
                <c:pt idx="607">
                  <c:v>600</c:v>
                </c:pt>
                <c:pt idx="608">
                  <c:v>600</c:v>
                </c:pt>
                <c:pt idx="609">
                  <c:v>600</c:v>
                </c:pt>
                <c:pt idx="610">
                  <c:v>600</c:v>
                </c:pt>
                <c:pt idx="611">
                  <c:v>600</c:v>
                </c:pt>
                <c:pt idx="612">
                  <c:v>600</c:v>
                </c:pt>
                <c:pt idx="613">
                  <c:v>600</c:v>
                </c:pt>
                <c:pt idx="614">
                  <c:v>600</c:v>
                </c:pt>
                <c:pt idx="615">
                  <c:v>600</c:v>
                </c:pt>
                <c:pt idx="616">
                  <c:v>600</c:v>
                </c:pt>
                <c:pt idx="617">
                  <c:v>600</c:v>
                </c:pt>
                <c:pt idx="618">
                  <c:v>600</c:v>
                </c:pt>
                <c:pt idx="619">
                  <c:v>600</c:v>
                </c:pt>
                <c:pt idx="620">
                  <c:v>600</c:v>
                </c:pt>
                <c:pt idx="621">
                  <c:v>600</c:v>
                </c:pt>
                <c:pt idx="622">
                  <c:v>600</c:v>
                </c:pt>
                <c:pt idx="623">
                  <c:v>600</c:v>
                </c:pt>
                <c:pt idx="624">
                  <c:v>600</c:v>
                </c:pt>
                <c:pt idx="625">
                  <c:v>600</c:v>
                </c:pt>
                <c:pt idx="626">
                  <c:v>600</c:v>
                </c:pt>
                <c:pt idx="627">
                  <c:v>600</c:v>
                </c:pt>
                <c:pt idx="628">
                  <c:v>600</c:v>
                </c:pt>
                <c:pt idx="629">
                  <c:v>600</c:v>
                </c:pt>
                <c:pt idx="630">
                  <c:v>600</c:v>
                </c:pt>
                <c:pt idx="631">
                  <c:v>600</c:v>
                </c:pt>
                <c:pt idx="632">
                  <c:v>600</c:v>
                </c:pt>
                <c:pt idx="633">
                  <c:v>600</c:v>
                </c:pt>
                <c:pt idx="634">
                  <c:v>600</c:v>
                </c:pt>
                <c:pt idx="635">
                  <c:v>600</c:v>
                </c:pt>
                <c:pt idx="636">
                  <c:v>600</c:v>
                </c:pt>
                <c:pt idx="637">
                  <c:v>600</c:v>
                </c:pt>
                <c:pt idx="638">
                  <c:v>600</c:v>
                </c:pt>
                <c:pt idx="639">
                  <c:v>600</c:v>
                </c:pt>
                <c:pt idx="640">
                  <c:v>600</c:v>
                </c:pt>
                <c:pt idx="641">
                  <c:v>600</c:v>
                </c:pt>
                <c:pt idx="642">
                  <c:v>600</c:v>
                </c:pt>
                <c:pt idx="643">
                  <c:v>600</c:v>
                </c:pt>
                <c:pt idx="644">
                  <c:v>600</c:v>
                </c:pt>
                <c:pt idx="645">
                  <c:v>600</c:v>
                </c:pt>
                <c:pt idx="646">
                  <c:v>600</c:v>
                </c:pt>
                <c:pt idx="647">
                  <c:v>600</c:v>
                </c:pt>
                <c:pt idx="648">
                  <c:v>600</c:v>
                </c:pt>
                <c:pt idx="649">
                  <c:v>600</c:v>
                </c:pt>
                <c:pt idx="650">
                  <c:v>600</c:v>
                </c:pt>
                <c:pt idx="651">
                  <c:v>600</c:v>
                </c:pt>
                <c:pt idx="652">
                  <c:v>600</c:v>
                </c:pt>
                <c:pt idx="653">
                  <c:v>600</c:v>
                </c:pt>
                <c:pt idx="654">
                  <c:v>600</c:v>
                </c:pt>
                <c:pt idx="655">
                  <c:v>600</c:v>
                </c:pt>
                <c:pt idx="656">
                  <c:v>600</c:v>
                </c:pt>
                <c:pt idx="657">
                  <c:v>600</c:v>
                </c:pt>
                <c:pt idx="658">
                  <c:v>600</c:v>
                </c:pt>
                <c:pt idx="659">
                  <c:v>600</c:v>
                </c:pt>
                <c:pt idx="660">
                  <c:v>600</c:v>
                </c:pt>
                <c:pt idx="661">
                  <c:v>600</c:v>
                </c:pt>
                <c:pt idx="662">
                  <c:v>600</c:v>
                </c:pt>
                <c:pt idx="663">
                  <c:v>600</c:v>
                </c:pt>
                <c:pt idx="664">
                  <c:v>600</c:v>
                </c:pt>
                <c:pt idx="665">
                  <c:v>600</c:v>
                </c:pt>
                <c:pt idx="666">
                  <c:v>600</c:v>
                </c:pt>
                <c:pt idx="667">
                  <c:v>600</c:v>
                </c:pt>
                <c:pt idx="668">
                  <c:v>600</c:v>
                </c:pt>
                <c:pt idx="669">
                  <c:v>600</c:v>
                </c:pt>
                <c:pt idx="670">
                  <c:v>600</c:v>
                </c:pt>
                <c:pt idx="671">
                  <c:v>600</c:v>
                </c:pt>
                <c:pt idx="672">
                  <c:v>600</c:v>
                </c:pt>
                <c:pt idx="673">
                  <c:v>600</c:v>
                </c:pt>
                <c:pt idx="674">
                  <c:v>600</c:v>
                </c:pt>
                <c:pt idx="675">
                  <c:v>600</c:v>
                </c:pt>
                <c:pt idx="676">
                  <c:v>600</c:v>
                </c:pt>
                <c:pt idx="677">
                  <c:v>600</c:v>
                </c:pt>
                <c:pt idx="678">
                  <c:v>600</c:v>
                </c:pt>
                <c:pt idx="679">
                  <c:v>600</c:v>
                </c:pt>
                <c:pt idx="680">
                  <c:v>600</c:v>
                </c:pt>
                <c:pt idx="681">
                  <c:v>600</c:v>
                </c:pt>
                <c:pt idx="682">
                  <c:v>600</c:v>
                </c:pt>
                <c:pt idx="683">
                  <c:v>600</c:v>
                </c:pt>
                <c:pt idx="684">
                  <c:v>600</c:v>
                </c:pt>
                <c:pt idx="685">
                  <c:v>600</c:v>
                </c:pt>
                <c:pt idx="686">
                  <c:v>600</c:v>
                </c:pt>
                <c:pt idx="687">
                  <c:v>600</c:v>
                </c:pt>
                <c:pt idx="688">
                  <c:v>600</c:v>
                </c:pt>
                <c:pt idx="689">
                  <c:v>600</c:v>
                </c:pt>
                <c:pt idx="690">
                  <c:v>600</c:v>
                </c:pt>
                <c:pt idx="691">
                  <c:v>600</c:v>
                </c:pt>
                <c:pt idx="692">
                  <c:v>600</c:v>
                </c:pt>
                <c:pt idx="693">
                  <c:v>600</c:v>
                </c:pt>
                <c:pt idx="694">
                  <c:v>600</c:v>
                </c:pt>
                <c:pt idx="695">
                  <c:v>600</c:v>
                </c:pt>
                <c:pt idx="696">
                  <c:v>600</c:v>
                </c:pt>
                <c:pt idx="697">
                  <c:v>600</c:v>
                </c:pt>
                <c:pt idx="698">
                  <c:v>600</c:v>
                </c:pt>
                <c:pt idx="699">
                  <c:v>600</c:v>
                </c:pt>
                <c:pt idx="700">
                  <c:v>600</c:v>
                </c:pt>
                <c:pt idx="701">
                  <c:v>600</c:v>
                </c:pt>
                <c:pt idx="702">
                  <c:v>600</c:v>
                </c:pt>
                <c:pt idx="703">
                  <c:v>600</c:v>
                </c:pt>
                <c:pt idx="704">
                  <c:v>600</c:v>
                </c:pt>
                <c:pt idx="705">
                  <c:v>600</c:v>
                </c:pt>
                <c:pt idx="706">
                  <c:v>600</c:v>
                </c:pt>
                <c:pt idx="707">
                  <c:v>600</c:v>
                </c:pt>
                <c:pt idx="708">
                  <c:v>600</c:v>
                </c:pt>
                <c:pt idx="709">
                  <c:v>600</c:v>
                </c:pt>
                <c:pt idx="710">
                  <c:v>600</c:v>
                </c:pt>
                <c:pt idx="711">
                  <c:v>600</c:v>
                </c:pt>
                <c:pt idx="712">
                  <c:v>600</c:v>
                </c:pt>
                <c:pt idx="713">
                  <c:v>600</c:v>
                </c:pt>
                <c:pt idx="714">
                  <c:v>600</c:v>
                </c:pt>
                <c:pt idx="715">
                  <c:v>600</c:v>
                </c:pt>
                <c:pt idx="716">
                  <c:v>600</c:v>
                </c:pt>
                <c:pt idx="717">
                  <c:v>600</c:v>
                </c:pt>
                <c:pt idx="718">
                  <c:v>600</c:v>
                </c:pt>
                <c:pt idx="719">
                  <c:v>600</c:v>
                </c:pt>
                <c:pt idx="720">
                  <c:v>600</c:v>
                </c:pt>
                <c:pt idx="721">
                  <c:v>600</c:v>
                </c:pt>
                <c:pt idx="722">
                  <c:v>600</c:v>
                </c:pt>
                <c:pt idx="723">
                  <c:v>600</c:v>
                </c:pt>
                <c:pt idx="724">
                  <c:v>600</c:v>
                </c:pt>
                <c:pt idx="725">
                  <c:v>600</c:v>
                </c:pt>
                <c:pt idx="726">
                  <c:v>600</c:v>
                </c:pt>
                <c:pt idx="727">
                  <c:v>600</c:v>
                </c:pt>
                <c:pt idx="728">
                  <c:v>600</c:v>
                </c:pt>
                <c:pt idx="729">
                  <c:v>600</c:v>
                </c:pt>
                <c:pt idx="730">
                  <c:v>600</c:v>
                </c:pt>
                <c:pt idx="731">
                  <c:v>600</c:v>
                </c:pt>
                <c:pt idx="732">
                  <c:v>600</c:v>
                </c:pt>
                <c:pt idx="733">
                  <c:v>600</c:v>
                </c:pt>
                <c:pt idx="734">
                  <c:v>600</c:v>
                </c:pt>
                <c:pt idx="735">
                  <c:v>600</c:v>
                </c:pt>
                <c:pt idx="736">
                  <c:v>600</c:v>
                </c:pt>
                <c:pt idx="737">
                  <c:v>600</c:v>
                </c:pt>
                <c:pt idx="738">
                  <c:v>600</c:v>
                </c:pt>
                <c:pt idx="739">
                  <c:v>600</c:v>
                </c:pt>
                <c:pt idx="740">
                  <c:v>600</c:v>
                </c:pt>
                <c:pt idx="741">
                  <c:v>600</c:v>
                </c:pt>
                <c:pt idx="742">
                  <c:v>600</c:v>
                </c:pt>
                <c:pt idx="743">
                  <c:v>600</c:v>
                </c:pt>
                <c:pt idx="744">
                  <c:v>600</c:v>
                </c:pt>
                <c:pt idx="745">
                  <c:v>600</c:v>
                </c:pt>
                <c:pt idx="746">
                  <c:v>600</c:v>
                </c:pt>
                <c:pt idx="747">
                  <c:v>600</c:v>
                </c:pt>
                <c:pt idx="748">
                  <c:v>600</c:v>
                </c:pt>
                <c:pt idx="749">
                  <c:v>600</c:v>
                </c:pt>
                <c:pt idx="750">
                  <c:v>600</c:v>
                </c:pt>
                <c:pt idx="751">
                  <c:v>600</c:v>
                </c:pt>
                <c:pt idx="752">
                  <c:v>600</c:v>
                </c:pt>
                <c:pt idx="753">
                  <c:v>600</c:v>
                </c:pt>
                <c:pt idx="754">
                  <c:v>600</c:v>
                </c:pt>
                <c:pt idx="755">
                  <c:v>600</c:v>
                </c:pt>
                <c:pt idx="756">
                  <c:v>600</c:v>
                </c:pt>
                <c:pt idx="757">
                  <c:v>600</c:v>
                </c:pt>
                <c:pt idx="758">
                  <c:v>600</c:v>
                </c:pt>
                <c:pt idx="759">
                  <c:v>600</c:v>
                </c:pt>
                <c:pt idx="760">
                  <c:v>600</c:v>
                </c:pt>
                <c:pt idx="761">
                  <c:v>600</c:v>
                </c:pt>
                <c:pt idx="762">
                  <c:v>600</c:v>
                </c:pt>
                <c:pt idx="763">
                  <c:v>600</c:v>
                </c:pt>
                <c:pt idx="764">
                  <c:v>600</c:v>
                </c:pt>
                <c:pt idx="765">
                  <c:v>600</c:v>
                </c:pt>
                <c:pt idx="766">
                  <c:v>600</c:v>
                </c:pt>
                <c:pt idx="767">
                  <c:v>600</c:v>
                </c:pt>
                <c:pt idx="768">
                  <c:v>600</c:v>
                </c:pt>
                <c:pt idx="769">
                  <c:v>600</c:v>
                </c:pt>
                <c:pt idx="770">
                  <c:v>600</c:v>
                </c:pt>
                <c:pt idx="771">
                  <c:v>600</c:v>
                </c:pt>
                <c:pt idx="772">
                  <c:v>600</c:v>
                </c:pt>
                <c:pt idx="773">
                  <c:v>600</c:v>
                </c:pt>
                <c:pt idx="774">
                  <c:v>600</c:v>
                </c:pt>
                <c:pt idx="775">
                  <c:v>600</c:v>
                </c:pt>
                <c:pt idx="776">
                  <c:v>600</c:v>
                </c:pt>
                <c:pt idx="777">
                  <c:v>600</c:v>
                </c:pt>
                <c:pt idx="778">
                  <c:v>600</c:v>
                </c:pt>
                <c:pt idx="779">
                  <c:v>600</c:v>
                </c:pt>
                <c:pt idx="780">
                  <c:v>600</c:v>
                </c:pt>
                <c:pt idx="781">
                  <c:v>600</c:v>
                </c:pt>
                <c:pt idx="782">
                  <c:v>600</c:v>
                </c:pt>
                <c:pt idx="783">
                  <c:v>600</c:v>
                </c:pt>
                <c:pt idx="784">
                  <c:v>600</c:v>
                </c:pt>
                <c:pt idx="785">
                  <c:v>600</c:v>
                </c:pt>
                <c:pt idx="786">
                  <c:v>600</c:v>
                </c:pt>
                <c:pt idx="787">
                  <c:v>600</c:v>
                </c:pt>
                <c:pt idx="788">
                  <c:v>600</c:v>
                </c:pt>
                <c:pt idx="789">
                  <c:v>600</c:v>
                </c:pt>
                <c:pt idx="790">
                  <c:v>600</c:v>
                </c:pt>
                <c:pt idx="791">
                  <c:v>600</c:v>
                </c:pt>
                <c:pt idx="792">
                  <c:v>600</c:v>
                </c:pt>
                <c:pt idx="793">
                  <c:v>600</c:v>
                </c:pt>
                <c:pt idx="794">
                  <c:v>600</c:v>
                </c:pt>
                <c:pt idx="795">
                  <c:v>600</c:v>
                </c:pt>
                <c:pt idx="796">
                  <c:v>600</c:v>
                </c:pt>
                <c:pt idx="797">
                  <c:v>600</c:v>
                </c:pt>
                <c:pt idx="798">
                  <c:v>600</c:v>
                </c:pt>
                <c:pt idx="799">
                  <c:v>600</c:v>
                </c:pt>
                <c:pt idx="800">
                  <c:v>600</c:v>
                </c:pt>
                <c:pt idx="801">
                  <c:v>600</c:v>
                </c:pt>
                <c:pt idx="802">
                  <c:v>600</c:v>
                </c:pt>
                <c:pt idx="803">
                  <c:v>600</c:v>
                </c:pt>
                <c:pt idx="804">
                  <c:v>600</c:v>
                </c:pt>
                <c:pt idx="805">
                  <c:v>600</c:v>
                </c:pt>
                <c:pt idx="806">
                  <c:v>600</c:v>
                </c:pt>
                <c:pt idx="807">
                  <c:v>600</c:v>
                </c:pt>
                <c:pt idx="808">
                  <c:v>600</c:v>
                </c:pt>
                <c:pt idx="809">
                  <c:v>600</c:v>
                </c:pt>
                <c:pt idx="810">
                  <c:v>600</c:v>
                </c:pt>
                <c:pt idx="811">
                  <c:v>600</c:v>
                </c:pt>
                <c:pt idx="812">
                  <c:v>600</c:v>
                </c:pt>
                <c:pt idx="813">
                  <c:v>600</c:v>
                </c:pt>
                <c:pt idx="814">
                  <c:v>600</c:v>
                </c:pt>
                <c:pt idx="815">
                  <c:v>600</c:v>
                </c:pt>
                <c:pt idx="816">
                  <c:v>600</c:v>
                </c:pt>
                <c:pt idx="817">
                  <c:v>600</c:v>
                </c:pt>
                <c:pt idx="818">
                  <c:v>600</c:v>
                </c:pt>
                <c:pt idx="819">
                  <c:v>600</c:v>
                </c:pt>
                <c:pt idx="820">
                  <c:v>600</c:v>
                </c:pt>
                <c:pt idx="821">
                  <c:v>600</c:v>
                </c:pt>
                <c:pt idx="822">
                  <c:v>600</c:v>
                </c:pt>
                <c:pt idx="823">
                  <c:v>600</c:v>
                </c:pt>
                <c:pt idx="824">
                  <c:v>600</c:v>
                </c:pt>
                <c:pt idx="825">
                  <c:v>600</c:v>
                </c:pt>
                <c:pt idx="826">
                  <c:v>600</c:v>
                </c:pt>
                <c:pt idx="827">
                  <c:v>600</c:v>
                </c:pt>
                <c:pt idx="828">
                  <c:v>600</c:v>
                </c:pt>
                <c:pt idx="829">
                  <c:v>600</c:v>
                </c:pt>
                <c:pt idx="830">
                  <c:v>600</c:v>
                </c:pt>
                <c:pt idx="831">
                  <c:v>600</c:v>
                </c:pt>
                <c:pt idx="832">
                  <c:v>600</c:v>
                </c:pt>
                <c:pt idx="833">
                  <c:v>600</c:v>
                </c:pt>
                <c:pt idx="834">
                  <c:v>600</c:v>
                </c:pt>
                <c:pt idx="835">
                  <c:v>600</c:v>
                </c:pt>
                <c:pt idx="836">
                  <c:v>600</c:v>
                </c:pt>
                <c:pt idx="837">
                  <c:v>600</c:v>
                </c:pt>
                <c:pt idx="838">
                  <c:v>600</c:v>
                </c:pt>
                <c:pt idx="839">
                  <c:v>600</c:v>
                </c:pt>
                <c:pt idx="840">
                  <c:v>600</c:v>
                </c:pt>
                <c:pt idx="841">
                  <c:v>600</c:v>
                </c:pt>
                <c:pt idx="842">
                  <c:v>600</c:v>
                </c:pt>
                <c:pt idx="843">
                  <c:v>600</c:v>
                </c:pt>
                <c:pt idx="844">
                  <c:v>600</c:v>
                </c:pt>
                <c:pt idx="845">
                  <c:v>600</c:v>
                </c:pt>
                <c:pt idx="846">
                  <c:v>600</c:v>
                </c:pt>
                <c:pt idx="847">
                  <c:v>600</c:v>
                </c:pt>
                <c:pt idx="848">
                  <c:v>600</c:v>
                </c:pt>
                <c:pt idx="849">
                  <c:v>600</c:v>
                </c:pt>
                <c:pt idx="850">
                  <c:v>600</c:v>
                </c:pt>
                <c:pt idx="851">
                  <c:v>600</c:v>
                </c:pt>
                <c:pt idx="852">
                  <c:v>600</c:v>
                </c:pt>
                <c:pt idx="853">
                  <c:v>600</c:v>
                </c:pt>
                <c:pt idx="854">
                  <c:v>600</c:v>
                </c:pt>
                <c:pt idx="855">
                  <c:v>600</c:v>
                </c:pt>
                <c:pt idx="856">
                  <c:v>600</c:v>
                </c:pt>
                <c:pt idx="857">
                  <c:v>600</c:v>
                </c:pt>
                <c:pt idx="858">
                  <c:v>600</c:v>
                </c:pt>
                <c:pt idx="859">
                  <c:v>600</c:v>
                </c:pt>
                <c:pt idx="860">
                  <c:v>600</c:v>
                </c:pt>
                <c:pt idx="861">
                  <c:v>600</c:v>
                </c:pt>
                <c:pt idx="862">
                  <c:v>600</c:v>
                </c:pt>
                <c:pt idx="863">
                  <c:v>600</c:v>
                </c:pt>
                <c:pt idx="864">
                  <c:v>600</c:v>
                </c:pt>
                <c:pt idx="865">
                  <c:v>600</c:v>
                </c:pt>
                <c:pt idx="866">
                  <c:v>600</c:v>
                </c:pt>
                <c:pt idx="867">
                  <c:v>600</c:v>
                </c:pt>
                <c:pt idx="868">
                  <c:v>600</c:v>
                </c:pt>
                <c:pt idx="869">
                  <c:v>600</c:v>
                </c:pt>
                <c:pt idx="870">
                  <c:v>600</c:v>
                </c:pt>
                <c:pt idx="871">
                  <c:v>600</c:v>
                </c:pt>
                <c:pt idx="872">
                  <c:v>600</c:v>
                </c:pt>
                <c:pt idx="873">
                  <c:v>600</c:v>
                </c:pt>
                <c:pt idx="874">
                  <c:v>600</c:v>
                </c:pt>
                <c:pt idx="875">
                  <c:v>600</c:v>
                </c:pt>
                <c:pt idx="876">
                  <c:v>600</c:v>
                </c:pt>
                <c:pt idx="877">
                  <c:v>600</c:v>
                </c:pt>
                <c:pt idx="878">
                  <c:v>600</c:v>
                </c:pt>
                <c:pt idx="879">
                  <c:v>600</c:v>
                </c:pt>
                <c:pt idx="880">
                  <c:v>600</c:v>
                </c:pt>
                <c:pt idx="881">
                  <c:v>600</c:v>
                </c:pt>
                <c:pt idx="882">
                  <c:v>600</c:v>
                </c:pt>
                <c:pt idx="883">
                  <c:v>600</c:v>
                </c:pt>
                <c:pt idx="884">
                  <c:v>600</c:v>
                </c:pt>
                <c:pt idx="885">
                  <c:v>600</c:v>
                </c:pt>
                <c:pt idx="886">
                  <c:v>600</c:v>
                </c:pt>
                <c:pt idx="887">
                  <c:v>600</c:v>
                </c:pt>
                <c:pt idx="888">
                  <c:v>600</c:v>
                </c:pt>
                <c:pt idx="889">
                  <c:v>600</c:v>
                </c:pt>
                <c:pt idx="890">
                  <c:v>600</c:v>
                </c:pt>
                <c:pt idx="891">
                  <c:v>600</c:v>
                </c:pt>
                <c:pt idx="892">
                  <c:v>600</c:v>
                </c:pt>
                <c:pt idx="893">
                  <c:v>600</c:v>
                </c:pt>
                <c:pt idx="894">
                  <c:v>600</c:v>
                </c:pt>
                <c:pt idx="895">
                  <c:v>600</c:v>
                </c:pt>
                <c:pt idx="896">
                  <c:v>600</c:v>
                </c:pt>
                <c:pt idx="897">
                  <c:v>600</c:v>
                </c:pt>
                <c:pt idx="898">
                  <c:v>600</c:v>
                </c:pt>
                <c:pt idx="899">
                  <c:v>600</c:v>
                </c:pt>
                <c:pt idx="900">
                  <c:v>600</c:v>
                </c:pt>
                <c:pt idx="901">
                  <c:v>600</c:v>
                </c:pt>
                <c:pt idx="902">
                  <c:v>600</c:v>
                </c:pt>
                <c:pt idx="903">
                  <c:v>600</c:v>
                </c:pt>
                <c:pt idx="904">
                  <c:v>600</c:v>
                </c:pt>
                <c:pt idx="905">
                  <c:v>600</c:v>
                </c:pt>
                <c:pt idx="906">
                  <c:v>600</c:v>
                </c:pt>
                <c:pt idx="907">
                  <c:v>600</c:v>
                </c:pt>
                <c:pt idx="908">
                  <c:v>600</c:v>
                </c:pt>
                <c:pt idx="909">
                  <c:v>600</c:v>
                </c:pt>
                <c:pt idx="910">
                  <c:v>600</c:v>
                </c:pt>
                <c:pt idx="911">
                  <c:v>600</c:v>
                </c:pt>
                <c:pt idx="912">
                  <c:v>600</c:v>
                </c:pt>
                <c:pt idx="913">
                  <c:v>600</c:v>
                </c:pt>
                <c:pt idx="914">
                  <c:v>600</c:v>
                </c:pt>
                <c:pt idx="915">
                  <c:v>600</c:v>
                </c:pt>
                <c:pt idx="916">
                  <c:v>600</c:v>
                </c:pt>
                <c:pt idx="917">
                  <c:v>600</c:v>
                </c:pt>
                <c:pt idx="918">
                  <c:v>600</c:v>
                </c:pt>
                <c:pt idx="919">
                  <c:v>600</c:v>
                </c:pt>
                <c:pt idx="920">
                  <c:v>600</c:v>
                </c:pt>
                <c:pt idx="921">
                  <c:v>600</c:v>
                </c:pt>
                <c:pt idx="922">
                  <c:v>600</c:v>
                </c:pt>
                <c:pt idx="923">
                  <c:v>600</c:v>
                </c:pt>
                <c:pt idx="924">
                  <c:v>600</c:v>
                </c:pt>
                <c:pt idx="925">
                  <c:v>600</c:v>
                </c:pt>
                <c:pt idx="926">
                  <c:v>600</c:v>
                </c:pt>
                <c:pt idx="927">
                  <c:v>600</c:v>
                </c:pt>
                <c:pt idx="928">
                  <c:v>600</c:v>
                </c:pt>
                <c:pt idx="929">
                  <c:v>600</c:v>
                </c:pt>
                <c:pt idx="930">
                  <c:v>600</c:v>
                </c:pt>
                <c:pt idx="931">
                  <c:v>600</c:v>
                </c:pt>
                <c:pt idx="932">
                  <c:v>600</c:v>
                </c:pt>
                <c:pt idx="933">
                  <c:v>600</c:v>
                </c:pt>
                <c:pt idx="934">
                  <c:v>600</c:v>
                </c:pt>
                <c:pt idx="935">
                  <c:v>600</c:v>
                </c:pt>
                <c:pt idx="936">
                  <c:v>600</c:v>
                </c:pt>
                <c:pt idx="937">
                  <c:v>600</c:v>
                </c:pt>
                <c:pt idx="938">
                  <c:v>600</c:v>
                </c:pt>
                <c:pt idx="939">
                  <c:v>600</c:v>
                </c:pt>
                <c:pt idx="940">
                  <c:v>600</c:v>
                </c:pt>
                <c:pt idx="941">
                  <c:v>600</c:v>
                </c:pt>
                <c:pt idx="942">
                  <c:v>600</c:v>
                </c:pt>
                <c:pt idx="943">
                  <c:v>600</c:v>
                </c:pt>
                <c:pt idx="944">
                  <c:v>600</c:v>
                </c:pt>
                <c:pt idx="945">
                  <c:v>600</c:v>
                </c:pt>
                <c:pt idx="946">
                  <c:v>600</c:v>
                </c:pt>
                <c:pt idx="947">
                  <c:v>600</c:v>
                </c:pt>
                <c:pt idx="948">
                  <c:v>600</c:v>
                </c:pt>
                <c:pt idx="949">
                  <c:v>600</c:v>
                </c:pt>
                <c:pt idx="950">
                  <c:v>600</c:v>
                </c:pt>
                <c:pt idx="951">
                  <c:v>600</c:v>
                </c:pt>
                <c:pt idx="952">
                  <c:v>600</c:v>
                </c:pt>
                <c:pt idx="953">
                  <c:v>600</c:v>
                </c:pt>
                <c:pt idx="954">
                  <c:v>600</c:v>
                </c:pt>
                <c:pt idx="955">
                  <c:v>600</c:v>
                </c:pt>
                <c:pt idx="956">
                  <c:v>600</c:v>
                </c:pt>
                <c:pt idx="957">
                  <c:v>600</c:v>
                </c:pt>
                <c:pt idx="958">
                  <c:v>600</c:v>
                </c:pt>
                <c:pt idx="959">
                  <c:v>600</c:v>
                </c:pt>
                <c:pt idx="960">
                  <c:v>600</c:v>
                </c:pt>
                <c:pt idx="961">
                  <c:v>600</c:v>
                </c:pt>
                <c:pt idx="962">
                  <c:v>600</c:v>
                </c:pt>
                <c:pt idx="963">
                  <c:v>600</c:v>
                </c:pt>
                <c:pt idx="964">
                  <c:v>600</c:v>
                </c:pt>
                <c:pt idx="965">
                  <c:v>600</c:v>
                </c:pt>
                <c:pt idx="966">
                  <c:v>600</c:v>
                </c:pt>
                <c:pt idx="967">
                  <c:v>600</c:v>
                </c:pt>
                <c:pt idx="968">
                  <c:v>600</c:v>
                </c:pt>
                <c:pt idx="969">
                  <c:v>600</c:v>
                </c:pt>
                <c:pt idx="970">
                  <c:v>600</c:v>
                </c:pt>
                <c:pt idx="971">
                  <c:v>600</c:v>
                </c:pt>
                <c:pt idx="972">
                  <c:v>600</c:v>
                </c:pt>
                <c:pt idx="973">
                  <c:v>600</c:v>
                </c:pt>
                <c:pt idx="974">
                  <c:v>600</c:v>
                </c:pt>
                <c:pt idx="975">
                  <c:v>600</c:v>
                </c:pt>
                <c:pt idx="976">
                  <c:v>600</c:v>
                </c:pt>
                <c:pt idx="977">
                  <c:v>600</c:v>
                </c:pt>
                <c:pt idx="978">
                  <c:v>600</c:v>
                </c:pt>
                <c:pt idx="979">
                  <c:v>600</c:v>
                </c:pt>
                <c:pt idx="980">
                  <c:v>600</c:v>
                </c:pt>
                <c:pt idx="981">
                  <c:v>600</c:v>
                </c:pt>
                <c:pt idx="982">
                  <c:v>600</c:v>
                </c:pt>
                <c:pt idx="983">
                  <c:v>600</c:v>
                </c:pt>
                <c:pt idx="984">
                  <c:v>600</c:v>
                </c:pt>
                <c:pt idx="985">
                  <c:v>600</c:v>
                </c:pt>
                <c:pt idx="986">
                  <c:v>600</c:v>
                </c:pt>
                <c:pt idx="987">
                  <c:v>600</c:v>
                </c:pt>
                <c:pt idx="988">
                  <c:v>600</c:v>
                </c:pt>
                <c:pt idx="989">
                  <c:v>600</c:v>
                </c:pt>
                <c:pt idx="990">
                  <c:v>600</c:v>
                </c:pt>
                <c:pt idx="991">
                  <c:v>600</c:v>
                </c:pt>
                <c:pt idx="992">
                  <c:v>600</c:v>
                </c:pt>
                <c:pt idx="993">
                  <c:v>600</c:v>
                </c:pt>
                <c:pt idx="994">
                  <c:v>600</c:v>
                </c:pt>
                <c:pt idx="995">
                  <c:v>600</c:v>
                </c:pt>
                <c:pt idx="996">
                  <c:v>600</c:v>
                </c:pt>
                <c:pt idx="997">
                  <c:v>600</c:v>
                </c:pt>
                <c:pt idx="998">
                  <c:v>600</c:v>
                </c:pt>
                <c:pt idx="999">
                  <c:v>600</c:v>
                </c:pt>
                <c:pt idx="1000">
                  <c:v>600</c:v>
                </c:pt>
                <c:pt idx="1001">
                  <c:v>600</c:v>
                </c:pt>
                <c:pt idx="1002">
                  <c:v>600</c:v>
                </c:pt>
                <c:pt idx="1003">
                  <c:v>600</c:v>
                </c:pt>
                <c:pt idx="1004">
                  <c:v>600</c:v>
                </c:pt>
                <c:pt idx="1005">
                  <c:v>600</c:v>
                </c:pt>
                <c:pt idx="1006">
                  <c:v>600</c:v>
                </c:pt>
                <c:pt idx="1007">
                  <c:v>600</c:v>
                </c:pt>
                <c:pt idx="1008">
                  <c:v>600</c:v>
                </c:pt>
                <c:pt idx="1009">
                  <c:v>600</c:v>
                </c:pt>
                <c:pt idx="1010">
                  <c:v>600</c:v>
                </c:pt>
                <c:pt idx="1011">
                  <c:v>600</c:v>
                </c:pt>
                <c:pt idx="1012">
                  <c:v>600</c:v>
                </c:pt>
                <c:pt idx="1013">
                  <c:v>600</c:v>
                </c:pt>
                <c:pt idx="1014">
                  <c:v>600</c:v>
                </c:pt>
                <c:pt idx="1015">
                  <c:v>600</c:v>
                </c:pt>
                <c:pt idx="1016">
                  <c:v>600</c:v>
                </c:pt>
                <c:pt idx="1017">
                  <c:v>600</c:v>
                </c:pt>
                <c:pt idx="1018">
                  <c:v>600</c:v>
                </c:pt>
                <c:pt idx="1019">
                  <c:v>600</c:v>
                </c:pt>
                <c:pt idx="1020">
                  <c:v>600</c:v>
                </c:pt>
                <c:pt idx="1021">
                  <c:v>600</c:v>
                </c:pt>
                <c:pt idx="1022">
                  <c:v>600</c:v>
                </c:pt>
                <c:pt idx="1023">
                  <c:v>600</c:v>
                </c:pt>
                <c:pt idx="1024">
                  <c:v>600</c:v>
                </c:pt>
                <c:pt idx="1025">
                  <c:v>600</c:v>
                </c:pt>
                <c:pt idx="1026">
                  <c:v>600</c:v>
                </c:pt>
                <c:pt idx="1027">
                  <c:v>600</c:v>
                </c:pt>
                <c:pt idx="1028">
                  <c:v>600</c:v>
                </c:pt>
                <c:pt idx="1029">
                  <c:v>600</c:v>
                </c:pt>
                <c:pt idx="1030">
                  <c:v>600</c:v>
                </c:pt>
                <c:pt idx="1031">
                  <c:v>600</c:v>
                </c:pt>
                <c:pt idx="1032">
                  <c:v>600</c:v>
                </c:pt>
                <c:pt idx="1033">
                  <c:v>600</c:v>
                </c:pt>
                <c:pt idx="1034">
                  <c:v>600</c:v>
                </c:pt>
                <c:pt idx="1035">
                  <c:v>600</c:v>
                </c:pt>
                <c:pt idx="1036">
                  <c:v>600</c:v>
                </c:pt>
                <c:pt idx="1037">
                  <c:v>600</c:v>
                </c:pt>
                <c:pt idx="1038">
                  <c:v>600</c:v>
                </c:pt>
                <c:pt idx="1039">
                  <c:v>600</c:v>
                </c:pt>
                <c:pt idx="1040">
                  <c:v>600</c:v>
                </c:pt>
                <c:pt idx="1041">
                  <c:v>600</c:v>
                </c:pt>
                <c:pt idx="1042">
                  <c:v>600</c:v>
                </c:pt>
                <c:pt idx="1043">
                  <c:v>600</c:v>
                </c:pt>
                <c:pt idx="1044">
                  <c:v>600</c:v>
                </c:pt>
                <c:pt idx="1045">
                  <c:v>600</c:v>
                </c:pt>
                <c:pt idx="1046">
                  <c:v>600</c:v>
                </c:pt>
                <c:pt idx="1047">
                  <c:v>600</c:v>
                </c:pt>
                <c:pt idx="1048">
                  <c:v>600</c:v>
                </c:pt>
                <c:pt idx="1049">
                  <c:v>600</c:v>
                </c:pt>
                <c:pt idx="1050">
                  <c:v>600</c:v>
                </c:pt>
                <c:pt idx="1051">
                  <c:v>600</c:v>
                </c:pt>
                <c:pt idx="1052">
                  <c:v>600</c:v>
                </c:pt>
                <c:pt idx="1053">
                  <c:v>600</c:v>
                </c:pt>
                <c:pt idx="1054">
                  <c:v>600</c:v>
                </c:pt>
                <c:pt idx="1055">
                  <c:v>600</c:v>
                </c:pt>
                <c:pt idx="1056">
                  <c:v>600</c:v>
                </c:pt>
                <c:pt idx="1057">
                  <c:v>600</c:v>
                </c:pt>
                <c:pt idx="1058">
                  <c:v>600</c:v>
                </c:pt>
                <c:pt idx="1059">
                  <c:v>600</c:v>
                </c:pt>
                <c:pt idx="1060">
                  <c:v>600</c:v>
                </c:pt>
                <c:pt idx="1061">
                  <c:v>600</c:v>
                </c:pt>
                <c:pt idx="1062">
                  <c:v>600</c:v>
                </c:pt>
                <c:pt idx="1063">
                  <c:v>600</c:v>
                </c:pt>
                <c:pt idx="1064">
                  <c:v>600</c:v>
                </c:pt>
                <c:pt idx="1065">
                  <c:v>600</c:v>
                </c:pt>
                <c:pt idx="1066">
                  <c:v>600</c:v>
                </c:pt>
                <c:pt idx="1067">
                  <c:v>600</c:v>
                </c:pt>
                <c:pt idx="1068">
                  <c:v>600</c:v>
                </c:pt>
                <c:pt idx="1069">
                  <c:v>600</c:v>
                </c:pt>
                <c:pt idx="1070">
                  <c:v>600</c:v>
                </c:pt>
                <c:pt idx="1071">
                  <c:v>600</c:v>
                </c:pt>
                <c:pt idx="1072">
                  <c:v>600</c:v>
                </c:pt>
                <c:pt idx="1073">
                  <c:v>600</c:v>
                </c:pt>
                <c:pt idx="1074">
                  <c:v>600</c:v>
                </c:pt>
                <c:pt idx="1075">
                  <c:v>600</c:v>
                </c:pt>
                <c:pt idx="1076">
                  <c:v>600</c:v>
                </c:pt>
                <c:pt idx="1077">
                  <c:v>600</c:v>
                </c:pt>
                <c:pt idx="1078">
                  <c:v>600</c:v>
                </c:pt>
                <c:pt idx="1079">
                  <c:v>600</c:v>
                </c:pt>
                <c:pt idx="1080">
                  <c:v>600</c:v>
                </c:pt>
                <c:pt idx="1081">
                  <c:v>600</c:v>
                </c:pt>
                <c:pt idx="1082">
                  <c:v>600</c:v>
                </c:pt>
                <c:pt idx="1083">
                  <c:v>600</c:v>
                </c:pt>
                <c:pt idx="1084">
                  <c:v>600</c:v>
                </c:pt>
                <c:pt idx="1085">
                  <c:v>600</c:v>
                </c:pt>
                <c:pt idx="1086">
                  <c:v>600</c:v>
                </c:pt>
                <c:pt idx="1087">
                  <c:v>600</c:v>
                </c:pt>
                <c:pt idx="1088">
                  <c:v>600</c:v>
                </c:pt>
                <c:pt idx="1089">
                  <c:v>600</c:v>
                </c:pt>
                <c:pt idx="1090">
                  <c:v>600</c:v>
                </c:pt>
                <c:pt idx="1091">
                  <c:v>600</c:v>
                </c:pt>
                <c:pt idx="1092">
                  <c:v>600</c:v>
                </c:pt>
                <c:pt idx="1093">
                  <c:v>600</c:v>
                </c:pt>
                <c:pt idx="1094">
                  <c:v>600</c:v>
                </c:pt>
                <c:pt idx="1095">
                  <c:v>600</c:v>
                </c:pt>
                <c:pt idx="1096">
                  <c:v>600</c:v>
                </c:pt>
                <c:pt idx="1097">
                  <c:v>600</c:v>
                </c:pt>
                <c:pt idx="1098">
                  <c:v>600</c:v>
                </c:pt>
                <c:pt idx="1099">
                  <c:v>600</c:v>
                </c:pt>
                <c:pt idx="1100">
                  <c:v>600</c:v>
                </c:pt>
                <c:pt idx="1101">
                  <c:v>600</c:v>
                </c:pt>
                <c:pt idx="1102">
                  <c:v>600</c:v>
                </c:pt>
                <c:pt idx="1103">
                  <c:v>600</c:v>
                </c:pt>
                <c:pt idx="1104">
                  <c:v>600</c:v>
                </c:pt>
                <c:pt idx="1105">
                  <c:v>600</c:v>
                </c:pt>
                <c:pt idx="1106">
                  <c:v>600</c:v>
                </c:pt>
                <c:pt idx="1107">
                  <c:v>600</c:v>
                </c:pt>
                <c:pt idx="1108">
                  <c:v>600</c:v>
                </c:pt>
                <c:pt idx="1109">
                  <c:v>600</c:v>
                </c:pt>
                <c:pt idx="1110">
                  <c:v>600</c:v>
                </c:pt>
                <c:pt idx="1111">
                  <c:v>600</c:v>
                </c:pt>
                <c:pt idx="1112">
                  <c:v>600</c:v>
                </c:pt>
                <c:pt idx="1113">
                  <c:v>600</c:v>
                </c:pt>
                <c:pt idx="1114">
                  <c:v>600</c:v>
                </c:pt>
                <c:pt idx="1115">
                  <c:v>600</c:v>
                </c:pt>
                <c:pt idx="1116">
                  <c:v>600</c:v>
                </c:pt>
                <c:pt idx="1117">
                  <c:v>600</c:v>
                </c:pt>
                <c:pt idx="1118">
                  <c:v>600</c:v>
                </c:pt>
                <c:pt idx="1119">
                  <c:v>600</c:v>
                </c:pt>
                <c:pt idx="1120">
                  <c:v>600</c:v>
                </c:pt>
                <c:pt idx="1121">
                  <c:v>600</c:v>
                </c:pt>
                <c:pt idx="1122">
                  <c:v>600</c:v>
                </c:pt>
                <c:pt idx="1123">
                  <c:v>600</c:v>
                </c:pt>
                <c:pt idx="1124">
                  <c:v>600</c:v>
                </c:pt>
                <c:pt idx="1125">
                  <c:v>600</c:v>
                </c:pt>
                <c:pt idx="1126">
                  <c:v>600</c:v>
                </c:pt>
                <c:pt idx="1127">
                  <c:v>600</c:v>
                </c:pt>
                <c:pt idx="1128">
                  <c:v>600</c:v>
                </c:pt>
                <c:pt idx="1129">
                  <c:v>600</c:v>
                </c:pt>
                <c:pt idx="1130">
                  <c:v>600</c:v>
                </c:pt>
                <c:pt idx="1131">
                  <c:v>600</c:v>
                </c:pt>
                <c:pt idx="1132">
                  <c:v>600</c:v>
                </c:pt>
                <c:pt idx="1133">
                  <c:v>600</c:v>
                </c:pt>
                <c:pt idx="1134">
                  <c:v>600</c:v>
                </c:pt>
                <c:pt idx="1135">
                  <c:v>600</c:v>
                </c:pt>
                <c:pt idx="1136">
                  <c:v>600</c:v>
                </c:pt>
                <c:pt idx="1137">
                  <c:v>600</c:v>
                </c:pt>
                <c:pt idx="1138">
                  <c:v>600</c:v>
                </c:pt>
                <c:pt idx="1139">
                  <c:v>600</c:v>
                </c:pt>
                <c:pt idx="1140">
                  <c:v>600</c:v>
                </c:pt>
                <c:pt idx="1141">
                  <c:v>600</c:v>
                </c:pt>
                <c:pt idx="1142">
                  <c:v>600</c:v>
                </c:pt>
                <c:pt idx="1143">
                  <c:v>600</c:v>
                </c:pt>
                <c:pt idx="1144">
                  <c:v>600</c:v>
                </c:pt>
                <c:pt idx="1145">
                  <c:v>600</c:v>
                </c:pt>
                <c:pt idx="1146">
                  <c:v>600</c:v>
                </c:pt>
                <c:pt idx="1147">
                  <c:v>600</c:v>
                </c:pt>
                <c:pt idx="1148">
                  <c:v>600</c:v>
                </c:pt>
                <c:pt idx="1149">
                  <c:v>600</c:v>
                </c:pt>
                <c:pt idx="1150">
                  <c:v>600</c:v>
                </c:pt>
                <c:pt idx="1151">
                  <c:v>600</c:v>
                </c:pt>
                <c:pt idx="1152">
                  <c:v>600</c:v>
                </c:pt>
                <c:pt idx="1153">
                  <c:v>600</c:v>
                </c:pt>
                <c:pt idx="1154">
                  <c:v>600</c:v>
                </c:pt>
                <c:pt idx="1155">
                  <c:v>600</c:v>
                </c:pt>
                <c:pt idx="1156">
                  <c:v>600</c:v>
                </c:pt>
                <c:pt idx="1157">
                  <c:v>600</c:v>
                </c:pt>
                <c:pt idx="1158">
                  <c:v>600</c:v>
                </c:pt>
                <c:pt idx="1159">
                  <c:v>600</c:v>
                </c:pt>
                <c:pt idx="1160">
                  <c:v>600</c:v>
                </c:pt>
                <c:pt idx="1161">
                  <c:v>600</c:v>
                </c:pt>
                <c:pt idx="1162">
                  <c:v>600</c:v>
                </c:pt>
                <c:pt idx="1163">
                  <c:v>600</c:v>
                </c:pt>
                <c:pt idx="1164">
                  <c:v>600</c:v>
                </c:pt>
                <c:pt idx="1165">
                  <c:v>600</c:v>
                </c:pt>
                <c:pt idx="1166">
                  <c:v>600</c:v>
                </c:pt>
                <c:pt idx="1167">
                  <c:v>600</c:v>
                </c:pt>
                <c:pt idx="1168">
                  <c:v>600</c:v>
                </c:pt>
                <c:pt idx="1169">
                  <c:v>600</c:v>
                </c:pt>
                <c:pt idx="1170">
                  <c:v>600</c:v>
                </c:pt>
                <c:pt idx="1171">
                  <c:v>600</c:v>
                </c:pt>
                <c:pt idx="1172">
                  <c:v>600</c:v>
                </c:pt>
                <c:pt idx="1173">
                  <c:v>600</c:v>
                </c:pt>
                <c:pt idx="1174">
                  <c:v>600</c:v>
                </c:pt>
                <c:pt idx="1175">
                  <c:v>600</c:v>
                </c:pt>
                <c:pt idx="1176">
                  <c:v>600</c:v>
                </c:pt>
                <c:pt idx="1177">
                  <c:v>600</c:v>
                </c:pt>
                <c:pt idx="1178">
                  <c:v>600</c:v>
                </c:pt>
                <c:pt idx="1179">
                  <c:v>600</c:v>
                </c:pt>
                <c:pt idx="1180">
                  <c:v>600</c:v>
                </c:pt>
                <c:pt idx="1181">
                  <c:v>600</c:v>
                </c:pt>
                <c:pt idx="1182">
                  <c:v>600</c:v>
                </c:pt>
                <c:pt idx="1183">
                  <c:v>600</c:v>
                </c:pt>
                <c:pt idx="1184">
                  <c:v>600</c:v>
                </c:pt>
                <c:pt idx="1185">
                  <c:v>600</c:v>
                </c:pt>
                <c:pt idx="1186">
                  <c:v>600</c:v>
                </c:pt>
                <c:pt idx="1187">
                  <c:v>600</c:v>
                </c:pt>
                <c:pt idx="1188">
                  <c:v>600</c:v>
                </c:pt>
                <c:pt idx="1189">
                  <c:v>600</c:v>
                </c:pt>
                <c:pt idx="1190">
                  <c:v>600</c:v>
                </c:pt>
                <c:pt idx="1191">
                  <c:v>600</c:v>
                </c:pt>
                <c:pt idx="1192">
                  <c:v>600</c:v>
                </c:pt>
                <c:pt idx="1193">
                  <c:v>600</c:v>
                </c:pt>
                <c:pt idx="1194">
                  <c:v>600</c:v>
                </c:pt>
                <c:pt idx="1195">
                  <c:v>600</c:v>
                </c:pt>
                <c:pt idx="1196">
                  <c:v>600</c:v>
                </c:pt>
                <c:pt idx="1197">
                  <c:v>600</c:v>
                </c:pt>
                <c:pt idx="1198">
                  <c:v>600</c:v>
                </c:pt>
                <c:pt idx="1199">
                  <c:v>600</c:v>
                </c:pt>
              </c:numCache>
            </c:numRef>
          </c:xVal>
          <c:yVal>
            <c:numRef>
              <c:f>'Roof edge insulation'!$DG$2:$DG$1201</c:f>
              <c:numCache>
                <c:formatCode>0</c:formatCode>
                <c:ptCount val="1200"/>
                <c:pt idx="0">
                  <c:v>200.36397023426619</c:v>
                </c:pt>
                <c:pt idx="1">
                  <c:v>200.72794046853241</c:v>
                </c:pt>
                <c:pt idx="2">
                  <c:v>201.0919107027986</c:v>
                </c:pt>
                <c:pt idx="3">
                  <c:v>201.45588093706482</c:v>
                </c:pt>
                <c:pt idx="4">
                  <c:v>201.81985117133101</c:v>
                </c:pt>
                <c:pt idx="5">
                  <c:v>202.1838214055972</c:v>
                </c:pt>
                <c:pt idx="6">
                  <c:v>202.54779163986342</c:v>
                </c:pt>
                <c:pt idx="7">
                  <c:v>202.91176187412961</c:v>
                </c:pt>
                <c:pt idx="8">
                  <c:v>203.27573210839583</c:v>
                </c:pt>
                <c:pt idx="9">
                  <c:v>203.63970234266202</c:v>
                </c:pt>
                <c:pt idx="10">
                  <c:v>204.00367257692824</c:v>
                </c:pt>
                <c:pt idx="11">
                  <c:v>204.36764281119443</c:v>
                </c:pt>
                <c:pt idx="12">
                  <c:v>204.73161304546062</c:v>
                </c:pt>
                <c:pt idx="13">
                  <c:v>205.09558327972684</c:v>
                </c:pt>
                <c:pt idx="14">
                  <c:v>205.45955351399303</c:v>
                </c:pt>
                <c:pt idx="15">
                  <c:v>205.82352374825925</c:v>
                </c:pt>
                <c:pt idx="16">
                  <c:v>206.18749398252544</c:v>
                </c:pt>
                <c:pt idx="17">
                  <c:v>206.55146421679163</c:v>
                </c:pt>
                <c:pt idx="18">
                  <c:v>206.91543445105785</c:v>
                </c:pt>
                <c:pt idx="19">
                  <c:v>207.27940468532404</c:v>
                </c:pt>
                <c:pt idx="20">
                  <c:v>207.64337491959026</c:v>
                </c:pt>
                <c:pt idx="21">
                  <c:v>208.00734515385645</c:v>
                </c:pt>
                <c:pt idx="22">
                  <c:v>208.37131538812264</c:v>
                </c:pt>
                <c:pt idx="23">
                  <c:v>208.73528562238886</c:v>
                </c:pt>
                <c:pt idx="24">
                  <c:v>209.09925585665505</c:v>
                </c:pt>
                <c:pt idx="25">
                  <c:v>209.46322609092127</c:v>
                </c:pt>
                <c:pt idx="26">
                  <c:v>209.82719632518746</c:v>
                </c:pt>
                <c:pt idx="27">
                  <c:v>210.19116655945368</c:v>
                </c:pt>
                <c:pt idx="28">
                  <c:v>210.55513679371987</c:v>
                </c:pt>
                <c:pt idx="29">
                  <c:v>210.91910702798606</c:v>
                </c:pt>
                <c:pt idx="30">
                  <c:v>211.28307726225228</c:v>
                </c:pt>
                <c:pt idx="31">
                  <c:v>211.64704749651847</c:v>
                </c:pt>
                <c:pt idx="32">
                  <c:v>212.01101773078469</c:v>
                </c:pt>
                <c:pt idx="33">
                  <c:v>212.37498796505088</c:v>
                </c:pt>
                <c:pt idx="34">
                  <c:v>212.7389581993171</c:v>
                </c:pt>
                <c:pt idx="35">
                  <c:v>213.10292843358329</c:v>
                </c:pt>
                <c:pt idx="36">
                  <c:v>213.46689866784948</c:v>
                </c:pt>
                <c:pt idx="37">
                  <c:v>213.8308689021157</c:v>
                </c:pt>
                <c:pt idx="38">
                  <c:v>214.19483913638189</c:v>
                </c:pt>
                <c:pt idx="39">
                  <c:v>214.55880937064811</c:v>
                </c:pt>
                <c:pt idx="40">
                  <c:v>214.9227796049143</c:v>
                </c:pt>
                <c:pt idx="41">
                  <c:v>215.28674983918049</c:v>
                </c:pt>
                <c:pt idx="42">
                  <c:v>215.65072007344671</c:v>
                </c:pt>
                <c:pt idx="43">
                  <c:v>216.0146903077129</c:v>
                </c:pt>
                <c:pt idx="44">
                  <c:v>216.37866054197912</c:v>
                </c:pt>
                <c:pt idx="45">
                  <c:v>216.74263077624531</c:v>
                </c:pt>
                <c:pt idx="46">
                  <c:v>217.1066010105115</c:v>
                </c:pt>
                <c:pt idx="47">
                  <c:v>217.47057124477772</c:v>
                </c:pt>
                <c:pt idx="48">
                  <c:v>217.83454147904391</c:v>
                </c:pt>
                <c:pt idx="49">
                  <c:v>218.19851171331013</c:v>
                </c:pt>
                <c:pt idx="50">
                  <c:v>218.56248194757632</c:v>
                </c:pt>
                <c:pt idx="51">
                  <c:v>218.92645218184254</c:v>
                </c:pt>
                <c:pt idx="52">
                  <c:v>219.29042241610873</c:v>
                </c:pt>
                <c:pt idx="53">
                  <c:v>219.65439265037492</c:v>
                </c:pt>
                <c:pt idx="54">
                  <c:v>220.01836288464114</c:v>
                </c:pt>
                <c:pt idx="55">
                  <c:v>220.38233311890733</c:v>
                </c:pt>
                <c:pt idx="56">
                  <c:v>220.74630335317354</c:v>
                </c:pt>
                <c:pt idx="57">
                  <c:v>221.11027358743974</c:v>
                </c:pt>
                <c:pt idx="58">
                  <c:v>221.47424382170593</c:v>
                </c:pt>
                <c:pt idx="59">
                  <c:v>221.83821405597214</c:v>
                </c:pt>
                <c:pt idx="60">
                  <c:v>222.20218429023834</c:v>
                </c:pt>
                <c:pt idx="61">
                  <c:v>222.56615452450455</c:v>
                </c:pt>
                <c:pt idx="62">
                  <c:v>222.93012475877075</c:v>
                </c:pt>
                <c:pt idx="63">
                  <c:v>223.29409499303694</c:v>
                </c:pt>
                <c:pt idx="64">
                  <c:v>223.65806522730315</c:v>
                </c:pt>
                <c:pt idx="65">
                  <c:v>224.02203546156935</c:v>
                </c:pt>
                <c:pt idx="66">
                  <c:v>224.38600569583556</c:v>
                </c:pt>
                <c:pt idx="67">
                  <c:v>224.74997593010175</c:v>
                </c:pt>
                <c:pt idx="68">
                  <c:v>225.11394616436797</c:v>
                </c:pt>
                <c:pt idx="69">
                  <c:v>225.47791639863416</c:v>
                </c:pt>
                <c:pt idx="70">
                  <c:v>225.84188663290035</c:v>
                </c:pt>
                <c:pt idx="71">
                  <c:v>226.20585686716657</c:v>
                </c:pt>
                <c:pt idx="72">
                  <c:v>226.56982710143276</c:v>
                </c:pt>
                <c:pt idx="73">
                  <c:v>226.93379733569898</c:v>
                </c:pt>
                <c:pt idx="74">
                  <c:v>227.29776756996517</c:v>
                </c:pt>
                <c:pt idx="75">
                  <c:v>227.66173780423139</c:v>
                </c:pt>
                <c:pt idx="76">
                  <c:v>228.02570803849758</c:v>
                </c:pt>
                <c:pt idx="77">
                  <c:v>228.38967827276377</c:v>
                </c:pt>
                <c:pt idx="78">
                  <c:v>228.75364850702999</c:v>
                </c:pt>
                <c:pt idx="79">
                  <c:v>229.11761874129618</c:v>
                </c:pt>
                <c:pt idx="80">
                  <c:v>229.48158897556237</c:v>
                </c:pt>
                <c:pt idx="81">
                  <c:v>229.84555920982859</c:v>
                </c:pt>
                <c:pt idx="82">
                  <c:v>230.20952944409478</c:v>
                </c:pt>
                <c:pt idx="83">
                  <c:v>230.573499678361</c:v>
                </c:pt>
                <c:pt idx="84">
                  <c:v>230.93746991262719</c:v>
                </c:pt>
                <c:pt idx="85">
                  <c:v>231.30144014689341</c:v>
                </c:pt>
                <c:pt idx="86">
                  <c:v>231.6654103811596</c:v>
                </c:pt>
                <c:pt idx="87">
                  <c:v>232.02938061542579</c:v>
                </c:pt>
                <c:pt idx="88">
                  <c:v>232.39335084969201</c:v>
                </c:pt>
                <c:pt idx="89">
                  <c:v>232.7573210839582</c:v>
                </c:pt>
                <c:pt idx="90">
                  <c:v>233.12129131822442</c:v>
                </c:pt>
                <c:pt idx="91">
                  <c:v>233.48526155249061</c:v>
                </c:pt>
                <c:pt idx="92">
                  <c:v>233.84923178675683</c:v>
                </c:pt>
                <c:pt idx="93">
                  <c:v>234.21320202102302</c:v>
                </c:pt>
                <c:pt idx="94">
                  <c:v>234.57717225528921</c:v>
                </c:pt>
                <c:pt idx="95">
                  <c:v>234.94114248955543</c:v>
                </c:pt>
                <c:pt idx="96">
                  <c:v>235.30511272382162</c:v>
                </c:pt>
                <c:pt idx="97">
                  <c:v>235.66908295808781</c:v>
                </c:pt>
                <c:pt idx="98">
                  <c:v>236.03305319235403</c:v>
                </c:pt>
                <c:pt idx="99">
                  <c:v>236.39702342662025</c:v>
                </c:pt>
                <c:pt idx="100">
                  <c:v>236.76099366088644</c:v>
                </c:pt>
                <c:pt idx="101">
                  <c:v>237.12496389515263</c:v>
                </c:pt>
                <c:pt idx="102">
                  <c:v>237.48893412941885</c:v>
                </c:pt>
                <c:pt idx="103">
                  <c:v>237.85290436368504</c:v>
                </c:pt>
                <c:pt idx="104">
                  <c:v>238.21687459795123</c:v>
                </c:pt>
                <c:pt idx="105">
                  <c:v>238.58084483221745</c:v>
                </c:pt>
                <c:pt idx="106">
                  <c:v>238.94481506648364</c:v>
                </c:pt>
                <c:pt idx="107">
                  <c:v>239.30878530074986</c:v>
                </c:pt>
                <c:pt idx="108">
                  <c:v>239.67275553501605</c:v>
                </c:pt>
                <c:pt idx="109">
                  <c:v>240.03672576928227</c:v>
                </c:pt>
                <c:pt idx="110">
                  <c:v>240.40069600354846</c:v>
                </c:pt>
                <c:pt idx="111">
                  <c:v>240.76466623781465</c:v>
                </c:pt>
                <c:pt idx="112">
                  <c:v>241.12863647208087</c:v>
                </c:pt>
                <c:pt idx="113">
                  <c:v>241.49260670634706</c:v>
                </c:pt>
                <c:pt idx="114">
                  <c:v>241.85657694061325</c:v>
                </c:pt>
                <c:pt idx="115">
                  <c:v>242.22054717487947</c:v>
                </c:pt>
                <c:pt idx="116">
                  <c:v>242.58451740914569</c:v>
                </c:pt>
                <c:pt idx="117">
                  <c:v>242.94848764341188</c:v>
                </c:pt>
                <c:pt idx="118">
                  <c:v>243.31245787767807</c:v>
                </c:pt>
                <c:pt idx="119">
                  <c:v>243.67642811194429</c:v>
                </c:pt>
                <c:pt idx="120">
                  <c:v>244.04039834621048</c:v>
                </c:pt>
                <c:pt idx="121">
                  <c:v>244.40436858047667</c:v>
                </c:pt>
                <c:pt idx="122">
                  <c:v>244.76833881474289</c:v>
                </c:pt>
                <c:pt idx="123">
                  <c:v>245.13230904900908</c:v>
                </c:pt>
                <c:pt idx="124">
                  <c:v>245.4962792832753</c:v>
                </c:pt>
                <c:pt idx="125">
                  <c:v>245.86024951754149</c:v>
                </c:pt>
                <c:pt idx="126">
                  <c:v>246.22421975180771</c:v>
                </c:pt>
                <c:pt idx="127">
                  <c:v>246.5881899860739</c:v>
                </c:pt>
                <c:pt idx="128">
                  <c:v>246.95216022034009</c:v>
                </c:pt>
                <c:pt idx="129">
                  <c:v>247.31613045460631</c:v>
                </c:pt>
                <c:pt idx="130">
                  <c:v>247.6801006888725</c:v>
                </c:pt>
                <c:pt idx="131">
                  <c:v>248.04407092313872</c:v>
                </c:pt>
                <c:pt idx="132">
                  <c:v>248.40804115740491</c:v>
                </c:pt>
                <c:pt idx="133">
                  <c:v>248.77201139167113</c:v>
                </c:pt>
                <c:pt idx="134">
                  <c:v>249.13598162593732</c:v>
                </c:pt>
                <c:pt idx="135">
                  <c:v>249.49995186020351</c:v>
                </c:pt>
                <c:pt idx="136">
                  <c:v>249.86392209446973</c:v>
                </c:pt>
                <c:pt idx="137">
                  <c:v>250.22789232873592</c:v>
                </c:pt>
                <c:pt idx="138">
                  <c:v>250.59186256300211</c:v>
                </c:pt>
                <c:pt idx="139">
                  <c:v>250.95583279726833</c:v>
                </c:pt>
                <c:pt idx="140">
                  <c:v>251.31980303153455</c:v>
                </c:pt>
                <c:pt idx="141">
                  <c:v>251.68377326580074</c:v>
                </c:pt>
                <c:pt idx="142">
                  <c:v>252.04774350006693</c:v>
                </c:pt>
                <c:pt idx="143">
                  <c:v>252.41171373433315</c:v>
                </c:pt>
                <c:pt idx="144">
                  <c:v>252.77568396859934</c:v>
                </c:pt>
                <c:pt idx="145">
                  <c:v>253.13965420286553</c:v>
                </c:pt>
                <c:pt idx="146">
                  <c:v>253.50362443713175</c:v>
                </c:pt>
                <c:pt idx="147">
                  <c:v>253.86759467139794</c:v>
                </c:pt>
                <c:pt idx="148">
                  <c:v>254.23156490566416</c:v>
                </c:pt>
                <c:pt idx="149">
                  <c:v>254.59553513993035</c:v>
                </c:pt>
                <c:pt idx="150">
                  <c:v>254.95950537419657</c:v>
                </c:pt>
                <c:pt idx="151">
                  <c:v>255.32347560846276</c:v>
                </c:pt>
                <c:pt idx="152">
                  <c:v>255.68744584272895</c:v>
                </c:pt>
                <c:pt idx="153">
                  <c:v>256.05141607699517</c:v>
                </c:pt>
                <c:pt idx="154">
                  <c:v>256.41538631126139</c:v>
                </c:pt>
                <c:pt idx="155">
                  <c:v>256.77935654552755</c:v>
                </c:pt>
                <c:pt idx="156">
                  <c:v>257.14332677979377</c:v>
                </c:pt>
                <c:pt idx="157">
                  <c:v>257.50729701405999</c:v>
                </c:pt>
                <c:pt idx="158">
                  <c:v>257.87126724832615</c:v>
                </c:pt>
                <c:pt idx="159">
                  <c:v>258.23523748259237</c:v>
                </c:pt>
                <c:pt idx="160">
                  <c:v>258.59920771685859</c:v>
                </c:pt>
                <c:pt idx="161">
                  <c:v>258.96317795112475</c:v>
                </c:pt>
                <c:pt idx="162">
                  <c:v>259.32714818539097</c:v>
                </c:pt>
                <c:pt idx="163">
                  <c:v>259.69111841965719</c:v>
                </c:pt>
                <c:pt idx="164">
                  <c:v>260</c:v>
                </c:pt>
                <c:pt idx="165">
                  <c:v>260</c:v>
                </c:pt>
                <c:pt idx="166">
                  <c:v>260</c:v>
                </c:pt>
                <c:pt idx="167">
                  <c:v>260</c:v>
                </c:pt>
                <c:pt idx="168">
                  <c:v>260</c:v>
                </c:pt>
                <c:pt idx="169">
                  <c:v>260</c:v>
                </c:pt>
                <c:pt idx="170">
                  <c:v>260</c:v>
                </c:pt>
                <c:pt idx="171">
                  <c:v>260</c:v>
                </c:pt>
                <c:pt idx="172">
                  <c:v>260</c:v>
                </c:pt>
                <c:pt idx="173">
                  <c:v>260</c:v>
                </c:pt>
                <c:pt idx="174">
                  <c:v>260</c:v>
                </c:pt>
                <c:pt idx="175">
                  <c:v>260</c:v>
                </c:pt>
                <c:pt idx="176">
                  <c:v>260</c:v>
                </c:pt>
                <c:pt idx="177">
                  <c:v>260</c:v>
                </c:pt>
                <c:pt idx="178">
                  <c:v>260</c:v>
                </c:pt>
                <c:pt idx="179">
                  <c:v>260</c:v>
                </c:pt>
                <c:pt idx="180">
                  <c:v>260</c:v>
                </c:pt>
                <c:pt idx="181">
                  <c:v>260</c:v>
                </c:pt>
                <c:pt idx="182">
                  <c:v>260</c:v>
                </c:pt>
                <c:pt idx="183">
                  <c:v>260</c:v>
                </c:pt>
                <c:pt idx="184">
                  <c:v>260</c:v>
                </c:pt>
                <c:pt idx="185">
                  <c:v>260</c:v>
                </c:pt>
                <c:pt idx="186">
                  <c:v>260</c:v>
                </c:pt>
                <c:pt idx="187">
                  <c:v>260</c:v>
                </c:pt>
                <c:pt idx="188">
                  <c:v>260</c:v>
                </c:pt>
                <c:pt idx="189">
                  <c:v>260</c:v>
                </c:pt>
                <c:pt idx="190">
                  <c:v>260</c:v>
                </c:pt>
                <c:pt idx="191">
                  <c:v>260</c:v>
                </c:pt>
                <c:pt idx="192">
                  <c:v>260</c:v>
                </c:pt>
                <c:pt idx="193">
                  <c:v>260</c:v>
                </c:pt>
                <c:pt idx="194">
                  <c:v>260</c:v>
                </c:pt>
                <c:pt idx="195">
                  <c:v>260</c:v>
                </c:pt>
                <c:pt idx="196">
                  <c:v>260</c:v>
                </c:pt>
                <c:pt idx="197">
                  <c:v>260</c:v>
                </c:pt>
                <c:pt idx="198">
                  <c:v>260</c:v>
                </c:pt>
                <c:pt idx="199">
                  <c:v>260</c:v>
                </c:pt>
                <c:pt idx="200">
                  <c:v>260</c:v>
                </c:pt>
                <c:pt idx="201">
                  <c:v>260</c:v>
                </c:pt>
                <c:pt idx="202">
                  <c:v>260</c:v>
                </c:pt>
                <c:pt idx="203">
                  <c:v>260</c:v>
                </c:pt>
                <c:pt idx="204">
                  <c:v>260</c:v>
                </c:pt>
                <c:pt idx="205">
                  <c:v>260</c:v>
                </c:pt>
                <c:pt idx="206">
                  <c:v>260</c:v>
                </c:pt>
                <c:pt idx="207">
                  <c:v>260</c:v>
                </c:pt>
                <c:pt idx="208">
                  <c:v>260</c:v>
                </c:pt>
                <c:pt idx="209">
                  <c:v>260</c:v>
                </c:pt>
                <c:pt idx="210">
                  <c:v>260</c:v>
                </c:pt>
                <c:pt idx="211">
                  <c:v>260</c:v>
                </c:pt>
                <c:pt idx="212">
                  <c:v>260</c:v>
                </c:pt>
                <c:pt idx="213">
                  <c:v>260</c:v>
                </c:pt>
                <c:pt idx="214">
                  <c:v>260</c:v>
                </c:pt>
                <c:pt idx="215">
                  <c:v>260</c:v>
                </c:pt>
                <c:pt idx="216">
                  <c:v>260</c:v>
                </c:pt>
                <c:pt idx="217">
                  <c:v>260</c:v>
                </c:pt>
                <c:pt idx="218">
                  <c:v>260</c:v>
                </c:pt>
                <c:pt idx="219">
                  <c:v>260</c:v>
                </c:pt>
                <c:pt idx="220">
                  <c:v>260</c:v>
                </c:pt>
                <c:pt idx="221">
                  <c:v>260</c:v>
                </c:pt>
                <c:pt idx="222">
                  <c:v>260</c:v>
                </c:pt>
                <c:pt idx="223">
                  <c:v>260</c:v>
                </c:pt>
                <c:pt idx="224">
                  <c:v>260</c:v>
                </c:pt>
                <c:pt idx="225">
                  <c:v>260</c:v>
                </c:pt>
                <c:pt idx="226">
                  <c:v>260</c:v>
                </c:pt>
                <c:pt idx="227">
                  <c:v>260</c:v>
                </c:pt>
                <c:pt idx="228">
                  <c:v>260</c:v>
                </c:pt>
                <c:pt idx="229">
                  <c:v>260</c:v>
                </c:pt>
                <c:pt idx="230">
                  <c:v>260</c:v>
                </c:pt>
                <c:pt idx="231">
                  <c:v>260</c:v>
                </c:pt>
                <c:pt idx="232">
                  <c:v>260</c:v>
                </c:pt>
                <c:pt idx="233">
                  <c:v>260</c:v>
                </c:pt>
                <c:pt idx="234">
                  <c:v>260</c:v>
                </c:pt>
                <c:pt idx="235">
                  <c:v>260</c:v>
                </c:pt>
                <c:pt idx="236">
                  <c:v>260</c:v>
                </c:pt>
                <c:pt idx="237">
                  <c:v>260</c:v>
                </c:pt>
                <c:pt idx="238">
                  <c:v>260</c:v>
                </c:pt>
                <c:pt idx="239">
                  <c:v>260</c:v>
                </c:pt>
                <c:pt idx="240">
                  <c:v>260</c:v>
                </c:pt>
                <c:pt idx="241">
                  <c:v>260</c:v>
                </c:pt>
                <c:pt idx="242">
                  <c:v>260</c:v>
                </c:pt>
                <c:pt idx="243">
                  <c:v>260</c:v>
                </c:pt>
                <c:pt idx="244">
                  <c:v>260</c:v>
                </c:pt>
                <c:pt idx="245">
                  <c:v>260</c:v>
                </c:pt>
                <c:pt idx="246">
                  <c:v>260</c:v>
                </c:pt>
                <c:pt idx="247">
                  <c:v>260</c:v>
                </c:pt>
                <c:pt idx="248">
                  <c:v>260</c:v>
                </c:pt>
                <c:pt idx="249">
                  <c:v>260</c:v>
                </c:pt>
                <c:pt idx="250">
                  <c:v>260</c:v>
                </c:pt>
                <c:pt idx="251">
                  <c:v>260</c:v>
                </c:pt>
                <c:pt idx="252">
                  <c:v>260</c:v>
                </c:pt>
                <c:pt idx="253">
                  <c:v>260</c:v>
                </c:pt>
                <c:pt idx="254">
                  <c:v>260</c:v>
                </c:pt>
                <c:pt idx="255">
                  <c:v>260</c:v>
                </c:pt>
                <c:pt idx="256">
                  <c:v>260</c:v>
                </c:pt>
                <c:pt idx="257">
                  <c:v>260</c:v>
                </c:pt>
                <c:pt idx="258">
                  <c:v>260</c:v>
                </c:pt>
                <c:pt idx="259">
                  <c:v>260</c:v>
                </c:pt>
                <c:pt idx="260">
                  <c:v>260</c:v>
                </c:pt>
                <c:pt idx="261">
                  <c:v>260</c:v>
                </c:pt>
                <c:pt idx="262">
                  <c:v>260</c:v>
                </c:pt>
                <c:pt idx="263">
                  <c:v>260</c:v>
                </c:pt>
                <c:pt idx="264">
                  <c:v>260</c:v>
                </c:pt>
                <c:pt idx="265">
                  <c:v>260</c:v>
                </c:pt>
                <c:pt idx="266">
                  <c:v>260</c:v>
                </c:pt>
                <c:pt idx="267">
                  <c:v>260</c:v>
                </c:pt>
                <c:pt idx="268">
                  <c:v>260</c:v>
                </c:pt>
                <c:pt idx="269">
                  <c:v>260</c:v>
                </c:pt>
                <c:pt idx="270">
                  <c:v>260</c:v>
                </c:pt>
                <c:pt idx="271">
                  <c:v>260</c:v>
                </c:pt>
                <c:pt idx="272">
                  <c:v>260</c:v>
                </c:pt>
                <c:pt idx="273">
                  <c:v>260</c:v>
                </c:pt>
                <c:pt idx="274">
                  <c:v>260</c:v>
                </c:pt>
                <c:pt idx="275">
                  <c:v>260</c:v>
                </c:pt>
                <c:pt idx="276">
                  <c:v>260</c:v>
                </c:pt>
                <c:pt idx="277">
                  <c:v>260</c:v>
                </c:pt>
                <c:pt idx="278">
                  <c:v>260</c:v>
                </c:pt>
                <c:pt idx="279">
                  <c:v>260</c:v>
                </c:pt>
                <c:pt idx="280">
                  <c:v>260</c:v>
                </c:pt>
                <c:pt idx="281">
                  <c:v>260</c:v>
                </c:pt>
                <c:pt idx="282">
                  <c:v>260</c:v>
                </c:pt>
                <c:pt idx="283">
                  <c:v>260</c:v>
                </c:pt>
                <c:pt idx="284">
                  <c:v>260</c:v>
                </c:pt>
                <c:pt idx="285">
                  <c:v>260</c:v>
                </c:pt>
                <c:pt idx="286">
                  <c:v>260</c:v>
                </c:pt>
                <c:pt idx="287">
                  <c:v>260</c:v>
                </c:pt>
                <c:pt idx="288">
                  <c:v>260</c:v>
                </c:pt>
                <c:pt idx="289">
                  <c:v>260</c:v>
                </c:pt>
                <c:pt idx="290">
                  <c:v>260</c:v>
                </c:pt>
                <c:pt idx="291">
                  <c:v>260</c:v>
                </c:pt>
                <c:pt idx="292">
                  <c:v>260</c:v>
                </c:pt>
                <c:pt idx="293">
                  <c:v>260</c:v>
                </c:pt>
                <c:pt idx="294">
                  <c:v>260</c:v>
                </c:pt>
                <c:pt idx="295">
                  <c:v>260</c:v>
                </c:pt>
                <c:pt idx="296">
                  <c:v>260</c:v>
                </c:pt>
                <c:pt idx="297">
                  <c:v>260</c:v>
                </c:pt>
                <c:pt idx="298">
                  <c:v>260</c:v>
                </c:pt>
                <c:pt idx="299">
                  <c:v>260</c:v>
                </c:pt>
                <c:pt idx="300">
                  <c:v>260</c:v>
                </c:pt>
                <c:pt idx="301">
                  <c:v>260</c:v>
                </c:pt>
                <c:pt idx="302">
                  <c:v>260</c:v>
                </c:pt>
                <c:pt idx="303">
                  <c:v>260</c:v>
                </c:pt>
                <c:pt idx="304">
                  <c:v>260</c:v>
                </c:pt>
                <c:pt idx="305">
                  <c:v>260</c:v>
                </c:pt>
                <c:pt idx="306">
                  <c:v>260</c:v>
                </c:pt>
                <c:pt idx="307">
                  <c:v>260</c:v>
                </c:pt>
                <c:pt idx="308">
                  <c:v>260</c:v>
                </c:pt>
                <c:pt idx="309">
                  <c:v>260</c:v>
                </c:pt>
                <c:pt idx="310">
                  <c:v>260</c:v>
                </c:pt>
                <c:pt idx="311">
                  <c:v>260</c:v>
                </c:pt>
                <c:pt idx="312">
                  <c:v>260</c:v>
                </c:pt>
                <c:pt idx="313">
                  <c:v>260</c:v>
                </c:pt>
                <c:pt idx="314">
                  <c:v>260</c:v>
                </c:pt>
                <c:pt idx="315">
                  <c:v>260</c:v>
                </c:pt>
                <c:pt idx="316">
                  <c:v>260</c:v>
                </c:pt>
                <c:pt idx="317">
                  <c:v>260</c:v>
                </c:pt>
                <c:pt idx="318">
                  <c:v>260</c:v>
                </c:pt>
                <c:pt idx="319">
                  <c:v>260</c:v>
                </c:pt>
                <c:pt idx="320">
                  <c:v>260</c:v>
                </c:pt>
                <c:pt idx="321">
                  <c:v>260</c:v>
                </c:pt>
                <c:pt idx="322">
                  <c:v>260</c:v>
                </c:pt>
                <c:pt idx="323">
                  <c:v>260</c:v>
                </c:pt>
                <c:pt idx="324">
                  <c:v>260</c:v>
                </c:pt>
                <c:pt idx="325">
                  <c:v>260</c:v>
                </c:pt>
                <c:pt idx="326">
                  <c:v>260</c:v>
                </c:pt>
                <c:pt idx="327">
                  <c:v>260</c:v>
                </c:pt>
                <c:pt idx="328">
                  <c:v>260</c:v>
                </c:pt>
                <c:pt idx="329">
                  <c:v>260</c:v>
                </c:pt>
                <c:pt idx="330">
                  <c:v>260</c:v>
                </c:pt>
                <c:pt idx="331">
                  <c:v>260</c:v>
                </c:pt>
                <c:pt idx="332">
                  <c:v>260</c:v>
                </c:pt>
                <c:pt idx="333">
                  <c:v>260</c:v>
                </c:pt>
                <c:pt idx="334">
                  <c:v>260</c:v>
                </c:pt>
                <c:pt idx="335">
                  <c:v>260</c:v>
                </c:pt>
                <c:pt idx="336">
                  <c:v>260</c:v>
                </c:pt>
                <c:pt idx="337">
                  <c:v>260</c:v>
                </c:pt>
                <c:pt idx="338">
                  <c:v>260</c:v>
                </c:pt>
                <c:pt idx="339">
                  <c:v>260</c:v>
                </c:pt>
                <c:pt idx="340">
                  <c:v>260</c:v>
                </c:pt>
                <c:pt idx="341">
                  <c:v>260</c:v>
                </c:pt>
                <c:pt idx="342">
                  <c:v>260</c:v>
                </c:pt>
                <c:pt idx="343">
                  <c:v>260</c:v>
                </c:pt>
                <c:pt idx="344">
                  <c:v>260</c:v>
                </c:pt>
                <c:pt idx="345">
                  <c:v>260</c:v>
                </c:pt>
                <c:pt idx="346">
                  <c:v>260</c:v>
                </c:pt>
                <c:pt idx="347">
                  <c:v>260</c:v>
                </c:pt>
                <c:pt idx="348">
                  <c:v>260</c:v>
                </c:pt>
                <c:pt idx="349">
                  <c:v>260</c:v>
                </c:pt>
                <c:pt idx="350">
                  <c:v>260</c:v>
                </c:pt>
                <c:pt idx="351">
                  <c:v>260</c:v>
                </c:pt>
                <c:pt idx="352">
                  <c:v>260</c:v>
                </c:pt>
                <c:pt idx="353">
                  <c:v>260</c:v>
                </c:pt>
                <c:pt idx="354">
                  <c:v>260</c:v>
                </c:pt>
                <c:pt idx="355">
                  <c:v>260</c:v>
                </c:pt>
                <c:pt idx="356">
                  <c:v>260</c:v>
                </c:pt>
                <c:pt idx="357">
                  <c:v>260</c:v>
                </c:pt>
                <c:pt idx="358">
                  <c:v>260</c:v>
                </c:pt>
                <c:pt idx="359">
                  <c:v>260</c:v>
                </c:pt>
                <c:pt idx="360">
                  <c:v>260</c:v>
                </c:pt>
                <c:pt idx="361">
                  <c:v>260</c:v>
                </c:pt>
                <c:pt idx="362">
                  <c:v>260</c:v>
                </c:pt>
                <c:pt idx="363">
                  <c:v>260</c:v>
                </c:pt>
                <c:pt idx="364">
                  <c:v>260</c:v>
                </c:pt>
                <c:pt idx="365">
                  <c:v>260</c:v>
                </c:pt>
                <c:pt idx="366">
                  <c:v>260</c:v>
                </c:pt>
                <c:pt idx="367">
                  <c:v>260</c:v>
                </c:pt>
                <c:pt idx="368">
                  <c:v>260</c:v>
                </c:pt>
                <c:pt idx="369">
                  <c:v>260</c:v>
                </c:pt>
                <c:pt idx="370">
                  <c:v>260</c:v>
                </c:pt>
                <c:pt idx="371">
                  <c:v>260</c:v>
                </c:pt>
                <c:pt idx="372">
                  <c:v>260</c:v>
                </c:pt>
                <c:pt idx="373">
                  <c:v>260</c:v>
                </c:pt>
                <c:pt idx="374">
                  <c:v>260</c:v>
                </c:pt>
                <c:pt idx="375">
                  <c:v>260</c:v>
                </c:pt>
                <c:pt idx="376">
                  <c:v>260</c:v>
                </c:pt>
                <c:pt idx="377">
                  <c:v>260</c:v>
                </c:pt>
                <c:pt idx="378">
                  <c:v>260</c:v>
                </c:pt>
                <c:pt idx="379">
                  <c:v>260</c:v>
                </c:pt>
                <c:pt idx="380">
                  <c:v>260</c:v>
                </c:pt>
                <c:pt idx="381">
                  <c:v>260</c:v>
                </c:pt>
                <c:pt idx="382">
                  <c:v>260</c:v>
                </c:pt>
                <c:pt idx="383">
                  <c:v>260</c:v>
                </c:pt>
                <c:pt idx="384">
                  <c:v>260</c:v>
                </c:pt>
                <c:pt idx="385">
                  <c:v>260</c:v>
                </c:pt>
                <c:pt idx="386">
                  <c:v>260</c:v>
                </c:pt>
                <c:pt idx="387">
                  <c:v>260</c:v>
                </c:pt>
                <c:pt idx="388">
                  <c:v>260</c:v>
                </c:pt>
                <c:pt idx="389">
                  <c:v>260</c:v>
                </c:pt>
                <c:pt idx="390">
                  <c:v>260</c:v>
                </c:pt>
                <c:pt idx="391">
                  <c:v>260</c:v>
                </c:pt>
                <c:pt idx="392">
                  <c:v>260</c:v>
                </c:pt>
                <c:pt idx="393">
                  <c:v>260</c:v>
                </c:pt>
                <c:pt idx="394">
                  <c:v>260</c:v>
                </c:pt>
                <c:pt idx="395">
                  <c:v>260</c:v>
                </c:pt>
                <c:pt idx="396">
                  <c:v>260</c:v>
                </c:pt>
                <c:pt idx="397">
                  <c:v>260</c:v>
                </c:pt>
                <c:pt idx="398">
                  <c:v>260</c:v>
                </c:pt>
                <c:pt idx="399">
                  <c:v>260</c:v>
                </c:pt>
                <c:pt idx="400">
                  <c:v>260</c:v>
                </c:pt>
                <c:pt idx="401">
                  <c:v>260</c:v>
                </c:pt>
                <c:pt idx="402">
                  <c:v>260</c:v>
                </c:pt>
                <c:pt idx="403">
                  <c:v>260</c:v>
                </c:pt>
                <c:pt idx="404">
                  <c:v>260</c:v>
                </c:pt>
                <c:pt idx="405">
                  <c:v>260</c:v>
                </c:pt>
                <c:pt idx="406">
                  <c:v>260</c:v>
                </c:pt>
                <c:pt idx="407">
                  <c:v>260</c:v>
                </c:pt>
                <c:pt idx="408">
                  <c:v>260</c:v>
                </c:pt>
                <c:pt idx="409">
                  <c:v>260</c:v>
                </c:pt>
                <c:pt idx="410">
                  <c:v>260</c:v>
                </c:pt>
                <c:pt idx="411">
                  <c:v>260</c:v>
                </c:pt>
                <c:pt idx="412">
                  <c:v>260</c:v>
                </c:pt>
                <c:pt idx="413">
                  <c:v>260</c:v>
                </c:pt>
                <c:pt idx="414">
                  <c:v>260</c:v>
                </c:pt>
                <c:pt idx="415">
                  <c:v>260</c:v>
                </c:pt>
                <c:pt idx="416">
                  <c:v>260</c:v>
                </c:pt>
                <c:pt idx="417">
                  <c:v>260</c:v>
                </c:pt>
                <c:pt idx="418">
                  <c:v>260</c:v>
                </c:pt>
                <c:pt idx="419">
                  <c:v>260</c:v>
                </c:pt>
                <c:pt idx="420">
                  <c:v>260</c:v>
                </c:pt>
                <c:pt idx="421">
                  <c:v>260</c:v>
                </c:pt>
                <c:pt idx="422">
                  <c:v>260</c:v>
                </c:pt>
                <c:pt idx="423">
                  <c:v>260</c:v>
                </c:pt>
                <c:pt idx="424">
                  <c:v>260</c:v>
                </c:pt>
                <c:pt idx="425">
                  <c:v>260</c:v>
                </c:pt>
                <c:pt idx="426">
                  <c:v>260</c:v>
                </c:pt>
                <c:pt idx="427">
                  <c:v>260</c:v>
                </c:pt>
                <c:pt idx="428">
                  <c:v>260</c:v>
                </c:pt>
                <c:pt idx="429">
                  <c:v>260</c:v>
                </c:pt>
                <c:pt idx="430">
                  <c:v>260</c:v>
                </c:pt>
                <c:pt idx="431">
                  <c:v>260</c:v>
                </c:pt>
                <c:pt idx="432">
                  <c:v>260</c:v>
                </c:pt>
                <c:pt idx="433">
                  <c:v>260</c:v>
                </c:pt>
                <c:pt idx="434">
                  <c:v>260</c:v>
                </c:pt>
                <c:pt idx="435">
                  <c:v>260</c:v>
                </c:pt>
                <c:pt idx="436">
                  <c:v>260</c:v>
                </c:pt>
                <c:pt idx="437">
                  <c:v>260</c:v>
                </c:pt>
                <c:pt idx="438">
                  <c:v>260</c:v>
                </c:pt>
                <c:pt idx="439">
                  <c:v>260</c:v>
                </c:pt>
                <c:pt idx="440">
                  <c:v>260</c:v>
                </c:pt>
                <c:pt idx="441">
                  <c:v>260</c:v>
                </c:pt>
                <c:pt idx="442">
                  <c:v>260</c:v>
                </c:pt>
                <c:pt idx="443">
                  <c:v>260</c:v>
                </c:pt>
                <c:pt idx="444">
                  <c:v>260</c:v>
                </c:pt>
                <c:pt idx="445">
                  <c:v>260</c:v>
                </c:pt>
                <c:pt idx="446">
                  <c:v>260</c:v>
                </c:pt>
                <c:pt idx="447">
                  <c:v>260</c:v>
                </c:pt>
                <c:pt idx="448">
                  <c:v>260</c:v>
                </c:pt>
                <c:pt idx="449">
                  <c:v>260</c:v>
                </c:pt>
                <c:pt idx="450">
                  <c:v>260</c:v>
                </c:pt>
                <c:pt idx="451">
                  <c:v>260</c:v>
                </c:pt>
                <c:pt idx="452">
                  <c:v>260</c:v>
                </c:pt>
                <c:pt idx="453">
                  <c:v>260</c:v>
                </c:pt>
                <c:pt idx="454">
                  <c:v>260</c:v>
                </c:pt>
                <c:pt idx="455">
                  <c:v>260</c:v>
                </c:pt>
                <c:pt idx="456">
                  <c:v>260</c:v>
                </c:pt>
                <c:pt idx="457">
                  <c:v>260</c:v>
                </c:pt>
                <c:pt idx="458">
                  <c:v>260</c:v>
                </c:pt>
                <c:pt idx="459">
                  <c:v>260</c:v>
                </c:pt>
                <c:pt idx="460">
                  <c:v>260</c:v>
                </c:pt>
                <c:pt idx="461">
                  <c:v>260</c:v>
                </c:pt>
                <c:pt idx="462">
                  <c:v>260</c:v>
                </c:pt>
                <c:pt idx="463">
                  <c:v>260</c:v>
                </c:pt>
                <c:pt idx="464">
                  <c:v>260</c:v>
                </c:pt>
                <c:pt idx="465">
                  <c:v>260</c:v>
                </c:pt>
                <c:pt idx="466">
                  <c:v>260</c:v>
                </c:pt>
                <c:pt idx="467">
                  <c:v>260</c:v>
                </c:pt>
                <c:pt idx="468">
                  <c:v>260</c:v>
                </c:pt>
                <c:pt idx="469">
                  <c:v>260</c:v>
                </c:pt>
                <c:pt idx="470">
                  <c:v>260</c:v>
                </c:pt>
                <c:pt idx="471">
                  <c:v>260</c:v>
                </c:pt>
                <c:pt idx="472">
                  <c:v>260</c:v>
                </c:pt>
                <c:pt idx="473">
                  <c:v>260</c:v>
                </c:pt>
                <c:pt idx="474">
                  <c:v>260</c:v>
                </c:pt>
                <c:pt idx="475">
                  <c:v>260</c:v>
                </c:pt>
                <c:pt idx="476">
                  <c:v>260</c:v>
                </c:pt>
                <c:pt idx="477">
                  <c:v>260</c:v>
                </c:pt>
                <c:pt idx="478">
                  <c:v>260</c:v>
                </c:pt>
                <c:pt idx="479">
                  <c:v>260</c:v>
                </c:pt>
                <c:pt idx="480">
                  <c:v>260</c:v>
                </c:pt>
                <c:pt idx="481">
                  <c:v>260</c:v>
                </c:pt>
                <c:pt idx="482">
                  <c:v>260</c:v>
                </c:pt>
                <c:pt idx="483">
                  <c:v>260</c:v>
                </c:pt>
                <c:pt idx="484">
                  <c:v>260</c:v>
                </c:pt>
                <c:pt idx="485">
                  <c:v>260</c:v>
                </c:pt>
                <c:pt idx="486">
                  <c:v>260</c:v>
                </c:pt>
                <c:pt idx="487">
                  <c:v>260</c:v>
                </c:pt>
                <c:pt idx="488">
                  <c:v>260</c:v>
                </c:pt>
                <c:pt idx="489">
                  <c:v>260</c:v>
                </c:pt>
                <c:pt idx="490">
                  <c:v>260</c:v>
                </c:pt>
                <c:pt idx="491">
                  <c:v>260</c:v>
                </c:pt>
                <c:pt idx="492">
                  <c:v>260</c:v>
                </c:pt>
                <c:pt idx="493">
                  <c:v>260</c:v>
                </c:pt>
                <c:pt idx="494">
                  <c:v>260</c:v>
                </c:pt>
                <c:pt idx="495">
                  <c:v>260</c:v>
                </c:pt>
                <c:pt idx="496">
                  <c:v>260</c:v>
                </c:pt>
                <c:pt idx="497">
                  <c:v>260</c:v>
                </c:pt>
                <c:pt idx="498">
                  <c:v>260</c:v>
                </c:pt>
                <c:pt idx="499">
                  <c:v>260</c:v>
                </c:pt>
                <c:pt idx="500">
                  <c:v>260</c:v>
                </c:pt>
                <c:pt idx="501">
                  <c:v>260</c:v>
                </c:pt>
                <c:pt idx="502">
                  <c:v>260</c:v>
                </c:pt>
                <c:pt idx="503">
                  <c:v>260</c:v>
                </c:pt>
                <c:pt idx="504">
                  <c:v>260</c:v>
                </c:pt>
                <c:pt idx="505">
                  <c:v>260</c:v>
                </c:pt>
                <c:pt idx="506">
                  <c:v>260</c:v>
                </c:pt>
                <c:pt idx="507">
                  <c:v>260</c:v>
                </c:pt>
                <c:pt idx="508">
                  <c:v>260</c:v>
                </c:pt>
                <c:pt idx="509">
                  <c:v>260</c:v>
                </c:pt>
                <c:pt idx="510">
                  <c:v>260</c:v>
                </c:pt>
                <c:pt idx="511">
                  <c:v>260</c:v>
                </c:pt>
                <c:pt idx="512">
                  <c:v>260</c:v>
                </c:pt>
                <c:pt idx="513">
                  <c:v>260</c:v>
                </c:pt>
                <c:pt idx="514">
                  <c:v>260</c:v>
                </c:pt>
                <c:pt idx="515">
                  <c:v>260</c:v>
                </c:pt>
                <c:pt idx="516">
                  <c:v>260</c:v>
                </c:pt>
                <c:pt idx="517">
                  <c:v>260</c:v>
                </c:pt>
                <c:pt idx="518">
                  <c:v>260</c:v>
                </c:pt>
                <c:pt idx="519">
                  <c:v>260</c:v>
                </c:pt>
                <c:pt idx="520">
                  <c:v>260</c:v>
                </c:pt>
                <c:pt idx="521">
                  <c:v>260</c:v>
                </c:pt>
                <c:pt idx="522">
                  <c:v>260</c:v>
                </c:pt>
                <c:pt idx="523">
                  <c:v>260</c:v>
                </c:pt>
                <c:pt idx="524">
                  <c:v>260</c:v>
                </c:pt>
                <c:pt idx="525">
                  <c:v>260</c:v>
                </c:pt>
                <c:pt idx="526">
                  <c:v>260</c:v>
                </c:pt>
                <c:pt idx="527">
                  <c:v>260</c:v>
                </c:pt>
                <c:pt idx="528">
                  <c:v>260</c:v>
                </c:pt>
                <c:pt idx="529">
                  <c:v>260</c:v>
                </c:pt>
                <c:pt idx="530">
                  <c:v>260</c:v>
                </c:pt>
                <c:pt idx="531">
                  <c:v>260</c:v>
                </c:pt>
                <c:pt idx="532">
                  <c:v>260</c:v>
                </c:pt>
                <c:pt idx="533">
                  <c:v>260</c:v>
                </c:pt>
                <c:pt idx="534">
                  <c:v>260</c:v>
                </c:pt>
                <c:pt idx="535">
                  <c:v>260</c:v>
                </c:pt>
                <c:pt idx="536">
                  <c:v>260</c:v>
                </c:pt>
                <c:pt idx="537">
                  <c:v>260</c:v>
                </c:pt>
                <c:pt idx="538">
                  <c:v>260</c:v>
                </c:pt>
                <c:pt idx="539">
                  <c:v>260</c:v>
                </c:pt>
                <c:pt idx="540">
                  <c:v>260</c:v>
                </c:pt>
                <c:pt idx="541">
                  <c:v>260</c:v>
                </c:pt>
                <c:pt idx="542">
                  <c:v>260</c:v>
                </c:pt>
                <c:pt idx="543">
                  <c:v>260</c:v>
                </c:pt>
                <c:pt idx="544">
                  <c:v>260</c:v>
                </c:pt>
                <c:pt idx="545">
                  <c:v>260</c:v>
                </c:pt>
                <c:pt idx="546">
                  <c:v>260</c:v>
                </c:pt>
                <c:pt idx="547">
                  <c:v>260</c:v>
                </c:pt>
                <c:pt idx="548">
                  <c:v>260</c:v>
                </c:pt>
                <c:pt idx="549">
                  <c:v>260</c:v>
                </c:pt>
                <c:pt idx="550">
                  <c:v>260</c:v>
                </c:pt>
                <c:pt idx="551">
                  <c:v>260</c:v>
                </c:pt>
                <c:pt idx="552">
                  <c:v>260</c:v>
                </c:pt>
                <c:pt idx="553">
                  <c:v>260</c:v>
                </c:pt>
                <c:pt idx="554">
                  <c:v>260</c:v>
                </c:pt>
                <c:pt idx="555">
                  <c:v>260</c:v>
                </c:pt>
                <c:pt idx="556">
                  <c:v>260</c:v>
                </c:pt>
                <c:pt idx="557">
                  <c:v>260</c:v>
                </c:pt>
                <c:pt idx="558">
                  <c:v>260</c:v>
                </c:pt>
                <c:pt idx="559">
                  <c:v>260</c:v>
                </c:pt>
                <c:pt idx="560">
                  <c:v>260</c:v>
                </c:pt>
                <c:pt idx="561">
                  <c:v>260</c:v>
                </c:pt>
                <c:pt idx="562">
                  <c:v>260</c:v>
                </c:pt>
                <c:pt idx="563">
                  <c:v>260</c:v>
                </c:pt>
                <c:pt idx="564">
                  <c:v>260</c:v>
                </c:pt>
                <c:pt idx="565">
                  <c:v>260</c:v>
                </c:pt>
                <c:pt idx="566">
                  <c:v>260</c:v>
                </c:pt>
                <c:pt idx="567">
                  <c:v>260</c:v>
                </c:pt>
                <c:pt idx="568">
                  <c:v>260</c:v>
                </c:pt>
                <c:pt idx="569">
                  <c:v>260</c:v>
                </c:pt>
                <c:pt idx="570">
                  <c:v>260</c:v>
                </c:pt>
                <c:pt idx="571">
                  <c:v>260</c:v>
                </c:pt>
                <c:pt idx="572">
                  <c:v>260</c:v>
                </c:pt>
                <c:pt idx="573">
                  <c:v>260</c:v>
                </c:pt>
                <c:pt idx="574">
                  <c:v>260</c:v>
                </c:pt>
                <c:pt idx="575">
                  <c:v>260</c:v>
                </c:pt>
                <c:pt idx="576">
                  <c:v>260</c:v>
                </c:pt>
                <c:pt idx="577">
                  <c:v>260</c:v>
                </c:pt>
                <c:pt idx="578">
                  <c:v>260</c:v>
                </c:pt>
                <c:pt idx="579">
                  <c:v>260</c:v>
                </c:pt>
                <c:pt idx="580">
                  <c:v>260</c:v>
                </c:pt>
                <c:pt idx="581">
                  <c:v>260</c:v>
                </c:pt>
                <c:pt idx="582">
                  <c:v>260</c:v>
                </c:pt>
                <c:pt idx="583">
                  <c:v>260</c:v>
                </c:pt>
                <c:pt idx="584">
                  <c:v>260</c:v>
                </c:pt>
                <c:pt idx="585">
                  <c:v>260</c:v>
                </c:pt>
                <c:pt idx="586">
                  <c:v>260</c:v>
                </c:pt>
                <c:pt idx="587">
                  <c:v>260</c:v>
                </c:pt>
                <c:pt idx="588">
                  <c:v>260</c:v>
                </c:pt>
                <c:pt idx="589">
                  <c:v>260</c:v>
                </c:pt>
                <c:pt idx="590">
                  <c:v>260</c:v>
                </c:pt>
                <c:pt idx="591">
                  <c:v>260</c:v>
                </c:pt>
                <c:pt idx="592">
                  <c:v>260</c:v>
                </c:pt>
                <c:pt idx="593">
                  <c:v>260</c:v>
                </c:pt>
                <c:pt idx="594">
                  <c:v>260</c:v>
                </c:pt>
                <c:pt idx="595">
                  <c:v>260</c:v>
                </c:pt>
                <c:pt idx="596">
                  <c:v>260</c:v>
                </c:pt>
                <c:pt idx="597">
                  <c:v>260</c:v>
                </c:pt>
                <c:pt idx="598">
                  <c:v>260</c:v>
                </c:pt>
                <c:pt idx="599">
                  <c:v>0</c:v>
                </c:pt>
                <c:pt idx="600">
                  <c:v>0</c:v>
                </c:pt>
                <c:pt idx="601">
                  <c:v>0</c:v>
                </c:pt>
                <c:pt idx="602">
                  <c:v>0</c:v>
                </c:pt>
                <c:pt idx="603">
                  <c:v>0</c:v>
                </c:pt>
                <c:pt idx="604">
                  <c:v>0</c:v>
                </c:pt>
                <c:pt idx="605">
                  <c:v>0</c:v>
                </c:pt>
                <c:pt idx="606">
                  <c:v>0</c:v>
                </c:pt>
                <c:pt idx="607">
                  <c:v>0</c:v>
                </c:pt>
                <c:pt idx="608">
                  <c:v>0</c:v>
                </c:pt>
                <c:pt idx="609">
                  <c:v>0</c:v>
                </c:pt>
                <c:pt idx="610">
                  <c:v>0</c:v>
                </c:pt>
                <c:pt idx="611">
                  <c:v>0</c:v>
                </c:pt>
                <c:pt idx="612">
                  <c:v>0</c:v>
                </c:pt>
                <c:pt idx="613">
                  <c:v>0</c:v>
                </c:pt>
                <c:pt idx="614">
                  <c:v>0</c:v>
                </c:pt>
                <c:pt idx="615">
                  <c:v>0</c:v>
                </c:pt>
                <c:pt idx="616">
                  <c:v>0</c:v>
                </c:pt>
                <c:pt idx="617">
                  <c:v>0</c:v>
                </c:pt>
                <c:pt idx="618">
                  <c:v>0</c:v>
                </c:pt>
                <c:pt idx="619">
                  <c:v>0</c:v>
                </c:pt>
                <c:pt idx="620">
                  <c:v>0</c:v>
                </c:pt>
                <c:pt idx="621">
                  <c:v>0</c:v>
                </c:pt>
                <c:pt idx="622">
                  <c:v>0</c:v>
                </c:pt>
                <c:pt idx="623">
                  <c:v>0</c:v>
                </c:pt>
                <c:pt idx="624">
                  <c:v>0</c:v>
                </c:pt>
                <c:pt idx="625">
                  <c:v>0</c:v>
                </c:pt>
                <c:pt idx="626">
                  <c:v>0</c:v>
                </c:pt>
                <c:pt idx="627">
                  <c:v>0</c:v>
                </c:pt>
                <c:pt idx="628">
                  <c:v>0</c:v>
                </c:pt>
                <c:pt idx="629">
                  <c:v>0</c:v>
                </c:pt>
                <c:pt idx="630">
                  <c:v>0</c:v>
                </c:pt>
                <c:pt idx="631">
                  <c:v>0</c:v>
                </c:pt>
                <c:pt idx="632">
                  <c:v>0</c:v>
                </c:pt>
                <c:pt idx="633">
                  <c:v>0</c:v>
                </c:pt>
                <c:pt idx="634">
                  <c:v>0</c:v>
                </c:pt>
                <c:pt idx="635">
                  <c:v>0</c:v>
                </c:pt>
                <c:pt idx="636">
                  <c:v>0</c:v>
                </c:pt>
                <c:pt idx="637">
                  <c:v>0</c:v>
                </c:pt>
                <c:pt idx="638">
                  <c:v>0</c:v>
                </c:pt>
                <c:pt idx="639">
                  <c:v>0</c:v>
                </c:pt>
                <c:pt idx="640">
                  <c:v>0</c:v>
                </c:pt>
                <c:pt idx="641">
                  <c:v>0</c:v>
                </c:pt>
                <c:pt idx="642">
                  <c:v>0</c:v>
                </c:pt>
                <c:pt idx="643">
                  <c:v>0</c:v>
                </c:pt>
                <c:pt idx="644">
                  <c:v>0</c:v>
                </c:pt>
                <c:pt idx="645">
                  <c:v>0</c:v>
                </c:pt>
                <c:pt idx="646">
                  <c:v>0</c:v>
                </c:pt>
                <c:pt idx="647">
                  <c:v>0</c:v>
                </c:pt>
                <c:pt idx="648">
                  <c:v>0</c:v>
                </c:pt>
                <c:pt idx="649">
                  <c:v>0</c:v>
                </c:pt>
                <c:pt idx="650">
                  <c:v>0</c:v>
                </c:pt>
                <c:pt idx="651">
                  <c:v>0</c:v>
                </c:pt>
                <c:pt idx="652">
                  <c:v>0</c:v>
                </c:pt>
                <c:pt idx="653">
                  <c:v>0</c:v>
                </c:pt>
                <c:pt idx="654">
                  <c:v>0</c:v>
                </c:pt>
                <c:pt idx="655">
                  <c:v>0</c:v>
                </c:pt>
                <c:pt idx="656">
                  <c:v>0</c:v>
                </c:pt>
                <c:pt idx="657">
                  <c:v>0</c:v>
                </c:pt>
                <c:pt idx="658">
                  <c:v>0</c:v>
                </c:pt>
                <c:pt idx="659">
                  <c:v>0</c:v>
                </c:pt>
                <c:pt idx="660">
                  <c:v>0</c:v>
                </c:pt>
                <c:pt idx="661">
                  <c:v>0</c:v>
                </c:pt>
                <c:pt idx="662">
                  <c:v>0</c:v>
                </c:pt>
                <c:pt idx="663">
                  <c:v>0</c:v>
                </c:pt>
                <c:pt idx="664">
                  <c:v>0</c:v>
                </c:pt>
                <c:pt idx="665">
                  <c:v>0</c:v>
                </c:pt>
                <c:pt idx="666">
                  <c:v>0</c:v>
                </c:pt>
                <c:pt idx="667">
                  <c:v>0</c:v>
                </c:pt>
                <c:pt idx="668">
                  <c:v>0</c:v>
                </c:pt>
                <c:pt idx="669">
                  <c:v>0</c:v>
                </c:pt>
                <c:pt idx="670">
                  <c:v>0</c:v>
                </c:pt>
                <c:pt idx="671">
                  <c:v>0</c:v>
                </c:pt>
                <c:pt idx="672">
                  <c:v>0</c:v>
                </c:pt>
                <c:pt idx="673">
                  <c:v>0</c:v>
                </c:pt>
                <c:pt idx="674">
                  <c:v>0</c:v>
                </c:pt>
                <c:pt idx="675">
                  <c:v>0</c:v>
                </c:pt>
                <c:pt idx="676">
                  <c:v>0</c:v>
                </c:pt>
                <c:pt idx="677">
                  <c:v>0</c:v>
                </c:pt>
                <c:pt idx="678">
                  <c:v>0</c:v>
                </c:pt>
                <c:pt idx="679">
                  <c:v>0</c:v>
                </c:pt>
                <c:pt idx="680">
                  <c:v>0</c:v>
                </c:pt>
                <c:pt idx="681">
                  <c:v>0</c:v>
                </c:pt>
                <c:pt idx="682">
                  <c:v>0</c:v>
                </c:pt>
                <c:pt idx="683">
                  <c:v>0</c:v>
                </c:pt>
                <c:pt idx="684">
                  <c:v>0</c:v>
                </c:pt>
                <c:pt idx="685">
                  <c:v>0</c:v>
                </c:pt>
                <c:pt idx="686">
                  <c:v>0</c:v>
                </c:pt>
                <c:pt idx="687">
                  <c:v>0</c:v>
                </c:pt>
                <c:pt idx="688">
                  <c:v>0</c:v>
                </c:pt>
                <c:pt idx="689">
                  <c:v>0</c:v>
                </c:pt>
                <c:pt idx="690">
                  <c:v>0</c:v>
                </c:pt>
                <c:pt idx="691">
                  <c:v>0</c:v>
                </c:pt>
                <c:pt idx="692">
                  <c:v>0</c:v>
                </c:pt>
                <c:pt idx="693">
                  <c:v>0</c:v>
                </c:pt>
                <c:pt idx="694">
                  <c:v>0</c:v>
                </c:pt>
                <c:pt idx="695">
                  <c:v>0</c:v>
                </c:pt>
                <c:pt idx="696">
                  <c:v>0</c:v>
                </c:pt>
                <c:pt idx="697">
                  <c:v>0</c:v>
                </c:pt>
                <c:pt idx="698">
                  <c:v>0</c:v>
                </c:pt>
                <c:pt idx="699">
                  <c:v>0</c:v>
                </c:pt>
                <c:pt idx="700">
                  <c:v>0</c:v>
                </c:pt>
                <c:pt idx="701">
                  <c:v>0</c:v>
                </c:pt>
                <c:pt idx="702">
                  <c:v>0</c:v>
                </c:pt>
                <c:pt idx="703">
                  <c:v>0</c:v>
                </c:pt>
                <c:pt idx="704">
                  <c:v>0</c:v>
                </c:pt>
                <c:pt idx="705">
                  <c:v>0</c:v>
                </c:pt>
                <c:pt idx="706">
                  <c:v>0</c:v>
                </c:pt>
                <c:pt idx="707">
                  <c:v>0</c:v>
                </c:pt>
                <c:pt idx="708">
                  <c:v>0</c:v>
                </c:pt>
                <c:pt idx="709">
                  <c:v>0</c:v>
                </c:pt>
                <c:pt idx="710">
                  <c:v>0</c:v>
                </c:pt>
                <c:pt idx="711">
                  <c:v>0</c:v>
                </c:pt>
                <c:pt idx="712">
                  <c:v>0</c:v>
                </c:pt>
                <c:pt idx="713">
                  <c:v>0</c:v>
                </c:pt>
                <c:pt idx="714">
                  <c:v>0</c:v>
                </c:pt>
                <c:pt idx="715">
                  <c:v>0</c:v>
                </c:pt>
                <c:pt idx="716">
                  <c:v>0</c:v>
                </c:pt>
                <c:pt idx="717">
                  <c:v>0</c:v>
                </c:pt>
                <c:pt idx="718">
                  <c:v>0</c:v>
                </c:pt>
                <c:pt idx="719">
                  <c:v>0</c:v>
                </c:pt>
                <c:pt idx="720">
                  <c:v>0</c:v>
                </c:pt>
                <c:pt idx="721">
                  <c:v>0</c:v>
                </c:pt>
                <c:pt idx="722">
                  <c:v>0</c:v>
                </c:pt>
                <c:pt idx="723">
                  <c:v>0</c:v>
                </c:pt>
                <c:pt idx="724">
                  <c:v>0</c:v>
                </c:pt>
                <c:pt idx="725">
                  <c:v>0</c:v>
                </c:pt>
                <c:pt idx="726">
                  <c:v>0</c:v>
                </c:pt>
                <c:pt idx="727">
                  <c:v>0</c:v>
                </c:pt>
                <c:pt idx="728">
                  <c:v>0</c:v>
                </c:pt>
                <c:pt idx="729">
                  <c:v>0</c:v>
                </c:pt>
                <c:pt idx="730">
                  <c:v>0</c:v>
                </c:pt>
                <c:pt idx="731">
                  <c:v>0</c:v>
                </c:pt>
                <c:pt idx="732">
                  <c:v>0</c:v>
                </c:pt>
                <c:pt idx="733">
                  <c:v>0</c:v>
                </c:pt>
                <c:pt idx="734">
                  <c:v>0</c:v>
                </c:pt>
                <c:pt idx="735">
                  <c:v>0</c:v>
                </c:pt>
                <c:pt idx="736">
                  <c:v>0</c:v>
                </c:pt>
                <c:pt idx="737">
                  <c:v>0</c:v>
                </c:pt>
                <c:pt idx="738">
                  <c:v>0</c:v>
                </c:pt>
                <c:pt idx="739">
                  <c:v>0</c:v>
                </c:pt>
                <c:pt idx="740">
                  <c:v>0</c:v>
                </c:pt>
                <c:pt idx="741">
                  <c:v>0</c:v>
                </c:pt>
                <c:pt idx="742">
                  <c:v>0</c:v>
                </c:pt>
                <c:pt idx="743">
                  <c:v>0</c:v>
                </c:pt>
                <c:pt idx="744">
                  <c:v>0</c:v>
                </c:pt>
                <c:pt idx="745">
                  <c:v>0</c:v>
                </c:pt>
                <c:pt idx="746">
                  <c:v>0</c:v>
                </c:pt>
                <c:pt idx="747">
                  <c:v>0</c:v>
                </c:pt>
                <c:pt idx="748">
                  <c:v>0</c:v>
                </c:pt>
                <c:pt idx="749">
                  <c:v>0</c:v>
                </c:pt>
                <c:pt idx="750">
                  <c:v>0</c:v>
                </c:pt>
                <c:pt idx="751">
                  <c:v>0</c:v>
                </c:pt>
                <c:pt idx="752">
                  <c:v>0</c:v>
                </c:pt>
                <c:pt idx="753">
                  <c:v>0</c:v>
                </c:pt>
                <c:pt idx="754">
                  <c:v>0</c:v>
                </c:pt>
                <c:pt idx="755">
                  <c:v>0</c:v>
                </c:pt>
                <c:pt idx="756">
                  <c:v>0</c:v>
                </c:pt>
                <c:pt idx="757">
                  <c:v>0</c:v>
                </c:pt>
                <c:pt idx="758">
                  <c:v>0</c:v>
                </c:pt>
                <c:pt idx="759">
                  <c:v>0</c:v>
                </c:pt>
                <c:pt idx="760">
                  <c:v>0</c:v>
                </c:pt>
                <c:pt idx="761">
                  <c:v>0</c:v>
                </c:pt>
                <c:pt idx="762">
                  <c:v>0</c:v>
                </c:pt>
                <c:pt idx="763">
                  <c:v>0</c:v>
                </c:pt>
                <c:pt idx="764">
                  <c:v>0</c:v>
                </c:pt>
                <c:pt idx="765">
                  <c:v>0</c:v>
                </c:pt>
                <c:pt idx="766">
                  <c:v>0</c:v>
                </c:pt>
                <c:pt idx="767">
                  <c:v>0</c:v>
                </c:pt>
                <c:pt idx="768">
                  <c:v>0</c:v>
                </c:pt>
                <c:pt idx="769">
                  <c:v>0</c:v>
                </c:pt>
                <c:pt idx="770">
                  <c:v>0</c:v>
                </c:pt>
                <c:pt idx="771">
                  <c:v>0</c:v>
                </c:pt>
                <c:pt idx="772">
                  <c:v>0</c:v>
                </c:pt>
                <c:pt idx="773">
                  <c:v>0</c:v>
                </c:pt>
                <c:pt idx="774">
                  <c:v>0</c:v>
                </c:pt>
                <c:pt idx="775">
                  <c:v>0</c:v>
                </c:pt>
                <c:pt idx="776">
                  <c:v>0</c:v>
                </c:pt>
                <c:pt idx="777">
                  <c:v>0</c:v>
                </c:pt>
                <c:pt idx="778">
                  <c:v>0</c:v>
                </c:pt>
                <c:pt idx="779">
                  <c:v>0</c:v>
                </c:pt>
                <c:pt idx="780">
                  <c:v>0</c:v>
                </c:pt>
                <c:pt idx="781">
                  <c:v>0</c:v>
                </c:pt>
                <c:pt idx="782">
                  <c:v>0</c:v>
                </c:pt>
                <c:pt idx="783">
                  <c:v>0</c:v>
                </c:pt>
                <c:pt idx="784">
                  <c:v>0</c:v>
                </c:pt>
                <c:pt idx="785">
                  <c:v>0</c:v>
                </c:pt>
                <c:pt idx="786">
                  <c:v>0</c:v>
                </c:pt>
                <c:pt idx="787">
                  <c:v>0</c:v>
                </c:pt>
                <c:pt idx="788">
                  <c:v>0</c:v>
                </c:pt>
                <c:pt idx="789">
                  <c:v>0</c:v>
                </c:pt>
                <c:pt idx="790">
                  <c:v>0</c:v>
                </c:pt>
                <c:pt idx="791">
                  <c:v>0</c:v>
                </c:pt>
                <c:pt idx="792">
                  <c:v>0</c:v>
                </c:pt>
                <c:pt idx="793">
                  <c:v>0</c:v>
                </c:pt>
                <c:pt idx="794">
                  <c:v>0</c:v>
                </c:pt>
                <c:pt idx="795">
                  <c:v>0</c:v>
                </c:pt>
                <c:pt idx="796">
                  <c:v>0</c:v>
                </c:pt>
                <c:pt idx="797">
                  <c:v>0</c:v>
                </c:pt>
                <c:pt idx="798">
                  <c:v>0</c:v>
                </c:pt>
                <c:pt idx="799">
                  <c:v>0</c:v>
                </c:pt>
                <c:pt idx="800">
                  <c:v>0</c:v>
                </c:pt>
                <c:pt idx="801">
                  <c:v>0</c:v>
                </c:pt>
                <c:pt idx="802">
                  <c:v>0</c:v>
                </c:pt>
                <c:pt idx="803">
                  <c:v>0</c:v>
                </c:pt>
                <c:pt idx="804">
                  <c:v>0</c:v>
                </c:pt>
                <c:pt idx="805">
                  <c:v>0</c:v>
                </c:pt>
                <c:pt idx="806">
                  <c:v>0</c:v>
                </c:pt>
                <c:pt idx="807">
                  <c:v>0</c:v>
                </c:pt>
                <c:pt idx="808">
                  <c:v>0</c:v>
                </c:pt>
                <c:pt idx="809">
                  <c:v>0</c:v>
                </c:pt>
                <c:pt idx="810">
                  <c:v>0</c:v>
                </c:pt>
                <c:pt idx="811">
                  <c:v>0</c:v>
                </c:pt>
                <c:pt idx="812">
                  <c:v>0</c:v>
                </c:pt>
                <c:pt idx="813">
                  <c:v>0</c:v>
                </c:pt>
                <c:pt idx="814">
                  <c:v>0</c:v>
                </c:pt>
                <c:pt idx="815">
                  <c:v>0</c:v>
                </c:pt>
                <c:pt idx="816">
                  <c:v>0</c:v>
                </c:pt>
                <c:pt idx="817">
                  <c:v>0</c:v>
                </c:pt>
                <c:pt idx="818">
                  <c:v>0</c:v>
                </c:pt>
                <c:pt idx="819">
                  <c:v>0</c:v>
                </c:pt>
                <c:pt idx="820">
                  <c:v>0</c:v>
                </c:pt>
                <c:pt idx="821">
                  <c:v>0</c:v>
                </c:pt>
                <c:pt idx="822">
                  <c:v>0</c:v>
                </c:pt>
                <c:pt idx="823">
                  <c:v>0</c:v>
                </c:pt>
                <c:pt idx="824">
                  <c:v>0</c:v>
                </c:pt>
                <c:pt idx="825">
                  <c:v>0</c:v>
                </c:pt>
                <c:pt idx="826">
                  <c:v>0</c:v>
                </c:pt>
                <c:pt idx="827">
                  <c:v>0</c:v>
                </c:pt>
                <c:pt idx="828">
                  <c:v>0</c:v>
                </c:pt>
                <c:pt idx="829">
                  <c:v>0</c:v>
                </c:pt>
                <c:pt idx="830">
                  <c:v>0</c:v>
                </c:pt>
                <c:pt idx="831">
                  <c:v>0</c:v>
                </c:pt>
                <c:pt idx="832">
                  <c:v>0</c:v>
                </c:pt>
                <c:pt idx="833">
                  <c:v>0</c:v>
                </c:pt>
                <c:pt idx="834">
                  <c:v>0</c:v>
                </c:pt>
                <c:pt idx="835">
                  <c:v>0</c:v>
                </c:pt>
                <c:pt idx="836">
                  <c:v>0</c:v>
                </c:pt>
                <c:pt idx="837">
                  <c:v>0</c:v>
                </c:pt>
                <c:pt idx="838">
                  <c:v>0</c:v>
                </c:pt>
                <c:pt idx="839">
                  <c:v>0</c:v>
                </c:pt>
                <c:pt idx="840">
                  <c:v>0</c:v>
                </c:pt>
                <c:pt idx="841">
                  <c:v>0</c:v>
                </c:pt>
                <c:pt idx="842">
                  <c:v>0</c:v>
                </c:pt>
                <c:pt idx="843">
                  <c:v>0</c:v>
                </c:pt>
                <c:pt idx="844">
                  <c:v>0</c:v>
                </c:pt>
                <c:pt idx="845">
                  <c:v>0</c:v>
                </c:pt>
                <c:pt idx="846">
                  <c:v>0</c:v>
                </c:pt>
                <c:pt idx="847">
                  <c:v>0</c:v>
                </c:pt>
                <c:pt idx="848">
                  <c:v>0</c:v>
                </c:pt>
                <c:pt idx="849">
                  <c:v>0</c:v>
                </c:pt>
                <c:pt idx="850">
                  <c:v>0</c:v>
                </c:pt>
                <c:pt idx="851">
                  <c:v>0</c:v>
                </c:pt>
                <c:pt idx="852">
                  <c:v>0</c:v>
                </c:pt>
                <c:pt idx="853">
                  <c:v>0</c:v>
                </c:pt>
                <c:pt idx="854">
                  <c:v>0</c:v>
                </c:pt>
                <c:pt idx="855">
                  <c:v>0</c:v>
                </c:pt>
                <c:pt idx="856">
                  <c:v>0</c:v>
                </c:pt>
                <c:pt idx="857">
                  <c:v>0</c:v>
                </c:pt>
                <c:pt idx="858">
                  <c:v>0</c:v>
                </c:pt>
                <c:pt idx="859">
                  <c:v>0</c:v>
                </c:pt>
                <c:pt idx="860">
                  <c:v>0</c:v>
                </c:pt>
                <c:pt idx="861">
                  <c:v>0</c:v>
                </c:pt>
                <c:pt idx="862">
                  <c:v>0</c:v>
                </c:pt>
                <c:pt idx="863">
                  <c:v>0</c:v>
                </c:pt>
                <c:pt idx="864">
                  <c:v>0</c:v>
                </c:pt>
                <c:pt idx="865">
                  <c:v>0</c:v>
                </c:pt>
                <c:pt idx="866">
                  <c:v>0</c:v>
                </c:pt>
                <c:pt idx="867">
                  <c:v>0</c:v>
                </c:pt>
                <c:pt idx="868">
                  <c:v>0</c:v>
                </c:pt>
                <c:pt idx="869">
                  <c:v>0</c:v>
                </c:pt>
                <c:pt idx="870">
                  <c:v>0</c:v>
                </c:pt>
                <c:pt idx="871">
                  <c:v>0</c:v>
                </c:pt>
                <c:pt idx="872">
                  <c:v>0</c:v>
                </c:pt>
                <c:pt idx="873">
                  <c:v>0</c:v>
                </c:pt>
                <c:pt idx="874">
                  <c:v>0</c:v>
                </c:pt>
                <c:pt idx="875">
                  <c:v>0</c:v>
                </c:pt>
                <c:pt idx="876">
                  <c:v>0</c:v>
                </c:pt>
                <c:pt idx="877">
                  <c:v>0</c:v>
                </c:pt>
                <c:pt idx="878">
                  <c:v>0</c:v>
                </c:pt>
                <c:pt idx="879">
                  <c:v>0</c:v>
                </c:pt>
                <c:pt idx="880">
                  <c:v>0</c:v>
                </c:pt>
                <c:pt idx="881">
                  <c:v>0</c:v>
                </c:pt>
                <c:pt idx="882">
                  <c:v>0</c:v>
                </c:pt>
                <c:pt idx="883">
                  <c:v>0</c:v>
                </c:pt>
                <c:pt idx="884">
                  <c:v>0</c:v>
                </c:pt>
                <c:pt idx="885">
                  <c:v>0</c:v>
                </c:pt>
                <c:pt idx="886">
                  <c:v>0</c:v>
                </c:pt>
                <c:pt idx="887">
                  <c:v>0</c:v>
                </c:pt>
                <c:pt idx="888">
                  <c:v>0</c:v>
                </c:pt>
                <c:pt idx="889">
                  <c:v>0</c:v>
                </c:pt>
                <c:pt idx="890">
                  <c:v>0</c:v>
                </c:pt>
                <c:pt idx="891">
                  <c:v>0</c:v>
                </c:pt>
                <c:pt idx="892">
                  <c:v>0</c:v>
                </c:pt>
                <c:pt idx="893">
                  <c:v>0</c:v>
                </c:pt>
                <c:pt idx="894">
                  <c:v>0</c:v>
                </c:pt>
                <c:pt idx="895">
                  <c:v>0</c:v>
                </c:pt>
                <c:pt idx="896">
                  <c:v>0</c:v>
                </c:pt>
                <c:pt idx="897">
                  <c:v>0</c:v>
                </c:pt>
                <c:pt idx="898">
                  <c:v>0</c:v>
                </c:pt>
                <c:pt idx="899">
                  <c:v>0</c:v>
                </c:pt>
                <c:pt idx="900">
                  <c:v>0</c:v>
                </c:pt>
                <c:pt idx="901">
                  <c:v>0</c:v>
                </c:pt>
                <c:pt idx="902">
                  <c:v>0</c:v>
                </c:pt>
                <c:pt idx="903">
                  <c:v>0</c:v>
                </c:pt>
                <c:pt idx="904">
                  <c:v>0</c:v>
                </c:pt>
                <c:pt idx="905">
                  <c:v>0</c:v>
                </c:pt>
                <c:pt idx="906">
                  <c:v>0</c:v>
                </c:pt>
                <c:pt idx="907">
                  <c:v>0</c:v>
                </c:pt>
                <c:pt idx="908">
                  <c:v>0</c:v>
                </c:pt>
                <c:pt idx="909">
                  <c:v>0</c:v>
                </c:pt>
                <c:pt idx="910">
                  <c:v>0</c:v>
                </c:pt>
                <c:pt idx="911">
                  <c:v>0</c:v>
                </c:pt>
                <c:pt idx="912">
                  <c:v>0</c:v>
                </c:pt>
                <c:pt idx="913">
                  <c:v>0</c:v>
                </c:pt>
                <c:pt idx="914">
                  <c:v>0</c:v>
                </c:pt>
                <c:pt idx="915">
                  <c:v>0</c:v>
                </c:pt>
                <c:pt idx="916">
                  <c:v>0</c:v>
                </c:pt>
                <c:pt idx="917">
                  <c:v>0</c:v>
                </c:pt>
                <c:pt idx="918">
                  <c:v>0</c:v>
                </c:pt>
                <c:pt idx="919">
                  <c:v>0</c:v>
                </c:pt>
                <c:pt idx="920">
                  <c:v>0</c:v>
                </c:pt>
                <c:pt idx="921">
                  <c:v>0</c:v>
                </c:pt>
                <c:pt idx="922">
                  <c:v>0</c:v>
                </c:pt>
                <c:pt idx="923">
                  <c:v>0</c:v>
                </c:pt>
                <c:pt idx="924">
                  <c:v>0</c:v>
                </c:pt>
                <c:pt idx="925">
                  <c:v>0</c:v>
                </c:pt>
                <c:pt idx="926">
                  <c:v>0</c:v>
                </c:pt>
                <c:pt idx="927">
                  <c:v>0</c:v>
                </c:pt>
                <c:pt idx="928">
                  <c:v>0</c:v>
                </c:pt>
                <c:pt idx="929">
                  <c:v>0</c:v>
                </c:pt>
                <c:pt idx="930">
                  <c:v>0</c:v>
                </c:pt>
                <c:pt idx="931">
                  <c:v>0</c:v>
                </c:pt>
                <c:pt idx="932">
                  <c:v>0</c:v>
                </c:pt>
                <c:pt idx="933">
                  <c:v>0</c:v>
                </c:pt>
                <c:pt idx="934">
                  <c:v>0</c:v>
                </c:pt>
                <c:pt idx="935">
                  <c:v>0</c:v>
                </c:pt>
                <c:pt idx="936">
                  <c:v>0</c:v>
                </c:pt>
                <c:pt idx="937">
                  <c:v>0</c:v>
                </c:pt>
                <c:pt idx="938">
                  <c:v>0</c:v>
                </c:pt>
                <c:pt idx="939">
                  <c:v>0</c:v>
                </c:pt>
                <c:pt idx="940">
                  <c:v>0</c:v>
                </c:pt>
                <c:pt idx="941">
                  <c:v>0</c:v>
                </c:pt>
                <c:pt idx="942">
                  <c:v>0</c:v>
                </c:pt>
                <c:pt idx="943">
                  <c:v>0</c:v>
                </c:pt>
                <c:pt idx="944">
                  <c:v>0</c:v>
                </c:pt>
                <c:pt idx="945">
                  <c:v>0</c:v>
                </c:pt>
                <c:pt idx="946">
                  <c:v>0</c:v>
                </c:pt>
                <c:pt idx="947">
                  <c:v>0</c:v>
                </c:pt>
                <c:pt idx="948">
                  <c:v>0</c:v>
                </c:pt>
                <c:pt idx="949">
                  <c:v>0</c:v>
                </c:pt>
                <c:pt idx="950">
                  <c:v>0</c:v>
                </c:pt>
                <c:pt idx="951">
                  <c:v>0</c:v>
                </c:pt>
                <c:pt idx="952">
                  <c:v>0</c:v>
                </c:pt>
                <c:pt idx="953">
                  <c:v>0</c:v>
                </c:pt>
                <c:pt idx="954">
                  <c:v>0</c:v>
                </c:pt>
                <c:pt idx="955">
                  <c:v>0</c:v>
                </c:pt>
                <c:pt idx="956">
                  <c:v>0</c:v>
                </c:pt>
                <c:pt idx="957">
                  <c:v>0</c:v>
                </c:pt>
                <c:pt idx="958">
                  <c:v>0</c:v>
                </c:pt>
                <c:pt idx="959">
                  <c:v>0</c:v>
                </c:pt>
                <c:pt idx="960">
                  <c:v>0</c:v>
                </c:pt>
                <c:pt idx="961">
                  <c:v>0</c:v>
                </c:pt>
                <c:pt idx="962">
                  <c:v>0</c:v>
                </c:pt>
                <c:pt idx="963">
                  <c:v>0</c:v>
                </c:pt>
                <c:pt idx="964">
                  <c:v>0</c:v>
                </c:pt>
                <c:pt idx="965">
                  <c:v>0</c:v>
                </c:pt>
                <c:pt idx="966">
                  <c:v>0</c:v>
                </c:pt>
                <c:pt idx="967">
                  <c:v>0</c:v>
                </c:pt>
                <c:pt idx="968">
                  <c:v>0</c:v>
                </c:pt>
                <c:pt idx="969">
                  <c:v>0</c:v>
                </c:pt>
                <c:pt idx="970">
                  <c:v>0</c:v>
                </c:pt>
                <c:pt idx="971">
                  <c:v>0</c:v>
                </c:pt>
                <c:pt idx="972">
                  <c:v>0</c:v>
                </c:pt>
                <c:pt idx="973">
                  <c:v>0</c:v>
                </c:pt>
                <c:pt idx="974">
                  <c:v>0</c:v>
                </c:pt>
                <c:pt idx="975">
                  <c:v>0</c:v>
                </c:pt>
                <c:pt idx="976">
                  <c:v>0</c:v>
                </c:pt>
                <c:pt idx="977">
                  <c:v>0</c:v>
                </c:pt>
                <c:pt idx="978">
                  <c:v>0</c:v>
                </c:pt>
                <c:pt idx="979">
                  <c:v>0</c:v>
                </c:pt>
                <c:pt idx="980">
                  <c:v>0</c:v>
                </c:pt>
                <c:pt idx="981">
                  <c:v>0</c:v>
                </c:pt>
                <c:pt idx="982">
                  <c:v>0</c:v>
                </c:pt>
                <c:pt idx="983">
                  <c:v>0</c:v>
                </c:pt>
                <c:pt idx="984">
                  <c:v>0</c:v>
                </c:pt>
                <c:pt idx="985">
                  <c:v>0</c:v>
                </c:pt>
                <c:pt idx="986">
                  <c:v>0</c:v>
                </c:pt>
                <c:pt idx="987">
                  <c:v>0</c:v>
                </c:pt>
                <c:pt idx="988">
                  <c:v>0</c:v>
                </c:pt>
                <c:pt idx="989">
                  <c:v>0</c:v>
                </c:pt>
                <c:pt idx="990">
                  <c:v>0</c:v>
                </c:pt>
                <c:pt idx="991">
                  <c:v>0</c:v>
                </c:pt>
                <c:pt idx="992">
                  <c:v>0</c:v>
                </c:pt>
                <c:pt idx="993">
                  <c:v>0</c:v>
                </c:pt>
                <c:pt idx="994">
                  <c:v>0</c:v>
                </c:pt>
                <c:pt idx="995">
                  <c:v>0</c:v>
                </c:pt>
                <c:pt idx="996">
                  <c:v>0</c:v>
                </c:pt>
                <c:pt idx="997">
                  <c:v>0</c:v>
                </c:pt>
                <c:pt idx="998">
                  <c:v>0</c:v>
                </c:pt>
                <c:pt idx="999">
                  <c:v>0</c:v>
                </c:pt>
                <c:pt idx="1000">
                  <c:v>0</c:v>
                </c:pt>
                <c:pt idx="1001">
                  <c:v>0</c:v>
                </c:pt>
                <c:pt idx="1002">
                  <c:v>0</c:v>
                </c:pt>
                <c:pt idx="1003">
                  <c:v>0</c:v>
                </c:pt>
                <c:pt idx="1004">
                  <c:v>0</c:v>
                </c:pt>
                <c:pt idx="1005">
                  <c:v>0</c:v>
                </c:pt>
                <c:pt idx="1006">
                  <c:v>0</c:v>
                </c:pt>
                <c:pt idx="1007">
                  <c:v>0</c:v>
                </c:pt>
                <c:pt idx="1008">
                  <c:v>0</c:v>
                </c:pt>
                <c:pt idx="1009">
                  <c:v>0</c:v>
                </c:pt>
                <c:pt idx="1010">
                  <c:v>0</c:v>
                </c:pt>
                <c:pt idx="1011">
                  <c:v>0</c:v>
                </c:pt>
                <c:pt idx="1012">
                  <c:v>0</c:v>
                </c:pt>
                <c:pt idx="1013">
                  <c:v>0</c:v>
                </c:pt>
                <c:pt idx="1014">
                  <c:v>0</c:v>
                </c:pt>
                <c:pt idx="1015">
                  <c:v>0</c:v>
                </c:pt>
                <c:pt idx="1016">
                  <c:v>0</c:v>
                </c:pt>
                <c:pt idx="1017">
                  <c:v>0</c:v>
                </c:pt>
                <c:pt idx="1018">
                  <c:v>0</c:v>
                </c:pt>
                <c:pt idx="1019">
                  <c:v>0</c:v>
                </c:pt>
                <c:pt idx="1020">
                  <c:v>0</c:v>
                </c:pt>
                <c:pt idx="1021">
                  <c:v>0</c:v>
                </c:pt>
                <c:pt idx="1022">
                  <c:v>0</c:v>
                </c:pt>
                <c:pt idx="1023">
                  <c:v>0</c:v>
                </c:pt>
                <c:pt idx="1024">
                  <c:v>0</c:v>
                </c:pt>
                <c:pt idx="1025">
                  <c:v>0</c:v>
                </c:pt>
                <c:pt idx="1026">
                  <c:v>0</c:v>
                </c:pt>
                <c:pt idx="1027">
                  <c:v>0</c:v>
                </c:pt>
                <c:pt idx="1028">
                  <c:v>0</c:v>
                </c:pt>
                <c:pt idx="1029">
                  <c:v>0</c:v>
                </c:pt>
                <c:pt idx="1030">
                  <c:v>0</c:v>
                </c:pt>
                <c:pt idx="1031">
                  <c:v>0</c:v>
                </c:pt>
                <c:pt idx="1032">
                  <c:v>0</c:v>
                </c:pt>
                <c:pt idx="1033">
                  <c:v>0</c:v>
                </c:pt>
                <c:pt idx="1034">
                  <c:v>0</c:v>
                </c:pt>
                <c:pt idx="1035">
                  <c:v>0</c:v>
                </c:pt>
                <c:pt idx="1036">
                  <c:v>0</c:v>
                </c:pt>
                <c:pt idx="1037">
                  <c:v>0</c:v>
                </c:pt>
                <c:pt idx="1038">
                  <c:v>0</c:v>
                </c:pt>
                <c:pt idx="1039">
                  <c:v>0</c:v>
                </c:pt>
                <c:pt idx="1040">
                  <c:v>0</c:v>
                </c:pt>
                <c:pt idx="1041">
                  <c:v>0</c:v>
                </c:pt>
                <c:pt idx="1042">
                  <c:v>0</c:v>
                </c:pt>
                <c:pt idx="1043">
                  <c:v>0</c:v>
                </c:pt>
                <c:pt idx="1044">
                  <c:v>0</c:v>
                </c:pt>
                <c:pt idx="1045">
                  <c:v>0</c:v>
                </c:pt>
                <c:pt idx="1046">
                  <c:v>0</c:v>
                </c:pt>
                <c:pt idx="1047">
                  <c:v>0</c:v>
                </c:pt>
                <c:pt idx="1048">
                  <c:v>0</c:v>
                </c:pt>
                <c:pt idx="1049">
                  <c:v>0</c:v>
                </c:pt>
                <c:pt idx="1050">
                  <c:v>0</c:v>
                </c:pt>
                <c:pt idx="1051">
                  <c:v>0</c:v>
                </c:pt>
                <c:pt idx="1052">
                  <c:v>0</c:v>
                </c:pt>
                <c:pt idx="1053">
                  <c:v>0</c:v>
                </c:pt>
                <c:pt idx="1054">
                  <c:v>0</c:v>
                </c:pt>
                <c:pt idx="1055">
                  <c:v>0</c:v>
                </c:pt>
                <c:pt idx="1056">
                  <c:v>0</c:v>
                </c:pt>
                <c:pt idx="1057">
                  <c:v>0</c:v>
                </c:pt>
                <c:pt idx="1058">
                  <c:v>0</c:v>
                </c:pt>
                <c:pt idx="1059">
                  <c:v>0</c:v>
                </c:pt>
                <c:pt idx="1060">
                  <c:v>0</c:v>
                </c:pt>
                <c:pt idx="1061">
                  <c:v>0</c:v>
                </c:pt>
                <c:pt idx="1062">
                  <c:v>0</c:v>
                </c:pt>
                <c:pt idx="1063">
                  <c:v>0</c:v>
                </c:pt>
                <c:pt idx="1064">
                  <c:v>0</c:v>
                </c:pt>
                <c:pt idx="1065">
                  <c:v>0</c:v>
                </c:pt>
                <c:pt idx="1066">
                  <c:v>0</c:v>
                </c:pt>
                <c:pt idx="1067">
                  <c:v>0</c:v>
                </c:pt>
                <c:pt idx="1068">
                  <c:v>0</c:v>
                </c:pt>
                <c:pt idx="1069">
                  <c:v>0</c:v>
                </c:pt>
                <c:pt idx="1070">
                  <c:v>0</c:v>
                </c:pt>
                <c:pt idx="1071">
                  <c:v>0</c:v>
                </c:pt>
                <c:pt idx="1072">
                  <c:v>0</c:v>
                </c:pt>
                <c:pt idx="1073">
                  <c:v>0</c:v>
                </c:pt>
                <c:pt idx="1074">
                  <c:v>0</c:v>
                </c:pt>
                <c:pt idx="1075">
                  <c:v>0</c:v>
                </c:pt>
                <c:pt idx="1076">
                  <c:v>0</c:v>
                </c:pt>
                <c:pt idx="1077">
                  <c:v>0</c:v>
                </c:pt>
                <c:pt idx="1078">
                  <c:v>0</c:v>
                </c:pt>
                <c:pt idx="1079">
                  <c:v>0</c:v>
                </c:pt>
                <c:pt idx="1080">
                  <c:v>0</c:v>
                </c:pt>
                <c:pt idx="1081">
                  <c:v>0</c:v>
                </c:pt>
                <c:pt idx="1082">
                  <c:v>0</c:v>
                </c:pt>
                <c:pt idx="1083">
                  <c:v>0</c:v>
                </c:pt>
                <c:pt idx="1084">
                  <c:v>0</c:v>
                </c:pt>
                <c:pt idx="1085">
                  <c:v>0</c:v>
                </c:pt>
                <c:pt idx="1086">
                  <c:v>0</c:v>
                </c:pt>
                <c:pt idx="1087">
                  <c:v>0</c:v>
                </c:pt>
                <c:pt idx="1088">
                  <c:v>0</c:v>
                </c:pt>
                <c:pt idx="1089">
                  <c:v>0</c:v>
                </c:pt>
                <c:pt idx="1090">
                  <c:v>0</c:v>
                </c:pt>
                <c:pt idx="1091">
                  <c:v>0</c:v>
                </c:pt>
                <c:pt idx="1092">
                  <c:v>0</c:v>
                </c:pt>
                <c:pt idx="1093">
                  <c:v>0</c:v>
                </c:pt>
                <c:pt idx="1094">
                  <c:v>0</c:v>
                </c:pt>
                <c:pt idx="1095">
                  <c:v>0</c:v>
                </c:pt>
                <c:pt idx="1096">
                  <c:v>0</c:v>
                </c:pt>
                <c:pt idx="1097">
                  <c:v>0</c:v>
                </c:pt>
                <c:pt idx="1098">
                  <c:v>0</c:v>
                </c:pt>
                <c:pt idx="1099">
                  <c:v>0</c:v>
                </c:pt>
                <c:pt idx="1100">
                  <c:v>0</c:v>
                </c:pt>
                <c:pt idx="1101">
                  <c:v>0</c:v>
                </c:pt>
                <c:pt idx="1102">
                  <c:v>0</c:v>
                </c:pt>
                <c:pt idx="1103">
                  <c:v>0</c:v>
                </c:pt>
                <c:pt idx="1104">
                  <c:v>0</c:v>
                </c:pt>
                <c:pt idx="1105">
                  <c:v>0</c:v>
                </c:pt>
                <c:pt idx="1106">
                  <c:v>0</c:v>
                </c:pt>
                <c:pt idx="1107">
                  <c:v>0</c:v>
                </c:pt>
                <c:pt idx="1108">
                  <c:v>0</c:v>
                </c:pt>
                <c:pt idx="1109">
                  <c:v>0</c:v>
                </c:pt>
                <c:pt idx="1110">
                  <c:v>0</c:v>
                </c:pt>
                <c:pt idx="1111">
                  <c:v>0</c:v>
                </c:pt>
                <c:pt idx="1112">
                  <c:v>0</c:v>
                </c:pt>
                <c:pt idx="1113">
                  <c:v>0</c:v>
                </c:pt>
                <c:pt idx="1114">
                  <c:v>0</c:v>
                </c:pt>
                <c:pt idx="1115">
                  <c:v>0</c:v>
                </c:pt>
                <c:pt idx="1116">
                  <c:v>0</c:v>
                </c:pt>
                <c:pt idx="1117">
                  <c:v>0</c:v>
                </c:pt>
                <c:pt idx="1118">
                  <c:v>0</c:v>
                </c:pt>
                <c:pt idx="1119">
                  <c:v>0</c:v>
                </c:pt>
                <c:pt idx="1120">
                  <c:v>0</c:v>
                </c:pt>
                <c:pt idx="1121">
                  <c:v>0</c:v>
                </c:pt>
                <c:pt idx="1122">
                  <c:v>0</c:v>
                </c:pt>
                <c:pt idx="1123">
                  <c:v>0</c:v>
                </c:pt>
                <c:pt idx="1124">
                  <c:v>0</c:v>
                </c:pt>
                <c:pt idx="1125">
                  <c:v>0</c:v>
                </c:pt>
                <c:pt idx="1126">
                  <c:v>0</c:v>
                </c:pt>
                <c:pt idx="1127">
                  <c:v>0</c:v>
                </c:pt>
                <c:pt idx="1128">
                  <c:v>0</c:v>
                </c:pt>
                <c:pt idx="1129">
                  <c:v>0</c:v>
                </c:pt>
                <c:pt idx="1130">
                  <c:v>0</c:v>
                </c:pt>
                <c:pt idx="1131">
                  <c:v>0</c:v>
                </c:pt>
                <c:pt idx="1132">
                  <c:v>0</c:v>
                </c:pt>
                <c:pt idx="1133">
                  <c:v>0</c:v>
                </c:pt>
                <c:pt idx="1134">
                  <c:v>0</c:v>
                </c:pt>
                <c:pt idx="1135">
                  <c:v>0</c:v>
                </c:pt>
                <c:pt idx="1136">
                  <c:v>0</c:v>
                </c:pt>
                <c:pt idx="1137">
                  <c:v>0</c:v>
                </c:pt>
                <c:pt idx="1138">
                  <c:v>0</c:v>
                </c:pt>
                <c:pt idx="1139">
                  <c:v>0</c:v>
                </c:pt>
                <c:pt idx="1140">
                  <c:v>0</c:v>
                </c:pt>
                <c:pt idx="1141">
                  <c:v>0</c:v>
                </c:pt>
                <c:pt idx="1142">
                  <c:v>0</c:v>
                </c:pt>
                <c:pt idx="1143">
                  <c:v>0</c:v>
                </c:pt>
                <c:pt idx="1144">
                  <c:v>0</c:v>
                </c:pt>
                <c:pt idx="1145">
                  <c:v>0</c:v>
                </c:pt>
                <c:pt idx="1146">
                  <c:v>0</c:v>
                </c:pt>
                <c:pt idx="1147">
                  <c:v>0</c:v>
                </c:pt>
                <c:pt idx="1148">
                  <c:v>0</c:v>
                </c:pt>
                <c:pt idx="1149">
                  <c:v>0</c:v>
                </c:pt>
                <c:pt idx="1150">
                  <c:v>0</c:v>
                </c:pt>
                <c:pt idx="1151">
                  <c:v>0</c:v>
                </c:pt>
                <c:pt idx="1152">
                  <c:v>0</c:v>
                </c:pt>
                <c:pt idx="1153">
                  <c:v>0</c:v>
                </c:pt>
                <c:pt idx="1154">
                  <c:v>0</c:v>
                </c:pt>
                <c:pt idx="1155">
                  <c:v>0</c:v>
                </c:pt>
                <c:pt idx="1156">
                  <c:v>0</c:v>
                </c:pt>
                <c:pt idx="1157">
                  <c:v>0</c:v>
                </c:pt>
                <c:pt idx="1158">
                  <c:v>0</c:v>
                </c:pt>
                <c:pt idx="1159">
                  <c:v>0</c:v>
                </c:pt>
                <c:pt idx="1160">
                  <c:v>0</c:v>
                </c:pt>
                <c:pt idx="1161">
                  <c:v>0</c:v>
                </c:pt>
                <c:pt idx="1162">
                  <c:v>0</c:v>
                </c:pt>
                <c:pt idx="1163">
                  <c:v>0</c:v>
                </c:pt>
                <c:pt idx="1164">
                  <c:v>0</c:v>
                </c:pt>
                <c:pt idx="1165">
                  <c:v>0</c:v>
                </c:pt>
                <c:pt idx="1166">
                  <c:v>0</c:v>
                </c:pt>
                <c:pt idx="1167">
                  <c:v>0</c:v>
                </c:pt>
                <c:pt idx="1168">
                  <c:v>0</c:v>
                </c:pt>
                <c:pt idx="1169">
                  <c:v>0</c:v>
                </c:pt>
                <c:pt idx="1170">
                  <c:v>0</c:v>
                </c:pt>
                <c:pt idx="1171">
                  <c:v>0</c:v>
                </c:pt>
                <c:pt idx="1172">
                  <c:v>0</c:v>
                </c:pt>
                <c:pt idx="1173">
                  <c:v>0</c:v>
                </c:pt>
                <c:pt idx="1174">
                  <c:v>0</c:v>
                </c:pt>
                <c:pt idx="1175">
                  <c:v>0</c:v>
                </c:pt>
                <c:pt idx="1176">
                  <c:v>0</c:v>
                </c:pt>
                <c:pt idx="1177">
                  <c:v>0</c:v>
                </c:pt>
                <c:pt idx="1178">
                  <c:v>0</c:v>
                </c:pt>
                <c:pt idx="1179">
                  <c:v>0</c:v>
                </c:pt>
                <c:pt idx="1180">
                  <c:v>0</c:v>
                </c:pt>
                <c:pt idx="1181">
                  <c:v>0</c:v>
                </c:pt>
                <c:pt idx="1182">
                  <c:v>0</c:v>
                </c:pt>
                <c:pt idx="1183">
                  <c:v>0</c:v>
                </c:pt>
                <c:pt idx="1184">
                  <c:v>0</c:v>
                </c:pt>
                <c:pt idx="1185">
                  <c:v>0</c:v>
                </c:pt>
                <c:pt idx="1186">
                  <c:v>0</c:v>
                </c:pt>
                <c:pt idx="1187">
                  <c:v>0</c:v>
                </c:pt>
                <c:pt idx="1188">
                  <c:v>0</c:v>
                </c:pt>
                <c:pt idx="1189">
                  <c:v>0</c:v>
                </c:pt>
                <c:pt idx="1190">
                  <c:v>0</c:v>
                </c:pt>
                <c:pt idx="1191">
                  <c:v>0</c:v>
                </c:pt>
                <c:pt idx="1192">
                  <c:v>0</c:v>
                </c:pt>
                <c:pt idx="1193">
                  <c:v>0</c:v>
                </c:pt>
                <c:pt idx="1194">
                  <c:v>0</c:v>
                </c:pt>
                <c:pt idx="1195">
                  <c:v>0</c:v>
                </c:pt>
                <c:pt idx="1196">
                  <c:v>0</c:v>
                </c:pt>
                <c:pt idx="1197">
                  <c:v>0</c:v>
                </c:pt>
                <c:pt idx="1198">
                  <c:v>0</c:v>
                </c:pt>
                <c:pt idx="1199">
                  <c:v>0</c:v>
                </c:pt>
              </c:numCache>
            </c:numRef>
          </c:yVal>
          <c:smooth val="0"/>
          <c:extLst>
            <c:ext xmlns:c16="http://schemas.microsoft.com/office/drawing/2014/chart" uri="{C3380CC4-5D6E-409C-BE32-E72D297353CC}">
              <c16:uniqueId val="{00000023-1870-4810-9A39-24D6FCF8F1F9}"/>
            </c:ext>
          </c:extLst>
        </c:ser>
        <c:ser>
          <c:idx val="17"/>
          <c:order val="17"/>
          <c:spPr>
            <a:ln w="15875" cap="rnd">
              <a:solidFill>
                <a:schemeClr val="bg2"/>
              </a:solidFill>
              <a:round/>
            </a:ln>
            <a:effectLst/>
          </c:spPr>
          <c:marker>
            <c:symbol val="none"/>
          </c:marker>
          <c:xVal>
            <c:numRef>
              <c:f>'Roof edge insulation'!$CX$79:$CX$80</c:f>
              <c:numCache>
                <c:formatCode>General</c:formatCode>
                <c:ptCount val="2"/>
                <c:pt idx="0">
                  <c:v>600</c:v>
                </c:pt>
                <c:pt idx="1">
                  <c:v>1200</c:v>
                </c:pt>
              </c:numCache>
            </c:numRef>
          </c:xVal>
          <c:yVal>
            <c:numRef>
              <c:f>'Roof edge insulation'!$CY$79:$CY$80</c:f>
              <c:numCache>
                <c:formatCode>0</c:formatCode>
                <c:ptCount val="2"/>
                <c:pt idx="0">
                  <c:v>0</c:v>
                </c:pt>
                <c:pt idx="1">
                  <c:v>0</c:v>
                </c:pt>
              </c:numCache>
            </c:numRef>
          </c:yVal>
          <c:smooth val="0"/>
          <c:extLst>
            <c:ext xmlns:c16="http://schemas.microsoft.com/office/drawing/2014/chart" uri="{C3380CC4-5D6E-409C-BE32-E72D297353CC}">
              <c16:uniqueId val="{00000024-1870-4810-9A39-24D6FCF8F1F9}"/>
            </c:ext>
          </c:extLst>
        </c:ser>
        <c:ser>
          <c:idx val="18"/>
          <c:order val="18"/>
          <c:tx>
            <c:strRef>
              <c:f>'Roof edge insulation'!$CY$85</c:f>
              <c:strCache>
                <c:ptCount val="1"/>
                <c:pt idx="0">
                  <c:v>Segment 1</c:v>
                </c:pt>
              </c:strCache>
            </c:strRef>
          </c:tx>
          <c:spPr>
            <a:ln w="25400" cap="rnd">
              <a:noFill/>
              <a:round/>
            </a:ln>
            <a:effectLst/>
          </c:spPr>
          <c:marker>
            <c:symbol val="none"/>
          </c:marker>
          <c:dLbls>
            <c:dLbl>
              <c:idx val="0"/>
              <c:tx>
                <c:rich>
                  <a:bodyPr rot="0" spcFirstLastPara="1" vertOverflow="overflow" horzOverflow="overflow" vert="horz" wrap="square" lIns="38100" tIns="19050" rIns="38100" bIns="19050" anchor="b" anchorCtr="0">
                    <a:spAutoFit/>
                  </a:bodyPr>
                  <a:lstStyle/>
                  <a:p>
                    <a:pPr>
                      <a:defRPr sz="900" b="0" i="0" u="none" strike="noStrike" kern="1200" baseline="0">
                        <a:solidFill>
                          <a:schemeClr val="tx1">
                            <a:lumMod val="75000"/>
                            <a:lumOff val="25000"/>
                          </a:schemeClr>
                        </a:solidFill>
                        <a:latin typeface="+mn-lt"/>
                        <a:ea typeface="+mn-ea"/>
                        <a:cs typeface="+mn-cs"/>
                      </a:defRPr>
                    </a:pPr>
                    <a:r>
                      <a:rPr lang="en-US" sz="1200" b="1"/>
                      <a:t>Segment 1</a:t>
                    </a:r>
                  </a:p>
                </c:rich>
              </c:tx>
              <c:spPr>
                <a:solidFill>
                  <a:schemeClr val="bg2"/>
                </a:solidFill>
                <a:ln>
                  <a:solidFill>
                    <a:schemeClr val="tx1"/>
                  </a:solidFill>
                </a:ln>
                <a:effectLst/>
              </c:spPr>
              <c:txPr>
                <a:bodyPr rot="0" spcFirstLastPara="1" vertOverflow="overflow" horzOverflow="overflow" vert="horz" wrap="square" lIns="38100" tIns="19050" rIns="38100" bIns="19050" anchor="b" anchorCtr="0">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r"/>
              <c:showLegendKey val="0"/>
              <c:showVal val="0"/>
              <c:showCatName val="0"/>
              <c:showSerName val="1"/>
              <c:showPercent val="0"/>
              <c:showBubbleSize val="0"/>
              <c:extLst>
                <c:ext xmlns:c15="http://schemas.microsoft.com/office/drawing/2012/chart" uri="{CE6537A1-D6FC-4f65-9D91-7224C49458BB}">
                  <c15:showDataLabelsRange val="0"/>
                </c:ext>
                <c:ext xmlns:c16="http://schemas.microsoft.com/office/drawing/2014/chart" uri="{C3380CC4-5D6E-409C-BE32-E72D297353CC}">
                  <c16:uniqueId val="{00000025-1870-4810-9A39-24D6FCF8F1F9}"/>
                </c:ext>
              </c:extLst>
            </c:dLbl>
            <c:spPr>
              <a:solidFill>
                <a:schemeClr val="bg2"/>
              </a:solidFill>
              <a:ln>
                <a:solidFill>
                  <a:schemeClr val="tx1"/>
                </a:solidFill>
              </a:ln>
              <a:effectLst/>
            </c:spPr>
            <c:txPr>
              <a:bodyPr rot="0" spcFirstLastPara="1" vertOverflow="ellipsis" vert="horz" wrap="square" lIns="38100" tIns="19050" rIns="38100" bIns="19050" anchor="b" anchorCtr="0">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dLblPos val="b"/>
            <c:showLegendKey val="0"/>
            <c:showVal val="1"/>
            <c:showCatName val="0"/>
            <c:showSerName val="0"/>
            <c:showPercent val="0"/>
            <c:showBubbleSize val="0"/>
            <c:showLeaderLines val="0"/>
            <c:extLst>
              <c:ext xmlns:c15="http://schemas.microsoft.com/office/drawing/2012/chart" uri="{CE6537A1-D6FC-4f65-9D91-7224C49458BB}">
                <c15:showLeaderLines val="0"/>
              </c:ext>
            </c:extLst>
          </c:dLbls>
          <c:xVal>
            <c:numRef>
              <c:f>'Roof edge insulation'!$CX$86</c:f>
              <c:numCache>
                <c:formatCode>General</c:formatCode>
                <c:ptCount val="1"/>
                <c:pt idx="0">
                  <c:v>5</c:v>
                </c:pt>
              </c:numCache>
            </c:numRef>
          </c:xVal>
          <c:yVal>
            <c:numRef>
              <c:f>'Roof edge insulation'!$CY$86</c:f>
              <c:numCache>
                <c:formatCode>General</c:formatCode>
                <c:ptCount val="1"/>
                <c:pt idx="0">
                  <c:v>25</c:v>
                </c:pt>
              </c:numCache>
            </c:numRef>
          </c:yVal>
          <c:smooth val="0"/>
          <c:extLst>
            <c:ext xmlns:c16="http://schemas.microsoft.com/office/drawing/2014/chart" uri="{C3380CC4-5D6E-409C-BE32-E72D297353CC}">
              <c16:uniqueId val="{00000026-1870-4810-9A39-24D6FCF8F1F9}"/>
            </c:ext>
          </c:extLst>
        </c:ser>
        <c:ser>
          <c:idx val="19"/>
          <c:order val="19"/>
          <c:tx>
            <c:strRef>
              <c:f>'Roof edge insulation'!$CY$87</c:f>
              <c:strCache>
                <c:ptCount val="1"/>
                <c:pt idx="0">
                  <c:v>Segment 2</c:v>
                </c:pt>
              </c:strCache>
            </c:strRef>
          </c:tx>
          <c:spPr>
            <a:ln w="19050" cap="rnd">
              <a:solidFill>
                <a:schemeClr val="accent2">
                  <a:lumMod val="80000"/>
                </a:schemeClr>
              </a:solidFill>
              <a:round/>
            </a:ln>
            <a:effectLst/>
          </c:spPr>
          <c:marker>
            <c:symbol val="none"/>
          </c:marker>
          <c:dLbls>
            <c:dLbl>
              <c:idx val="0"/>
              <c:tx>
                <c:rich>
                  <a:bodyPr/>
                  <a:lstStyle/>
                  <a:p>
                    <a:fld id="{273A283D-A6F6-487E-9EA1-33F76612C6F5}" type="SERIESNAME">
                      <a:rPr lang="en-US" sz="1200" b="1"/>
                      <a:pPr/>
                      <a:t>[SERIES NAME]</a:t>
                    </a:fld>
                    <a:endParaRPr lang="en-NZ"/>
                  </a:p>
                </c:rich>
              </c:tx>
              <c:showLegendKey val="0"/>
              <c:showVal val="0"/>
              <c:showCatName val="0"/>
              <c:showSerName val="1"/>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7-1870-4810-9A39-24D6FCF8F1F9}"/>
                </c:ext>
              </c:extLst>
            </c:dLbl>
            <c:spPr>
              <a:solidFill>
                <a:schemeClr val="bg2"/>
              </a:solidFill>
              <a:ln>
                <a:solidFill>
                  <a:schemeClr val="tx1"/>
                </a:solid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1"/>
                <c15:leaderLines>
                  <c:spPr>
                    <a:ln w="9525" cap="flat" cmpd="sng" algn="ctr">
                      <a:solidFill>
                        <a:schemeClr val="tx1">
                          <a:lumMod val="35000"/>
                          <a:lumOff val="65000"/>
                        </a:schemeClr>
                      </a:solidFill>
                      <a:round/>
                    </a:ln>
                    <a:effectLst/>
                  </c:spPr>
                </c15:leaderLines>
              </c:ext>
            </c:extLst>
          </c:dLbls>
          <c:xVal>
            <c:numRef>
              <c:f>'Roof edge insulation'!$CX$88</c:f>
              <c:numCache>
                <c:formatCode>General</c:formatCode>
                <c:ptCount val="1"/>
                <c:pt idx="0">
                  <c:v>605</c:v>
                </c:pt>
              </c:numCache>
            </c:numRef>
          </c:xVal>
          <c:yVal>
            <c:numRef>
              <c:f>'Roof edge insulation'!$CY$88</c:f>
              <c:numCache>
                <c:formatCode>General</c:formatCode>
                <c:ptCount val="1"/>
                <c:pt idx="0">
                  <c:v>25</c:v>
                </c:pt>
              </c:numCache>
            </c:numRef>
          </c:yVal>
          <c:smooth val="0"/>
          <c:extLst>
            <c:ext xmlns:c16="http://schemas.microsoft.com/office/drawing/2014/chart" uri="{C3380CC4-5D6E-409C-BE32-E72D297353CC}">
              <c16:uniqueId val="{00000028-1870-4810-9A39-24D6FCF8F1F9}"/>
            </c:ext>
          </c:extLst>
        </c:ser>
        <c:ser>
          <c:idx val="20"/>
          <c:order val="20"/>
          <c:tx>
            <c:strRef>
              <c:f>'Roof edge insulation'!$CY$89</c:f>
              <c:strCache>
                <c:ptCount val="1"/>
                <c:pt idx="0">
                  <c:v>Segment 3</c:v>
                </c:pt>
              </c:strCache>
            </c:strRef>
          </c:tx>
          <c:spPr>
            <a:ln w="19050" cap="rnd">
              <a:solidFill>
                <a:schemeClr val="accent3">
                  <a:lumMod val="80000"/>
                </a:schemeClr>
              </a:solidFill>
              <a:round/>
            </a:ln>
            <a:effectLst/>
          </c:spPr>
          <c:marker>
            <c:symbol val="none"/>
          </c:marker>
          <c:dLbls>
            <c:dLbl>
              <c:idx val="0"/>
              <c:tx>
                <c:rich>
                  <a:bodyPr rot="0" spcFirstLastPara="1" vertOverflow="ellipsis" vert="horz" wrap="square" lIns="38100" tIns="19050" rIns="38100" bIns="19050" anchor="ctr" anchorCtr="1">
                    <a:spAutoFit/>
                  </a:bodyPr>
                  <a:lstStyle/>
                  <a:p>
                    <a:pPr>
                      <a:defRPr sz="1200" b="0" i="0" u="none" strike="noStrike" kern="1200" baseline="0">
                        <a:solidFill>
                          <a:schemeClr val="tx1">
                            <a:lumMod val="75000"/>
                            <a:lumOff val="25000"/>
                          </a:schemeClr>
                        </a:solidFill>
                        <a:latin typeface="+mn-lt"/>
                        <a:ea typeface="+mn-ea"/>
                        <a:cs typeface="+mn-cs"/>
                      </a:defRPr>
                    </a:pPr>
                    <a:fld id="{E2FD18A0-B8C6-41A5-9455-D6846AC697AF}" type="SERIESNAME">
                      <a:rPr lang="en-US" b="1"/>
                      <a:pPr>
                        <a:defRPr sz="1200"/>
                      </a:pPr>
                      <a:t>[SERIES NAME]</a:t>
                    </a:fld>
                    <a:endParaRPr lang="en-NZ"/>
                  </a:p>
                </c:rich>
              </c:tx>
              <c:spPr>
                <a:solidFill>
                  <a:schemeClr val="bg2"/>
                </a:solidFill>
                <a:ln>
                  <a:solidFill>
                    <a:schemeClr val="tx1"/>
                  </a:solidFill>
                </a:ln>
                <a:effectLst/>
              </c:spPr>
              <c:txPr>
                <a:bodyPr rot="0" spcFirstLastPara="1" vertOverflow="ellipsis" vert="horz" wrap="square" lIns="38100" tIns="19050" rIns="38100" bIns="19050" anchor="ctr" anchorCtr="1">
                  <a:spAutoFit/>
                </a:bodyPr>
                <a:lstStyle/>
                <a:p>
                  <a:pPr>
                    <a:defRPr sz="1200" b="0" i="0" u="none" strike="noStrike" kern="1200" baseline="0">
                      <a:solidFill>
                        <a:schemeClr val="tx1">
                          <a:lumMod val="75000"/>
                          <a:lumOff val="25000"/>
                        </a:schemeClr>
                      </a:solidFill>
                      <a:latin typeface="+mn-lt"/>
                      <a:ea typeface="+mn-ea"/>
                      <a:cs typeface="+mn-cs"/>
                    </a:defRPr>
                  </a:pPr>
                  <a:endParaRPr lang="en-NZ"/>
                </a:p>
              </c:txPr>
              <c:showLegendKey val="0"/>
              <c:showVal val="0"/>
              <c:showCatName val="0"/>
              <c:showSerName val="1"/>
              <c:showPercent val="0"/>
              <c:showBubbleSize val="0"/>
              <c:extLst>
                <c:ext xmlns:c15="http://schemas.microsoft.com/office/drawing/2012/chart" uri="{CE6537A1-D6FC-4f65-9D91-7224C49458BB}">
                  <c15:dlblFieldTable/>
                  <c15:showDataLabelsRange val="0"/>
                </c:ext>
                <c:ext xmlns:c16="http://schemas.microsoft.com/office/drawing/2014/chart" uri="{C3380CC4-5D6E-409C-BE32-E72D297353CC}">
                  <c16:uniqueId val="{00000029-1870-4810-9A39-24D6FCF8F1F9}"/>
                </c:ext>
              </c:extLst>
            </c:dLbl>
            <c:spPr>
              <a:solidFill>
                <a:schemeClr val="bg2"/>
              </a:solidFill>
              <a:ln>
                <a:solidFill>
                  <a:schemeClr val="tx1"/>
                </a:solidFill>
              </a:ln>
              <a:effectLst/>
            </c:spPr>
            <c:txPr>
              <a:bodyPr rot="0" spcFirstLastPara="1" vertOverflow="ellipsis" vert="horz" wrap="square" lIns="38100" tIns="19050" rIns="38100" bIns="19050" anchor="ctr" anchorCtr="1">
                <a:spAutoFit/>
              </a:bodyPr>
              <a:lstStyle/>
              <a:p>
                <a:pPr>
                  <a:defRPr sz="900" b="0" i="0" u="none" strike="noStrike" kern="1200" baseline="0">
                    <a:solidFill>
                      <a:schemeClr val="tx1">
                        <a:lumMod val="75000"/>
                        <a:lumOff val="25000"/>
                      </a:schemeClr>
                    </a:solidFill>
                    <a:latin typeface="+mn-lt"/>
                    <a:ea typeface="+mn-ea"/>
                    <a:cs typeface="+mn-cs"/>
                  </a:defRPr>
                </a:pPr>
                <a:endParaRPr lang="en-US"/>
              </a:p>
            </c:txPr>
            <c:showLegendKey val="0"/>
            <c:showVal val="0"/>
            <c:showCatName val="0"/>
            <c:showSerName val="1"/>
            <c:showPercent val="0"/>
            <c:showBubbleSize val="0"/>
            <c:showLeaderLines val="0"/>
            <c:extLst>
              <c:ext xmlns:c15="http://schemas.microsoft.com/office/drawing/2012/chart" uri="{CE6537A1-D6FC-4f65-9D91-7224C49458BB}">
                <c15:showLeaderLines val="0"/>
              </c:ext>
            </c:extLst>
          </c:dLbls>
          <c:xVal>
            <c:numRef>
              <c:f>'Roof edge insulation'!$CX$90</c:f>
              <c:numCache>
                <c:formatCode>General</c:formatCode>
                <c:ptCount val="1"/>
                <c:pt idx="0">
                  <c:v>605</c:v>
                </c:pt>
              </c:numCache>
            </c:numRef>
          </c:xVal>
          <c:yVal>
            <c:numRef>
              <c:f>'Roof edge insulation'!$CY$90</c:f>
              <c:numCache>
                <c:formatCode>General</c:formatCode>
                <c:ptCount val="1"/>
                <c:pt idx="0">
                  <c:v>25</c:v>
                </c:pt>
              </c:numCache>
            </c:numRef>
          </c:yVal>
          <c:smooth val="0"/>
          <c:extLst>
            <c:ext xmlns:c16="http://schemas.microsoft.com/office/drawing/2014/chart" uri="{C3380CC4-5D6E-409C-BE32-E72D297353CC}">
              <c16:uniqueId val="{0000002A-1870-4810-9A39-24D6FCF8F1F9}"/>
            </c:ext>
          </c:extLst>
        </c:ser>
        <c:dLbls>
          <c:showLegendKey val="0"/>
          <c:showVal val="0"/>
          <c:showCatName val="0"/>
          <c:showSerName val="0"/>
          <c:showPercent val="0"/>
          <c:showBubbleSize val="0"/>
        </c:dLbls>
        <c:axId val="470431407"/>
        <c:axId val="470429487"/>
      </c:scatterChart>
      <c:valAx>
        <c:axId val="1467372448"/>
        <c:scaling>
          <c:orientation val="minMax"/>
          <c:max val="1200"/>
          <c:min val="-100"/>
        </c:scaling>
        <c:delete val="1"/>
        <c:axPos val="b"/>
        <c:numFmt formatCode="0" sourceLinked="1"/>
        <c:majorTickMark val="none"/>
        <c:minorTickMark val="none"/>
        <c:tickLblPos val="none"/>
        <c:crossAx val="1467387808"/>
        <c:crossesAt val="0"/>
        <c:crossBetween val="midCat"/>
        <c:majorUnit val="100"/>
        <c:minorUnit val="50"/>
      </c:valAx>
      <c:valAx>
        <c:axId val="1467387808"/>
        <c:scaling>
          <c:orientation val="minMax"/>
          <c:max val="600"/>
          <c:min val="0"/>
        </c:scaling>
        <c:delete val="0"/>
        <c:axPos val="l"/>
        <c:numFmt formatCode="General" sourceLinked="1"/>
        <c:majorTickMark val="none"/>
        <c:minorTickMark val="none"/>
        <c:tickLblPos val="none"/>
        <c:spPr>
          <a:noFill/>
          <a:ln w="1587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1467372448"/>
        <c:crossesAt val="-100"/>
        <c:crossBetween val="midCat"/>
        <c:majorUnit val="100"/>
        <c:minorUnit val="50"/>
      </c:valAx>
      <c:valAx>
        <c:axId val="470429487"/>
        <c:scaling>
          <c:orientation val="minMax"/>
          <c:max val="600"/>
          <c:min val="0"/>
        </c:scaling>
        <c:delete val="0"/>
        <c:axPos val="l"/>
        <c:numFmt formatCode="0" sourceLinked="1"/>
        <c:majorTickMark val="none"/>
        <c:minorTickMark val="none"/>
        <c:tickLblPos val="none"/>
        <c:spPr>
          <a:noFill/>
          <a:ln w="1587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70431407"/>
        <c:crossesAt val="1200"/>
        <c:crossBetween val="between"/>
        <c:majorUnit val="100"/>
      </c:valAx>
      <c:catAx>
        <c:axId val="470431407"/>
        <c:scaling>
          <c:orientation val="minMax"/>
        </c:scaling>
        <c:delete val="0"/>
        <c:axPos val="b"/>
        <c:numFmt formatCode="General" sourceLinked="1"/>
        <c:majorTickMark val="out"/>
        <c:minorTickMark val="none"/>
        <c:tickLblPos val="none"/>
        <c:spPr>
          <a:noFill/>
          <a:ln w="15875" cap="flat" cmpd="sng" algn="ctr">
            <a:no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470429487"/>
        <c:crossesAt val="0"/>
        <c:auto val="1"/>
        <c:lblAlgn val="ctr"/>
        <c:lblOffset val="100"/>
        <c:tickLblSkip val="100"/>
        <c:noMultiLvlLbl val="0"/>
      </c:catAx>
      <c:spPr>
        <a:solidFill>
          <a:schemeClr val="bg2"/>
        </a:solidFill>
        <a:ln w="0">
          <a:solidFill>
            <a:schemeClr val="bg2"/>
          </a:solidFill>
        </a:ln>
        <a:effectLst/>
      </c:spPr>
    </c:plotArea>
    <c:plotVisOnly val="1"/>
    <c:dispBlanksAs val="gap"/>
    <c:showDLblsOverMax val="0"/>
    <c:extLst>
      <c:ext xmlns:c16r3="http://schemas.microsoft.com/office/drawing/2017/03/chart" uri="{56B9EC1D-385E-4148-901F-78D8002777C0}">
        <c16r3:dataDisplayOptions16>
          <c16r3:dispNaAsBlank val="1"/>
        </c16r3:dataDisplayOptions16>
      </c:ext>
    </c:extLst>
  </c:chart>
  <c:spPr>
    <a:solidFill>
      <a:schemeClr val="bg2"/>
    </a:solidFill>
    <a:ln w="12700" cap="rnd" cmpd="sng" algn="ctr">
      <a:solidFill>
        <a:schemeClr val="bg2"/>
      </a:solidFill>
      <a:round/>
    </a:ln>
    <a:effectLst/>
  </c:spPr>
  <c:txPr>
    <a:bodyPr/>
    <a:lstStyle/>
    <a:p>
      <a:pPr>
        <a:defRPr/>
      </a:pPr>
      <a:endParaRPr lang="en-US"/>
    </a:p>
  </c:txPr>
  <c:printSettings>
    <c:headerFooter/>
    <c:pageMargins b="0.75" l="0.7" r="0.7" t="0.75" header="0.3" footer="0.3"/>
    <c:pageSetup orientation="portrait"/>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n-US"/>
  <c:roundedCorners val="0"/>
  <mc:AlternateContent xmlns:mc="http://schemas.openxmlformats.org/markup-compatibility/2006">
    <mc:Choice xmlns:c14="http://schemas.microsoft.com/office/drawing/2007/8/2/chart" Requires="c14">
      <c14:style val="102"/>
    </mc:Choice>
    <mc:Fallback>
      <c:style val="2"/>
    </mc:Fallback>
  </mc:AlternateContent>
  <c:chart>
    <c:title>
      <c:overlay val="0"/>
      <c:spPr>
        <a:noFill/>
        <a:ln>
          <a:noFill/>
        </a:ln>
        <a:effectLst/>
      </c:spPr>
      <c:txPr>
        <a:bodyPr rot="0" spcFirstLastPara="1" vertOverflow="ellipsis" vert="horz" wrap="square" anchor="ctr" anchorCtr="1"/>
        <a:lstStyle/>
        <a:p>
          <a:pPr>
            <a:defRPr sz="1400" b="0" i="0" u="none" strike="noStrike" kern="1200" spc="0" baseline="0">
              <a:solidFill>
                <a:schemeClr val="tx1">
                  <a:lumMod val="65000"/>
                  <a:lumOff val="35000"/>
                </a:schemeClr>
              </a:solidFill>
              <a:latin typeface="+mn-lt"/>
              <a:ea typeface="+mn-ea"/>
              <a:cs typeface="+mn-cs"/>
            </a:defRPr>
          </a:pPr>
          <a:endParaRPr lang="en-US"/>
        </a:p>
      </c:txPr>
    </c:title>
    <c:autoTitleDeleted val="0"/>
    <c:plotArea>
      <c:layout/>
      <c:scatterChart>
        <c:scatterStyle val="smoothMarker"/>
        <c:varyColors val="0"/>
        <c:ser>
          <c:idx val="0"/>
          <c:order val="0"/>
          <c:spPr>
            <a:ln w="19050" cap="rnd">
              <a:solidFill>
                <a:schemeClr val="accent1"/>
              </a:solidFill>
              <a:round/>
            </a:ln>
            <a:effectLst/>
          </c:spPr>
          <c:marker>
            <c:symbol val="none"/>
          </c:marker>
          <c:xVal>
            <c:numRef>
              <c:f>'Slab floors'!$CS$6:$CS$60</c:f>
            </c:numRef>
          </c:xVal>
          <c:yVal>
            <c:numRef>
              <c:f>'Slab floors'!$CT$6:$CT$60</c:f>
            </c:numRef>
          </c:yVal>
          <c:smooth val="1"/>
          <c:extLst>
            <c:ext xmlns:c16="http://schemas.microsoft.com/office/drawing/2014/chart" uri="{C3380CC4-5D6E-409C-BE32-E72D297353CC}">
              <c16:uniqueId val="{00000000-3173-47CF-B70A-0165A15BCC59}"/>
            </c:ext>
          </c:extLst>
        </c:ser>
        <c:dLbls>
          <c:showLegendKey val="0"/>
          <c:showVal val="0"/>
          <c:showCatName val="0"/>
          <c:showSerName val="0"/>
          <c:showPercent val="0"/>
          <c:showBubbleSize val="0"/>
        </c:dLbls>
        <c:axId val="729337695"/>
        <c:axId val="729338175"/>
      </c:scatterChart>
      <c:valAx>
        <c:axId val="729337695"/>
        <c:scaling>
          <c:orientation val="minMax"/>
          <c:max val="10"/>
        </c:scaling>
        <c:delete val="0"/>
        <c:axPos val="b"/>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29338175"/>
        <c:crosses val="autoZero"/>
        <c:crossBetween val="midCat"/>
      </c:valAx>
      <c:valAx>
        <c:axId val="729338175"/>
        <c:scaling>
          <c:orientation val="minMax"/>
          <c:max val="5"/>
          <c:min val="0"/>
        </c:scaling>
        <c:delete val="0"/>
        <c:axPos val="l"/>
        <c:majorGridlines>
          <c:spPr>
            <a:ln w="9525" cap="flat" cmpd="sng" algn="ctr">
              <a:solidFill>
                <a:schemeClr val="tx1">
                  <a:lumMod val="15000"/>
                  <a:lumOff val="85000"/>
                </a:schemeClr>
              </a:solidFill>
              <a:round/>
            </a:ln>
            <a:effectLst/>
          </c:spPr>
        </c:majorGridlines>
        <c:numFmt formatCode="0.0" sourceLinked="1"/>
        <c:majorTickMark val="none"/>
        <c:minorTickMark val="none"/>
        <c:tickLblPos val="nextTo"/>
        <c:spPr>
          <a:noFill/>
          <a:ln w="9525" cap="flat" cmpd="sng" algn="ctr">
            <a:solidFill>
              <a:schemeClr val="tx1">
                <a:lumMod val="25000"/>
                <a:lumOff val="7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n-US"/>
          </a:p>
        </c:txPr>
        <c:crossAx val="729337695"/>
        <c:crosses val="autoZero"/>
        <c:crossBetween val="midCat"/>
      </c:valAx>
      <c:spPr>
        <a:noFill/>
        <a:ln>
          <a:noFill/>
        </a:ln>
        <a:effectLst/>
      </c:spPr>
    </c:plotArea>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n-US"/>
    </a:p>
  </c:txPr>
  <c:printSettings>
    <c:headerFooter/>
    <c:pageMargins b="0.75" l="0.7" r="0.7" t="0.75" header="0.3" footer="0.3"/>
    <c:pageSetup/>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colors2.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harts/style2.xml><?xml version="1.0" encoding="utf-8"?>
<cs:chartStyle xmlns:cs="http://schemas.microsoft.com/office/drawing/2012/chartStyle" xmlns:a="http://schemas.openxmlformats.org/drawingml/2006/main" id="240">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19050"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0"/>
    <cs:effectRef idx="0"/>
    <cs:fontRef idx="minor">
      <a:schemeClr val="dk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tx1"/>
    </cs:fontRef>
    <cs:spPr>
      <a:solidFill>
        <a:schemeClr val="dk1">
          <a:lumMod val="75000"/>
          <a:lumOff val="25000"/>
        </a:schemeClr>
      </a:solidFill>
      <a:ln w="9525" cap="flat" cmpd="sng" algn="ctr">
        <a:solidFill>
          <a:schemeClr val="tx1">
            <a:lumMod val="65000"/>
            <a:lumOff val="35000"/>
          </a:schemeClr>
        </a:solidFill>
        <a:round/>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50000"/>
            <a:lumOff val="50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tx1"/>
    </cs:fontRef>
    <cs:spPr>
      <a:solidFill>
        <a:schemeClr val="lt1"/>
      </a:solidFill>
      <a:ln w="9525" cap="flat" cmpd="sng" algn="ctr">
        <a:solidFill>
          <a:schemeClr val="tx1">
            <a:lumMod val="65000"/>
            <a:lumOff val="35000"/>
          </a:schemeClr>
        </a:solidFill>
        <a:round/>
      </a:ln>
    </cs:spPr>
  </cs:upBar>
  <cs:valueAxis>
    <cs:lnRef idx="0"/>
    <cs:fillRef idx="0"/>
    <cs:effectRef idx="0"/>
    <cs:fontRef idx="minor">
      <a:schemeClr val="tx1">
        <a:lumMod val="65000"/>
        <a:lumOff val="35000"/>
      </a:schemeClr>
    </cs:fontRef>
    <cs:spPr>
      <a:ln w="9525" cap="flat" cmpd="sng" algn="ctr">
        <a:solidFill>
          <a:schemeClr val="tx1">
            <a:lumMod val="25000"/>
            <a:lumOff val="75000"/>
          </a:schemeClr>
        </a:solidFill>
        <a:round/>
      </a:ln>
    </cs:spPr>
    <cs:defRPr sz="900" kern="1200"/>
  </cs:valueAxis>
  <cs:wall>
    <cs:lnRef idx="0"/>
    <cs:fillRef idx="0"/>
    <cs:effectRef idx="0"/>
    <cs:fontRef idx="minor">
      <a:schemeClr val="tx1"/>
    </cs:fontRef>
    <cs:spPr>
      <a:noFill/>
      <a:ln>
        <a:noFill/>
      </a:ln>
    </cs:spPr>
  </cs:wall>
</cs:chartStyle>
</file>

<file path=xl/ctrlProps/ctrlProp1.xml><?xml version="1.0" encoding="utf-8"?>
<formControlPr xmlns="http://schemas.microsoft.com/office/spreadsheetml/2009/9/main" objectType="List" dx="22" fmlaLink="$B$12" fmlaRange="$C$14:$C$19" sel="1" val="0"/>
</file>

<file path=xl/ctrlProps/ctrlProp2.xml><?xml version="1.0" encoding="utf-8"?>
<formControlPr xmlns="http://schemas.microsoft.com/office/spreadsheetml/2009/9/main" objectType="List" dx="22" fmlaLink="$I$12" fmlaRange="$J$14:$J$17" sel="1" val="0"/>
</file>

<file path=xl/drawings/_rels/drawing2.xml.rels><?xml version="1.0" encoding="UTF-8" standalone="yes"?>
<Relationships xmlns="http://schemas.openxmlformats.org/package/2006/relationships"><Relationship Id="rId2" Type="http://schemas.openxmlformats.org/officeDocument/2006/relationships/image" Target="../media/image1113.png"/><Relationship Id="rId1" Type="http://schemas.openxmlformats.org/officeDocument/2006/relationships/chart" Target="../charts/chart1.xml"/></Relationships>
</file>

<file path=xl/drawings/_rels/drawing6.xml.rels><?xml version="1.0" encoding="UTF-8" standalone="yes"?>
<Relationships xmlns="http://schemas.openxmlformats.org/package/2006/relationships"><Relationship Id="rId1" Type="http://schemas.openxmlformats.org/officeDocument/2006/relationships/chart" Target="../charts/chart2.xml"/></Relationships>
</file>

<file path=xl/drawings/_rels/drawing7.xml.rels><?xml version="1.0" encoding="UTF-8" standalone="yes"?>
<Relationships xmlns="http://schemas.openxmlformats.org/package/2006/relationships"><Relationship Id="rId2" Type="http://schemas.openxmlformats.org/officeDocument/2006/relationships/image" Target="../media/image1159.png"/><Relationship Id="rId1" Type="http://schemas.openxmlformats.org/officeDocument/2006/relationships/image" Target="../media/image1158.png"/></Relationships>
</file>

<file path=xl/drawings/_rels/vmlDrawing1.vml.rels><?xml version="1.0" encoding="UTF-8" standalone="yes"?>
<Relationships xmlns="http://schemas.openxmlformats.org/package/2006/relationships"><Relationship Id="rId8" Type="http://schemas.openxmlformats.org/officeDocument/2006/relationships/image" Target="../media/image1099.emf"/><Relationship Id="rId13" Type="http://schemas.openxmlformats.org/officeDocument/2006/relationships/image" Target="../media/image1096.emf"/><Relationship Id="rId3" Type="http://schemas.openxmlformats.org/officeDocument/2006/relationships/image" Target="../media/image1090.emf"/><Relationship Id="rId7" Type="http://schemas.openxmlformats.org/officeDocument/2006/relationships/image" Target="../media/image1094.emf"/><Relationship Id="rId12" Type="http://schemas.openxmlformats.org/officeDocument/2006/relationships/image" Target="../media/image1097.emf"/><Relationship Id="rId2" Type="http://schemas.openxmlformats.org/officeDocument/2006/relationships/image" Target="../media/image1095.emf"/><Relationship Id="rId1" Type="http://schemas.openxmlformats.org/officeDocument/2006/relationships/image" Target="../media/image1089.emf"/><Relationship Id="rId6" Type="http://schemas.openxmlformats.org/officeDocument/2006/relationships/image" Target="../media/image1098.emf"/><Relationship Id="rId11" Type="http://schemas.openxmlformats.org/officeDocument/2006/relationships/image" Target="../media/image1102.emf"/><Relationship Id="rId5" Type="http://schemas.openxmlformats.org/officeDocument/2006/relationships/image" Target="../media/image1092.emf"/><Relationship Id="rId15" Type="http://schemas.openxmlformats.org/officeDocument/2006/relationships/image" Target="../media/image1103.emf"/><Relationship Id="rId10" Type="http://schemas.openxmlformats.org/officeDocument/2006/relationships/image" Target="../media/image1101.emf"/><Relationship Id="rId4" Type="http://schemas.openxmlformats.org/officeDocument/2006/relationships/image" Target="../media/image1091.emf"/><Relationship Id="rId9" Type="http://schemas.openxmlformats.org/officeDocument/2006/relationships/image" Target="../media/image1100.emf"/><Relationship Id="rId14" Type="http://schemas.openxmlformats.org/officeDocument/2006/relationships/image" Target="../media/image1093.emf"/></Relationships>
</file>

<file path=xl/drawings/_rels/vmlDrawing2.vml.rels><?xml version="1.0" encoding="UTF-8" standalone="yes"?>
<Relationships xmlns="http://schemas.openxmlformats.org/package/2006/relationships"><Relationship Id="rId8" Type="http://schemas.openxmlformats.org/officeDocument/2006/relationships/image" Target="../media/image1111.emf"/><Relationship Id="rId3" Type="http://schemas.openxmlformats.org/officeDocument/2006/relationships/image" Target="../media/image1106.emf"/><Relationship Id="rId7" Type="http://schemas.openxmlformats.org/officeDocument/2006/relationships/image" Target="../media/image1110.emf"/><Relationship Id="rId2" Type="http://schemas.openxmlformats.org/officeDocument/2006/relationships/image" Target="../media/image1105.emf"/><Relationship Id="rId1" Type="http://schemas.openxmlformats.org/officeDocument/2006/relationships/image" Target="../media/image1104.emf"/><Relationship Id="rId6" Type="http://schemas.openxmlformats.org/officeDocument/2006/relationships/image" Target="../media/image1109.emf"/><Relationship Id="rId5" Type="http://schemas.openxmlformats.org/officeDocument/2006/relationships/image" Target="../media/image1108.emf"/><Relationship Id="rId10" Type="http://schemas.openxmlformats.org/officeDocument/2006/relationships/image" Target="../media/image1101.emf"/><Relationship Id="rId4" Type="http://schemas.openxmlformats.org/officeDocument/2006/relationships/image" Target="../media/image1107.emf"/><Relationship Id="rId9" Type="http://schemas.openxmlformats.org/officeDocument/2006/relationships/image" Target="../media/image1112.emf"/></Relationships>
</file>

<file path=xl/drawings/_rels/vmlDrawing3.vml.rels><?xml version="1.0" encoding="UTF-8" standalone="yes"?>
<Relationships xmlns="http://schemas.openxmlformats.org/package/2006/relationships"><Relationship Id="rId8" Type="http://schemas.openxmlformats.org/officeDocument/2006/relationships/image" Target="../media/image1120.emf"/><Relationship Id="rId3" Type="http://schemas.openxmlformats.org/officeDocument/2006/relationships/image" Target="../media/image1116.emf"/><Relationship Id="rId7" Type="http://schemas.openxmlformats.org/officeDocument/2006/relationships/image" Target="../media/image1119.emf"/><Relationship Id="rId2" Type="http://schemas.openxmlformats.org/officeDocument/2006/relationships/image" Target="../media/image1115.emf"/><Relationship Id="rId1" Type="http://schemas.openxmlformats.org/officeDocument/2006/relationships/image" Target="../media/image1114.emf"/><Relationship Id="rId6" Type="http://schemas.openxmlformats.org/officeDocument/2006/relationships/image" Target="../media/image1122.emf"/><Relationship Id="rId5" Type="http://schemas.openxmlformats.org/officeDocument/2006/relationships/image" Target="../media/image1118.emf"/><Relationship Id="rId10" Type="http://schemas.openxmlformats.org/officeDocument/2006/relationships/image" Target="../media/image1100.emf"/><Relationship Id="rId4" Type="http://schemas.openxmlformats.org/officeDocument/2006/relationships/image" Target="../media/image1117.emf"/><Relationship Id="rId9" Type="http://schemas.openxmlformats.org/officeDocument/2006/relationships/image" Target="../media/image1121.emf"/></Relationships>
</file>

<file path=xl/drawings/_rels/vmlDrawing4.vml.rels><?xml version="1.0" encoding="UTF-8" standalone="yes"?>
<Relationships xmlns="http://schemas.openxmlformats.org/package/2006/relationships"><Relationship Id="rId8" Type="http://schemas.openxmlformats.org/officeDocument/2006/relationships/image" Target="../media/image1131.emf"/><Relationship Id="rId13" Type="http://schemas.openxmlformats.org/officeDocument/2006/relationships/image" Target="../media/image1123.emf"/><Relationship Id="rId18" Type="http://schemas.openxmlformats.org/officeDocument/2006/relationships/image" Target="../media/image1134.emf"/><Relationship Id="rId3" Type="http://schemas.openxmlformats.org/officeDocument/2006/relationships/image" Target="../media/image1126.emf"/><Relationship Id="rId7" Type="http://schemas.openxmlformats.org/officeDocument/2006/relationships/image" Target="../media/image1100.emf"/><Relationship Id="rId12" Type="http://schemas.openxmlformats.org/officeDocument/2006/relationships/image" Target="../media/image1139.emf"/><Relationship Id="rId17" Type="http://schemas.openxmlformats.org/officeDocument/2006/relationships/image" Target="../media/image1136.emf"/><Relationship Id="rId2" Type="http://schemas.openxmlformats.org/officeDocument/2006/relationships/image" Target="../media/image1125.emf"/><Relationship Id="rId16" Type="http://schemas.openxmlformats.org/officeDocument/2006/relationships/image" Target="../media/image1135.emf"/><Relationship Id="rId1" Type="http://schemas.openxmlformats.org/officeDocument/2006/relationships/image" Target="../media/image1124.emf"/><Relationship Id="rId6" Type="http://schemas.openxmlformats.org/officeDocument/2006/relationships/image" Target="../media/image1128.emf"/><Relationship Id="rId11" Type="http://schemas.openxmlformats.org/officeDocument/2006/relationships/image" Target="../media/image1138.emf"/><Relationship Id="rId5" Type="http://schemas.openxmlformats.org/officeDocument/2006/relationships/image" Target="../media/image1127.emf"/><Relationship Id="rId15" Type="http://schemas.openxmlformats.org/officeDocument/2006/relationships/image" Target="../media/image1133.emf"/><Relationship Id="rId10" Type="http://schemas.openxmlformats.org/officeDocument/2006/relationships/image" Target="../media/image1137.emf"/><Relationship Id="rId19" Type="http://schemas.openxmlformats.org/officeDocument/2006/relationships/image" Target="../media/image1140.emf"/><Relationship Id="rId4" Type="http://schemas.openxmlformats.org/officeDocument/2006/relationships/image" Target="../media/image1129.emf"/><Relationship Id="rId9" Type="http://schemas.openxmlformats.org/officeDocument/2006/relationships/image" Target="../media/image1130.emf"/><Relationship Id="rId14" Type="http://schemas.openxmlformats.org/officeDocument/2006/relationships/image" Target="../media/image1132.emf"/></Relationships>
</file>

<file path=xl/drawings/_rels/vmlDrawing5.vml.rels><?xml version="1.0" encoding="UTF-8" standalone="yes"?>
<Relationships xmlns="http://schemas.openxmlformats.org/package/2006/relationships"><Relationship Id="rId3" Type="http://schemas.openxmlformats.org/officeDocument/2006/relationships/image" Target="../media/image1144.emf"/><Relationship Id="rId2" Type="http://schemas.openxmlformats.org/officeDocument/2006/relationships/image" Target="../media/image1145.emf"/><Relationship Id="rId1" Type="http://schemas.openxmlformats.org/officeDocument/2006/relationships/image" Target="../media/image1146.emf"/><Relationship Id="rId6" Type="http://schemas.openxmlformats.org/officeDocument/2006/relationships/image" Target="../media/image1141.emf"/><Relationship Id="rId5" Type="http://schemas.openxmlformats.org/officeDocument/2006/relationships/image" Target="../media/image1142.emf"/><Relationship Id="rId4" Type="http://schemas.openxmlformats.org/officeDocument/2006/relationships/image" Target="../media/image1143.emf"/></Relationships>
</file>

<file path=xl/drawings/_rels/vmlDrawing6.vml.rels><?xml version="1.0" encoding="UTF-8" standalone="yes"?>
<Relationships xmlns="http://schemas.openxmlformats.org/package/2006/relationships"><Relationship Id="rId3" Type="http://schemas.openxmlformats.org/officeDocument/2006/relationships/image" Target="../media/image1149.emf"/><Relationship Id="rId7" Type="http://schemas.openxmlformats.org/officeDocument/2006/relationships/image" Target="../media/image1153.emf"/><Relationship Id="rId2" Type="http://schemas.openxmlformats.org/officeDocument/2006/relationships/image" Target="../media/image1148.emf"/><Relationship Id="rId1" Type="http://schemas.openxmlformats.org/officeDocument/2006/relationships/image" Target="../media/image1147.emf"/><Relationship Id="rId6" Type="http://schemas.openxmlformats.org/officeDocument/2006/relationships/image" Target="../media/image1152.emf"/><Relationship Id="rId5" Type="http://schemas.openxmlformats.org/officeDocument/2006/relationships/image" Target="../media/image1151.emf"/><Relationship Id="rId4" Type="http://schemas.openxmlformats.org/officeDocument/2006/relationships/image" Target="../media/image1150.emf"/></Relationships>
</file>

<file path=xl/drawings/_rels/vmlDrawing7.vml.rels><?xml version="1.0" encoding="UTF-8" standalone="yes"?>
<Relationships xmlns="http://schemas.openxmlformats.org/package/2006/relationships"><Relationship Id="rId3" Type="http://schemas.openxmlformats.org/officeDocument/2006/relationships/image" Target="../media/image1156.emf"/><Relationship Id="rId2" Type="http://schemas.openxmlformats.org/officeDocument/2006/relationships/image" Target="../media/image1155.emf"/><Relationship Id="rId1" Type="http://schemas.openxmlformats.org/officeDocument/2006/relationships/image" Target="../media/image1154.emf"/><Relationship Id="rId4" Type="http://schemas.openxmlformats.org/officeDocument/2006/relationships/image" Target="../media/image1157.emf"/></Relationships>
</file>

<file path=xl/drawings/drawing1.xml><?xml version="1.0" encoding="utf-8"?>
<xdr:wsDr xmlns:xdr="http://schemas.openxmlformats.org/drawingml/2006/spreadsheetDrawing" xmlns:a="http://schemas.openxmlformats.org/drawingml/2006/main">
  <xdr:twoCellAnchor>
    <xdr:from>
      <xdr:col>110</xdr:col>
      <xdr:colOff>28576</xdr:colOff>
      <xdr:row>23</xdr:row>
      <xdr:rowOff>85725</xdr:rowOff>
    </xdr:from>
    <xdr:to>
      <xdr:col>118</xdr:col>
      <xdr:colOff>200026</xdr:colOff>
      <xdr:row>49</xdr:row>
      <xdr:rowOff>180975</xdr:rowOff>
    </xdr:to>
    <xdr:sp macro="" textlink="">
      <xdr:nvSpPr>
        <xdr:cNvPr id="8" name="Rectangle 7">
          <a:extLst>
            <a:ext uri="{FF2B5EF4-FFF2-40B4-BE49-F238E27FC236}">
              <a16:creationId xmlns:a16="http://schemas.microsoft.com/office/drawing/2014/main" id="{00000000-0008-0000-0000-000008000000}"/>
            </a:ext>
          </a:extLst>
        </xdr:cNvPr>
        <xdr:cNvSpPr/>
      </xdr:nvSpPr>
      <xdr:spPr>
        <a:xfrm>
          <a:off x="13782676" y="4943475"/>
          <a:ext cx="5048250" cy="5295900"/>
        </a:xfrm>
        <a:prstGeom prst="rect">
          <a:avLst/>
        </a:prstGeom>
        <a:noFill/>
        <a:ln w="25400">
          <a:solidFill>
            <a:schemeClr val="accent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112</xdr:col>
      <xdr:colOff>114300</xdr:colOff>
      <xdr:row>12</xdr:row>
      <xdr:rowOff>153761</xdr:rowOff>
    </xdr:from>
    <xdr:to>
      <xdr:col>118</xdr:col>
      <xdr:colOff>533400</xdr:colOff>
      <xdr:row>18</xdr:row>
      <xdr:rowOff>48986</xdr:rowOff>
    </xdr:to>
    <xdr:sp macro="" textlink="">
      <xdr:nvSpPr>
        <xdr:cNvPr id="15" name="TextBox 14">
          <a:extLst>
            <a:ext uri="{FF2B5EF4-FFF2-40B4-BE49-F238E27FC236}">
              <a16:creationId xmlns:a16="http://schemas.microsoft.com/office/drawing/2014/main" id="{00000000-0008-0000-0000-00000F000000}"/>
            </a:ext>
          </a:extLst>
        </xdr:cNvPr>
        <xdr:cNvSpPr txBox="1"/>
      </xdr:nvSpPr>
      <xdr:spPr>
        <a:xfrm>
          <a:off x="58197750" y="2811236"/>
          <a:ext cx="4076700" cy="109537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NZ" sz="1000"/>
            <a:t>The</a:t>
          </a:r>
          <a:r>
            <a:rPr lang="en-NZ" sz="1000" baseline="0"/>
            <a:t> </a:t>
          </a:r>
          <a:r>
            <a:rPr lang="en-NZ" sz="1000"/>
            <a:t>insulation R-value (thickness) around perimeter of a ceiling</a:t>
          </a:r>
          <a:r>
            <a:rPr lang="en-NZ" sz="1000" baseline="0"/>
            <a:t> may need to be reduced </a:t>
          </a:r>
          <a:r>
            <a:rPr lang="en-NZ" sz="1000"/>
            <a:t>to ensure a seperation of at least 25 mm between underside of the roof underlay</a:t>
          </a:r>
          <a:r>
            <a:rPr lang="en-NZ" sz="1000" baseline="0"/>
            <a:t> and the top surface of the insulation. </a:t>
          </a:r>
          <a:r>
            <a:rPr lang="en-NZ" sz="1100" baseline="0">
              <a:solidFill>
                <a:schemeClr val="dk1"/>
              </a:solidFill>
              <a:effectLst/>
              <a:latin typeface="+mn-lt"/>
              <a:ea typeface="+mn-ea"/>
              <a:cs typeface="+mn-cs"/>
            </a:rPr>
            <a:t>The schedule method of H1/AS1 allows the </a:t>
          </a:r>
          <a:r>
            <a:rPr lang="en-NZ" sz="1000" baseline="0"/>
            <a:t>roof R-value in the that area to be reduced to R3.3 for a width of 500 mm. </a:t>
          </a:r>
          <a:endParaRPr lang="en-NZ" sz="1000"/>
        </a:p>
      </xdr:txBody>
    </xdr:sp>
    <xdr:clientData/>
  </xdr:twoCellAnchor>
  <xdr:twoCellAnchor>
    <xdr:from>
      <xdr:col>112</xdr:col>
      <xdr:colOff>12807</xdr:colOff>
      <xdr:row>50</xdr:row>
      <xdr:rowOff>149679</xdr:rowOff>
    </xdr:from>
    <xdr:to>
      <xdr:col>114</xdr:col>
      <xdr:colOff>530678</xdr:colOff>
      <xdr:row>58</xdr:row>
      <xdr:rowOff>81643</xdr:rowOff>
    </xdr:to>
    <xdr:sp macro="" textlink="">
      <xdr:nvSpPr>
        <xdr:cNvPr id="16" name="TextBox 15">
          <a:extLst>
            <a:ext uri="{FF2B5EF4-FFF2-40B4-BE49-F238E27FC236}">
              <a16:creationId xmlns:a16="http://schemas.microsoft.com/office/drawing/2014/main" id="{00000000-0008-0000-0000-000010000000}"/>
            </a:ext>
          </a:extLst>
        </xdr:cNvPr>
        <xdr:cNvSpPr txBox="1"/>
      </xdr:nvSpPr>
      <xdr:spPr>
        <a:xfrm>
          <a:off x="57135593" y="9987643"/>
          <a:ext cx="1742514" cy="1564821"/>
        </a:xfrm>
        <a:prstGeom prst="rect">
          <a:avLst/>
        </a:prstGeom>
        <a:noFill/>
        <a:ln w="9525" cmpd="sng">
          <a:solidFill>
            <a:schemeClr val="bg1">
              <a:lumMod val="9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000">
              <a:solidFill>
                <a:srgbClr val="C00000"/>
              </a:solidFill>
            </a:rPr>
            <a:t>An alternative to reducing the perimeter insulation is to</a:t>
          </a:r>
          <a:r>
            <a:rPr lang="en-NZ" sz="1000" baseline="0">
              <a:solidFill>
                <a:srgbClr val="C00000"/>
              </a:solidFill>
            </a:rPr>
            <a:t> use a raised heel truss</a:t>
          </a:r>
          <a:r>
            <a:rPr lang="en-NZ" sz="1000" baseline="0"/>
            <a:t>.  </a:t>
          </a:r>
        </a:p>
        <a:p>
          <a:pPr algn="l"/>
          <a:r>
            <a:rPr lang="en-NZ" sz="1000" baseline="0"/>
            <a:t>This solution requires a simple correction to the engineering design to account for wind loading on a what is effectively a slightly taller wall.</a:t>
          </a:r>
          <a:endParaRPr lang="en-NZ" sz="1000"/>
        </a:p>
      </xdr:txBody>
    </xdr:sp>
    <xdr:clientData/>
  </xdr:twoCellAnchor>
  <xdr:twoCellAnchor>
    <xdr:from>
      <xdr:col>110</xdr:col>
      <xdr:colOff>47624</xdr:colOff>
      <xdr:row>24</xdr:row>
      <xdr:rowOff>152400</xdr:rowOff>
    </xdr:from>
    <xdr:to>
      <xdr:col>118</xdr:col>
      <xdr:colOff>114299</xdr:colOff>
      <xdr:row>30</xdr:row>
      <xdr:rowOff>171450</xdr:rowOff>
    </xdr:to>
    <xdr:sp macro="" textlink="">
      <xdr:nvSpPr>
        <xdr:cNvPr id="17" name="TextBox 16">
          <a:extLst>
            <a:ext uri="{FF2B5EF4-FFF2-40B4-BE49-F238E27FC236}">
              <a16:creationId xmlns:a16="http://schemas.microsoft.com/office/drawing/2014/main" id="{00000000-0008-0000-0000-000011000000}"/>
            </a:ext>
          </a:extLst>
        </xdr:cNvPr>
        <xdr:cNvSpPr txBox="1"/>
      </xdr:nvSpPr>
      <xdr:spPr>
        <a:xfrm>
          <a:off x="76552424" y="5219700"/>
          <a:ext cx="4943475" cy="1219200"/>
        </a:xfrm>
        <a:prstGeom prst="rect">
          <a:avLst/>
        </a:prstGeom>
        <a:noFill/>
        <a:ln w="9525" cmpd="sng">
          <a:solidFill>
            <a:schemeClr val="bg1">
              <a:lumMod val="9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NZ" sz="900">
              <a:ln>
                <a:noFill/>
              </a:ln>
            </a:rPr>
            <a:t>For</a:t>
          </a:r>
          <a:r>
            <a:rPr lang="en-NZ" sz="900" baseline="0">
              <a:ln>
                <a:noFill/>
              </a:ln>
            </a:rPr>
            <a:t> compliance with the calculation method of </a:t>
          </a:r>
          <a:r>
            <a:rPr lang="en-NZ" sz="900">
              <a:ln>
                <a:noFill/>
              </a:ln>
            </a:rPr>
            <a:t>H1/AS1, clause 2.1.3.7 allows in a general sense</a:t>
          </a:r>
          <a:r>
            <a:rPr lang="en-NZ" sz="900" baseline="0">
              <a:ln>
                <a:noFill/>
              </a:ln>
            </a:rPr>
            <a:t> to calculated the average R-value of a roof or other building component with two or more distinctly different areas or zones, by area averaging the U-values of the separate zones. The following calculation is based on that process but only requires knowledge of the A/P ratio instead of needing to know both the area and perimeter length.</a:t>
          </a:r>
          <a:br>
            <a:rPr lang="en-NZ" sz="900" baseline="0">
              <a:ln>
                <a:noFill/>
              </a:ln>
            </a:rPr>
          </a:br>
          <a:r>
            <a:rPr lang="en-NZ" sz="1100" b="1" baseline="0">
              <a:ln>
                <a:noFill/>
              </a:ln>
              <a:solidFill>
                <a:srgbClr val="FF0000"/>
              </a:solidFill>
            </a:rPr>
            <a:t>To disable correction, set A-P fraction to 0. </a:t>
          </a:r>
          <a:br>
            <a:rPr lang="en-NZ" sz="1100" b="1" baseline="0">
              <a:ln>
                <a:noFill/>
              </a:ln>
              <a:solidFill>
                <a:srgbClr val="FF0000"/>
              </a:solidFill>
            </a:rPr>
          </a:br>
          <a:r>
            <a:rPr lang="en-NZ" sz="1100" b="1" baseline="0">
              <a:ln>
                <a:noFill/>
              </a:ln>
              <a:solidFill>
                <a:srgbClr val="FF0000"/>
              </a:solidFill>
            </a:rPr>
            <a:t>Setting A-P fraction below 1.6 disables calc. &amp; display of overall R-value.</a:t>
          </a:r>
          <a:endParaRPr lang="en-NZ" sz="1100" b="1">
            <a:ln>
              <a:noFill/>
            </a:ln>
            <a:solidFill>
              <a:srgbClr val="FF0000"/>
            </a:solidFill>
          </a:endParaRPr>
        </a:p>
      </xdr:txBody>
    </xdr:sp>
    <xdr:clientData/>
  </xdr:twoCellAnchor>
  <xdr:twoCellAnchor>
    <xdr:from>
      <xdr:col>96</xdr:col>
      <xdr:colOff>457200</xdr:colOff>
      <xdr:row>8</xdr:row>
      <xdr:rowOff>9526</xdr:rowOff>
    </xdr:from>
    <xdr:to>
      <xdr:col>105</xdr:col>
      <xdr:colOff>142875</xdr:colOff>
      <xdr:row>21</xdr:row>
      <xdr:rowOff>104775</xdr:rowOff>
    </xdr:to>
    <xdr:sp macro="" textlink="">
      <xdr:nvSpPr>
        <xdr:cNvPr id="19" name="Rectangle 18">
          <a:extLst>
            <a:ext uri="{FF2B5EF4-FFF2-40B4-BE49-F238E27FC236}">
              <a16:creationId xmlns:a16="http://schemas.microsoft.com/office/drawing/2014/main" id="{00000000-0008-0000-0000-000013000000}"/>
            </a:ext>
          </a:extLst>
        </xdr:cNvPr>
        <xdr:cNvSpPr/>
      </xdr:nvSpPr>
      <xdr:spPr>
        <a:xfrm>
          <a:off x="48787050" y="1866901"/>
          <a:ext cx="5172075" cy="2695574"/>
        </a:xfrm>
        <a:prstGeom prst="rect">
          <a:avLst/>
        </a:prstGeom>
        <a:no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87</xdr:col>
      <xdr:colOff>190501</xdr:colOff>
      <xdr:row>1</xdr:row>
      <xdr:rowOff>1</xdr:rowOff>
    </xdr:from>
    <xdr:to>
      <xdr:col>96</xdr:col>
      <xdr:colOff>190501</xdr:colOff>
      <xdr:row>22</xdr:row>
      <xdr:rowOff>133351</xdr:rowOff>
    </xdr:to>
    <xdr:sp macro="" textlink="">
      <xdr:nvSpPr>
        <xdr:cNvPr id="20" name="Rectangle 19">
          <a:extLst>
            <a:ext uri="{FF2B5EF4-FFF2-40B4-BE49-F238E27FC236}">
              <a16:creationId xmlns:a16="http://schemas.microsoft.com/office/drawing/2014/main" id="{00000000-0008-0000-0000-000014000000}"/>
            </a:ext>
          </a:extLst>
        </xdr:cNvPr>
        <xdr:cNvSpPr/>
      </xdr:nvSpPr>
      <xdr:spPr>
        <a:xfrm>
          <a:off x="190501" y="476251"/>
          <a:ext cx="5219700" cy="4324350"/>
        </a:xfrm>
        <a:prstGeom prst="rect">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mc:AlternateContent xmlns:mc="http://schemas.openxmlformats.org/markup-compatibility/2006">
    <mc:Choice xmlns:a14="http://schemas.microsoft.com/office/drawing/2010/main" Requires="a14">
      <xdr:twoCellAnchor editAs="oneCell">
        <xdr:from>
          <xdr:col>88</xdr:col>
          <xdr:colOff>0</xdr:colOff>
          <xdr:row>12</xdr:row>
          <xdr:rowOff>0</xdr:rowOff>
        </xdr:from>
        <xdr:to>
          <xdr:col>90</xdr:col>
          <xdr:colOff>9525</xdr:colOff>
          <xdr:row>13</xdr:row>
          <xdr:rowOff>38100</xdr:rowOff>
        </xdr:to>
        <xdr:sp macro="" textlink="">
          <xdr:nvSpPr>
            <xdr:cNvPr id="102401" name="ComboBox_1" hidden="1">
              <a:extLst>
                <a:ext uri="{63B3BB69-23CF-44E3-9099-C40C66FF867C}">
                  <a14:compatExt spid="_x0000_s102401"/>
                </a:ext>
                <a:ext uri="{FF2B5EF4-FFF2-40B4-BE49-F238E27FC236}">
                  <a16:creationId xmlns:a16="http://schemas.microsoft.com/office/drawing/2014/main" id="{00000000-0008-0000-0000-00000190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114</xdr:col>
          <xdr:colOff>600075</xdr:colOff>
          <xdr:row>33</xdr:row>
          <xdr:rowOff>0</xdr:rowOff>
        </xdr:from>
        <xdr:to>
          <xdr:col>117</xdr:col>
          <xdr:colOff>0</xdr:colOff>
          <xdr:row>34</xdr:row>
          <xdr:rowOff>38100</xdr:rowOff>
        </xdr:to>
        <xdr:sp macro="" textlink="">
          <xdr:nvSpPr>
            <xdr:cNvPr id="102405" name="ComboBox_10" hidden="1">
              <a:extLst>
                <a:ext uri="{63B3BB69-23CF-44E3-9099-C40C66FF867C}">
                  <a14:compatExt spid="_x0000_s102405"/>
                </a:ext>
                <a:ext uri="{FF2B5EF4-FFF2-40B4-BE49-F238E27FC236}">
                  <a16:creationId xmlns:a16="http://schemas.microsoft.com/office/drawing/2014/main" id="{00000000-0008-0000-0000-00000590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115</xdr:col>
          <xdr:colOff>590550</xdr:colOff>
          <xdr:row>39</xdr:row>
          <xdr:rowOff>180975</xdr:rowOff>
        </xdr:from>
        <xdr:to>
          <xdr:col>117</xdr:col>
          <xdr:colOff>600075</xdr:colOff>
          <xdr:row>41</xdr:row>
          <xdr:rowOff>19050</xdr:rowOff>
        </xdr:to>
        <xdr:sp macro="" textlink="">
          <xdr:nvSpPr>
            <xdr:cNvPr id="102406" name="ComboBox_11" hidden="1">
              <a:extLst>
                <a:ext uri="{63B3BB69-23CF-44E3-9099-C40C66FF867C}">
                  <a14:compatExt spid="_x0000_s102406"/>
                </a:ext>
                <a:ext uri="{FF2B5EF4-FFF2-40B4-BE49-F238E27FC236}">
                  <a16:creationId xmlns:a16="http://schemas.microsoft.com/office/drawing/2014/main" id="{00000000-0008-0000-0000-00000690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114</xdr:col>
          <xdr:colOff>590550</xdr:colOff>
          <xdr:row>30</xdr:row>
          <xdr:rowOff>180975</xdr:rowOff>
        </xdr:from>
        <xdr:to>
          <xdr:col>116</xdr:col>
          <xdr:colOff>600075</xdr:colOff>
          <xdr:row>32</xdr:row>
          <xdr:rowOff>19050</xdr:rowOff>
        </xdr:to>
        <xdr:sp macro="" textlink="">
          <xdr:nvSpPr>
            <xdr:cNvPr id="102407" name="ComboBox_9" hidden="1">
              <a:extLst>
                <a:ext uri="{63B3BB69-23CF-44E3-9099-C40C66FF867C}">
                  <a14:compatExt spid="_x0000_s102407"/>
                </a:ext>
                <a:ext uri="{FF2B5EF4-FFF2-40B4-BE49-F238E27FC236}">
                  <a16:creationId xmlns:a16="http://schemas.microsoft.com/office/drawing/2014/main" id="{00000000-0008-0000-0000-00000790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100</xdr:col>
          <xdr:colOff>0</xdr:colOff>
          <xdr:row>11</xdr:row>
          <xdr:rowOff>161925</xdr:rowOff>
        </xdr:from>
        <xdr:to>
          <xdr:col>102</xdr:col>
          <xdr:colOff>9525</xdr:colOff>
          <xdr:row>13</xdr:row>
          <xdr:rowOff>0</xdr:rowOff>
        </xdr:to>
        <xdr:sp macro="" textlink="">
          <xdr:nvSpPr>
            <xdr:cNvPr id="102409" name="ComboBox_8" hidden="1">
              <a:extLst>
                <a:ext uri="{63B3BB69-23CF-44E3-9099-C40C66FF867C}">
                  <a14:compatExt spid="_x0000_s102409"/>
                </a:ext>
                <a:ext uri="{FF2B5EF4-FFF2-40B4-BE49-F238E27FC236}">
                  <a16:creationId xmlns:a16="http://schemas.microsoft.com/office/drawing/2014/main" id="{00000000-0008-0000-0000-00000990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100</xdr:col>
          <xdr:colOff>0</xdr:colOff>
          <xdr:row>8</xdr:row>
          <xdr:rowOff>180975</xdr:rowOff>
        </xdr:from>
        <xdr:to>
          <xdr:col>102</xdr:col>
          <xdr:colOff>9525</xdr:colOff>
          <xdr:row>10</xdr:row>
          <xdr:rowOff>19050</xdr:rowOff>
        </xdr:to>
        <xdr:sp macro="" textlink="">
          <xdr:nvSpPr>
            <xdr:cNvPr id="102410" name="ComboBox_7" hidden="1">
              <a:extLst>
                <a:ext uri="{63B3BB69-23CF-44E3-9099-C40C66FF867C}">
                  <a14:compatExt spid="_x0000_s102410"/>
                </a:ext>
                <a:ext uri="{FF2B5EF4-FFF2-40B4-BE49-F238E27FC236}">
                  <a16:creationId xmlns:a16="http://schemas.microsoft.com/office/drawing/2014/main" id="{00000000-0008-0000-0000-00000A90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xdr:from>
      <xdr:col>112</xdr:col>
      <xdr:colOff>40821</xdr:colOff>
      <xdr:row>59</xdr:row>
      <xdr:rowOff>190501</xdr:rowOff>
    </xdr:from>
    <xdr:to>
      <xdr:col>115</xdr:col>
      <xdr:colOff>1</xdr:colOff>
      <xdr:row>63</xdr:row>
      <xdr:rowOff>188901</xdr:rowOff>
    </xdr:to>
    <xdr:sp macro="" textlink="">
      <xdr:nvSpPr>
        <xdr:cNvPr id="27" name="TextBox 26">
          <a:extLst>
            <a:ext uri="{FF2B5EF4-FFF2-40B4-BE49-F238E27FC236}">
              <a16:creationId xmlns:a16="http://schemas.microsoft.com/office/drawing/2014/main" id="{00000000-0008-0000-0000-00001B000000}"/>
            </a:ext>
          </a:extLst>
        </xdr:cNvPr>
        <xdr:cNvSpPr txBox="1"/>
      </xdr:nvSpPr>
      <xdr:spPr>
        <a:xfrm>
          <a:off x="57163607" y="11865430"/>
          <a:ext cx="1796144" cy="814828"/>
        </a:xfrm>
        <a:prstGeom prst="rect">
          <a:avLst/>
        </a:prstGeom>
        <a:noFill/>
        <a:ln w="9525" cmpd="sng">
          <a:solidFill>
            <a:schemeClr val="bg1">
              <a:lumMod val="95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000">
              <a:solidFill>
                <a:srgbClr val="C00000"/>
              </a:solidFill>
            </a:rPr>
            <a:t>Another alternative is to add</a:t>
          </a:r>
          <a:r>
            <a:rPr lang="en-NZ" sz="1000" baseline="0">
              <a:solidFill>
                <a:srgbClr val="C00000"/>
              </a:solidFill>
            </a:rPr>
            <a:t> an interior secondary insulation layer (ISIL)</a:t>
          </a:r>
          <a:r>
            <a:rPr lang="en-NZ" sz="1000" baseline="0"/>
            <a:t>.  </a:t>
          </a:r>
        </a:p>
      </xdr:txBody>
    </xdr:sp>
    <xdr:clientData/>
  </xdr:twoCellAnchor>
  <xdr:twoCellAnchor>
    <xdr:from>
      <xdr:col>120</xdr:col>
      <xdr:colOff>449122</xdr:colOff>
      <xdr:row>32</xdr:row>
      <xdr:rowOff>44935</xdr:rowOff>
    </xdr:from>
    <xdr:to>
      <xdr:col>124</xdr:col>
      <xdr:colOff>487134</xdr:colOff>
      <xdr:row>41</xdr:row>
      <xdr:rowOff>80412</xdr:rowOff>
    </xdr:to>
    <xdr:grpSp>
      <xdr:nvGrpSpPr>
        <xdr:cNvPr id="2" name="Group 1">
          <a:extLst>
            <a:ext uri="{FF2B5EF4-FFF2-40B4-BE49-F238E27FC236}">
              <a16:creationId xmlns:a16="http://schemas.microsoft.com/office/drawing/2014/main" id="{00000000-0008-0000-0000-000002000000}"/>
            </a:ext>
          </a:extLst>
        </xdr:cNvPr>
        <xdr:cNvGrpSpPr/>
      </xdr:nvGrpSpPr>
      <xdr:grpSpPr>
        <a:xfrm>
          <a:off x="20299222" y="6712435"/>
          <a:ext cx="2476412" cy="1835702"/>
          <a:chOff x="82297568" y="4598656"/>
          <a:chExt cx="2525398" cy="1873039"/>
        </a:xfrm>
        <a:solidFill>
          <a:srgbClr val="FFFFFF"/>
        </a:solidFill>
      </xdr:grpSpPr>
      <xdr:sp macro="" textlink="">
        <xdr:nvSpPr>
          <xdr:cNvPr id="29" name="Speech Bubble: Oval 28">
            <a:extLst>
              <a:ext uri="{FF2B5EF4-FFF2-40B4-BE49-F238E27FC236}">
                <a16:creationId xmlns:a16="http://schemas.microsoft.com/office/drawing/2014/main" id="{00000000-0008-0000-0000-00001D000000}"/>
              </a:ext>
            </a:extLst>
          </xdr:cNvPr>
          <xdr:cNvSpPr/>
        </xdr:nvSpPr>
        <xdr:spPr>
          <a:xfrm rot="10800000">
            <a:off x="82297568" y="4598656"/>
            <a:ext cx="2525398" cy="1873039"/>
          </a:xfrm>
          <a:prstGeom prst="wedgeEllipseCallout">
            <a:avLst>
              <a:gd name="adj1" fmla="val 93715"/>
              <a:gd name="adj2" fmla="val -34116"/>
            </a:avLst>
          </a:prstGeom>
          <a:grp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sp macro="" textlink="">
        <xdr:nvSpPr>
          <xdr:cNvPr id="30" name="TextBox 29">
            <a:extLst>
              <a:ext uri="{FF2B5EF4-FFF2-40B4-BE49-F238E27FC236}">
                <a16:creationId xmlns:a16="http://schemas.microsoft.com/office/drawing/2014/main" id="{00000000-0008-0000-0000-00001E000000}"/>
              </a:ext>
            </a:extLst>
          </xdr:cNvPr>
          <xdr:cNvSpPr txBox="1"/>
        </xdr:nvSpPr>
        <xdr:spPr>
          <a:xfrm>
            <a:off x="82660369" y="4951275"/>
            <a:ext cx="2104572" cy="138977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NZ" sz="1100" b="0" baseline="0">
                <a:solidFill>
                  <a:schemeClr val="dk1"/>
                </a:solidFill>
                <a:effectLst/>
                <a:latin typeface="+mn-lt"/>
                <a:ea typeface="+mn-ea"/>
                <a:cs typeface="+mn-cs"/>
              </a:rPr>
              <a:t>if insulation is needing to be compressed or shaped to fit then </a:t>
            </a:r>
            <a:r>
              <a:rPr lang="en-NZ" sz="1200" b="0" baseline="0">
                <a:solidFill>
                  <a:schemeClr val="dk1"/>
                </a:solidFill>
                <a:effectLst/>
                <a:latin typeface="+mn-lt"/>
                <a:ea typeface="+mn-ea"/>
                <a:cs typeface="+mn-cs"/>
              </a:rPr>
              <a:t>g</a:t>
            </a:r>
            <a:r>
              <a:rPr lang="en-NZ" sz="1200" b="0"/>
              <a:t>et perimeter insulation compressed</a:t>
            </a:r>
            <a:r>
              <a:rPr lang="en-NZ" sz="1200" b="0" baseline="0"/>
              <a:t> R-value using Roof edge insulation sheet</a:t>
            </a:r>
            <a:endParaRPr lang="en-NZ" sz="1200" b="0"/>
          </a:p>
        </xdr:txBody>
      </xdr:sp>
    </xdr:grpSp>
    <xdr:clientData/>
  </xdr:twoCellAnchor>
  <mc:AlternateContent xmlns:mc="http://schemas.openxmlformats.org/markup-compatibility/2006">
    <mc:Choice xmlns:a14="http://schemas.microsoft.com/office/drawing/2010/main" Requires="a14">
      <xdr:twoCellAnchor editAs="oneCell">
        <xdr:from>
          <xdr:col>93</xdr:col>
          <xdr:colOff>0</xdr:colOff>
          <xdr:row>8</xdr:row>
          <xdr:rowOff>171450</xdr:rowOff>
        </xdr:from>
        <xdr:to>
          <xdr:col>96</xdr:col>
          <xdr:colOff>38100</xdr:colOff>
          <xdr:row>10</xdr:row>
          <xdr:rowOff>9525</xdr:rowOff>
        </xdr:to>
        <xdr:sp macro="" textlink="">
          <xdr:nvSpPr>
            <xdr:cNvPr id="102402" name="ComboBox_4" hidden="1">
              <a:extLst>
                <a:ext uri="{63B3BB69-23CF-44E3-9099-C40C66FF867C}">
                  <a14:compatExt spid="_x0000_s102402"/>
                </a:ext>
                <a:ext uri="{FF2B5EF4-FFF2-40B4-BE49-F238E27FC236}">
                  <a16:creationId xmlns:a16="http://schemas.microsoft.com/office/drawing/2014/main" id="{00000000-0008-0000-0000-00000290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93</xdr:col>
          <xdr:colOff>0</xdr:colOff>
          <xdr:row>6</xdr:row>
          <xdr:rowOff>161925</xdr:rowOff>
        </xdr:from>
        <xdr:to>
          <xdr:col>96</xdr:col>
          <xdr:colOff>38100</xdr:colOff>
          <xdr:row>8</xdr:row>
          <xdr:rowOff>0</xdr:rowOff>
        </xdr:to>
        <xdr:sp macro="" textlink="">
          <xdr:nvSpPr>
            <xdr:cNvPr id="102403" name="ComboBox_3" hidden="1">
              <a:extLst>
                <a:ext uri="{63B3BB69-23CF-44E3-9099-C40C66FF867C}">
                  <a14:compatExt spid="_x0000_s102403"/>
                </a:ext>
                <a:ext uri="{FF2B5EF4-FFF2-40B4-BE49-F238E27FC236}">
                  <a16:creationId xmlns:a16="http://schemas.microsoft.com/office/drawing/2014/main" id="{00000000-0008-0000-0000-00000390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93</xdr:col>
          <xdr:colOff>0</xdr:colOff>
          <xdr:row>4</xdr:row>
          <xdr:rowOff>161925</xdr:rowOff>
        </xdr:from>
        <xdr:to>
          <xdr:col>96</xdr:col>
          <xdr:colOff>38100</xdr:colOff>
          <xdr:row>6</xdr:row>
          <xdr:rowOff>0</xdr:rowOff>
        </xdr:to>
        <xdr:sp macro="" textlink="">
          <xdr:nvSpPr>
            <xdr:cNvPr id="102404" name="ComboBox_2" hidden="1">
              <a:extLst>
                <a:ext uri="{63B3BB69-23CF-44E3-9099-C40C66FF867C}">
                  <a14:compatExt spid="_x0000_s102404"/>
                </a:ext>
                <a:ext uri="{FF2B5EF4-FFF2-40B4-BE49-F238E27FC236}">
                  <a16:creationId xmlns:a16="http://schemas.microsoft.com/office/drawing/2014/main" id="{00000000-0008-0000-0000-00000490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91</xdr:col>
          <xdr:colOff>600075</xdr:colOff>
          <xdr:row>21</xdr:row>
          <xdr:rowOff>0</xdr:rowOff>
        </xdr:from>
        <xdr:to>
          <xdr:col>96</xdr:col>
          <xdr:colOff>47625</xdr:colOff>
          <xdr:row>22</xdr:row>
          <xdr:rowOff>38100</xdr:rowOff>
        </xdr:to>
        <xdr:sp macro="" textlink="">
          <xdr:nvSpPr>
            <xdr:cNvPr id="102408" name="ComboBox_6" hidden="1">
              <a:extLst>
                <a:ext uri="{63B3BB69-23CF-44E3-9099-C40C66FF867C}">
                  <a14:compatExt spid="_x0000_s102408"/>
                </a:ext>
                <a:ext uri="{FF2B5EF4-FFF2-40B4-BE49-F238E27FC236}">
                  <a16:creationId xmlns:a16="http://schemas.microsoft.com/office/drawing/2014/main" id="{00000000-0008-0000-0000-00000890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93</xdr:col>
          <xdr:colOff>0</xdr:colOff>
          <xdr:row>14</xdr:row>
          <xdr:rowOff>161925</xdr:rowOff>
        </xdr:from>
        <xdr:to>
          <xdr:col>96</xdr:col>
          <xdr:colOff>38100</xdr:colOff>
          <xdr:row>16</xdr:row>
          <xdr:rowOff>0</xdr:rowOff>
        </xdr:to>
        <xdr:sp macro="" textlink="">
          <xdr:nvSpPr>
            <xdr:cNvPr id="102411" name="ComboBox_5" hidden="1">
              <a:extLst>
                <a:ext uri="{63B3BB69-23CF-44E3-9099-C40C66FF867C}">
                  <a14:compatExt spid="_x0000_s102411"/>
                </a:ext>
                <a:ext uri="{FF2B5EF4-FFF2-40B4-BE49-F238E27FC236}">
                  <a16:creationId xmlns:a16="http://schemas.microsoft.com/office/drawing/2014/main" id="{00000000-0008-0000-0000-00000B90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93</xdr:col>
          <xdr:colOff>600075</xdr:colOff>
          <xdr:row>18</xdr:row>
          <xdr:rowOff>38100</xdr:rowOff>
        </xdr:from>
        <xdr:to>
          <xdr:col>96</xdr:col>
          <xdr:colOff>47625</xdr:colOff>
          <xdr:row>19</xdr:row>
          <xdr:rowOff>76200</xdr:rowOff>
        </xdr:to>
        <xdr:sp macro="" textlink="">
          <xdr:nvSpPr>
            <xdr:cNvPr id="102412" name="ComboBox_14" hidden="1">
              <a:extLst>
                <a:ext uri="{63B3BB69-23CF-44E3-9099-C40C66FF867C}">
                  <a14:compatExt spid="_x0000_s102412"/>
                </a:ext>
                <a:ext uri="{FF2B5EF4-FFF2-40B4-BE49-F238E27FC236}">
                  <a16:creationId xmlns:a16="http://schemas.microsoft.com/office/drawing/2014/main" id="{00000000-0008-0000-0000-00000C90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93</xdr:col>
          <xdr:colOff>600075</xdr:colOff>
          <xdr:row>17</xdr:row>
          <xdr:rowOff>19050</xdr:rowOff>
        </xdr:from>
        <xdr:to>
          <xdr:col>96</xdr:col>
          <xdr:colOff>47625</xdr:colOff>
          <xdr:row>18</xdr:row>
          <xdr:rowOff>57150</xdr:rowOff>
        </xdr:to>
        <xdr:sp macro="" textlink="">
          <xdr:nvSpPr>
            <xdr:cNvPr id="102413" name="ComboBox_13" hidden="1">
              <a:extLst>
                <a:ext uri="{63B3BB69-23CF-44E3-9099-C40C66FF867C}">
                  <a14:compatExt spid="_x0000_s102413"/>
                </a:ext>
                <a:ext uri="{FF2B5EF4-FFF2-40B4-BE49-F238E27FC236}">
                  <a16:creationId xmlns:a16="http://schemas.microsoft.com/office/drawing/2014/main" id="{00000000-0008-0000-0000-00000D90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93</xdr:col>
          <xdr:colOff>600075</xdr:colOff>
          <xdr:row>16</xdr:row>
          <xdr:rowOff>9525</xdr:rowOff>
        </xdr:from>
        <xdr:to>
          <xdr:col>96</xdr:col>
          <xdr:colOff>47625</xdr:colOff>
          <xdr:row>17</xdr:row>
          <xdr:rowOff>47625</xdr:rowOff>
        </xdr:to>
        <xdr:sp macro="" textlink="">
          <xdr:nvSpPr>
            <xdr:cNvPr id="102414" name="ComboBox_12" hidden="1">
              <a:extLst>
                <a:ext uri="{63B3BB69-23CF-44E3-9099-C40C66FF867C}">
                  <a14:compatExt spid="_x0000_s102414"/>
                </a:ext>
                <a:ext uri="{FF2B5EF4-FFF2-40B4-BE49-F238E27FC236}">
                  <a16:creationId xmlns:a16="http://schemas.microsoft.com/office/drawing/2014/main" id="{00000000-0008-0000-0000-00000E90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93</xdr:col>
          <xdr:colOff>0</xdr:colOff>
          <xdr:row>11</xdr:row>
          <xdr:rowOff>180975</xdr:rowOff>
        </xdr:from>
        <xdr:to>
          <xdr:col>96</xdr:col>
          <xdr:colOff>38100</xdr:colOff>
          <xdr:row>13</xdr:row>
          <xdr:rowOff>19050</xdr:rowOff>
        </xdr:to>
        <xdr:sp macro="" textlink="">
          <xdr:nvSpPr>
            <xdr:cNvPr id="102432" name="ComboBox_16" hidden="1">
              <a:extLst>
                <a:ext uri="{63B3BB69-23CF-44E3-9099-C40C66FF867C}">
                  <a14:compatExt spid="_x0000_s102432"/>
                </a:ext>
                <a:ext uri="{FF2B5EF4-FFF2-40B4-BE49-F238E27FC236}">
                  <a16:creationId xmlns:a16="http://schemas.microsoft.com/office/drawing/2014/main" id="{00000000-0008-0000-0000-00002090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87</xdr:col>
          <xdr:colOff>323850</xdr:colOff>
          <xdr:row>3</xdr:row>
          <xdr:rowOff>0</xdr:rowOff>
        </xdr:from>
        <xdr:to>
          <xdr:col>96</xdr:col>
          <xdr:colOff>38100</xdr:colOff>
          <xdr:row>4</xdr:row>
          <xdr:rowOff>47625</xdr:rowOff>
        </xdr:to>
        <xdr:sp macro="" textlink="">
          <xdr:nvSpPr>
            <xdr:cNvPr id="102434" name="ComboBox_15" hidden="1">
              <a:extLst>
                <a:ext uri="{63B3BB69-23CF-44E3-9099-C40C66FF867C}">
                  <a14:compatExt spid="_x0000_s102434"/>
                </a:ext>
                <a:ext uri="{FF2B5EF4-FFF2-40B4-BE49-F238E27FC236}">
                  <a16:creationId xmlns:a16="http://schemas.microsoft.com/office/drawing/2014/main" id="{00000000-0008-0000-0000-00002290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114</xdr:col>
          <xdr:colOff>0</xdr:colOff>
          <xdr:row>37</xdr:row>
          <xdr:rowOff>190500</xdr:rowOff>
        </xdr:from>
        <xdr:to>
          <xdr:col>117</xdr:col>
          <xdr:colOff>590550</xdr:colOff>
          <xdr:row>39</xdr:row>
          <xdr:rowOff>28575</xdr:rowOff>
        </xdr:to>
        <xdr:sp macro="" textlink="">
          <xdr:nvSpPr>
            <xdr:cNvPr id="102446" name="ComboBox_17" hidden="1">
              <a:extLst>
                <a:ext uri="{63B3BB69-23CF-44E3-9099-C40C66FF867C}">
                  <a14:compatExt spid="_x0000_s102446"/>
                </a:ext>
                <a:ext uri="{FF2B5EF4-FFF2-40B4-BE49-F238E27FC236}">
                  <a16:creationId xmlns:a16="http://schemas.microsoft.com/office/drawing/2014/main" id="{00000000-0008-0000-0000-00002E90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75</xdr:col>
          <xdr:colOff>0</xdr:colOff>
          <xdr:row>14</xdr:row>
          <xdr:rowOff>161925</xdr:rowOff>
        </xdr:from>
        <xdr:to>
          <xdr:col>77</xdr:col>
          <xdr:colOff>9525</xdr:colOff>
          <xdr:row>16</xdr:row>
          <xdr:rowOff>9525</xdr:rowOff>
        </xdr:to>
        <xdr:sp macro="" textlink="">
          <xdr:nvSpPr>
            <xdr:cNvPr id="125953" name="ComboBox_4" hidden="1">
              <a:extLst>
                <a:ext uri="{63B3BB69-23CF-44E3-9099-C40C66FF867C}">
                  <a14:compatExt spid="_x0000_s125953"/>
                </a:ext>
                <a:ext uri="{FF2B5EF4-FFF2-40B4-BE49-F238E27FC236}">
                  <a16:creationId xmlns:a16="http://schemas.microsoft.com/office/drawing/2014/main" id="{00000000-0008-0000-0100-000001E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75</xdr:col>
          <xdr:colOff>0</xdr:colOff>
          <xdr:row>23</xdr:row>
          <xdr:rowOff>161925</xdr:rowOff>
        </xdr:from>
        <xdr:to>
          <xdr:col>77</xdr:col>
          <xdr:colOff>9525</xdr:colOff>
          <xdr:row>25</xdr:row>
          <xdr:rowOff>9525</xdr:rowOff>
        </xdr:to>
        <xdr:sp macro="" textlink="">
          <xdr:nvSpPr>
            <xdr:cNvPr id="125954" name="ComboBox_7" hidden="1">
              <a:extLst>
                <a:ext uri="{63B3BB69-23CF-44E3-9099-C40C66FF867C}">
                  <a14:compatExt spid="_x0000_s125954"/>
                </a:ext>
                <a:ext uri="{FF2B5EF4-FFF2-40B4-BE49-F238E27FC236}">
                  <a16:creationId xmlns:a16="http://schemas.microsoft.com/office/drawing/2014/main" id="{00000000-0008-0000-0100-000002E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75</xdr:col>
          <xdr:colOff>0</xdr:colOff>
          <xdr:row>32</xdr:row>
          <xdr:rowOff>171450</xdr:rowOff>
        </xdr:from>
        <xdr:to>
          <xdr:col>77</xdr:col>
          <xdr:colOff>9525</xdr:colOff>
          <xdr:row>34</xdr:row>
          <xdr:rowOff>28575</xdr:rowOff>
        </xdr:to>
        <xdr:sp macro="" textlink="">
          <xdr:nvSpPr>
            <xdr:cNvPr id="125955" name="ComboBox_10" hidden="1">
              <a:extLst>
                <a:ext uri="{63B3BB69-23CF-44E3-9099-C40C66FF867C}">
                  <a14:compatExt spid="_x0000_s125955"/>
                </a:ext>
                <a:ext uri="{FF2B5EF4-FFF2-40B4-BE49-F238E27FC236}">
                  <a16:creationId xmlns:a16="http://schemas.microsoft.com/office/drawing/2014/main" id="{00000000-0008-0000-0100-000003E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70</xdr:col>
          <xdr:colOff>590550</xdr:colOff>
          <xdr:row>10</xdr:row>
          <xdr:rowOff>161925</xdr:rowOff>
        </xdr:from>
        <xdr:to>
          <xdr:col>72</xdr:col>
          <xdr:colOff>600075</xdr:colOff>
          <xdr:row>12</xdr:row>
          <xdr:rowOff>9525</xdr:rowOff>
        </xdr:to>
        <xdr:sp macro="" textlink="">
          <xdr:nvSpPr>
            <xdr:cNvPr id="125956" name="ComboBox_1" hidden="1">
              <a:extLst>
                <a:ext uri="{63B3BB69-23CF-44E3-9099-C40C66FF867C}">
                  <a14:compatExt spid="_x0000_s125956"/>
                </a:ext>
                <a:ext uri="{FF2B5EF4-FFF2-40B4-BE49-F238E27FC236}">
                  <a16:creationId xmlns:a16="http://schemas.microsoft.com/office/drawing/2014/main" id="{00000000-0008-0000-0100-000004E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70</xdr:col>
          <xdr:colOff>590550</xdr:colOff>
          <xdr:row>18</xdr:row>
          <xdr:rowOff>161925</xdr:rowOff>
        </xdr:from>
        <xdr:to>
          <xdr:col>72</xdr:col>
          <xdr:colOff>600075</xdr:colOff>
          <xdr:row>20</xdr:row>
          <xdr:rowOff>19050</xdr:rowOff>
        </xdr:to>
        <xdr:sp macro="" textlink="">
          <xdr:nvSpPr>
            <xdr:cNvPr id="125957" name="ComboBox_2" hidden="1">
              <a:extLst>
                <a:ext uri="{63B3BB69-23CF-44E3-9099-C40C66FF867C}">
                  <a14:compatExt spid="_x0000_s125957"/>
                </a:ext>
                <a:ext uri="{FF2B5EF4-FFF2-40B4-BE49-F238E27FC236}">
                  <a16:creationId xmlns:a16="http://schemas.microsoft.com/office/drawing/2014/main" id="{00000000-0008-0000-0100-000005E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70</xdr:col>
          <xdr:colOff>590550</xdr:colOff>
          <xdr:row>16</xdr:row>
          <xdr:rowOff>180975</xdr:rowOff>
        </xdr:from>
        <xdr:to>
          <xdr:col>72</xdr:col>
          <xdr:colOff>600075</xdr:colOff>
          <xdr:row>18</xdr:row>
          <xdr:rowOff>38100</xdr:rowOff>
        </xdr:to>
        <xdr:sp macro="" textlink="">
          <xdr:nvSpPr>
            <xdr:cNvPr id="125958" name="ComboBox_3" hidden="1">
              <a:extLst>
                <a:ext uri="{63B3BB69-23CF-44E3-9099-C40C66FF867C}">
                  <a14:compatExt spid="_x0000_s125958"/>
                </a:ext>
                <a:ext uri="{FF2B5EF4-FFF2-40B4-BE49-F238E27FC236}">
                  <a16:creationId xmlns:a16="http://schemas.microsoft.com/office/drawing/2014/main" id="{00000000-0008-0000-0100-000006E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70</xdr:col>
          <xdr:colOff>590550</xdr:colOff>
          <xdr:row>25</xdr:row>
          <xdr:rowOff>180975</xdr:rowOff>
        </xdr:from>
        <xdr:to>
          <xdr:col>72</xdr:col>
          <xdr:colOff>600075</xdr:colOff>
          <xdr:row>27</xdr:row>
          <xdr:rowOff>28575</xdr:rowOff>
        </xdr:to>
        <xdr:sp macro="" textlink="">
          <xdr:nvSpPr>
            <xdr:cNvPr id="125959" name="ComboBox_5" hidden="1">
              <a:extLst>
                <a:ext uri="{63B3BB69-23CF-44E3-9099-C40C66FF867C}">
                  <a14:compatExt spid="_x0000_s125959"/>
                </a:ext>
                <a:ext uri="{FF2B5EF4-FFF2-40B4-BE49-F238E27FC236}">
                  <a16:creationId xmlns:a16="http://schemas.microsoft.com/office/drawing/2014/main" id="{00000000-0008-0000-0100-000007E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70</xdr:col>
          <xdr:colOff>590550</xdr:colOff>
          <xdr:row>8</xdr:row>
          <xdr:rowOff>180975</xdr:rowOff>
        </xdr:from>
        <xdr:to>
          <xdr:col>72</xdr:col>
          <xdr:colOff>600075</xdr:colOff>
          <xdr:row>10</xdr:row>
          <xdr:rowOff>9525</xdr:rowOff>
        </xdr:to>
        <xdr:sp macro="" textlink="">
          <xdr:nvSpPr>
            <xdr:cNvPr id="125960" name="ComboBox_6" hidden="1">
              <a:extLst>
                <a:ext uri="{63B3BB69-23CF-44E3-9099-C40C66FF867C}">
                  <a14:compatExt spid="_x0000_s125960"/>
                </a:ext>
                <a:ext uri="{FF2B5EF4-FFF2-40B4-BE49-F238E27FC236}">
                  <a16:creationId xmlns:a16="http://schemas.microsoft.com/office/drawing/2014/main" id="{00000000-0008-0000-0100-000008E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70</xdr:col>
          <xdr:colOff>590550</xdr:colOff>
          <xdr:row>27</xdr:row>
          <xdr:rowOff>180975</xdr:rowOff>
        </xdr:from>
        <xdr:to>
          <xdr:col>72</xdr:col>
          <xdr:colOff>600075</xdr:colOff>
          <xdr:row>29</xdr:row>
          <xdr:rowOff>38100</xdr:rowOff>
        </xdr:to>
        <xdr:sp macro="" textlink="">
          <xdr:nvSpPr>
            <xdr:cNvPr id="125961" name="ComboBox_8" hidden="1">
              <a:extLst>
                <a:ext uri="{63B3BB69-23CF-44E3-9099-C40C66FF867C}">
                  <a14:compatExt spid="_x0000_s125961"/>
                </a:ext>
                <a:ext uri="{FF2B5EF4-FFF2-40B4-BE49-F238E27FC236}">
                  <a16:creationId xmlns:a16="http://schemas.microsoft.com/office/drawing/2014/main" id="{00000000-0008-0000-0100-000009E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70</xdr:col>
          <xdr:colOff>590550</xdr:colOff>
          <xdr:row>35</xdr:row>
          <xdr:rowOff>0</xdr:rowOff>
        </xdr:from>
        <xdr:to>
          <xdr:col>72</xdr:col>
          <xdr:colOff>600075</xdr:colOff>
          <xdr:row>36</xdr:row>
          <xdr:rowOff>38100</xdr:rowOff>
        </xdr:to>
        <xdr:sp macro="" textlink="">
          <xdr:nvSpPr>
            <xdr:cNvPr id="125962" name="ComboBox_9" hidden="1">
              <a:extLst>
                <a:ext uri="{63B3BB69-23CF-44E3-9099-C40C66FF867C}">
                  <a14:compatExt spid="_x0000_s125962"/>
                </a:ext>
                <a:ext uri="{FF2B5EF4-FFF2-40B4-BE49-F238E27FC236}">
                  <a16:creationId xmlns:a16="http://schemas.microsoft.com/office/drawing/2014/main" id="{00000000-0008-0000-0100-00000AE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70</xdr:col>
          <xdr:colOff>590550</xdr:colOff>
          <xdr:row>36</xdr:row>
          <xdr:rowOff>180975</xdr:rowOff>
        </xdr:from>
        <xdr:to>
          <xdr:col>72</xdr:col>
          <xdr:colOff>600075</xdr:colOff>
          <xdr:row>38</xdr:row>
          <xdr:rowOff>19050</xdr:rowOff>
        </xdr:to>
        <xdr:sp macro="" textlink="">
          <xdr:nvSpPr>
            <xdr:cNvPr id="125963" name="ComboBox_11" hidden="1">
              <a:extLst>
                <a:ext uri="{63B3BB69-23CF-44E3-9099-C40C66FF867C}">
                  <a14:compatExt spid="_x0000_s125963"/>
                </a:ext>
                <a:ext uri="{FF2B5EF4-FFF2-40B4-BE49-F238E27FC236}">
                  <a16:creationId xmlns:a16="http://schemas.microsoft.com/office/drawing/2014/main" id="{00000000-0008-0000-0100-00000BE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80</xdr:col>
          <xdr:colOff>0</xdr:colOff>
          <xdr:row>3</xdr:row>
          <xdr:rowOff>0</xdr:rowOff>
        </xdr:from>
        <xdr:to>
          <xdr:col>82</xdr:col>
          <xdr:colOff>9525</xdr:colOff>
          <xdr:row>4</xdr:row>
          <xdr:rowOff>19050</xdr:rowOff>
        </xdr:to>
        <xdr:sp macro="" textlink="">
          <xdr:nvSpPr>
            <xdr:cNvPr id="125964" name="ComboBox_12" hidden="1">
              <a:extLst>
                <a:ext uri="{63B3BB69-23CF-44E3-9099-C40C66FF867C}">
                  <a14:compatExt spid="_x0000_s125964"/>
                </a:ext>
                <a:ext uri="{FF2B5EF4-FFF2-40B4-BE49-F238E27FC236}">
                  <a16:creationId xmlns:a16="http://schemas.microsoft.com/office/drawing/2014/main" id="{00000000-0008-0000-0100-00000CE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twoCellAnchor>
    <xdr:from>
      <xdr:col>78</xdr:col>
      <xdr:colOff>9525</xdr:colOff>
      <xdr:row>11</xdr:row>
      <xdr:rowOff>38100</xdr:rowOff>
    </xdr:from>
    <xdr:to>
      <xdr:col>99</xdr:col>
      <xdr:colOff>514350</xdr:colOff>
      <xdr:row>40</xdr:row>
      <xdr:rowOff>104775</xdr:rowOff>
    </xdr:to>
    <xdr:graphicFrame macro="">
      <xdr:nvGraphicFramePr>
        <xdr:cNvPr id="2" name="Chart 1">
          <a:extLst>
            <a:ext uri="{FF2B5EF4-FFF2-40B4-BE49-F238E27FC236}">
              <a16:creationId xmlns:a16="http://schemas.microsoft.com/office/drawing/2014/main" id="{53B1BBED-7B2F-4800-BC11-1FD803EFB483}"/>
            </a:ext>
          </a:extLst>
        </xdr:cNvPr>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mc:AlternateContent xmlns:mc="http://schemas.openxmlformats.org/markup-compatibility/2006">
    <mc:Choice xmlns:a14="http://schemas.microsoft.com/office/drawing/2010/main" Requires="a14">
      <xdr:twoCellAnchor editAs="oneCell">
        <xdr:from>
          <xdr:col>69</xdr:col>
          <xdr:colOff>581025</xdr:colOff>
          <xdr:row>14</xdr:row>
          <xdr:rowOff>190500</xdr:rowOff>
        </xdr:from>
        <xdr:to>
          <xdr:col>72</xdr:col>
          <xdr:colOff>600075</xdr:colOff>
          <xdr:row>16</xdr:row>
          <xdr:rowOff>38100</xdr:rowOff>
        </xdr:to>
        <xdr:sp macro="" textlink="">
          <xdr:nvSpPr>
            <xdr:cNvPr id="125965" name="ComboBox_15" hidden="1">
              <a:extLst>
                <a:ext uri="{63B3BB69-23CF-44E3-9099-C40C66FF867C}">
                  <a14:compatExt spid="_x0000_s125965"/>
                </a:ext>
                <a:ext uri="{FF2B5EF4-FFF2-40B4-BE49-F238E27FC236}">
                  <a16:creationId xmlns:a16="http://schemas.microsoft.com/office/drawing/2014/main" id="{00000000-0008-0000-0100-00000DE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69</xdr:col>
          <xdr:colOff>552450</xdr:colOff>
          <xdr:row>23</xdr:row>
          <xdr:rowOff>180975</xdr:rowOff>
        </xdr:from>
        <xdr:to>
          <xdr:col>72</xdr:col>
          <xdr:colOff>600075</xdr:colOff>
          <xdr:row>25</xdr:row>
          <xdr:rowOff>28575</xdr:rowOff>
        </xdr:to>
        <xdr:sp macro="" textlink="">
          <xdr:nvSpPr>
            <xdr:cNvPr id="125966" name="ComboBox_13" hidden="1">
              <a:extLst>
                <a:ext uri="{63B3BB69-23CF-44E3-9099-C40C66FF867C}">
                  <a14:compatExt spid="_x0000_s125966"/>
                </a:ext>
                <a:ext uri="{FF2B5EF4-FFF2-40B4-BE49-F238E27FC236}">
                  <a16:creationId xmlns:a16="http://schemas.microsoft.com/office/drawing/2014/main" id="{00000000-0008-0000-0100-00000EE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69</xdr:col>
          <xdr:colOff>561975</xdr:colOff>
          <xdr:row>32</xdr:row>
          <xdr:rowOff>152400</xdr:rowOff>
        </xdr:from>
        <xdr:to>
          <xdr:col>72</xdr:col>
          <xdr:colOff>600075</xdr:colOff>
          <xdr:row>34</xdr:row>
          <xdr:rowOff>9525</xdr:rowOff>
        </xdr:to>
        <xdr:sp macro="" textlink="">
          <xdr:nvSpPr>
            <xdr:cNvPr id="125967" name="ComboBox_14" hidden="1">
              <a:extLst>
                <a:ext uri="{63B3BB69-23CF-44E3-9099-C40C66FF867C}">
                  <a14:compatExt spid="_x0000_s125967"/>
                </a:ext>
                <a:ext uri="{FF2B5EF4-FFF2-40B4-BE49-F238E27FC236}">
                  <a16:creationId xmlns:a16="http://schemas.microsoft.com/office/drawing/2014/main" id="{00000000-0008-0000-0100-00000FEC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twoCellAnchor editAs="oneCell">
    <xdr:from>
      <xdr:col>67</xdr:col>
      <xdr:colOff>123825</xdr:colOff>
      <xdr:row>44</xdr:row>
      <xdr:rowOff>133351</xdr:rowOff>
    </xdr:from>
    <xdr:to>
      <xdr:col>79</xdr:col>
      <xdr:colOff>457200</xdr:colOff>
      <xdr:row>54</xdr:row>
      <xdr:rowOff>85725</xdr:rowOff>
    </xdr:to>
    <xdr:pic>
      <xdr:nvPicPr>
        <xdr:cNvPr id="3" name="Picture 2">
          <a:extLst>
            <a:ext uri="{FF2B5EF4-FFF2-40B4-BE49-F238E27FC236}">
              <a16:creationId xmlns:a16="http://schemas.microsoft.com/office/drawing/2014/main" id="{8B44CD98-C362-4138-B211-1039231D178D}"/>
            </a:ext>
          </a:extLst>
        </xdr:cNvPr>
        <xdr:cNvPicPr>
          <a:picLocks noChangeAspect="1"/>
        </xdr:cNvPicPr>
      </xdr:nvPicPr>
      <xdr:blipFill>
        <a:blip xmlns:r="http://schemas.openxmlformats.org/officeDocument/2006/relationships" r:embed="rId2"/>
        <a:stretch>
          <a:fillRect/>
        </a:stretch>
      </xdr:blipFill>
      <xdr:spPr>
        <a:xfrm>
          <a:off x="419100" y="8934451"/>
          <a:ext cx="7648575" cy="185737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85</xdr:col>
      <xdr:colOff>419099</xdr:colOff>
      <xdr:row>6</xdr:row>
      <xdr:rowOff>116651</xdr:rowOff>
    </xdr:from>
    <xdr:to>
      <xdr:col>90</xdr:col>
      <xdr:colOff>152400</xdr:colOff>
      <xdr:row>21</xdr:row>
      <xdr:rowOff>104775</xdr:rowOff>
    </xdr:to>
    <xdr:sp macro="" textlink="">
      <xdr:nvSpPr>
        <xdr:cNvPr id="13" name="Rectangle 12">
          <a:extLst>
            <a:ext uri="{FF2B5EF4-FFF2-40B4-BE49-F238E27FC236}">
              <a16:creationId xmlns:a16="http://schemas.microsoft.com/office/drawing/2014/main" id="{00000000-0008-0000-0200-00000D000000}"/>
            </a:ext>
          </a:extLst>
        </xdr:cNvPr>
        <xdr:cNvSpPr/>
      </xdr:nvSpPr>
      <xdr:spPr>
        <a:xfrm>
          <a:off x="5638799" y="1593026"/>
          <a:ext cx="2781301" cy="3007549"/>
        </a:xfrm>
        <a:prstGeom prst="rect">
          <a:avLst/>
        </a:prstGeom>
        <a:no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76</xdr:col>
      <xdr:colOff>278751</xdr:colOff>
      <xdr:row>6</xdr:row>
      <xdr:rowOff>117230</xdr:rowOff>
    </xdr:from>
    <xdr:to>
      <xdr:col>85</xdr:col>
      <xdr:colOff>142875</xdr:colOff>
      <xdr:row>22</xdr:row>
      <xdr:rowOff>114300</xdr:rowOff>
    </xdr:to>
    <xdr:sp macro="" textlink="">
      <xdr:nvSpPr>
        <xdr:cNvPr id="14" name="Rectangle 13">
          <a:extLst>
            <a:ext uri="{FF2B5EF4-FFF2-40B4-BE49-F238E27FC236}">
              <a16:creationId xmlns:a16="http://schemas.microsoft.com/office/drawing/2014/main" id="{00000000-0008-0000-0200-00000E000000}"/>
            </a:ext>
          </a:extLst>
        </xdr:cNvPr>
        <xdr:cNvSpPr/>
      </xdr:nvSpPr>
      <xdr:spPr>
        <a:xfrm>
          <a:off x="278751" y="1593605"/>
          <a:ext cx="5083824" cy="3216520"/>
        </a:xfrm>
        <a:prstGeom prst="rect">
          <a:avLst/>
        </a:prstGeom>
        <a:no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mc:AlternateContent xmlns:mc="http://schemas.openxmlformats.org/markup-compatibility/2006">
    <mc:Choice xmlns:a14="http://schemas.microsoft.com/office/drawing/2010/main" Requires="a14">
      <xdr:twoCellAnchor editAs="oneCell">
        <xdr:from>
          <xdr:col>88</xdr:col>
          <xdr:colOff>0</xdr:colOff>
          <xdr:row>11</xdr:row>
          <xdr:rowOff>180975</xdr:rowOff>
        </xdr:from>
        <xdr:to>
          <xdr:col>90</xdr:col>
          <xdr:colOff>9525</xdr:colOff>
          <xdr:row>13</xdr:row>
          <xdr:rowOff>19050</xdr:rowOff>
        </xdr:to>
        <xdr:sp macro="" textlink="">
          <xdr:nvSpPr>
            <xdr:cNvPr id="51346" name="ComboBox_2" hidden="1">
              <a:extLst>
                <a:ext uri="{63B3BB69-23CF-44E3-9099-C40C66FF867C}">
                  <a14:compatExt spid="_x0000_s51346"/>
                </a:ext>
                <a:ext uri="{FF2B5EF4-FFF2-40B4-BE49-F238E27FC236}">
                  <a16:creationId xmlns:a16="http://schemas.microsoft.com/office/drawing/2014/main" id="{00000000-0008-0000-0200-000092C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81</xdr:col>
          <xdr:colOff>533400</xdr:colOff>
          <xdr:row>10</xdr:row>
          <xdr:rowOff>161925</xdr:rowOff>
        </xdr:from>
        <xdr:to>
          <xdr:col>85</xdr:col>
          <xdr:colOff>76200</xdr:colOff>
          <xdr:row>12</xdr:row>
          <xdr:rowOff>0</xdr:rowOff>
        </xdr:to>
        <xdr:sp macro="" textlink="">
          <xdr:nvSpPr>
            <xdr:cNvPr id="51347" name="ComboBox_3" hidden="1">
              <a:extLst>
                <a:ext uri="{63B3BB69-23CF-44E3-9099-C40C66FF867C}">
                  <a14:compatExt spid="_x0000_s51347"/>
                </a:ext>
                <a:ext uri="{FF2B5EF4-FFF2-40B4-BE49-F238E27FC236}">
                  <a16:creationId xmlns:a16="http://schemas.microsoft.com/office/drawing/2014/main" id="{00000000-0008-0000-0200-000093C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81</xdr:col>
          <xdr:colOff>533400</xdr:colOff>
          <xdr:row>8</xdr:row>
          <xdr:rowOff>190500</xdr:rowOff>
        </xdr:from>
        <xdr:to>
          <xdr:col>85</xdr:col>
          <xdr:colOff>76200</xdr:colOff>
          <xdr:row>10</xdr:row>
          <xdr:rowOff>28575</xdr:rowOff>
        </xdr:to>
        <xdr:sp macro="" textlink="">
          <xdr:nvSpPr>
            <xdr:cNvPr id="51348" name="ComboBox_4" hidden="1">
              <a:extLst>
                <a:ext uri="{63B3BB69-23CF-44E3-9099-C40C66FF867C}">
                  <a14:compatExt spid="_x0000_s51348"/>
                </a:ext>
                <a:ext uri="{FF2B5EF4-FFF2-40B4-BE49-F238E27FC236}">
                  <a16:creationId xmlns:a16="http://schemas.microsoft.com/office/drawing/2014/main" id="{00000000-0008-0000-0200-000094C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81</xdr:col>
          <xdr:colOff>533400</xdr:colOff>
          <xdr:row>12</xdr:row>
          <xdr:rowOff>171450</xdr:rowOff>
        </xdr:from>
        <xdr:to>
          <xdr:col>85</xdr:col>
          <xdr:colOff>76200</xdr:colOff>
          <xdr:row>14</xdr:row>
          <xdr:rowOff>9525</xdr:rowOff>
        </xdr:to>
        <xdr:sp macro="" textlink="">
          <xdr:nvSpPr>
            <xdr:cNvPr id="51349" name="ComboBox_5" hidden="1">
              <a:extLst>
                <a:ext uri="{63B3BB69-23CF-44E3-9099-C40C66FF867C}">
                  <a14:compatExt spid="_x0000_s51349"/>
                </a:ext>
                <a:ext uri="{FF2B5EF4-FFF2-40B4-BE49-F238E27FC236}">
                  <a16:creationId xmlns:a16="http://schemas.microsoft.com/office/drawing/2014/main" id="{00000000-0008-0000-0200-000095C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88</xdr:col>
          <xdr:colOff>0</xdr:colOff>
          <xdr:row>7</xdr:row>
          <xdr:rowOff>171450</xdr:rowOff>
        </xdr:from>
        <xdr:to>
          <xdr:col>90</xdr:col>
          <xdr:colOff>9525</xdr:colOff>
          <xdr:row>9</xdr:row>
          <xdr:rowOff>9525</xdr:rowOff>
        </xdr:to>
        <xdr:sp macro="" textlink="">
          <xdr:nvSpPr>
            <xdr:cNvPr id="51350" name="ComboBox_6" hidden="1">
              <a:extLst>
                <a:ext uri="{63B3BB69-23CF-44E3-9099-C40C66FF867C}">
                  <a14:compatExt spid="_x0000_s51350"/>
                </a:ext>
                <a:ext uri="{FF2B5EF4-FFF2-40B4-BE49-F238E27FC236}">
                  <a16:creationId xmlns:a16="http://schemas.microsoft.com/office/drawing/2014/main" id="{00000000-0008-0000-0200-000096C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81</xdr:col>
          <xdr:colOff>533400</xdr:colOff>
          <xdr:row>6</xdr:row>
          <xdr:rowOff>180975</xdr:rowOff>
        </xdr:from>
        <xdr:to>
          <xdr:col>85</xdr:col>
          <xdr:colOff>76200</xdr:colOff>
          <xdr:row>8</xdr:row>
          <xdr:rowOff>19050</xdr:rowOff>
        </xdr:to>
        <xdr:sp macro="" textlink="">
          <xdr:nvSpPr>
            <xdr:cNvPr id="51352" name="ComboBox_8" hidden="1">
              <a:extLst>
                <a:ext uri="{63B3BB69-23CF-44E3-9099-C40C66FF867C}">
                  <a14:compatExt spid="_x0000_s51352"/>
                </a:ext>
                <a:ext uri="{FF2B5EF4-FFF2-40B4-BE49-F238E27FC236}">
                  <a16:creationId xmlns:a16="http://schemas.microsoft.com/office/drawing/2014/main" id="{00000000-0008-0000-0200-000098C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80</xdr:col>
          <xdr:colOff>600075</xdr:colOff>
          <xdr:row>20</xdr:row>
          <xdr:rowOff>171450</xdr:rowOff>
        </xdr:from>
        <xdr:to>
          <xdr:col>85</xdr:col>
          <xdr:colOff>76200</xdr:colOff>
          <xdr:row>22</xdr:row>
          <xdr:rowOff>0</xdr:rowOff>
        </xdr:to>
        <xdr:sp macro="" textlink="">
          <xdr:nvSpPr>
            <xdr:cNvPr id="51353" name="ComboBox_9" hidden="1">
              <a:extLst>
                <a:ext uri="{63B3BB69-23CF-44E3-9099-C40C66FF867C}">
                  <a14:compatExt spid="_x0000_s51353"/>
                </a:ext>
                <a:ext uri="{FF2B5EF4-FFF2-40B4-BE49-F238E27FC236}">
                  <a16:creationId xmlns:a16="http://schemas.microsoft.com/office/drawing/2014/main" id="{00000000-0008-0000-0200-000099C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76</xdr:col>
          <xdr:colOff>333375</xdr:colOff>
          <xdr:row>12</xdr:row>
          <xdr:rowOff>171450</xdr:rowOff>
        </xdr:from>
        <xdr:to>
          <xdr:col>79</xdr:col>
          <xdr:colOff>0</xdr:colOff>
          <xdr:row>14</xdr:row>
          <xdr:rowOff>9525</xdr:rowOff>
        </xdr:to>
        <xdr:sp macro="" textlink="">
          <xdr:nvSpPr>
            <xdr:cNvPr id="51345" name="ComboBox_1" hidden="1">
              <a:extLst>
                <a:ext uri="{63B3BB69-23CF-44E3-9099-C40C66FF867C}">
                  <a14:compatExt spid="_x0000_s51345"/>
                </a:ext>
                <a:ext uri="{FF2B5EF4-FFF2-40B4-BE49-F238E27FC236}">
                  <a16:creationId xmlns:a16="http://schemas.microsoft.com/office/drawing/2014/main" id="{00000000-0008-0000-0200-000091C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81</xdr:col>
          <xdr:colOff>533400</xdr:colOff>
          <xdr:row>14</xdr:row>
          <xdr:rowOff>161925</xdr:rowOff>
        </xdr:from>
        <xdr:to>
          <xdr:col>85</xdr:col>
          <xdr:colOff>76200</xdr:colOff>
          <xdr:row>16</xdr:row>
          <xdr:rowOff>0</xdr:rowOff>
        </xdr:to>
        <xdr:sp macro="" textlink="">
          <xdr:nvSpPr>
            <xdr:cNvPr id="51351" name="ComboBox_7" hidden="1">
              <a:extLst>
                <a:ext uri="{63B3BB69-23CF-44E3-9099-C40C66FF867C}">
                  <a14:compatExt spid="_x0000_s51351"/>
                </a:ext>
                <a:ext uri="{FF2B5EF4-FFF2-40B4-BE49-F238E27FC236}">
                  <a16:creationId xmlns:a16="http://schemas.microsoft.com/office/drawing/2014/main" id="{00000000-0008-0000-0200-000097C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83</xdr:col>
          <xdr:colOff>9525</xdr:colOff>
          <xdr:row>17</xdr:row>
          <xdr:rowOff>190500</xdr:rowOff>
        </xdr:from>
        <xdr:to>
          <xdr:col>85</xdr:col>
          <xdr:colOff>66675</xdr:colOff>
          <xdr:row>19</xdr:row>
          <xdr:rowOff>19050</xdr:rowOff>
        </xdr:to>
        <xdr:sp macro="" textlink="">
          <xdr:nvSpPr>
            <xdr:cNvPr id="51366" name="ComboBox_12" hidden="1">
              <a:extLst>
                <a:ext uri="{63B3BB69-23CF-44E3-9099-C40C66FF867C}">
                  <a14:compatExt spid="_x0000_s51366"/>
                </a:ext>
                <a:ext uri="{FF2B5EF4-FFF2-40B4-BE49-F238E27FC236}">
                  <a16:creationId xmlns:a16="http://schemas.microsoft.com/office/drawing/2014/main" id="{00000000-0008-0000-0200-0000A6C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83</xdr:col>
          <xdr:colOff>9525</xdr:colOff>
          <xdr:row>17</xdr:row>
          <xdr:rowOff>0</xdr:rowOff>
        </xdr:from>
        <xdr:to>
          <xdr:col>85</xdr:col>
          <xdr:colOff>66675</xdr:colOff>
          <xdr:row>18</xdr:row>
          <xdr:rowOff>28575</xdr:rowOff>
        </xdr:to>
        <xdr:sp macro="" textlink="">
          <xdr:nvSpPr>
            <xdr:cNvPr id="51367" name="ComboBox_11" hidden="1">
              <a:extLst>
                <a:ext uri="{63B3BB69-23CF-44E3-9099-C40C66FF867C}">
                  <a14:compatExt spid="_x0000_s51367"/>
                </a:ext>
                <a:ext uri="{FF2B5EF4-FFF2-40B4-BE49-F238E27FC236}">
                  <a16:creationId xmlns:a16="http://schemas.microsoft.com/office/drawing/2014/main" id="{00000000-0008-0000-0200-0000A7C8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83</xdr:col>
          <xdr:colOff>9525</xdr:colOff>
          <xdr:row>15</xdr:row>
          <xdr:rowOff>190500</xdr:rowOff>
        </xdr:from>
        <xdr:to>
          <xdr:col>85</xdr:col>
          <xdr:colOff>66675</xdr:colOff>
          <xdr:row>17</xdr:row>
          <xdr:rowOff>28575</xdr:rowOff>
        </xdr:to>
        <xdr:sp macro="" textlink="">
          <xdr:nvSpPr>
            <xdr:cNvPr id="51368" name="ComboBox_10" hidden="1">
              <a:extLst>
                <a:ext uri="{63B3BB69-23CF-44E3-9099-C40C66FF867C}">
                  <a14:compatExt spid="_x0000_s51368"/>
                </a:ext>
                <a:ext uri="{FF2B5EF4-FFF2-40B4-BE49-F238E27FC236}">
                  <a16:creationId xmlns:a16="http://schemas.microsoft.com/office/drawing/2014/main" id="{00000000-0008-0000-0200-0000A8C80000}"/>
                </a:ext>
              </a:extLst>
            </xdr:cNvPr>
            <xdr:cNvSpPr/>
          </xdr:nvSpPr>
          <xdr:spPr bwMode="auto">
            <a:xfrm>
              <a:off x="0" y="0"/>
              <a:ext cx="0" cy="0"/>
            </a:xfrm>
            <a:prstGeom prst="rect">
              <a:avLst/>
            </a:prstGeom>
            <a:solidFill>
              <a:srgbClr val="FFCC00" mc:Ignorable="a14" a14:legacySpreadsheetColorIndex="51">
                <a:alpha val="0"/>
              </a:srgbClr>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4.xml><?xml version="1.0" encoding="utf-8"?>
<xdr:wsDr xmlns:xdr="http://schemas.openxmlformats.org/drawingml/2006/spreadsheetDrawing" xmlns:a="http://schemas.openxmlformats.org/drawingml/2006/main">
  <xdr:twoCellAnchor>
    <xdr:from>
      <xdr:col>117</xdr:col>
      <xdr:colOff>238125</xdr:colOff>
      <xdr:row>20</xdr:row>
      <xdr:rowOff>16564</xdr:rowOff>
    </xdr:from>
    <xdr:to>
      <xdr:col>118</xdr:col>
      <xdr:colOff>247652</xdr:colOff>
      <xdr:row>31</xdr:row>
      <xdr:rowOff>74542</xdr:rowOff>
    </xdr:to>
    <xdr:sp macro="" textlink="">
      <xdr:nvSpPr>
        <xdr:cNvPr id="5" name="TextBox 4">
          <a:extLst>
            <a:ext uri="{FF2B5EF4-FFF2-40B4-BE49-F238E27FC236}">
              <a16:creationId xmlns:a16="http://schemas.microsoft.com/office/drawing/2014/main" id="{00000000-0008-0000-0300-000005000000}"/>
            </a:ext>
          </a:extLst>
        </xdr:cNvPr>
        <xdr:cNvSpPr txBox="1"/>
      </xdr:nvSpPr>
      <xdr:spPr>
        <a:xfrm rot="16200000">
          <a:off x="404399" y="5233986"/>
          <a:ext cx="2244587" cy="622440"/>
        </a:xfrm>
        <a:prstGeom prst="rect">
          <a:avLst/>
        </a:prstGeom>
        <a:solidFill>
          <a:schemeClr val="bg1">
            <a:lumMod val="85000"/>
            <a:alpha val="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800" b="1"/>
            <a:t>Typical wall framing</a:t>
          </a:r>
        </a:p>
      </xdr:txBody>
    </xdr:sp>
    <xdr:clientData/>
  </xdr:twoCellAnchor>
  <xdr:twoCellAnchor>
    <xdr:from>
      <xdr:col>117</xdr:col>
      <xdr:colOff>228603</xdr:colOff>
      <xdr:row>31</xdr:row>
      <xdr:rowOff>128382</xdr:rowOff>
    </xdr:from>
    <xdr:to>
      <xdr:col>118</xdr:col>
      <xdr:colOff>238125</xdr:colOff>
      <xdr:row>36</xdr:row>
      <xdr:rowOff>180559</xdr:rowOff>
    </xdr:to>
    <xdr:sp macro="" textlink="">
      <xdr:nvSpPr>
        <xdr:cNvPr id="6" name="TextBox 5">
          <a:extLst>
            <a:ext uri="{FF2B5EF4-FFF2-40B4-BE49-F238E27FC236}">
              <a16:creationId xmlns:a16="http://schemas.microsoft.com/office/drawing/2014/main" id="{00000000-0008-0000-0300-000006000000}"/>
            </a:ext>
          </a:extLst>
        </xdr:cNvPr>
        <xdr:cNvSpPr txBox="1"/>
      </xdr:nvSpPr>
      <xdr:spPr>
        <a:xfrm rot="16200000">
          <a:off x="994124" y="6933166"/>
          <a:ext cx="1046090" cy="622435"/>
        </a:xfrm>
        <a:prstGeom prst="rect">
          <a:avLst/>
        </a:prstGeom>
        <a:solidFill>
          <a:schemeClr val="bg1">
            <a:lumMod val="95000"/>
            <a:alpha val="54000"/>
          </a:scheme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400" b="1">
              <a:solidFill>
                <a:sysClr val="windowText" lastClr="000000"/>
              </a:solidFill>
            </a:rPr>
            <a:t>Relatively</a:t>
          </a:r>
          <a:r>
            <a:rPr lang="en-NZ" sz="1400" b="1" baseline="0">
              <a:solidFill>
                <a:sysClr val="windowText" lastClr="000000"/>
              </a:solidFill>
            </a:rPr>
            <a:t> simple wall </a:t>
          </a:r>
          <a:endParaRPr lang="en-NZ" sz="1400" b="1">
            <a:solidFill>
              <a:sysClr val="windowText" lastClr="000000"/>
            </a:solidFill>
          </a:endParaRPr>
        </a:p>
      </xdr:txBody>
    </xdr:sp>
    <xdr:clientData/>
  </xdr:twoCellAnchor>
  <xdr:twoCellAnchor>
    <xdr:from>
      <xdr:col>117</xdr:col>
      <xdr:colOff>219079</xdr:colOff>
      <xdr:row>37</xdr:row>
      <xdr:rowOff>57149</xdr:rowOff>
    </xdr:from>
    <xdr:to>
      <xdr:col>118</xdr:col>
      <xdr:colOff>247650</xdr:colOff>
      <xdr:row>47</xdr:row>
      <xdr:rowOff>180973</xdr:rowOff>
    </xdr:to>
    <xdr:sp macro="" textlink="">
      <xdr:nvSpPr>
        <xdr:cNvPr id="7" name="TextBox 6">
          <a:extLst>
            <a:ext uri="{FF2B5EF4-FFF2-40B4-BE49-F238E27FC236}">
              <a16:creationId xmlns:a16="http://schemas.microsoft.com/office/drawing/2014/main" id="{00000000-0008-0000-0300-000007000000}"/>
            </a:ext>
          </a:extLst>
        </xdr:cNvPr>
        <xdr:cNvSpPr txBox="1"/>
      </xdr:nvSpPr>
      <xdr:spPr>
        <a:xfrm rot="16200000">
          <a:off x="447678" y="8620125"/>
          <a:ext cx="2124074" cy="638171"/>
        </a:xfrm>
        <a:prstGeom prst="rect">
          <a:avLst/>
        </a:prstGeom>
        <a:solidFill>
          <a:srgbClr val="FFFFFF">
            <a:alpha val="81000"/>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400" b="0">
              <a:solidFill>
                <a:schemeClr val="tx1"/>
              </a:solidFill>
            </a:rPr>
            <a:t>Clear-wall with</a:t>
          </a:r>
          <a:r>
            <a:rPr lang="en-NZ" sz="1400" b="0" baseline="0">
              <a:solidFill>
                <a:schemeClr val="tx1"/>
              </a:solidFill>
            </a:rPr>
            <a:t> only a few small windows &amp; no doors</a:t>
          </a:r>
          <a:endParaRPr lang="en-NZ" sz="1400" b="0">
            <a:solidFill>
              <a:schemeClr val="tx1"/>
            </a:solidFill>
          </a:endParaRPr>
        </a:p>
      </xdr:txBody>
    </xdr:sp>
    <xdr:clientData/>
  </xdr:twoCellAnchor>
  <xdr:twoCellAnchor>
    <xdr:from>
      <xdr:col>121</xdr:col>
      <xdr:colOff>349117</xdr:colOff>
      <xdr:row>12</xdr:row>
      <xdr:rowOff>41407</xdr:rowOff>
    </xdr:from>
    <xdr:to>
      <xdr:col>128</xdr:col>
      <xdr:colOff>390525</xdr:colOff>
      <xdr:row>13</xdr:row>
      <xdr:rowOff>133349</xdr:rowOff>
    </xdr:to>
    <xdr:sp macro="" textlink="">
      <xdr:nvSpPr>
        <xdr:cNvPr id="10" name="TextBox 9">
          <a:extLst>
            <a:ext uri="{FF2B5EF4-FFF2-40B4-BE49-F238E27FC236}">
              <a16:creationId xmlns:a16="http://schemas.microsoft.com/office/drawing/2014/main" id="{00000000-0008-0000-0300-00000A000000}"/>
            </a:ext>
          </a:extLst>
        </xdr:cNvPr>
        <xdr:cNvSpPr txBox="1"/>
      </xdr:nvSpPr>
      <xdr:spPr>
        <a:xfrm>
          <a:off x="3759067" y="2860807"/>
          <a:ext cx="4308608" cy="29196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200"/>
            <a:t>Insulation thermal resistance (primary frame) (m</a:t>
          </a:r>
          <a:r>
            <a:rPr lang="en-NZ" sz="1200" baseline="30000"/>
            <a:t>2</a:t>
          </a:r>
          <a:r>
            <a:rPr lang="en-NZ" sz="1200"/>
            <a:t>K/W)</a:t>
          </a:r>
        </a:p>
      </xdr:txBody>
    </xdr:sp>
    <xdr:clientData/>
  </xdr:twoCellAnchor>
  <mc:AlternateContent xmlns:mc="http://schemas.openxmlformats.org/markup-compatibility/2006">
    <mc:Choice xmlns:a14="http://schemas.microsoft.com/office/drawing/2010/main" Requires="a14">
      <xdr:twoCellAnchor editAs="oneCell">
        <xdr:from>
          <xdr:col>139</xdr:col>
          <xdr:colOff>581025</xdr:colOff>
          <xdr:row>15</xdr:row>
          <xdr:rowOff>171450</xdr:rowOff>
        </xdr:from>
        <xdr:to>
          <xdr:col>141</xdr:col>
          <xdr:colOff>590550</xdr:colOff>
          <xdr:row>17</xdr:row>
          <xdr:rowOff>9525</xdr:rowOff>
        </xdr:to>
        <xdr:sp macro="" textlink="">
          <xdr:nvSpPr>
            <xdr:cNvPr id="52403" name="ComboBox_1" hidden="1">
              <a:extLst>
                <a:ext uri="{63B3BB69-23CF-44E3-9099-C40C66FF867C}">
                  <a14:compatExt spid="_x0000_s52403"/>
                </a:ext>
                <a:ext uri="{FF2B5EF4-FFF2-40B4-BE49-F238E27FC236}">
                  <a16:creationId xmlns:a16="http://schemas.microsoft.com/office/drawing/2014/main" id="{00000000-0008-0000-0300-0000B3C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139</xdr:col>
          <xdr:colOff>581025</xdr:colOff>
          <xdr:row>12</xdr:row>
          <xdr:rowOff>152400</xdr:rowOff>
        </xdr:from>
        <xdr:to>
          <xdr:col>141</xdr:col>
          <xdr:colOff>590550</xdr:colOff>
          <xdr:row>14</xdr:row>
          <xdr:rowOff>0</xdr:rowOff>
        </xdr:to>
        <xdr:sp macro="" textlink="">
          <xdr:nvSpPr>
            <xdr:cNvPr id="52404" name="ComboBox_2" hidden="1">
              <a:extLst>
                <a:ext uri="{63B3BB69-23CF-44E3-9099-C40C66FF867C}">
                  <a14:compatExt spid="_x0000_s52404"/>
                </a:ext>
                <a:ext uri="{FF2B5EF4-FFF2-40B4-BE49-F238E27FC236}">
                  <a16:creationId xmlns:a16="http://schemas.microsoft.com/office/drawing/2014/main" id="{00000000-0008-0000-0300-0000B4C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124</xdr:col>
          <xdr:colOff>581025</xdr:colOff>
          <xdr:row>9</xdr:row>
          <xdr:rowOff>180975</xdr:rowOff>
        </xdr:from>
        <xdr:to>
          <xdr:col>126</xdr:col>
          <xdr:colOff>590550</xdr:colOff>
          <xdr:row>11</xdr:row>
          <xdr:rowOff>38100</xdr:rowOff>
        </xdr:to>
        <xdr:sp macro="" textlink="">
          <xdr:nvSpPr>
            <xdr:cNvPr id="52405" name="ComboBox_3" hidden="1">
              <a:extLst>
                <a:ext uri="{63B3BB69-23CF-44E3-9099-C40C66FF867C}">
                  <a14:compatExt spid="_x0000_s52405"/>
                </a:ext>
                <a:ext uri="{FF2B5EF4-FFF2-40B4-BE49-F238E27FC236}">
                  <a16:creationId xmlns:a16="http://schemas.microsoft.com/office/drawing/2014/main" id="{00000000-0008-0000-0300-0000B5C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134</xdr:col>
          <xdr:colOff>0</xdr:colOff>
          <xdr:row>2</xdr:row>
          <xdr:rowOff>0</xdr:rowOff>
        </xdr:from>
        <xdr:to>
          <xdr:col>137</xdr:col>
          <xdr:colOff>590550</xdr:colOff>
          <xdr:row>3</xdr:row>
          <xdr:rowOff>38100</xdr:rowOff>
        </xdr:to>
        <xdr:sp macro="" textlink="">
          <xdr:nvSpPr>
            <xdr:cNvPr id="52406" name="ComboBox_4" hidden="1">
              <a:extLst>
                <a:ext uri="{63B3BB69-23CF-44E3-9099-C40C66FF867C}">
                  <a14:compatExt spid="_x0000_s52406"/>
                </a:ext>
                <a:ext uri="{FF2B5EF4-FFF2-40B4-BE49-F238E27FC236}">
                  <a16:creationId xmlns:a16="http://schemas.microsoft.com/office/drawing/2014/main" id="{00000000-0008-0000-0300-0000B6C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125</xdr:col>
          <xdr:colOff>19050</xdr:colOff>
          <xdr:row>2</xdr:row>
          <xdr:rowOff>0</xdr:rowOff>
        </xdr:from>
        <xdr:to>
          <xdr:col>129</xdr:col>
          <xdr:colOff>0</xdr:colOff>
          <xdr:row>3</xdr:row>
          <xdr:rowOff>38100</xdr:rowOff>
        </xdr:to>
        <xdr:sp macro="" textlink="">
          <xdr:nvSpPr>
            <xdr:cNvPr id="52410" name="ComboBox_8" hidden="1">
              <a:extLst>
                <a:ext uri="{63B3BB69-23CF-44E3-9099-C40C66FF867C}">
                  <a14:compatExt spid="_x0000_s52410"/>
                </a:ext>
                <a:ext uri="{FF2B5EF4-FFF2-40B4-BE49-F238E27FC236}">
                  <a16:creationId xmlns:a16="http://schemas.microsoft.com/office/drawing/2014/main" id="{00000000-0008-0000-0300-0000BAC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142</xdr:col>
          <xdr:colOff>9525</xdr:colOff>
          <xdr:row>1</xdr:row>
          <xdr:rowOff>180975</xdr:rowOff>
        </xdr:from>
        <xdr:to>
          <xdr:col>145</xdr:col>
          <xdr:colOff>600075</xdr:colOff>
          <xdr:row>3</xdr:row>
          <xdr:rowOff>28575</xdr:rowOff>
        </xdr:to>
        <xdr:sp macro="" textlink="">
          <xdr:nvSpPr>
            <xdr:cNvPr id="52412" name="ComboBox_10" hidden="1">
              <a:extLst>
                <a:ext uri="{63B3BB69-23CF-44E3-9099-C40C66FF867C}">
                  <a14:compatExt spid="_x0000_s52412"/>
                </a:ext>
                <a:ext uri="{FF2B5EF4-FFF2-40B4-BE49-F238E27FC236}">
                  <a16:creationId xmlns:a16="http://schemas.microsoft.com/office/drawing/2014/main" id="{00000000-0008-0000-0300-0000BCC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139</xdr:col>
          <xdr:colOff>542925</xdr:colOff>
          <xdr:row>6</xdr:row>
          <xdr:rowOff>180975</xdr:rowOff>
        </xdr:from>
        <xdr:to>
          <xdr:col>141</xdr:col>
          <xdr:colOff>600075</xdr:colOff>
          <xdr:row>8</xdr:row>
          <xdr:rowOff>0</xdr:rowOff>
        </xdr:to>
        <xdr:sp macro="" textlink="">
          <xdr:nvSpPr>
            <xdr:cNvPr id="52485" name="ComboBox_21" hidden="1">
              <a:extLst>
                <a:ext uri="{63B3BB69-23CF-44E3-9099-C40C66FF867C}">
                  <a14:compatExt spid="_x0000_s52485"/>
                </a:ext>
                <a:ext uri="{FF2B5EF4-FFF2-40B4-BE49-F238E27FC236}">
                  <a16:creationId xmlns:a16="http://schemas.microsoft.com/office/drawing/2014/main" id="{00000000-0008-0000-0300-000005CD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139</xdr:col>
          <xdr:colOff>542925</xdr:colOff>
          <xdr:row>5</xdr:row>
          <xdr:rowOff>161925</xdr:rowOff>
        </xdr:from>
        <xdr:to>
          <xdr:col>141</xdr:col>
          <xdr:colOff>600075</xdr:colOff>
          <xdr:row>6</xdr:row>
          <xdr:rowOff>200025</xdr:rowOff>
        </xdr:to>
        <xdr:sp macro="" textlink="">
          <xdr:nvSpPr>
            <xdr:cNvPr id="52430" name="ComboBox_20" hidden="1">
              <a:extLst>
                <a:ext uri="{63B3BB69-23CF-44E3-9099-C40C66FF867C}">
                  <a14:compatExt spid="_x0000_s52430"/>
                </a:ext>
                <a:ext uri="{FF2B5EF4-FFF2-40B4-BE49-F238E27FC236}">
                  <a16:creationId xmlns:a16="http://schemas.microsoft.com/office/drawing/2014/main" id="{00000000-0008-0000-0300-0000CEC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139</xdr:col>
          <xdr:colOff>542925</xdr:colOff>
          <xdr:row>4</xdr:row>
          <xdr:rowOff>171450</xdr:rowOff>
        </xdr:from>
        <xdr:to>
          <xdr:col>141</xdr:col>
          <xdr:colOff>600075</xdr:colOff>
          <xdr:row>6</xdr:row>
          <xdr:rowOff>19050</xdr:rowOff>
        </xdr:to>
        <xdr:sp macro="" textlink="">
          <xdr:nvSpPr>
            <xdr:cNvPr id="52422" name="ComboBox_19" hidden="1">
              <a:extLst>
                <a:ext uri="{63B3BB69-23CF-44E3-9099-C40C66FF867C}">
                  <a14:compatExt spid="_x0000_s52422"/>
                </a:ext>
                <a:ext uri="{FF2B5EF4-FFF2-40B4-BE49-F238E27FC236}">
                  <a16:creationId xmlns:a16="http://schemas.microsoft.com/office/drawing/2014/main" id="{00000000-0008-0000-0300-0000C6C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139</xdr:col>
          <xdr:colOff>542925</xdr:colOff>
          <xdr:row>3</xdr:row>
          <xdr:rowOff>171450</xdr:rowOff>
        </xdr:from>
        <xdr:to>
          <xdr:col>141</xdr:col>
          <xdr:colOff>600075</xdr:colOff>
          <xdr:row>5</xdr:row>
          <xdr:rowOff>19050</xdr:rowOff>
        </xdr:to>
        <xdr:sp macro="" textlink="">
          <xdr:nvSpPr>
            <xdr:cNvPr id="52431" name="ComboBox_18" hidden="1">
              <a:extLst>
                <a:ext uri="{63B3BB69-23CF-44E3-9099-C40C66FF867C}">
                  <a14:compatExt spid="_x0000_s52431"/>
                </a:ext>
                <a:ext uri="{FF2B5EF4-FFF2-40B4-BE49-F238E27FC236}">
                  <a16:creationId xmlns:a16="http://schemas.microsoft.com/office/drawing/2014/main" id="{00000000-0008-0000-0300-0000CFC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138</xdr:col>
          <xdr:colOff>19050</xdr:colOff>
          <xdr:row>2</xdr:row>
          <xdr:rowOff>0</xdr:rowOff>
        </xdr:from>
        <xdr:to>
          <xdr:col>142</xdr:col>
          <xdr:colOff>0</xdr:colOff>
          <xdr:row>3</xdr:row>
          <xdr:rowOff>38100</xdr:rowOff>
        </xdr:to>
        <xdr:sp macro="" textlink="">
          <xdr:nvSpPr>
            <xdr:cNvPr id="52407" name="ComboBox_5" hidden="1">
              <a:extLst>
                <a:ext uri="{63B3BB69-23CF-44E3-9099-C40C66FF867C}">
                  <a14:compatExt spid="_x0000_s52407"/>
                </a:ext>
                <a:ext uri="{FF2B5EF4-FFF2-40B4-BE49-F238E27FC236}">
                  <a16:creationId xmlns:a16="http://schemas.microsoft.com/office/drawing/2014/main" id="{00000000-0008-0000-0300-0000B7C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131</xdr:col>
          <xdr:colOff>542925</xdr:colOff>
          <xdr:row>4</xdr:row>
          <xdr:rowOff>180975</xdr:rowOff>
        </xdr:from>
        <xdr:to>
          <xdr:col>133</xdr:col>
          <xdr:colOff>600075</xdr:colOff>
          <xdr:row>6</xdr:row>
          <xdr:rowOff>28575</xdr:rowOff>
        </xdr:to>
        <xdr:sp macro="" textlink="">
          <xdr:nvSpPr>
            <xdr:cNvPr id="52411" name="ComboBox_9" hidden="1">
              <a:extLst>
                <a:ext uri="{63B3BB69-23CF-44E3-9099-C40C66FF867C}">
                  <a14:compatExt spid="_x0000_s52411"/>
                </a:ext>
                <a:ext uri="{FF2B5EF4-FFF2-40B4-BE49-F238E27FC236}">
                  <a16:creationId xmlns:a16="http://schemas.microsoft.com/office/drawing/2014/main" id="{00000000-0008-0000-0300-0000BBC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131</xdr:col>
          <xdr:colOff>542925</xdr:colOff>
          <xdr:row>3</xdr:row>
          <xdr:rowOff>152400</xdr:rowOff>
        </xdr:from>
        <xdr:to>
          <xdr:col>133</xdr:col>
          <xdr:colOff>600075</xdr:colOff>
          <xdr:row>5</xdr:row>
          <xdr:rowOff>0</xdr:rowOff>
        </xdr:to>
        <xdr:sp macro="" textlink="">
          <xdr:nvSpPr>
            <xdr:cNvPr id="52413" name="ComboBox_11" hidden="1">
              <a:extLst>
                <a:ext uri="{63B3BB69-23CF-44E3-9099-C40C66FF867C}">
                  <a14:compatExt spid="_x0000_s52413"/>
                </a:ext>
                <a:ext uri="{FF2B5EF4-FFF2-40B4-BE49-F238E27FC236}">
                  <a16:creationId xmlns:a16="http://schemas.microsoft.com/office/drawing/2014/main" id="{00000000-0008-0000-0300-0000BDC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129</xdr:col>
          <xdr:colOff>0</xdr:colOff>
          <xdr:row>2</xdr:row>
          <xdr:rowOff>0</xdr:rowOff>
        </xdr:from>
        <xdr:to>
          <xdr:col>134</xdr:col>
          <xdr:colOff>9525</xdr:colOff>
          <xdr:row>3</xdr:row>
          <xdr:rowOff>38100</xdr:rowOff>
        </xdr:to>
        <xdr:sp macro="" textlink="">
          <xdr:nvSpPr>
            <xdr:cNvPr id="52408" name="ComboBox_6" hidden="1">
              <a:extLst>
                <a:ext uri="{63B3BB69-23CF-44E3-9099-C40C66FF867C}">
                  <a14:compatExt spid="_x0000_s52408"/>
                </a:ext>
                <a:ext uri="{FF2B5EF4-FFF2-40B4-BE49-F238E27FC236}">
                  <a16:creationId xmlns:a16="http://schemas.microsoft.com/office/drawing/2014/main" id="{00000000-0008-0000-0300-0000B8C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117</xdr:col>
          <xdr:colOff>19050</xdr:colOff>
          <xdr:row>1</xdr:row>
          <xdr:rowOff>171450</xdr:rowOff>
        </xdr:from>
        <xdr:to>
          <xdr:col>120</xdr:col>
          <xdr:colOff>600075</xdr:colOff>
          <xdr:row>3</xdr:row>
          <xdr:rowOff>19050</xdr:rowOff>
        </xdr:to>
        <xdr:sp macro="" textlink="">
          <xdr:nvSpPr>
            <xdr:cNvPr id="52409" name="ComboBox_7" hidden="1">
              <a:extLst>
                <a:ext uri="{63B3BB69-23CF-44E3-9099-C40C66FF867C}">
                  <a14:compatExt spid="_x0000_s52409"/>
                </a:ext>
                <a:ext uri="{FF2B5EF4-FFF2-40B4-BE49-F238E27FC236}">
                  <a16:creationId xmlns:a16="http://schemas.microsoft.com/office/drawing/2014/main" id="{00000000-0008-0000-0300-0000B9C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117</xdr:col>
          <xdr:colOff>9525</xdr:colOff>
          <xdr:row>4</xdr:row>
          <xdr:rowOff>171450</xdr:rowOff>
        </xdr:from>
        <xdr:to>
          <xdr:col>120</xdr:col>
          <xdr:colOff>600075</xdr:colOff>
          <xdr:row>6</xdr:row>
          <xdr:rowOff>19050</xdr:rowOff>
        </xdr:to>
        <xdr:sp macro="" textlink="">
          <xdr:nvSpPr>
            <xdr:cNvPr id="52481" name="ComboBox_13" hidden="1">
              <a:extLst>
                <a:ext uri="{63B3BB69-23CF-44E3-9099-C40C66FF867C}">
                  <a14:compatExt spid="_x0000_s52481"/>
                </a:ext>
                <a:ext uri="{FF2B5EF4-FFF2-40B4-BE49-F238E27FC236}">
                  <a16:creationId xmlns:a16="http://schemas.microsoft.com/office/drawing/2014/main" id="{00000000-0008-0000-0300-000001CD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122</xdr:col>
          <xdr:colOff>542925</xdr:colOff>
          <xdr:row>6</xdr:row>
          <xdr:rowOff>200025</xdr:rowOff>
        </xdr:from>
        <xdr:to>
          <xdr:col>124</xdr:col>
          <xdr:colOff>600075</xdr:colOff>
          <xdr:row>8</xdr:row>
          <xdr:rowOff>19050</xdr:rowOff>
        </xdr:to>
        <xdr:sp macro="" textlink="">
          <xdr:nvSpPr>
            <xdr:cNvPr id="52489" name="ComboBox_17" hidden="1">
              <a:extLst>
                <a:ext uri="{63B3BB69-23CF-44E3-9099-C40C66FF867C}">
                  <a14:compatExt spid="_x0000_s52489"/>
                </a:ext>
                <a:ext uri="{FF2B5EF4-FFF2-40B4-BE49-F238E27FC236}">
                  <a16:creationId xmlns:a16="http://schemas.microsoft.com/office/drawing/2014/main" id="{00000000-0008-0000-0300-000009CD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122</xdr:col>
          <xdr:colOff>542925</xdr:colOff>
          <xdr:row>6</xdr:row>
          <xdr:rowOff>9525</xdr:rowOff>
        </xdr:from>
        <xdr:to>
          <xdr:col>124</xdr:col>
          <xdr:colOff>600075</xdr:colOff>
          <xdr:row>7</xdr:row>
          <xdr:rowOff>19050</xdr:rowOff>
        </xdr:to>
        <xdr:sp macro="" textlink="">
          <xdr:nvSpPr>
            <xdr:cNvPr id="52488" name="ComboBox_16" hidden="1">
              <a:extLst>
                <a:ext uri="{63B3BB69-23CF-44E3-9099-C40C66FF867C}">
                  <a14:compatExt spid="_x0000_s52488"/>
                </a:ext>
                <a:ext uri="{FF2B5EF4-FFF2-40B4-BE49-F238E27FC236}">
                  <a16:creationId xmlns:a16="http://schemas.microsoft.com/office/drawing/2014/main" id="{00000000-0008-0000-0300-000008CD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122</xdr:col>
          <xdr:colOff>542925</xdr:colOff>
          <xdr:row>5</xdr:row>
          <xdr:rowOff>9525</xdr:rowOff>
        </xdr:from>
        <xdr:to>
          <xdr:col>124</xdr:col>
          <xdr:colOff>600075</xdr:colOff>
          <xdr:row>6</xdr:row>
          <xdr:rowOff>47625</xdr:rowOff>
        </xdr:to>
        <xdr:sp macro="" textlink="">
          <xdr:nvSpPr>
            <xdr:cNvPr id="52487" name="ComboBox_15" hidden="1">
              <a:extLst>
                <a:ext uri="{63B3BB69-23CF-44E3-9099-C40C66FF867C}">
                  <a14:compatExt spid="_x0000_s52487"/>
                </a:ext>
                <a:ext uri="{FF2B5EF4-FFF2-40B4-BE49-F238E27FC236}">
                  <a16:creationId xmlns:a16="http://schemas.microsoft.com/office/drawing/2014/main" id="{00000000-0008-0000-0300-000007CD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121</xdr:col>
          <xdr:colOff>19050</xdr:colOff>
          <xdr:row>2</xdr:row>
          <xdr:rowOff>0</xdr:rowOff>
        </xdr:from>
        <xdr:to>
          <xdr:col>125</xdr:col>
          <xdr:colOff>0</xdr:colOff>
          <xdr:row>3</xdr:row>
          <xdr:rowOff>38100</xdr:rowOff>
        </xdr:to>
        <xdr:sp macro="" textlink="">
          <xdr:nvSpPr>
            <xdr:cNvPr id="52443" name="ComboBox_12" hidden="1">
              <a:extLst>
                <a:ext uri="{63B3BB69-23CF-44E3-9099-C40C66FF867C}">
                  <a14:compatExt spid="_x0000_s52443"/>
                </a:ext>
                <a:ext uri="{FF2B5EF4-FFF2-40B4-BE49-F238E27FC236}">
                  <a16:creationId xmlns:a16="http://schemas.microsoft.com/office/drawing/2014/main" id="{00000000-0008-0000-0300-0000DBCC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138</xdr:col>
          <xdr:colOff>561975</xdr:colOff>
          <xdr:row>17</xdr:row>
          <xdr:rowOff>161925</xdr:rowOff>
        </xdr:from>
        <xdr:to>
          <xdr:col>143</xdr:col>
          <xdr:colOff>0</xdr:colOff>
          <xdr:row>19</xdr:row>
          <xdr:rowOff>0</xdr:rowOff>
        </xdr:to>
        <xdr:sp macro="" textlink="">
          <xdr:nvSpPr>
            <xdr:cNvPr id="52491" name="ComboBox_22" hidden="1">
              <a:extLst>
                <a:ext uri="{63B3BB69-23CF-44E3-9099-C40C66FF867C}">
                  <a14:compatExt spid="_x0000_s52491"/>
                </a:ext>
                <a:ext uri="{FF2B5EF4-FFF2-40B4-BE49-F238E27FC236}">
                  <a16:creationId xmlns:a16="http://schemas.microsoft.com/office/drawing/2014/main" id="{00000000-0008-0000-0300-00000BCD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138</xdr:col>
          <xdr:colOff>533400</xdr:colOff>
          <xdr:row>19</xdr:row>
          <xdr:rowOff>161925</xdr:rowOff>
        </xdr:from>
        <xdr:to>
          <xdr:col>143</xdr:col>
          <xdr:colOff>600075</xdr:colOff>
          <xdr:row>21</xdr:row>
          <xdr:rowOff>0</xdr:rowOff>
        </xdr:to>
        <xdr:sp macro="" textlink="">
          <xdr:nvSpPr>
            <xdr:cNvPr id="52493" name="ComboBox_23" hidden="1">
              <a:extLst>
                <a:ext uri="{63B3BB69-23CF-44E3-9099-C40C66FF867C}">
                  <a14:compatExt spid="_x0000_s52493"/>
                </a:ext>
                <a:ext uri="{FF2B5EF4-FFF2-40B4-BE49-F238E27FC236}">
                  <a16:creationId xmlns:a16="http://schemas.microsoft.com/office/drawing/2014/main" id="{00000000-0008-0000-0300-00000DCD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122</xdr:col>
          <xdr:colOff>542925</xdr:colOff>
          <xdr:row>3</xdr:row>
          <xdr:rowOff>180975</xdr:rowOff>
        </xdr:from>
        <xdr:to>
          <xdr:col>124</xdr:col>
          <xdr:colOff>600075</xdr:colOff>
          <xdr:row>5</xdr:row>
          <xdr:rowOff>28575</xdr:rowOff>
        </xdr:to>
        <xdr:sp macro="" textlink="">
          <xdr:nvSpPr>
            <xdr:cNvPr id="52494" name="ComboBox_14" hidden="1">
              <a:extLst>
                <a:ext uri="{63B3BB69-23CF-44E3-9099-C40C66FF867C}">
                  <a14:compatExt spid="_x0000_s52494"/>
                </a:ext>
                <a:ext uri="{FF2B5EF4-FFF2-40B4-BE49-F238E27FC236}">
                  <a16:creationId xmlns:a16="http://schemas.microsoft.com/office/drawing/2014/main" id="{00000000-0008-0000-0300-00000ECD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139</xdr:col>
          <xdr:colOff>542925</xdr:colOff>
          <xdr:row>30</xdr:row>
          <xdr:rowOff>180975</xdr:rowOff>
        </xdr:from>
        <xdr:to>
          <xdr:col>141</xdr:col>
          <xdr:colOff>600075</xdr:colOff>
          <xdr:row>32</xdr:row>
          <xdr:rowOff>19050</xdr:rowOff>
        </xdr:to>
        <xdr:sp macro="" textlink="">
          <xdr:nvSpPr>
            <xdr:cNvPr id="52529" name="ComboBox_29" hidden="1">
              <a:extLst>
                <a:ext uri="{63B3BB69-23CF-44E3-9099-C40C66FF867C}">
                  <a14:compatExt spid="_x0000_s52529"/>
                </a:ext>
                <a:ext uri="{FF2B5EF4-FFF2-40B4-BE49-F238E27FC236}">
                  <a16:creationId xmlns:a16="http://schemas.microsoft.com/office/drawing/2014/main" id="{00000000-0008-0000-0300-000031CD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139</xdr:col>
          <xdr:colOff>542925</xdr:colOff>
          <xdr:row>27</xdr:row>
          <xdr:rowOff>180975</xdr:rowOff>
        </xdr:from>
        <xdr:to>
          <xdr:col>141</xdr:col>
          <xdr:colOff>600075</xdr:colOff>
          <xdr:row>29</xdr:row>
          <xdr:rowOff>19050</xdr:rowOff>
        </xdr:to>
        <xdr:sp macro="" textlink="">
          <xdr:nvSpPr>
            <xdr:cNvPr id="52526" name="ComboBox_28" hidden="1">
              <a:extLst>
                <a:ext uri="{63B3BB69-23CF-44E3-9099-C40C66FF867C}">
                  <a14:compatExt spid="_x0000_s52526"/>
                </a:ext>
                <a:ext uri="{FF2B5EF4-FFF2-40B4-BE49-F238E27FC236}">
                  <a16:creationId xmlns:a16="http://schemas.microsoft.com/office/drawing/2014/main" id="{00000000-0008-0000-0300-00002ECD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139</xdr:col>
          <xdr:colOff>542925</xdr:colOff>
          <xdr:row>26</xdr:row>
          <xdr:rowOff>171450</xdr:rowOff>
        </xdr:from>
        <xdr:to>
          <xdr:col>141</xdr:col>
          <xdr:colOff>600075</xdr:colOff>
          <xdr:row>28</xdr:row>
          <xdr:rowOff>9525</xdr:rowOff>
        </xdr:to>
        <xdr:sp macro="" textlink="">
          <xdr:nvSpPr>
            <xdr:cNvPr id="52527" name="ComboBox_27" hidden="1">
              <a:extLst>
                <a:ext uri="{63B3BB69-23CF-44E3-9099-C40C66FF867C}">
                  <a14:compatExt spid="_x0000_s52527"/>
                </a:ext>
                <a:ext uri="{FF2B5EF4-FFF2-40B4-BE49-F238E27FC236}">
                  <a16:creationId xmlns:a16="http://schemas.microsoft.com/office/drawing/2014/main" id="{00000000-0008-0000-0300-00002FCD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139</xdr:col>
          <xdr:colOff>542925</xdr:colOff>
          <xdr:row>25</xdr:row>
          <xdr:rowOff>171450</xdr:rowOff>
        </xdr:from>
        <xdr:to>
          <xdr:col>141</xdr:col>
          <xdr:colOff>600075</xdr:colOff>
          <xdr:row>27</xdr:row>
          <xdr:rowOff>9525</xdr:rowOff>
        </xdr:to>
        <xdr:sp macro="" textlink="">
          <xdr:nvSpPr>
            <xdr:cNvPr id="52499" name="ComboBox_26" hidden="1">
              <a:extLst>
                <a:ext uri="{63B3BB69-23CF-44E3-9099-C40C66FF867C}">
                  <a14:compatExt spid="_x0000_s52499"/>
                </a:ext>
                <a:ext uri="{FF2B5EF4-FFF2-40B4-BE49-F238E27FC236}">
                  <a16:creationId xmlns:a16="http://schemas.microsoft.com/office/drawing/2014/main" id="{00000000-0008-0000-0300-000013CD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139</xdr:col>
          <xdr:colOff>542925</xdr:colOff>
          <xdr:row>24</xdr:row>
          <xdr:rowOff>161925</xdr:rowOff>
        </xdr:from>
        <xdr:to>
          <xdr:col>141</xdr:col>
          <xdr:colOff>600075</xdr:colOff>
          <xdr:row>26</xdr:row>
          <xdr:rowOff>0</xdr:rowOff>
        </xdr:to>
        <xdr:sp macro="" textlink="">
          <xdr:nvSpPr>
            <xdr:cNvPr id="52500" name="ComboBox_25" hidden="1">
              <a:extLst>
                <a:ext uri="{63B3BB69-23CF-44E3-9099-C40C66FF867C}">
                  <a14:compatExt spid="_x0000_s52500"/>
                </a:ext>
                <a:ext uri="{FF2B5EF4-FFF2-40B4-BE49-F238E27FC236}">
                  <a16:creationId xmlns:a16="http://schemas.microsoft.com/office/drawing/2014/main" id="{00000000-0008-0000-0300-000014CD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139</xdr:col>
          <xdr:colOff>542925</xdr:colOff>
          <xdr:row>23</xdr:row>
          <xdr:rowOff>142875</xdr:rowOff>
        </xdr:from>
        <xdr:to>
          <xdr:col>141</xdr:col>
          <xdr:colOff>600075</xdr:colOff>
          <xdr:row>24</xdr:row>
          <xdr:rowOff>180975</xdr:rowOff>
        </xdr:to>
        <xdr:sp macro="" textlink="">
          <xdr:nvSpPr>
            <xdr:cNvPr id="52501" name="ComboBox_24" hidden="1">
              <a:extLst>
                <a:ext uri="{63B3BB69-23CF-44E3-9099-C40C66FF867C}">
                  <a14:compatExt spid="_x0000_s52501"/>
                </a:ext>
                <a:ext uri="{FF2B5EF4-FFF2-40B4-BE49-F238E27FC236}">
                  <a16:creationId xmlns:a16="http://schemas.microsoft.com/office/drawing/2014/main" id="{00000000-0008-0000-0300-000015CD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139</xdr:col>
          <xdr:colOff>542925</xdr:colOff>
          <xdr:row>33</xdr:row>
          <xdr:rowOff>180975</xdr:rowOff>
        </xdr:from>
        <xdr:to>
          <xdr:col>141</xdr:col>
          <xdr:colOff>600075</xdr:colOff>
          <xdr:row>35</xdr:row>
          <xdr:rowOff>19050</xdr:rowOff>
        </xdr:to>
        <xdr:sp macro="" textlink="">
          <xdr:nvSpPr>
            <xdr:cNvPr id="52531" name="ComboBox_30" hidden="1">
              <a:extLst>
                <a:ext uri="{63B3BB69-23CF-44E3-9099-C40C66FF867C}">
                  <a14:compatExt spid="_x0000_s52531"/>
                </a:ext>
                <a:ext uri="{FF2B5EF4-FFF2-40B4-BE49-F238E27FC236}">
                  <a16:creationId xmlns:a16="http://schemas.microsoft.com/office/drawing/2014/main" id="{00000000-0008-0000-0300-000033CD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5.xml><?xml version="1.0" encoding="utf-8"?>
<xdr:wsDr xmlns:xdr="http://schemas.openxmlformats.org/drawingml/2006/spreadsheetDrawing" xmlns:a="http://schemas.openxmlformats.org/drawingml/2006/main">
  <xdr:twoCellAnchor>
    <xdr:from>
      <xdr:col>72</xdr:col>
      <xdr:colOff>361950</xdr:colOff>
      <xdr:row>6</xdr:row>
      <xdr:rowOff>47625</xdr:rowOff>
    </xdr:from>
    <xdr:to>
      <xdr:col>77</xdr:col>
      <xdr:colOff>104775</xdr:colOff>
      <xdr:row>13</xdr:row>
      <xdr:rowOff>180975</xdr:rowOff>
    </xdr:to>
    <xdr:sp macro="" textlink="">
      <xdr:nvSpPr>
        <xdr:cNvPr id="2" name="Rectangle 1">
          <a:extLst>
            <a:ext uri="{FF2B5EF4-FFF2-40B4-BE49-F238E27FC236}">
              <a16:creationId xmlns:a16="http://schemas.microsoft.com/office/drawing/2014/main" id="{CEF0FCB5-4061-4DB9-AEF3-EF5035BF014D}"/>
            </a:ext>
          </a:extLst>
        </xdr:cNvPr>
        <xdr:cNvSpPr/>
      </xdr:nvSpPr>
      <xdr:spPr>
        <a:xfrm>
          <a:off x="5581650" y="1514475"/>
          <a:ext cx="2790825" cy="1543050"/>
        </a:xfrm>
        <a:prstGeom prst="rect">
          <a:avLst/>
        </a:prstGeom>
        <a:no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63</xdr:col>
      <xdr:colOff>247650</xdr:colOff>
      <xdr:row>6</xdr:row>
      <xdr:rowOff>47624</xdr:rowOff>
    </xdr:from>
    <xdr:to>
      <xdr:col>72</xdr:col>
      <xdr:colOff>209551</xdr:colOff>
      <xdr:row>13</xdr:row>
      <xdr:rowOff>171449</xdr:rowOff>
    </xdr:to>
    <xdr:sp macro="" textlink="">
      <xdr:nvSpPr>
        <xdr:cNvPr id="3" name="Rectangle 2">
          <a:extLst>
            <a:ext uri="{FF2B5EF4-FFF2-40B4-BE49-F238E27FC236}">
              <a16:creationId xmlns:a16="http://schemas.microsoft.com/office/drawing/2014/main" id="{F82F8889-2399-49D4-B672-DA3D79C3CAE6}"/>
            </a:ext>
          </a:extLst>
        </xdr:cNvPr>
        <xdr:cNvSpPr/>
      </xdr:nvSpPr>
      <xdr:spPr>
        <a:xfrm>
          <a:off x="247650" y="1514474"/>
          <a:ext cx="5181601" cy="1533525"/>
        </a:xfrm>
        <a:prstGeom prst="rect">
          <a:avLst/>
        </a:prstGeom>
        <a:no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mc:AlternateContent xmlns:mc="http://schemas.openxmlformats.org/markup-compatibility/2006">
    <mc:Choice xmlns:a14="http://schemas.microsoft.com/office/drawing/2010/main" Requires="a14">
      <xdr:twoCellAnchor editAs="oneCell">
        <xdr:from>
          <xdr:col>74</xdr:col>
          <xdr:colOff>600075</xdr:colOff>
          <xdr:row>8</xdr:row>
          <xdr:rowOff>171450</xdr:rowOff>
        </xdr:from>
        <xdr:to>
          <xdr:col>77</xdr:col>
          <xdr:colOff>0</xdr:colOff>
          <xdr:row>10</xdr:row>
          <xdr:rowOff>9525</xdr:rowOff>
        </xdr:to>
        <xdr:sp macro="" textlink="">
          <xdr:nvSpPr>
            <xdr:cNvPr id="141313" name="ComboBox_2" hidden="1">
              <a:extLst>
                <a:ext uri="{63B3BB69-23CF-44E3-9099-C40C66FF867C}">
                  <a14:compatExt spid="_x0000_s141313"/>
                </a:ext>
                <a:ext uri="{FF2B5EF4-FFF2-40B4-BE49-F238E27FC236}">
                  <a16:creationId xmlns:a16="http://schemas.microsoft.com/office/drawing/2014/main" id="{00000000-0008-0000-0400-0000012802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68</xdr:col>
          <xdr:colOff>600075</xdr:colOff>
          <xdr:row>6</xdr:row>
          <xdr:rowOff>180975</xdr:rowOff>
        </xdr:from>
        <xdr:to>
          <xdr:col>72</xdr:col>
          <xdr:colOff>142875</xdr:colOff>
          <xdr:row>8</xdr:row>
          <xdr:rowOff>19050</xdr:rowOff>
        </xdr:to>
        <xdr:sp macro="" textlink="">
          <xdr:nvSpPr>
            <xdr:cNvPr id="141314" name="ComboBox_3" hidden="1">
              <a:extLst>
                <a:ext uri="{63B3BB69-23CF-44E3-9099-C40C66FF867C}">
                  <a14:compatExt spid="_x0000_s141314"/>
                </a:ext>
                <a:ext uri="{FF2B5EF4-FFF2-40B4-BE49-F238E27FC236}">
                  <a16:creationId xmlns:a16="http://schemas.microsoft.com/office/drawing/2014/main" id="{00000000-0008-0000-0400-0000022802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74</xdr:col>
          <xdr:colOff>600075</xdr:colOff>
          <xdr:row>6</xdr:row>
          <xdr:rowOff>171450</xdr:rowOff>
        </xdr:from>
        <xdr:to>
          <xdr:col>77</xdr:col>
          <xdr:colOff>0</xdr:colOff>
          <xdr:row>8</xdr:row>
          <xdr:rowOff>9525</xdr:rowOff>
        </xdr:to>
        <xdr:sp macro="" textlink="">
          <xdr:nvSpPr>
            <xdr:cNvPr id="141315" name="ComboBox_4" hidden="1">
              <a:extLst>
                <a:ext uri="{63B3BB69-23CF-44E3-9099-C40C66FF867C}">
                  <a14:compatExt spid="_x0000_s141315"/>
                </a:ext>
                <a:ext uri="{FF2B5EF4-FFF2-40B4-BE49-F238E27FC236}">
                  <a16:creationId xmlns:a16="http://schemas.microsoft.com/office/drawing/2014/main" id="{00000000-0008-0000-0400-0000032802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68</xdr:col>
          <xdr:colOff>600075</xdr:colOff>
          <xdr:row>8</xdr:row>
          <xdr:rowOff>180975</xdr:rowOff>
        </xdr:from>
        <xdr:to>
          <xdr:col>72</xdr:col>
          <xdr:colOff>142875</xdr:colOff>
          <xdr:row>10</xdr:row>
          <xdr:rowOff>19050</xdr:rowOff>
        </xdr:to>
        <xdr:sp macro="" textlink="">
          <xdr:nvSpPr>
            <xdr:cNvPr id="141316" name="ComboBox_5" hidden="1">
              <a:extLst>
                <a:ext uri="{63B3BB69-23CF-44E3-9099-C40C66FF867C}">
                  <a14:compatExt spid="_x0000_s141316"/>
                </a:ext>
                <a:ext uri="{FF2B5EF4-FFF2-40B4-BE49-F238E27FC236}">
                  <a16:creationId xmlns:a16="http://schemas.microsoft.com/office/drawing/2014/main" id="{00000000-0008-0000-0400-0000042802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68</xdr:col>
          <xdr:colOff>600075</xdr:colOff>
          <xdr:row>10</xdr:row>
          <xdr:rowOff>171450</xdr:rowOff>
        </xdr:from>
        <xdr:to>
          <xdr:col>72</xdr:col>
          <xdr:colOff>142875</xdr:colOff>
          <xdr:row>12</xdr:row>
          <xdr:rowOff>9525</xdr:rowOff>
        </xdr:to>
        <xdr:sp macro="" textlink="">
          <xdr:nvSpPr>
            <xdr:cNvPr id="141317" name="ComboBox_6" hidden="1">
              <a:extLst>
                <a:ext uri="{63B3BB69-23CF-44E3-9099-C40C66FF867C}">
                  <a14:compatExt spid="_x0000_s141317"/>
                </a:ext>
                <a:ext uri="{FF2B5EF4-FFF2-40B4-BE49-F238E27FC236}">
                  <a16:creationId xmlns:a16="http://schemas.microsoft.com/office/drawing/2014/main" id="{00000000-0008-0000-0400-0000052802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64</xdr:col>
          <xdr:colOff>0</xdr:colOff>
          <xdr:row>9</xdr:row>
          <xdr:rowOff>171450</xdr:rowOff>
        </xdr:from>
        <xdr:to>
          <xdr:col>66</xdr:col>
          <xdr:colOff>9525</xdr:colOff>
          <xdr:row>11</xdr:row>
          <xdr:rowOff>9525</xdr:rowOff>
        </xdr:to>
        <xdr:sp macro="" textlink="">
          <xdr:nvSpPr>
            <xdr:cNvPr id="141318" name="ComboBox_1" hidden="1">
              <a:extLst>
                <a:ext uri="{63B3BB69-23CF-44E3-9099-C40C66FF867C}">
                  <a14:compatExt spid="_x0000_s141318"/>
                </a:ext>
                <a:ext uri="{FF2B5EF4-FFF2-40B4-BE49-F238E27FC236}">
                  <a16:creationId xmlns:a16="http://schemas.microsoft.com/office/drawing/2014/main" id="{00000000-0008-0000-0400-0000062802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6.xml><?xml version="1.0" encoding="utf-8"?>
<xdr:wsDr xmlns:xdr="http://schemas.openxmlformats.org/drawingml/2006/spreadsheetDrawing" xmlns:a="http://schemas.openxmlformats.org/drawingml/2006/main">
  <xdr:twoCellAnchor>
    <xdr:from>
      <xdr:col>79</xdr:col>
      <xdr:colOff>4598</xdr:colOff>
      <xdr:row>26</xdr:row>
      <xdr:rowOff>133350</xdr:rowOff>
    </xdr:from>
    <xdr:to>
      <xdr:col>91</xdr:col>
      <xdr:colOff>514349</xdr:colOff>
      <xdr:row>29</xdr:row>
      <xdr:rowOff>180974</xdr:rowOff>
    </xdr:to>
    <xdr:sp macro="" textlink="">
      <xdr:nvSpPr>
        <xdr:cNvPr id="3" name="TextBox 2">
          <a:extLst>
            <a:ext uri="{FF2B5EF4-FFF2-40B4-BE49-F238E27FC236}">
              <a16:creationId xmlns:a16="http://schemas.microsoft.com/office/drawing/2014/main" id="{00000000-0008-0000-0500-000003000000}"/>
            </a:ext>
          </a:extLst>
        </xdr:cNvPr>
        <xdr:cNvSpPr txBox="1"/>
      </xdr:nvSpPr>
      <xdr:spPr>
        <a:xfrm>
          <a:off x="9481973" y="7696200"/>
          <a:ext cx="7824951" cy="6572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900"/>
            <a:t>Calculation</a:t>
          </a:r>
          <a:r>
            <a:rPr lang="en-NZ" sz="900" baseline="0"/>
            <a:t> uses </a:t>
          </a:r>
          <a:r>
            <a:rPr lang="en-NZ" sz="900"/>
            <a:t>H1/AS1 2.1.3.7 except using perimeter length instead of area to proportionally weight the (same area) 'perimeter edge insulated' and 'perimeter edge un-insulated'</a:t>
          </a:r>
          <a:r>
            <a:rPr lang="en-NZ" sz="900" baseline="0"/>
            <a:t> </a:t>
          </a:r>
          <a:r>
            <a:rPr lang="en-NZ" sz="1100" baseline="0">
              <a:solidFill>
                <a:schemeClr val="dk1"/>
              </a:solidFill>
              <a:effectLst/>
              <a:latin typeface="+mn-lt"/>
              <a:ea typeface="+mn-ea"/>
              <a:cs typeface="+mn-cs"/>
            </a:rPr>
            <a:t>U-</a:t>
          </a:r>
          <a:r>
            <a:rPr lang="en-NZ" sz="1100">
              <a:solidFill>
                <a:schemeClr val="dk1"/>
              </a:solidFill>
              <a:effectLst/>
              <a:latin typeface="+mn-lt"/>
              <a:ea typeface="+mn-ea"/>
              <a:cs typeface="+mn-cs"/>
            </a:rPr>
            <a:t>values (linear thermal transmittance).</a:t>
          </a:r>
          <a:endParaRPr lang="en-NZ" sz="900"/>
        </a:p>
      </xdr:txBody>
    </xdr:sp>
    <xdr:clientData/>
  </xdr:twoCellAnchor>
  <xdr:twoCellAnchor>
    <xdr:from>
      <xdr:col>79</xdr:col>
      <xdr:colOff>60435</xdr:colOff>
      <xdr:row>17</xdr:row>
      <xdr:rowOff>56494</xdr:rowOff>
    </xdr:from>
    <xdr:to>
      <xdr:col>92</xdr:col>
      <xdr:colOff>123824</xdr:colOff>
      <xdr:row>21</xdr:row>
      <xdr:rowOff>144846</xdr:rowOff>
    </xdr:to>
    <xdr:sp macro="" textlink="">
      <xdr:nvSpPr>
        <xdr:cNvPr id="4" name="TextBox 3">
          <a:extLst>
            <a:ext uri="{FF2B5EF4-FFF2-40B4-BE49-F238E27FC236}">
              <a16:creationId xmlns:a16="http://schemas.microsoft.com/office/drawing/2014/main" id="{00000000-0008-0000-0500-000004000000}"/>
            </a:ext>
          </a:extLst>
        </xdr:cNvPr>
        <xdr:cNvSpPr txBox="1"/>
      </xdr:nvSpPr>
      <xdr:spPr>
        <a:xfrm>
          <a:off x="9537810" y="5781019"/>
          <a:ext cx="7988189" cy="92655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r>
            <a:rPr lang="en-NZ" sz="1200" b="1"/>
            <a:t>Correction for when there is no vertical edge insulation between house and garage slabs</a:t>
          </a:r>
          <a:br>
            <a:rPr lang="en-NZ" sz="900" b="1"/>
          </a:br>
          <a:endParaRPr lang="en-NZ" sz="900" b="1"/>
        </a:p>
        <a:p>
          <a:pPr algn="l"/>
          <a:r>
            <a:rPr lang="en-NZ" sz="900"/>
            <a:t>These</a:t>
          </a:r>
          <a:r>
            <a:rPr lang="en-NZ" sz="900" baseline="0"/>
            <a:t> tables and the ones for slab-on-ground floors in H1/AS1, are based on the assumption that the insulation is full coverage, i.e under all of the slab (underslab insulation) or along all of the perimeter (vertical or horizontal edge insulation). If the insulation is not full coverage such as when there is no vertical perimeter insulation between a house and garage a correction will need to be made to account for the extra heatloss.</a:t>
          </a:r>
          <a:endParaRPr lang="en-NZ" sz="900"/>
        </a:p>
      </xdr:txBody>
    </xdr:sp>
    <xdr:clientData/>
  </xdr:twoCellAnchor>
  <xdr:twoCellAnchor>
    <xdr:from>
      <xdr:col>85</xdr:col>
      <xdr:colOff>62045</xdr:colOff>
      <xdr:row>21</xdr:row>
      <xdr:rowOff>195445</xdr:rowOff>
    </xdr:from>
    <xdr:to>
      <xdr:col>86</xdr:col>
      <xdr:colOff>68615</xdr:colOff>
      <xdr:row>23</xdr:row>
      <xdr:rowOff>18081</xdr:rowOff>
    </xdr:to>
    <xdr:sp macro="" textlink="">
      <xdr:nvSpPr>
        <xdr:cNvPr id="5" name="TextBox 4">
          <a:extLst>
            <a:ext uri="{FF2B5EF4-FFF2-40B4-BE49-F238E27FC236}">
              <a16:creationId xmlns:a16="http://schemas.microsoft.com/office/drawing/2014/main" id="{00000000-0008-0000-0500-000005000000}"/>
            </a:ext>
          </a:extLst>
        </xdr:cNvPr>
        <xdr:cNvSpPr txBox="1"/>
      </xdr:nvSpPr>
      <xdr:spPr>
        <a:xfrm>
          <a:off x="9815645" y="7977370"/>
          <a:ext cx="616170" cy="21316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000"/>
            <a:t>m</a:t>
          </a:r>
          <a:r>
            <a:rPr lang="en-NZ" sz="1000" baseline="30000"/>
            <a:t>2</a:t>
          </a:r>
          <a:r>
            <a:rPr lang="en-NZ" sz="1000"/>
            <a:t>K/W</a:t>
          </a:r>
        </a:p>
      </xdr:txBody>
    </xdr:sp>
    <xdr:clientData/>
  </xdr:twoCellAnchor>
  <xdr:twoCellAnchor>
    <xdr:from>
      <xdr:col>85</xdr:col>
      <xdr:colOff>56674</xdr:colOff>
      <xdr:row>25</xdr:row>
      <xdr:rowOff>175132</xdr:rowOff>
    </xdr:from>
    <xdr:to>
      <xdr:col>86</xdr:col>
      <xdr:colOff>63244</xdr:colOff>
      <xdr:row>26</xdr:row>
      <xdr:rowOff>185544</xdr:rowOff>
    </xdr:to>
    <xdr:sp macro="" textlink="">
      <xdr:nvSpPr>
        <xdr:cNvPr id="6" name="TextBox 5">
          <a:extLst>
            <a:ext uri="{FF2B5EF4-FFF2-40B4-BE49-F238E27FC236}">
              <a16:creationId xmlns:a16="http://schemas.microsoft.com/office/drawing/2014/main" id="{00000000-0008-0000-0500-000006000000}"/>
            </a:ext>
          </a:extLst>
        </xdr:cNvPr>
        <xdr:cNvSpPr txBox="1"/>
      </xdr:nvSpPr>
      <xdr:spPr>
        <a:xfrm>
          <a:off x="9810274" y="8728582"/>
          <a:ext cx="616170" cy="20091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000"/>
            <a:t>m</a:t>
          </a:r>
          <a:r>
            <a:rPr lang="en-NZ" sz="1000" baseline="30000"/>
            <a:t>2</a:t>
          </a:r>
          <a:r>
            <a:rPr lang="en-NZ" sz="1000"/>
            <a:t>K/W</a:t>
          </a:r>
        </a:p>
      </xdr:txBody>
    </xdr:sp>
    <xdr:clientData/>
  </xdr:twoCellAnchor>
  <xdr:twoCellAnchor>
    <xdr:from>
      <xdr:col>79</xdr:col>
      <xdr:colOff>490740</xdr:colOff>
      <xdr:row>21</xdr:row>
      <xdr:rowOff>174161</xdr:rowOff>
    </xdr:from>
    <xdr:to>
      <xdr:col>83</xdr:col>
      <xdr:colOff>609272</xdr:colOff>
      <xdr:row>23</xdr:row>
      <xdr:rowOff>23320</xdr:rowOff>
    </xdr:to>
    <xdr:sp macro="" textlink="">
      <xdr:nvSpPr>
        <xdr:cNvPr id="14" name="TextBox 13">
          <a:extLst>
            <a:ext uri="{FF2B5EF4-FFF2-40B4-BE49-F238E27FC236}">
              <a16:creationId xmlns:a16="http://schemas.microsoft.com/office/drawing/2014/main" id="{00000000-0008-0000-0500-00000E000000}"/>
            </a:ext>
          </a:extLst>
        </xdr:cNvPr>
        <xdr:cNvSpPr txBox="1"/>
      </xdr:nvSpPr>
      <xdr:spPr>
        <a:xfrm>
          <a:off x="21826740" y="8298986"/>
          <a:ext cx="2556932" cy="24920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NZ" sz="1000"/>
            <a:t>Floor</a:t>
          </a:r>
          <a:r>
            <a:rPr lang="en-NZ" sz="1000" baseline="0"/>
            <a:t> R-value without perimeter insulation</a:t>
          </a:r>
          <a:endParaRPr lang="en-NZ" sz="1000"/>
        </a:p>
      </xdr:txBody>
    </xdr:sp>
    <xdr:clientData/>
  </xdr:twoCellAnchor>
  <xdr:twoCellAnchor>
    <xdr:from>
      <xdr:col>80</xdr:col>
      <xdr:colOff>106103</xdr:colOff>
      <xdr:row>23</xdr:row>
      <xdr:rowOff>14453</xdr:rowOff>
    </xdr:from>
    <xdr:to>
      <xdr:col>83</xdr:col>
      <xdr:colOff>460509</xdr:colOff>
      <xdr:row>25</xdr:row>
      <xdr:rowOff>99849</xdr:rowOff>
    </xdr:to>
    <xdr:sp macro="" textlink="">
      <xdr:nvSpPr>
        <xdr:cNvPr id="15" name="TextBox 14">
          <a:extLst>
            <a:ext uri="{FF2B5EF4-FFF2-40B4-BE49-F238E27FC236}">
              <a16:creationId xmlns:a16="http://schemas.microsoft.com/office/drawing/2014/main" id="{00000000-0008-0000-0500-00000F000000}"/>
            </a:ext>
          </a:extLst>
        </xdr:cNvPr>
        <xdr:cNvSpPr txBox="1"/>
      </xdr:nvSpPr>
      <xdr:spPr>
        <a:xfrm>
          <a:off x="22051703" y="8539328"/>
          <a:ext cx="2183206" cy="48544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NZ" sz="1000"/>
            <a:t>Fraction of total perimeter length that has no vertical edge insulation</a:t>
          </a:r>
        </a:p>
      </xdr:txBody>
    </xdr:sp>
    <xdr:clientData/>
  </xdr:twoCellAnchor>
  <xdr:twoCellAnchor>
    <xdr:from>
      <xdr:col>80</xdr:col>
      <xdr:colOff>251943</xdr:colOff>
      <xdr:row>25</xdr:row>
      <xdr:rowOff>188577</xdr:rowOff>
    </xdr:from>
    <xdr:to>
      <xdr:col>83</xdr:col>
      <xdr:colOff>409919</xdr:colOff>
      <xdr:row>27</xdr:row>
      <xdr:rowOff>45850</xdr:rowOff>
    </xdr:to>
    <xdr:sp macro="" textlink="">
      <xdr:nvSpPr>
        <xdr:cNvPr id="16" name="TextBox 15">
          <a:extLst>
            <a:ext uri="{FF2B5EF4-FFF2-40B4-BE49-F238E27FC236}">
              <a16:creationId xmlns:a16="http://schemas.microsoft.com/office/drawing/2014/main" id="{00000000-0008-0000-0500-000010000000}"/>
            </a:ext>
          </a:extLst>
        </xdr:cNvPr>
        <xdr:cNvSpPr txBox="1"/>
      </xdr:nvSpPr>
      <xdr:spPr>
        <a:xfrm>
          <a:off x="6971995" y="8715094"/>
          <a:ext cx="1990717" cy="24484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r>
            <a:rPr lang="en-NZ" sz="1000"/>
            <a:t>Approximate overall</a:t>
          </a:r>
          <a:r>
            <a:rPr lang="en-NZ" sz="1000" baseline="0"/>
            <a:t> floor R-value</a:t>
          </a:r>
          <a:endParaRPr lang="en-NZ" sz="1000"/>
        </a:p>
      </xdr:txBody>
    </xdr:sp>
    <xdr:clientData/>
  </xdr:twoCellAnchor>
  <xdr:twoCellAnchor>
    <xdr:from>
      <xdr:col>73</xdr:col>
      <xdr:colOff>180975</xdr:colOff>
      <xdr:row>1</xdr:row>
      <xdr:rowOff>19050</xdr:rowOff>
    </xdr:from>
    <xdr:to>
      <xdr:col>79</xdr:col>
      <xdr:colOff>9525</xdr:colOff>
      <xdr:row>10</xdr:row>
      <xdr:rowOff>183173</xdr:rowOff>
    </xdr:to>
    <xdr:sp macro="" textlink="">
      <xdr:nvSpPr>
        <xdr:cNvPr id="19" name="Rectangle 18">
          <a:extLst>
            <a:ext uri="{FF2B5EF4-FFF2-40B4-BE49-F238E27FC236}">
              <a16:creationId xmlns:a16="http://schemas.microsoft.com/office/drawing/2014/main" id="{00000000-0008-0000-0500-000013000000}"/>
            </a:ext>
          </a:extLst>
        </xdr:cNvPr>
        <xdr:cNvSpPr/>
      </xdr:nvSpPr>
      <xdr:spPr>
        <a:xfrm>
          <a:off x="5391150" y="495300"/>
          <a:ext cx="3486150" cy="1964348"/>
        </a:xfrm>
        <a:prstGeom prst="rect">
          <a:avLst/>
        </a:prstGeom>
        <a:no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64</xdr:col>
      <xdr:colOff>209550</xdr:colOff>
      <xdr:row>1</xdr:row>
      <xdr:rowOff>19050</xdr:rowOff>
    </xdr:from>
    <xdr:to>
      <xdr:col>73</xdr:col>
      <xdr:colOff>142875</xdr:colOff>
      <xdr:row>10</xdr:row>
      <xdr:rowOff>180975</xdr:rowOff>
    </xdr:to>
    <xdr:sp macro="" textlink="">
      <xdr:nvSpPr>
        <xdr:cNvPr id="20" name="Rectangle 19">
          <a:extLst>
            <a:ext uri="{FF2B5EF4-FFF2-40B4-BE49-F238E27FC236}">
              <a16:creationId xmlns:a16="http://schemas.microsoft.com/office/drawing/2014/main" id="{00000000-0008-0000-0500-000014000000}"/>
            </a:ext>
          </a:extLst>
        </xdr:cNvPr>
        <xdr:cNvSpPr/>
      </xdr:nvSpPr>
      <xdr:spPr>
        <a:xfrm>
          <a:off x="209550" y="495300"/>
          <a:ext cx="5143500" cy="1962150"/>
        </a:xfrm>
        <a:prstGeom prst="rect">
          <a:avLst/>
        </a:prstGeom>
        <a:noFill/>
        <a:ln w="9525">
          <a:solidFill>
            <a:sysClr val="windowText" lastClr="0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xdr:twoCellAnchor>
    <xdr:from>
      <xdr:col>79</xdr:col>
      <xdr:colOff>25213</xdr:colOff>
      <xdr:row>17</xdr:row>
      <xdr:rowOff>43500</xdr:rowOff>
    </xdr:from>
    <xdr:to>
      <xdr:col>91</xdr:col>
      <xdr:colOff>552451</xdr:colOff>
      <xdr:row>29</xdr:row>
      <xdr:rowOff>52667</xdr:rowOff>
    </xdr:to>
    <xdr:sp macro="" textlink="">
      <xdr:nvSpPr>
        <xdr:cNvPr id="21" name="Rectangle 20">
          <a:extLst>
            <a:ext uri="{FF2B5EF4-FFF2-40B4-BE49-F238E27FC236}">
              <a16:creationId xmlns:a16="http://schemas.microsoft.com/office/drawing/2014/main" id="{00000000-0008-0000-0500-000015000000}"/>
            </a:ext>
          </a:extLst>
        </xdr:cNvPr>
        <xdr:cNvSpPr/>
      </xdr:nvSpPr>
      <xdr:spPr>
        <a:xfrm>
          <a:off x="8892988" y="3720150"/>
          <a:ext cx="7842438" cy="2438042"/>
        </a:xfrm>
        <a:prstGeom prst="rect">
          <a:avLst/>
        </a:prstGeom>
        <a:noFill/>
        <a:ln w="9525">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NZ" sz="1100"/>
        </a:p>
      </xdr:txBody>
    </xdr:sp>
    <xdr:clientData/>
  </xdr:twoCellAnchor>
  <mc:AlternateContent xmlns:mc="http://schemas.openxmlformats.org/markup-compatibility/2006">
    <mc:Choice xmlns:a14="http://schemas.microsoft.com/office/drawing/2010/main" Requires="a14">
      <xdr:twoCellAnchor editAs="oneCell">
        <xdr:from>
          <xdr:col>65</xdr:col>
          <xdr:colOff>0</xdr:colOff>
          <xdr:row>14</xdr:row>
          <xdr:rowOff>190500</xdr:rowOff>
        </xdr:from>
        <xdr:to>
          <xdr:col>67</xdr:col>
          <xdr:colOff>9525</xdr:colOff>
          <xdr:row>16</xdr:row>
          <xdr:rowOff>28575</xdr:rowOff>
        </xdr:to>
        <xdr:sp macro="" textlink="">
          <xdr:nvSpPr>
            <xdr:cNvPr id="54409" name="ComboBox_1" hidden="1">
              <a:extLst>
                <a:ext uri="{63B3BB69-23CF-44E3-9099-C40C66FF867C}">
                  <a14:compatExt spid="_x0000_s54409"/>
                </a:ext>
                <a:ext uri="{FF2B5EF4-FFF2-40B4-BE49-F238E27FC236}">
                  <a16:creationId xmlns:a16="http://schemas.microsoft.com/office/drawing/2014/main" id="{00000000-0008-0000-0500-000089D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76</xdr:col>
          <xdr:colOff>0</xdr:colOff>
          <xdr:row>3</xdr:row>
          <xdr:rowOff>161925</xdr:rowOff>
        </xdr:from>
        <xdr:to>
          <xdr:col>78</xdr:col>
          <xdr:colOff>9525</xdr:colOff>
          <xdr:row>5</xdr:row>
          <xdr:rowOff>9525</xdr:rowOff>
        </xdr:to>
        <xdr:sp macro="" textlink="">
          <xdr:nvSpPr>
            <xdr:cNvPr id="54410" name="ComboBox_2" hidden="1">
              <a:extLst>
                <a:ext uri="{63B3BB69-23CF-44E3-9099-C40C66FF867C}">
                  <a14:compatExt spid="_x0000_s54410"/>
                </a:ext>
                <a:ext uri="{FF2B5EF4-FFF2-40B4-BE49-F238E27FC236}">
                  <a16:creationId xmlns:a16="http://schemas.microsoft.com/office/drawing/2014/main" id="{00000000-0008-0000-0500-00008AD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84</xdr:col>
          <xdr:colOff>0</xdr:colOff>
          <xdr:row>23</xdr:row>
          <xdr:rowOff>180975</xdr:rowOff>
        </xdr:from>
        <xdr:to>
          <xdr:col>86</xdr:col>
          <xdr:colOff>9525</xdr:colOff>
          <xdr:row>25</xdr:row>
          <xdr:rowOff>19050</xdr:rowOff>
        </xdr:to>
        <xdr:sp macro="" textlink="">
          <xdr:nvSpPr>
            <xdr:cNvPr id="54411" name="ComboBox_3" hidden="1">
              <a:extLst>
                <a:ext uri="{63B3BB69-23CF-44E3-9099-C40C66FF867C}">
                  <a14:compatExt spid="_x0000_s54411"/>
                </a:ext>
                <a:ext uri="{FF2B5EF4-FFF2-40B4-BE49-F238E27FC236}">
                  <a16:creationId xmlns:a16="http://schemas.microsoft.com/office/drawing/2014/main" id="{00000000-0008-0000-0500-00008BD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75</xdr:col>
          <xdr:colOff>600075</xdr:colOff>
          <xdr:row>1</xdr:row>
          <xdr:rowOff>190500</xdr:rowOff>
        </xdr:from>
        <xdr:to>
          <xdr:col>78</xdr:col>
          <xdr:colOff>0</xdr:colOff>
          <xdr:row>3</xdr:row>
          <xdr:rowOff>19050</xdr:rowOff>
        </xdr:to>
        <xdr:sp macro="" textlink="">
          <xdr:nvSpPr>
            <xdr:cNvPr id="54412" name="ComboBox_4" hidden="1">
              <a:extLst>
                <a:ext uri="{63B3BB69-23CF-44E3-9099-C40C66FF867C}">
                  <a14:compatExt spid="_x0000_s54412"/>
                </a:ext>
                <a:ext uri="{FF2B5EF4-FFF2-40B4-BE49-F238E27FC236}">
                  <a16:creationId xmlns:a16="http://schemas.microsoft.com/office/drawing/2014/main" id="{00000000-0008-0000-0500-00008CD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67</xdr:col>
          <xdr:colOff>600075</xdr:colOff>
          <xdr:row>7</xdr:row>
          <xdr:rowOff>180975</xdr:rowOff>
        </xdr:from>
        <xdr:to>
          <xdr:col>73</xdr:col>
          <xdr:colOff>19050</xdr:colOff>
          <xdr:row>9</xdr:row>
          <xdr:rowOff>19050</xdr:rowOff>
        </xdr:to>
        <xdr:sp macro="" textlink="">
          <xdr:nvSpPr>
            <xdr:cNvPr id="54413" name="ComboBox_5" hidden="1">
              <a:extLst>
                <a:ext uri="{63B3BB69-23CF-44E3-9099-C40C66FF867C}">
                  <a14:compatExt spid="_x0000_s54413"/>
                </a:ext>
                <a:ext uri="{FF2B5EF4-FFF2-40B4-BE49-F238E27FC236}">
                  <a16:creationId xmlns:a16="http://schemas.microsoft.com/office/drawing/2014/main" id="{00000000-0008-0000-0500-00008DD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68</xdr:col>
          <xdr:colOff>0</xdr:colOff>
          <xdr:row>5</xdr:row>
          <xdr:rowOff>180975</xdr:rowOff>
        </xdr:from>
        <xdr:to>
          <xdr:col>73</xdr:col>
          <xdr:colOff>28575</xdr:colOff>
          <xdr:row>7</xdr:row>
          <xdr:rowOff>19050</xdr:rowOff>
        </xdr:to>
        <xdr:sp macro="" textlink="">
          <xdr:nvSpPr>
            <xdr:cNvPr id="54414" name="ComboBox_6" hidden="1">
              <a:extLst>
                <a:ext uri="{63B3BB69-23CF-44E3-9099-C40C66FF867C}">
                  <a14:compatExt spid="_x0000_s54414"/>
                </a:ext>
                <a:ext uri="{FF2B5EF4-FFF2-40B4-BE49-F238E27FC236}">
                  <a16:creationId xmlns:a16="http://schemas.microsoft.com/office/drawing/2014/main" id="{00000000-0008-0000-0500-00008ED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67</xdr:col>
          <xdr:colOff>600075</xdr:colOff>
          <xdr:row>3</xdr:row>
          <xdr:rowOff>180975</xdr:rowOff>
        </xdr:from>
        <xdr:to>
          <xdr:col>73</xdr:col>
          <xdr:colOff>19050</xdr:colOff>
          <xdr:row>5</xdr:row>
          <xdr:rowOff>28575</xdr:rowOff>
        </xdr:to>
        <xdr:sp macro="" textlink="">
          <xdr:nvSpPr>
            <xdr:cNvPr id="54415" name="ComboBox_7" hidden="1">
              <a:extLst>
                <a:ext uri="{63B3BB69-23CF-44E3-9099-C40C66FF867C}">
                  <a14:compatExt spid="_x0000_s54415"/>
                </a:ext>
                <a:ext uri="{FF2B5EF4-FFF2-40B4-BE49-F238E27FC236}">
                  <a16:creationId xmlns:a16="http://schemas.microsoft.com/office/drawing/2014/main" id="{00000000-0008-0000-0500-00008FD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67</xdr:col>
          <xdr:colOff>600075</xdr:colOff>
          <xdr:row>2</xdr:row>
          <xdr:rowOff>0</xdr:rowOff>
        </xdr:from>
        <xdr:to>
          <xdr:col>73</xdr:col>
          <xdr:colOff>19050</xdr:colOff>
          <xdr:row>3</xdr:row>
          <xdr:rowOff>28575</xdr:rowOff>
        </xdr:to>
        <xdr:sp macro="" textlink="">
          <xdr:nvSpPr>
            <xdr:cNvPr id="54416" name="ComboBox_8" hidden="1">
              <a:extLst>
                <a:ext uri="{63B3BB69-23CF-44E3-9099-C40C66FF867C}">
                  <a14:compatExt spid="_x0000_s54416"/>
                </a:ext>
                <a:ext uri="{FF2B5EF4-FFF2-40B4-BE49-F238E27FC236}">
                  <a16:creationId xmlns:a16="http://schemas.microsoft.com/office/drawing/2014/main" id="{00000000-0008-0000-0500-000090D400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xdr:from>
      <xdr:col>95</xdr:col>
      <xdr:colOff>196102</xdr:colOff>
      <xdr:row>0</xdr:row>
      <xdr:rowOff>235323</xdr:rowOff>
    </xdr:from>
    <xdr:to>
      <xdr:col>111</xdr:col>
      <xdr:colOff>560293</xdr:colOff>
      <xdr:row>31</xdr:row>
      <xdr:rowOff>43702</xdr:rowOff>
    </xdr:to>
    <xdr:graphicFrame macro="">
      <xdr:nvGraphicFramePr>
        <xdr:cNvPr id="7" name="Chart 6">
          <a:extLst>
            <a:ext uri="{FF2B5EF4-FFF2-40B4-BE49-F238E27FC236}">
              <a16:creationId xmlns:a16="http://schemas.microsoft.com/office/drawing/2014/main" id="{3732A950-B7D4-2068-8A41-EC3773060F60}"/>
            </a:ext>
          </a:extLst>
        </xdr:cNvPr>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
        </a:graphicData>
      </a:graphic>
    </xdr:graphicFrame>
    <xdr:clientData/>
  </xdr:twoCellAnchor>
</xdr:wsDr>
</file>

<file path=xl/drawings/drawing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38</xdr:col>
          <xdr:colOff>0</xdr:colOff>
          <xdr:row>18</xdr:row>
          <xdr:rowOff>190500</xdr:rowOff>
        </xdr:from>
        <xdr:to>
          <xdr:col>40</xdr:col>
          <xdr:colOff>9525</xdr:colOff>
          <xdr:row>20</xdr:row>
          <xdr:rowOff>9525</xdr:rowOff>
        </xdr:to>
        <xdr:sp macro="" textlink="">
          <xdr:nvSpPr>
            <xdr:cNvPr id="113665" name="ComboBox_1" hidden="1">
              <a:extLst>
                <a:ext uri="{63B3BB69-23CF-44E3-9099-C40C66FF867C}">
                  <a14:compatExt spid="_x0000_s113665"/>
                </a:ext>
                <a:ext uri="{FF2B5EF4-FFF2-40B4-BE49-F238E27FC236}">
                  <a16:creationId xmlns:a16="http://schemas.microsoft.com/office/drawing/2014/main" id="{00000000-0008-0000-0600-000001BC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38</xdr:col>
          <xdr:colOff>0</xdr:colOff>
          <xdr:row>7</xdr:row>
          <xdr:rowOff>171450</xdr:rowOff>
        </xdr:from>
        <xdr:to>
          <xdr:col>40</xdr:col>
          <xdr:colOff>9525</xdr:colOff>
          <xdr:row>9</xdr:row>
          <xdr:rowOff>9525</xdr:rowOff>
        </xdr:to>
        <xdr:sp macro="" textlink="">
          <xdr:nvSpPr>
            <xdr:cNvPr id="113667" name="ComboBox_3" hidden="1">
              <a:extLst>
                <a:ext uri="{63B3BB69-23CF-44E3-9099-C40C66FF867C}">
                  <a14:compatExt spid="_x0000_s113667"/>
                </a:ext>
                <a:ext uri="{FF2B5EF4-FFF2-40B4-BE49-F238E27FC236}">
                  <a16:creationId xmlns:a16="http://schemas.microsoft.com/office/drawing/2014/main" id="{00000000-0008-0000-0600-000003BC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38</xdr:col>
          <xdr:colOff>0</xdr:colOff>
          <xdr:row>10</xdr:row>
          <xdr:rowOff>171450</xdr:rowOff>
        </xdr:from>
        <xdr:to>
          <xdr:col>40</xdr:col>
          <xdr:colOff>9525</xdr:colOff>
          <xdr:row>12</xdr:row>
          <xdr:rowOff>0</xdr:rowOff>
        </xdr:to>
        <xdr:sp macro="" textlink="">
          <xdr:nvSpPr>
            <xdr:cNvPr id="113668" name="ComboBox_4" hidden="1">
              <a:extLst>
                <a:ext uri="{63B3BB69-23CF-44E3-9099-C40C66FF867C}">
                  <a14:compatExt spid="_x0000_s113668"/>
                </a:ext>
                <a:ext uri="{FF2B5EF4-FFF2-40B4-BE49-F238E27FC236}">
                  <a16:creationId xmlns:a16="http://schemas.microsoft.com/office/drawing/2014/main" id="{00000000-0008-0000-0600-000004BC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twoCellAnchor editAs="oneCell">
    <xdr:from>
      <xdr:col>43</xdr:col>
      <xdr:colOff>457425</xdr:colOff>
      <xdr:row>3</xdr:row>
      <xdr:rowOff>22411</xdr:rowOff>
    </xdr:from>
    <xdr:to>
      <xdr:col>51</xdr:col>
      <xdr:colOff>45310</xdr:colOff>
      <xdr:row>26</xdr:row>
      <xdr:rowOff>69268</xdr:rowOff>
    </xdr:to>
    <xdr:pic>
      <xdr:nvPicPr>
        <xdr:cNvPr id="7" name="Picture 6">
          <a:extLst>
            <a:ext uri="{FF2B5EF4-FFF2-40B4-BE49-F238E27FC236}">
              <a16:creationId xmlns:a16="http://schemas.microsoft.com/office/drawing/2014/main" id="{00000000-0008-0000-0600-000007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39532337" y="862852"/>
          <a:ext cx="4428825" cy="4755219"/>
        </a:xfrm>
        <a:prstGeom prst="rect">
          <a:avLst/>
        </a:prstGeom>
      </xdr:spPr>
    </xdr:pic>
    <xdr:clientData/>
  </xdr:twoCellAnchor>
  <xdr:twoCellAnchor editAs="oneCell">
    <xdr:from>
      <xdr:col>46</xdr:col>
      <xdr:colOff>414616</xdr:colOff>
      <xdr:row>2</xdr:row>
      <xdr:rowOff>158220</xdr:rowOff>
    </xdr:from>
    <xdr:to>
      <xdr:col>54</xdr:col>
      <xdr:colOff>11689</xdr:colOff>
      <xdr:row>26</xdr:row>
      <xdr:rowOff>2032</xdr:rowOff>
    </xdr:to>
    <xdr:pic>
      <xdr:nvPicPr>
        <xdr:cNvPr id="11" name="Picture 10">
          <a:extLst>
            <a:ext uri="{FF2B5EF4-FFF2-40B4-BE49-F238E27FC236}">
              <a16:creationId xmlns:a16="http://schemas.microsoft.com/office/drawing/2014/main" id="{00000000-0008-0000-0600-00000B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41304881" y="785749"/>
          <a:ext cx="4438015" cy="4765086"/>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36</xdr:col>
          <xdr:colOff>600075</xdr:colOff>
          <xdr:row>13</xdr:row>
          <xdr:rowOff>180975</xdr:rowOff>
        </xdr:from>
        <xdr:to>
          <xdr:col>41</xdr:col>
          <xdr:colOff>9525</xdr:colOff>
          <xdr:row>15</xdr:row>
          <xdr:rowOff>19050</xdr:rowOff>
        </xdr:to>
        <xdr:sp macro="" textlink="">
          <xdr:nvSpPr>
            <xdr:cNvPr id="113682" name="ComboBox_2" hidden="1">
              <a:extLst>
                <a:ext uri="{63B3BB69-23CF-44E3-9099-C40C66FF867C}">
                  <a14:compatExt spid="_x0000_s113682"/>
                </a:ext>
                <a:ext uri="{FF2B5EF4-FFF2-40B4-BE49-F238E27FC236}">
                  <a16:creationId xmlns:a16="http://schemas.microsoft.com/office/drawing/2014/main" id="{00000000-0008-0000-0600-000012BC0100}"/>
                </a:ext>
              </a:extLst>
            </xdr:cNvPr>
            <xdr:cNvSpPr/>
          </xdr:nvSpPr>
          <xdr:spPr bwMode="auto">
            <a:xfrm>
              <a:off x="0" y="0"/>
              <a:ext cx="0" cy="0"/>
            </a:xfrm>
            <a:prstGeom prst="rect">
              <a:avLst/>
            </a:prstGeom>
            <a:solidFill>
              <a:srgbClr val="FFFFFF" mc:Ignorable="a14" a14:legacySpreadsheetColorIndex="65"/>
            </a:solidFill>
            <a:ln>
              <a:noFill/>
            </a:ln>
            <a:extLst>
              <a:ext uri="{91240B29-F687-4F45-9708-019B960494DF}">
                <a14:hiddenLine w="9525">
                  <a:solidFill>
                    <a:srgbClr val="000000" mc:Ignorable="a14" a14:legacySpreadsheetColorIndex="64"/>
                  </a:solidFill>
                  <a:miter lim="800000"/>
                  <a:headEnd/>
                  <a:tailEnd/>
                </a14:hiddenLine>
              </a:ext>
            </a:extLst>
          </xdr:spPr>
        </xdr:sp>
        <xdr:clientData/>
      </xdr:twoCellAnchor>
    </mc:Choice>
    <mc:Fallback/>
  </mc:AlternateContent>
</xdr:wsDr>
</file>

<file path=xl/drawings/drawing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600075</xdr:colOff>
          <xdr:row>12</xdr:row>
          <xdr:rowOff>171450</xdr:rowOff>
        </xdr:from>
        <xdr:to>
          <xdr:col>7</xdr:col>
          <xdr:colOff>133350</xdr:colOff>
          <xdr:row>18</xdr:row>
          <xdr:rowOff>180975</xdr:rowOff>
        </xdr:to>
        <xdr:sp macro="" textlink="">
          <xdr:nvSpPr>
            <xdr:cNvPr id="118785" name="List Box 1" hidden="1">
              <a:extLst>
                <a:ext uri="{63B3BB69-23CF-44E3-9099-C40C66FF867C}">
                  <a14:compatExt spid="_x0000_s118785"/>
                </a:ext>
                <a:ext uri="{FF2B5EF4-FFF2-40B4-BE49-F238E27FC236}">
                  <a16:creationId xmlns:a16="http://schemas.microsoft.com/office/drawing/2014/main" id="{00000000-0008-0000-0900-000001D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7</xdr:col>
          <xdr:colOff>600075</xdr:colOff>
          <xdr:row>12</xdr:row>
          <xdr:rowOff>171450</xdr:rowOff>
        </xdr:from>
        <xdr:to>
          <xdr:col>14</xdr:col>
          <xdr:colOff>28575</xdr:colOff>
          <xdr:row>17</xdr:row>
          <xdr:rowOff>9525</xdr:rowOff>
        </xdr:to>
        <xdr:sp macro="" textlink="">
          <xdr:nvSpPr>
            <xdr:cNvPr id="118786" name="List Box 2" hidden="1">
              <a:extLst>
                <a:ext uri="{63B3BB69-23CF-44E3-9099-C40C66FF867C}">
                  <a14:compatExt spid="_x0000_s118786"/>
                </a:ext>
                <a:ext uri="{FF2B5EF4-FFF2-40B4-BE49-F238E27FC236}">
                  <a16:creationId xmlns:a16="http://schemas.microsoft.com/office/drawing/2014/main" id="{00000000-0008-0000-0900-000002D00100}"/>
                </a:ext>
              </a:extLst>
            </xdr:cNvPr>
            <xdr:cNvSpPr/>
          </xdr:nvSpPr>
          <xdr:spPr bwMode="auto">
            <a:xfrm>
              <a:off x="0" y="0"/>
              <a:ext cx="0" cy="0"/>
            </a:xfrm>
            <a:prstGeom prst="rect">
              <a:avLst/>
            </a:prstGeom>
            <a:noFill/>
            <a:ln>
              <a:noFill/>
            </a:ln>
            <a:extLst>
              <a:ext uri="{91240B29-F687-4F45-9708-019B960494DF}">
                <a14:hiddenLine w="9525">
                  <a:noFill/>
                  <a:miter lim="800000"/>
                  <a:headEnd/>
                  <a:tailEnd/>
                </a14:hiddenLine>
              </a:ext>
            </a:extLst>
          </xdr:spPr>
        </xdr:sp>
        <xdr:clientData/>
      </xdr:twoCellAnchor>
    </mc:Choice>
    <mc:Fallback/>
  </mc:AlternateContent>
</xdr:wsDr>
</file>

<file path=xl/featurePropertyBag/featurePropertyBag.xml><?xml version="1.0" encoding="utf-8"?>
<FeaturePropertyBags xmlns="http://schemas.microsoft.com/office/spreadsheetml/2022/featurepropertybag">
  <bag type="Checkbox"/>
  <bag type="XFControls">
    <bagId k="CellControl">0</bagId>
  </bag>
  <bag type="XFComplement">
    <bagId k="XFControls">1</bagId>
  </bag>
  <bag type="XFComplements" extRef="XFComplementsMapperExtRef">
    <a k="MappedFeaturePropertyBags">
      <bagId>2</bagId>
    </a>
  </bag>
</FeaturePropertyBags>
</file>

<file path=xl/richData/_rels/rdRichValueWebImage.xml.rels><?xml version="1.0" encoding="UTF-8" standalone="yes"?>
<Relationships xmlns="http://schemas.openxmlformats.org/package/2006/relationships"><Relationship Id="rId117" Type="http://schemas.openxmlformats.org/officeDocument/2006/relationships/hyperlink" Target="https://i.postimg.cc/HWSXKdk0/Wall-vertical-profiled-metal-direct-fixed-90-mm-steel-framed.png" TargetMode="External"/><Relationship Id="rId21" Type="http://schemas.openxmlformats.org/officeDocument/2006/relationships/hyperlink" Target="https://i.postimg.cc/0yN960Cq/Roof-low-slope-timber-framed-membrane-140-190-240-290-mm-rafters-and-battens.png" TargetMode="External"/><Relationship Id="rId63" Type="http://schemas.openxmlformats.org/officeDocument/2006/relationships/hyperlink" Target="https://i.postimg.cc/PxWgVCM4/Roof-skillion-timber-framed-concrete-clay-tiles-140-190-mm-rafters-and-dummy-rafters.png" TargetMode="External"/><Relationship Id="rId159" Type="http://schemas.openxmlformats.org/officeDocument/2006/relationships/hyperlink" Target="https://i.postimg.cc/FHFn3zdB/wall14.png" TargetMode="External"/><Relationship Id="rId170" Type="http://schemas.openxmlformats.org/officeDocument/2006/relationships/image" Target="../media/image85.png"/><Relationship Id="rId226" Type="http://schemas.openxmlformats.org/officeDocument/2006/relationships/image" Target="../media/image113.png"/><Relationship Id="rId268" Type="http://schemas.openxmlformats.org/officeDocument/2006/relationships/image" Target="../media/image134.png"/><Relationship Id="rId32" Type="http://schemas.openxmlformats.org/officeDocument/2006/relationships/image" Target="../media/image16.png"/><Relationship Id="rId74" Type="http://schemas.openxmlformats.org/officeDocument/2006/relationships/image" Target="../media/image37.png"/><Relationship Id="rId128" Type="http://schemas.openxmlformats.org/officeDocument/2006/relationships/image" Target="../media/image64.png"/><Relationship Id="rId5" Type="http://schemas.openxmlformats.org/officeDocument/2006/relationships/hyperlink" Target="https://i.postimg.cc/nrktrXjz/Roof-framed-roof-with-reduced-edge-insulation.png" TargetMode="External"/><Relationship Id="rId181" Type="http://schemas.openxmlformats.org/officeDocument/2006/relationships/hyperlink" Target="https://i.postimg.cc/DzbbmQgd/plain21.png" TargetMode="External"/><Relationship Id="rId237" Type="http://schemas.openxmlformats.org/officeDocument/2006/relationships/hyperlink" Target="https://i.postimg.cc/NMjFm18z/plain34.png" TargetMode="External"/><Relationship Id="rId279" Type="http://schemas.openxmlformats.org/officeDocument/2006/relationships/hyperlink" Target="https://i.postimg.cc/L8pKgm2q/waffle18.png" TargetMode="External"/><Relationship Id="rId43" Type="http://schemas.openxmlformats.org/officeDocument/2006/relationships/hyperlink" Target="https://i.postimg.cc/Wb5vPJcY/Roof-skillion-roof-with-secondary-insulation-layer.png" TargetMode="External"/><Relationship Id="rId139" Type="http://schemas.openxmlformats.org/officeDocument/2006/relationships/hyperlink" Target="https://i.postimg.cc/bwLWBkfP/wall10.png" TargetMode="External"/><Relationship Id="rId290" Type="http://schemas.openxmlformats.org/officeDocument/2006/relationships/image" Target="../media/image145.png"/><Relationship Id="rId85" Type="http://schemas.openxmlformats.org/officeDocument/2006/relationships/hyperlink" Target="https://i.postimg.cc/9MWQTsW2/Capture11.png" TargetMode="External"/><Relationship Id="rId150" Type="http://schemas.openxmlformats.org/officeDocument/2006/relationships/image" Target="../media/image75.png"/><Relationship Id="rId192" Type="http://schemas.openxmlformats.org/officeDocument/2006/relationships/image" Target="../media/image96.png"/><Relationship Id="rId206" Type="http://schemas.openxmlformats.org/officeDocument/2006/relationships/image" Target="../media/image103.png"/><Relationship Id="rId248" Type="http://schemas.openxmlformats.org/officeDocument/2006/relationships/image" Target="../media/image124.png"/><Relationship Id="rId269" Type="http://schemas.openxmlformats.org/officeDocument/2006/relationships/hyperlink" Target="https://i.postimg.cc/wMyF0Rc6/waffle15.png" TargetMode="External"/><Relationship Id="rId12" Type="http://schemas.openxmlformats.org/officeDocument/2006/relationships/image" Target="../media/image6.png"/><Relationship Id="rId33" Type="http://schemas.openxmlformats.org/officeDocument/2006/relationships/hyperlink" Target="https://i.postimg.cc/Gm4Qz9Ps/Wall-RWB-cavity-timber-framed-90-140-mm-frame.png" TargetMode="External"/><Relationship Id="rId108" Type="http://schemas.openxmlformats.org/officeDocument/2006/relationships/image" Target="../media/image54.png"/><Relationship Id="rId129" Type="http://schemas.openxmlformats.org/officeDocument/2006/relationships/hyperlink" Target="https://i.postimg.cc/Qx4mpc73/Wall-rusticated-weatherboard-direct-fix-steel-frame-140mm.png" TargetMode="External"/><Relationship Id="rId280" Type="http://schemas.openxmlformats.org/officeDocument/2006/relationships/image" Target="../media/image140.png"/><Relationship Id="rId54" Type="http://schemas.openxmlformats.org/officeDocument/2006/relationships/image" Target="../media/image27.png"/><Relationship Id="rId75" Type="http://schemas.openxmlformats.org/officeDocument/2006/relationships/hyperlink" Target="https://i.postimg.cc/mkV0RKJ1/Roof-skillion-timber-framed-concrete-clay-tiles-140-190-240-290-mm-rafters-and-ceiling-battens.png" TargetMode="External"/><Relationship Id="rId96" Type="http://schemas.openxmlformats.org/officeDocument/2006/relationships/image" Target="../media/image48.png"/><Relationship Id="rId140" Type="http://schemas.openxmlformats.org/officeDocument/2006/relationships/image" Target="../media/image70.png"/><Relationship Id="rId161" Type="http://schemas.openxmlformats.org/officeDocument/2006/relationships/hyperlink" Target="https://i.postimg.cc/XqMw8H2v/wall3.png" TargetMode="External"/><Relationship Id="rId182" Type="http://schemas.openxmlformats.org/officeDocument/2006/relationships/image" Target="../media/image91.png"/><Relationship Id="rId217" Type="http://schemas.openxmlformats.org/officeDocument/2006/relationships/hyperlink" Target="https://i.postimg.cc/7LMJgHFf/plain16.png" TargetMode="External"/><Relationship Id="rId6" Type="http://schemas.openxmlformats.org/officeDocument/2006/relationships/image" Target="../media/image3.png"/><Relationship Id="rId238" Type="http://schemas.openxmlformats.org/officeDocument/2006/relationships/image" Target="../media/image119.png"/><Relationship Id="rId259" Type="http://schemas.openxmlformats.org/officeDocument/2006/relationships/hyperlink" Target="https://i.postimg.cc/TwHCVJb7/waffle11.png" TargetMode="External"/><Relationship Id="rId23" Type="http://schemas.openxmlformats.org/officeDocument/2006/relationships/hyperlink" Target="https://i.postimg.cc/Gh7ZfwvZ/Roof-timber-framed-with-roof-space-concrete-clay-tiles-140-mm-ceiling-joists-and-ceiling-blocking.png" TargetMode="External"/><Relationship Id="rId119" Type="http://schemas.openxmlformats.org/officeDocument/2006/relationships/hyperlink" Target="https://i.postimg.cc/tJ9kz5DX/Wall-MV-cavity-steel-framed-90-140-mm-frame.png" TargetMode="External"/><Relationship Id="rId270" Type="http://schemas.openxmlformats.org/officeDocument/2006/relationships/image" Target="../media/image135.png"/><Relationship Id="rId44" Type="http://schemas.openxmlformats.org/officeDocument/2006/relationships/image" Target="../media/image22.png"/><Relationship Id="rId65" Type="http://schemas.openxmlformats.org/officeDocument/2006/relationships/hyperlink" Target="https://i.postimg.cc/wxJY4TVZ/Wall-vertical-profiled-metal-direct-fixed-90-140-mm-timber-framed.png" TargetMode="External"/><Relationship Id="rId86" Type="http://schemas.openxmlformats.org/officeDocument/2006/relationships/image" Target="../media/image43.png"/><Relationship Id="rId130" Type="http://schemas.openxmlformats.org/officeDocument/2006/relationships/image" Target="../media/image65.png"/><Relationship Id="rId151" Type="http://schemas.openxmlformats.org/officeDocument/2006/relationships/hyperlink" Target="https://i.postimg.cc/fTNPWBwZ/wall15.png" TargetMode="External"/><Relationship Id="rId172" Type="http://schemas.openxmlformats.org/officeDocument/2006/relationships/image" Target="../media/image86.png"/><Relationship Id="rId193" Type="http://schemas.openxmlformats.org/officeDocument/2006/relationships/hyperlink" Target="https://i.postimg.cc/bwwxY2W3/plain2.png" TargetMode="External"/><Relationship Id="rId207" Type="http://schemas.openxmlformats.org/officeDocument/2006/relationships/hyperlink" Target="https://i.postimg.cc/LXLfQkg6/plain5.png" TargetMode="External"/><Relationship Id="rId228" Type="http://schemas.openxmlformats.org/officeDocument/2006/relationships/image" Target="../media/image114.png"/><Relationship Id="rId249" Type="http://schemas.openxmlformats.org/officeDocument/2006/relationships/hyperlink" Target="https://i.postimg.cc/pXFTfV8R/plain37.png" TargetMode="External"/><Relationship Id="rId13" Type="http://schemas.openxmlformats.org/officeDocument/2006/relationships/hyperlink" Target="https://i.postimg.cc/d0Dz2q3W/Wall-BBWB-timber-framed-cavity-90-140-mm-frame.png" TargetMode="External"/><Relationship Id="rId109" Type="http://schemas.openxmlformats.org/officeDocument/2006/relationships/hyperlink" Target="https://i.postimg.cc/XqWHz3N6/Wall-FCWB-direct-fixed-90-mm-steel-framed.png" TargetMode="External"/><Relationship Id="rId260" Type="http://schemas.openxmlformats.org/officeDocument/2006/relationships/image" Target="../media/image130.png"/><Relationship Id="rId281" Type="http://schemas.openxmlformats.org/officeDocument/2006/relationships/hyperlink" Target="https://i.postimg.cc/XqRLhNQ9/waffle14.png" TargetMode="External"/><Relationship Id="rId34" Type="http://schemas.openxmlformats.org/officeDocument/2006/relationships/image" Target="../media/image17.png"/><Relationship Id="rId55" Type="http://schemas.openxmlformats.org/officeDocument/2006/relationships/hyperlink" Target="https://i.postimg.cc/5N0qNjRk/Wall-sheet-cladding-cavity-timber-framed-140-mm-frame.png" TargetMode="External"/><Relationship Id="rId76" Type="http://schemas.openxmlformats.org/officeDocument/2006/relationships/image" Target="../media/image38.png"/><Relationship Id="rId97" Type="http://schemas.openxmlformats.org/officeDocument/2006/relationships/hyperlink" Target="https://i.postimg.cc/LXKNJR1g/Wall-horizontal-profiled-metal-cavity-140-mm-timber-framed.png" TargetMode="External"/><Relationship Id="rId120" Type="http://schemas.openxmlformats.org/officeDocument/2006/relationships/image" Target="../media/image60.png"/><Relationship Id="rId141" Type="http://schemas.openxmlformats.org/officeDocument/2006/relationships/hyperlink" Target="https://i.postimg.cc/HLVXCDRx/wall20.png" TargetMode="External"/><Relationship Id="rId7" Type="http://schemas.openxmlformats.org/officeDocument/2006/relationships/hyperlink" Target="https://i.postimg.cc/DfdhBMjT/Roof-raised-heel-truss.png" TargetMode="External"/><Relationship Id="rId162" Type="http://schemas.openxmlformats.org/officeDocument/2006/relationships/image" Target="../media/image81.png"/><Relationship Id="rId183" Type="http://schemas.openxmlformats.org/officeDocument/2006/relationships/hyperlink" Target="https://i.postimg.cc/P5Dw5zKb/plain10.png" TargetMode="External"/><Relationship Id="rId218" Type="http://schemas.openxmlformats.org/officeDocument/2006/relationships/image" Target="../media/image109.png"/><Relationship Id="rId239" Type="http://schemas.openxmlformats.org/officeDocument/2006/relationships/hyperlink" Target="https://i.postimg.cc/C1Tn8Zry/plain25.png" TargetMode="External"/><Relationship Id="rId250" Type="http://schemas.openxmlformats.org/officeDocument/2006/relationships/image" Target="../media/image125.png"/><Relationship Id="rId271" Type="http://schemas.openxmlformats.org/officeDocument/2006/relationships/hyperlink" Target="https://i.postimg.cc/668NDHMQ/waffle16.png" TargetMode="External"/><Relationship Id="rId24" Type="http://schemas.openxmlformats.org/officeDocument/2006/relationships/image" Target="../media/image12.png"/><Relationship Id="rId45" Type="http://schemas.openxmlformats.org/officeDocument/2006/relationships/hyperlink" Target="https://i.postimg.cc/25qKq29M/Wall-FCWB-cavity-90-mm-timber-framed.png" TargetMode="External"/><Relationship Id="rId66" Type="http://schemas.openxmlformats.org/officeDocument/2006/relationships/image" Target="../media/image33.png"/><Relationship Id="rId87" Type="http://schemas.openxmlformats.org/officeDocument/2006/relationships/hyperlink" Target="https://i.postimg.cc/d33QNdkS/Capture12.png" TargetMode="External"/><Relationship Id="rId110" Type="http://schemas.openxmlformats.org/officeDocument/2006/relationships/image" Target="../media/image55.png"/><Relationship Id="rId131" Type="http://schemas.openxmlformats.org/officeDocument/2006/relationships/hyperlink" Target="https://i.postimg.cc/RCGLBwXH/Wall-sheet-cladding-cavity-steel-framed-90-140-mm-frame.png" TargetMode="External"/><Relationship Id="rId152" Type="http://schemas.openxmlformats.org/officeDocument/2006/relationships/image" Target="../media/image76.png"/><Relationship Id="rId173" Type="http://schemas.openxmlformats.org/officeDocument/2006/relationships/hyperlink" Target="https://i.postimg.cc/BnJRpNyN/wall9.png" TargetMode="External"/><Relationship Id="rId194" Type="http://schemas.openxmlformats.org/officeDocument/2006/relationships/image" Target="../media/image97.png"/><Relationship Id="rId208" Type="http://schemas.openxmlformats.org/officeDocument/2006/relationships/image" Target="../media/image104.png"/><Relationship Id="rId229" Type="http://schemas.openxmlformats.org/officeDocument/2006/relationships/hyperlink" Target="https://i.postimg.cc/gcKLw2v5/plain31.png" TargetMode="External"/><Relationship Id="rId240" Type="http://schemas.openxmlformats.org/officeDocument/2006/relationships/image" Target="../media/image120.png"/><Relationship Id="rId261" Type="http://schemas.openxmlformats.org/officeDocument/2006/relationships/hyperlink" Target="https://i.postimg.cc/BZP2X0hf/waffle.png" TargetMode="External"/><Relationship Id="rId14" Type="http://schemas.openxmlformats.org/officeDocument/2006/relationships/image" Target="../media/image7.png"/><Relationship Id="rId35" Type="http://schemas.openxmlformats.org/officeDocument/2006/relationships/hyperlink" Target="https://i.postimg.cc/DZ1hVj71/Roof-profiled-metal-timber-framed-with-roof-space-140-mm-ceiling-joists-and-ceiling-blocking.png" TargetMode="External"/><Relationship Id="rId56" Type="http://schemas.openxmlformats.org/officeDocument/2006/relationships/image" Target="../media/image28.png"/><Relationship Id="rId77" Type="http://schemas.openxmlformats.org/officeDocument/2006/relationships/hyperlink" Target="https://i.postimg.cc/mkrMD68F/Wall-timber-framed-40-60-mm-EIFS-cavity-90-mm-frame.png" TargetMode="External"/><Relationship Id="rId100" Type="http://schemas.openxmlformats.org/officeDocument/2006/relationships/image" Target="../media/image50.png"/><Relationship Id="rId282" Type="http://schemas.openxmlformats.org/officeDocument/2006/relationships/image" Target="../media/image141.png"/><Relationship Id="rId8" Type="http://schemas.openxmlformats.org/officeDocument/2006/relationships/image" Target="../media/image4.png"/><Relationship Id="rId98" Type="http://schemas.openxmlformats.org/officeDocument/2006/relationships/image" Target="../media/image49.png"/><Relationship Id="rId121" Type="http://schemas.openxmlformats.org/officeDocument/2006/relationships/hyperlink" Target="https://i.postimg.cc/k4sK7dFm/Wall-steel-framed-40-60-mm-EIFS-cavity-90-mm-frame.png" TargetMode="External"/><Relationship Id="rId142" Type="http://schemas.openxmlformats.org/officeDocument/2006/relationships/image" Target="../media/image71.png"/><Relationship Id="rId163" Type="http://schemas.openxmlformats.org/officeDocument/2006/relationships/hyperlink" Target="https://i.postimg.cc/7P71646J/wall18.png" TargetMode="External"/><Relationship Id="rId184" Type="http://schemas.openxmlformats.org/officeDocument/2006/relationships/image" Target="../media/image92.png"/><Relationship Id="rId219" Type="http://schemas.openxmlformats.org/officeDocument/2006/relationships/hyperlink" Target="https://i.postimg.cc/1tvgjW5S/plain17.png" TargetMode="External"/><Relationship Id="rId230" Type="http://schemas.openxmlformats.org/officeDocument/2006/relationships/image" Target="../media/image115.png"/><Relationship Id="rId251" Type="http://schemas.openxmlformats.org/officeDocument/2006/relationships/hyperlink" Target="https://i.postimg.cc/3wBWkLGG/plain36.png" TargetMode="External"/><Relationship Id="rId25" Type="http://schemas.openxmlformats.org/officeDocument/2006/relationships/hyperlink" Target="https://i.postimg.cc/W1fT0q9q/Roof-low-slope-timber-framed-membrane-140-190-240-290-mm-rafters-and-ceiling-blocking.png" TargetMode="External"/><Relationship Id="rId46" Type="http://schemas.openxmlformats.org/officeDocument/2006/relationships/image" Target="../media/image23.png"/><Relationship Id="rId67" Type="http://schemas.openxmlformats.org/officeDocument/2006/relationships/hyperlink" Target="https://i.postimg.cc/7hZbvdc9/Capture7.png" TargetMode="External"/><Relationship Id="rId272" Type="http://schemas.openxmlformats.org/officeDocument/2006/relationships/image" Target="../media/image136.png"/><Relationship Id="rId88" Type="http://schemas.openxmlformats.org/officeDocument/2006/relationships/image" Target="../media/image44.png"/><Relationship Id="rId111" Type="http://schemas.openxmlformats.org/officeDocument/2006/relationships/hyperlink" Target="https://i.postimg.cc/FRCbGkTT/Wall-sheet-cladding-steel-framed-cavity-90-140-mm-frame-3x.png" TargetMode="External"/><Relationship Id="rId132" Type="http://schemas.openxmlformats.org/officeDocument/2006/relationships/image" Target="../media/image66.png"/><Relationship Id="rId153" Type="http://schemas.openxmlformats.org/officeDocument/2006/relationships/hyperlink" Target="https://i.postimg.cc/PrQmWM1t/wall4.png" TargetMode="External"/><Relationship Id="rId174" Type="http://schemas.openxmlformats.org/officeDocument/2006/relationships/image" Target="../media/image87.png"/><Relationship Id="rId195" Type="http://schemas.openxmlformats.org/officeDocument/2006/relationships/hyperlink" Target="https://i.postimg.cc/P5VmC5kh/plain3.png" TargetMode="External"/><Relationship Id="rId209" Type="http://schemas.openxmlformats.org/officeDocument/2006/relationships/hyperlink" Target="https://i.postimg.cc/902964yP/plain6.png" TargetMode="External"/><Relationship Id="rId220" Type="http://schemas.openxmlformats.org/officeDocument/2006/relationships/image" Target="../media/image110.png"/><Relationship Id="rId241" Type="http://schemas.openxmlformats.org/officeDocument/2006/relationships/hyperlink" Target="https://i.postimg.cc/KzPkDZC1/plain28.png" TargetMode="External"/><Relationship Id="rId15" Type="http://schemas.openxmlformats.org/officeDocument/2006/relationships/hyperlink" Target="https://i.postimg.cc/rs0W4bzr/text.png" TargetMode="External"/><Relationship Id="rId36" Type="http://schemas.openxmlformats.org/officeDocument/2006/relationships/image" Target="../media/image18.png"/><Relationship Id="rId57" Type="http://schemas.openxmlformats.org/officeDocument/2006/relationships/hyperlink" Target="https://i.postimg.cc/hP58JcF4/Wall-sheet-cladding-direct-fixed-timber-framed-90-mm-frame.png" TargetMode="External"/><Relationship Id="rId262" Type="http://schemas.openxmlformats.org/officeDocument/2006/relationships/image" Target="../media/image131.png"/><Relationship Id="rId283" Type="http://schemas.openxmlformats.org/officeDocument/2006/relationships/hyperlink" Target="https://i.postimg.cc/yY9CND44/waffle17.png" TargetMode="External"/><Relationship Id="rId78" Type="http://schemas.openxmlformats.org/officeDocument/2006/relationships/image" Target="../media/image39.png"/><Relationship Id="rId99" Type="http://schemas.openxmlformats.org/officeDocument/2006/relationships/hyperlink" Target="https://i.postimg.cc/RZgkJ3S6/Wall-BBWB-steel-framed-cavity-90-mm-frame.png" TargetMode="External"/><Relationship Id="rId101" Type="http://schemas.openxmlformats.org/officeDocument/2006/relationships/hyperlink" Target="https://i.postimg.cc/MHykndHq/Wall-BBWB-direct-fixed-steel-framed-90-mm-frame.png" TargetMode="External"/><Relationship Id="rId122" Type="http://schemas.openxmlformats.org/officeDocument/2006/relationships/image" Target="../media/image61.png"/><Relationship Id="rId143" Type="http://schemas.openxmlformats.org/officeDocument/2006/relationships/hyperlink" Target="https://i.postimg.cc/Yq6JQTXh/wall11.png" TargetMode="External"/><Relationship Id="rId164" Type="http://schemas.openxmlformats.org/officeDocument/2006/relationships/image" Target="../media/image82.png"/><Relationship Id="rId185" Type="http://schemas.openxmlformats.org/officeDocument/2006/relationships/hyperlink" Target="https://i.postimg.cc/RFpFRNXV/plain24.png" TargetMode="External"/><Relationship Id="rId9" Type="http://schemas.openxmlformats.org/officeDocument/2006/relationships/hyperlink" Target="https://i.postimg.cc/FssMGsky/Roof-truss-roof-with-secondary-insulation-layer.png" TargetMode="External"/><Relationship Id="rId210" Type="http://schemas.openxmlformats.org/officeDocument/2006/relationships/image" Target="../media/image105.png"/><Relationship Id="rId26" Type="http://schemas.openxmlformats.org/officeDocument/2006/relationships/image" Target="../media/image13.png"/><Relationship Id="rId231" Type="http://schemas.openxmlformats.org/officeDocument/2006/relationships/hyperlink" Target="https://i.postimg.cc/jjsSYz1S/plain39.png" TargetMode="External"/><Relationship Id="rId252" Type="http://schemas.openxmlformats.org/officeDocument/2006/relationships/image" Target="../media/image126.png"/><Relationship Id="rId273" Type="http://schemas.openxmlformats.org/officeDocument/2006/relationships/hyperlink" Target="https://i.postimg.cc/3JgpFZ5L/waffle7.png" TargetMode="External"/><Relationship Id="rId47" Type="http://schemas.openxmlformats.org/officeDocument/2006/relationships/hyperlink" Target="https://i.postimg.cc/tgGTRYwY/Capture2.png" TargetMode="External"/><Relationship Id="rId68" Type="http://schemas.openxmlformats.org/officeDocument/2006/relationships/image" Target="../media/image34.png"/><Relationship Id="rId89" Type="http://schemas.openxmlformats.org/officeDocument/2006/relationships/hyperlink" Target="https://i.postimg.cc/q79Z2y9R/Wall-FCWB-cavity-140-mm-timber-framed.png" TargetMode="External"/><Relationship Id="rId112" Type="http://schemas.openxmlformats.org/officeDocument/2006/relationships/image" Target="../media/image56.png"/><Relationship Id="rId133" Type="http://schemas.openxmlformats.org/officeDocument/2006/relationships/hyperlink" Target="https://i.postimg.cc/vZxrfkMr/Wall-sheet-cladding-direct-fixed-steel-framed-140-mm-frame.png" TargetMode="External"/><Relationship Id="rId154" Type="http://schemas.openxmlformats.org/officeDocument/2006/relationships/image" Target="../media/image77.png"/><Relationship Id="rId175" Type="http://schemas.openxmlformats.org/officeDocument/2006/relationships/hyperlink" Target="https://i.postimg.cc/HnQP479f/wall12.png" TargetMode="External"/><Relationship Id="rId196" Type="http://schemas.openxmlformats.org/officeDocument/2006/relationships/image" Target="../media/image98.png"/><Relationship Id="rId200" Type="http://schemas.openxmlformats.org/officeDocument/2006/relationships/image" Target="../media/image100.png"/><Relationship Id="rId16" Type="http://schemas.openxmlformats.org/officeDocument/2006/relationships/image" Target="../media/image8.png"/><Relationship Id="rId221" Type="http://schemas.openxmlformats.org/officeDocument/2006/relationships/hyperlink" Target="https://i.postimg.cc/pdxpXNmx/plain18.png" TargetMode="External"/><Relationship Id="rId242" Type="http://schemas.openxmlformats.org/officeDocument/2006/relationships/image" Target="../media/image121.png"/><Relationship Id="rId263" Type="http://schemas.openxmlformats.org/officeDocument/2006/relationships/hyperlink" Target="https://i.postimg.cc/tTYWdQpP/waffle2.png" TargetMode="External"/><Relationship Id="rId284" Type="http://schemas.openxmlformats.org/officeDocument/2006/relationships/image" Target="../media/image142.png"/><Relationship Id="rId37" Type="http://schemas.openxmlformats.org/officeDocument/2006/relationships/hyperlink" Target="https://i.postimg.cc/ZqGmMtzT/Roof-low-slope-timber-framed-profiled-metal-140-190-240-290-mm-rafters-and-ceiling-blocking.png" TargetMode="External"/><Relationship Id="rId58" Type="http://schemas.openxmlformats.org/officeDocument/2006/relationships/image" Target="../media/image29.png"/><Relationship Id="rId79" Type="http://schemas.openxmlformats.org/officeDocument/2006/relationships/hyperlink" Target="https://i.postimg.cc/9MJFB1M7/Capture9.png" TargetMode="External"/><Relationship Id="rId102" Type="http://schemas.openxmlformats.org/officeDocument/2006/relationships/image" Target="../media/image51.png"/><Relationship Id="rId123" Type="http://schemas.openxmlformats.org/officeDocument/2006/relationships/hyperlink" Target="https://i.postimg.cc/YqHK5KD9/Wall-BBWB-cavity-steel-framed-140-mm-frame.png" TargetMode="External"/><Relationship Id="rId144" Type="http://schemas.openxmlformats.org/officeDocument/2006/relationships/image" Target="../media/image72.png"/><Relationship Id="rId90" Type="http://schemas.openxmlformats.org/officeDocument/2006/relationships/image" Target="../media/image45.png"/><Relationship Id="rId165" Type="http://schemas.openxmlformats.org/officeDocument/2006/relationships/hyperlink" Target="https://i.postimg.cc/vBxKTKg8/wall8.png" TargetMode="External"/><Relationship Id="rId186" Type="http://schemas.openxmlformats.org/officeDocument/2006/relationships/image" Target="../media/image93.png"/><Relationship Id="rId211" Type="http://schemas.openxmlformats.org/officeDocument/2006/relationships/hyperlink" Target="https://i.postimg.cc/vTvnbQvJ/plain7.png" TargetMode="External"/><Relationship Id="rId232" Type="http://schemas.openxmlformats.org/officeDocument/2006/relationships/image" Target="../media/image116.png"/><Relationship Id="rId253" Type="http://schemas.openxmlformats.org/officeDocument/2006/relationships/hyperlink" Target="https://i.postimg.cc/Y04SyMsN/plain33.png" TargetMode="External"/><Relationship Id="rId274" Type="http://schemas.openxmlformats.org/officeDocument/2006/relationships/image" Target="../media/image137.png"/><Relationship Id="rId27" Type="http://schemas.openxmlformats.org/officeDocument/2006/relationships/hyperlink" Target="https://i.postimg.cc/nL5NT6Qn/Wall-BBWB-timber-framed-direct-fixed-90-mm-frame.png" TargetMode="External"/><Relationship Id="rId48" Type="http://schemas.openxmlformats.org/officeDocument/2006/relationships/image" Target="../media/image24.png"/><Relationship Id="rId69" Type="http://schemas.openxmlformats.org/officeDocument/2006/relationships/hyperlink" Target="https://i.postimg.cc/HnTfqTZC/Roof-skillion-timber-framed-concrete-clay-tiles-140-190-mm-rafters-and-ceiling-blocking.png" TargetMode="External"/><Relationship Id="rId113" Type="http://schemas.openxmlformats.org/officeDocument/2006/relationships/hyperlink" Target="https://i.postimg.cc/B642WvFp/Wall-sheet-cladding-steel-framed-direct-fixed-90-mm-frame.png" TargetMode="External"/><Relationship Id="rId134" Type="http://schemas.openxmlformats.org/officeDocument/2006/relationships/image" Target="../media/image67.png"/><Relationship Id="rId80" Type="http://schemas.openxmlformats.org/officeDocument/2006/relationships/image" Target="../media/image40.png"/><Relationship Id="rId155" Type="http://schemas.openxmlformats.org/officeDocument/2006/relationships/hyperlink" Target="https://i.postimg.cc/BQ0TPzLY/wall17.png" TargetMode="External"/><Relationship Id="rId176" Type="http://schemas.openxmlformats.org/officeDocument/2006/relationships/image" Target="../media/image88.png"/><Relationship Id="rId197" Type="http://schemas.openxmlformats.org/officeDocument/2006/relationships/hyperlink" Target="https://i.postimg.cc/nL6B1SzP/plain4.png" TargetMode="External"/><Relationship Id="rId201" Type="http://schemas.openxmlformats.org/officeDocument/2006/relationships/hyperlink" Target="https://i.postimg.cc/90SDWr7N/plain12.png" TargetMode="External"/><Relationship Id="rId222" Type="http://schemas.openxmlformats.org/officeDocument/2006/relationships/image" Target="../media/image111.png"/><Relationship Id="rId243" Type="http://schemas.openxmlformats.org/officeDocument/2006/relationships/hyperlink" Target="https://i.postimg.cc/qqptmPdj/plain29.png" TargetMode="External"/><Relationship Id="rId264" Type="http://schemas.openxmlformats.org/officeDocument/2006/relationships/image" Target="../media/image132.png"/><Relationship Id="rId285" Type="http://schemas.openxmlformats.org/officeDocument/2006/relationships/hyperlink" Target="https://i.postimg.cc/hG37tyTG/waffle6.png" TargetMode="External"/><Relationship Id="rId17" Type="http://schemas.openxmlformats.org/officeDocument/2006/relationships/hyperlink" Target="https://i.postimg.cc/k4RQW3vZ/wall2.png" TargetMode="External"/><Relationship Id="rId38" Type="http://schemas.openxmlformats.org/officeDocument/2006/relationships/image" Target="../media/image19.png"/><Relationship Id="rId59" Type="http://schemas.openxmlformats.org/officeDocument/2006/relationships/hyperlink" Target="https://i.postimg.cc/mrHfMXzK/Roof-skillion-profiled-metal-timber-framed-140-190-240-290-mm-rafters-and-ceiling-blocking.png" TargetMode="External"/><Relationship Id="rId103" Type="http://schemas.openxmlformats.org/officeDocument/2006/relationships/hyperlink" Target="https://i.postimg.cc/MpgYLxt3/Wall-RWB-cavity-steel-framed-90-mm-frame.png" TargetMode="External"/><Relationship Id="rId124" Type="http://schemas.openxmlformats.org/officeDocument/2006/relationships/image" Target="../media/image62.png"/><Relationship Id="rId70" Type="http://schemas.openxmlformats.org/officeDocument/2006/relationships/image" Target="../media/image35.png"/><Relationship Id="rId91" Type="http://schemas.openxmlformats.org/officeDocument/2006/relationships/hyperlink" Target="https://i.postimg.cc/cCc9qj6g/Wall-FCWB-direct-fixed-140-mm-timber-framed.png" TargetMode="External"/><Relationship Id="rId145" Type="http://schemas.openxmlformats.org/officeDocument/2006/relationships/hyperlink" Target="https://i.postimg.cc/hv9V3Lw1/wall5.png" TargetMode="External"/><Relationship Id="rId166" Type="http://schemas.openxmlformats.org/officeDocument/2006/relationships/image" Target="../media/image83.png"/><Relationship Id="rId187" Type="http://schemas.openxmlformats.org/officeDocument/2006/relationships/hyperlink" Target="https://i.postimg.cc/qMPNS60N/plain23.png" TargetMode="External"/><Relationship Id="rId1" Type="http://schemas.openxmlformats.org/officeDocument/2006/relationships/hyperlink" Target="https://i.postimg.cc/Gpt4zZFL/logo.png" TargetMode="External"/><Relationship Id="rId212" Type="http://schemas.openxmlformats.org/officeDocument/2006/relationships/image" Target="../media/image106.png"/><Relationship Id="rId233" Type="http://schemas.openxmlformats.org/officeDocument/2006/relationships/hyperlink" Target="https://i.postimg.cc/RZx0XrQf/plain38.png" TargetMode="External"/><Relationship Id="rId254" Type="http://schemas.openxmlformats.org/officeDocument/2006/relationships/image" Target="../media/image127.png"/><Relationship Id="rId28" Type="http://schemas.openxmlformats.org/officeDocument/2006/relationships/image" Target="../media/image14.png"/><Relationship Id="rId49" Type="http://schemas.openxmlformats.org/officeDocument/2006/relationships/hyperlink" Target="https://i.postimg.cc/nrtFy0Sr/Roof-skillion-with-additional-insulation-layer-over-rafters-3x.png" TargetMode="External"/><Relationship Id="rId114" Type="http://schemas.openxmlformats.org/officeDocument/2006/relationships/image" Target="../media/image57.png"/><Relationship Id="rId275" Type="http://schemas.openxmlformats.org/officeDocument/2006/relationships/hyperlink" Target="https://i.postimg.cc/hjkz9XCW/waffle8.png" TargetMode="External"/><Relationship Id="rId60" Type="http://schemas.openxmlformats.org/officeDocument/2006/relationships/image" Target="../media/image30.png"/><Relationship Id="rId81" Type="http://schemas.openxmlformats.org/officeDocument/2006/relationships/hyperlink" Target="https://i.postimg.cc/4dHnkKJL/Roof-I-joist-skillion-membrane-ACL-secondary-insulation-layer-3x.png" TargetMode="External"/><Relationship Id="rId135" Type="http://schemas.openxmlformats.org/officeDocument/2006/relationships/hyperlink" Target="https://i.postimg.cc/kGwcYbhW/Wall-masonry-veneer-steel-frame.png" TargetMode="External"/><Relationship Id="rId156" Type="http://schemas.openxmlformats.org/officeDocument/2006/relationships/image" Target="../media/image78.png"/><Relationship Id="rId177" Type="http://schemas.openxmlformats.org/officeDocument/2006/relationships/hyperlink" Target="https://i.postimg.cc/vHQ9XVYb/plain19.png" TargetMode="External"/><Relationship Id="rId198" Type="http://schemas.openxmlformats.org/officeDocument/2006/relationships/image" Target="../media/image99.png"/><Relationship Id="rId202" Type="http://schemas.openxmlformats.org/officeDocument/2006/relationships/image" Target="../media/image101.png"/><Relationship Id="rId223" Type="http://schemas.openxmlformats.org/officeDocument/2006/relationships/hyperlink" Target="https://i.postimg.cc/W1yk2YM1/plain26.png" TargetMode="External"/><Relationship Id="rId244" Type="http://schemas.openxmlformats.org/officeDocument/2006/relationships/image" Target="../media/image122.png"/><Relationship Id="rId18" Type="http://schemas.openxmlformats.org/officeDocument/2006/relationships/image" Target="../media/image9.png"/><Relationship Id="rId39" Type="http://schemas.openxmlformats.org/officeDocument/2006/relationships/hyperlink" Target="https://i.postimg.cc/C1sHd809/Wall-RWB-direct-fixed-timber-framed-90-140-mm-frame.png" TargetMode="External"/><Relationship Id="rId265" Type="http://schemas.openxmlformats.org/officeDocument/2006/relationships/hyperlink" Target="https://i.postimg.cc/VLyntVTr/waffle3.png" TargetMode="External"/><Relationship Id="rId286" Type="http://schemas.openxmlformats.org/officeDocument/2006/relationships/image" Target="../media/image143.png"/><Relationship Id="rId50" Type="http://schemas.openxmlformats.org/officeDocument/2006/relationships/image" Target="../media/image25.png"/><Relationship Id="rId104" Type="http://schemas.openxmlformats.org/officeDocument/2006/relationships/image" Target="../media/image52.png"/><Relationship Id="rId125" Type="http://schemas.openxmlformats.org/officeDocument/2006/relationships/hyperlink" Target="https://i.postimg.cc/cL1qJ7SG/Wall-BBWB-direct-fixed-steel-framed-140-mm-frame.png" TargetMode="External"/><Relationship Id="rId146" Type="http://schemas.openxmlformats.org/officeDocument/2006/relationships/image" Target="../media/image73.png"/><Relationship Id="rId167" Type="http://schemas.openxmlformats.org/officeDocument/2006/relationships/hyperlink" Target="https://i.postimg.cc/hvF5d0TL/wall13.png" TargetMode="External"/><Relationship Id="rId188" Type="http://schemas.openxmlformats.org/officeDocument/2006/relationships/image" Target="../media/image94.png"/><Relationship Id="rId71" Type="http://schemas.openxmlformats.org/officeDocument/2006/relationships/hyperlink" Target="https://i.postimg.cc/LXtvf7tC/Wall-MV-cavity-timber-framed-90-140-mm-frame.png" TargetMode="External"/><Relationship Id="rId92" Type="http://schemas.openxmlformats.org/officeDocument/2006/relationships/image" Target="../media/image46.png"/><Relationship Id="rId213" Type="http://schemas.openxmlformats.org/officeDocument/2006/relationships/hyperlink" Target="https://i.postimg.cc/GpBvGncD/plain8.png" TargetMode="External"/><Relationship Id="rId234" Type="http://schemas.openxmlformats.org/officeDocument/2006/relationships/image" Target="../media/image117.png"/><Relationship Id="rId2" Type="http://schemas.openxmlformats.org/officeDocument/2006/relationships/image" Target="../media/image1.png"/><Relationship Id="rId29" Type="http://schemas.openxmlformats.org/officeDocument/2006/relationships/hyperlink" Target="https://i.postimg.cc/KcNXngjc/Roof-timber-framed-with-roof-space-concrete-clay-tiles-90-mm-ceiling-joists-or-bottom-chords.png" TargetMode="External"/><Relationship Id="rId255" Type="http://schemas.openxmlformats.org/officeDocument/2006/relationships/hyperlink" Target="https://i.postimg.cc/SKdZshxp/waffle10.png" TargetMode="External"/><Relationship Id="rId276" Type="http://schemas.openxmlformats.org/officeDocument/2006/relationships/image" Target="../media/image138.png"/><Relationship Id="rId40" Type="http://schemas.openxmlformats.org/officeDocument/2006/relationships/image" Target="../media/image20.png"/><Relationship Id="rId115" Type="http://schemas.openxmlformats.org/officeDocument/2006/relationships/hyperlink" Target="https://i.postimg.cc/2jdXBqTk/Wall-horizontal-profiled-metal-cavity-90-mm-steel-framed.png" TargetMode="External"/><Relationship Id="rId136" Type="http://schemas.openxmlformats.org/officeDocument/2006/relationships/image" Target="../media/image68.png"/><Relationship Id="rId157" Type="http://schemas.openxmlformats.org/officeDocument/2006/relationships/hyperlink" Target="https://i.postimg.cc/rpPb8TpY/wall7.png" TargetMode="External"/><Relationship Id="rId178" Type="http://schemas.openxmlformats.org/officeDocument/2006/relationships/image" Target="../media/image89.png"/><Relationship Id="rId61" Type="http://schemas.openxmlformats.org/officeDocument/2006/relationships/hyperlink" Target="https://i.postimg.cc/TPWt2hpX/Wall-horizontal-profiled-metal-cavity-90-mm-timber-framed.png" TargetMode="External"/><Relationship Id="rId82" Type="http://schemas.openxmlformats.org/officeDocument/2006/relationships/image" Target="../media/image41.png"/><Relationship Id="rId199" Type="http://schemas.openxmlformats.org/officeDocument/2006/relationships/hyperlink" Target="https://i.postimg.cc/V6fr4yw4/plain11.png" TargetMode="External"/><Relationship Id="rId203" Type="http://schemas.openxmlformats.org/officeDocument/2006/relationships/hyperlink" Target="https://i.postimg.cc/Zn09trCd/plain13.png" TargetMode="External"/><Relationship Id="rId19" Type="http://schemas.openxmlformats.org/officeDocument/2006/relationships/hyperlink" Target="https://i.postimg.cc/XNKdw80s/plain9.png" TargetMode="External"/><Relationship Id="rId224" Type="http://schemas.openxmlformats.org/officeDocument/2006/relationships/image" Target="../media/image112.png"/><Relationship Id="rId245" Type="http://schemas.openxmlformats.org/officeDocument/2006/relationships/hyperlink" Target="https://i.postimg.cc/022M71nN/plain32.png" TargetMode="External"/><Relationship Id="rId266" Type="http://schemas.openxmlformats.org/officeDocument/2006/relationships/image" Target="../media/image133.png"/><Relationship Id="rId287" Type="http://schemas.openxmlformats.org/officeDocument/2006/relationships/hyperlink" Target="https://i.postimg.cc/KYVR2Khk/waffle9.png" TargetMode="External"/><Relationship Id="rId30" Type="http://schemas.openxmlformats.org/officeDocument/2006/relationships/image" Target="../media/image15.png"/><Relationship Id="rId105" Type="http://schemas.openxmlformats.org/officeDocument/2006/relationships/hyperlink" Target="https://i.postimg.cc/GpYjwN5L/Wall-RWB-direct-fixed-steel-framed-90-mm-frame.png" TargetMode="External"/><Relationship Id="rId126" Type="http://schemas.openxmlformats.org/officeDocument/2006/relationships/image" Target="../media/image63.png"/><Relationship Id="rId147" Type="http://schemas.openxmlformats.org/officeDocument/2006/relationships/hyperlink" Target="https://i.postimg.cc/nhVq0Q1q/wall16.png" TargetMode="External"/><Relationship Id="rId168" Type="http://schemas.openxmlformats.org/officeDocument/2006/relationships/image" Target="../media/image84.png"/><Relationship Id="rId51" Type="http://schemas.openxmlformats.org/officeDocument/2006/relationships/hyperlink" Target="https://i.postimg.cc/mDCpjhsS/Wall-FCWB-direct-fixed-90-mm-timber-framed.png" TargetMode="External"/><Relationship Id="rId72" Type="http://schemas.openxmlformats.org/officeDocument/2006/relationships/image" Target="../media/image36.png"/><Relationship Id="rId93" Type="http://schemas.openxmlformats.org/officeDocument/2006/relationships/hyperlink" Target="https://i.postimg.cc/NFG8X0fF/Wall-sheet-cladding-cavity-timber-framed-90-mm-frame.png" TargetMode="External"/><Relationship Id="rId189" Type="http://schemas.openxmlformats.org/officeDocument/2006/relationships/hyperlink" Target="https://i.postimg.cc/pLKmHVXq/plain22.png" TargetMode="External"/><Relationship Id="rId3" Type="http://schemas.openxmlformats.org/officeDocument/2006/relationships/hyperlink" Target="https://i.postimg.cc/gjdWGV0Q/Roof-profiled-metal-timber-framed-with-roof-space-90-mm-ceiling-joists-or-bottom-chords.png" TargetMode="External"/><Relationship Id="rId214" Type="http://schemas.openxmlformats.org/officeDocument/2006/relationships/image" Target="../media/image107.png"/><Relationship Id="rId235" Type="http://schemas.openxmlformats.org/officeDocument/2006/relationships/hyperlink" Target="https://i.postimg.cc/Bbdnrkrr/plain35.png" TargetMode="External"/><Relationship Id="rId256" Type="http://schemas.openxmlformats.org/officeDocument/2006/relationships/image" Target="../media/image128.png"/><Relationship Id="rId277" Type="http://schemas.openxmlformats.org/officeDocument/2006/relationships/hyperlink" Target="https://i.postimg.cc/fLtStcff/waffle4.png" TargetMode="External"/><Relationship Id="rId116" Type="http://schemas.openxmlformats.org/officeDocument/2006/relationships/image" Target="../media/image58.png"/><Relationship Id="rId137" Type="http://schemas.openxmlformats.org/officeDocument/2006/relationships/hyperlink" Target="https://i.postimg.cc/V6vnSLzn/Wall-steel-framed-40-60-mm-EIFS-cavity-90-mm-frame-3x.png" TargetMode="External"/><Relationship Id="rId158" Type="http://schemas.openxmlformats.org/officeDocument/2006/relationships/image" Target="../media/image79.png"/><Relationship Id="rId20" Type="http://schemas.openxmlformats.org/officeDocument/2006/relationships/image" Target="../media/image10.png"/><Relationship Id="rId41" Type="http://schemas.openxmlformats.org/officeDocument/2006/relationships/hyperlink" Target="https://i.postimg.cc/Kc0R7ckH/Capture1.png" TargetMode="External"/><Relationship Id="rId62" Type="http://schemas.openxmlformats.org/officeDocument/2006/relationships/image" Target="../media/image31.png"/><Relationship Id="rId83" Type="http://schemas.openxmlformats.org/officeDocument/2006/relationships/hyperlink" Target="https://i.postimg.cc/tTxwc2hW/Wall-BBWB-timber-framed-direct-fixed-140-mm-frame.png" TargetMode="External"/><Relationship Id="rId179" Type="http://schemas.openxmlformats.org/officeDocument/2006/relationships/hyperlink" Target="https://i.postimg.cc/tC26c4JP/plain20.png" TargetMode="External"/><Relationship Id="rId190" Type="http://schemas.openxmlformats.org/officeDocument/2006/relationships/image" Target="../media/image95.png"/><Relationship Id="rId204" Type="http://schemas.openxmlformats.org/officeDocument/2006/relationships/image" Target="../media/image102.png"/><Relationship Id="rId225" Type="http://schemas.openxmlformats.org/officeDocument/2006/relationships/hyperlink" Target="https://i.postimg.cc/Jz0XCCHF/plain27.png" TargetMode="External"/><Relationship Id="rId246" Type="http://schemas.openxmlformats.org/officeDocument/2006/relationships/image" Target="../media/image123.png"/><Relationship Id="rId267" Type="http://schemas.openxmlformats.org/officeDocument/2006/relationships/hyperlink" Target="https://i.postimg.cc/ZYXhZrQx/waffle13.png" TargetMode="External"/><Relationship Id="rId288" Type="http://schemas.openxmlformats.org/officeDocument/2006/relationships/image" Target="../media/image144.png"/><Relationship Id="rId106" Type="http://schemas.openxmlformats.org/officeDocument/2006/relationships/image" Target="../media/image53.png"/><Relationship Id="rId127" Type="http://schemas.openxmlformats.org/officeDocument/2006/relationships/hyperlink" Target="https://i.postimg.cc/Dyy5Jx86/Wall-rusticated-weatherboard-cavity-steel-frame-140mm.png" TargetMode="External"/><Relationship Id="rId10" Type="http://schemas.openxmlformats.org/officeDocument/2006/relationships/image" Target="../media/image5.png"/><Relationship Id="rId31" Type="http://schemas.openxmlformats.org/officeDocument/2006/relationships/hyperlink" Target="https://i.postimg.cc/FKdmpFqW/Roof-low-slope-timber-framed-profiled-metal-140-190-240-290-mm-rafters-and-ceiling-battens.png" TargetMode="External"/><Relationship Id="rId52" Type="http://schemas.openxmlformats.org/officeDocument/2006/relationships/image" Target="../media/image26.png"/><Relationship Id="rId73" Type="http://schemas.openxmlformats.org/officeDocument/2006/relationships/hyperlink" Target="https://i.postimg.cc/V6R5Vm75/Capture8.png" TargetMode="External"/><Relationship Id="rId94" Type="http://schemas.openxmlformats.org/officeDocument/2006/relationships/image" Target="../media/image47.png"/><Relationship Id="rId148" Type="http://schemas.openxmlformats.org/officeDocument/2006/relationships/image" Target="../media/image74.png"/><Relationship Id="rId169" Type="http://schemas.openxmlformats.org/officeDocument/2006/relationships/hyperlink" Target="https://i.postimg.cc/hGjbP7zK/wall.png" TargetMode="External"/><Relationship Id="rId4" Type="http://schemas.openxmlformats.org/officeDocument/2006/relationships/image" Target="../media/image2.png"/><Relationship Id="rId180" Type="http://schemas.openxmlformats.org/officeDocument/2006/relationships/image" Target="../media/image90.png"/><Relationship Id="rId215" Type="http://schemas.openxmlformats.org/officeDocument/2006/relationships/hyperlink" Target="https://i.postimg.cc/v8Sg7SNL/plain15.png" TargetMode="External"/><Relationship Id="rId236" Type="http://schemas.openxmlformats.org/officeDocument/2006/relationships/image" Target="../media/image118.png"/><Relationship Id="rId257" Type="http://schemas.openxmlformats.org/officeDocument/2006/relationships/hyperlink" Target="https://i.postimg.cc/FRKTkBYk/waffle12.png" TargetMode="External"/><Relationship Id="rId278" Type="http://schemas.openxmlformats.org/officeDocument/2006/relationships/image" Target="../media/image139.png"/><Relationship Id="rId42" Type="http://schemas.openxmlformats.org/officeDocument/2006/relationships/image" Target="../media/image21.png"/><Relationship Id="rId84" Type="http://schemas.openxmlformats.org/officeDocument/2006/relationships/image" Target="../media/image42.png"/><Relationship Id="rId138" Type="http://schemas.openxmlformats.org/officeDocument/2006/relationships/image" Target="../media/image69.png"/><Relationship Id="rId191" Type="http://schemas.openxmlformats.org/officeDocument/2006/relationships/hyperlink" Target="https://i.postimg.cc/15H0ZKC8/plain.png" TargetMode="External"/><Relationship Id="rId205" Type="http://schemas.openxmlformats.org/officeDocument/2006/relationships/hyperlink" Target="https://i.postimg.cc/xdSbJJFw/plain14.png" TargetMode="External"/><Relationship Id="rId247" Type="http://schemas.openxmlformats.org/officeDocument/2006/relationships/hyperlink" Target="https://i.postimg.cc/Z5P5QfVQ/plain40.png" TargetMode="External"/><Relationship Id="rId107" Type="http://schemas.openxmlformats.org/officeDocument/2006/relationships/hyperlink" Target="https://i.postimg.cc/25pKFM11/Wall-FCWB-7-5-mm-direct-fixed-90-mm-steel-framed-3x.png" TargetMode="External"/><Relationship Id="rId289" Type="http://schemas.openxmlformats.org/officeDocument/2006/relationships/hyperlink" Target="https://i.postimg.cc/Jzxk94hZ/waffle5.png" TargetMode="External"/><Relationship Id="rId11" Type="http://schemas.openxmlformats.org/officeDocument/2006/relationships/hyperlink" Target="https://i.postimg.cc/bJfXRx1r/Roof-skillion-profiled-metal-timber-framed-140-190-240-290-mm-rafters-and-ceiling-battens.png" TargetMode="External"/><Relationship Id="rId53" Type="http://schemas.openxmlformats.org/officeDocument/2006/relationships/hyperlink" Target="https://i.postimg.cc/x1qSjT0f/Roof-skillion-profiled-metal-timber-framed-140-mm-purlins-and-exposed-rafters.png" TargetMode="External"/><Relationship Id="rId149" Type="http://schemas.openxmlformats.org/officeDocument/2006/relationships/hyperlink" Target="https://i.postimg.cc/rpm3Xsqr/wall6.png" TargetMode="External"/><Relationship Id="rId95" Type="http://schemas.openxmlformats.org/officeDocument/2006/relationships/hyperlink" Target="https://i.postimg.cc/tghFm6s7/Wall-sheet-cladding-direct-fixed-timber-framed-140-mm-frame.png" TargetMode="External"/><Relationship Id="rId160" Type="http://schemas.openxmlformats.org/officeDocument/2006/relationships/image" Target="../media/image80.png"/><Relationship Id="rId216" Type="http://schemas.openxmlformats.org/officeDocument/2006/relationships/image" Target="../media/image108.png"/><Relationship Id="rId258" Type="http://schemas.openxmlformats.org/officeDocument/2006/relationships/image" Target="../media/image129.png"/><Relationship Id="rId22" Type="http://schemas.openxmlformats.org/officeDocument/2006/relationships/image" Target="../media/image11.png"/><Relationship Id="rId64" Type="http://schemas.openxmlformats.org/officeDocument/2006/relationships/image" Target="../media/image32.png"/><Relationship Id="rId118" Type="http://schemas.openxmlformats.org/officeDocument/2006/relationships/image" Target="../media/image59.png"/><Relationship Id="rId171" Type="http://schemas.openxmlformats.org/officeDocument/2006/relationships/hyperlink" Target="https://i.postimg.cc/Vk7nTL7p/wall19.png" TargetMode="External"/><Relationship Id="rId227" Type="http://schemas.openxmlformats.org/officeDocument/2006/relationships/hyperlink" Target="https://i.postimg.cc/0jZzhVkx/plain30.png" TargetMode="External"/></Relationships>
</file>

<file path=xl/richData/_rels/richValueRel.xml.rels><?xml version="1.0" encoding="UTF-8" standalone="yes"?>
<Relationships xmlns="http://schemas.openxmlformats.org/package/2006/relationships"><Relationship Id="rId117" Type="http://schemas.openxmlformats.org/officeDocument/2006/relationships/image" Target="../media/image262.png"/><Relationship Id="rId671" Type="http://schemas.openxmlformats.org/officeDocument/2006/relationships/image" Target="../media/image816.png"/><Relationship Id="rId769" Type="http://schemas.openxmlformats.org/officeDocument/2006/relationships/image" Target="../media/image914.png"/><Relationship Id="rId21" Type="http://schemas.openxmlformats.org/officeDocument/2006/relationships/image" Target="../media/image166.png"/><Relationship Id="rId324" Type="http://schemas.openxmlformats.org/officeDocument/2006/relationships/image" Target="../media/image469.png"/><Relationship Id="rId531" Type="http://schemas.openxmlformats.org/officeDocument/2006/relationships/image" Target="../media/image676.png"/><Relationship Id="rId629" Type="http://schemas.openxmlformats.org/officeDocument/2006/relationships/image" Target="../media/image774.png"/><Relationship Id="rId170" Type="http://schemas.openxmlformats.org/officeDocument/2006/relationships/image" Target="../media/image315.png"/><Relationship Id="rId836" Type="http://schemas.openxmlformats.org/officeDocument/2006/relationships/image" Target="../media/image981.png"/><Relationship Id="rId268" Type="http://schemas.openxmlformats.org/officeDocument/2006/relationships/image" Target="../media/image413.png"/><Relationship Id="rId475" Type="http://schemas.openxmlformats.org/officeDocument/2006/relationships/image" Target="../media/image620.png"/><Relationship Id="rId682" Type="http://schemas.openxmlformats.org/officeDocument/2006/relationships/image" Target="../media/image827.png"/><Relationship Id="rId903" Type="http://schemas.openxmlformats.org/officeDocument/2006/relationships/image" Target="../media/image1048.png"/><Relationship Id="rId32" Type="http://schemas.openxmlformats.org/officeDocument/2006/relationships/image" Target="../media/image177.png"/><Relationship Id="rId128" Type="http://schemas.openxmlformats.org/officeDocument/2006/relationships/image" Target="../media/image273.png"/><Relationship Id="rId335" Type="http://schemas.openxmlformats.org/officeDocument/2006/relationships/image" Target="../media/image480.png"/><Relationship Id="rId542" Type="http://schemas.openxmlformats.org/officeDocument/2006/relationships/image" Target="../media/image687.png"/><Relationship Id="rId181" Type="http://schemas.openxmlformats.org/officeDocument/2006/relationships/image" Target="../media/image326.png"/><Relationship Id="rId402" Type="http://schemas.openxmlformats.org/officeDocument/2006/relationships/image" Target="../media/image547.png"/><Relationship Id="rId847" Type="http://schemas.openxmlformats.org/officeDocument/2006/relationships/image" Target="../media/image992.png"/><Relationship Id="rId279" Type="http://schemas.openxmlformats.org/officeDocument/2006/relationships/image" Target="../media/image424.png"/><Relationship Id="rId486" Type="http://schemas.openxmlformats.org/officeDocument/2006/relationships/image" Target="../media/image631.png"/><Relationship Id="rId693" Type="http://schemas.openxmlformats.org/officeDocument/2006/relationships/image" Target="../media/image838.png"/><Relationship Id="rId707" Type="http://schemas.openxmlformats.org/officeDocument/2006/relationships/image" Target="../media/image852.png"/><Relationship Id="rId914" Type="http://schemas.openxmlformats.org/officeDocument/2006/relationships/image" Target="../media/image1059.png"/><Relationship Id="rId43" Type="http://schemas.openxmlformats.org/officeDocument/2006/relationships/image" Target="../media/image188.png"/><Relationship Id="rId139" Type="http://schemas.openxmlformats.org/officeDocument/2006/relationships/image" Target="../media/image284.png"/><Relationship Id="rId346" Type="http://schemas.openxmlformats.org/officeDocument/2006/relationships/image" Target="../media/image491.png"/><Relationship Id="rId553" Type="http://schemas.openxmlformats.org/officeDocument/2006/relationships/image" Target="../media/image698.png"/><Relationship Id="rId760" Type="http://schemas.openxmlformats.org/officeDocument/2006/relationships/image" Target="../media/image905.png"/><Relationship Id="rId192" Type="http://schemas.openxmlformats.org/officeDocument/2006/relationships/image" Target="../media/image337.png"/><Relationship Id="rId206" Type="http://schemas.openxmlformats.org/officeDocument/2006/relationships/image" Target="../media/image351.png"/><Relationship Id="rId413" Type="http://schemas.openxmlformats.org/officeDocument/2006/relationships/image" Target="../media/image558.png"/><Relationship Id="rId858" Type="http://schemas.openxmlformats.org/officeDocument/2006/relationships/image" Target="../media/image1003.png"/><Relationship Id="rId497" Type="http://schemas.openxmlformats.org/officeDocument/2006/relationships/image" Target="../media/image642.png"/><Relationship Id="rId620" Type="http://schemas.openxmlformats.org/officeDocument/2006/relationships/image" Target="../media/image765.png"/><Relationship Id="rId718" Type="http://schemas.openxmlformats.org/officeDocument/2006/relationships/image" Target="../media/image863.png"/><Relationship Id="rId925" Type="http://schemas.openxmlformats.org/officeDocument/2006/relationships/image" Target="../media/image1070.png"/><Relationship Id="rId357" Type="http://schemas.openxmlformats.org/officeDocument/2006/relationships/image" Target="../media/image502.png"/><Relationship Id="rId54" Type="http://schemas.openxmlformats.org/officeDocument/2006/relationships/image" Target="../media/image199.png"/><Relationship Id="rId217" Type="http://schemas.openxmlformats.org/officeDocument/2006/relationships/image" Target="../media/image362.png"/><Relationship Id="rId564" Type="http://schemas.openxmlformats.org/officeDocument/2006/relationships/image" Target="../media/image709.png"/><Relationship Id="rId771" Type="http://schemas.openxmlformats.org/officeDocument/2006/relationships/image" Target="../media/image916.png"/><Relationship Id="rId869" Type="http://schemas.openxmlformats.org/officeDocument/2006/relationships/image" Target="../media/image1014.png"/><Relationship Id="rId424" Type="http://schemas.openxmlformats.org/officeDocument/2006/relationships/image" Target="../media/image569.png"/><Relationship Id="rId631" Type="http://schemas.openxmlformats.org/officeDocument/2006/relationships/image" Target="../media/image776.png"/><Relationship Id="rId729" Type="http://schemas.openxmlformats.org/officeDocument/2006/relationships/image" Target="../media/image874.png"/><Relationship Id="rId270" Type="http://schemas.openxmlformats.org/officeDocument/2006/relationships/image" Target="../media/image415.png"/><Relationship Id="rId936" Type="http://schemas.openxmlformats.org/officeDocument/2006/relationships/image" Target="../media/image1081.png"/><Relationship Id="rId65" Type="http://schemas.openxmlformats.org/officeDocument/2006/relationships/image" Target="../media/image210.png"/><Relationship Id="rId130" Type="http://schemas.openxmlformats.org/officeDocument/2006/relationships/image" Target="../media/image275.png"/><Relationship Id="rId368" Type="http://schemas.openxmlformats.org/officeDocument/2006/relationships/image" Target="../media/image513.png"/><Relationship Id="rId575" Type="http://schemas.openxmlformats.org/officeDocument/2006/relationships/image" Target="../media/image720.png"/><Relationship Id="rId782" Type="http://schemas.openxmlformats.org/officeDocument/2006/relationships/image" Target="../media/image927.png"/><Relationship Id="rId228" Type="http://schemas.openxmlformats.org/officeDocument/2006/relationships/image" Target="../media/image373.png"/><Relationship Id="rId435" Type="http://schemas.openxmlformats.org/officeDocument/2006/relationships/image" Target="../media/image580.png"/><Relationship Id="rId642" Type="http://schemas.openxmlformats.org/officeDocument/2006/relationships/image" Target="../media/image787.png"/><Relationship Id="rId281" Type="http://schemas.openxmlformats.org/officeDocument/2006/relationships/image" Target="../media/image426.png"/><Relationship Id="rId502" Type="http://schemas.openxmlformats.org/officeDocument/2006/relationships/image" Target="../media/image647.png"/><Relationship Id="rId76" Type="http://schemas.openxmlformats.org/officeDocument/2006/relationships/image" Target="../media/image221.png"/><Relationship Id="rId141" Type="http://schemas.openxmlformats.org/officeDocument/2006/relationships/image" Target="../media/image286.png"/><Relationship Id="rId379" Type="http://schemas.openxmlformats.org/officeDocument/2006/relationships/image" Target="../media/image524.png"/><Relationship Id="rId586" Type="http://schemas.openxmlformats.org/officeDocument/2006/relationships/image" Target="../media/image731.png"/><Relationship Id="rId793" Type="http://schemas.openxmlformats.org/officeDocument/2006/relationships/image" Target="../media/image938.png"/><Relationship Id="rId807" Type="http://schemas.openxmlformats.org/officeDocument/2006/relationships/image" Target="../media/image952.png"/><Relationship Id="rId7" Type="http://schemas.openxmlformats.org/officeDocument/2006/relationships/image" Target="../media/image152.png"/><Relationship Id="rId239" Type="http://schemas.openxmlformats.org/officeDocument/2006/relationships/image" Target="../media/image384.png"/><Relationship Id="rId446" Type="http://schemas.openxmlformats.org/officeDocument/2006/relationships/image" Target="../media/image591.png"/><Relationship Id="rId653" Type="http://schemas.openxmlformats.org/officeDocument/2006/relationships/image" Target="../media/image798.png"/><Relationship Id="rId292" Type="http://schemas.openxmlformats.org/officeDocument/2006/relationships/image" Target="../media/image437.png"/><Relationship Id="rId306" Type="http://schemas.openxmlformats.org/officeDocument/2006/relationships/image" Target="../media/image451.png"/><Relationship Id="rId860" Type="http://schemas.openxmlformats.org/officeDocument/2006/relationships/image" Target="../media/image1005.png"/><Relationship Id="rId87" Type="http://schemas.openxmlformats.org/officeDocument/2006/relationships/image" Target="../media/image232.png"/><Relationship Id="rId513" Type="http://schemas.openxmlformats.org/officeDocument/2006/relationships/image" Target="../media/image658.png"/><Relationship Id="rId597" Type="http://schemas.openxmlformats.org/officeDocument/2006/relationships/image" Target="../media/image742.png"/><Relationship Id="rId720" Type="http://schemas.openxmlformats.org/officeDocument/2006/relationships/image" Target="../media/image865.png"/><Relationship Id="rId818" Type="http://schemas.openxmlformats.org/officeDocument/2006/relationships/image" Target="../media/image963.png"/><Relationship Id="rId152" Type="http://schemas.openxmlformats.org/officeDocument/2006/relationships/image" Target="../media/image297.png"/><Relationship Id="rId457" Type="http://schemas.openxmlformats.org/officeDocument/2006/relationships/image" Target="../media/image602.png"/><Relationship Id="rId664" Type="http://schemas.openxmlformats.org/officeDocument/2006/relationships/image" Target="../media/image809.png"/><Relationship Id="rId871" Type="http://schemas.openxmlformats.org/officeDocument/2006/relationships/image" Target="../media/image1016.png"/><Relationship Id="rId14" Type="http://schemas.openxmlformats.org/officeDocument/2006/relationships/image" Target="../media/image159.png"/><Relationship Id="rId317" Type="http://schemas.openxmlformats.org/officeDocument/2006/relationships/image" Target="../media/image462.png"/><Relationship Id="rId524" Type="http://schemas.openxmlformats.org/officeDocument/2006/relationships/image" Target="../media/image669.png"/><Relationship Id="rId731" Type="http://schemas.openxmlformats.org/officeDocument/2006/relationships/image" Target="../media/image876.png"/><Relationship Id="rId98" Type="http://schemas.openxmlformats.org/officeDocument/2006/relationships/image" Target="../media/image243.png"/><Relationship Id="rId163" Type="http://schemas.openxmlformats.org/officeDocument/2006/relationships/image" Target="../media/image308.png"/><Relationship Id="rId370" Type="http://schemas.openxmlformats.org/officeDocument/2006/relationships/image" Target="../media/image515.png"/><Relationship Id="rId829" Type="http://schemas.openxmlformats.org/officeDocument/2006/relationships/image" Target="../media/image974.png"/><Relationship Id="rId230" Type="http://schemas.openxmlformats.org/officeDocument/2006/relationships/image" Target="../media/image375.png"/><Relationship Id="rId468" Type="http://schemas.openxmlformats.org/officeDocument/2006/relationships/image" Target="../media/image613.png"/><Relationship Id="rId675" Type="http://schemas.openxmlformats.org/officeDocument/2006/relationships/image" Target="../media/image820.png"/><Relationship Id="rId882" Type="http://schemas.openxmlformats.org/officeDocument/2006/relationships/image" Target="../media/image1027.png"/><Relationship Id="rId25" Type="http://schemas.openxmlformats.org/officeDocument/2006/relationships/image" Target="../media/image170.png"/><Relationship Id="rId328" Type="http://schemas.openxmlformats.org/officeDocument/2006/relationships/image" Target="../media/image473.png"/><Relationship Id="rId535" Type="http://schemas.openxmlformats.org/officeDocument/2006/relationships/image" Target="../media/image680.png"/><Relationship Id="rId742" Type="http://schemas.openxmlformats.org/officeDocument/2006/relationships/image" Target="../media/image887.png"/><Relationship Id="rId174" Type="http://schemas.openxmlformats.org/officeDocument/2006/relationships/image" Target="../media/image319.png"/><Relationship Id="rId381" Type="http://schemas.openxmlformats.org/officeDocument/2006/relationships/image" Target="../media/image526.png"/><Relationship Id="rId602" Type="http://schemas.openxmlformats.org/officeDocument/2006/relationships/image" Target="../media/image747.png"/><Relationship Id="rId241" Type="http://schemas.openxmlformats.org/officeDocument/2006/relationships/image" Target="../media/image386.png"/><Relationship Id="rId479" Type="http://schemas.openxmlformats.org/officeDocument/2006/relationships/image" Target="../media/image624.png"/><Relationship Id="rId686" Type="http://schemas.openxmlformats.org/officeDocument/2006/relationships/image" Target="../media/image831.png"/><Relationship Id="rId893" Type="http://schemas.openxmlformats.org/officeDocument/2006/relationships/image" Target="../media/image1038.png"/><Relationship Id="rId907" Type="http://schemas.openxmlformats.org/officeDocument/2006/relationships/image" Target="../media/image1052.png"/><Relationship Id="rId36" Type="http://schemas.openxmlformats.org/officeDocument/2006/relationships/image" Target="../media/image181.png"/><Relationship Id="rId339" Type="http://schemas.openxmlformats.org/officeDocument/2006/relationships/image" Target="../media/image484.png"/><Relationship Id="rId546" Type="http://schemas.openxmlformats.org/officeDocument/2006/relationships/image" Target="../media/image691.png"/><Relationship Id="rId753" Type="http://schemas.openxmlformats.org/officeDocument/2006/relationships/image" Target="../media/image898.png"/><Relationship Id="rId101" Type="http://schemas.openxmlformats.org/officeDocument/2006/relationships/image" Target="../media/image246.png"/><Relationship Id="rId185" Type="http://schemas.openxmlformats.org/officeDocument/2006/relationships/image" Target="../media/image330.png"/><Relationship Id="rId406" Type="http://schemas.openxmlformats.org/officeDocument/2006/relationships/image" Target="../media/image551.png"/><Relationship Id="rId392" Type="http://schemas.openxmlformats.org/officeDocument/2006/relationships/image" Target="../media/image537.png"/><Relationship Id="rId613" Type="http://schemas.openxmlformats.org/officeDocument/2006/relationships/image" Target="../media/image758.png"/><Relationship Id="rId697" Type="http://schemas.openxmlformats.org/officeDocument/2006/relationships/image" Target="../media/image842.png"/><Relationship Id="rId820" Type="http://schemas.openxmlformats.org/officeDocument/2006/relationships/image" Target="../media/image965.png"/><Relationship Id="rId918" Type="http://schemas.openxmlformats.org/officeDocument/2006/relationships/image" Target="../media/image1063.png"/><Relationship Id="rId252" Type="http://schemas.openxmlformats.org/officeDocument/2006/relationships/image" Target="../media/image397.png"/><Relationship Id="rId47" Type="http://schemas.openxmlformats.org/officeDocument/2006/relationships/image" Target="../media/image192.png"/><Relationship Id="rId112" Type="http://schemas.openxmlformats.org/officeDocument/2006/relationships/image" Target="../media/image257.png"/><Relationship Id="rId557" Type="http://schemas.openxmlformats.org/officeDocument/2006/relationships/image" Target="../media/image702.png"/><Relationship Id="rId764" Type="http://schemas.openxmlformats.org/officeDocument/2006/relationships/image" Target="../media/image909.png"/><Relationship Id="rId196" Type="http://schemas.openxmlformats.org/officeDocument/2006/relationships/image" Target="../media/image341.png"/><Relationship Id="rId417" Type="http://schemas.openxmlformats.org/officeDocument/2006/relationships/image" Target="../media/image562.png"/><Relationship Id="rId624" Type="http://schemas.openxmlformats.org/officeDocument/2006/relationships/image" Target="../media/image769.png"/><Relationship Id="rId831" Type="http://schemas.openxmlformats.org/officeDocument/2006/relationships/image" Target="../media/image976.png"/><Relationship Id="rId263" Type="http://schemas.openxmlformats.org/officeDocument/2006/relationships/image" Target="../media/image408.png"/><Relationship Id="rId470" Type="http://schemas.openxmlformats.org/officeDocument/2006/relationships/image" Target="../media/image615.png"/><Relationship Id="rId929" Type="http://schemas.openxmlformats.org/officeDocument/2006/relationships/image" Target="../media/image1074.png"/><Relationship Id="rId58" Type="http://schemas.openxmlformats.org/officeDocument/2006/relationships/image" Target="../media/image203.png"/><Relationship Id="rId123" Type="http://schemas.openxmlformats.org/officeDocument/2006/relationships/image" Target="../media/image268.png"/><Relationship Id="rId330" Type="http://schemas.openxmlformats.org/officeDocument/2006/relationships/image" Target="../media/image475.png"/><Relationship Id="rId568" Type="http://schemas.openxmlformats.org/officeDocument/2006/relationships/image" Target="../media/image713.png"/><Relationship Id="rId775" Type="http://schemas.openxmlformats.org/officeDocument/2006/relationships/image" Target="../media/image920.png"/><Relationship Id="rId428" Type="http://schemas.openxmlformats.org/officeDocument/2006/relationships/image" Target="../media/image573.png"/><Relationship Id="rId635" Type="http://schemas.openxmlformats.org/officeDocument/2006/relationships/image" Target="../media/image780.png"/><Relationship Id="rId842" Type="http://schemas.openxmlformats.org/officeDocument/2006/relationships/image" Target="../media/image987.png"/><Relationship Id="rId274" Type="http://schemas.openxmlformats.org/officeDocument/2006/relationships/image" Target="../media/image419.png"/><Relationship Id="rId481" Type="http://schemas.openxmlformats.org/officeDocument/2006/relationships/image" Target="../media/image626.png"/><Relationship Id="rId702" Type="http://schemas.openxmlformats.org/officeDocument/2006/relationships/image" Target="../media/image847.png"/><Relationship Id="rId69" Type="http://schemas.openxmlformats.org/officeDocument/2006/relationships/image" Target="../media/image214.png"/><Relationship Id="rId134" Type="http://schemas.openxmlformats.org/officeDocument/2006/relationships/image" Target="../media/image279.png"/><Relationship Id="rId579" Type="http://schemas.openxmlformats.org/officeDocument/2006/relationships/image" Target="../media/image724.png"/><Relationship Id="rId786" Type="http://schemas.openxmlformats.org/officeDocument/2006/relationships/image" Target="../media/image931.png"/><Relationship Id="rId341" Type="http://schemas.openxmlformats.org/officeDocument/2006/relationships/image" Target="../media/image486.png"/><Relationship Id="rId439" Type="http://schemas.openxmlformats.org/officeDocument/2006/relationships/image" Target="../media/image584.png"/><Relationship Id="rId646" Type="http://schemas.openxmlformats.org/officeDocument/2006/relationships/image" Target="../media/image791.png"/><Relationship Id="rId201" Type="http://schemas.openxmlformats.org/officeDocument/2006/relationships/image" Target="../media/image346.png"/><Relationship Id="rId285" Type="http://schemas.openxmlformats.org/officeDocument/2006/relationships/image" Target="../media/image430.png"/><Relationship Id="rId506" Type="http://schemas.openxmlformats.org/officeDocument/2006/relationships/image" Target="../media/image651.png"/><Relationship Id="rId853" Type="http://schemas.openxmlformats.org/officeDocument/2006/relationships/image" Target="../media/image998.png"/><Relationship Id="rId492" Type="http://schemas.openxmlformats.org/officeDocument/2006/relationships/image" Target="../media/image637.png"/><Relationship Id="rId713" Type="http://schemas.openxmlformats.org/officeDocument/2006/relationships/image" Target="../media/image858.png"/><Relationship Id="rId797" Type="http://schemas.openxmlformats.org/officeDocument/2006/relationships/image" Target="../media/image942.png"/><Relationship Id="rId920" Type="http://schemas.openxmlformats.org/officeDocument/2006/relationships/image" Target="../media/image1065.png"/><Relationship Id="rId145" Type="http://schemas.openxmlformats.org/officeDocument/2006/relationships/image" Target="../media/image290.png"/><Relationship Id="rId352" Type="http://schemas.openxmlformats.org/officeDocument/2006/relationships/image" Target="../media/image497.png"/><Relationship Id="rId212" Type="http://schemas.openxmlformats.org/officeDocument/2006/relationships/image" Target="../media/image357.png"/><Relationship Id="rId657" Type="http://schemas.openxmlformats.org/officeDocument/2006/relationships/image" Target="../media/image802.png"/><Relationship Id="rId864" Type="http://schemas.openxmlformats.org/officeDocument/2006/relationships/image" Target="../media/image1009.png"/><Relationship Id="rId296" Type="http://schemas.openxmlformats.org/officeDocument/2006/relationships/image" Target="../media/image441.png"/><Relationship Id="rId517" Type="http://schemas.openxmlformats.org/officeDocument/2006/relationships/image" Target="../media/image662.png"/><Relationship Id="rId724" Type="http://schemas.openxmlformats.org/officeDocument/2006/relationships/image" Target="../media/image869.png"/><Relationship Id="rId931" Type="http://schemas.openxmlformats.org/officeDocument/2006/relationships/image" Target="../media/image1076.png"/><Relationship Id="rId60" Type="http://schemas.openxmlformats.org/officeDocument/2006/relationships/image" Target="../media/image205.png"/><Relationship Id="rId156" Type="http://schemas.openxmlformats.org/officeDocument/2006/relationships/image" Target="../media/image301.png"/><Relationship Id="rId363" Type="http://schemas.openxmlformats.org/officeDocument/2006/relationships/image" Target="../media/image508.png"/><Relationship Id="rId570" Type="http://schemas.openxmlformats.org/officeDocument/2006/relationships/image" Target="../media/image715.png"/><Relationship Id="rId223" Type="http://schemas.openxmlformats.org/officeDocument/2006/relationships/image" Target="../media/image368.png"/><Relationship Id="rId430" Type="http://schemas.openxmlformats.org/officeDocument/2006/relationships/image" Target="../media/image575.png"/><Relationship Id="rId668" Type="http://schemas.openxmlformats.org/officeDocument/2006/relationships/image" Target="../media/image813.png"/><Relationship Id="rId875" Type="http://schemas.openxmlformats.org/officeDocument/2006/relationships/image" Target="../media/image1020.png"/><Relationship Id="rId18" Type="http://schemas.openxmlformats.org/officeDocument/2006/relationships/image" Target="../media/image163.png"/><Relationship Id="rId528" Type="http://schemas.openxmlformats.org/officeDocument/2006/relationships/image" Target="../media/image673.png"/><Relationship Id="rId735" Type="http://schemas.openxmlformats.org/officeDocument/2006/relationships/image" Target="../media/image880.png"/><Relationship Id="rId942" Type="http://schemas.openxmlformats.org/officeDocument/2006/relationships/image" Target="../media/image1087.png"/><Relationship Id="rId167" Type="http://schemas.openxmlformats.org/officeDocument/2006/relationships/image" Target="../media/image312.png"/><Relationship Id="rId374" Type="http://schemas.openxmlformats.org/officeDocument/2006/relationships/image" Target="../media/image519.png"/><Relationship Id="rId581" Type="http://schemas.openxmlformats.org/officeDocument/2006/relationships/image" Target="../media/image726.png"/><Relationship Id="rId71" Type="http://schemas.openxmlformats.org/officeDocument/2006/relationships/image" Target="../media/image216.png"/><Relationship Id="rId234" Type="http://schemas.openxmlformats.org/officeDocument/2006/relationships/image" Target="../media/image379.png"/><Relationship Id="rId679" Type="http://schemas.openxmlformats.org/officeDocument/2006/relationships/image" Target="../media/image824.png"/><Relationship Id="rId802" Type="http://schemas.openxmlformats.org/officeDocument/2006/relationships/image" Target="../media/image947.png"/><Relationship Id="rId886" Type="http://schemas.openxmlformats.org/officeDocument/2006/relationships/image" Target="../media/image1031.png"/><Relationship Id="rId2" Type="http://schemas.openxmlformats.org/officeDocument/2006/relationships/image" Target="../media/image147.png"/><Relationship Id="rId29" Type="http://schemas.openxmlformats.org/officeDocument/2006/relationships/image" Target="../media/image174.png"/><Relationship Id="rId441" Type="http://schemas.openxmlformats.org/officeDocument/2006/relationships/image" Target="../media/image586.png"/><Relationship Id="rId539" Type="http://schemas.openxmlformats.org/officeDocument/2006/relationships/image" Target="../media/image684.png"/><Relationship Id="rId746" Type="http://schemas.openxmlformats.org/officeDocument/2006/relationships/image" Target="../media/image891.png"/><Relationship Id="rId178" Type="http://schemas.openxmlformats.org/officeDocument/2006/relationships/image" Target="../media/image323.png"/><Relationship Id="rId301" Type="http://schemas.openxmlformats.org/officeDocument/2006/relationships/image" Target="../media/image446.png"/><Relationship Id="rId82" Type="http://schemas.openxmlformats.org/officeDocument/2006/relationships/image" Target="../media/image227.png"/><Relationship Id="rId385" Type="http://schemas.openxmlformats.org/officeDocument/2006/relationships/image" Target="../media/image530.png"/><Relationship Id="rId592" Type="http://schemas.openxmlformats.org/officeDocument/2006/relationships/image" Target="../media/image737.png"/><Relationship Id="rId606" Type="http://schemas.openxmlformats.org/officeDocument/2006/relationships/image" Target="../media/image751.png"/><Relationship Id="rId813" Type="http://schemas.openxmlformats.org/officeDocument/2006/relationships/image" Target="../media/image958.png"/><Relationship Id="rId245" Type="http://schemas.openxmlformats.org/officeDocument/2006/relationships/image" Target="../media/image390.png"/><Relationship Id="rId452" Type="http://schemas.openxmlformats.org/officeDocument/2006/relationships/image" Target="../media/image597.png"/><Relationship Id="rId897" Type="http://schemas.openxmlformats.org/officeDocument/2006/relationships/image" Target="../media/image1042.png"/><Relationship Id="rId105" Type="http://schemas.openxmlformats.org/officeDocument/2006/relationships/image" Target="../media/image250.png"/><Relationship Id="rId312" Type="http://schemas.openxmlformats.org/officeDocument/2006/relationships/image" Target="../media/image457.png"/><Relationship Id="rId757" Type="http://schemas.openxmlformats.org/officeDocument/2006/relationships/image" Target="../media/image902.png"/><Relationship Id="rId93" Type="http://schemas.openxmlformats.org/officeDocument/2006/relationships/image" Target="../media/image238.png"/><Relationship Id="rId189" Type="http://schemas.openxmlformats.org/officeDocument/2006/relationships/image" Target="../media/image334.png"/><Relationship Id="rId396" Type="http://schemas.openxmlformats.org/officeDocument/2006/relationships/image" Target="../media/image541.png"/><Relationship Id="rId617" Type="http://schemas.openxmlformats.org/officeDocument/2006/relationships/image" Target="../media/image762.png"/><Relationship Id="rId824" Type="http://schemas.openxmlformats.org/officeDocument/2006/relationships/image" Target="../media/image969.png"/><Relationship Id="rId256" Type="http://schemas.openxmlformats.org/officeDocument/2006/relationships/image" Target="../media/image401.png"/><Relationship Id="rId463" Type="http://schemas.openxmlformats.org/officeDocument/2006/relationships/image" Target="../media/image608.png"/><Relationship Id="rId670" Type="http://schemas.openxmlformats.org/officeDocument/2006/relationships/image" Target="../media/image815.png"/><Relationship Id="rId116" Type="http://schemas.openxmlformats.org/officeDocument/2006/relationships/image" Target="../media/image261.png"/><Relationship Id="rId323" Type="http://schemas.openxmlformats.org/officeDocument/2006/relationships/image" Target="../media/image468.png"/><Relationship Id="rId530" Type="http://schemas.openxmlformats.org/officeDocument/2006/relationships/image" Target="../media/image675.png"/><Relationship Id="rId768" Type="http://schemas.openxmlformats.org/officeDocument/2006/relationships/image" Target="../media/image913.png"/><Relationship Id="rId20" Type="http://schemas.openxmlformats.org/officeDocument/2006/relationships/image" Target="../media/image165.png"/><Relationship Id="rId628" Type="http://schemas.openxmlformats.org/officeDocument/2006/relationships/image" Target="../media/image773.png"/><Relationship Id="rId835" Type="http://schemas.openxmlformats.org/officeDocument/2006/relationships/image" Target="../media/image980.png"/><Relationship Id="rId267" Type="http://schemas.openxmlformats.org/officeDocument/2006/relationships/image" Target="../media/image412.png"/><Relationship Id="rId474" Type="http://schemas.openxmlformats.org/officeDocument/2006/relationships/image" Target="../media/image619.png"/><Relationship Id="rId127" Type="http://schemas.openxmlformats.org/officeDocument/2006/relationships/image" Target="../media/image272.png"/><Relationship Id="rId681" Type="http://schemas.openxmlformats.org/officeDocument/2006/relationships/image" Target="../media/image826.png"/><Relationship Id="rId779" Type="http://schemas.openxmlformats.org/officeDocument/2006/relationships/image" Target="../media/image924.png"/><Relationship Id="rId902" Type="http://schemas.openxmlformats.org/officeDocument/2006/relationships/image" Target="../media/image1047.png"/><Relationship Id="rId31" Type="http://schemas.openxmlformats.org/officeDocument/2006/relationships/image" Target="../media/image176.png"/><Relationship Id="rId334" Type="http://schemas.openxmlformats.org/officeDocument/2006/relationships/image" Target="../media/image479.png"/><Relationship Id="rId541" Type="http://schemas.openxmlformats.org/officeDocument/2006/relationships/image" Target="../media/image686.png"/><Relationship Id="rId639" Type="http://schemas.openxmlformats.org/officeDocument/2006/relationships/image" Target="../media/image784.png"/><Relationship Id="rId180" Type="http://schemas.openxmlformats.org/officeDocument/2006/relationships/image" Target="../media/image325.png"/><Relationship Id="rId278" Type="http://schemas.openxmlformats.org/officeDocument/2006/relationships/image" Target="../media/image423.png"/><Relationship Id="rId401" Type="http://schemas.openxmlformats.org/officeDocument/2006/relationships/image" Target="../media/image546.png"/><Relationship Id="rId846" Type="http://schemas.openxmlformats.org/officeDocument/2006/relationships/image" Target="../media/image991.png"/><Relationship Id="rId485" Type="http://schemas.openxmlformats.org/officeDocument/2006/relationships/image" Target="../media/image630.png"/><Relationship Id="rId692" Type="http://schemas.openxmlformats.org/officeDocument/2006/relationships/image" Target="../media/image837.png"/><Relationship Id="rId706" Type="http://schemas.openxmlformats.org/officeDocument/2006/relationships/image" Target="../media/image851.png"/><Relationship Id="rId913" Type="http://schemas.openxmlformats.org/officeDocument/2006/relationships/image" Target="../media/image1058.png"/><Relationship Id="rId42" Type="http://schemas.openxmlformats.org/officeDocument/2006/relationships/image" Target="../media/image187.png"/><Relationship Id="rId138" Type="http://schemas.openxmlformats.org/officeDocument/2006/relationships/image" Target="../media/image283.png"/><Relationship Id="rId345" Type="http://schemas.openxmlformats.org/officeDocument/2006/relationships/image" Target="../media/image490.png"/><Relationship Id="rId552" Type="http://schemas.openxmlformats.org/officeDocument/2006/relationships/image" Target="../media/image697.png"/><Relationship Id="rId191" Type="http://schemas.openxmlformats.org/officeDocument/2006/relationships/image" Target="../media/image336.png"/><Relationship Id="rId205" Type="http://schemas.openxmlformats.org/officeDocument/2006/relationships/image" Target="../media/image350.png"/><Relationship Id="rId412" Type="http://schemas.openxmlformats.org/officeDocument/2006/relationships/image" Target="../media/image557.png"/><Relationship Id="rId857" Type="http://schemas.openxmlformats.org/officeDocument/2006/relationships/image" Target="../media/image1002.png"/><Relationship Id="rId289" Type="http://schemas.openxmlformats.org/officeDocument/2006/relationships/image" Target="../media/image434.png"/><Relationship Id="rId496" Type="http://schemas.openxmlformats.org/officeDocument/2006/relationships/image" Target="../media/image641.png"/><Relationship Id="rId717" Type="http://schemas.openxmlformats.org/officeDocument/2006/relationships/image" Target="../media/image862.png"/><Relationship Id="rId924" Type="http://schemas.openxmlformats.org/officeDocument/2006/relationships/image" Target="../media/image1069.png"/><Relationship Id="rId53" Type="http://schemas.openxmlformats.org/officeDocument/2006/relationships/image" Target="../media/image198.png"/><Relationship Id="rId149" Type="http://schemas.openxmlformats.org/officeDocument/2006/relationships/image" Target="../media/image294.png"/><Relationship Id="rId356" Type="http://schemas.openxmlformats.org/officeDocument/2006/relationships/image" Target="../media/image501.png"/><Relationship Id="rId563" Type="http://schemas.openxmlformats.org/officeDocument/2006/relationships/image" Target="../media/image708.png"/><Relationship Id="rId770" Type="http://schemas.openxmlformats.org/officeDocument/2006/relationships/image" Target="../media/image915.png"/><Relationship Id="rId216" Type="http://schemas.openxmlformats.org/officeDocument/2006/relationships/image" Target="../media/image361.png"/><Relationship Id="rId423" Type="http://schemas.openxmlformats.org/officeDocument/2006/relationships/image" Target="../media/image568.png"/><Relationship Id="rId868" Type="http://schemas.openxmlformats.org/officeDocument/2006/relationships/image" Target="../media/image1013.png"/><Relationship Id="rId630" Type="http://schemas.openxmlformats.org/officeDocument/2006/relationships/image" Target="../media/image775.png"/><Relationship Id="rId728" Type="http://schemas.openxmlformats.org/officeDocument/2006/relationships/image" Target="../media/image873.png"/><Relationship Id="rId935" Type="http://schemas.openxmlformats.org/officeDocument/2006/relationships/image" Target="../media/image1080.png"/><Relationship Id="rId64" Type="http://schemas.openxmlformats.org/officeDocument/2006/relationships/image" Target="../media/image209.png"/><Relationship Id="rId367" Type="http://schemas.openxmlformats.org/officeDocument/2006/relationships/image" Target="../media/image512.png"/><Relationship Id="rId574" Type="http://schemas.openxmlformats.org/officeDocument/2006/relationships/image" Target="../media/image719.png"/><Relationship Id="rId227" Type="http://schemas.openxmlformats.org/officeDocument/2006/relationships/image" Target="../media/image372.png"/><Relationship Id="rId781" Type="http://schemas.openxmlformats.org/officeDocument/2006/relationships/image" Target="../media/image926.png"/><Relationship Id="rId879" Type="http://schemas.openxmlformats.org/officeDocument/2006/relationships/image" Target="../media/image1024.png"/><Relationship Id="rId434" Type="http://schemas.openxmlformats.org/officeDocument/2006/relationships/image" Target="../media/image579.png"/><Relationship Id="rId641" Type="http://schemas.openxmlformats.org/officeDocument/2006/relationships/image" Target="../media/image786.png"/><Relationship Id="rId739" Type="http://schemas.openxmlformats.org/officeDocument/2006/relationships/image" Target="../media/image884.png"/><Relationship Id="rId280" Type="http://schemas.openxmlformats.org/officeDocument/2006/relationships/image" Target="../media/image425.png"/><Relationship Id="rId501" Type="http://schemas.openxmlformats.org/officeDocument/2006/relationships/image" Target="../media/image646.png"/><Relationship Id="rId75" Type="http://schemas.openxmlformats.org/officeDocument/2006/relationships/image" Target="../media/image220.png"/><Relationship Id="rId140" Type="http://schemas.openxmlformats.org/officeDocument/2006/relationships/image" Target="../media/image285.png"/><Relationship Id="rId378" Type="http://schemas.openxmlformats.org/officeDocument/2006/relationships/image" Target="../media/image523.png"/><Relationship Id="rId585" Type="http://schemas.openxmlformats.org/officeDocument/2006/relationships/image" Target="../media/image730.png"/><Relationship Id="rId792" Type="http://schemas.openxmlformats.org/officeDocument/2006/relationships/image" Target="../media/image937.png"/><Relationship Id="rId806" Type="http://schemas.openxmlformats.org/officeDocument/2006/relationships/image" Target="../media/image951.png"/><Relationship Id="rId6" Type="http://schemas.openxmlformats.org/officeDocument/2006/relationships/image" Target="../media/image151.png"/><Relationship Id="rId238" Type="http://schemas.openxmlformats.org/officeDocument/2006/relationships/image" Target="../media/image383.png"/><Relationship Id="rId445" Type="http://schemas.openxmlformats.org/officeDocument/2006/relationships/image" Target="../media/image590.png"/><Relationship Id="rId652" Type="http://schemas.openxmlformats.org/officeDocument/2006/relationships/image" Target="../media/image797.png"/><Relationship Id="rId291" Type="http://schemas.openxmlformats.org/officeDocument/2006/relationships/image" Target="../media/image436.png"/><Relationship Id="rId305" Type="http://schemas.openxmlformats.org/officeDocument/2006/relationships/image" Target="../media/image450.png"/><Relationship Id="rId512" Type="http://schemas.openxmlformats.org/officeDocument/2006/relationships/image" Target="../media/image657.png"/><Relationship Id="rId86" Type="http://schemas.openxmlformats.org/officeDocument/2006/relationships/image" Target="../media/image231.png"/><Relationship Id="rId151" Type="http://schemas.openxmlformats.org/officeDocument/2006/relationships/image" Target="../media/image296.png"/><Relationship Id="rId389" Type="http://schemas.openxmlformats.org/officeDocument/2006/relationships/image" Target="../media/image534.png"/><Relationship Id="rId596" Type="http://schemas.openxmlformats.org/officeDocument/2006/relationships/image" Target="../media/image741.png"/><Relationship Id="rId817" Type="http://schemas.openxmlformats.org/officeDocument/2006/relationships/image" Target="../media/image962.png"/><Relationship Id="rId249" Type="http://schemas.openxmlformats.org/officeDocument/2006/relationships/image" Target="../media/image394.png"/><Relationship Id="rId456" Type="http://schemas.openxmlformats.org/officeDocument/2006/relationships/image" Target="../media/image601.png"/><Relationship Id="rId663" Type="http://schemas.openxmlformats.org/officeDocument/2006/relationships/image" Target="../media/image808.png"/><Relationship Id="rId870" Type="http://schemas.openxmlformats.org/officeDocument/2006/relationships/image" Target="../media/image1015.png"/><Relationship Id="rId13" Type="http://schemas.openxmlformats.org/officeDocument/2006/relationships/image" Target="../media/image158.png"/><Relationship Id="rId109" Type="http://schemas.openxmlformats.org/officeDocument/2006/relationships/image" Target="../media/image254.png"/><Relationship Id="rId316" Type="http://schemas.openxmlformats.org/officeDocument/2006/relationships/image" Target="../media/image461.png"/><Relationship Id="rId523" Type="http://schemas.openxmlformats.org/officeDocument/2006/relationships/image" Target="../media/image668.png"/><Relationship Id="rId97" Type="http://schemas.openxmlformats.org/officeDocument/2006/relationships/image" Target="../media/image242.png"/><Relationship Id="rId730" Type="http://schemas.openxmlformats.org/officeDocument/2006/relationships/image" Target="../media/image875.png"/><Relationship Id="rId828" Type="http://schemas.openxmlformats.org/officeDocument/2006/relationships/image" Target="../media/image973.png"/><Relationship Id="rId162" Type="http://schemas.openxmlformats.org/officeDocument/2006/relationships/image" Target="../media/image307.png"/><Relationship Id="rId467" Type="http://schemas.openxmlformats.org/officeDocument/2006/relationships/image" Target="../media/image612.png"/><Relationship Id="rId674" Type="http://schemas.openxmlformats.org/officeDocument/2006/relationships/image" Target="../media/image819.png"/><Relationship Id="rId881" Type="http://schemas.openxmlformats.org/officeDocument/2006/relationships/image" Target="../media/image1026.png"/><Relationship Id="rId24" Type="http://schemas.openxmlformats.org/officeDocument/2006/relationships/image" Target="../media/image169.png"/><Relationship Id="rId327" Type="http://schemas.openxmlformats.org/officeDocument/2006/relationships/image" Target="../media/image472.png"/><Relationship Id="rId534" Type="http://schemas.openxmlformats.org/officeDocument/2006/relationships/image" Target="../media/image679.png"/><Relationship Id="rId741" Type="http://schemas.openxmlformats.org/officeDocument/2006/relationships/image" Target="../media/image886.png"/><Relationship Id="rId839" Type="http://schemas.openxmlformats.org/officeDocument/2006/relationships/image" Target="../media/image984.png"/><Relationship Id="rId173" Type="http://schemas.openxmlformats.org/officeDocument/2006/relationships/image" Target="../media/image318.png"/><Relationship Id="rId380" Type="http://schemas.openxmlformats.org/officeDocument/2006/relationships/image" Target="../media/image525.png"/><Relationship Id="rId601" Type="http://schemas.openxmlformats.org/officeDocument/2006/relationships/image" Target="../media/image746.png"/><Relationship Id="rId240" Type="http://schemas.openxmlformats.org/officeDocument/2006/relationships/image" Target="../media/image385.png"/><Relationship Id="rId478" Type="http://schemas.openxmlformats.org/officeDocument/2006/relationships/image" Target="../media/image623.png"/><Relationship Id="rId685" Type="http://schemas.openxmlformats.org/officeDocument/2006/relationships/image" Target="../media/image830.png"/><Relationship Id="rId892" Type="http://schemas.openxmlformats.org/officeDocument/2006/relationships/image" Target="../media/image1037.png"/><Relationship Id="rId906" Type="http://schemas.openxmlformats.org/officeDocument/2006/relationships/image" Target="../media/image1051.png"/><Relationship Id="rId35" Type="http://schemas.openxmlformats.org/officeDocument/2006/relationships/image" Target="../media/image180.png"/><Relationship Id="rId100" Type="http://schemas.openxmlformats.org/officeDocument/2006/relationships/image" Target="../media/image245.png"/><Relationship Id="rId338" Type="http://schemas.openxmlformats.org/officeDocument/2006/relationships/image" Target="../media/image483.png"/><Relationship Id="rId545" Type="http://schemas.openxmlformats.org/officeDocument/2006/relationships/image" Target="../media/image690.png"/><Relationship Id="rId752" Type="http://schemas.openxmlformats.org/officeDocument/2006/relationships/image" Target="../media/image897.png"/><Relationship Id="rId184" Type="http://schemas.openxmlformats.org/officeDocument/2006/relationships/image" Target="../media/image329.png"/><Relationship Id="rId391" Type="http://schemas.openxmlformats.org/officeDocument/2006/relationships/image" Target="../media/image536.png"/><Relationship Id="rId405" Type="http://schemas.openxmlformats.org/officeDocument/2006/relationships/image" Target="../media/image550.png"/><Relationship Id="rId612" Type="http://schemas.openxmlformats.org/officeDocument/2006/relationships/image" Target="../media/image757.png"/><Relationship Id="rId251" Type="http://schemas.openxmlformats.org/officeDocument/2006/relationships/image" Target="../media/image396.png"/><Relationship Id="rId489" Type="http://schemas.openxmlformats.org/officeDocument/2006/relationships/image" Target="../media/image634.png"/><Relationship Id="rId696" Type="http://schemas.openxmlformats.org/officeDocument/2006/relationships/image" Target="../media/image841.png"/><Relationship Id="rId917" Type="http://schemas.openxmlformats.org/officeDocument/2006/relationships/image" Target="../media/image1062.png"/><Relationship Id="rId46" Type="http://schemas.openxmlformats.org/officeDocument/2006/relationships/image" Target="../media/image191.png"/><Relationship Id="rId349" Type="http://schemas.openxmlformats.org/officeDocument/2006/relationships/image" Target="../media/image494.png"/><Relationship Id="rId556" Type="http://schemas.openxmlformats.org/officeDocument/2006/relationships/image" Target="../media/image701.png"/><Relationship Id="rId763" Type="http://schemas.openxmlformats.org/officeDocument/2006/relationships/image" Target="../media/image908.png"/><Relationship Id="rId111" Type="http://schemas.openxmlformats.org/officeDocument/2006/relationships/image" Target="../media/image256.png"/><Relationship Id="rId195" Type="http://schemas.openxmlformats.org/officeDocument/2006/relationships/image" Target="../media/image340.png"/><Relationship Id="rId209" Type="http://schemas.openxmlformats.org/officeDocument/2006/relationships/image" Target="../media/image354.png"/><Relationship Id="rId416" Type="http://schemas.openxmlformats.org/officeDocument/2006/relationships/image" Target="../media/image561.png"/><Relationship Id="rId623" Type="http://schemas.openxmlformats.org/officeDocument/2006/relationships/image" Target="../media/image768.png"/><Relationship Id="rId830" Type="http://schemas.openxmlformats.org/officeDocument/2006/relationships/image" Target="../media/image975.png"/><Relationship Id="rId928" Type="http://schemas.openxmlformats.org/officeDocument/2006/relationships/image" Target="../media/image1073.png"/><Relationship Id="rId57" Type="http://schemas.openxmlformats.org/officeDocument/2006/relationships/image" Target="../media/image202.png"/><Relationship Id="rId262" Type="http://schemas.openxmlformats.org/officeDocument/2006/relationships/image" Target="../media/image407.png"/><Relationship Id="rId567" Type="http://schemas.openxmlformats.org/officeDocument/2006/relationships/image" Target="../media/image712.png"/><Relationship Id="rId122" Type="http://schemas.openxmlformats.org/officeDocument/2006/relationships/image" Target="../media/image267.png"/><Relationship Id="rId774" Type="http://schemas.openxmlformats.org/officeDocument/2006/relationships/image" Target="../media/image919.png"/><Relationship Id="rId427" Type="http://schemas.openxmlformats.org/officeDocument/2006/relationships/image" Target="../media/image572.png"/><Relationship Id="rId634" Type="http://schemas.openxmlformats.org/officeDocument/2006/relationships/image" Target="../media/image779.png"/><Relationship Id="rId841" Type="http://schemas.openxmlformats.org/officeDocument/2006/relationships/image" Target="../media/image986.png"/><Relationship Id="rId273" Type="http://schemas.openxmlformats.org/officeDocument/2006/relationships/image" Target="../media/image418.png"/><Relationship Id="rId480" Type="http://schemas.openxmlformats.org/officeDocument/2006/relationships/image" Target="../media/image625.png"/><Relationship Id="rId701" Type="http://schemas.openxmlformats.org/officeDocument/2006/relationships/image" Target="../media/image846.png"/><Relationship Id="rId939" Type="http://schemas.openxmlformats.org/officeDocument/2006/relationships/image" Target="../media/image1084.png"/><Relationship Id="rId68" Type="http://schemas.openxmlformats.org/officeDocument/2006/relationships/image" Target="../media/image213.png"/><Relationship Id="rId133" Type="http://schemas.openxmlformats.org/officeDocument/2006/relationships/image" Target="../media/image278.png"/><Relationship Id="rId340" Type="http://schemas.openxmlformats.org/officeDocument/2006/relationships/image" Target="../media/image485.png"/><Relationship Id="rId578" Type="http://schemas.openxmlformats.org/officeDocument/2006/relationships/image" Target="../media/image723.png"/><Relationship Id="rId785" Type="http://schemas.openxmlformats.org/officeDocument/2006/relationships/image" Target="../media/image930.png"/><Relationship Id="rId200" Type="http://schemas.openxmlformats.org/officeDocument/2006/relationships/image" Target="../media/image345.png"/><Relationship Id="rId438" Type="http://schemas.openxmlformats.org/officeDocument/2006/relationships/image" Target="../media/image583.png"/><Relationship Id="rId645" Type="http://schemas.openxmlformats.org/officeDocument/2006/relationships/image" Target="../media/image790.png"/><Relationship Id="rId852" Type="http://schemas.openxmlformats.org/officeDocument/2006/relationships/image" Target="../media/image997.png"/><Relationship Id="rId284" Type="http://schemas.openxmlformats.org/officeDocument/2006/relationships/image" Target="../media/image429.png"/><Relationship Id="rId491" Type="http://schemas.openxmlformats.org/officeDocument/2006/relationships/image" Target="../media/image636.png"/><Relationship Id="rId505" Type="http://schemas.openxmlformats.org/officeDocument/2006/relationships/image" Target="../media/image650.png"/><Relationship Id="rId712" Type="http://schemas.openxmlformats.org/officeDocument/2006/relationships/image" Target="../media/image857.png"/><Relationship Id="rId79" Type="http://schemas.openxmlformats.org/officeDocument/2006/relationships/image" Target="../media/image224.png"/><Relationship Id="rId144" Type="http://schemas.openxmlformats.org/officeDocument/2006/relationships/image" Target="../media/image289.png"/><Relationship Id="rId589" Type="http://schemas.openxmlformats.org/officeDocument/2006/relationships/image" Target="../media/image734.png"/><Relationship Id="rId796" Type="http://schemas.openxmlformats.org/officeDocument/2006/relationships/image" Target="../media/image941.png"/><Relationship Id="rId351" Type="http://schemas.openxmlformats.org/officeDocument/2006/relationships/image" Target="../media/image496.png"/><Relationship Id="rId449" Type="http://schemas.openxmlformats.org/officeDocument/2006/relationships/image" Target="../media/image594.png"/><Relationship Id="rId656" Type="http://schemas.openxmlformats.org/officeDocument/2006/relationships/image" Target="../media/image801.png"/><Relationship Id="rId863" Type="http://schemas.openxmlformats.org/officeDocument/2006/relationships/image" Target="../media/image1008.png"/><Relationship Id="rId211" Type="http://schemas.openxmlformats.org/officeDocument/2006/relationships/image" Target="../media/image356.png"/><Relationship Id="rId295" Type="http://schemas.openxmlformats.org/officeDocument/2006/relationships/image" Target="../media/image440.png"/><Relationship Id="rId309" Type="http://schemas.openxmlformats.org/officeDocument/2006/relationships/image" Target="../media/image454.png"/><Relationship Id="rId516" Type="http://schemas.openxmlformats.org/officeDocument/2006/relationships/image" Target="../media/image661.png"/><Relationship Id="rId723" Type="http://schemas.openxmlformats.org/officeDocument/2006/relationships/image" Target="../media/image868.png"/><Relationship Id="rId930" Type="http://schemas.openxmlformats.org/officeDocument/2006/relationships/image" Target="../media/image1075.png"/><Relationship Id="rId155" Type="http://schemas.openxmlformats.org/officeDocument/2006/relationships/image" Target="../media/image300.png"/><Relationship Id="rId362" Type="http://schemas.openxmlformats.org/officeDocument/2006/relationships/image" Target="../media/image507.png"/><Relationship Id="rId222" Type="http://schemas.openxmlformats.org/officeDocument/2006/relationships/image" Target="../media/image367.png"/><Relationship Id="rId667" Type="http://schemas.openxmlformats.org/officeDocument/2006/relationships/image" Target="../media/image812.png"/><Relationship Id="rId874" Type="http://schemas.openxmlformats.org/officeDocument/2006/relationships/image" Target="../media/image1019.png"/><Relationship Id="rId17" Type="http://schemas.openxmlformats.org/officeDocument/2006/relationships/image" Target="../media/image162.png"/><Relationship Id="rId527" Type="http://schemas.openxmlformats.org/officeDocument/2006/relationships/image" Target="../media/image672.png"/><Relationship Id="rId734" Type="http://schemas.openxmlformats.org/officeDocument/2006/relationships/image" Target="../media/image879.png"/><Relationship Id="rId941" Type="http://schemas.openxmlformats.org/officeDocument/2006/relationships/image" Target="../media/image1086.png"/><Relationship Id="rId70" Type="http://schemas.openxmlformats.org/officeDocument/2006/relationships/image" Target="../media/image215.png"/><Relationship Id="rId166" Type="http://schemas.openxmlformats.org/officeDocument/2006/relationships/image" Target="../media/image311.png"/><Relationship Id="rId373" Type="http://schemas.openxmlformats.org/officeDocument/2006/relationships/image" Target="../media/image518.png"/><Relationship Id="rId580" Type="http://schemas.openxmlformats.org/officeDocument/2006/relationships/image" Target="../media/image725.png"/><Relationship Id="rId801" Type="http://schemas.openxmlformats.org/officeDocument/2006/relationships/image" Target="../media/image946.png"/><Relationship Id="rId1" Type="http://schemas.openxmlformats.org/officeDocument/2006/relationships/image" Target="../media/image146.png"/><Relationship Id="rId233" Type="http://schemas.openxmlformats.org/officeDocument/2006/relationships/image" Target="../media/image378.png"/><Relationship Id="rId440" Type="http://schemas.openxmlformats.org/officeDocument/2006/relationships/image" Target="../media/image585.png"/><Relationship Id="rId678" Type="http://schemas.openxmlformats.org/officeDocument/2006/relationships/image" Target="../media/image823.png"/><Relationship Id="rId843" Type="http://schemas.openxmlformats.org/officeDocument/2006/relationships/image" Target="../media/image988.png"/><Relationship Id="rId885" Type="http://schemas.openxmlformats.org/officeDocument/2006/relationships/image" Target="../media/image1030.png"/><Relationship Id="rId28" Type="http://schemas.openxmlformats.org/officeDocument/2006/relationships/image" Target="../media/image173.png"/><Relationship Id="rId275" Type="http://schemas.openxmlformats.org/officeDocument/2006/relationships/image" Target="../media/image420.png"/><Relationship Id="rId300" Type="http://schemas.openxmlformats.org/officeDocument/2006/relationships/image" Target="../media/image445.png"/><Relationship Id="rId482" Type="http://schemas.openxmlformats.org/officeDocument/2006/relationships/image" Target="../media/image627.png"/><Relationship Id="rId538" Type="http://schemas.openxmlformats.org/officeDocument/2006/relationships/image" Target="../media/image683.png"/><Relationship Id="rId703" Type="http://schemas.openxmlformats.org/officeDocument/2006/relationships/image" Target="../media/image848.png"/><Relationship Id="rId745" Type="http://schemas.openxmlformats.org/officeDocument/2006/relationships/image" Target="../media/image890.png"/><Relationship Id="rId910" Type="http://schemas.openxmlformats.org/officeDocument/2006/relationships/image" Target="../media/image1055.png"/><Relationship Id="rId81" Type="http://schemas.openxmlformats.org/officeDocument/2006/relationships/image" Target="../media/image226.png"/><Relationship Id="rId135" Type="http://schemas.openxmlformats.org/officeDocument/2006/relationships/image" Target="../media/image280.png"/><Relationship Id="rId177" Type="http://schemas.openxmlformats.org/officeDocument/2006/relationships/image" Target="../media/image322.png"/><Relationship Id="rId342" Type="http://schemas.openxmlformats.org/officeDocument/2006/relationships/image" Target="../media/image487.png"/><Relationship Id="rId384" Type="http://schemas.openxmlformats.org/officeDocument/2006/relationships/image" Target="../media/image529.png"/><Relationship Id="rId591" Type="http://schemas.openxmlformats.org/officeDocument/2006/relationships/image" Target="../media/image736.png"/><Relationship Id="rId605" Type="http://schemas.openxmlformats.org/officeDocument/2006/relationships/image" Target="../media/image750.png"/><Relationship Id="rId787" Type="http://schemas.openxmlformats.org/officeDocument/2006/relationships/image" Target="../media/image932.png"/><Relationship Id="rId812" Type="http://schemas.openxmlformats.org/officeDocument/2006/relationships/image" Target="../media/image957.png"/><Relationship Id="rId202" Type="http://schemas.openxmlformats.org/officeDocument/2006/relationships/image" Target="../media/image347.png"/><Relationship Id="rId244" Type="http://schemas.openxmlformats.org/officeDocument/2006/relationships/image" Target="../media/image389.png"/><Relationship Id="rId647" Type="http://schemas.openxmlformats.org/officeDocument/2006/relationships/image" Target="../media/image792.png"/><Relationship Id="rId689" Type="http://schemas.openxmlformats.org/officeDocument/2006/relationships/image" Target="../media/image834.png"/><Relationship Id="rId854" Type="http://schemas.openxmlformats.org/officeDocument/2006/relationships/image" Target="../media/image999.png"/><Relationship Id="rId896" Type="http://schemas.openxmlformats.org/officeDocument/2006/relationships/image" Target="../media/image1041.png"/><Relationship Id="rId39" Type="http://schemas.openxmlformats.org/officeDocument/2006/relationships/image" Target="../media/image184.png"/><Relationship Id="rId286" Type="http://schemas.openxmlformats.org/officeDocument/2006/relationships/image" Target="../media/image431.png"/><Relationship Id="rId451" Type="http://schemas.openxmlformats.org/officeDocument/2006/relationships/image" Target="../media/image596.png"/><Relationship Id="rId493" Type="http://schemas.openxmlformats.org/officeDocument/2006/relationships/image" Target="../media/image638.png"/><Relationship Id="rId507" Type="http://schemas.openxmlformats.org/officeDocument/2006/relationships/image" Target="../media/image652.png"/><Relationship Id="rId549" Type="http://schemas.openxmlformats.org/officeDocument/2006/relationships/image" Target="../media/image694.png"/><Relationship Id="rId714" Type="http://schemas.openxmlformats.org/officeDocument/2006/relationships/image" Target="../media/image859.png"/><Relationship Id="rId756" Type="http://schemas.openxmlformats.org/officeDocument/2006/relationships/image" Target="../media/image901.png"/><Relationship Id="rId921" Type="http://schemas.openxmlformats.org/officeDocument/2006/relationships/image" Target="../media/image1066.png"/><Relationship Id="rId50" Type="http://schemas.openxmlformats.org/officeDocument/2006/relationships/image" Target="../media/image195.png"/><Relationship Id="rId104" Type="http://schemas.openxmlformats.org/officeDocument/2006/relationships/image" Target="../media/image249.png"/><Relationship Id="rId146" Type="http://schemas.openxmlformats.org/officeDocument/2006/relationships/image" Target="../media/image291.png"/><Relationship Id="rId188" Type="http://schemas.openxmlformats.org/officeDocument/2006/relationships/image" Target="../media/image333.png"/><Relationship Id="rId311" Type="http://schemas.openxmlformats.org/officeDocument/2006/relationships/image" Target="../media/image456.png"/><Relationship Id="rId353" Type="http://schemas.openxmlformats.org/officeDocument/2006/relationships/image" Target="../media/image498.png"/><Relationship Id="rId395" Type="http://schemas.openxmlformats.org/officeDocument/2006/relationships/image" Target="../media/image540.png"/><Relationship Id="rId409" Type="http://schemas.openxmlformats.org/officeDocument/2006/relationships/image" Target="../media/image554.png"/><Relationship Id="rId560" Type="http://schemas.openxmlformats.org/officeDocument/2006/relationships/image" Target="../media/image705.png"/><Relationship Id="rId798" Type="http://schemas.openxmlformats.org/officeDocument/2006/relationships/image" Target="../media/image943.png"/><Relationship Id="rId92" Type="http://schemas.openxmlformats.org/officeDocument/2006/relationships/image" Target="../media/image237.png"/><Relationship Id="rId213" Type="http://schemas.openxmlformats.org/officeDocument/2006/relationships/image" Target="../media/image358.png"/><Relationship Id="rId420" Type="http://schemas.openxmlformats.org/officeDocument/2006/relationships/image" Target="../media/image565.png"/><Relationship Id="rId616" Type="http://schemas.openxmlformats.org/officeDocument/2006/relationships/image" Target="../media/image761.png"/><Relationship Id="rId658" Type="http://schemas.openxmlformats.org/officeDocument/2006/relationships/image" Target="../media/image803.png"/><Relationship Id="rId823" Type="http://schemas.openxmlformats.org/officeDocument/2006/relationships/image" Target="../media/image968.png"/><Relationship Id="rId865" Type="http://schemas.openxmlformats.org/officeDocument/2006/relationships/image" Target="../media/image1010.png"/><Relationship Id="rId255" Type="http://schemas.openxmlformats.org/officeDocument/2006/relationships/image" Target="../media/image400.png"/><Relationship Id="rId297" Type="http://schemas.openxmlformats.org/officeDocument/2006/relationships/image" Target="../media/image442.png"/><Relationship Id="rId462" Type="http://schemas.openxmlformats.org/officeDocument/2006/relationships/image" Target="../media/image607.png"/><Relationship Id="rId518" Type="http://schemas.openxmlformats.org/officeDocument/2006/relationships/image" Target="../media/image663.png"/><Relationship Id="rId725" Type="http://schemas.openxmlformats.org/officeDocument/2006/relationships/image" Target="../media/image870.png"/><Relationship Id="rId932" Type="http://schemas.openxmlformats.org/officeDocument/2006/relationships/image" Target="../media/image1077.png"/><Relationship Id="rId115" Type="http://schemas.openxmlformats.org/officeDocument/2006/relationships/image" Target="../media/image260.png"/><Relationship Id="rId157" Type="http://schemas.openxmlformats.org/officeDocument/2006/relationships/image" Target="../media/image302.png"/><Relationship Id="rId322" Type="http://schemas.openxmlformats.org/officeDocument/2006/relationships/image" Target="../media/image467.png"/><Relationship Id="rId364" Type="http://schemas.openxmlformats.org/officeDocument/2006/relationships/image" Target="../media/image509.png"/><Relationship Id="rId767" Type="http://schemas.openxmlformats.org/officeDocument/2006/relationships/image" Target="../media/image912.png"/><Relationship Id="rId61" Type="http://schemas.openxmlformats.org/officeDocument/2006/relationships/image" Target="../media/image206.png"/><Relationship Id="rId199" Type="http://schemas.openxmlformats.org/officeDocument/2006/relationships/image" Target="../media/image344.png"/><Relationship Id="rId571" Type="http://schemas.openxmlformats.org/officeDocument/2006/relationships/image" Target="../media/image716.png"/><Relationship Id="rId627" Type="http://schemas.openxmlformats.org/officeDocument/2006/relationships/image" Target="../media/image772.png"/><Relationship Id="rId669" Type="http://schemas.openxmlformats.org/officeDocument/2006/relationships/image" Target="../media/image814.png"/><Relationship Id="rId834" Type="http://schemas.openxmlformats.org/officeDocument/2006/relationships/image" Target="../media/image979.png"/><Relationship Id="rId876" Type="http://schemas.openxmlformats.org/officeDocument/2006/relationships/image" Target="../media/image1021.png"/><Relationship Id="rId19" Type="http://schemas.openxmlformats.org/officeDocument/2006/relationships/image" Target="../media/image164.png"/><Relationship Id="rId224" Type="http://schemas.openxmlformats.org/officeDocument/2006/relationships/image" Target="../media/image369.png"/><Relationship Id="rId266" Type="http://schemas.openxmlformats.org/officeDocument/2006/relationships/image" Target="../media/image411.png"/><Relationship Id="rId431" Type="http://schemas.openxmlformats.org/officeDocument/2006/relationships/image" Target="../media/image576.png"/><Relationship Id="rId473" Type="http://schemas.openxmlformats.org/officeDocument/2006/relationships/image" Target="../media/image618.png"/><Relationship Id="rId529" Type="http://schemas.openxmlformats.org/officeDocument/2006/relationships/image" Target="../media/image674.png"/><Relationship Id="rId680" Type="http://schemas.openxmlformats.org/officeDocument/2006/relationships/image" Target="../media/image825.png"/><Relationship Id="rId736" Type="http://schemas.openxmlformats.org/officeDocument/2006/relationships/image" Target="../media/image881.png"/><Relationship Id="rId901" Type="http://schemas.openxmlformats.org/officeDocument/2006/relationships/image" Target="../media/image1046.png"/><Relationship Id="rId30" Type="http://schemas.openxmlformats.org/officeDocument/2006/relationships/image" Target="../media/image175.png"/><Relationship Id="rId126" Type="http://schemas.openxmlformats.org/officeDocument/2006/relationships/image" Target="../media/image271.png"/><Relationship Id="rId168" Type="http://schemas.openxmlformats.org/officeDocument/2006/relationships/image" Target="../media/image313.png"/><Relationship Id="rId333" Type="http://schemas.openxmlformats.org/officeDocument/2006/relationships/image" Target="../media/image478.png"/><Relationship Id="rId540" Type="http://schemas.openxmlformats.org/officeDocument/2006/relationships/image" Target="../media/image685.png"/><Relationship Id="rId778" Type="http://schemas.openxmlformats.org/officeDocument/2006/relationships/image" Target="../media/image923.png"/><Relationship Id="rId943" Type="http://schemas.openxmlformats.org/officeDocument/2006/relationships/image" Target="../media/image1088.png"/><Relationship Id="rId72" Type="http://schemas.openxmlformats.org/officeDocument/2006/relationships/image" Target="../media/image217.png"/><Relationship Id="rId375" Type="http://schemas.openxmlformats.org/officeDocument/2006/relationships/image" Target="../media/image520.png"/><Relationship Id="rId582" Type="http://schemas.openxmlformats.org/officeDocument/2006/relationships/image" Target="../media/image727.png"/><Relationship Id="rId638" Type="http://schemas.openxmlformats.org/officeDocument/2006/relationships/image" Target="../media/image783.png"/><Relationship Id="rId803" Type="http://schemas.openxmlformats.org/officeDocument/2006/relationships/image" Target="../media/image948.png"/><Relationship Id="rId845" Type="http://schemas.openxmlformats.org/officeDocument/2006/relationships/image" Target="../media/image990.png"/><Relationship Id="rId3" Type="http://schemas.openxmlformats.org/officeDocument/2006/relationships/image" Target="../media/image148.png"/><Relationship Id="rId235" Type="http://schemas.openxmlformats.org/officeDocument/2006/relationships/image" Target="../media/image380.png"/><Relationship Id="rId277" Type="http://schemas.openxmlformats.org/officeDocument/2006/relationships/image" Target="../media/image422.png"/><Relationship Id="rId400" Type="http://schemas.openxmlformats.org/officeDocument/2006/relationships/image" Target="../media/image545.png"/><Relationship Id="rId442" Type="http://schemas.openxmlformats.org/officeDocument/2006/relationships/image" Target="../media/image587.png"/><Relationship Id="rId484" Type="http://schemas.openxmlformats.org/officeDocument/2006/relationships/image" Target="../media/image629.png"/><Relationship Id="rId705" Type="http://schemas.openxmlformats.org/officeDocument/2006/relationships/image" Target="../media/image850.png"/><Relationship Id="rId887" Type="http://schemas.openxmlformats.org/officeDocument/2006/relationships/image" Target="../media/image1032.png"/><Relationship Id="rId137" Type="http://schemas.openxmlformats.org/officeDocument/2006/relationships/image" Target="../media/image282.png"/><Relationship Id="rId302" Type="http://schemas.openxmlformats.org/officeDocument/2006/relationships/image" Target="../media/image447.png"/><Relationship Id="rId344" Type="http://schemas.openxmlformats.org/officeDocument/2006/relationships/image" Target="../media/image489.png"/><Relationship Id="rId691" Type="http://schemas.openxmlformats.org/officeDocument/2006/relationships/image" Target="../media/image836.png"/><Relationship Id="rId747" Type="http://schemas.openxmlformats.org/officeDocument/2006/relationships/image" Target="../media/image892.png"/><Relationship Id="rId789" Type="http://schemas.openxmlformats.org/officeDocument/2006/relationships/image" Target="../media/image934.png"/><Relationship Id="rId912" Type="http://schemas.openxmlformats.org/officeDocument/2006/relationships/image" Target="../media/image1057.png"/><Relationship Id="rId41" Type="http://schemas.openxmlformats.org/officeDocument/2006/relationships/image" Target="../media/image186.png"/><Relationship Id="rId83" Type="http://schemas.openxmlformats.org/officeDocument/2006/relationships/image" Target="../media/image228.png"/><Relationship Id="rId179" Type="http://schemas.openxmlformats.org/officeDocument/2006/relationships/image" Target="../media/image324.png"/><Relationship Id="rId386" Type="http://schemas.openxmlformats.org/officeDocument/2006/relationships/image" Target="../media/image531.png"/><Relationship Id="rId551" Type="http://schemas.openxmlformats.org/officeDocument/2006/relationships/image" Target="../media/image696.png"/><Relationship Id="rId593" Type="http://schemas.openxmlformats.org/officeDocument/2006/relationships/image" Target="../media/image738.png"/><Relationship Id="rId607" Type="http://schemas.openxmlformats.org/officeDocument/2006/relationships/image" Target="../media/image752.png"/><Relationship Id="rId649" Type="http://schemas.openxmlformats.org/officeDocument/2006/relationships/image" Target="../media/image794.png"/><Relationship Id="rId814" Type="http://schemas.openxmlformats.org/officeDocument/2006/relationships/image" Target="../media/image959.png"/><Relationship Id="rId856" Type="http://schemas.openxmlformats.org/officeDocument/2006/relationships/image" Target="../media/image1001.png"/><Relationship Id="rId190" Type="http://schemas.openxmlformats.org/officeDocument/2006/relationships/image" Target="../media/image335.png"/><Relationship Id="rId204" Type="http://schemas.openxmlformats.org/officeDocument/2006/relationships/image" Target="../media/image349.png"/><Relationship Id="rId246" Type="http://schemas.openxmlformats.org/officeDocument/2006/relationships/image" Target="../media/image391.png"/><Relationship Id="rId288" Type="http://schemas.openxmlformats.org/officeDocument/2006/relationships/image" Target="../media/image433.png"/><Relationship Id="rId411" Type="http://schemas.openxmlformats.org/officeDocument/2006/relationships/image" Target="../media/image556.png"/><Relationship Id="rId453" Type="http://schemas.openxmlformats.org/officeDocument/2006/relationships/image" Target="../media/image598.png"/><Relationship Id="rId509" Type="http://schemas.openxmlformats.org/officeDocument/2006/relationships/image" Target="../media/image654.png"/><Relationship Id="rId660" Type="http://schemas.openxmlformats.org/officeDocument/2006/relationships/image" Target="../media/image805.png"/><Relationship Id="rId898" Type="http://schemas.openxmlformats.org/officeDocument/2006/relationships/image" Target="../media/image1043.png"/><Relationship Id="rId106" Type="http://schemas.openxmlformats.org/officeDocument/2006/relationships/image" Target="../media/image251.png"/><Relationship Id="rId313" Type="http://schemas.openxmlformats.org/officeDocument/2006/relationships/image" Target="../media/image458.png"/><Relationship Id="rId495" Type="http://schemas.openxmlformats.org/officeDocument/2006/relationships/image" Target="../media/image640.png"/><Relationship Id="rId716" Type="http://schemas.openxmlformats.org/officeDocument/2006/relationships/image" Target="../media/image861.png"/><Relationship Id="rId758" Type="http://schemas.openxmlformats.org/officeDocument/2006/relationships/image" Target="../media/image903.png"/><Relationship Id="rId923" Type="http://schemas.openxmlformats.org/officeDocument/2006/relationships/image" Target="../media/image1068.png"/><Relationship Id="rId10" Type="http://schemas.openxmlformats.org/officeDocument/2006/relationships/image" Target="../media/image155.png"/><Relationship Id="rId52" Type="http://schemas.openxmlformats.org/officeDocument/2006/relationships/image" Target="../media/image197.png"/><Relationship Id="rId94" Type="http://schemas.openxmlformats.org/officeDocument/2006/relationships/image" Target="../media/image239.png"/><Relationship Id="rId148" Type="http://schemas.openxmlformats.org/officeDocument/2006/relationships/image" Target="../media/image293.png"/><Relationship Id="rId355" Type="http://schemas.openxmlformats.org/officeDocument/2006/relationships/image" Target="../media/image500.png"/><Relationship Id="rId397" Type="http://schemas.openxmlformats.org/officeDocument/2006/relationships/image" Target="../media/image542.png"/><Relationship Id="rId520" Type="http://schemas.openxmlformats.org/officeDocument/2006/relationships/image" Target="../media/image665.png"/><Relationship Id="rId562" Type="http://schemas.openxmlformats.org/officeDocument/2006/relationships/image" Target="../media/image707.png"/><Relationship Id="rId618" Type="http://schemas.openxmlformats.org/officeDocument/2006/relationships/image" Target="../media/image763.png"/><Relationship Id="rId825" Type="http://schemas.openxmlformats.org/officeDocument/2006/relationships/image" Target="../media/image970.png"/><Relationship Id="rId215" Type="http://schemas.openxmlformats.org/officeDocument/2006/relationships/image" Target="../media/image360.png"/><Relationship Id="rId257" Type="http://schemas.openxmlformats.org/officeDocument/2006/relationships/image" Target="../media/image402.png"/><Relationship Id="rId422" Type="http://schemas.openxmlformats.org/officeDocument/2006/relationships/image" Target="../media/image567.png"/><Relationship Id="rId464" Type="http://schemas.openxmlformats.org/officeDocument/2006/relationships/image" Target="../media/image609.png"/><Relationship Id="rId867" Type="http://schemas.openxmlformats.org/officeDocument/2006/relationships/image" Target="../media/image1012.png"/><Relationship Id="rId299" Type="http://schemas.openxmlformats.org/officeDocument/2006/relationships/image" Target="../media/image444.png"/><Relationship Id="rId727" Type="http://schemas.openxmlformats.org/officeDocument/2006/relationships/image" Target="../media/image872.png"/><Relationship Id="rId934" Type="http://schemas.openxmlformats.org/officeDocument/2006/relationships/image" Target="../media/image1079.png"/><Relationship Id="rId63" Type="http://schemas.openxmlformats.org/officeDocument/2006/relationships/image" Target="../media/image208.png"/><Relationship Id="rId159" Type="http://schemas.openxmlformats.org/officeDocument/2006/relationships/image" Target="../media/image304.png"/><Relationship Id="rId366" Type="http://schemas.openxmlformats.org/officeDocument/2006/relationships/image" Target="../media/image511.png"/><Relationship Id="rId573" Type="http://schemas.openxmlformats.org/officeDocument/2006/relationships/image" Target="../media/image718.png"/><Relationship Id="rId780" Type="http://schemas.openxmlformats.org/officeDocument/2006/relationships/image" Target="../media/image925.png"/><Relationship Id="rId226" Type="http://schemas.openxmlformats.org/officeDocument/2006/relationships/image" Target="../media/image371.png"/><Relationship Id="rId433" Type="http://schemas.openxmlformats.org/officeDocument/2006/relationships/image" Target="../media/image578.png"/><Relationship Id="rId878" Type="http://schemas.openxmlformats.org/officeDocument/2006/relationships/image" Target="../media/image1023.png"/><Relationship Id="rId640" Type="http://schemas.openxmlformats.org/officeDocument/2006/relationships/image" Target="../media/image785.png"/><Relationship Id="rId738" Type="http://schemas.openxmlformats.org/officeDocument/2006/relationships/image" Target="../media/image883.png"/><Relationship Id="rId74" Type="http://schemas.openxmlformats.org/officeDocument/2006/relationships/image" Target="../media/image219.png"/><Relationship Id="rId377" Type="http://schemas.openxmlformats.org/officeDocument/2006/relationships/image" Target="../media/image522.png"/><Relationship Id="rId500" Type="http://schemas.openxmlformats.org/officeDocument/2006/relationships/image" Target="../media/image645.png"/><Relationship Id="rId584" Type="http://schemas.openxmlformats.org/officeDocument/2006/relationships/image" Target="../media/image729.png"/><Relationship Id="rId805" Type="http://schemas.openxmlformats.org/officeDocument/2006/relationships/image" Target="../media/image950.png"/><Relationship Id="rId5" Type="http://schemas.openxmlformats.org/officeDocument/2006/relationships/image" Target="../media/image150.png"/><Relationship Id="rId237" Type="http://schemas.openxmlformats.org/officeDocument/2006/relationships/image" Target="../media/image382.png"/><Relationship Id="rId791" Type="http://schemas.openxmlformats.org/officeDocument/2006/relationships/image" Target="../media/image936.png"/><Relationship Id="rId889" Type="http://schemas.openxmlformats.org/officeDocument/2006/relationships/image" Target="../media/image1034.png"/><Relationship Id="rId444" Type="http://schemas.openxmlformats.org/officeDocument/2006/relationships/image" Target="../media/image589.png"/><Relationship Id="rId651" Type="http://schemas.openxmlformats.org/officeDocument/2006/relationships/image" Target="../media/image796.png"/><Relationship Id="rId749" Type="http://schemas.openxmlformats.org/officeDocument/2006/relationships/image" Target="../media/image894.png"/><Relationship Id="rId290" Type="http://schemas.openxmlformats.org/officeDocument/2006/relationships/image" Target="../media/image435.png"/><Relationship Id="rId304" Type="http://schemas.openxmlformats.org/officeDocument/2006/relationships/image" Target="../media/image449.png"/><Relationship Id="rId388" Type="http://schemas.openxmlformats.org/officeDocument/2006/relationships/image" Target="../media/image533.png"/><Relationship Id="rId511" Type="http://schemas.openxmlformats.org/officeDocument/2006/relationships/image" Target="../media/image656.png"/><Relationship Id="rId609" Type="http://schemas.openxmlformats.org/officeDocument/2006/relationships/image" Target="../media/image754.png"/><Relationship Id="rId85" Type="http://schemas.openxmlformats.org/officeDocument/2006/relationships/image" Target="../media/image230.png"/><Relationship Id="rId150" Type="http://schemas.openxmlformats.org/officeDocument/2006/relationships/image" Target="../media/image295.png"/><Relationship Id="rId595" Type="http://schemas.openxmlformats.org/officeDocument/2006/relationships/image" Target="../media/image740.png"/><Relationship Id="rId816" Type="http://schemas.openxmlformats.org/officeDocument/2006/relationships/image" Target="../media/image961.png"/><Relationship Id="rId248" Type="http://schemas.openxmlformats.org/officeDocument/2006/relationships/image" Target="../media/image393.png"/><Relationship Id="rId455" Type="http://schemas.openxmlformats.org/officeDocument/2006/relationships/image" Target="../media/image600.png"/><Relationship Id="rId662" Type="http://schemas.openxmlformats.org/officeDocument/2006/relationships/image" Target="../media/image807.png"/><Relationship Id="rId12" Type="http://schemas.openxmlformats.org/officeDocument/2006/relationships/image" Target="../media/image157.png"/><Relationship Id="rId108" Type="http://schemas.openxmlformats.org/officeDocument/2006/relationships/image" Target="../media/image253.png"/><Relationship Id="rId315" Type="http://schemas.openxmlformats.org/officeDocument/2006/relationships/image" Target="../media/image460.png"/><Relationship Id="rId522" Type="http://schemas.openxmlformats.org/officeDocument/2006/relationships/image" Target="../media/image667.png"/><Relationship Id="rId96" Type="http://schemas.openxmlformats.org/officeDocument/2006/relationships/image" Target="../media/image241.png"/><Relationship Id="rId161" Type="http://schemas.openxmlformats.org/officeDocument/2006/relationships/image" Target="../media/image306.png"/><Relationship Id="rId399" Type="http://schemas.openxmlformats.org/officeDocument/2006/relationships/image" Target="../media/image544.png"/><Relationship Id="rId827" Type="http://schemas.openxmlformats.org/officeDocument/2006/relationships/image" Target="../media/image972.png"/><Relationship Id="rId259" Type="http://schemas.openxmlformats.org/officeDocument/2006/relationships/image" Target="../media/image404.png"/><Relationship Id="rId466" Type="http://schemas.openxmlformats.org/officeDocument/2006/relationships/image" Target="../media/image611.png"/><Relationship Id="rId673" Type="http://schemas.openxmlformats.org/officeDocument/2006/relationships/image" Target="../media/image818.png"/><Relationship Id="rId880" Type="http://schemas.openxmlformats.org/officeDocument/2006/relationships/image" Target="../media/image1025.png"/><Relationship Id="rId23" Type="http://schemas.openxmlformats.org/officeDocument/2006/relationships/image" Target="../media/image168.png"/><Relationship Id="rId119" Type="http://schemas.openxmlformats.org/officeDocument/2006/relationships/image" Target="../media/image264.png"/><Relationship Id="rId326" Type="http://schemas.openxmlformats.org/officeDocument/2006/relationships/image" Target="../media/image471.png"/><Relationship Id="rId533" Type="http://schemas.openxmlformats.org/officeDocument/2006/relationships/image" Target="../media/image678.png"/><Relationship Id="rId740" Type="http://schemas.openxmlformats.org/officeDocument/2006/relationships/image" Target="../media/image885.png"/><Relationship Id="rId838" Type="http://schemas.openxmlformats.org/officeDocument/2006/relationships/image" Target="../media/image983.png"/><Relationship Id="rId172" Type="http://schemas.openxmlformats.org/officeDocument/2006/relationships/image" Target="../media/image317.png"/><Relationship Id="rId477" Type="http://schemas.openxmlformats.org/officeDocument/2006/relationships/image" Target="../media/image622.png"/><Relationship Id="rId600" Type="http://schemas.openxmlformats.org/officeDocument/2006/relationships/image" Target="../media/image745.png"/><Relationship Id="rId684" Type="http://schemas.openxmlformats.org/officeDocument/2006/relationships/image" Target="../media/image829.png"/><Relationship Id="rId337" Type="http://schemas.openxmlformats.org/officeDocument/2006/relationships/image" Target="../media/image482.png"/><Relationship Id="rId891" Type="http://schemas.openxmlformats.org/officeDocument/2006/relationships/image" Target="../media/image1036.png"/><Relationship Id="rId905" Type="http://schemas.openxmlformats.org/officeDocument/2006/relationships/image" Target="../media/image1050.png"/><Relationship Id="rId34" Type="http://schemas.openxmlformats.org/officeDocument/2006/relationships/image" Target="../media/image179.png"/><Relationship Id="rId544" Type="http://schemas.openxmlformats.org/officeDocument/2006/relationships/image" Target="../media/image689.png"/><Relationship Id="rId751" Type="http://schemas.openxmlformats.org/officeDocument/2006/relationships/image" Target="../media/image896.png"/><Relationship Id="rId849" Type="http://schemas.openxmlformats.org/officeDocument/2006/relationships/image" Target="../media/image994.png"/><Relationship Id="rId183" Type="http://schemas.openxmlformats.org/officeDocument/2006/relationships/image" Target="../media/image328.png"/><Relationship Id="rId390" Type="http://schemas.openxmlformats.org/officeDocument/2006/relationships/image" Target="../media/image535.png"/><Relationship Id="rId404" Type="http://schemas.openxmlformats.org/officeDocument/2006/relationships/image" Target="../media/image549.png"/><Relationship Id="rId611" Type="http://schemas.openxmlformats.org/officeDocument/2006/relationships/image" Target="../media/image756.png"/><Relationship Id="rId250" Type="http://schemas.openxmlformats.org/officeDocument/2006/relationships/image" Target="../media/image395.png"/><Relationship Id="rId488" Type="http://schemas.openxmlformats.org/officeDocument/2006/relationships/image" Target="../media/image633.png"/><Relationship Id="rId695" Type="http://schemas.openxmlformats.org/officeDocument/2006/relationships/image" Target="../media/image840.png"/><Relationship Id="rId709" Type="http://schemas.openxmlformats.org/officeDocument/2006/relationships/image" Target="../media/image854.png"/><Relationship Id="rId916" Type="http://schemas.openxmlformats.org/officeDocument/2006/relationships/image" Target="../media/image1061.png"/><Relationship Id="rId45" Type="http://schemas.openxmlformats.org/officeDocument/2006/relationships/image" Target="../media/image190.png"/><Relationship Id="rId110" Type="http://schemas.openxmlformats.org/officeDocument/2006/relationships/image" Target="../media/image255.png"/><Relationship Id="rId348" Type="http://schemas.openxmlformats.org/officeDocument/2006/relationships/image" Target="../media/image493.png"/><Relationship Id="rId555" Type="http://schemas.openxmlformats.org/officeDocument/2006/relationships/image" Target="../media/image700.png"/><Relationship Id="rId762" Type="http://schemas.openxmlformats.org/officeDocument/2006/relationships/image" Target="../media/image907.png"/><Relationship Id="rId194" Type="http://schemas.openxmlformats.org/officeDocument/2006/relationships/image" Target="../media/image339.png"/><Relationship Id="rId208" Type="http://schemas.openxmlformats.org/officeDocument/2006/relationships/image" Target="../media/image353.png"/><Relationship Id="rId415" Type="http://schemas.openxmlformats.org/officeDocument/2006/relationships/image" Target="../media/image560.png"/><Relationship Id="rId622" Type="http://schemas.openxmlformats.org/officeDocument/2006/relationships/image" Target="../media/image767.png"/><Relationship Id="rId261" Type="http://schemas.openxmlformats.org/officeDocument/2006/relationships/image" Target="../media/image406.png"/><Relationship Id="rId499" Type="http://schemas.openxmlformats.org/officeDocument/2006/relationships/image" Target="../media/image644.png"/><Relationship Id="rId927" Type="http://schemas.openxmlformats.org/officeDocument/2006/relationships/image" Target="../media/image1072.png"/><Relationship Id="rId56" Type="http://schemas.openxmlformats.org/officeDocument/2006/relationships/image" Target="../media/image201.png"/><Relationship Id="rId359" Type="http://schemas.openxmlformats.org/officeDocument/2006/relationships/image" Target="../media/image504.png"/><Relationship Id="rId566" Type="http://schemas.openxmlformats.org/officeDocument/2006/relationships/image" Target="../media/image711.png"/><Relationship Id="rId773" Type="http://schemas.openxmlformats.org/officeDocument/2006/relationships/image" Target="../media/image918.png"/><Relationship Id="rId121" Type="http://schemas.openxmlformats.org/officeDocument/2006/relationships/image" Target="../media/image266.png"/><Relationship Id="rId219" Type="http://schemas.openxmlformats.org/officeDocument/2006/relationships/image" Target="../media/image364.png"/><Relationship Id="rId426" Type="http://schemas.openxmlformats.org/officeDocument/2006/relationships/image" Target="../media/image571.png"/><Relationship Id="rId633" Type="http://schemas.openxmlformats.org/officeDocument/2006/relationships/image" Target="../media/image778.png"/><Relationship Id="rId840" Type="http://schemas.openxmlformats.org/officeDocument/2006/relationships/image" Target="../media/image985.png"/><Relationship Id="rId938" Type="http://schemas.openxmlformats.org/officeDocument/2006/relationships/image" Target="../media/image1083.png"/><Relationship Id="rId67" Type="http://schemas.openxmlformats.org/officeDocument/2006/relationships/image" Target="../media/image212.png"/><Relationship Id="rId272" Type="http://schemas.openxmlformats.org/officeDocument/2006/relationships/image" Target="../media/image417.png"/><Relationship Id="rId577" Type="http://schemas.openxmlformats.org/officeDocument/2006/relationships/image" Target="../media/image722.png"/><Relationship Id="rId700" Type="http://schemas.openxmlformats.org/officeDocument/2006/relationships/image" Target="../media/image845.png"/><Relationship Id="rId132" Type="http://schemas.openxmlformats.org/officeDocument/2006/relationships/image" Target="../media/image277.png"/><Relationship Id="rId784" Type="http://schemas.openxmlformats.org/officeDocument/2006/relationships/image" Target="../media/image929.png"/><Relationship Id="rId437" Type="http://schemas.openxmlformats.org/officeDocument/2006/relationships/image" Target="../media/image582.png"/><Relationship Id="rId644" Type="http://schemas.openxmlformats.org/officeDocument/2006/relationships/image" Target="../media/image789.png"/><Relationship Id="rId851" Type="http://schemas.openxmlformats.org/officeDocument/2006/relationships/image" Target="../media/image996.png"/><Relationship Id="rId283" Type="http://schemas.openxmlformats.org/officeDocument/2006/relationships/image" Target="../media/image428.png"/><Relationship Id="rId490" Type="http://schemas.openxmlformats.org/officeDocument/2006/relationships/image" Target="../media/image635.png"/><Relationship Id="rId504" Type="http://schemas.openxmlformats.org/officeDocument/2006/relationships/image" Target="../media/image649.png"/><Relationship Id="rId711" Type="http://schemas.openxmlformats.org/officeDocument/2006/relationships/image" Target="../media/image856.png"/><Relationship Id="rId78" Type="http://schemas.openxmlformats.org/officeDocument/2006/relationships/image" Target="../media/image223.png"/><Relationship Id="rId143" Type="http://schemas.openxmlformats.org/officeDocument/2006/relationships/image" Target="../media/image288.png"/><Relationship Id="rId350" Type="http://schemas.openxmlformats.org/officeDocument/2006/relationships/image" Target="../media/image495.png"/><Relationship Id="rId588" Type="http://schemas.openxmlformats.org/officeDocument/2006/relationships/image" Target="../media/image733.png"/><Relationship Id="rId795" Type="http://schemas.openxmlformats.org/officeDocument/2006/relationships/image" Target="../media/image940.png"/><Relationship Id="rId809" Type="http://schemas.openxmlformats.org/officeDocument/2006/relationships/image" Target="../media/image954.png"/><Relationship Id="rId9" Type="http://schemas.openxmlformats.org/officeDocument/2006/relationships/image" Target="../media/image154.png"/><Relationship Id="rId210" Type="http://schemas.openxmlformats.org/officeDocument/2006/relationships/image" Target="../media/image355.png"/><Relationship Id="rId448" Type="http://schemas.openxmlformats.org/officeDocument/2006/relationships/image" Target="../media/image593.png"/><Relationship Id="rId655" Type="http://schemas.openxmlformats.org/officeDocument/2006/relationships/image" Target="../media/image800.png"/><Relationship Id="rId862" Type="http://schemas.openxmlformats.org/officeDocument/2006/relationships/image" Target="../media/image1007.png"/><Relationship Id="rId294" Type="http://schemas.openxmlformats.org/officeDocument/2006/relationships/image" Target="../media/image439.png"/><Relationship Id="rId308" Type="http://schemas.openxmlformats.org/officeDocument/2006/relationships/image" Target="../media/image453.png"/><Relationship Id="rId515" Type="http://schemas.openxmlformats.org/officeDocument/2006/relationships/image" Target="../media/image660.png"/><Relationship Id="rId722" Type="http://schemas.openxmlformats.org/officeDocument/2006/relationships/image" Target="../media/image867.png"/><Relationship Id="rId89" Type="http://schemas.openxmlformats.org/officeDocument/2006/relationships/image" Target="../media/image234.png"/><Relationship Id="rId154" Type="http://schemas.openxmlformats.org/officeDocument/2006/relationships/image" Target="../media/image299.png"/><Relationship Id="rId361" Type="http://schemas.openxmlformats.org/officeDocument/2006/relationships/image" Target="../media/image506.png"/><Relationship Id="rId599" Type="http://schemas.openxmlformats.org/officeDocument/2006/relationships/image" Target="../media/image744.png"/><Relationship Id="rId459" Type="http://schemas.openxmlformats.org/officeDocument/2006/relationships/image" Target="../media/image604.png"/><Relationship Id="rId666" Type="http://schemas.openxmlformats.org/officeDocument/2006/relationships/image" Target="../media/image811.png"/><Relationship Id="rId873" Type="http://schemas.openxmlformats.org/officeDocument/2006/relationships/image" Target="../media/image1018.png"/><Relationship Id="rId16" Type="http://schemas.openxmlformats.org/officeDocument/2006/relationships/image" Target="../media/image161.png"/><Relationship Id="rId221" Type="http://schemas.openxmlformats.org/officeDocument/2006/relationships/image" Target="../media/image366.png"/><Relationship Id="rId319" Type="http://schemas.openxmlformats.org/officeDocument/2006/relationships/image" Target="../media/image464.png"/><Relationship Id="rId526" Type="http://schemas.openxmlformats.org/officeDocument/2006/relationships/image" Target="../media/image671.png"/><Relationship Id="rId733" Type="http://schemas.openxmlformats.org/officeDocument/2006/relationships/image" Target="../media/image878.png"/><Relationship Id="rId940" Type="http://schemas.openxmlformats.org/officeDocument/2006/relationships/image" Target="../media/image1085.png"/><Relationship Id="rId165" Type="http://schemas.openxmlformats.org/officeDocument/2006/relationships/image" Target="../media/image310.png"/><Relationship Id="rId372" Type="http://schemas.openxmlformats.org/officeDocument/2006/relationships/image" Target="../media/image517.png"/><Relationship Id="rId677" Type="http://schemas.openxmlformats.org/officeDocument/2006/relationships/image" Target="../media/image822.png"/><Relationship Id="rId800" Type="http://schemas.openxmlformats.org/officeDocument/2006/relationships/image" Target="../media/image945.png"/><Relationship Id="rId232" Type="http://schemas.openxmlformats.org/officeDocument/2006/relationships/image" Target="../media/image377.png"/><Relationship Id="rId884" Type="http://schemas.openxmlformats.org/officeDocument/2006/relationships/image" Target="../media/image1029.png"/><Relationship Id="rId27" Type="http://schemas.openxmlformats.org/officeDocument/2006/relationships/image" Target="../media/image172.png"/><Relationship Id="rId537" Type="http://schemas.openxmlformats.org/officeDocument/2006/relationships/image" Target="../media/image682.png"/><Relationship Id="rId744" Type="http://schemas.openxmlformats.org/officeDocument/2006/relationships/image" Target="../media/image889.png"/><Relationship Id="rId80" Type="http://schemas.openxmlformats.org/officeDocument/2006/relationships/image" Target="../media/image225.png"/><Relationship Id="rId176" Type="http://schemas.openxmlformats.org/officeDocument/2006/relationships/image" Target="../media/image321.png"/><Relationship Id="rId383" Type="http://schemas.openxmlformats.org/officeDocument/2006/relationships/image" Target="../media/image528.png"/><Relationship Id="rId590" Type="http://schemas.openxmlformats.org/officeDocument/2006/relationships/image" Target="../media/image735.png"/><Relationship Id="rId604" Type="http://schemas.openxmlformats.org/officeDocument/2006/relationships/image" Target="../media/image749.png"/><Relationship Id="rId811" Type="http://schemas.openxmlformats.org/officeDocument/2006/relationships/image" Target="../media/image956.png"/><Relationship Id="rId243" Type="http://schemas.openxmlformats.org/officeDocument/2006/relationships/image" Target="../media/image388.png"/><Relationship Id="rId450" Type="http://schemas.openxmlformats.org/officeDocument/2006/relationships/image" Target="../media/image595.png"/><Relationship Id="rId688" Type="http://schemas.openxmlformats.org/officeDocument/2006/relationships/image" Target="../media/image833.png"/><Relationship Id="rId895" Type="http://schemas.openxmlformats.org/officeDocument/2006/relationships/image" Target="../media/image1040.png"/><Relationship Id="rId909" Type="http://schemas.openxmlformats.org/officeDocument/2006/relationships/image" Target="../media/image1054.png"/><Relationship Id="rId38" Type="http://schemas.openxmlformats.org/officeDocument/2006/relationships/image" Target="../media/image183.png"/><Relationship Id="rId103" Type="http://schemas.openxmlformats.org/officeDocument/2006/relationships/image" Target="../media/image248.png"/><Relationship Id="rId310" Type="http://schemas.openxmlformats.org/officeDocument/2006/relationships/image" Target="../media/image455.png"/><Relationship Id="rId548" Type="http://schemas.openxmlformats.org/officeDocument/2006/relationships/image" Target="../media/image693.png"/><Relationship Id="rId755" Type="http://schemas.openxmlformats.org/officeDocument/2006/relationships/image" Target="../media/image900.png"/><Relationship Id="rId91" Type="http://schemas.openxmlformats.org/officeDocument/2006/relationships/image" Target="../media/image236.png"/><Relationship Id="rId187" Type="http://schemas.openxmlformats.org/officeDocument/2006/relationships/image" Target="../media/image332.png"/><Relationship Id="rId394" Type="http://schemas.openxmlformats.org/officeDocument/2006/relationships/image" Target="../media/image539.png"/><Relationship Id="rId408" Type="http://schemas.openxmlformats.org/officeDocument/2006/relationships/image" Target="../media/image553.png"/><Relationship Id="rId615" Type="http://schemas.openxmlformats.org/officeDocument/2006/relationships/image" Target="../media/image760.png"/><Relationship Id="rId822" Type="http://schemas.openxmlformats.org/officeDocument/2006/relationships/image" Target="../media/image967.png"/><Relationship Id="rId254" Type="http://schemas.openxmlformats.org/officeDocument/2006/relationships/image" Target="../media/image399.png"/><Relationship Id="rId699" Type="http://schemas.openxmlformats.org/officeDocument/2006/relationships/image" Target="../media/image844.png"/><Relationship Id="rId49" Type="http://schemas.openxmlformats.org/officeDocument/2006/relationships/image" Target="../media/image194.png"/><Relationship Id="rId114" Type="http://schemas.openxmlformats.org/officeDocument/2006/relationships/image" Target="../media/image259.png"/><Relationship Id="rId461" Type="http://schemas.openxmlformats.org/officeDocument/2006/relationships/image" Target="../media/image606.png"/><Relationship Id="rId559" Type="http://schemas.openxmlformats.org/officeDocument/2006/relationships/image" Target="../media/image704.png"/><Relationship Id="rId766" Type="http://schemas.openxmlformats.org/officeDocument/2006/relationships/image" Target="../media/image911.png"/><Relationship Id="rId198" Type="http://schemas.openxmlformats.org/officeDocument/2006/relationships/image" Target="../media/image343.png"/><Relationship Id="rId321" Type="http://schemas.openxmlformats.org/officeDocument/2006/relationships/image" Target="../media/image466.png"/><Relationship Id="rId419" Type="http://schemas.openxmlformats.org/officeDocument/2006/relationships/image" Target="../media/image564.png"/><Relationship Id="rId626" Type="http://schemas.openxmlformats.org/officeDocument/2006/relationships/image" Target="../media/image771.png"/><Relationship Id="rId833" Type="http://schemas.openxmlformats.org/officeDocument/2006/relationships/image" Target="../media/image978.png"/><Relationship Id="rId265" Type="http://schemas.openxmlformats.org/officeDocument/2006/relationships/image" Target="../media/image410.png"/><Relationship Id="rId472" Type="http://schemas.openxmlformats.org/officeDocument/2006/relationships/image" Target="../media/image617.png"/><Relationship Id="rId900" Type="http://schemas.openxmlformats.org/officeDocument/2006/relationships/image" Target="../media/image1045.png"/><Relationship Id="rId125" Type="http://schemas.openxmlformats.org/officeDocument/2006/relationships/image" Target="../media/image270.png"/><Relationship Id="rId332" Type="http://schemas.openxmlformats.org/officeDocument/2006/relationships/image" Target="../media/image477.png"/><Relationship Id="rId777" Type="http://schemas.openxmlformats.org/officeDocument/2006/relationships/image" Target="../media/image922.png"/><Relationship Id="rId637" Type="http://schemas.openxmlformats.org/officeDocument/2006/relationships/image" Target="../media/image782.png"/><Relationship Id="rId844" Type="http://schemas.openxmlformats.org/officeDocument/2006/relationships/image" Target="../media/image989.png"/><Relationship Id="rId276" Type="http://schemas.openxmlformats.org/officeDocument/2006/relationships/image" Target="../media/image421.png"/><Relationship Id="rId483" Type="http://schemas.openxmlformats.org/officeDocument/2006/relationships/image" Target="../media/image628.png"/><Relationship Id="rId690" Type="http://schemas.openxmlformats.org/officeDocument/2006/relationships/image" Target="../media/image835.png"/><Relationship Id="rId704" Type="http://schemas.openxmlformats.org/officeDocument/2006/relationships/image" Target="../media/image849.png"/><Relationship Id="rId911" Type="http://schemas.openxmlformats.org/officeDocument/2006/relationships/image" Target="../media/image1056.png"/><Relationship Id="rId40" Type="http://schemas.openxmlformats.org/officeDocument/2006/relationships/image" Target="../media/image185.png"/><Relationship Id="rId136" Type="http://schemas.openxmlformats.org/officeDocument/2006/relationships/image" Target="../media/image281.png"/><Relationship Id="rId343" Type="http://schemas.openxmlformats.org/officeDocument/2006/relationships/image" Target="../media/image488.png"/><Relationship Id="rId550" Type="http://schemas.openxmlformats.org/officeDocument/2006/relationships/image" Target="../media/image695.png"/><Relationship Id="rId788" Type="http://schemas.openxmlformats.org/officeDocument/2006/relationships/image" Target="../media/image933.png"/><Relationship Id="rId203" Type="http://schemas.openxmlformats.org/officeDocument/2006/relationships/image" Target="../media/image348.png"/><Relationship Id="rId648" Type="http://schemas.openxmlformats.org/officeDocument/2006/relationships/image" Target="../media/image793.png"/><Relationship Id="rId855" Type="http://schemas.openxmlformats.org/officeDocument/2006/relationships/image" Target="../media/image1000.png"/><Relationship Id="rId287" Type="http://schemas.openxmlformats.org/officeDocument/2006/relationships/image" Target="../media/image432.png"/><Relationship Id="rId410" Type="http://schemas.openxmlformats.org/officeDocument/2006/relationships/image" Target="../media/image555.png"/><Relationship Id="rId494" Type="http://schemas.openxmlformats.org/officeDocument/2006/relationships/image" Target="../media/image639.png"/><Relationship Id="rId508" Type="http://schemas.openxmlformats.org/officeDocument/2006/relationships/image" Target="../media/image653.png"/><Relationship Id="rId715" Type="http://schemas.openxmlformats.org/officeDocument/2006/relationships/image" Target="../media/image860.png"/><Relationship Id="rId922" Type="http://schemas.openxmlformats.org/officeDocument/2006/relationships/image" Target="../media/image1067.png"/><Relationship Id="rId147" Type="http://schemas.openxmlformats.org/officeDocument/2006/relationships/image" Target="../media/image292.png"/><Relationship Id="rId354" Type="http://schemas.openxmlformats.org/officeDocument/2006/relationships/image" Target="../media/image499.png"/><Relationship Id="rId799" Type="http://schemas.openxmlformats.org/officeDocument/2006/relationships/image" Target="../media/image944.png"/><Relationship Id="rId51" Type="http://schemas.openxmlformats.org/officeDocument/2006/relationships/image" Target="../media/image196.png"/><Relationship Id="rId561" Type="http://schemas.openxmlformats.org/officeDocument/2006/relationships/image" Target="../media/image706.png"/><Relationship Id="rId659" Type="http://schemas.openxmlformats.org/officeDocument/2006/relationships/image" Target="../media/image804.png"/><Relationship Id="rId866" Type="http://schemas.openxmlformats.org/officeDocument/2006/relationships/image" Target="../media/image1011.png"/><Relationship Id="rId214" Type="http://schemas.openxmlformats.org/officeDocument/2006/relationships/image" Target="../media/image359.png"/><Relationship Id="rId298" Type="http://schemas.openxmlformats.org/officeDocument/2006/relationships/image" Target="../media/image443.png"/><Relationship Id="rId421" Type="http://schemas.openxmlformats.org/officeDocument/2006/relationships/image" Target="../media/image566.png"/><Relationship Id="rId519" Type="http://schemas.openxmlformats.org/officeDocument/2006/relationships/image" Target="../media/image664.png"/><Relationship Id="rId158" Type="http://schemas.openxmlformats.org/officeDocument/2006/relationships/image" Target="../media/image303.png"/><Relationship Id="rId726" Type="http://schemas.openxmlformats.org/officeDocument/2006/relationships/image" Target="../media/image871.png"/><Relationship Id="rId933" Type="http://schemas.openxmlformats.org/officeDocument/2006/relationships/image" Target="../media/image1078.png"/><Relationship Id="rId62" Type="http://schemas.openxmlformats.org/officeDocument/2006/relationships/image" Target="../media/image207.png"/><Relationship Id="rId365" Type="http://schemas.openxmlformats.org/officeDocument/2006/relationships/image" Target="../media/image510.png"/><Relationship Id="rId572" Type="http://schemas.openxmlformats.org/officeDocument/2006/relationships/image" Target="../media/image717.png"/><Relationship Id="rId225" Type="http://schemas.openxmlformats.org/officeDocument/2006/relationships/image" Target="../media/image370.png"/><Relationship Id="rId432" Type="http://schemas.openxmlformats.org/officeDocument/2006/relationships/image" Target="../media/image577.png"/><Relationship Id="rId877" Type="http://schemas.openxmlformats.org/officeDocument/2006/relationships/image" Target="../media/image1022.png"/><Relationship Id="rId737" Type="http://schemas.openxmlformats.org/officeDocument/2006/relationships/image" Target="../media/image882.png"/><Relationship Id="rId73" Type="http://schemas.openxmlformats.org/officeDocument/2006/relationships/image" Target="../media/image218.png"/><Relationship Id="rId169" Type="http://schemas.openxmlformats.org/officeDocument/2006/relationships/image" Target="../media/image314.png"/><Relationship Id="rId376" Type="http://schemas.openxmlformats.org/officeDocument/2006/relationships/image" Target="../media/image521.png"/><Relationship Id="rId583" Type="http://schemas.openxmlformats.org/officeDocument/2006/relationships/image" Target="../media/image728.png"/><Relationship Id="rId790" Type="http://schemas.openxmlformats.org/officeDocument/2006/relationships/image" Target="../media/image935.png"/><Relationship Id="rId804" Type="http://schemas.openxmlformats.org/officeDocument/2006/relationships/image" Target="../media/image949.png"/><Relationship Id="rId4" Type="http://schemas.openxmlformats.org/officeDocument/2006/relationships/image" Target="../media/image149.png"/><Relationship Id="rId236" Type="http://schemas.openxmlformats.org/officeDocument/2006/relationships/image" Target="../media/image381.png"/><Relationship Id="rId443" Type="http://schemas.openxmlformats.org/officeDocument/2006/relationships/image" Target="../media/image588.png"/><Relationship Id="rId650" Type="http://schemas.openxmlformats.org/officeDocument/2006/relationships/image" Target="../media/image795.png"/><Relationship Id="rId888" Type="http://schemas.openxmlformats.org/officeDocument/2006/relationships/image" Target="../media/image1033.png"/><Relationship Id="rId303" Type="http://schemas.openxmlformats.org/officeDocument/2006/relationships/image" Target="../media/image448.png"/><Relationship Id="rId748" Type="http://schemas.openxmlformats.org/officeDocument/2006/relationships/image" Target="../media/image893.png"/><Relationship Id="rId84" Type="http://schemas.openxmlformats.org/officeDocument/2006/relationships/image" Target="../media/image229.png"/><Relationship Id="rId387" Type="http://schemas.openxmlformats.org/officeDocument/2006/relationships/image" Target="../media/image532.png"/><Relationship Id="rId510" Type="http://schemas.openxmlformats.org/officeDocument/2006/relationships/image" Target="../media/image655.png"/><Relationship Id="rId594" Type="http://schemas.openxmlformats.org/officeDocument/2006/relationships/image" Target="../media/image739.png"/><Relationship Id="rId608" Type="http://schemas.openxmlformats.org/officeDocument/2006/relationships/image" Target="../media/image753.png"/><Relationship Id="rId815" Type="http://schemas.openxmlformats.org/officeDocument/2006/relationships/image" Target="../media/image960.png"/><Relationship Id="rId247" Type="http://schemas.openxmlformats.org/officeDocument/2006/relationships/image" Target="../media/image392.png"/><Relationship Id="rId899" Type="http://schemas.openxmlformats.org/officeDocument/2006/relationships/image" Target="../media/image1044.png"/><Relationship Id="rId107" Type="http://schemas.openxmlformats.org/officeDocument/2006/relationships/image" Target="../media/image252.png"/><Relationship Id="rId454" Type="http://schemas.openxmlformats.org/officeDocument/2006/relationships/image" Target="../media/image599.png"/><Relationship Id="rId661" Type="http://schemas.openxmlformats.org/officeDocument/2006/relationships/image" Target="../media/image806.png"/><Relationship Id="rId759" Type="http://schemas.openxmlformats.org/officeDocument/2006/relationships/image" Target="../media/image904.png"/><Relationship Id="rId11" Type="http://schemas.openxmlformats.org/officeDocument/2006/relationships/image" Target="../media/image156.png"/><Relationship Id="rId314" Type="http://schemas.openxmlformats.org/officeDocument/2006/relationships/image" Target="../media/image459.png"/><Relationship Id="rId398" Type="http://schemas.openxmlformats.org/officeDocument/2006/relationships/image" Target="../media/image543.png"/><Relationship Id="rId521" Type="http://schemas.openxmlformats.org/officeDocument/2006/relationships/image" Target="../media/image666.png"/><Relationship Id="rId619" Type="http://schemas.openxmlformats.org/officeDocument/2006/relationships/image" Target="../media/image764.png"/><Relationship Id="rId95" Type="http://schemas.openxmlformats.org/officeDocument/2006/relationships/image" Target="../media/image240.png"/><Relationship Id="rId160" Type="http://schemas.openxmlformats.org/officeDocument/2006/relationships/image" Target="../media/image305.png"/><Relationship Id="rId826" Type="http://schemas.openxmlformats.org/officeDocument/2006/relationships/image" Target="../media/image971.png"/><Relationship Id="rId258" Type="http://schemas.openxmlformats.org/officeDocument/2006/relationships/image" Target="../media/image403.png"/><Relationship Id="rId465" Type="http://schemas.openxmlformats.org/officeDocument/2006/relationships/image" Target="../media/image610.png"/><Relationship Id="rId672" Type="http://schemas.openxmlformats.org/officeDocument/2006/relationships/image" Target="../media/image817.png"/><Relationship Id="rId22" Type="http://schemas.openxmlformats.org/officeDocument/2006/relationships/image" Target="../media/image167.png"/><Relationship Id="rId118" Type="http://schemas.openxmlformats.org/officeDocument/2006/relationships/image" Target="../media/image263.png"/><Relationship Id="rId325" Type="http://schemas.openxmlformats.org/officeDocument/2006/relationships/image" Target="../media/image470.png"/><Relationship Id="rId532" Type="http://schemas.openxmlformats.org/officeDocument/2006/relationships/image" Target="../media/image677.png"/><Relationship Id="rId171" Type="http://schemas.openxmlformats.org/officeDocument/2006/relationships/image" Target="../media/image316.png"/><Relationship Id="rId837" Type="http://schemas.openxmlformats.org/officeDocument/2006/relationships/image" Target="../media/image982.png"/><Relationship Id="rId269" Type="http://schemas.openxmlformats.org/officeDocument/2006/relationships/image" Target="../media/image414.png"/><Relationship Id="rId476" Type="http://schemas.openxmlformats.org/officeDocument/2006/relationships/image" Target="../media/image621.png"/><Relationship Id="rId683" Type="http://schemas.openxmlformats.org/officeDocument/2006/relationships/image" Target="../media/image828.png"/><Relationship Id="rId890" Type="http://schemas.openxmlformats.org/officeDocument/2006/relationships/image" Target="../media/image1035.png"/><Relationship Id="rId904" Type="http://schemas.openxmlformats.org/officeDocument/2006/relationships/image" Target="../media/image1049.png"/><Relationship Id="rId33" Type="http://schemas.openxmlformats.org/officeDocument/2006/relationships/image" Target="../media/image178.png"/><Relationship Id="rId129" Type="http://schemas.openxmlformats.org/officeDocument/2006/relationships/image" Target="../media/image274.png"/><Relationship Id="rId336" Type="http://schemas.openxmlformats.org/officeDocument/2006/relationships/image" Target="../media/image481.png"/><Relationship Id="rId543" Type="http://schemas.openxmlformats.org/officeDocument/2006/relationships/image" Target="../media/image688.png"/><Relationship Id="rId182" Type="http://schemas.openxmlformats.org/officeDocument/2006/relationships/image" Target="../media/image327.png"/><Relationship Id="rId403" Type="http://schemas.openxmlformats.org/officeDocument/2006/relationships/image" Target="../media/image548.png"/><Relationship Id="rId750" Type="http://schemas.openxmlformats.org/officeDocument/2006/relationships/image" Target="../media/image895.png"/><Relationship Id="rId848" Type="http://schemas.openxmlformats.org/officeDocument/2006/relationships/image" Target="../media/image993.png"/><Relationship Id="rId487" Type="http://schemas.openxmlformats.org/officeDocument/2006/relationships/image" Target="../media/image632.png"/><Relationship Id="rId610" Type="http://schemas.openxmlformats.org/officeDocument/2006/relationships/image" Target="../media/image755.png"/><Relationship Id="rId694" Type="http://schemas.openxmlformats.org/officeDocument/2006/relationships/image" Target="../media/image839.png"/><Relationship Id="rId708" Type="http://schemas.openxmlformats.org/officeDocument/2006/relationships/image" Target="../media/image853.png"/><Relationship Id="rId915" Type="http://schemas.openxmlformats.org/officeDocument/2006/relationships/image" Target="../media/image1060.png"/><Relationship Id="rId347" Type="http://schemas.openxmlformats.org/officeDocument/2006/relationships/image" Target="../media/image492.png"/><Relationship Id="rId44" Type="http://schemas.openxmlformats.org/officeDocument/2006/relationships/image" Target="../media/image189.png"/><Relationship Id="rId554" Type="http://schemas.openxmlformats.org/officeDocument/2006/relationships/image" Target="../media/image699.png"/><Relationship Id="rId761" Type="http://schemas.openxmlformats.org/officeDocument/2006/relationships/image" Target="../media/image906.png"/><Relationship Id="rId859" Type="http://schemas.openxmlformats.org/officeDocument/2006/relationships/image" Target="../media/image1004.png"/><Relationship Id="rId193" Type="http://schemas.openxmlformats.org/officeDocument/2006/relationships/image" Target="../media/image338.png"/><Relationship Id="rId207" Type="http://schemas.openxmlformats.org/officeDocument/2006/relationships/image" Target="../media/image352.png"/><Relationship Id="rId414" Type="http://schemas.openxmlformats.org/officeDocument/2006/relationships/image" Target="../media/image559.png"/><Relationship Id="rId498" Type="http://schemas.openxmlformats.org/officeDocument/2006/relationships/image" Target="../media/image643.png"/><Relationship Id="rId621" Type="http://schemas.openxmlformats.org/officeDocument/2006/relationships/image" Target="../media/image766.png"/><Relationship Id="rId260" Type="http://schemas.openxmlformats.org/officeDocument/2006/relationships/image" Target="../media/image405.png"/><Relationship Id="rId719" Type="http://schemas.openxmlformats.org/officeDocument/2006/relationships/image" Target="../media/image864.png"/><Relationship Id="rId926" Type="http://schemas.openxmlformats.org/officeDocument/2006/relationships/image" Target="../media/image1071.png"/><Relationship Id="rId55" Type="http://schemas.openxmlformats.org/officeDocument/2006/relationships/image" Target="../media/image200.png"/><Relationship Id="rId120" Type="http://schemas.openxmlformats.org/officeDocument/2006/relationships/image" Target="../media/image265.png"/><Relationship Id="rId358" Type="http://schemas.openxmlformats.org/officeDocument/2006/relationships/image" Target="../media/image503.png"/><Relationship Id="rId565" Type="http://schemas.openxmlformats.org/officeDocument/2006/relationships/image" Target="../media/image710.png"/><Relationship Id="rId772" Type="http://schemas.openxmlformats.org/officeDocument/2006/relationships/image" Target="../media/image917.png"/><Relationship Id="rId218" Type="http://schemas.openxmlformats.org/officeDocument/2006/relationships/image" Target="../media/image363.png"/><Relationship Id="rId425" Type="http://schemas.openxmlformats.org/officeDocument/2006/relationships/image" Target="../media/image570.png"/><Relationship Id="rId632" Type="http://schemas.openxmlformats.org/officeDocument/2006/relationships/image" Target="../media/image777.png"/><Relationship Id="rId271" Type="http://schemas.openxmlformats.org/officeDocument/2006/relationships/image" Target="../media/image416.png"/><Relationship Id="rId937" Type="http://schemas.openxmlformats.org/officeDocument/2006/relationships/image" Target="../media/image1082.png"/><Relationship Id="rId66" Type="http://schemas.openxmlformats.org/officeDocument/2006/relationships/image" Target="../media/image211.png"/><Relationship Id="rId131" Type="http://schemas.openxmlformats.org/officeDocument/2006/relationships/image" Target="../media/image276.png"/><Relationship Id="rId369" Type="http://schemas.openxmlformats.org/officeDocument/2006/relationships/image" Target="../media/image514.png"/><Relationship Id="rId576" Type="http://schemas.openxmlformats.org/officeDocument/2006/relationships/image" Target="../media/image721.png"/><Relationship Id="rId783" Type="http://schemas.openxmlformats.org/officeDocument/2006/relationships/image" Target="../media/image928.png"/><Relationship Id="rId229" Type="http://schemas.openxmlformats.org/officeDocument/2006/relationships/image" Target="../media/image374.png"/><Relationship Id="rId436" Type="http://schemas.openxmlformats.org/officeDocument/2006/relationships/image" Target="../media/image581.png"/><Relationship Id="rId643" Type="http://schemas.openxmlformats.org/officeDocument/2006/relationships/image" Target="../media/image788.png"/><Relationship Id="rId850" Type="http://schemas.openxmlformats.org/officeDocument/2006/relationships/image" Target="../media/image995.png"/><Relationship Id="rId77" Type="http://schemas.openxmlformats.org/officeDocument/2006/relationships/image" Target="../media/image222.png"/><Relationship Id="rId282" Type="http://schemas.openxmlformats.org/officeDocument/2006/relationships/image" Target="../media/image427.png"/><Relationship Id="rId503" Type="http://schemas.openxmlformats.org/officeDocument/2006/relationships/image" Target="../media/image648.png"/><Relationship Id="rId587" Type="http://schemas.openxmlformats.org/officeDocument/2006/relationships/image" Target="../media/image732.png"/><Relationship Id="rId710" Type="http://schemas.openxmlformats.org/officeDocument/2006/relationships/image" Target="../media/image855.png"/><Relationship Id="rId808" Type="http://schemas.openxmlformats.org/officeDocument/2006/relationships/image" Target="../media/image953.png"/><Relationship Id="rId8" Type="http://schemas.openxmlformats.org/officeDocument/2006/relationships/image" Target="../media/image153.png"/><Relationship Id="rId142" Type="http://schemas.openxmlformats.org/officeDocument/2006/relationships/image" Target="../media/image287.png"/><Relationship Id="rId447" Type="http://schemas.openxmlformats.org/officeDocument/2006/relationships/image" Target="../media/image592.png"/><Relationship Id="rId794" Type="http://schemas.openxmlformats.org/officeDocument/2006/relationships/image" Target="../media/image939.png"/><Relationship Id="rId654" Type="http://schemas.openxmlformats.org/officeDocument/2006/relationships/image" Target="../media/image799.png"/><Relationship Id="rId861" Type="http://schemas.openxmlformats.org/officeDocument/2006/relationships/image" Target="../media/image1006.png"/><Relationship Id="rId293" Type="http://schemas.openxmlformats.org/officeDocument/2006/relationships/image" Target="../media/image438.png"/><Relationship Id="rId307" Type="http://schemas.openxmlformats.org/officeDocument/2006/relationships/image" Target="../media/image452.png"/><Relationship Id="rId514" Type="http://schemas.openxmlformats.org/officeDocument/2006/relationships/image" Target="../media/image659.png"/><Relationship Id="rId721" Type="http://schemas.openxmlformats.org/officeDocument/2006/relationships/image" Target="../media/image866.png"/><Relationship Id="rId88" Type="http://schemas.openxmlformats.org/officeDocument/2006/relationships/image" Target="../media/image233.png"/><Relationship Id="rId153" Type="http://schemas.openxmlformats.org/officeDocument/2006/relationships/image" Target="../media/image298.png"/><Relationship Id="rId360" Type="http://schemas.openxmlformats.org/officeDocument/2006/relationships/image" Target="../media/image505.png"/><Relationship Id="rId598" Type="http://schemas.openxmlformats.org/officeDocument/2006/relationships/image" Target="../media/image743.png"/><Relationship Id="rId819" Type="http://schemas.openxmlformats.org/officeDocument/2006/relationships/image" Target="../media/image964.png"/><Relationship Id="rId220" Type="http://schemas.openxmlformats.org/officeDocument/2006/relationships/image" Target="../media/image365.png"/><Relationship Id="rId458" Type="http://schemas.openxmlformats.org/officeDocument/2006/relationships/image" Target="../media/image603.png"/><Relationship Id="rId665" Type="http://schemas.openxmlformats.org/officeDocument/2006/relationships/image" Target="../media/image810.png"/><Relationship Id="rId872" Type="http://schemas.openxmlformats.org/officeDocument/2006/relationships/image" Target="../media/image1017.png"/><Relationship Id="rId15" Type="http://schemas.openxmlformats.org/officeDocument/2006/relationships/image" Target="../media/image160.png"/><Relationship Id="rId318" Type="http://schemas.openxmlformats.org/officeDocument/2006/relationships/image" Target="../media/image463.png"/><Relationship Id="rId525" Type="http://schemas.openxmlformats.org/officeDocument/2006/relationships/image" Target="../media/image670.png"/><Relationship Id="rId732" Type="http://schemas.openxmlformats.org/officeDocument/2006/relationships/image" Target="../media/image877.png"/><Relationship Id="rId99" Type="http://schemas.openxmlformats.org/officeDocument/2006/relationships/image" Target="../media/image244.png"/><Relationship Id="rId164" Type="http://schemas.openxmlformats.org/officeDocument/2006/relationships/image" Target="../media/image309.png"/><Relationship Id="rId371" Type="http://schemas.openxmlformats.org/officeDocument/2006/relationships/image" Target="../media/image516.png"/><Relationship Id="rId469" Type="http://schemas.openxmlformats.org/officeDocument/2006/relationships/image" Target="../media/image614.png"/><Relationship Id="rId676" Type="http://schemas.openxmlformats.org/officeDocument/2006/relationships/image" Target="../media/image821.png"/><Relationship Id="rId883" Type="http://schemas.openxmlformats.org/officeDocument/2006/relationships/image" Target="../media/image1028.png"/><Relationship Id="rId26" Type="http://schemas.openxmlformats.org/officeDocument/2006/relationships/image" Target="../media/image171.png"/><Relationship Id="rId231" Type="http://schemas.openxmlformats.org/officeDocument/2006/relationships/image" Target="../media/image376.png"/><Relationship Id="rId329" Type="http://schemas.openxmlformats.org/officeDocument/2006/relationships/image" Target="../media/image474.png"/><Relationship Id="rId536" Type="http://schemas.openxmlformats.org/officeDocument/2006/relationships/image" Target="../media/image681.png"/><Relationship Id="rId175" Type="http://schemas.openxmlformats.org/officeDocument/2006/relationships/image" Target="../media/image320.png"/><Relationship Id="rId743" Type="http://schemas.openxmlformats.org/officeDocument/2006/relationships/image" Target="../media/image888.png"/><Relationship Id="rId382" Type="http://schemas.openxmlformats.org/officeDocument/2006/relationships/image" Target="../media/image527.png"/><Relationship Id="rId603" Type="http://schemas.openxmlformats.org/officeDocument/2006/relationships/image" Target="../media/image748.png"/><Relationship Id="rId687" Type="http://schemas.openxmlformats.org/officeDocument/2006/relationships/image" Target="../media/image832.png"/><Relationship Id="rId810" Type="http://schemas.openxmlformats.org/officeDocument/2006/relationships/image" Target="../media/image955.png"/><Relationship Id="rId908" Type="http://schemas.openxmlformats.org/officeDocument/2006/relationships/image" Target="../media/image1053.png"/><Relationship Id="rId242" Type="http://schemas.openxmlformats.org/officeDocument/2006/relationships/image" Target="../media/image387.png"/><Relationship Id="rId894" Type="http://schemas.openxmlformats.org/officeDocument/2006/relationships/image" Target="../media/image1039.png"/><Relationship Id="rId37" Type="http://schemas.openxmlformats.org/officeDocument/2006/relationships/image" Target="../media/image182.png"/><Relationship Id="rId102" Type="http://schemas.openxmlformats.org/officeDocument/2006/relationships/image" Target="../media/image247.png"/><Relationship Id="rId547" Type="http://schemas.openxmlformats.org/officeDocument/2006/relationships/image" Target="../media/image692.png"/><Relationship Id="rId754" Type="http://schemas.openxmlformats.org/officeDocument/2006/relationships/image" Target="../media/image899.png"/><Relationship Id="rId90" Type="http://schemas.openxmlformats.org/officeDocument/2006/relationships/image" Target="../media/image235.png"/><Relationship Id="rId186" Type="http://schemas.openxmlformats.org/officeDocument/2006/relationships/image" Target="../media/image331.png"/><Relationship Id="rId393" Type="http://schemas.openxmlformats.org/officeDocument/2006/relationships/image" Target="../media/image538.png"/><Relationship Id="rId407" Type="http://schemas.openxmlformats.org/officeDocument/2006/relationships/image" Target="../media/image552.png"/><Relationship Id="rId614" Type="http://schemas.openxmlformats.org/officeDocument/2006/relationships/image" Target="../media/image759.png"/><Relationship Id="rId821" Type="http://schemas.openxmlformats.org/officeDocument/2006/relationships/image" Target="../media/image966.png"/><Relationship Id="rId253" Type="http://schemas.openxmlformats.org/officeDocument/2006/relationships/image" Target="../media/image398.png"/><Relationship Id="rId460" Type="http://schemas.openxmlformats.org/officeDocument/2006/relationships/image" Target="../media/image605.png"/><Relationship Id="rId698" Type="http://schemas.openxmlformats.org/officeDocument/2006/relationships/image" Target="../media/image843.png"/><Relationship Id="rId919" Type="http://schemas.openxmlformats.org/officeDocument/2006/relationships/image" Target="../media/image1064.png"/><Relationship Id="rId48" Type="http://schemas.openxmlformats.org/officeDocument/2006/relationships/image" Target="../media/image193.png"/><Relationship Id="rId113" Type="http://schemas.openxmlformats.org/officeDocument/2006/relationships/image" Target="../media/image258.png"/><Relationship Id="rId320" Type="http://schemas.openxmlformats.org/officeDocument/2006/relationships/image" Target="../media/image465.png"/><Relationship Id="rId558" Type="http://schemas.openxmlformats.org/officeDocument/2006/relationships/image" Target="../media/image703.png"/><Relationship Id="rId765" Type="http://schemas.openxmlformats.org/officeDocument/2006/relationships/image" Target="../media/image910.png"/><Relationship Id="rId197" Type="http://schemas.openxmlformats.org/officeDocument/2006/relationships/image" Target="../media/image342.png"/><Relationship Id="rId418" Type="http://schemas.openxmlformats.org/officeDocument/2006/relationships/image" Target="../media/image563.png"/><Relationship Id="rId625" Type="http://schemas.openxmlformats.org/officeDocument/2006/relationships/image" Target="../media/image770.png"/><Relationship Id="rId832" Type="http://schemas.openxmlformats.org/officeDocument/2006/relationships/image" Target="../media/image977.png"/><Relationship Id="rId264" Type="http://schemas.openxmlformats.org/officeDocument/2006/relationships/image" Target="../media/image409.png"/><Relationship Id="rId471" Type="http://schemas.openxmlformats.org/officeDocument/2006/relationships/image" Target="../media/image616.png"/><Relationship Id="rId59" Type="http://schemas.openxmlformats.org/officeDocument/2006/relationships/image" Target="../media/image204.png"/><Relationship Id="rId124" Type="http://schemas.openxmlformats.org/officeDocument/2006/relationships/image" Target="../media/image269.png"/><Relationship Id="rId569" Type="http://schemas.openxmlformats.org/officeDocument/2006/relationships/image" Target="../media/image714.png"/><Relationship Id="rId776" Type="http://schemas.openxmlformats.org/officeDocument/2006/relationships/image" Target="../media/image921.png"/><Relationship Id="rId331" Type="http://schemas.openxmlformats.org/officeDocument/2006/relationships/image" Target="../media/image476.png"/><Relationship Id="rId429" Type="http://schemas.openxmlformats.org/officeDocument/2006/relationships/image" Target="../media/image574.png"/><Relationship Id="rId636" Type="http://schemas.openxmlformats.org/officeDocument/2006/relationships/image" Target="../media/image781.png"/></Relationships>
</file>

<file path=xl/richData/rdRichValueTypes.xml><?xml version="1.0" encoding="utf-8"?>
<rvTypesInfo xmlns="http://schemas.microsoft.com/office/spreadsheetml/2017/richdata2" xmlns:mc="http://schemas.openxmlformats.org/markup-compatibility/2006" xmlns:x="http://schemas.openxmlformats.org/spreadsheetml/2006/main" mc:Ignorable="x">
  <global>
    <keyFlags>
      <key name="_Self">
        <flag name="ExcludeFromFile" value="1"/>
        <flag name="ExcludeFromCalcComparison" value="1"/>
      </key>
      <key name="_DisplayString">
        <flag name="ExcludeFromCalcComparison" value="1"/>
      </key>
      <key name="_Flags">
        <flag name="ExcludeFromCalcComparison" value="1"/>
      </key>
      <key name="_Format">
        <flag name="ExcludeFromCalcComparison" value="1"/>
      </key>
      <key name="_SubLabel">
        <flag name="ExcludeFromCalcComparison" value="1"/>
      </key>
      <key name="_Attribution">
        <flag name="ExcludeFromCalcComparison" value="1"/>
      </key>
      <key name="_Icon">
        <flag name="ExcludeFromCalcComparison" value="1"/>
      </key>
      <key name="_Display">
        <flag name="ExcludeFromCalcComparison" value="1"/>
      </key>
      <key name="_CanonicalPropertyNames">
        <flag name="ExcludeFromCalcComparison" value="1"/>
      </key>
      <key name="_ClassificationId">
        <flag name="ExcludeFromCalcComparison" value="1"/>
      </key>
    </keyFlags>
  </global>
  <types>
    <type name="_webimage">
      <keyFlags>
        <key name="WebImageIdentifier">
          <flag name="ShowInCardView" value="0"/>
        </key>
      </keyFlags>
    </type>
  </types>
</rvTypesInfo>
</file>

<file path=xl/richData/rdRichValueWebImage.xml><?xml version="1.0" encoding="utf-8"?>
<webImagesSrd xmlns="http://schemas.microsoft.com/office/spreadsheetml/2020/richdatawebimage" xmlns:r="http://schemas.openxmlformats.org/officeDocument/2006/relationships">
  <webImageSrd>
    <address r:id="rId1"/>
    <blip r:id="rId2"/>
  </webImageSrd>
  <webImageSrd>
    <address r:id="rId3"/>
    <blip r:id="rId4"/>
  </webImageSrd>
  <webImageSrd>
    <address r:id="rId5"/>
    <blip r:id="rId6"/>
  </webImageSrd>
  <webImageSrd>
    <address r:id="rId7"/>
    <blip r:id="rId8"/>
  </webImageSrd>
  <webImageSrd>
    <address r:id="rId9"/>
    <blip r:id="rId10"/>
  </webImageSrd>
  <webImageSrd>
    <address r:id="rId11"/>
    <blip r:id="rId12"/>
  </webImageSrd>
  <webImageSrd>
    <address r:id="rId13"/>
    <blip r:id="rId14"/>
  </webImageSrd>
  <webImageSrd>
    <address r:id="rId15"/>
    <blip r:id="rId16"/>
  </webImageSrd>
  <webImageSrd>
    <address r:id="rId17"/>
    <blip r:id="rId18"/>
  </webImageSrd>
  <webImageSrd>
    <address r:id="rId19"/>
    <blip r:id="rId20"/>
  </webImageSrd>
  <webImageSrd>
    <address r:id="rId21"/>
    <blip r:id="rId22"/>
  </webImageSrd>
  <webImageSrd>
    <address r:id="rId23"/>
    <blip r:id="rId24"/>
  </webImageSrd>
  <webImageSrd>
    <address r:id="rId25"/>
    <blip r:id="rId26"/>
  </webImageSrd>
  <webImageSrd>
    <address r:id="rId27"/>
    <blip r:id="rId28"/>
  </webImageSrd>
  <webImageSrd>
    <address r:id="rId29"/>
    <blip r:id="rId30"/>
  </webImageSrd>
  <webImageSrd>
    <address r:id="rId31"/>
    <blip r:id="rId32"/>
  </webImageSrd>
  <webImageSrd>
    <address r:id="rId33"/>
    <blip r:id="rId34"/>
  </webImageSrd>
  <webImageSrd>
    <address r:id="rId35"/>
    <blip r:id="rId36"/>
  </webImageSrd>
  <webImageSrd>
    <address r:id="rId37"/>
    <blip r:id="rId38"/>
  </webImageSrd>
  <webImageSrd>
    <address r:id="rId39"/>
    <blip r:id="rId40"/>
  </webImageSrd>
  <webImageSrd>
    <address r:id="rId41"/>
    <blip r:id="rId42"/>
  </webImageSrd>
  <webImageSrd>
    <address r:id="rId43"/>
    <blip r:id="rId44"/>
  </webImageSrd>
  <webImageSrd>
    <address r:id="rId45"/>
    <blip r:id="rId46"/>
  </webImageSrd>
  <webImageSrd>
    <address r:id="rId47"/>
    <blip r:id="rId48"/>
  </webImageSrd>
  <webImageSrd>
    <address r:id="rId49"/>
    <blip r:id="rId50"/>
  </webImageSrd>
  <webImageSrd>
    <address r:id="rId51"/>
    <blip r:id="rId52"/>
  </webImageSrd>
  <webImageSrd>
    <address r:id="rId53"/>
    <blip r:id="rId54"/>
  </webImageSrd>
  <webImageSrd>
    <address r:id="rId55"/>
    <blip r:id="rId56"/>
  </webImageSrd>
  <webImageSrd>
    <address r:id="rId57"/>
    <blip r:id="rId58"/>
  </webImageSrd>
  <webImageSrd>
    <address r:id="rId59"/>
    <blip r:id="rId60"/>
  </webImageSrd>
  <webImageSrd>
    <address r:id="rId61"/>
    <blip r:id="rId62"/>
  </webImageSrd>
  <webImageSrd>
    <address r:id="rId63"/>
    <blip r:id="rId64"/>
  </webImageSrd>
  <webImageSrd>
    <address r:id="rId65"/>
    <blip r:id="rId66"/>
  </webImageSrd>
  <webImageSrd>
    <address r:id="rId67"/>
    <blip r:id="rId68"/>
  </webImageSrd>
  <webImageSrd>
    <address r:id="rId69"/>
    <blip r:id="rId70"/>
  </webImageSrd>
  <webImageSrd>
    <address r:id="rId71"/>
    <blip r:id="rId72"/>
  </webImageSrd>
  <webImageSrd>
    <address r:id="rId73"/>
    <blip r:id="rId74"/>
  </webImageSrd>
  <webImageSrd>
    <address r:id="rId75"/>
    <blip r:id="rId76"/>
  </webImageSrd>
  <webImageSrd>
    <address r:id="rId77"/>
    <blip r:id="rId78"/>
  </webImageSrd>
  <webImageSrd>
    <address r:id="rId79"/>
    <blip r:id="rId80"/>
  </webImageSrd>
  <webImageSrd>
    <address r:id="rId81"/>
    <blip r:id="rId82"/>
  </webImageSrd>
  <webImageSrd>
    <address r:id="rId83"/>
    <blip r:id="rId84"/>
  </webImageSrd>
  <webImageSrd>
    <address r:id="rId85"/>
    <blip r:id="rId86"/>
  </webImageSrd>
  <webImageSrd>
    <address r:id="rId87"/>
    <blip r:id="rId88"/>
  </webImageSrd>
  <webImageSrd>
    <address r:id="rId89"/>
    <blip r:id="rId90"/>
  </webImageSrd>
  <webImageSrd>
    <address r:id="rId91"/>
    <blip r:id="rId92"/>
  </webImageSrd>
  <webImageSrd>
    <address r:id="rId93"/>
    <blip r:id="rId94"/>
  </webImageSrd>
  <webImageSrd>
    <address r:id="rId95"/>
    <blip r:id="rId96"/>
  </webImageSrd>
  <webImageSrd>
    <address r:id="rId97"/>
    <blip r:id="rId98"/>
  </webImageSrd>
  <webImageSrd>
    <address r:id="rId99"/>
    <blip r:id="rId100"/>
  </webImageSrd>
  <webImageSrd>
    <address r:id="rId101"/>
    <blip r:id="rId102"/>
  </webImageSrd>
  <webImageSrd>
    <address r:id="rId103"/>
    <blip r:id="rId104"/>
  </webImageSrd>
  <webImageSrd>
    <address r:id="rId105"/>
    <blip r:id="rId106"/>
  </webImageSrd>
  <webImageSrd>
    <address r:id="rId107"/>
    <blip r:id="rId108"/>
  </webImageSrd>
  <webImageSrd>
    <address r:id="rId109"/>
    <blip r:id="rId110"/>
  </webImageSrd>
  <webImageSrd>
    <address r:id="rId111"/>
    <blip r:id="rId112"/>
  </webImageSrd>
  <webImageSrd>
    <address r:id="rId113"/>
    <blip r:id="rId114"/>
  </webImageSrd>
  <webImageSrd>
    <address r:id="rId115"/>
    <blip r:id="rId116"/>
  </webImageSrd>
  <webImageSrd>
    <address r:id="rId117"/>
    <blip r:id="rId118"/>
  </webImageSrd>
  <webImageSrd>
    <address r:id="rId119"/>
    <blip r:id="rId120"/>
  </webImageSrd>
  <webImageSrd>
    <address r:id="rId121"/>
    <blip r:id="rId122"/>
  </webImageSrd>
  <webImageSrd>
    <address r:id="rId123"/>
    <blip r:id="rId124"/>
  </webImageSrd>
  <webImageSrd>
    <address r:id="rId125"/>
    <blip r:id="rId126"/>
  </webImageSrd>
  <webImageSrd>
    <address r:id="rId127"/>
    <blip r:id="rId128"/>
  </webImageSrd>
  <webImageSrd>
    <address r:id="rId129"/>
    <blip r:id="rId130"/>
  </webImageSrd>
  <webImageSrd>
    <address r:id="rId131"/>
    <blip r:id="rId132"/>
  </webImageSrd>
  <webImageSrd>
    <address r:id="rId133"/>
    <blip r:id="rId134"/>
  </webImageSrd>
  <webImageSrd>
    <address r:id="rId135"/>
    <blip r:id="rId136"/>
  </webImageSrd>
  <webImageSrd>
    <address r:id="rId137"/>
    <blip r:id="rId138"/>
  </webImageSrd>
  <webImageSrd>
    <address r:id="rId139"/>
    <blip r:id="rId140"/>
  </webImageSrd>
  <webImageSrd>
    <address r:id="rId141"/>
    <blip r:id="rId142"/>
  </webImageSrd>
  <webImageSrd>
    <address r:id="rId143"/>
    <blip r:id="rId144"/>
  </webImageSrd>
  <webImageSrd>
    <address r:id="rId145"/>
    <blip r:id="rId146"/>
  </webImageSrd>
  <webImageSrd>
    <address r:id="rId147"/>
    <blip r:id="rId148"/>
  </webImageSrd>
  <webImageSrd>
    <address r:id="rId149"/>
    <blip r:id="rId150"/>
  </webImageSrd>
  <webImageSrd>
    <address r:id="rId151"/>
    <blip r:id="rId152"/>
  </webImageSrd>
  <webImageSrd>
    <address r:id="rId153"/>
    <blip r:id="rId154"/>
  </webImageSrd>
  <webImageSrd>
    <address r:id="rId155"/>
    <blip r:id="rId156"/>
  </webImageSrd>
  <webImageSrd>
    <address r:id="rId157"/>
    <blip r:id="rId158"/>
  </webImageSrd>
  <webImageSrd>
    <address r:id="rId159"/>
    <blip r:id="rId160"/>
  </webImageSrd>
  <webImageSrd>
    <address r:id="rId161"/>
    <blip r:id="rId162"/>
  </webImageSrd>
  <webImageSrd>
    <address r:id="rId163"/>
    <blip r:id="rId164"/>
  </webImageSrd>
  <webImageSrd>
    <address r:id="rId165"/>
    <blip r:id="rId166"/>
  </webImageSrd>
  <webImageSrd>
    <address r:id="rId167"/>
    <blip r:id="rId168"/>
  </webImageSrd>
  <webImageSrd>
    <address r:id="rId169"/>
    <blip r:id="rId170"/>
  </webImageSrd>
  <webImageSrd>
    <address r:id="rId171"/>
    <blip r:id="rId172"/>
  </webImageSrd>
  <webImageSrd>
    <address r:id="rId173"/>
    <blip r:id="rId174"/>
  </webImageSrd>
  <webImageSrd>
    <address r:id="rId175"/>
    <blip r:id="rId176"/>
  </webImageSrd>
  <webImageSrd>
    <address r:id="rId177"/>
    <blip r:id="rId178"/>
  </webImageSrd>
  <webImageSrd>
    <address r:id="rId179"/>
    <blip r:id="rId180"/>
  </webImageSrd>
  <webImageSrd>
    <address r:id="rId181"/>
    <blip r:id="rId182"/>
  </webImageSrd>
  <webImageSrd>
    <address r:id="rId183"/>
    <blip r:id="rId184"/>
  </webImageSrd>
  <webImageSrd>
    <address r:id="rId185"/>
    <blip r:id="rId186"/>
  </webImageSrd>
  <webImageSrd>
    <address r:id="rId187"/>
    <blip r:id="rId188"/>
  </webImageSrd>
  <webImageSrd>
    <address r:id="rId189"/>
    <blip r:id="rId190"/>
  </webImageSrd>
  <webImageSrd>
    <address r:id="rId191"/>
    <blip r:id="rId192"/>
  </webImageSrd>
  <webImageSrd>
    <address r:id="rId193"/>
    <blip r:id="rId194"/>
  </webImageSrd>
  <webImageSrd>
    <address r:id="rId195"/>
    <blip r:id="rId196"/>
  </webImageSrd>
  <webImageSrd>
    <address r:id="rId197"/>
    <blip r:id="rId198"/>
  </webImageSrd>
  <webImageSrd>
    <address r:id="rId199"/>
    <blip r:id="rId200"/>
  </webImageSrd>
  <webImageSrd>
    <address r:id="rId201"/>
    <blip r:id="rId202"/>
  </webImageSrd>
  <webImageSrd>
    <address r:id="rId203"/>
    <blip r:id="rId204"/>
  </webImageSrd>
  <webImageSrd>
    <address r:id="rId205"/>
    <blip r:id="rId206"/>
  </webImageSrd>
  <webImageSrd>
    <address r:id="rId207"/>
    <blip r:id="rId208"/>
  </webImageSrd>
  <webImageSrd>
    <address r:id="rId209"/>
    <blip r:id="rId210"/>
  </webImageSrd>
  <webImageSrd>
    <address r:id="rId211"/>
    <blip r:id="rId212"/>
  </webImageSrd>
  <webImageSrd>
    <address r:id="rId213"/>
    <blip r:id="rId214"/>
  </webImageSrd>
  <webImageSrd>
    <address r:id="rId215"/>
    <blip r:id="rId216"/>
  </webImageSrd>
  <webImageSrd>
    <address r:id="rId217"/>
    <blip r:id="rId218"/>
  </webImageSrd>
  <webImageSrd>
    <address r:id="rId219"/>
    <blip r:id="rId220"/>
  </webImageSrd>
  <webImageSrd>
    <address r:id="rId221"/>
    <blip r:id="rId222"/>
  </webImageSrd>
  <webImageSrd>
    <address r:id="rId223"/>
    <blip r:id="rId224"/>
  </webImageSrd>
  <webImageSrd>
    <address r:id="rId225"/>
    <blip r:id="rId226"/>
  </webImageSrd>
  <webImageSrd>
    <address r:id="rId227"/>
    <blip r:id="rId228"/>
  </webImageSrd>
  <webImageSrd>
    <address r:id="rId229"/>
    <blip r:id="rId230"/>
  </webImageSrd>
  <webImageSrd>
    <address r:id="rId231"/>
    <blip r:id="rId232"/>
  </webImageSrd>
  <webImageSrd>
    <address r:id="rId233"/>
    <blip r:id="rId234"/>
  </webImageSrd>
  <webImageSrd>
    <address r:id="rId235"/>
    <blip r:id="rId236"/>
  </webImageSrd>
  <webImageSrd>
    <address r:id="rId237"/>
    <blip r:id="rId238"/>
  </webImageSrd>
  <webImageSrd>
    <address r:id="rId239"/>
    <blip r:id="rId240"/>
  </webImageSrd>
  <webImageSrd>
    <address r:id="rId241"/>
    <blip r:id="rId242"/>
  </webImageSrd>
  <webImageSrd>
    <address r:id="rId243"/>
    <blip r:id="rId244"/>
  </webImageSrd>
  <webImageSrd>
    <address r:id="rId245"/>
    <blip r:id="rId246"/>
  </webImageSrd>
  <webImageSrd>
    <address r:id="rId247"/>
    <blip r:id="rId248"/>
  </webImageSrd>
  <webImageSrd>
    <address r:id="rId249"/>
    <blip r:id="rId250"/>
  </webImageSrd>
  <webImageSrd>
    <address r:id="rId251"/>
    <blip r:id="rId252"/>
  </webImageSrd>
  <webImageSrd>
    <address r:id="rId253"/>
    <blip r:id="rId254"/>
  </webImageSrd>
  <webImageSrd>
    <address r:id="rId255"/>
    <blip r:id="rId256"/>
  </webImageSrd>
  <webImageSrd>
    <address r:id="rId257"/>
    <blip r:id="rId258"/>
  </webImageSrd>
  <webImageSrd>
    <address r:id="rId259"/>
    <blip r:id="rId260"/>
  </webImageSrd>
  <webImageSrd>
    <address r:id="rId261"/>
    <blip r:id="rId262"/>
  </webImageSrd>
  <webImageSrd>
    <address r:id="rId263"/>
    <blip r:id="rId264"/>
  </webImageSrd>
  <webImageSrd>
    <address r:id="rId265"/>
    <blip r:id="rId266"/>
  </webImageSrd>
  <webImageSrd>
    <address r:id="rId267"/>
    <blip r:id="rId268"/>
  </webImageSrd>
  <webImageSrd>
    <address r:id="rId269"/>
    <blip r:id="rId270"/>
  </webImageSrd>
  <webImageSrd>
    <address r:id="rId271"/>
    <blip r:id="rId272"/>
  </webImageSrd>
  <webImageSrd>
    <address r:id="rId273"/>
    <blip r:id="rId274"/>
  </webImageSrd>
  <webImageSrd>
    <address r:id="rId275"/>
    <blip r:id="rId276"/>
  </webImageSrd>
  <webImageSrd>
    <address r:id="rId277"/>
    <blip r:id="rId278"/>
  </webImageSrd>
  <webImageSrd>
    <address r:id="rId279"/>
    <blip r:id="rId280"/>
  </webImageSrd>
  <webImageSrd>
    <address r:id="rId281"/>
    <blip r:id="rId282"/>
  </webImageSrd>
  <webImageSrd>
    <address r:id="rId283"/>
    <blip r:id="rId284"/>
  </webImageSrd>
  <webImageSrd>
    <address r:id="rId285"/>
    <blip r:id="rId286"/>
  </webImageSrd>
  <webImageSrd>
    <address r:id="rId287"/>
    <blip r:id="rId288"/>
  </webImageSrd>
  <webImageSrd>
    <address r:id="rId289"/>
    <blip r:id="rId290"/>
  </webImageSrd>
</webImagesSrd>
</file>

<file path=xl/richData/rdrichvalue.xml><?xml version="1.0" encoding="utf-8"?>
<rvData xmlns="http://schemas.microsoft.com/office/spreadsheetml/2017/richdata" count="1108">
  <rv s="0">
    <v>0</v>
    <v>5</v>
    <v>0</v>
    <v>0</v>
  </rv>
  <rv s="1">
    <v>1</v>
    <v>4</v>
    <v>0</v>
    <v>0</v>
    <v>R8</v>
  </rv>
  <rv s="1">
    <v>2</v>
    <v>4</v>
    <v>0</v>
    <v>0</v>
    <v>R2</v>
  </rv>
  <rv s="1">
    <v>3</v>
    <v>4</v>
    <v>0</v>
    <v>0</v>
    <v>R9</v>
  </rv>
  <rv s="1">
    <v>4</v>
    <v>4</v>
    <v>0</v>
    <v>0</v>
    <v>R19</v>
  </rv>
  <rv s="1">
    <v>5</v>
    <v>4</v>
    <v>0</v>
    <v>0</v>
    <v>R12</v>
  </rv>
  <rv s="1">
    <v>6</v>
    <v>4</v>
    <v>0</v>
    <v>0</v>
    <v>W10</v>
  </rv>
  <rv s="1">
    <v>7</v>
    <v>5</v>
    <v>0</v>
    <v>0</v>
    <v xml:space="preserve"> </v>
  </rv>
  <rv s="2">
    <v>0</v>
    <v>8</v>
    <v>3</v>
    <v>1</v>
  </rv>
  <rv s="3">
    <v>0</v>
    <v>5</v>
    <v>C:\TEMP\Picture.SVG</v>
  </rv>
  <rv s="3">
    <v>1</v>
    <v>5</v>
    <v>C:\TEMP\Picture.SVG</v>
  </rv>
  <rv s="3">
    <v>2</v>
    <v>5</v>
    <v>C:\TEMP\Picture.SVG</v>
  </rv>
  <rv s="3">
    <v>3</v>
    <v>5</v>
    <v>C:\TEMP\Picture.SVG</v>
  </rv>
  <rv s="3">
    <v>4</v>
    <v>5</v>
    <v>C:\TEMP\Picture.SVG</v>
  </rv>
  <rv s="3">
    <v>5</v>
    <v>5</v>
    <v>C:\TEMP\Picture.SVG</v>
  </rv>
  <rv s="3">
    <v>6</v>
    <v>5</v>
    <v>C:\TEMP\Picture.SVG</v>
  </rv>
  <rv s="3">
    <v>7</v>
    <v>5</v>
    <v>C:\TEMP\Picture.SVG</v>
  </rv>
  <rv s="3">
    <v>8</v>
    <v>5</v>
    <v>C:\TEMP\Picture.SVG</v>
  </rv>
  <rv s="3">
    <v>9</v>
    <v>5</v>
    <v>C:\TEMP\Picture.SVG</v>
  </rv>
  <rv s="3">
    <v>10</v>
    <v>5</v>
    <v>C:\TEMP\Picture.SVG</v>
  </rv>
  <rv s="3">
    <v>11</v>
    <v>5</v>
    <v>C:\TEMP\Picture.SVG</v>
  </rv>
  <rv s="3">
    <v>12</v>
    <v>5</v>
    <v>C:\TEMP\Picture.SVG</v>
  </rv>
  <rv s="3">
    <v>13</v>
    <v>5</v>
    <v>C:\TEMP\Picture.SVG</v>
  </rv>
  <rv s="3">
    <v>14</v>
    <v>5</v>
    <v>C:\TEMP\Picture.SVG</v>
  </rv>
  <rv s="3">
    <v>15</v>
    <v>5</v>
    <v>C:\TEMP\Picture.SVG</v>
  </rv>
  <rv s="3">
    <v>16</v>
    <v>5</v>
    <v>C:\TEMP\Picture.SVG</v>
  </rv>
  <rv s="3">
    <v>17</v>
    <v>5</v>
    <v>C:\TEMP\Picture.SVG</v>
  </rv>
  <rv s="3">
    <v>18</v>
    <v>5</v>
    <v>C:\TEMP\Picture.SVG</v>
  </rv>
  <rv s="3">
    <v>19</v>
    <v>5</v>
    <v>C:\TEMP\Picture.SVG</v>
  </rv>
  <rv s="3">
    <v>20</v>
    <v>5</v>
    <v>C:\TEMP\Picture.SVG</v>
  </rv>
  <rv s="3">
    <v>21</v>
    <v>5</v>
    <v>C:\TEMP\Picture.SVG</v>
  </rv>
  <rv s="3">
    <v>22</v>
    <v>5</v>
    <v>C:\TEMP\Picture.SVG</v>
  </rv>
  <rv s="3">
    <v>23</v>
    <v>5</v>
    <v>C:\TEMP\Picture.SVG</v>
  </rv>
  <rv s="3">
    <v>24</v>
    <v>5</v>
    <v>C:\TEMP\Picture.SVG</v>
  </rv>
  <rv s="3">
    <v>25</v>
    <v>5</v>
    <v>C:\TEMP\Picture.SVG</v>
  </rv>
  <rv s="3">
    <v>26</v>
    <v>5</v>
    <v>C:\TEMP\Picture.SVG</v>
  </rv>
  <rv s="3">
    <v>27</v>
    <v>5</v>
    <v>C:\TEMP\Picture.SVG</v>
  </rv>
  <rv s="3">
    <v>28</v>
    <v>5</v>
    <v>C:\TEMP\Picture.SVG</v>
  </rv>
  <rv s="3">
    <v>29</v>
    <v>5</v>
    <v>C:\TEMP\Picture.SVG</v>
  </rv>
  <rv s="3">
    <v>30</v>
    <v>5</v>
    <v>C:\TEMP\Picture.SVG</v>
  </rv>
  <rv s="3">
    <v>31</v>
    <v>5</v>
    <v>C:\TEMP\Picture.SVG</v>
  </rv>
  <rv s="3">
    <v>32</v>
    <v>5</v>
    <v>C:\TEMP\Picture.SVG</v>
  </rv>
  <rv s="3">
    <v>33</v>
    <v>5</v>
    <v>C:\TEMP\Picture.SVG</v>
  </rv>
  <rv s="3">
    <v>34</v>
    <v>5</v>
    <v>C:\TEMP\Picture.SVG</v>
  </rv>
  <rv s="3">
    <v>35</v>
    <v>5</v>
    <v>C:\TEMP\Picture.SVG</v>
  </rv>
  <rv s="3">
    <v>36</v>
    <v>5</v>
    <v>C:\TEMP\Picture.SVG</v>
  </rv>
  <rv s="3">
    <v>37</v>
    <v>5</v>
    <v>C:\TEMP\Picture.SVG</v>
  </rv>
  <rv s="3">
    <v>38</v>
    <v>5</v>
    <v>C:\TEMP\Picture.SVG</v>
  </rv>
  <rv s="3">
    <v>39</v>
    <v>5</v>
    <v>C:\TEMP\Picture.SVG</v>
  </rv>
  <rv s="3">
    <v>40</v>
    <v>5</v>
    <v>C:\TEMP\Picture.SVG</v>
  </rv>
  <rv s="3">
    <v>41</v>
    <v>5</v>
    <v>C:\TEMP\Picture.SVG</v>
  </rv>
  <rv s="3">
    <v>42</v>
    <v>5</v>
    <v>C:\TEMP\Picture.SVG</v>
  </rv>
  <rv s="3">
    <v>43</v>
    <v>5</v>
    <v>C:\TEMP\Picture.SVG</v>
  </rv>
  <rv s="3">
    <v>44</v>
    <v>5</v>
    <v>C:\TEMP\Picture.SVG</v>
  </rv>
  <rv s="3">
    <v>45</v>
    <v>5</v>
    <v>C:\TEMP\Picture.SVG</v>
  </rv>
  <rv s="3">
    <v>46</v>
    <v>5</v>
    <v>C:\TEMP\Picture.SVG</v>
  </rv>
  <rv s="3">
    <v>47</v>
    <v>5</v>
    <v>C:\TEMP\Picture.SVG</v>
  </rv>
  <rv s="3">
    <v>48</v>
    <v>5</v>
    <v>C:\TEMP\Picture.SVG</v>
  </rv>
  <rv s="3">
    <v>49</v>
    <v>5</v>
    <v>C:\TEMP\Picture.SVG</v>
  </rv>
  <rv s="3">
    <v>50</v>
    <v>5</v>
    <v>C:\TEMP\Picture.SVG</v>
  </rv>
  <rv s="3">
    <v>51</v>
    <v>5</v>
    <v>C:\TEMP\Picture.SVG</v>
  </rv>
  <rv s="3">
    <v>52</v>
    <v>5</v>
    <v>C:\TEMP\Picture.SVG</v>
  </rv>
  <rv s="3">
    <v>53</v>
    <v>5</v>
    <v>C:\TEMP\Picture.SVG</v>
  </rv>
  <rv s="3">
    <v>54</v>
    <v>5</v>
    <v>C:\TEMP\Picture.SVG</v>
  </rv>
  <rv s="3">
    <v>55</v>
    <v>5</v>
    <v>C:\TEMP\Picture.SVG</v>
  </rv>
  <rv s="3">
    <v>56</v>
    <v>5</v>
    <v>C:\TEMP\Picture.SVG</v>
  </rv>
  <rv s="3">
    <v>57</v>
    <v>5</v>
    <v>C:\TEMP\Picture.SVG</v>
  </rv>
  <rv s="3">
    <v>58</v>
    <v>5</v>
    <v>C:\TEMP\Picture.SVG</v>
  </rv>
  <rv s="3">
    <v>59</v>
    <v>5</v>
    <v>C:\TEMP\Picture.SVG</v>
  </rv>
  <rv s="3">
    <v>60</v>
    <v>5</v>
    <v>C:\TEMP\Picture.SVG</v>
  </rv>
  <rv s="3">
    <v>61</v>
    <v>5</v>
    <v>C:\TEMP\Picture.SVG</v>
  </rv>
  <rv s="3">
    <v>62</v>
    <v>5</v>
    <v>C:\TEMP\Picture.SVG</v>
  </rv>
  <rv s="3">
    <v>63</v>
    <v>5</v>
    <v>C:\TEMP\Picture.SVG</v>
  </rv>
  <rv s="3">
    <v>64</v>
    <v>5</v>
    <v>C:\TEMP\Picture.SVG</v>
  </rv>
  <rv s="3">
    <v>65</v>
    <v>5</v>
    <v>C:\TEMP\Picture.SVG</v>
  </rv>
  <rv s="3">
    <v>66</v>
    <v>5</v>
    <v>C:\TEMP\Picture.SVG</v>
  </rv>
  <rv s="3">
    <v>67</v>
    <v>5</v>
    <v>C:\TEMP\Picture.SVG</v>
  </rv>
  <rv s="3">
    <v>68</v>
    <v>5</v>
    <v>C:\TEMP\Picture.SVG</v>
  </rv>
  <rv s="3">
    <v>69</v>
    <v>5</v>
    <v>C:\TEMP\Picture.SVG</v>
  </rv>
  <rv s="3">
    <v>70</v>
    <v>5</v>
    <v>C:\TEMP\Picture.SVG</v>
  </rv>
  <rv s="3">
    <v>71</v>
    <v>5</v>
    <v>C:\TEMP\Picture.SVG</v>
  </rv>
  <rv s="3">
    <v>72</v>
    <v>5</v>
    <v>C:\TEMP\Picture.SVG</v>
  </rv>
  <rv s="3">
    <v>73</v>
    <v>5</v>
    <v>C:\TEMP\Picture.SVG</v>
  </rv>
  <rv s="3">
    <v>74</v>
    <v>5</v>
    <v>C:\TEMP\Picture.SVG</v>
  </rv>
  <rv s="3">
    <v>75</v>
    <v>5</v>
    <v>C:\TEMP\Picture.SVG</v>
  </rv>
  <rv s="3">
    <v>76</v>
    <v>5</v>
    <v>C:\TEMP\Picture.SVG</v>
  </rv>
  <rv s="3">
    <v>77</v>
    <v>5</v>
    <v>C:\TEMP\Picture.SVG</v>
  </rv>
  <rv s="3">
    <v>78</v>
    <v>5</v>
    <v>C:\TEMP\Picture.SVG</v>
  </rv>
  <rv s="3">
    <v>79</v>
    <v>5</v>
    <v>C:\TEMP\Picture.SVG</v>
  </rv>
  <rv s="3">
    <v>80</v>
    <v>5</v>
    <v>C:\TEMP\Picture.SVG</v>
  </rv>
  <rv s="3">
    <v>81</v>
    <v>5</v>
    <v>C:\TEMP\Picture.SVG</v>
  </rv>
  <rv s="3">
    <v>82</v>
    <v>5</v>
    <v>C:\TEMP\Picture.SVG</v>
  </rv>
  <rv s="3">
    <v>83</v>
    <v>5</v>
    <v>C:\TEMP\Picture.SVG</v>
  </rv>
  <rv s="3">
    <v>84</v>
    <v>5</v>
    <v>C:\TEMP\Picture.SVG</v>
  </rv>
  <rv s="3">
    <v>85</v>
    <v>5</v>
    <v>C:\TEMP\Picture.SVG</v>
  </rv>
  <rv s="3">
    <v>86</v>
    <v>5</v>
    <v>C:\TEMP\Picture.SVG</v>
  </rv>
  <rv s="3">
    <v>87</v>
    <v>5</v>
    <v>C:\TEMP\Picture.SVG</v>
  </rv>
  <rv s="3">
    <v>88</v>
    <v>5</v>
    <v>C:\TEMP\Picture.SVG</v>
  </rv>
  <rv s="3">
    <v>89</v>
    <v>5</v>
    <v>C:\TEMP\Picture.SVG</v>
  </rv>
  <rv s="3">
    <v>90</v>
    <v>5</v>
    <v>C:\TEMP\Picture.SVG</v>
  </rv>
  <rv s="3">
    <v>91</v>
    <v>5</v>
    <v>C:\TEMP\Picture.SVG</v>
  </rv>
  <rv s="3">
    <v>92</v>
    <v>5</v>
    <v>C:\TEMP\Picture.SVG</v>
  </rv>
  <rv s="3">
    <v>93</v>
    <v>5</v>
    <v>C:\TEMP\Picture.SVG</v>
  </rv>
  <rv s="3">
    <v>94</v>
    <v>5</v>
    <v>C:\TEMP\Picture.SVG</v>
  </rv>
  <rv s="3">
    <v>95</v>
    <v>5</v>
    <v>C:\TEMP\Picture.SVG</v>
  </rv>
  <rv s="3">
    <v>96</v>
    <v>5</v>
    <v>C:\TEMP\Picture.SVG</v>
  </rv>
  <rv s="3">
    <v>97</v>
    <v>5</v>
    <v>C:\TEMP\Picture.SVG</v>
  </rv>
  <rv s="3">
    <v>98</v>
    <v>5</v>
    <v>C:\TEMP\Picture.SVG</v>
  </rv>
  <rv s="3">
    <v>99</v>
    <v>5</v>
    <v>C:\TEMP\Picture.SVG</v>
  </rv>
  <rv s="3">
    <v>100</v>
    <v>5</v>
    <v>C:\TEMP\Picture.SVG</v>
  </rv>
  <rv s="3">
    <v>101</v>
    <v>5</v>
    <v>C:\TEMP\Picture.SVG</v>
  </rv>
  <rv s="3">
    <v>102</v>
    <v>5</v>
    <v>C:\TEMP\Picture.SVG</v>
  </rv>
  <rv s="3">
    <v>103</v>
    <v>5</v>
    <v>C:\TEMP\Picture.SVG</v>
  </rv>
  <rv s="3">
    <v>104</v>
    <v>5</v>
    <v>C:\TEMP\Picture.SVG</v>
  </rv>
  <rv s="3">
    <v>105</v>
    <v>5</v>
    <v>C:\TEMP\Picture.SVG</v>
  </rv>
  <rv s="3">
    <v>106</v>
    <v>5</v>
    <v>C:\TEMP\Picture.SVG</v>
  </rv>
  <rv s="3">
    <v>107</v>
    <v>5</v>
    <v>C:\TEMP\Picture.SVG</v>
  </rv>
  <rv s="3">
    <v>108</v>
    <v>5</v>
    <v>C:\TEMP\Picture.SVG</v>
  </rv>
  <rv s="3">
    <v>109</v>
    <v>5</v>
    <v>C:\TEMP\Picture.SVG</v>
  </rv>
  <rv s="3">
    <v>110</v>
    <v>5</v>
    <v>C:\TEMP\Picture.SVG</v>
  </rv>
  <rv s="3">
    <v>111</v>
    <v>5</v>
    <v>C:\TEMP\Picture.SVG</v>
  </rv>
  <rv s="3">
    <v>112</v>
    <v>5</v>
    <v>C:\TEMP\Picture.SVG</v>
  </rv>
  <rv s="3">
    <v>113</v>
    <v>5</v>
    <v>C:\TEMP\Picture.SVG</v>
  </rv>
  <rv s="3">
    <v>114</v>
    <v>5</v>
    <v>C:\TEMP\Picture.SVG</v>
  </rv>
  <rv s="3">
    <v>115</v>
    <v>5</v>
    <v>C:\TEMP\Picture.SVG</v>
  </rv>
  <rv s="3">
    <v>116</v>
    <v>5</v>
    <v>C:\TEMP\Picture.SVG</v>
  </rv>
  <rv s="3">
    <v>117</v>
    <v>5</v>
    <v>C:\TEMP\Picture.SVG</v>
  </rv>
  <rv s="3">
    <v>118</v>
    <v>5</v>
    <v>C:\TEMP\Picture.SVG</v>
  </rv>
  <rv s="3">
    <v>119</v>
    <v>5</v>
    <v>C:\TEMP\Picture.SVG</v>
  </rv>
  <rv s="3">
    <v>120</v>
    <v>5</v>
    <v>C:\TEMP\Picture.SVG</v>
  </rv>
  <rv s="3">
    <v>121</v>
    <v>5</v>
    <v>C:\TEMP\Picture.SVG</v>
  </rv>
  <rv s="3">
    <v>122</v>
    <v>5</v>
    <v>C:\TEMP\Picture.SVG</v>
  </rv>
  <rv s="3">
    <v>123</v>
    <v>5</v>
    <v>C:\TEMP\Picture.SVG</v>
  </rv>
  <rv s="3">
    <v>124</v>
    <v>5</v>
    <v>C:\TEMP\Picture.SVG</v>
  </rv>
  <rv s="3">
    <v>125</v>
    <v>5</v>
    <v>C:\TEMP\Picture.SVG</v>
  </rv>
  <rv s="3">
    <v>126</v>
    <v>5</v>
    <v>C:\TEMP\Picture.SVG</v>
  </rv>
  <rv s="3">
    <v>127</v>
    <v>5</v>
    <v>C:\TEMP\Picture.SVG</v>
  </rv>
  <rv s="3">
    <v>128</v>
    <v>5</v>
    <v>C:\TEMP\Picture.SVG</v>
  </rv>
  <rv s="3">
    <v>129</v>
    <v>5</v>
    <v>C:\TEMP\Picture.SVG</v>
  </rv>
  <rv s="3">
    <v>130</v>
    <v>5</v>
    <v>C:\TEMP\Picture.SVG</v>
  </rv>
  <rv s="3">
    <v>131</v>
    <v>5</v>
    <v>C:\TEMP\Picture.SVG</v>
  </rv>
  <rv s="3">
    <v>132</v>
    <v>5</v>
    <v>C:\TEMP\Picture.SVG</v>
  </rv>
  <rv s="3">
    <v>133</v>
    <v>5</v>
    <v>C:\TEMP\Picture.SVG</v>
  </rv>
  <rv s="3">
    <v>134</v>
    <v>5</v>
    <v>C:\TEMP\Picture.SVG</v>
  </rv>
  <rv s="3">
    <v>135</v>
    <v>5</v>
    <v>C:\TEMP\Picture.SVG</v>
  </rv>
  <rv s="3">
    <v>136</v>
    <v>5</v>
    <v>C:\TEMP\Picture.SVG</v>
  </rv>
  <rv s="3">
    <v>137</v>
    <v>5</v>
    <v>C:\TEMP\Picture.SVG</v>
  </rv>
  <rv s="3">
    <v>138</v>
    <v>5</v>
    <v>C:\TEMP\Picture.SVG</v>
  </rv>
  <rv s="3">
    <v>139</v>
    <v>5</v>
    <v>C:\TEMP\Picture.SVG</v>
  </rv>
  <rv s="3">
    <v>140</v>
    <v>5</v>
    <v>C:\TEMP\Picture.SVG</v>
  </rv>
  <rv s="3">
    <v>141</v>
    <v>5</v>
    <v>C:\TEMP\Picture.SVG</v>
  </rv>
  <rv s="3">
    <v>142</v>
    <v>5</v>
    <v>C:\TEMP\Picture.SVG</v>
  </rv>
  <rv s="3">
    <v>143</v>
    <v>5</v>
    <v>C:\TEMP\Picture.SVG</v>
  </rv>
  <rv s="3">
    <v>144</v>
    <v>5</v>
    <v>C:\TEMP\Picture.SVG</v>
  </rv>
  <rv s="3">
    <v>145</v>
    <v>5</v>
    <v>C:\TEMP\Picture.SVG</v>
  </rv>
  <rv s="3">
    <v>146</v>
    <v>5</v>
    <v>C:\TEMP\Picture.SVG</v>
  </rv>
  <rv s="3">
    <v>147</v>
    <v>5</v>
    <v>C:\TEMP\Picture.SVG</v>
  </rv>
  <rv s="3">
    <v>148</v>
    <v>5</v>
    <v>C:\TEMP\Picture.SVG</v>
  </rv>
  <rv s="3">
    <v>149</v>
    <v>5</v>
    <v>C:\TEMP\Picture.SVG</v>
  </rv>
  <rv s="3">
    <v>150</v>
    <v>5</v>
    <v>C:\TEMP\Picture.SVG</v>
  </rv>
  <rv s="3">
    <v>151</v>
    <v>5</v>
    <v>C:\TEMP\Picture.SVG</v>
  </rv>
  <rv s="3">
    <v>152</v>
    <v>5</v>
    <v>C:\TEMP\Picture.SVG</v>
  </rv>
  <rv s="3">
    <v>153</v>
    <v>5</v>
    <v>C:\TEMP\Picture.SVG</v>
  </rv>
  <rv s="3">
    <v>154</v>
    <v>5</v>
    <v>C:\TEMP\Picture.SVG</v>
  </rv>
  <rv s="3">
    <v>155</v>
    <v>5</v>
    <v>C:\TEMP\Picture.SVG</v>
  </rv>
  <rv s="3">
    <v>156</v>
    <v>5</v>
    <v>C:\TEMP\Picture.SVG</v>
  </rv>
  <rv s="3">
    <v>157</v>
    <v>5</v>
    <v>C:\TEMP\Picture.SVG</v>
  </rv>
  <rv s="3">
    <v>158</v>
    <v>5</v>
    <v>C:\TEMP\Picture.SVG</v>
  </rv>
  <rv s="3">
    <v>159</v>
    <v>5</v>
    <v>C:\TEMP\Picture.SVG</v>
  </rv>
  <rv s="3">
    <v>160</v>
    <v>5</v>
    <v>C:\TEMP\Picture.SVG</v>
  </rv>
  <rv s="3">
    <v>161</v>
    <v>5</v>
    <v>C:\TEMP\Picture.SVG</v>
  </rv>
  <rv s="3">
    <v>162</v>
    <v>5</v>
    <v>C:\TEMP\Picture.SVG</v>
  </rv>
  <rv s="3">
    <v>163</v>
    <v>5</v>
    <v>C:\TEMP\Picture.SVG</v>
  </rv>
  <rv s="3">
    <v>164</v>
    <v>5</v>
    <v>C:\TEMP\Picture.SVG</v>
  </rv>
  <rv s="3">
    <v>165</v>
    <v>5</v>
    <v>C:\TEMP\Picture.SVG</v>
  </rv>
  <rv s="3">
    <v>166</v>
    <v>5</v>
    <v>C:\TEMP\Picture.SVG</v>
  </rv>
  <rv s="3">
    <v>167</v>
    <v>5</v>
    <v>C:\TEMP\Picture.SVG</v>
  </rv>
  <rv s="3">
    <v>168</v>
    <v>5</v>
    <v>C:\TEMP\Picture.SVG</v>
  </rv>
  <rv s="3">
    <v>169</v>
    <v>5</v>
    <v>C:\TEMP\Picture.SVG</v>
  </rv>
  <rv s="3">
    <v>170</v>
    <v>5</v>
    <v>C:\TEMP\Picture.SVG</v>
  </rv>
  <rv s="3">
    <v>171</v>
    <v>5</v>
    <v>C:\TEMP\Picture.SVG</v>
  </rv>
  <rv s="3">
    <v>172</v>
    <v>5</v>
    <v>C:\TEMP\Picture.SVG</v>
  </rv>
  <rv s="3">
    <v>173</v>
    <v>5</v>
    <v>C:\TEMP\Picture.SVG</v>
  </rv>
  <rv s="3">
    <v>174</v>
    <v>5</v>
    <v>C:\TEMP\Picture.SVG</v>
  </rv>
  <rv s="3">
    <v>175</v>
    <v>5</v>
    <v>C:\TEMP\Picture.SVG</v>
  </rv>
  <rv s="3">
    <v>176</v>
    <v>5</v>
    <v>C:\TEMP\Picture.SVG</v>
  </rv>
  <rv s="3">
    <v>177</v>
    <v>5</v>
    <v>C:\TEMP\Picture.SVG</v>
  </rv>
  <rv s="3">
    <v>178</v>
    <v>5</v>
    <v>C:\TEMP\Picture.SVG</v>
  </rv>
  <rv s="3">
    <v>179</v>
    <v>5</v>
    <v>C:\TEMP\Picture.SVG</v>
  </rv>
  <rv s="3">
    <v>180</v>
    <v>5</v>
    <v>C:\TEMP\Picture.SVG</v>
  </rv>
  <rv s="3">
    <v>181</v>
    <v>5</v>
    <v>C:\TEMP\Picture.SVG</v>
  </rv>
  <rv s="3">
    <v>182</v>
    <v>5</v>
    <v>C:\TEMP\Picture.SVG</v>
  </rv>
  <rv s="3">
    <v>183</v>
    <v>5</v>
    <v>C:\TEMP\Picture.SVG</v>
  </rv>
  <rv s="3">
    <v>184</v>
    <v>5</v>
    <v>C:\TEMP\Picture.SVG</v>
  </rv>
  <rv s="3">
    <v>185</v>
    <v>5</v>
    <v>C:\TEMP\Picture.SVG</v>
  </rv>
  <rv s="3">
    <v>186</v>
    <v>5</v>
    <v>C:\TEMP\Picture.SVG</v>
  </rv>
  <rv s="3">
    <v>187</v>
    <v>5</v>
    <v>C:\TEMP\Picture.SVG</v>
  </rv>
  <rv s="3">
    <v>188</v>
    <v>5</v>
    <v>C:\TEMP\Picture.SVG</v>
  </rv>
  <rv s="3">
    <v>189</v>
    <v>5</v>
    <v>C:\TEMP\Picture.SVG</v>
  </rv>
  <rv s="3">
    <v>190</v>
    <v>5</v>
    <v>C:\TEMP\Picture.SVG</v>
  </rv>
  <rv s="3">
    <v>191</v>
    <v>5</v>
    <v>C:\TEMP\Picture.SVG</v>
  </rv>
  <rv s="3">
    <v>192</v>
    <v>5</v>
    <v>C:\TEMP\Picture.SVG</v>
  </rv>
  <rv s="3">
    <v>193</v>
    <v>5</v>
    <v>C:\TEMP\Picture.SVG</v>
  </rv>
  <rv s="3">
    <v>194</v>
    <v>5</v>
    <v>C:\TEMP\Picture.SVG</v>
  </rv>
  <rv s="3">
    <v>195</v>
    <v>5</v>
    <v>C:\TEMP\Picture.SVG</v>
  </rv>
  <rv s="3">
    <v>196</v>
    <v>5</v>
    <v>C:\TEMP\Picture.SVG</v>
  </rv>
  <rv s="3">
    <v>197</v>
    <v>5</v>
    <v>C:\TEMP\Picture.SVG</v>
  </rv>
  <rv s="3">
    <v>198</v>
    <v>5</v>
    <v>C:\TEMP\Picture.SVG</v>
  </rv>
  <rv s="3">
    <v>199</v>
    <v>5</v>
    <v>C:\TEMP\Picture.SVG</v>
  </rv>
  <rv s="3">
    <v>200</v>
    <v>5</v>
    <v>C:\TEMP\Picture.SVG</v>
  </rv>
  <rv s="3">
    <v>201</v>
    <v>5</v>
    <v>C:\TEMP\Picture.SVG</v>
  </rv>
  <rv s="3">
    <v>202</v>
    <v>5</v>
    <v>C:\TEMP\Picture.SVG</v>
  </rv>
  <rv s="3">
    <v>203</v>
    <v>5</v>
    <v>C:\TEMP\Picture.SVG</v>
  </rv>
  <rv s="3">
    <v>204</v>
    <v>5</v>
    <v>C:\TEMP\Picture.SVG</v>
  </rv>
  <rv s="3">
    <v>205</v>
    <v>5</v>
    <v>C:\TEMP\Picture.SVG</v>
  </rv>
  <rv s="3">
    <v>206</v>
    <v>5</v>
    <v>C:\TEMP\Picture.SVG</v>
  </rv>
  <rv s="3">
    <v>207</v>
    <v>5</v>
    <v>C:\TEMP\Picture.SVG</v>
  </rv>
  <rv s="3">
    <v>208</v>
    <v>5</v>
    <v>C:\TEMP\Picture.SVG</v>
  </rv>
  <rv s="3">
    <v>209</v>
    <v>5</v>
    <v>C:\TEMP\Picture.SVG</v>
  </rv>
  <rv s="3">
    <v>210</v>
    <v>5</v>
    <v>C:\TEMP\Picture.SVG</v>
  </rv>
  <rv s="3">
    <v>211</v>
    <v>5</v>
    <v>C:\TEMP\Picture.SVG</v>
  </rv>
  <rv s="3">
    <v>212</v>
    <v>5</v>
    <v>C:\TEMP\Picture.SVG</v>
  </rv>
  <rv s="3">
    <v>213</v>
    <v>5</v>
    <v>C:\TEMP\Picture.SVG</v>
  </rv>
  <rv s="3">
    <v>214</v>
    <v>5</v>
    <v>C:\TEMP\Picture.SVG</v>
  </rv>
  <rv s="3">
    <v>215</v>
    <v>5</v>
    <v>C:\TEMP\Picture.SVG</v>
  </rv>
  <rv s="3">
    <v>216</v>
    <v>5</v>
    <v>C:\TEMP\Picture.SVG</v>
  </rv>
  <rv s="3">
    <v>217</v>
    <v>5</v>
    <v>C:\TEMP\Picture.SVG</v>
  </rv>
  <rv s="3">
    <v>218</v>
    <v>5</v>
    <v>C:\TEMP\Picture.SVG</v>
  </rv>
  <rv s="3">
    <v>219</v>
    <v>5</v>
    <v>C:\TEMP\Picture.SVG</v>
  </rv>
  <rv s="3">
    <v>220</v>
    <v>5</v>
    <v>C:\TEMP\Picture.SVG</v>
  </rv>
  <rv s="3">
    <v>221</v>
    <v>5</v>
    <v>C:\TEMP\Picture.SVG</v>
  </rv>
  <rv s="3">
    <v>222</v>
    <v>5</v>
    <v>C:\TEMP\Picture.SVG</v>
  </rv>
  <rv s="3">
    <v>223</v>
    <v>5</v>
    <v>C:\TEMP\Picture.SVG</v>
  </rv>
  <rv s="3">
    <v>224</v>
    <v>5</v>
    <v>C:\TEMP\Picture.SVG</v>
  </rv>
  <rv s="3">
    <v>225</v>
    <v>5</v>
    <v>C:\TEMP\Picture.SVG</v>
  </rv>
  <rv s="3">
    <v>226</v>
    <v>5</v>
    <v>C:\TEMP\Picture.SVG</v>
  </rv>
  <rv s="3">
    <v>227</v>
    <v>5</v>
    <v>C:\TEMP\Picture.SVG</v>
  </rv>
  <rv s="3">
    <v>228</v>
    <v>5</v>
    <v>C:\TEMP\Picture.SVG</v>
  </rv>
  <rv s="3">
    <v>229</v>
    <v>5</v>
    <v>C:\TEMP\Picture.SVG</v>
  </rv>
  <rv s="3">
    <v>230</v>
    <v>5</v>
    <v>C:\TEMP\Picture.SVG</v>
  </rv>
  <rv s="3">
    <v>231</v>
    <v>5</v>
    <v>C:\TEMP\Picture.SVG</v>
  </rv>
  <rv s="3">
    <v>232</v>
    <v>5</v>
    <v>C:\TEMP\Picture.SVG</v>
  </rv>
  <rv s="3">
    <v>233</v>
    <v>5</v>
    <v>C:\TEMP\Picture.SVG</v>
  </rv>
  <rv s="3">
    <v>234</v>
    <v>5</v>
    <v>C:\TEMP\Picture.SVG</v>
  </rv>
  <rv s="3">
    <v>235</v>
    <v>5</v>
    <v>C:\TEMP\Picture.SVG</v>
  </rv>
  <rv s="3">
    <v>236</v>
    <v>5</v>
    <v>C:\TEMP\Picture.SVG</v>
  </rv>
  <rv s="3">
    <v>237</v>
    <v>5</v>
    <v>C:\TEMP\Picture.SVG</v>
  </rv>
  <rv s="3">
    <v>238</v>
    <v>5</v>
    <v>C:\TEMP\Picture.SVG</v>
  </rv>
  <rv s="3">
    <v>239</v>
    <v>5</v>
    <v>C:\TEMP\Picture.SVG</v>
  </rv>
  <rv s="3">
    <v>240</v>
    <v>5</v>
    <v>C:\TEMP\Picture.SVG</v>
  </rv>
  <rv s="3">
    <v>241</v>
    <v>5</v>
    <v>C:\TEMP\Picture.SVG</v>
  </rv>
  <rv s="3">
    <v>242</v>
    <v>5</v>
    <v>C:\TEMP\Picture.SVG</v>
  </rv>
  <rv s="3">
    <v>243</v>
    <v>5</v>
    <v>C:\TEMP\Picture.SVG</v>
  </rv>
  <rv s="3">
    <v>244</v>
    <v>5</v>
    <v>C:\TEMP\Picture.SVG</v>
  </rv>
  <rv s="3">
    <v>245</v>
    <v>5</v>
    <v>C:\TEMP\Picture.SVG</v>
  </rv>
  <rv s="3">
    <v>246</v>
    <v>5</v>
    <v>C:\TEMP\Picture.SVG</v>
  </rv>
  <rv s="3">
    <v>247</v>
    <v>5</v>
    <v>C:\TEMP\Picture.SVG</v>
  </rv>
  <rv s="3">
    <v>248</v>
    <v>5</v>
    <v>C:\TEMP\Picture.SVG</v>
  </rv>
  <rv s="3">
    <v>249</v>
    <v>5</v>
    <v>C:\TEMP\Picture.SVG</v>
  </rv>
  <rv s="3">
    <v>250</v>
    <v>4</v>
    <v>C:\TEMP\Picture.SVG</v>
  </rv>
  <rv s="3">
    <v>251</v>
    <v>5</v>
    <v>C:\TEMP\Picture.SVG</v>
  </rv>
  <rv s="3">
    <v>252</v>
    <v>5</v>
    <v>C:\TEMP\Picture.SVG</v>
  </rv>
  <rv s="3">
    <v>253</v>
    <v>5</v>
    <v>C:\TEMP\Picture.SVG</v>
  </rv>
  <rv s="3">
    <v>254</v>
    <v>5</v>
    <v>C:\TEMP\Picture.SVG</v>
  </rv>
  <rv s="3">
    <v>255</v>
    <v>5</v>
    <v>C:\TEMP\Picture.SVG</v>
  </rv>
  <rv s="3">
    <v>256</v>
    <v>5</v>
    <v>C:\TEMP\Picture.SVG</v>
  </rv>
  <rv s="3">
    <v>257</v>
    <v>5</v>
    <v>C:\TEMP\Picture.SVG</v>
  </rv>
  <rv s="3">
    <v>258</v>
    <v>5</v>
    <v>C:\TEMP\Picture.SVG</v>
  </rv>
  <rv s="3">
    <v>259</v>
    <v>5</v>
    <v>C:\TEMP\Picture.SVG</v>
  </rv>
  <rv s="3">
    <v>260</v>
    <v>5</v>
    <v>C:\TEMP\Picture.SVG</v>
  </rv>
  <rv s="3">
    <v>261</v>
    <v>5</v>
    <v>C:\TEMP\Picture.SVG</v>
  </rv>
  <rv s="3">
    <v>262</v>
    <v>5</v>
    <v>C:\TEMP\Picture.SVG</v>
  </rv>
  <rv s="3">
    <v>263</v>
    <v>5</v>
    <v>C:\TEMP\Picture.SVG</v>
  </rv>
  <rv s="3">
    <v>264</v>
    <v>5</v>
    <v>C:\TEMP\Picture.SVG</v>
  </rv>
  <rv s="3">
    <v>265</v>
    <v>5</v>
    <v>C:\TEMP\Picture.SVG</v>
  </rv>
  <rv s="3">
    <v>266</v>
    <v>5</v>
    <v>C:\TEMP\Picture.SVG</v>
  </rv>
  <rv s="3">
    <v>267</v>
    <v>5</v>
    <v>C:\TEMP\Picture.SVG</v>
  </rv>
  <rv s="3">
    <v>268</v>
    <v>5</v>
    <v>C:\TEMP\Picture.SVG</v>
  </rv>
  <rv s="3">
    <v>269</v>
    <v>5</v>
    <v>C:\TEMP\Picture.SVG</v>
  </rv>
  <rv s="3">
    <v>270</v>
    <v>5</v>
    <v>C:\TEMP\Picture.SVG</v>
  </rv>
  <rv s="3">
    <v>271</v>
    <v>5</v>
    <v>C:\TEMP\Picture.SVG</v>
  </rv>
  <rv s="3">
    <v>272</v>
    <v>5</v>
    <v>C:\TEMP\Picture.SVG</v>
  </rv>
  <rv s="3">
    <v>273</v>
    <v>5</v>
    <v>C:\TEMP\Picture.SVG</v>
  </rv>
  <rv s="3">
    <v>274</v>
    <v>5</v>
    <v>C:\TEMP\Picture.SVG</v>
  </rv>
  <rv s="3">
    <v>275</v>
    <v>5</v>
    <v>C:\TEMP\Picture.SVG</v>
  </rv>
  <rv s="3">
    <v>276</v>
    <v>5</v>
    <v>C:\TEMP\Picture.SVG</v>
  </rv>
  <rv s="3">
    <v>277</v>
    <v>5</v>
    <v>C:\TEMP\Picture.SVG</v>
  </rv>
  <rv s="3">
    <v>278</v>
    <v>5</v>
    <v>C:\TEMP\Picture.SVG</v>
  </rv>
  <rv s="3">
    <v>279</v>
    <v>5</v>
    <v>C:\TEMP\Picture.SVG</v>
  </rv>
  <rv s="3">
    <v>280</v>
    <v>5</v>
    <v>C:\TEMP\Picture.SVG</v>
  </rv>
  <rv s="3">
    <v>281</v>
    <v>5</v>
    <v>C:\TEMP\Picture.SVG</v>
  </rv>
  <rv s="3">
    <v>282</v>
    <v>5</v>
    <v>C:\TEMP\Picture.SVG</v>
  </rv>
  <rv s="3">
    <v>283</v>
    <v>5</v>
    <v>C:\TEMP\Picture.SVG</v>
  </rv>
  <rv s="3">
    <v>284</v>
    <v>5</v>
    <v>C:\TEMP\Picture.SVG</v>
  </rv>
  <rv s="3">
    <v>285</v>
    <v>5</v>
    <v>C:\TEMP\Picture.SVG</v>
  </rv>
  <rv s="3">
    <v>286</v>
    <v>5</v>
    <v>C:\TEMP\Picture.SVG</v>
  </rv>
  <rv s="3">
    <v>287</v>
    <v>5</v>
    <v>C:\TEMP\Picture.SVG</v>
  </rv>
  <rv s="3">
    <v>288</v>
    <v>5</v>
    <v>C:\TEMP\Picture.SVG</v>
  </rv>
  <rv s="3">
    <v>289</v>
    <v>5</v>
    <v>C:\TEMP\Picture.SVG</v>
  </rv>
  <rv s="3">
    <v>290</v>
    <v>5</v>
    <v>C:\TEMP\Picture.SVG</v>
  </rv>
  <rv s="3">
    <v>291</v>
    <v>5</v>
    <v>C:\TEMP\Picture.SVG</v>
  </rv>
  <rv s="3">
    <v>292</v>
    <v>5</v>
    <v>C:\TEMP\Picture.SVG</v>
  </rv>
  <rv s="3">
    <v>293</v>
    <v>5</v>
    <v>C:\TEMP\Picture.SVG</v>
  </rv>
  <rv s="3">
    <v>294</v>
    <v>5</v>
    <v>C:\TEMP\Picture.SVG</v>
  </rv>
  <rv s="3">
    <v>295</v>
    <v>5</v>
    <v>C:\TEMP\Picture.SVG</v>
  </rv>
  <rv s="3">
    <v>296</v>
    <v>5</v>
    <v>C:\TEMP\Picture.SVG</v>
  </rv>
  <rv s="3">
    <v>297</v>
    <v>5</v>
    <v>C:\TEMP\Picture.SVG</v>
  </rv>
  <rv s="3">
    <v>298</v>
    <v>5</v>
    <v>C:\TEMP\Picture.SVG</v>
  </rv>
  <rv s="3">
    <v>299</v>
    <v>5</v>
    <v>C:\TEMP\Picture.SVG</v>
  </rv>
  <rv s="3">
    <v>300</v>
    <v>5</v>
    <v>C:\TEMP\Picture.SVG</v>
  </rv>
  <rv s="3">
    <v>301</v>
    <v>5</v>
    <v>C:\TEMP\Picture.SVG</v>
  </rv>
  <rv s="3">
    <v>302</v>
    <v>5</v>
    <v>C:\TEMP\Picture.SVG</v>
  </rv>
  <rv s="3">
    <v>303</v>
    <v>5</v>
    <v>C:\TEMP\Picture.SVG</v>
  </rv>
  <rv s="3">
    <v>304</v>
    <v>5</v>
    <v>C:\TEMP\Picture.SVG</v>
  </rv>
  <rv s="3">
    <v>305</v>
    <v>5</v>
    <v>C:\TEMP\Picture.SVG</v>
  </rv>
  <rv s="3">
    <v>306</v>
    <v>5</v>
    <v>C:\TEMP\Picture.SVG</v>
  </rv>
  <rv s="3">
    <v>307</v>
    <v>5</v>
    <v>C:\TEMP\Picture.SVG</v>
  </rv>
  <rv s="3">
    <v>308</v>
    <v>5</v>
    <v>C:\TEMP\Picture.SVG</v>
  </rv>
  <rv s="3">
    <v>309</v>
    <v>5</v>
    <v>C:\TEMP\Picture.SVG</v>
  </rv>
  <rv s="3">
    <v>310</v>
    <v>5</v>
    <v>C:\TEMP\Picture.SVG</v>
  </rv>
  <rv s="3">
    <v>311</v>
    <v>5</v>
    <v>C:\TEMP\Picture.SVG</v>
  </rv>
  <rv s="3">
    <v>312</v>
    <v>5</v>
    <v>C:\TEMP\Picture.SVG</v>
  </rv>
  <rv s="3">
    <v>313</v>
    <v>5</v>
    <v>C:\TEMP\Picture.SVG</v>
  </rv>
  <rv s="3">
    <v>314</v>
    <v>5</v>
    <v>C:\TEMP\Picture.SVG</v>
  </rv>
  <rv s="3">
    <v>315</v>
    <v>5</v>
    <v>C:\TEMP\Picture.SVG</v>
  </rv>
  <rv s="3">
    <v>316</v>
    <v>5</v>
    <v>C:\TEMP\Picture.SVG</v>
  </rv>
  <rv s="3">
    <v>317</v>
    <v>5</v>
    <v>C:\TEMP\Picture.SVG</v>
  </rv>
  <rv s="3">
    <v>318</v>
    <v>5</v>
    <v>C:\TEMP\Picture.SVG</v>
  </rv>
  <rv s="3">
    <v>319</v>
    <v>5</v>
    <v>C:\TEMP\Picture.SVG</v>
  </rv>
  <rv s="3">
    <v>320</v>
    <v>5</v>
    <v>C:\TEMP\Picture.SVG</v>
  </rv>
  <rv s="3">
    <v>321</v>
    <v>5</v>
    <v>C:\TEMP\Picture.SVG</v>
  </rv>
  <rv s="3">
    <v>322</v>
    <v>5</v>
    <v>C:\TEMP\Picture.SVG</v>
  </rv>
  <rv s="3">
    <v>323</v>
    <v>5</v>
    <v>C:\TEMP\Picture.SVG</v>
  </rv>
  <rv s="3">
    <v>324</v>
    <v>5</v>
    <v>C:\TEMP\Picture.SVG</v>
  </rv>
  <rv s="3">
    <v>325</v>
    <v>5</v>
    <v>C:\TEMP\Picture.SVG</v>
  </rv>
  <rv s="3">
    <v>326</v>
    <v>5</v>
    <v>C:\TEMP\Picture.SVG</v>
  </rv>
  <rv s="3">
    <v>327</v>
    <v>5</v>
    <v>C:\TEMP\Picture.SVG</v>
  </rv>
  <rv s="3">
    <v>328</v>
    <v>5</v>
    <v>C:\TEMP\Picture.SVG</v>
  </rv>
  <rv s="3">
    <v>329</v>
    <v>5</v>
    <v>C:\TEMP\Picture.SVG</v>
  </rv>
  <rv s="3">
    <v>330</v>
    <v>5</v>
    <v>C:\TEMP\Picture.SVG</v>
  </rv>
  <rv s="3">
    <v>331</v>
    <v>5</v>
    <v>C:\TEMP\Picture.SVG</v>
  </rv>
  <rv s="3">
    <v>332</v>
    <v>5</v>
    <v>C:\TEMP\Picture.SVG</v>
  </rv>
  <rv s="3">
    <v>333</v>
    <v>5</v>
    <v>C:\TEMP\Picture.SVG</v>
  </rv>
  <rv s="3">
    <v>334</v>
    <v>5</v>
    <v>C:\TEMP\Picture.SVG</v>
  </rv>
  <rv s="3">
    <v>335</v>
    <v>5</v>
    <v>C:\TEMP\Picture.SVG</v>
  </rv>
  <rv s="3">
    <v>336</v>
    <v>5</v>
    <v>C:\TEMP\Picture.SVG</v>
  </rv>
  <rv s="3">
    <v>337</v>
    <v>5</v>
    <v>C:\TEMP\Picture.SVG</v>
  </rv>
  <rv s="3">
    <v>338</v>
    <v>5</v>
    <v>C:\TEMP\Picture.SVG</v>
  </rv>
  <rv s="3">
    <v>339</v>
    <v>5</v>
    <v>C:\TEMP\Picture.SVG</v>
  </rv>
  <rv s="3">
    <v>340</v>
    <v>5</v>
    <v>C:\TEMP\Picture.SVG</v>
  </rv>
  <rv s="3">
    <v>341</v>
    <v>5</v>
    <v>C:\TEMP\Picture.SVG</v>
  </rv>
  <rv s="3">
    <v>342</v>
    <v>5</v>
    <v>C:\TEMP\Picture.SVG</v>
  </rv>
  <rv s="3">
    <v>343</v>
    <v>5</v>
    <v>C:\TEMP\Picture.SVG</v>
  </rv>
  <rv s="3">
    <v>344</v>
    <v>5</v>
    <v>C:\TEMP\Picture.SVG</v>
  </rv>
  <rv s="3">
    <v>345</v>
    <v>5</v>
    <v>C:\TEMP\Picture.SVG</v>
  </rv>
  <rv s="3">
    <v>346</v>
    <v>5</v>
    <v>C:\TEMP\Picture.SVG</v>
  </rv>
  <rv s="3">
    <v>347</v>
    <v>5</v>
    <v>C:\TEMP\Picture.SVG</v>
  </rv>
  <rv s="3">
    <v>348</v>
    <v>5</v>
    <v>C:\TEMP\Picture.SVG</v>
  </rv>
  <rv s="3">
    <v>349</v>
    <v>5</v>
    <v>C:\TEMP\Picture.SVG</v>
  </rv>
  <rv s="3">
    <v>350</v>
    <v>5</v>
    <v>C:\TEMP\Picture.SVG</v>
  </rv>
  <rv s="3">
    <v>351</v>
    <v>5</v>
    <v>C:\TEMP\Picture.SVG</v>
  </rv>
  <rv s="3">
    <v>352</v>
    <v>5</v>
    <v>C:\TEMP\Picture.SVG</v>
  </rv>
  <rv s="3">
    <v>353</v>
    <v>5</v>
    <v>C:\TEMP\Picture.SVG</v>
  </rv>
  <rv s="3">
    <v>354</v>
    <v>5</v>
    <v>C:\TEMP\Picture.SVG</v>
  </rv>
  <rv s="3">
    <v>355</v>
    <v>5</v>
    <v>C:\TEMP\Picture.SVG</v>
  </rv>
  <rv s="3">
    <v>356</v>
    <v>5</v>
    <v>C:\TEMP\Picture.SVG</v>
  </rv>
  <rv s="3">
    <v>357</v>
    <v>5</v>
    <v>C:\TEMP\Picture.SVG</v>
  </rv>
  <rv s="3">
    <v>358</v>
    <v>5</v>
    <v>C:\TEMP\Picture.SVG</v>
  </rv>
  <rv s="3">
    <v>359</v>
    <v>5</v>
    <v>C:\TEMP\Picture.SVG</v>
  </rv>
  <rv s="3">
    <v>360</v>
    <v>5</v>
    <v>C:\TEMP\Picture.SVG</v>
  </rv>
  <rv s="3">
    <v>361</v>
    <v>5</v>
    <v>C:\TEMP\Picture.SVG</v>
  </rv>
  <rv s="3">
    <v>362</v>
    <v>5</v>
    <v>C:\TEMP\Picture.SVG</v>
  </rv>
  <rv s="3">
    <v>363</v>
    <v>5</v>
    <v>C:\TEMP\Picture.SVG</v>
  </rv>
  <rv s="3">
    <v>364</v>
    <v>5</v>
    <v>C:\TEMP\Picture.SVG</v>
  </rv>
  <rv s="3">
    <v>365</v>
    <v>5</v>
    <v>C:\TEMP\Picture.SVG</v>
  </rv>
  <rv s="3">
    <v>366</v>
    <v>5</v>
    <v>C:\TEMP\Picture.SVG</v>
  </rv>
  <rv s="3">
    <v>367</v>
    <v>5</v>
    <v>C:\TEMP\Picture.SVG</v>
  </rv>
  <rv s="3">
    <v>368</v>
    <v>5</v>
    <v>C:\TEMP\Picture.SVG</v>
  </rv>
  <rv s="3">
    <v>369</v>
    <v>5</v>
    <v>C:\TEMP\Picture.SVG</v>
  </rv>
  <rv s="3">
    <v>370</v>
    <v>5</v>
    <v>C:\TEMP\Picture.SVG</v>
  </rv>
  <rv s="3">
    <v>371</v>
    <v>5</v>
    <v>C:\TEMP\Picture.SVG</v>
  </rv>
  <rv s="3">
    <v>372</v>
    <v>5</v>
    <v>C:\TEMP\Picture.SVG</v>
  </rv>
  <rv s="3">
    <v>373</v>
    <v>5</v>
    <v>C:\TEMP\Picture.SVG</v>
  </rv>
  <rv s="3">
    <v>374</v>
    <v>5</v>
    <v>C:\TEMP\Picture.SVG</v>
  </rv>
  <rv s="3">
    <v>375</v>
    <v>5</v>
    <v>C:\TEMP\Picture.SVG</v>
  </rv>
  <rv s="3">
    <v>376</v>
    <v>5</v>
    <v>C:\TEMP\Picture.SVG</v>
  </rv>
  <rv s="3">
    <v>377</v>
    <v>5</v>
    <v>C:\TEMP\Picture.SVG</v>
  </rv>
  <rv s="3">
    <v>378</v>
    <v>5</v>
    <v>C:\TEMP\Picture.SVG</v>
  </rv>
  <rv s="3">
    <v>379</v>
    <v>5</v>
    <v>C:\TEMP\Picture.SVG</v>
  </rv>
  <rv s="3">
    <v>380</v>
    <v>5</v>
    <v>C:\TEMP\Picture.SVG</v>
  </rv>
  <rv s="3">
    <v>381</v>
    <v>5</v>
    <v>C:\TEMP\Picture.SVG</v>
  </rv>
  <rv s="3">
    <v>382</v>
    <v>5</v>
    <v>C:\TEMP\Picture.SVG</v>
  </rv>
  <rv s="3">
    <v>383</v>
    <v>5</v>
    <v>C:\TEMP\Picture.SVG</v>
  </rv>
  <rv s="3">
    <v>384</v>
    <v>5</v>
    <v>C:\TEMP\Picture.SVG</v>
  </rv>
  <rv s="3">
    <v>385</v>
    <v>5</v>
    <v>C:\TEMP\Picture.SVG</v>
  </rv>
  <rv s="3">
    <v>386</v>
    <v>5</v>
    <v>C:\TEMP\Picture.SVG</v>
  </rv>
  <rv s="3">
    <v>387</v>
    <v>5</v>
    <v>C:\TEMP\Picture.SVG</v>
  </rv>
  <rv s="3">
    <v>388</v>
    <v>5</v>
    <v>C:\TEMP\Picture.SVG</v>
  </rv>
  <rv s="3">
    <v>389</v>
    <v>5</v>
    <v>C:\TEMP\Picture.SVG</v>
  </rv>
  <rv s="3">
    <v>390</v>
    <v>5</v>
    <v>C:\TEMP\Picture.SVG</v>
  </rv>
  <rv s="3">
    <v>391</v>
    <v>5</v>
    <v>C:\TEMP\Picture.SVG</v>
  </rv>
  <rv s="3">
    <v>392</v>
    <v>5</v>
    <v>C:\TEMP\Picture.SVG</v>
  </rv>
  <rv s="3">
    <v>393</v>
    <v>5</v>
    <v>C:\TEMP\Picture.SVG</v>
  </rv>
  <rv s="3">
    <v>394</v>
    <v>5</v>
    <v>C:\TEMP\Picture.SVG</v>
  </rv>
  <rv s="3">
    <v>395</v>
    <v>5</v>
    <v>C:\TEMP\Picture.SVG</v>
  </rv>
  <rv s="3">
    <v>396</v>
    <v>5</v>
    <v>C:\TEMP\Picture.SVG</v>
  </rv>
  <rv s="3">
    <v>397</v>
    <v>5</v>
    <v>C:\TEMP\Picture.SVG</v>
  </rv>
  <rv s="3">
    <v>398</v>
    <v>5</v>
    <v>C:\TEMP\Picture.SVG</v>
  </rv>
  <rv s="3">
    <v>399</v>
    <v>5</v>
    <v>C:\TEMP\Picture.SVG</v>
  </rv>
  <rv s="3">
    <v>400</v>
    <v>5</v>
    <v>C:\TEMP\Picture.SVG</v>
  </rv>
  <rv s="3">
    <v>401</v>
    <v>5</v>
    <v>C:\TEMP\Picture.SVG</v>
  </rv>
  <rv s="3">
    <v>402</v>
    <v>5</v>
    <v>C:\TEMP\Picture.SVG</v>
  </rv>
  <rv s="3">
    <v>403</v>
    <v>5</v>
    <v>C:\TEMP\Picture.SVG</v>
  </rv>
  <rv s="3">
    <v>404</v>
    <v>5</v>
    <v>C:\TEMP\Picture.SVG</v>
  </rv>
  <rv s="3">
    <v>405</v>
    <v>5</v>
    <v>C:\TEMP\Picture.SVG</v>
  </rv>
  <rv s="3">
    <v>406</v>
    <v>5</v>
    <v>C:\TEMP\Picture.SVG</v>
  </rv>
  <rv s="3">
    <v>407</v>
    <v>5</v>
    <v>C:\TEMP\Picture.SVG</v>
  </rv>
  <rv s="3">
    <v>408</v>
    <v>5</v>
    <v>C:\TEMP\Picture.SVG</v>
  </rv>
  <rv s="3">
    <v>409</v>
    <v>5</v>
    <v>C:\TEMP\Picture.SVG</v>
  </rv>
  <rv s="3">
    <v>410</v>
    <v>5</v>
    <v>C:\TEMP\Picture.SVG</v>
  </rv>
  <rv s="3">
    <v>411</v>
    <v>5</v>
    <v>C:\TEMP\Picture.SVG</v>
  </rv>
  <rv s="3">
    <v>412</v>
    <v>5</v>
    <v>C:\TEMP\Picture.SVG</v>
  </rv>
  <rv s="3">
    <v>413</v>
    <v>5</v>
    <v>C:\TEMP\Picture.SVG</v>
  </rv>
  <rv s="3">
    <v>414</v>
    <v>5</v>
    <v>C:\TEMP\Picture.SVG</v>
  </rv>
  <rv s="3">
    <v>415</v>
    <v>5</v>
    <v>C:\TEMP\Picture.SVG</v>
  </rv>
  <rv s="3">
    <v>416</v>
    <v>5</v>
    <v>C:\TEMP\Picture.SVG</v>
  </rv>
  <rv s="3">
    <v>417</v>
    <v>5</v>
    <v>C:\TEMP\Picture.SVG</v>
  </rv>
  <rv s="3">
    <v>418</v>
    <v>5</v>
    <v>C:\TEMP\Picture.SVG</v>
  </rv>
  <rv s="3">
    <v>419</v>
    <v>5</v>
    <v>C:\TEMP\Picture.SVG</v>
  </rv>
  <rv s="3">
    <v>420</v>
    <v>5</v>
    <v>C:\TEMP\Picture.SVG</v>
  </rv>
  <rv s="3">
    <v>421</v>
    <v>5</v>
    <v>C:\TEMP\Picture.SVG</v>
  </rv>
  <rv s="3">
    <v>422</v>
    <v>5</v>
    <v>C:\TEMP\Picture.SVG</v>
  </rv>
  <rv s="3">
    <v>423</v>
    <v>5</v>
    <v>C:\TEMP\Picture.SVG</v>
  </rv>
  <rv s="3">
    <v>424</v>
    <v>5</v>
    <v>C:\TEMP\Picture.SVG</v>
  </rv>
  <rv s="3">
    <v>425</v>
    <v>5</v>
    <v>C:\TEMP\Picture.SVG</v>
  </rv>
  <rv s="3">
    <v>426</v>
    <v>5</v>
    <v>C:\TEMP\Picture.SVG</v>
  </rv>
  <rv s="3">
    <v>427</v>
    <v>5</v>
    <v>C:\TEMP\Picture.SVG</v>
  </rv>
  <rv s="3">
    <v>428</v>
    <v>5</v>
    <v>C:\TEMP\Picture.SVG</v>
  </rv>
  <rv s="3">
    <v>429</v>
    <v>5</v>
    <v>C:\TEMP\Picture.SVG</v>
  </rv>
  <rv s="3">
    <v>430</v>
    <v>5</v>
    <v>C:\TEMP\Picture.SVG</v>
  </rv>
  <rv s="3">
    <v>431</v>
    <v>5</v>
    <v>C:\TEMP\Picture.SVG</v>
  </rv>
  <rv s="3">
    <v>432</v>
    <v>5</v>
    <v>C:\TEMP\Picture.SVG</v>
  </rv>
  <rv s="3">
    <v>433</v>
    <v>5</v>
    <v>C:\TEMP\Picture.SVG</v>
  </rv>
  <rv s="3">
    <v>434</v>
    <v>5</v>
    <v>C:\TEMP\Picture.SVG</v>
  </rv>
  <rv s="3">
    <v>435</v>
    <v>5</v>
    <v>C:\TEMP\Picture.SVG</v>
  </rv>
  <rv s="3">
    <v>436</v>
    <v>5</v>
    <v>C:\TEMP\Picture.SVG</v>
  </rv>
  <rv s="3">
    <v>437</v>
    <v>5</v>
    <v>C:\TEMP\Picture.SVG</v>
  </rv>
  <rv s="3">
    <v>438</v>
    <v>5</v>
    <v>C:\TEMP\Picture.SVG</v>
  </rv>
  <rv s="3">
    <v>439</v>
    <v>5</v>
    <v>C:\TEMP\Picture.SVG</v>
  </rv>
  <rv s="3">
    <v>440</v>
    <v>5</v>
    <v>C:\TEMP\Picture.SVG</v>
  </rv>
  <rv s="3">
    <v>441</v>
    <v>5</v>
    <v>C:\TEMP\Picture.SVG</v>
  </rv>
  <rv s="3">
    <v>442</v>
    <v>5</v>
    <v>C:\TEMP\Picture.SVG</v>
  </rv>
  <rv s="3">
    <v>443</v>
    <v>5</v>
    <v>C:\TEMP\Picture.SVG</v>
  </rv>
  <rv s="3">
    <v>444</v>
    <v>5</v>
    <v>C:\TEMP\Picture.SVG</v>
  </rv>
  <rv s="3">
    <v>445</v>
    <v>5</v>
    <v>C:\TEMP\Picture.SVG</v>
  </rv>
  <rv s="3">
    <v>446</v>
    <v>5</v>
    <v>C:\TEMP\Picture.SVG</v>
  </rv>
  <rv s="3">
    <v>447</v>
    <v>5</v>
    <v>C:\TEMP\Picture.SVG</v>
  </rv>
  <rv s="3">
    <v>448</v>
    <v>5</v>
    <v>C:\TEMP\Picture.SVG</v>
  </rv>
  <rv s="3">
    <v>449</v>
    <v>5</v>
    <v>C:\TEMP\Picture.SVG</v>
  </rv>
  <rv s="3">
    <v>450</v>
    <v>5</v>
    <v>C:\TEMP\Picture.SVG</v>
  </rv>
  <rv s="3">
    <v>451</v>
    <v>5</v>
    <v>C:\TEMP\Picture.SVG</v>
  </rv>
  <rv s="3">
    <v>452</v>
    <v>5</v>
    <v>C:\TEMP\Picture.SVG</v>
  </rv>
  <rv s="3">
    <v>453</v>
    <v>5</v>
    <v>C:\TEMP\Picture.SVG</v>
  </rv>
  <rv s="3">
    <v>454</v>
    <v>5</v>
    <v>C:\TEMP\Picture.SVG</v>
  </rv>
  <rv s="3">
    <v>455</v>
    <v>5</v>
    <v>C:\TEMP\Picture.SVG</v>
  </rv>
  <rv s="3">
    <v>456</v>
    <v>5</v>
    <v>C:\TEMP\Picture.SVG</v>
  </rv>
  <rv s="3">
    <v>457</v>
    <v>5</v>
    <v>C:\TEMP\Picture.SVG</v>
  </rv>
  <rv s="3">
    <v>458</v>
    <v>5</v>
    <v>C:\TEMP\Picture.SVG</v>
  </rv>
  <rv s="3">
    <v>459</v>
    <v>5</v>
    <v>C:\TEMP\Picture.SVG</v>
  </rv>
  <rv s="3">
    <v>460</v>
    <v>5</v>
    <v>C:\TEMP\Picture.SVG</v>
  </rv>
  <rv s="3">
    <v>461</v>
    <v>5</v>
    <v>C:\TEMP\Picture.SVG</v>
  </rv>
  <rv s="3">
    <v>462</v>
    <v>5</v>
    <v>C:\TEMP\Picture.SVG</v>
  </rv>
  <rv s="3">
    <v>463</v>
    <v>5</v>
    <v>C:\TEMP\Picture.SVG</v>
  </rv>
  <rv s="3">
    <v>464</v>
    <v>5</v>
    <v>C:\TEMP\Picture.SVG</v>
  </rv>
  <rv s="3">
    <v>465</v>
    <v>5</v>
    <v>C:\TEMP\Picture.SVG</v>
  </rv>
  <rv s="3">
    <v>466</v>
    <v>5</v>
    <v>C:\TEMP\Picture.SVG</v>
  </rv>
  <rv s="3">
    <v>467</v>
    <v>5</v>
    <v>C:\TEMP\Picture.SVG</v>
  </rv>
  <rv s="3">
    <v>468</v>
    <v>5</v>
    <v>C:\TEMP\Picture.SVG</v>
  </rv>
  <rv s="3">
    <v>469</v>
    <v>5</v>
    <v>C:\TEMP\Picture.SVG</v>
  </rv>
  <rv s="3">
    <v>470</v>
    <v>5</v>
    <v>C:\TEMP\Picture.SVG</v>
  </rv>
  <rv s="3">
    <v>471</v>
    <v>5</v>
    <v>C:\TEMP\Picture.SVG</v>
  </rv>
  <rv s="3">
    <v>472</v>
    <v>5</v>
    <v>C:\TEMP\Picture.SVG</v>
  </rv>
  <rv s="3">
    <v>473</v>
    <v>5</v>
    <v>C:\TEMP\Picture.SVG</v>
  </rv>
  <rv s="3">
    <v>474</v>
    <v>5</v>
    <v>C:\TEMP\Picture.SVG</v>
  </rv>
  <rv s="3">
    <v>475</v>
    <v>5</v>
    <v>C:\TEMP\Picture.SVG</v>
  </rv>
  <rv s="3">
    <v>476</v>
    <v>5</v>
    <v>C:\TEMP\Picture.SVG</v>
  </rv>
  <rv s="3">
    <v>477</v>
    <v>5</v>
    <v>C:\TEMP\Picture.SVG</v>
  </rv>
  <rv s="3">
    <v>478</v>
    <v>5</v>
    <v>C:\TEMP\Picture.SVG</v>
  </rv>
  <rv s="3">
    <v>479</v>
    <v>5</v>
    <v>C:\TEMP\Picture.SVG</v>
  </rv>
  <rv s="3">
    <v>480</v>
    <v>5</v>
    <v>C:\TEMP\Picture.SVG</v>
  </rv>
  <rv s="3">
    <v>481</v>
    <v>5</v>
    <v>C:\TEMP\Picture.SVG</v>
  </rv>
  <rv s="3">
    <v>482</v>
    <v>5</v>
    <v>C:\TEMP\Picture.SVG</v>
  </rv>
  <rv s="3">
    <v>483</v>
    <v>5</v>
    <v>C:\TEMP\Picture.SVG</v>
  </rv>
  <rv s="3">
    <v>484</v>
    <v>5</v>
    <v>C:\TEMP\Picture.SVG</v>
  </rv>
  <rv s="3">
    <v>485</v>
    <v>5</v>
    <v>C:\TEMP\Picture.SVG</v>
  </rv>
  <rv s="3">
    <v>486</v>
    <v>5</v>
    <v>C:\TEMP\Picture.SVG</v>
  </rv>
  <rv s="3">
    <v>487</v>
    <v>5</v>
    <v>C:\TEMP\Picture.SVG</v>
  </rv>
  <rv s="3">
    <v>488</v>
    <v>5</v>
    <v>C:\TEMP\Picture.SVG</v>
  </rv>
  <rv s="3">
    <v>489</v>
    <v>5</v>
    <v>C:\TEMP\Picture.SVG</v>
  </rv>
  <rv s="3">
    <v>490</v>
    <v>5</v>
    <v>C:\TEMP\Picture.SVG</v>
  </rv>
  <rv s="3">
    <v>491</v>
    <v>5</v>
    <v>C:\TEMP\Picture.SVG</v>
  </rv>
  <rv s="3">
    <v>492</v>
    <v>5</v>
    <v>C:\TEMP\Picture.SVG</v>
  </rv>
  <rv s="3">
    <v>493</v>
    <v>5</v>
    <v>C:\TEMP\Picture.SVG</v>
  </rv>
  <rv s="3">
    <v>494</v>
    <v>5</v>
    <v>C:\TEMP\Picture.SVG</v>
  </rv>
  <rv s="3">
    <v>495</v>
    <v>5</v>
    <v>C:\TEMP\Picture.SVG</v>
  </rv>
  <rv s="3">
    <v>496</v>
    <v>5</v>
    <v>C:\TEMP\Picture.SVG</v>
  </rv>
  <rv s="3">
    <v>497</v>
    <v>5</v>
    <v>C:\TEMP\Picture.SVG</v>
  </rv>
  <rv s="3">
    <v>498</v>
    <v>5</v>
    <v>C:\TEMP\Picture.SVG</v>
  </rv>
  <rv s="3">
    <v>499</v>
    <v>5</v>
    <v>C:\TEMP\Picture.SVG</v>
  </rv>
  <rv s="3">
    <v>500</v>
    <v>5</v>
    <v>C:\TEMP\Picture.SVG</v>
  </rv>
  <rv s="3">
    <v>501</v>
    <v>5</v>
    <v>C:\TEMP\Picture.SVG</v>
  </rv>
  <rv s="3">
    <v>502</v>
    <v>5</v>
    <v>C:\TEMP\Picture.SVG</v>
  </rv>
  <rv s="3">
    <v>503</v>
    <v>5</v>
    <v>C:\TEMP\Picture.SVG</v>
  </rv>
  <rv s="3">
    <v>504</v>
    <v>5</v>
    <v>C:\TEMP\Picture.SVG</v>
  </rv>
  <rv s="3">
    <v>505</v>
    <v>5</v>
    <v>C:\TEMP\Picture.SVG</v>
  </rv>
  <rv s="3">
    <v>506</v>
    <v>5</v>
    <v>C:\TEMP\Picture.SVG</v>
  </rv>
  <rv s="3">
    <v>507</v>
    <v>5</v>
    <v>C:\TEMP\Picture.SVG</v>
  </rv>
  <rv s="3">
    <v>508</v>
    <v>5</v>
    <v>C:\TEMP\Picture.SVG</v>
  </rv>
  <rv s="3">
    <v>509</v>
    <v>5</v>
    <v>C:\TEMP\Picture.SVG</v>
  </rv>
  <rv s="3">
    <v>510</v>
    <v>5</v>
    <v>C:\TEMP\Picture.SVG</v>
  </rv>
  <rv s="3">
    <v>511</v>
    <v>5</v>
    <v>C:\TEMP\Picture.SVG</v>
  </rv>
  <rv s="3">
    <v>512</v>
    <v>5</v>
    <v>C:\TEMP\Picture.SVG</v>
  </rv>
  <rv s="3">
    <v>513</v>
    <v>5</v>
    <v>C:\TEMP\Picture.SVG</v>
  </rv>
  <rv s="3">
    <v>514</v>
    <v>5</v>
    <v>C:\TEMP\Picture.SVG</v>
  </rv>
  <rv s="3">
    <v>515</v>
    <v>5</v>
    <v>C:\TEMP\Picture.SVG</v>
  </rv>
  <rv s="3">
    <v>516</v>
    <v>5</v>
    <v>C:\TEMP\Picture.SVG</v>
  </rv>
  <rv s="3">
    <v>517</v>
    <v>5</v>
    <v>C:\TEMP\Picture.SVG</v>
  </rv>
  <rv s="3">
    <v>518</v>
    <v>5</v>
    <v>C:\TEMP\Picture.SVG</v>
  </rv>
  <rv s="3">
    <v>519</v>
    <v>5</v>
    <v>C:\TEMP\Picture.SVG</v>
  </rv>
  <rv s="3">
    <v>520</v>
    <v>5</v>
    <v>C:\TEMP\Picture.SVG</v>
  </rv>
  <rv s="3">
    <v>521</v>
    <v>5</v>
    <v>C:\TEMP\Picture.SVG</v>
  </rv>
  <rv s="3">
    <v>522</v>
    <v>5</v>
    <v>C:\TEMP\Picture.SVG</v>
  </rv>
  <rv s="3">
    <v>523</v>
    <v>5</v>
    <v>C:\TEMP\Picture.SVG</v>
  </rv>
  <rv s="3">
    <v>524</v>
    <v>5</v>
    <v>C:\TEMP\Picture.SVG</v>
  </rv>
  <rv s="3">
    <v>525</v>
    <v>5</v>
    <v>C:\TEMP\Picture.SVG</v>
  </rv>
  <rv s="3">
    <v>526</v>
    <v>5</v>
    <v>C:\TEMP\Picture.SVG</v>
  </rv>
  <rv s="3">
    <v>527</v>
    <v>5</v>
    <v>C:\TEMP\Picture.SVG</v>
  </rv>
  <rv s="3">
    <v>528</v>
    <v>5</v>
    <v>C:\TEMP\Picture.SVG</v>
  </rv>
  <rv s="3">
    <v>529</v>
    <v>5</v>
    <v>C:\TEMP\Picture.SVG</v>
  </rv>
  <rv s="3">
    <v>530</v>
    <v>5</v>
    <v>C:\TEMP\Picture.SVG</v>
  </rv>
  <rv s="3">
    <v>531</v>
    <v>5</v>
    <v>C:\TEMP\Picture.SVG</v>
  </rv>
  <rv s="3">
    <v>532</v>
    <v>5</v>
    <v>C:\TEMP\Picture.SVG</v>
  </rv>
  <rv s="3">
    <v>533</v>
    <v>5</v>
    <v>C:\TEMP\Picture.SVG</v>
  </rv>
  <rv s="3">
    <v>534</v>
    <v>5</v>
    <v>C:\TEMP\Picture.SVG</v>
  </rv>
  <rv s="3">
    <v>535</v>
    <v>5</v>
    <v>C:\TEMP\Picture.SVG</v>
  </rv>
  <rv s="3">
    <v>536</v>
    <v>5</v>
    <v>C:\TEMP\Picture.SVG</v>
  </rv>
  <rv s="3">
    <v>537</v>
    <v>5</v>
    <v>C:\TEMP\Picture.SVG</v>
  </rv>
  <rv s="3">
    <v>538</v>
    <v>5</v>
    <v>C:\TEMP\Picture.SVG</v>
  </rv>
  <rv s="3">
    <v>539</v>
    <v>5</v>
    <v>C:\TEMP\Picture.SVG</v>
  </rv>
  <rv s="3">
    <v>540</v>
    <v>5</v>
    <v>C:\TEMP\Picture.SVG</v>
  </rv>
  <rv s="3">
    <v>541</v>
    <v>5</v>
    <v>C:\TEMP\Picture.SVG</v>
  </rv>
  <rv s="3">
    <v>542</v>
    <v>5</v>
    <v>C:\TEMP\Picture.SVG</v>
  </rv>
  <rv s="3">
    <v>543</v>
    <v>5</v>
    <v>C:\TEMP\Picture.SVG</v>
  </rv>
  <rv s="3">
    <v>544</v>
    <v>5</v>
    <v>C:\TEMP\Picture.SVG</v>
  </rv>
  <rv s="3">
    <v>545</v>
    <v>5</v>
    <v>C:\TEMP\Picture.SVG</v>
  </rv>
  <rv s="3">
    <v>546</v>
    <v>5</v>
    <v>C:\TEMP\Picture.SVG</v>
  </rv>
  <rv s="3">
    <v>547</v>
    <v>5</v>
    <v>C:\TEMP\Picture.SVG</v>
  </rv>
  <rv s="3">
    <v>548</v>
    <v>5</v>
    <v>C:\TEMP\Picture.SVG</v>
  </rv>
  <rv s="3">
    <v>549</v>
    <v>5</v>
    <v>C:\TEMP\Picture.SVG</v>
  </rv>
  <rv s="3">
    <v>550</v>
    <v>5</v>
    <v>C:\TEMP\Picture.SVG</v>
  </rv>
  <rv s="3">
    <v>551</v>
    <v>5</v>
    <v>C:\TEMP\Picture.SVG</v>
  </rv>
  <rv s="3">
    <v>552</v>
    <v>5</v>
    <v>C:\TEMP\Picture.SVG</v>
  </rv>
  <rv s="3">
    <v>553</v>
    <v>5</v>
    <v>C:\TEMP\Picture.SVG</v>
  </rv>
  <rv s="3">
    <v>554</v>
    <v>5</v>
    <v>C:\TEMP\Picture.SVG</v>
  </rv>
  <rv s="3">
    <v>555</v>
    <v>5</v>
    <v>C:\TEMP\Picture.SVG</v>
  </rv>
  <rv s="3">
    <v>556</v>
    <v>5</v>
    <v>C:\TEMP\Picture.SVG</v>
  </rv>
  <rv s="3">
    <v>557</v>
    <v>5</v>
    <v>C:\TEMP\Picture.SVG</v>
  </rv>
  <rv s="3">
    <v>558</v>
    <v>5</v>
    <v>C:\TEMP\Picture.SVG</v>
  </rv>
  <rv s="3">
    <v>559</v>
    <v>5</v>
    <v>C:\TEMP\Picture.SVG</v>
  </rv>
  <rv s="3">
    <v>560</v>
    <v>5</v>
    <v>C:\TEMP\Picture.SVG</v>
  </rv>
  <rv s="3">
    <v>561</v>
    <v>5</v>
    <v>C:\TEMP\Picture.SVG</v>
  </rv>
  <rv s="3">
    <v>562</v>
    <v>5</v>
    <v>C:\TEMP\Picture.SVG</v>
  </rv>
  <rv s="3">
    <v>563</v>
    <v>5</v>
    <v>C:\TEMP\Picture.SVG</v>
  </rv>
  <rv s="3">
    <v>564</v>
    <v>5</v>
    <v>C:\TEMP\Picture.SVG</v>
  </rv>
  <rv s="3">
    <v>565</v>
    <v>5</v>
    <v>C:\TEMP\Picture.SVG</v>
  </rv>
  <rv s="3">
    <v>566</v>
    <v>5</v>
    <v>C:\TEMP\Picture.SVG</v>
  </rv>
  <rv s="3">
    <v>567</v>
    <v>5</v>
    <v>C:\TEMP\Picture.SVG</v>
  </rv>
  <rv s="3">
    <v>568</v>
    <v>5</v>
    <v>C:\TEMP\Picture.SVG</v>
  </rv>
  <rv s="3">
    <v>569</v>
    <v>5</v>
    <v>C:\TEMP\Picture.SVG</v>
  </rv>
  <rv s="3">
    <v>570</v>
    <v>5</v>
    <v>C:\TEMP\Picture.SVG</v>
  </rv>
  <rv s="3">
    <v>571</v>
    <v>5</v>
    <v>C:\TEMP\Picture.SVG</v>
  </rv>
  <rv s="3">
    <v>572</v>
    <v>5</v>
    <v>C:\TEMP\Picture.SVG</v>
  </rv>
  <rv s="3">
    <v>573</v>
    <v>5</v>
    <v>C:\TEMP\Picture.SVG</v>
  </rv>
  <rv s="3">
    <v>574</v>
    <v>5</v>
    <v>C:\TEMP\Picture.SVG</v>
  </rv>
  <rv s="3">
    <v>575</v>
    <v>5</v>
    <v>C:\TEMP\Picture.SVG</v>
  </rv>
  <rv s="3">
    <v>576</v>
    <v>5</v>
    <v>C:\TEMP\Picture.SVG</v>
  </rv>
  <rv s="3">
    <v>577</v>
    <v>5</v>
    <v>C:\TEMP\Picture.SVG</v>
  </rv>
  <rv s="3">
    <v>578</v>
    <v>5</v>
    <v>C:\TEMP\Picture.SVG</v>
  </rv>
  <rv s="3">
    <v>579</v>
    <v>5</v>
    <v>C:\TEMP\Picture.SVG</v>
  </rv>
  <rv s="3">
    <v>580</v>
    <v>5</v>
    <v>C:\TEMP\Picture.SVG</v>
  </rv>
  <rv s="3">
    <v>581</v>
    <v>5</v>
    <v>C:\TEMP\Picture.SVG</v>
  </rv>
  <rv s="3">
    <v>582</v>
    <v>5</v>
    <v>C:\TEMP\Picture.SVG</v>
  </rv>
  <rv s="3">
    <v>583</v>
    <v>5</v>
    <v>C:\TEMP\Picture.SVG</v>
  </rv>
  <rv s="3">
    <v>584</v>
    <v>5</v>
    <v>C:\TEMP\Picture.SVG</v>
  </rv>
  <rv s="3">
    <v>250</v>
    <v>5</v>
    <v>C:\TEMP\Picture.SVG</v>
  </rv>
  <rv s="3">
    <v>585</v>
    <v>5</v>
    <v>C:\TEMP\Picture.SVG</v>
  </rv>
  <rv s="3">
    <v>586</v>
    <v>5</v>
    <v>C:\TEMP\Picture.SVG</v>
  </rv>
  <rv s="3">
    <v>587</v>
    <v>5</v>
    <v>C:\TEMP\Picture.SVG</v>
  </rv>
  <rv s="3">
    <v>588</v>
    <v>5</v>
    <v>C:\TEMP\Picture.SVG</v>
  </rv>
  <rv s="3">
    <v>589</v>
    <v>5</v>
    <v>C:\TEMP\Picture.SVG</v>
  </rv>
  <rv s="3">
    <v>590</v>
    <v>5</v>
    <v>C:\TEMP\Picture.SVG</v>
  </rv>
  <rv s="3">
    <v>591</v>
    <v>5</v>
    <v>C:\TEMP\Picture.SVG</v>
  </rv>
  <rv s="3">
    <v>592</v>
    <v>5</v>
    <v>C:\TEMP\Picture.SVG</v>
  </rv>
  <rv s="3">
    <v>593</v>
    <v>5</v>
    <v>C:\TEMP\Picture.SVG</v>
  </rv>
  <rv s="3">
    <v>594</v>
    <v>5</v>
    <v>C:\TEMP\Picture.SVG</v>
  </rv>
  <rv s="3">
    <v>595</v>
    <v>5</v>
    <v>C:\TEMP\Picture.SVG</v>
  </rv>
  <rv s="3">
    <v>596</v>
    <v>5</v>
    <v>C:\TEMP\Picture.SVG</v>
  </rv>
  <rv s="3">
    <v>597</v>
    <v>5</v>
    <v>C:\TEMP\Picture.SVG</v>
  </rv>
  <rv s="3">
    <v>598</v>
    <v>5</v>
    <v>C:\TEMP\Picture.SVG</v>
  </rv>
  <rv s="3">
    <v>599</v>
    <v>5</v>
    <v>C:\TEMP\Picture.SVG</v>
  </rv>
  <rv s="3">
    <v>600</v>
    <v>5</v>
    <v>C:\TEMP\Picture.SVG</v>
  </rv>
  <rv s="3">
    <v>601</v>
    <v>5</v>
    <v>C:\TEMP\Picture.SVG</v>
  </rv>
  <rv s="3">
    <v>602</v>
    <v>5</v>
    <v>C:\TEMP\Picture.SVG</v>
  </rv>
  <rv s="3">
    <v>603</v>
    <v>5</v>
    <v>C:\TEMP\Picture.SVG</v>
  </rv>
  <rv s="3">
    <v>604</v>
    <v>5</v>
    <v>C:\TEMP\Picture.SVG</v>
  </rv>
  <rv s="3">
    <v>605</v>
    <v>5</v>
    <v>C:\TEMP\Picture.SVG</v>
  </rv>
  <rv s="3">
    <v>606</v>
    <v>5</v>
    <v>C:\TEMP\Picture.SVG</v>
  </rv>
  <rv s="3">
    <v>607</v>
    <v>5</v>
    <v>C:\TEMP\Picture.SVG</v>
  </rv>
  <rv s="3">
    <v>608</v>
    <v>5</v>
    <v>C:\TEMP\Picture.SVG</v>
  </rv>
  <rv s="3">
    <v>609</v>
    <v>5</v>
    <v>C:\TEMP\Picture.SVG</v>
  </rv>
  <rv s="3">
    <v>610</v>
    <v>5</v>
    <v>C:\TEMP\Picture.SVG</v>
  </rv>
  <rv s="3">
    <v>611</v>
    <v>5</v>
    <v>C:\TEMP\Picture.SVG</v>
  </rv>
  <rv s="3">
    <v>612</v>
    <v>5</v>
    <v>C:\TEMP\Picture.SVG</v>
  </rv>
  <rv s="3">
    <v>613</v>
    <v>5</v>
    <v>C:\TEMP\Picture.SVG</v>
  </rv>
  <rv s="3">
    <v>614</v>
    <v>5</v>
    <v>C:\TEMP\Picture.SVG</v>
  </rv>
  <rv s="3">
    <v>615</v>
    <v>5</v>
    <v>C:\TEMP\Picture.SVG</v>
  </rv>
  <rv s="3">
    <v>616</v>
    <v>5</v>
    <v>C:\TEMP\Picture.SVG</v>
  </rv>
  <rv s="3">
    <v>617</v>
    <v>5</v>
    <v>C:\TEMP\Picture.SVG</v>
  </rv>
  <rv s="3">
    <v>618</v>
    <v>5</v>
    <v>C:\TEMP\Picture.SVG</v>
  </rv>
  <rv s="3">
    <v>619</v>
    <v>5</v>
    <v>C:\TEMP\Picture.SVG</v>
  </rv>
  <rv s="3">
    <v>620</v>
    <v>5</v>
    <v>C:\TEMP\Picture.SVG</v>
  </rv>
  <rv s="3">
    <v>621</v>
    <v>5</v>
    <v>C:\TEMP\Picture.SVG</v>
  </rv>
  <rv s="3">
    <v>622</v>
    <v>5</v>
    <v>C:\TEMP\Picture.SVG</v>
  </rv>
  <rv s="3">
    <v>623</v>
    <v>5</v>
    <v>C:\TEMP\Picture.SVG</v>
  </rv>
  <rv s="3">
    <v>624</v>
    <v>5</v>
    <v>C:\TEMP\Picture.SVG</v>
  </rv>
  <rv s="3">
    <v>625</v>
    <v>5</v>
    <v>C:\TEMP\Picture.SVG</v>
  </rv>
  <rv s="3">
    <v>626</v>
    <v>5</v>
    <v>C:\TEMP\Picture.SVG</v>
  </rv>
  <rv s="3">
    <v>627</v>
    <v>5</v>
    <v>C:\TEMP\Picture.SVG</v>
  </rv>
  <rv s="3">
    <v>628</v>
    <v>5</v>
    <v>C:\TEMP\Picture.SVG</v>
  </rv>
  <rv s="3">
    <v>629</v>
    <v>5</v>
    <v>C:\TEMP\Picture.SVG</v>
  </rv>
  <rv s="3">
    <v>630</v>
    <v>5</v>
    <v>C:\TEMP\Picture.SVG</v>
  </rv>
  <rv s="3">
    <v>631</v>
    <v>5</v>
    <v>C:\TEMP\Picture.SVG</v>
  </rv>
  <rv s="3">
    <v>632</v>
    <v>5</v>
    <v>C:\TEMP\Picture.SVG</v>
  </rv>
  <rv s="3">
    <v>633</v>
    <v>5</v>
    <v>C:\TEMP\Picture.SVG</v>
  </rv>
  <rv s="3">
    <v>634</v>
    <v>5</v>
    <v>C:\TEMP\Picture.SVG</v>
  </rv>
  <rv s="3">
    <v>635</v>
    <v>5</v>
    <v>C:\TEMP\Picture.SVG</v>
  </rv>
  <rv s="3">
    <v>636</v>
    <v>5</v>
    <v>C:\TEMP\Picture.SVG</v>
  </rv>
  <rv s="3">
    <v>637</v>
    <v>5</v>
    <v>C:\TEMP\Picture.SVG</v>
  </rv>
  <rv s="3">
    <v>638</v>
    <v>5</v>
    <v>C:\TEMP\Picture.SVG</v>
  </rv>
  <rv s="3">
    <v>639</v>
    <v>5</v>
    <v>C:\TEMP\Picture.SVG</v>
  </rv>
  <rv s="3">
    <v>640</v>
    <v>5</v>
    <v>C:\TEMP\Picture.SVG</v>
  </rv>
  <rv s="3">
    <v>641</v>
    <v>5</v>
    <v>C:\TEMP\Picture.SVG</v>
  </rv>
  <rv s="3">
    <v>642</v>
    <v>5</v>
    <v>C:\TEMP\Picture.SVG</v>
  </rv>
  <rv s="3">
    <v>643</v>
    <v>5</v>
    <v>C:\TEMP\Picture.SVG</v>
  </rv>
  <rv s="3">
    <v>644</v>
    <v>5</v>
    <v>C:\TEMP\Picture.SVG</v>
  </rv>
  <rv s="3">
    <v>645</v>
    <v>5</v>
    <v>C:\TEMP\Picture.SVG</v>
  </rv>
  <rv s="3">
    <v>646</v>
    <v>5</v>
    <v>C:\TEMP\Picture.SVG</v>
  </rv>
  <rv s="3">
    <v>647</v>
    <v>5</v>
    <v>C:\TEMP\Picture.SVG</v>
  </rv>
  <rv s="3">
    <v>648</v>
    <v>5</v>
    <v>C:\TEMP\Picture.SVG</v>
  </rv>
  <rv s="3">
    <v>649</v>
    <v>5</v>
    <v>C:\TEMP\Picture.SVG</v>
  </rv>
  <rv s="3">
    <v>650</v>
    <v>5</v>
    <v>C:\TEMP\Picture.SVG</v>
  </rv>
  <rv s="3">
    <v>651</v>
    <v>5</v>
    <v>C:\TEMP\Picture.SVG</v>
  </rv>
  <rv s="3">
    <v>652</v>
    <v>5</v>
    <v>C:\TEMP\Picture.SVG</v>
  </rv>
  <rv s="3">
    <v>653</v>
    <v>5</v>
    <v>C:\TEMP\Picture.SVG</v>
  </rv>
  <rv s="3">
    <v>654</v>
    <v>5</v>
    <v>C:\TEMP\Picture.SVG</v>
  </rv>
  <rv s="3">
    <v>655</v>
    <v>5</v>
    <v>C:\TEMP\Picture.SVG</v>
  </rv>
  <rv s="3">
    <v>656</v>
    <v>5</v>
    <v>C:\TEMP\Picture.SVG</v>
  </rv>
  <rv s="3">
    <v>657</v>
    <v>5</v>
    <v>C:\TEMP\Picture.SVG</v>
  </rv>
  <rv s="3">
    <v>658</v>
    <v>5</v>
    <v>C:\TEMP\Picture.SVG</v>
  </rv>
  <rv s="3">
    <v>659</v>
    <v>5</v>
    <v>C:\TEMP\Picture.SVG</v>
  </rv>
  <rv s="3">
    <v>660</v>
    <v>5</v>
    <v>C:\TEMP\Picture.SVG</v>
  </rv>
  <rv s="3">
    <v>661</v>
    <v>5</v>
    <v>C:\TEMP\Picture.SVG</v>
  </rv>
  <rv s="3">
    <v>662</v>
    <v>5</v>
    <v>C:\TEMP\Picture.SVG</v>
  </rv>
  <rv s="3">
    <v>663</v>
    <v>5</v>
    <v>C:\TEMP\Picture.SVG</v>
  </rv>
  <rv s="3">
    <v>664</v>
    <v>5</v>
    <v>C:\TEMP\Picture.SVG</v>
  </rv>
  <rv s="3">
    <v>665</v>
    <v>5</v>
    <v>C:\TEMP\Picture.SVG</v>
  </rv>
  <rv s="3">
    <v>666</v>
    <v>5</v>
    <v>C:\TEMP\Picture.SVG</v>
  </rv>
  <rv s="3">
    <v>667</v>
    <v>5</v>
    <v>C:\TEMP\Picture.SVG</v>
  </rv>
  <rv s="3">
    <v>668</v>
    <v>5</v>
    <v>C:\TEMP\Picture.SVG</v>
  </rv>
  <rv s="3">
    <v>669</v>
    <v>5</v>
    <v>C:\TEMP\Picture.SVG</v>
  </rv>
  <rv s="3">
    <v>670</v>
    <v>5</v>
    <v>C:\TEMP\Picture.SVG</v>
  </rv>
  <rv s="3">
    <v>671</v>
    <v>5</v>
    <v>C:\TEMP\Picture.SVG</v>
  </rv>
  <rv s="3">
    <v>672</v>
    <v>5</v>
    <v>C:\TEMP\Picture.SVG</v>
  </rv>
  <rv s="3">
    <v>673</v>
    <v>5</v>
    <v>C:\TEMP\Picture.SVG</v>
  </rv>
  <rv s="3">
    <v>674</v>
    <v>5</v>
    <v>C:\TEMP\Picture.SVG</v>
  </rv>
  <rv s="3">
    <v>675</v>
    <v>5</v>
    <v>C:\TEMP\Picture.SVG</v>
  </rv>
  <rv s="3">
    <v>676</v>
    <v>5</v>
    <v>C:\TEMP\Picture.SVG</v>
  </rv>
  <rv s="3">
    <v>677</v>
    <v>5</v>
    <v>C:\TEMP\Picture.SVG</v>
  </rv>
  <rv s="3">
    <v>678</v>
    <v>5</v>
    <v>C:\TEMP\Picture.SVG</v>
  </rv>
  <rv s="3">
    <v>679</v>
    <v>5</v>
    <v>C:\TEMP\Picture.SVG</v>
  </rv>
  <rv s="3">
    <v>680</v>
    <v>5</v>
    <v>C:\TEMP\Picture.SVG</v>
  </rv>
  <rv s="3">
    <v>681</v>
    <v>5</v>
    <v>C:\TEMP\Picture.SVG</v>
  </rv>
  <rv s="3">
    <v>682</v>
    <v>5</v>
    <v>C:\TEMP\Picture.SVG</v>
  </rv>
  <rv s="3">
    <v>683</v>
    <v>5</v>
    <v>C:\TEMP\Picture.SVG</v>
  </rv>
  <rv s="3">
    <v>684</v>
    <v>5</v>
    <v>C:\TEMP\Picture.SVG</v>
  </rv>
  <rv s="3">
    <v>685</v>
    <v>5</v>
    <v>C:\TEMP\Picture.SVG</v>
  </rv>
  <rv s="3">
    <v>686</v>
    <v>5</v>
    <v>C:\TEMP\Picture.SVG</v>
  </rv>
  <rv s="3">
    <v>687</v>
    <v>5</v>
    <v>C:\TEMP\Picture.SVG</v>
  </rv>
  <rv s="3">
    <v>688</v>
    <v>5</v>
    <v>C:\TEMP\Picture.SVG</v>
  </rv>
  <rv s="3">
    <v>689</v>
    <v>5</v>
    <v>C:\TEMP\Picture.SVG</v>
  </rv>
  <rv s="3">
    <v>690</v>
    <v>5</v>
    <v>C:\TEMP\Picture.SVG</v>
  </rv>
  <rv s="3">
    <v>691</v>
    <v>5</v>
    <v>C:\TEMP\Picture.SVG</v>
  </rv>
  <rv s="3">
    <v>692</v>
    <v>5</v>
    <v>C:\TEMP\Picture.SVG</v>
  </rv>
  <rv s="3">
    <v>693</v>
    <v>5</v>
    <v>C:\TEMP\Picture.SVG</v>
  </rv>
  <rv s="3">
    <v>694</v>
    <v>5</v>
    <v>C:\TEMP\Picture.SVG</v>
  </rv>
  <rv s="3">
    <v>695</v>
    <v>5</v>
    <v>C:\TEMP\Picture.SVG</v>
  </rv>
  <rv s="3">
    <v>696</v>
    <v>5</v>
    <v>C:\TEMP\Picture.SVG</v>
  </rv>
  <rv s="3">
    <v>697</v>
    <v>5</v>
    <v>C:\TEMP\Picture.SVG</v>
  </rv>
  <rv s="3">
    <v>698</v>
    <v>5</v>
    <v>C:\TEMP\Picture.SVG</v>
  </rv>
  <rv s="3">
    <v>699</v>
    <v>5</v>
    <v>C:\TEMP\Picture.SVG</v>
  </rv>
  <rv s="3">
    <v>700</v>
    <v>5</v>
    <v>C:\TEMP\Picture.SVG</v>
  </rv>
  <rv s="3">
    <v>701</v>
    <v>5</v>
    <v>C:\TEMP\Picture.SVG</v>
  </rv>
  <rv s="3">
    <v>702</v>
    <v>5</v>
    <v>C:\TEMP\Picture.SVG</v>
  </rv>
  <rv s="3">
    <v>703</v>
    <v>5</v>
    <v>C:\TEMP\Picture.SVG</v>
  </rv>
  <rv s="3">
    <v>704</v>
    <v>5</v>
    <v>C:\TEMP\Picture.SVG</v>
  </rv>
  <rv s="3">
    <v>705</v>
    <v>5</v>
    <v>C:\TEMP\Picture.SVG</v>
  </rv>
  <rv s="3">
    <v>706</v>
    <v>5</v>
    <v>C:\TEMP\Picture.SVG</v>
  </rv>
  <rv s="3">
    <v>707</v>
    <v>5</v>
    <v>C:\TEMP\Picture.SVG</v>
  </rv>
  <rv s="3">
    <v>708</v>
    <v>5</v>
    <v>C:\TEMP\Picture.SVG</v>
  </rv>
  <rv s="3">
    <v>709</v>
    <v>5</v>
    <v>C:\TEMP\Picture.SVG</v>
  </rv>
  <rv s="3">
    <v>710</v>
    <v>5</v>
    <v>C:\TEMP\Picture.SVG</v>
  </rv>
  <rv s="3">
    <v>711</v>
    <v>5</v>
    <v>C:\TEMP\Picture.SVG</v>
  </rv>
  <rv s="3">
    <v>712</v>
    <v>5</v>
    <v>C:\TEMP\Picture.SVG</v>
  </rv>
  <rv s="3">
    <v>713</v>
    <v>5</v>
    <v>C:\TEMP\Picture.SVG</v>
  </rv>
  <rv s="3">
    <v>714</v>
    <v>5</v>
    <v>C:\TEMP\Picture.SVG</v>
  </rv>
  <rv s="3">
    <v>715</v>
    <v>5</v>
    <v>C:\TEMP\Picture.SVG</v>
  </rv>
  <rv s="3">
    <v>716</v>
    <v>5</v>
    <v>C:\TEMP\Picture.SVG</v>
  </rv>
  <rv s="3">
    <v>717</v>
    <v>5</v>
    <v>C:\TEMP\Picture.SVG</v>
  </rv>
  <rv s="3">
    <v>718</v>
    <v>5</v>
    <v>C:\TEMP\Picture.SVG</v>
  </rv>
  <rv s="3">
    <v>719</v>
    <v>5</v>
    <v>C:\TEMP\Picture.SVG</v>
  </rv>
  <rv s="3">
    <v>720</v>
    <v>5</v>
    <v>C:\TEMP\Picture.SVG</v>
  </rv>
  <rv s="3">
    <v>721</v>
    <v>5</v>
    <v>C:\TEMP\Picture.SVG</v>
  </rv>
  <rv s="3">
    <v>722</v>
    <v>5</v>
    <v>C:\TEMP\Picture.SVG</v>
  </rv>
  <rv s="3">
    <v>723</v>
    <v>5</v>
    <v>C:\TEMP\Picture.SVG</v>
  </rv>
  <rv s="3">
    <v>724</v>
    <v>5</v>
    <v>C:\TEMP\Picture.SVG</v>
  </rv>
  <rv s="3">
    <v>725</v>
    <v>5</v>
    <v>C:\TEMP\Picture.SVG</v>
  </rv>
  <rv s="3">
    <v>726</v>
    <v>5</v>
    <v>C:\TEMP\Picture.SVG</v>
  </rv>
  <rv s="3">
    <v>727</v>
    <v>5</v>
    <v>C:\TEMP\Picture.SVG</v>
  </rv>
  <rv s="3">
    <v>728</v>
    <v>5</v>
    <v>C:\TEMP\Picture.SVG</v>
  </rv>
  <rv s="3">
    <v>729</v>
    <v>5</v>
    <v>C:\TEMP\Picture.SVG</v>
  </rv>
  <rv s="3">
    <v>730</v>
    <v>5</v>
    <v>C:\TEMP\Picture.SVG</v>
  </rv>
  <rv s="3">
    <v>731</v>
    <v>5</v>
    <v>C:\TEMP\Picture.SVG</v>
  </rv>
  <rv s="3">
    <v>732</v>
    <v>5</v>
    <v>C:\TEMP\Picture.SVG</v>
  </rv>
  <rv s="3">
    <v>733</v>
    <v>5</v>
    <v>C:\TEMP\Picture.SVG</v>
  </rv>
  <rv s="3">
    <v>734</v>
    <v>5</v>
    <v>C:\TEMP\Picture.SVG</v>
  </rv>
  <rv s="3">
    <v>735</v>
    <v>5</v>
    <v>C:\TEMP\Picture.SVG</v>
  </rv>
  <rv s="3">
    <v>736</v>
    <v>5</v>
    <v>C:\TEMP\Picture.SVG</v>
  </rv>
  <rv s="3">
    <v>737</v>
    <v>5</v>
    <v>C:\TEMP\Picture.SVG</v>
  </rv>
  <rv s="3">
    <v>738</v>
    <v>5</v>
    <v>C:\TEMP\Picture.SVG</v>
  </rv>
  <rv s="3">
    <v>739</v>
    <v>5</v>
    <v>C:\TEMP\Picture.SVG</v>
  </rv>
  <rv s="3">
    <v>740</v>
    <v>5</v>
    <v>C:\TEMP\Picture.SVG</v>
  </rv>
  <rv s="3">
    <v>741</v>
    <v>5</v>
    <v>C:\TEMP\Picture.SVG</v>
  </rv>
  <rv s="3">
    <v>742</v>
    <v>5</v>
    <v>C:\TEMP\Picture.SVG</v>
  </rv>
  <rv s="3">
    <v>743</v>
    <v>5</v>
    <v>C:\TEMP\Picture.SVG</v>
  </rv>
  <rv s="3">
    <v>744</v>
    <v>5</v>
    <v>C:\TEMP\Picture.SVG</v>
  </rv>
  <rv s="3">
    <v>745</v>
    <v>5</v>
    <v>C:\TEMP\Picture.SVG</v>
  </rv>
  <rv s="3">
    <v>746</v>
    <v>5</v>
    <v>C:\TEMP\Picture.SVG</v>
  </rv>
  <rv s="3">
    <v>747</v>
    <v>5</v>
    <v>C:\TEMP\Picture.SVG</v>
  </rv>
  <rv s="3">
    <v>748</v>
    <v>5</v>
    <v>C:\TEMP\Picture.SVG</v>
  </rv>
  <rv s="3">
    <v>749</v>
    <v>5</v>
    <v>C:\TEMP\Picture.SVG</v>
  </rv>
  <rv s="3">
    <v>750</v>
    <v>5</v>
    <v>C:\TEMP\Picture.SVG</v>
  </rv>
  <rv s="3">
    <v>751</v>
    <v>5</v>
    <v>C:\TEMP\Picture.SVG</v>
  </rv>
  <rv s="3">
    <v>752</v>
    <v>5</v>
    <v>C:\TEMP\Picture.SVG</v>
  </rv>
  <rv s="3">
    <v>753</v>
    <v>5</v>
    <v>C:\TEMP\Picture.SVG</v>
  </rv>
  <rv s="3">
    <v>754</v>
    <v>5</v>
    <v>C:\TEMP\Picture.SVG</v>
  </rv>
  <rv s="3">
    <v>755</v>
    <v>5</v>
    <v>C:\TEMP\Picture.SVG</v>
  </rv>
  <rv s="3">
    <v>756</v>
    <v>5</v>
    <v>C:\TEMP\Picture.SVG</v>
  </rv>
  <rv s="3">
    <v>757</v>
    <v>5</v>
    <v>C:\TEMP\Picture.SVG</v>
  </rv>
  <rv s="3">
    <v>758</v>
    <v>5</v>
    <v>C:\TEMP\Picture.SVG</v>
  </rv>
  <rv s="3">
    <v>759</v>
    <v>5</v>
    <v>C:\TEMP\Picture.SVG</v>
  </rv>
  <rv s="3">
    <v>760</v>
    <v>5</v>
    <v>C:\TEMP\Picture.SVG</v>
  </rv>
  <rv s="3">
    <v>761</v>
    <v>5</v>
    <v>C:\TEMP\Picture.SVG</v>
  </rv>
  <rv s="3">
    <v>762</v>
    <v>5</v>
    <v>C:\TEMP\Picture.SVG</v>
  </rv>
  <rv s="3">
    <v>763</v>
    <v>5</v>
    <v>C:\TEMP\Picture.SVG</v>
  </rv>
  <rv s="3">
    <v>764</v>
    <v>5</v>
    <v>C:\TEMP\Picture.SVG</v>
  </rv>
  <rv s="3">
    <v>765</v>
    <v>5</v>
    <v>C:\TEMP\Picture.SVG</v>
  </rv>
  <rv s="3">
    <v>766</v>
    <v>5</v>
    <v>C:\TEMP\Picture.SVG</v>
  </rv>
  <rv s="3">
    <v>767</v>
    <v>5</v>
    <v>C:\TEMP\Picture.SVG</v>
  </rv>
  <rv s="3">
    <v>768</v>
    <v>5</v>
    <v>C:\TEMP\Picture.SVG</v>
  </rv>
  <rv s="3">
    <v>769</v>
    <v>5</v>
    <v>C:\TEMP\Picture.SVG</v>
  </rv>
  <rv s="3">
    <v>770</v>
    <v>5</v>
    <v>C:\TEMP\Picture.SVG</v>
  </rv>
  <rv s="3">
    <v>771</v>
    <v>5</v>
    <v>C:\TEMP\Picture.SVG</v>
  </rv>
  <rv s="3">
    <v>772</v>
    <v>5</v>
    <v>C:\TEMP\Picture.SVG</v>
  </rv>
  <rv s="3">
    <v>773</v>
    <v>5</v>
    <v>C:\TEMP\Picture.SVG</v>
  </rv>
  <rv s="3">
    <v>774</v>
    <v>5</v>
    <v>C:\TEMP\Picture.SVG</v>
  </rv>
  <rv s="3">
    <v>775</v>
    <v>5</v>
    <v>C:\TEMP\Picture.SVG</v>
  </rv>
  <rv s="3">
    <v>776</v>
    <v>5</v>
    <v>C:\TEMP\Picture.SVG</v>
  </rv>
  <rv s="3">
    <v>777</v>
    <v>5</v>
    <v>C:\TEMP\Picture.SVG</v>
  </rv>
  <rv s="3">
    <v>778</v>
    <v>5</v>
    <v>C:\TEMP\Picture.SVG</v>
  </rv>
  <rv s="3">
    <v>779</v>
    <v>5</v>
    <v>C:\TEMP\Picture.SVG</v>
  </rv>
  <rv s="3">
    <v>780</v>
    <v>5</v>
    <v>C:\TEMP\Picture.SVG</v>
  </rv>
  <rv s="3">
    <v>781</v>
    <v>5</v>
    <v>C:\TEMP\Picture.SVG</v>
  </rv>
  <rv s="3">
    <v>782</v>
    <v>5</v>
    <v>C:\TEMP\Picture.SVG</v>
  </rv>
  <rv s="3">
    <v>783</v>
    <v>5</v>
    <v>C:\TEMP\Picture.SVG</v>
  </rv>
  <rv s="3">
    <v>784</v>
    <v>5</v>
    <v>C:\TEMP\Picture.SVG</v>
  </rv>
  <rv s="3">
    <v>785</v>
    <v>5</v>
    <v>C:\TEMP\Picture.SVG</v>
  </rv>
  <rv s="3">
    <v>786</v>
    <v>5</v>
    <v>C:\TEMP\Picture.SVG</v>
  </rv>
  <rv s="3">
    <v>787</v>
    <v>5</v>
    <v>C:\TEMP\Picture.SVG</v>
  </rv>
  <rv s="3">
    <v>788</v>
    <v>5</v>
    <v>C:\TEMP\Picture.SVG</v>
  </rv>
  <rv s="3">
    <v>789</v>
    <v>5</v>
    <v>C:\TEMP\Picture.SVG</v>
  </rv>
  <rv s="3">
    <v>790</v>
    <v>5</v>
    <v>C:\TEMP\Picture.SVG</v>
  </rv>
  <rv s="3">
    <v>791</v>
    <v>5</v>
    <v>C:\TEMP\Picture.SVG</v>
  </rv>
  <rv s="3">
    <v>792</v>
    <v>5</v>
    <v>C:\TEMP\Picture.SVG</v>
  </rv>
  <rv s="3">
    <v>793</v>
    <v>5</v>
    <v>C:\TEMP\Picture.SVG</v>
  </rv>
  <rv s="3">
    <v>794</v>
    <v>5</v>
    <v>C:\TEMP\Picture.SVG</v>
  </rv>
  <rv s="3">
    <v>795</v>
    <v>5</v>
    <v>C:\TEMP\Picture.SVG</v>
  </rv>
  <rv s="3">
    <v>796</v>
    <v>5</v>
    <v>C:\TEMP\Picture.SVG</v>
  </rv>
  <rv s="3">
    <v>797</v>
    <v>5</v>
    <v>C:\TEMP\Picture.SVG</v>
  </rv>
  <rv s="3">
    <v>798</v>
    <v>5</v>
    <v>C:\TEMP\Picture.SVG</v>
  </rv>
  <rv s="3">
    <v>799</v>
    <v>5</v>
    <v>C:\TEMP\Picture.SVG</v>
  </rv>
  <rv s="3">
    <v>800</v>
    <v>5</v>
    <v>C:\TEMP\Picture.SVG</v>
  </rv>
  <rv s="3">
    <v>801</v>
    <v>5</v>
    <v>C:\TEMP\Picture.SVG</v>
  </rv>
  <rv s="3">
    <v>802</v>
    <v>5</v>
    <v>C:\TEMP\Picture.SVG</v>
  </rv>
  <rv s="3">
    <v>803</v>
    <v>5</v>
    <v>C:\TEMP\Picture.SVG</v>
  </rv>
  <rv s="3">
    <v>804</v>
    <v>5</v>
    <v>C:\TEMP\Picture.SVG</v>
  </rv>
  <rv s="3">
    <v>805</v>
    <v>5</v>
    <v>C:\TEMP\Picture.SVG</v>
  </rv>
  <rv s="3">
    <v>806</v>
    <v>5</v>
    <v>C:\TEMP\Picture.SVG</v>
  </rv>
  <rv s="3">
    <v>807</v>
    <v>5</v>
    <v>C:\TEMP\Picture.SVG</v>
  </rv>
  <rv s="3">
    <v>808</v>
    <v>5</v>
    <v>C:\TEMP\Picture.SVG</v>
  </rv>
  <rv s="3">
    <v>809</v>
    <v>5</v>
    <v>C:\TEMP\Picture.SVG</v>
  </rv>
  <rv s="3">
    <v>810</v>
    <v>5</v>
    <v>C:\TEMP\Picture.SVG</v>
  </rv>
  <rv s="3">
    <v>811</v>
    <v>5</v>
    <v>C:\TEMP\Picture.SVG</v>
  </rv>
  <rv s="3">
    <v>812</v>
    <v>5</v>
    <v>C:\TEMP\Picture.SVG</v>
  </rv>
  <rv s="3">
    <v>813</v>
    <v>5</v>
    <v>C:\TEMP\Picture.SVG</v>
  </rv>
  <rv s="3">
    <v>814</v>
    <v>5</v>
    <v>C:\TEMP\Picture.SVG</v>
  </rv>
  <rv s="3">
    <v>815</v>
    <v>5</v>
    <v>C:\TEMP\Picture.SVG</v>
  </rv>
  <rv s="3">
    <v>816</v>
    <v>5</v>
    <v>C:\TEMP\Picture.SVG</v>
  </rv>
  <rv s="3">
    <v>817</v>
    <v>5</v>
    <v>C:\TEMP\Picture.SVG</v>
  </rv>
  <rv s="3">
    <v>818</v>
    <v>5</v>
    <v>C:\TEMP\Picture.SVG</v>
  </rv>
  <rv s="3">
    <v>819</v>
    <v>5</v>
    <v>C:\TEMP\Picture.SVG</v>
  </rv>
  <rv s="3">
    <v>820</v>
    <v>5</v>
    <v>C:\TEMP\Picture.SVG</v>
  </rv>
  <rv s="3">
    <v>821</v>
    <v>5</v>
    <v>C:\TEMP\Picture.SVG</v>
  </rv>
  <rv s="3">
    <v>822</v>
    <v>5</v>
    <v>C:\TEMP\Picture.SVG</v>
  </rv>
  <rv s="3">
    <v>823</v>
    <v>5</v>
    <v>C:\TEMP\Picture.SVG</v>
  </rv>
  <rv s="3">
    <v>824</v>
    <v>5</v>
    <v>C:\TEMP\Picture.SVG</v>
  </rv>
  <rv s="3">
    <v>825</v>
    <v>5</v>
    <v>C:\TEMP\Picture.SVG</v>
  </rv>
  <rv s="3">
    <v>826</v>
    <v>5</v>
    <v>C:\TEMP\Picture.SVG</v>
  </rv>
  <rv s="3">
    <v>827</v>
    <v>5</v>
    <v>C:\TEMP\Picture.SVG</v>
  </rv>
  <rv s="3">
    <v>828</v>
    <v>5</v>
    <v>C:\TEMP\Picture.SVG</v>
  </rv>
  <rv s="3">
    <v>829</v>
    <v>5</v>
    <v>C:\TEMP\Picture.SVG</v>
  </rv>
  <rv s="3">
    <v>830</v>
    <v>5</v>
    <v>C:\TEMP\Picture.SVG</v>
  </rv>
  <rv s="3">
    <v>831</v>
    <v>5</v>
    <v>C:\TEMP\Picture.SVG</v>
  </rv>
  <rv s="3">
    <v>832</v>
    <v>5</v>
    <v>C:\TEMP\Picture.SVG</v>
  </rv>
  <rv s="3">
    <v>833</v>
    <v>5</v>
    <v>C:\TEMP\Picture.SVG</v>
  </rv>
  <rv s="3">
    <v>834</v>
    <v>5</v>
    <v>C:\TEMP\Picture.SVG</v>
  </rv>
  <rv s="3">
    <v>835</v>
    <v>5</v>
    <v>C:\TEMP\Picture.SVG</v>
  </rv>
  <rv s="3">
    <v>836</v>
    <v>5</v>
    <v>C:\TEMP\Picture.SVG</v>
  </rv>
  <rv s="3">
    <v>837</v>
    <v>5</v>
    <v>C:\TEMP\Picture.SVG</v>
  </rv>
  <rv s="3">
    <v>838</v>
    <v>5</v>
    <v>C:\TEMP\Picture.SVG</v>
  </rv>
  <rv s="3">
    <v>839</v>
    <v>5</v>
    <v>C:\TEMP\Picture.SVG</v>
  </rv>
  <rv s="3">
    <v>840</v>
    <v>5</v>
    <v>C:\TEMP\Picture.SVG</v>
  </rv>
  <rv s="3">
    <v>841</v>
    <v>5</v>
    <v>C:\TEMP\Picture.SVG</v>
  </rv>
  <rv s="3">
    <v>842</v>
    <v>5</v>
    <v>C:\TEMP\Picture.SVG</v>
  </rv>
  <rv s="3">
    <v>843</v>
    <v>5</v>
    <v>C:\TEMP\Picture.SVG</v>
  </rv>
  <rv s="3">
    <v>844</v>
    <v>5</v>
    <v>C:\TEMP\Picture.SVG</v>
  </rv>
  <rv s="3">
    <v>845</v>
    <v>5</v>
    <v>C:\TEMP\Picture.SVG</v>
  </rv>
  <rv s="3">
    <v>846</v>
    <v>5</v>
    <v>C:\TEMP\Picture.SVG</v>
  </rv>
  <rv s="3">
    <v>847</v>
    <v>5</v>
    <v>C:\TEMP\Picture.SVG</v>
  </rv>
  <rv s="3">
    <v>848</v>
    <v>5</v>
    <v>C:\TEMP\Picture.SVG</v>
  </rv>
  <rv s="3">
    <v>849</v>
    <v>5</v>
    <v>C:\TEMP\Picture.SVG</v>
  </rv>
  <rv s="3">
    <v>850</v>
    <v>5</v>
    <v>C:\TEMP\Picture.SVG</v>
  </rv>
  <rv s="3">
    <v>851</v>
    <v>5</v>
    <v>C:\TEMP\Picture.SVG</v>
  </rv>
  <rv s="3">
    <v>852</v>
    <v>5</v>
    <v>C:\TEMP\Picture.SVG</v>
  </rv>
  <rv s="3">
    <v>853</v>
    <v>5</v>
    <v>C:\TEMP\Picture.SVG</v>
  </rv>
  <rv s="3">
    <v>854</v>
    <v>5</v>
    <v>C:\TEMP\Picture.SVG</v>
  </rv>
  <rv s="3">
    <v>855</v>
    <v>5</v>
    <v>C:\TEMP\Picture.SVG</v>
  </rv>
  <rv s="3">
    <v>856</v>
    <v>5</v>
    <v>C:\TEMP\Picture.SVG</v>
  </rv>
  <rv s="3">
    <v>857</v>
    <v>5</v>
    <v>C:\TEMP\Picture.SVG</v>
  </rv>
  <rv s="3">
    <v>858</v>
    <v>5</v>
    <v>C:\TEMP\Picture.SVG</v>
  </rv>
  <rv s="3">
    <v>859</v>
    <v>5</v>
    <v>C:\TEMP\Picture.SVG</v>
  </rv>
  <rv s="3">
    <v>860</v>
    <v>5</v>
    <v>C:\TEMP\Picture.SVG</v>
  </rv>
  <rv s="3">
    <v>861</v>
    <v>5</v>
    <v>C:\TEMP\Picture.SVG</v>
  </rv>
  <rv s="3">
    <v>862</v>
    <v>5</v>
    <v>C:\TEMP\Picture.SVG</v>
  </rv>
  <rv s="3">
    <v>863</v>
    <v>5</v>
    <v>C:\TEMP\Picture.SVG</v>
  </rv>
  <rv s="3">
    <v>864</v>
    <v>5</v>
    <v>C:\TEMP\Picture.SVG</v>
  </rv>
  <rv s="3">
    <v>865</v>
    <v>5</v>
    <v>C:\TEMP\Picture.SVG</v>
  </rv>
  <rv s="3">
    <v>866</v>
    <v>5</v>
    <v>C:\TEMP\Picture.SVG</v>
  </rv>
  <rv s="3">
    <v>867</v>
    <v>5</v>
    <v>C:\TEMP\Picture.SVG</v>
  </rv>
  <rv s="3">
    <v>868</v>
    <v>5</v>
    <v>C:\TEMP\Picture.SVG</v>
  </rv>
  <rv s="3">
    <v>869</v>
    <v>5</v>
    <v>C:\TEMP\Picture.SVG</v>
  </rv>
  <rv s="3">
    <v>870</v>
    <v>5</v>
    <v>C:\TEMP\Picture.SVG</v>
  </rv>
  <rv s="3">
    <v>871</v>
    <v>5</v>
    <v>C:\TEMP\Picture.SVG</v>
  </rv>
  <rv s="3">
    <v>872</v>
    <v>5</v>
    <v>C:\TEMP\Picture.SVG</v>
  </rv>
  <rv s="3">
    <v>873</v>
    <v>5</v>
    <v>C:\TEMP\Picture.SVG</v>
  </rv>
  <rv s="3">
    <v>874</v>
    <v>5</v>
    <v>C:\TEMP\Picture.SVG</v>
  </rv>
  <rv s="3">
    <v>875</v>
    <v>5</v>
    <v>C:\TEMP\Picture.SVG</v>
  </rv>
  <rv s="3">
    <v>876</v>
    <v>5</v>
    <v>C:\TEMP\Picture.SVG</v>
  </rv>
  <rv s="3">
    <v>877</v>
    <v>5</v>
    <v>C:\TEMP\Picture.SVG</v>
  </rv>
  <rv s="3">
    <v>878</v>
    <v>5</v>
    <v>C:\TEMP\Picture.SVG</v>
  </rv>
  <rv s="3">
    <v>879</v>
    <v>5</v>
    <v>C:\TEMP\Picture.SVG</v>
  </rv>
  <rv s="3">
    <v>880</v>
    <v>5</v>
    <v>C:\TEMP\Picture.SVG</v>
  </rv>
  <rv s="3">
    <v>881</v>
    <v>5</v>
    <v>C:\TEMP\Picture.SVG</v>
  </rv>
  <rv s="3">
    <v>882</v>
    <v>5</v>
    <v>C:\TEMP\Picture.SVG</v>
  </rv>
  <rv s="3">
    <v>883</v>
    <v>5</v>
    <v>C:\TEMP\Picture.SVG</v>
  </rv>
  <rv s="3">
    <v>884</v>
    <v>5</v>
    <v>C:\TEMP\Picture.SVG</v>
  </rv>
  <rv s="3">
    <v>885</v>
    <v>5</v>
    <v>C:\TEMP\Picture.SVG</v>
  </rv>
  <rv s="3">
    <v>886</v>
    <v>5</v>
    <v>C:\TEMP\Picture.SVG</v>
  </rv>
  <rv s="3">
    <v>887</v>
    <v>5</v>
    <v>C:\TEMP\Picture.SVG</v>
  </rv>
  <rv s="3">
    <v>888</v>
    <v>5</v>
    <v>C:\TEMP\Picture.SVG</v>
  </rv>
  <rv s="3">
    <v>889</v>
    <v>5</v>
    <v>C:\TEMP\Picture.SVG</v>
  </rv>
  <rv s="3">
    <v>890</v>
    <v>5</v>
    <v>C:\TEMP\Picture.SVG</v>
  </rv>
  <rv s="3">
    <v>891</v>
    <v>5</v>
    <v>C:\TEMP\Picture.SVG</v>
  </rv>
  <rv s="3">
    <v>892</v>
    <v>5</v>
    <v>C:\TEMP\Picture.SVG</v>
  </rv>
  <rv s="3">
    <v>893</v>
    <v>5</v>
    <v>C:\TEMP\Picture.SVG</v>
  </rv>
  <rv s="3">
    <v>894</v>
    <v>5</v>
    <v>C:\TEMP\Picture.SVG</v>
  </rv>
  <rv s="3">
    <v>895</v>
    <v>5</v>
    <v>C:\TEMP\Picture.SVG</v>
  </rv>
  <rv s="3">
    <v>896</v>
    <v>5</v>
    <v>C:\TEMP\Picture.SVG</v>
  </rv>
  <rv s="3">
    <v>897</v>
    <v>5</v>
    <v>C:\TEMP\Picture.SVG</v>
  </rv>
  <rv s="3">
    <v>898</v>
    <v>5</v>
    <v>C:\TEMP\Picture.SVG</v>
  </rv>
  <rv s="3">
    <v>899</v>
    <v>5</v>
    <v>C:\TEMP\Picture.SVG</v>
  </rv>
  <rv s="3">
    <v>900</v>
    <v>5</v>
    <v>C:\TEMP\Picture.SVG</v>
  </rv>
  <rv s="3">
    <v>901</v>
    <v>5</v>
    <v>C:\TEMP\Picture.SVG</v>
  </rv>
  <rv s="3">
    <v>902</v>
    <v>5</v>
    <v>C:\TEMP\Picture.SVG</v>
  </rv>
  <rv s="3">
    <v>903</v>
    <v>5</v>
    <v>C:\TEMP\Picture.SVG</v>
  </rv>
  <rv s="3">
    <v>904</v>
    <v>5</v>
    <v>C:\TEMP\Picture.SVG</v>
  </rv>
  <rv s="3">
    <v>905</v>
    <v>5</v>
    <v>C:\TEMP\Picture.SVG</v>
  </rv>
  <rv s="3">
    <v>906</v>
    <v>5</v>
    <v>C:\TEMP\Picture.SVG</v>
  </rv>
  <rv s="3">
    <v>907</v>
    <v>5</v>
    <v>C:\TEMP\Picture.SVG</v>
  </rv>
  <rv s="3">
    <v>908</v>
    <v>5</v>
    <v>C:\TEMP\Picture.SVG</v>
  </rv>
  <rv s="3">
    <v>909</v>
    <v>5</v>
    <v>C:\TEMP\Picture.SVG</v>
  </rv>
  <rv s="3">
    <v>910</v>
    <v>5</v>
    <v>C:\TEMP\Picture.SVG</v>
  </rv>
  <rv s="3">
    <v>911</v>
    <v>5</v>
    <v>C:\TEMP\Picture.SVG</v>
  </rv>
  <rv s="3">
    <v>912</v>
    <v>5</v>
    <v>C:\TEMP\Picture.SVG</v>
  </rv>
  <rv s="3">
    <v>913</v>
    <v>5</v>
    <v>C:\TEMP\Picture.SVG</v>
  </rv>
  <rv s="3">
    <v>914</v>
    <v>5</v>
    <v>C:\TEMP\Picture.SVG</v>
  </rv>
  <rv s="3">
    <v>915</v>
    <v>5</v>
    <v>C:\TEMP\Picture.SVG</v>
  </rv>
  <rv s="3">
    <v>916</v>
    <v>5</v>
    <v>C:\TEMP\Picture.SVG</v>
  </rv>
  <rv s="3">
    <v>917</v>
    <v>5</v>
    <v>C:\TEMP\Picture.SVG</v>
  </rv>
  <rv s="3">
    <v>918</v>
    <v>5</v>
    <v>C:\TEMP\Picture.SVG</v>
  </rv>
  <rv s="3">
    <v>919</v>
    <v>5</v>
    <v>C:\TEMP\Picture.SVG</v>
  </rv>
  <rv s="3">
    <v>920</v>
    <v>5</v>
    <v>C:\TEMP\Picture.SVG</v>
  </rv>
  <rv s="3">
    <v>921</v>
    <v>5</v>
    <v>C:\TEMP\Picture.SVG</v>
  </rv>
  <rv s="3">
    <v>922</v>
    <v>5</v>
    <v>C:\TEMP\Picture.SVG</v>
  </rv>
  <rv s="3">
    <v>923</v>
    <v>5</v>
    <v>C:\TEMP\Picture.SVG</v>
  </rv>
  <rv s="3">
    <v>924</v>
    <v>5</v>
    <v>C:\TEMP\Picture.SVG</v>
  </rv>
  <rv s="3">
    <v>925</v>
    <v>5</v>
    <v>C:\TEMP\Picture.SVG</v>
  </rv>
  <rv s="3">
    <v>926</v>
    <v>5</v>
    <v>C:\TEMP\Picture.SVG</v>
  </rv>
  <rv s="3">
    <v>927</v>
    <v>5</v>
    <v>C:\TEMP\Picture.SVG</v>
  </rv>
  <rv s="3">
    <v>928</v>
    <v>5</v>
    <v>C:\TEMP\Picture.SVG</v>
  </rv>
  <rv s="3">
    <v>929</v>
    <v>5</v>
    <v>C:\TEMP\Picture.SVG</v>
  </rv>
  <rv s="1">
    <v>8</v>
    <v>4</v>
    <v>0</v>
    <v>0</v>
    <v>0</v>
  </rv>
  <rv s="1">
    <v>9</v>
    <v>4</v>
    <v>0</v>
    <v>0</v>
    <v>0</v>
  </rv>
  <rv s="4">
    <v>930</v>
    <v>5</v>
  </rv>
  <rv s="4">
    <v>931</v>
    <v>5</v>
  </rv>
  <rv s="4">
    <v>932</v>
    <v>5</v>
  </rv>
  <rv s="4">
    <v>933</v>
    <v>5</v>
  </rv>
  <rv s="4">
    <v>934</v>
    <v>5</v>
  </rv>
  <rv s="4">
    <v>935</v>
    <v>5</v>
  </rv>
  <rv s="4">
    <v>936</v>
    <v>5</v>
  </rv>
  <rv s="4">
    <v>937</v>
    <v>5</v>
  </rv>
  <rv s="4">
    <v>938</v>
    <v>5</v>
  </rv>
  <rv s="4">
    <v>939</v>
    <v>5</v>
  </rv>
  <rv s="4">
    <v>940</v>
    <v>5</v>
  </rv>
  <rv s="4">
    <v>941</v>
    <v>5</v>
  </rv>
  <rv s="4">
    <v>942</v>
    <v>5</v>
  </rv>
  <rv s="1">
    <v>1</v>
    <v>5</v>
    <v>0</v>
    <v>0</v>
    <v>R8</v>
  </rv>
  <rv s="1">
    <v>10</v>
    <v>5</v>
    <v>0</v>
    <v>0</v>
    <v>R3</v>
  </rv>
  <rv s="1">
    <v>6</v>
    <v>5</v>
    <v>0</v>
    <v>0</v>
    <v>W10</v>
  </rv>
  <rv s="1">
    <v>11</v>
    <v>5</v>
    <v>0</v>
    <v>0</v>
    <v>R17</v>
  </rv>
  <rv s="1">
    <v>12</v>
    <v>5</v>
    <v>0</v>
    <v>0</v>
    <v>R4</v>
  </rv>
  <rv s="1">
    <v>13</v>
    <v>5</v>
    <v>0</v>
    <v>0</v>
    <v>W14</v>
  </rv>
  <rv s="1">
    <v>14</v>
    <v>5</v>
    <v>0</v>
    <v>0</v>
    <v>R18</v>
  </rv>
  <rv s="1">
    <v>15</v>
    <v>5</v>
    <v>0</v>
    <v>0</v>
    <v>R5</v>
  </rv>
  <rv s="1">
    <v>16</v>
    <v>5</v>
    <v>0</v>
    <v>0</v>
    <v>W35</v>
  </rv>
  <rv s="1">
    <v>17</v>
    <v>5</v>
    <v>0</v>
    <v>0</v>
    <v>R7</v>
  </rv>
  <rv s="1">
    <v>18</v>
    <v>5</v>
    <v>0</v>
    <v>0</v>
    <v>R6</v>
  </rv>
  <rv s="1">
    <v>19</v>
    <v>5</v>
    <v>0</v>
    <v>0</v>
    <v>W37</v>
  </rv>
  <rv s="0">
    <v>20</v>
    <v>5</v>
    <v>0</v>
    <v>0</v>
  </rv>
  <rv s="1">
    <v>4</v>
    <v>5</v>
    <v>0</v>
    <v>0</v>
    <v>R19</v>
  </rv>
  <rv s="1">
    <v>21</v>
    <v>5</v>
    <v>0</v>
    <v>0</v>
    <v>R10</v>
  </rv>
  <rv s="1">
    <v>22</v>
    <v>5</v>
    <v>0</v>
    <v>0</v>
    <v>W21</v>
  </rv>
  <rv s="0">
    <v>23</v>
    <v>5</v>
    <v>0</v>
    <v>0</v>
  </rv>
  <rv s="1">
    <v>3</v>
    <v>5</v>
    <v>0</v>
    <v>0</v>
    <v>R9</v>
  </rv>
  <rv s="0">
    <v>24</v>
    <v>5</v>
    <v>0</v>
    <v>0</v>
  </rv>
  <rv s="1">
    <v>25</v>
    <v>5</v>
    <v>0</v>
    <v>0</v>
    <v>W24</v>
  </rv>
  <rv s="1">
    <v>2</v>
    <v>5</v>
    <v>0</v>
    <v>0</v>
    <v>R2</v>
  </rv>
  <rv s="1">
    <v>26</v>
    <v>5</v>
    <v>0</v>
    <v>0</v>
    <v>R11</v>
  </rv>
  <rv s="1">
    <v>27</v>
    <v>5</v>
    <v>0</v>
    <v>0</v>
    <v>W40</v>
  </rv>
  <rv s="1">
    <v>5</v>
    <v>5</v>
    <v>0</v>
    <v>0</v>
    <v>R12</v>
  </rv>
  <rv s="1">
    <v>28</v>
    <v>5</v>
    <v>0</v>
    <v>0</v>
    <v>W44</v>
  </rv>
  <rv s="1">
    <v>29</v>
    <v>5</v>
    <v>0</v>
    <v>0</v>
    <v>R13</v>
  </rv>
  <rv s="1">
    <v>30</v>
    <v>5</v>
    <v>0</v>
    <v>0</v>
    <v>W27</v>
  </rv>
  <rv s="1">
    <v>31</v>
    <v>5</v>
    <v>0</v>
    <v>0</v>
    <v>R15</v>
  </rv>
  <rv s="1">
    <v>32</v>
    <v>5</v>
    <v>0</v>
    <v>0</v>
    <v>W51</v>
  </rv>
  <rv s="0">
    <v>33</v>
    <v>5</v>
    <v>0</v>
    <v>0</v>
  </rv>
  <rv s="1">
    <v>34</v>
    <v>5</v>
    <v>0</v>
    <v>0</v>
    <v>R14</v>
  </rv>
  <rv s="1">
    <v>35</v>
    <v>5</v>
    <v>0</v>
    <v>0</v>
    <v>W30</v>
  </rv>
  <rv s="0">
    <v>36</v>
    <v>5</v>
    <v>0</v>
    <v>0</v>
  </rv>
  <rv s="1">
    <v>37</v>
    <v>5</v>
    <v>0</v>
    <v>0</v>
    <v>R16</v>
  </rv>
  <rv s="1">
    <v>38</v>
    <v>5</v>
    <v>0</v>
    <v>0</v>
    <v>W49</v>
  </rv>
  <rv s="0">
    <v>39</v>
    <v>5</v>
    <v>0</v>
    <v>0</v>
  </rv>
  <rv s="0">
    <v>40</v>
    <v>5</v>
    <v>0</v>
    <v>0</v>
  </rv>
  <rv s="1">
    <v>41</v>
    <v>5</v>
    <v>0</v>
    <v>0</v>
    <v>W12</v>
  </rv>
  <rv s="0">
    <v>42</v>
    <v>5</v>
    <v>0</v>
    <v>0</v>
  </rv>
  <rv s="0">
    <v>43</v>
    <v>5</v>
    <v>0</v>
    <v>0</v>
  </rv>
  <rv s="1">
    <v>44</v>
    <v>5</v>
    <v>0</v>
    <v>0</v>
    <v>W20</v>
  </rv>
  <rv s="1">
    <v>45</v>
    <v>5</v>
    <v>0</v>
    <v>0</v>
    <v>W22</v>
  </rv>
  <rv s="1">
    <v>46</v>
    <v>5</v>
    <v>0</v>
    <v>0</v>
    <v>W41</v>
  </rv>
  <rv s="1">
    <v>47</v>
    <v>5</v>
    <v>0</v>
    <v>0</v>
    <v>W43</v>
  </rv>
  <rv s="1">
    <v>48</v>
    <v>5</v>
    <v>0</v>
    <v>0</v>
    <v>W25</v>
  </rv>
  <rv s="1">
    <v>49</v>
    <v>5</v>
    <v>0</v>
    <v>0</v>
    <v>W9</v>
  </rv>
  <rv s="1">
    <v>50</v>
    <v>5</v>
    <v>0</v>
    <v>0</v>
    <v>W8</v>
  </rv>
  <rv s="1">
    <v>51</v>
    <v>5</v>
    <v>0</v>
    <v>0</v>
    <v>W34</v>
  </rv>
  <rv s="1">
    <v>52</v>
    <v>5</v>
    <v>0</v>
    <v>0</v>
    <v>W36</v>
  </rv>
  <rv s="0">
    <v>53</v>
    <v>5</v>
    <v>0</v>
    <v>0</v>
  </rv>
  <rv s="1">
    <v>54</v>
    <v>5</v>
    <v>0</v>
    <v>0</v>
    <v>W23</v>
  </rv>
  <rv s="0">
    <v>55</v>
    <v>5</v>
    <v>0</v>
    <v>0</v>
  </rv>
  <rv s="1">
    <v>56</v>
    <v>5</v>
    <v>0</v>
    <v>0</v>
    <v>W45</v>
  </rv>
  <rv s="1">
    <v>57</v>
    <v>5</v>
    <v>0</v>
    <v>0</v>
    <v>W26</v>
  </rv>
  <rv s="1">
    <v>58</v>
    <v>5</v>
    <v>0</v>
    <v>0</v>
    <v>W50</v>
  </rv>
  <rv s="1">
    <v>59</v>
    <v>5</v>
    <v>0</v>
    <v>0</v>
    <v>W29</v>
  </rv>
  <rv s="1">
    <v>60</v>
    <v>5</v>
    <v>0</v>
    <v>0</v>
    <v>W47</v>
  </rv>
  <rv s="1">
    <v>61</v>
    <v>5</v>
    <v>0</v>
    <v>0</v>
    <v>W6</v>
  </rv>
  <rv s="1">
    <v>62</v>
    <v>5</v>
    <v>0</v>
    <v>0</v>
    <v>W7</v>
  </rv>
  <rv s="1">
    <v>63</v>
    <v>5</v>
    <v>0</v>
    <v>0</v>
    <v>W32</v>
  </rv>
  <rv s="1">
    <v>64</v>
    <v>5</v>
    <v>0</v>
    <v>0</v>
    <v>W33</v>
  </rv>
  <rv s="1">
    <v>65</v>
    <v>5</v>
    <v>0</v>
    <v>0</v>
    <v>W39</v>
  </rv>
  <rv s="1">
    <v>66</v>
    <v>5</v>
    <v>0</v>
    <v>0</v>
    <v>W42</v>
  </rv>
  <rv s="1">
    <v>67</v>
    <v>5</v>
    <v>0</v>
    <v>0</v>
    <v>W28</v>
  </rv>
  <rv s="0">
    <v>68</v>
    <v>5</v>
    <v>0</v>
    <v>0</v>
  </rv>
  <rv s="1">
    <v>69</v>
    <v>4</v>
    <v>0</v>
    <v>0</v>
    <v>0</v>
  </rv>
  <rv s="1">
    <v>70</v>
    <v>4</v>
    <v>0</v>
    <v>0</v>
    <v>0</v>
  </rv>
  <rv s="1">
    <v>71</v>
    <v>4</v>
    <v>0</v>
    <v>0</v>
    <v>0</v>
  </rv>
  <rv s="1">
    <v>72</v>
    <v>5</v>
    <v>0</v>
    <v>0</v>
    <v>0</v>
  </rv>
  <rv s="1">
    <v>73</v>
    <v>5</v>
    <v>0</v>
    <v>0</v>
    <v>0</v>
  </rv>
  <rv s="1">
    <v>74</v>
    <v>5</v>
    <v>0</v>
    <v>0</v>
    <v>0</v>
  </rv>
  <rv s="1">
    <v>75</v>
    <v>5</v>
    <v>0</v>
    <v>0</v>
    <v>0</v>
  </rv>
  <rv s="1">
    <v>76</v>
    <v>5</v>
    <v>0</v>
    <v>0</v>
    <v>0</v>
  </rv>
  <rv s="1">
    <v>77</v>
    <v>5</v>
    <v>0</v>
    <v>0</v>
    <v>0</v>
  </rv>
  <rv s="1">
    <v>78</v>
    <v>5</v>
    <v>0</v>
    <v>0</v>
    <v>0</v>
  </rv>
  <rv s="1">
    <v>79</v>
    <v>5</v>
    <v>0</v>
    <v>0</v>
    <v>0</v>
  </rv>
  <rv s="1">
    <v>80</v>
    <v>5</v>
    <v>0</v>
    <v>0</v>
    <v>0</v>
  </rv>
  <rv s="1">
    <v>81</v>
    <v>5</v>
    <v>0</v>
    <v>0</v>
    <v>0</v>
  </rv>
  <rv s="1">
    <v>82</v>
    <v>5</v>
    <v>0</v>
    <v>0</v>
    <v>0</v>
  </rv>
  <rv s="1">
    <v>83</v>
    <v>5</v>
    <v>0</v>
    <v>0</v>
    <v>0</v>
  </rv>
  <rv s="1">
    <v>84</v>
    <v>5</v>
    <v>0</v>
    <v>0</v>
    <v>0</v>
  </rv>
  <rv s="1">
    <v>85</v>
    <v>5</v>
    <v>0</v>
    <v>0</v>
    <v>0</v>
  </rv>
  <rv s="1">
    <v>86</v>
    <v>5</v>
    <v>0</v>
    <v>0</v>
    <v>0</v>
  </rv>
  <rv s="1">
    <v>87</v>
    <v>5</v>
    <v>0</v>
    <v>0</v>
    <v>0</v>
  </rv>
  <rv s="1">
    <v>8</v>
    <v>5</v>
    <v>0</v>
    <v>0</v>
    <v>0</v>
  </rv>
  <rv s="1">
    <v>70</v>
    <v>5</v>
    <v>0</v>
    <v>0</v>
    <v>0</v>
  </rv>
  <rv s="1">
    <v>69</v>
    <v>5</v>
    <v>0</v>
    <v>0</v>
    <v>0</v>
  </rv>
  <rv s="1">
    <v>71</v>
    <v>5</v>
    <v>0</v>
    <v>0</v>
    <v>0</v>
  </rv>
  <rv s="1">
    <v>88</v>
    <v>4</v>
    <v>0</v>
    <v>0</v>
    <v>0</v>
  </rv>
  <rv s="1">
    <v>89</v>
    <v>4</v>
    <v>0</v>
    <v>0</v>
    <v>0</v>
  </rv>
  <rv s="1">
    <v>90</v>
    <v>4</v>
    <v>0</v>
    <v>0</v>
    <v>0</v>
  </rv>
  <rv s="1">
    <v>91</v>
    <v>4</v>
    <v>0</v>
    <v>0</v>
    <v>0</v>
  </rv>
  <rv s="1">
    <v>92</v>
    <v>4</v>
    <v>0</v>
    <v>0</v>
    <v>0</v>
  </rv>
  <rv s="1">
    <v>93</v>
    <v>4</v>
    <v>0</v>
    <v>0</v>
    <v>0</v>
  </rv>
  <rv s="1">
    <v>94</v>
    <v>4</v>
    <v>0</v>
    <v>0</v>
    <v>0</v>
  </rv>
  <rv s="1">
    <v>9</v>
    <v>5</v>
    <v>0</v>
    <v>0</v>
    <v>0</v>
  </rv>
  <rv s="1">
    <v>88</v>
    <v>5</v>
    <v>0</v>
    <v>0</v>
    <v>0</v>
  </rv>
  <rv s="1">
    <v>89</v>
    <v>5</v>
    <v>0</v>
    <v>0</v>
    <v>0</v>
  </rv>
  <rv s="1">
    <v>90</v>
    <v>5</v>
    <v>0</v>
    <v>0</v>
    <v>0</v>
  </rv>
  <rv s="1">
    <v>91</v>
    <v>5</v>
    <v>0</v>
    <v>0</v>
    <v>0</v>
  </rv>
  <rv s="1">
    <v>92</v>
    <v>5</v>
    <v>0</v>
    <v>0</v>
    <v>0</v>
  </rv>
  <rv s="1">
    <v>93</v>
    <v>5</v>
    <v>0</v>
    <v>0</v>
    <v>0</v>
  </rv>
  <rv s="1">
    <v>94</v>
    <v>5</v>
    <v>0</v>
    <v>0</v>
    <v>0</v>
  </rv>
  <rv s="1">
    <v>95</v>
    <v>5</v>
    <v>0</v>
    <v>0</v>
    <v>0</v>
  </rv>
  <rv s="1">
    <v>96</v>
    <v>5</v>
    <v>0</v>
    <v>0</v>
    <v>0</v>
  </rv>
  <rv s="1">
    <v>97</v>
    <v>5</v>
    <v>0</v>
    <v>0</v>
    <v>0</v>
  </rv>
  <rv s="1">
    <v>98</v>
    <v>5</v>
    <v>0</v>
    <v>0</v>
    <v>0</v>
  </rv>
  <rv s="1">
    <v>99</v>
    <v>5</v>
    <v>0</v>
    <v>0</v>
    <v>0</v>
  </rv>
  <rv s="1">
    <v>100</v>
    <v>5</v>
    <v>0</v>
    <v>0</v>
    <v>0</v>
  </rv>
  <rv s="1">
    <v>101</v>
    <v>5</v>
    <v>0</v>
    <v>0</v>
    <v>0</v>
  </rv>
  <rv s="1">
    <v>102</v>
    <v>5</v>
    <v>0</v>
    <v>0</v>
    <v>0</v>
  </rv>
  <rv s="1">
    <v>103</v>
    <v>5</v>
    <v>0</v>
    <v>0</v>
    <v>0</v>
  </rv>
  <rv s="1">
    <v>104</v>
    <v>5</v>
    <v>0</v>
    <v>0</v>
    <v>0</v>
  </rv>
  <rv s="1">
    <v>105</v>
    <v>5</v>
    <v>0</v>
    <v>0</v>
    <v>0</v>
  </rv>
  <rv s="1">
    <v>106</v>
    <v>5</v>
    <v>0</v>
    <v>0</v>
    <v>0</v>
  </rv>
  <rv s="1">
    <v>107</v>
    <v>5</v>
    <v>0</v>
    <v>0</v>
    <v>0</v>
  </rv>
  <rv s="1">
    <v>108</v>
    <v>5</v>
    <v>0</v>
    <v>0</v>
    <v>0</v>
  </rv>
  <rv s="1">
    <v>109</v>
    <v>5</v>
    <v>0</v>
    <v>0</v>
    <v>0</v>
  </rv>
  <rv s="1">
    <v>110</v>
    <v>5</v>
    <v>0</v>
    <v>0</v>
    <v>0</v>
  </rv>
  <rv s="1">
    <v>111</v>
    <v>5</v>
    <v>0</v>
    <v>0</v>
    <v>0</v>
  </rv>
  <rv s="1">
    <v>112</v>
    <v>5</v>
    <v>0</v>
    <v>0</v>
    <v>0</v>
  </rv>
  <rv s="1">
    <v>113</v>
    <v>5</v>
    <v>0</v>
    <v>0</v>
    <v>0</v>
  </rv>
  <rv s="1">
    <v>114</v>
    <v>5</v>
    <v>0</v>
    <v>0</v>
    <v>0</v>
  </rv>
  <rv s="1">
    <v>115</v>
    <v>5</v>
    <v>0</v>
    <v>0</v>
    <v>0</v>
  </rv>
  <rv s="1">
    <v>116</v>
    <v>5</v>
    <v>0</v>
    <v>0</v>
    <v>0</v>
  </rv>
  <rv s="1">
    <v>117</v>
    <v>5</v>
    <v>0</v>
    <v>0</v>
    <v>0</v>
  </rv>
  <rv s="1">
    <v>118</v>
    <v>5</v>
    <v>0</v>
    <v>0</v>
    <v>0</v>
  </rv>
  <rv s="1">
    <v>119</v>
    <v>5</v>
    <v>0</v>
    <v>0</v>
    <v>0</v>
  </rv>
  <rv s="1">
    <v>120</v>
    <v>5</v>
    <v>0</v>
    <v>0</v>
    <v>0</v>
  </rv>
  <rv s="1">
    <v>121</v>
    <v>5</v>
    <v>0</v>
    <v>0</v>
    <v>0</v>
  </rv>
  <rv s="1">
    <v>122</v>
    <v>5</v>
    <v>0</v>
    <v>0</v>
    <v>0</v>
  </rv>
  <rv s="1">
    <v>123</v>
    <v>5</v>
    <v>0</v>
    <v>0</v>
    <v>0</v>
  </rv>
  <rv s="1">
    <v>124</v>
    <v>5</v>
    <v>0</v>
    <v>0</v>
    <v>0</v>
  </rv>
  <rv s="1">
    <v>125</v>
    <v>5</v>
    <v>0</v>
    <v>0</v>
    <v>0</v>
  </rv>
  <rv s="1">
    <v>126</v>
    <v>5</v>
    <v>0</v>
    <v>0</v>
    <v>0</v>
  </rv>
  <rv s="1">
    <v>127</v>
    <v>5</v>
    <v>0</v>
    <v>0</v>
    <v>0</v>
  </rv>
  <rv s="1">
    <v>128</v>
    <v>5</v>
    <v>0</v>
    <v>0</v>
    <v>0</v>
  </rv>
  <rv s="1">
    <v>129</v>
    <v>5</v>
    <v>0</v>
    <v>0</v>
    <v>0</v>
  </rv>
  <rv s="1">
    <v>130</v>
    <v>5</v>
    <v>0</v>
    <v>0</v>
    <v>0</v>
  </rv>
  <rv s="1">
    <v>131</v>
    <v>5</v>
    <v>0</v>
    <v>0</v>
    <v>0</v>
  </rv>
  <rv s="1">
    <v>132</v>
    <v>5</v>
    <v>0</v>
    <v>0</v>
    <v>0</v>
  </rv>
  <rv s="1">
    <v>133</v>
    <v>5</v>
    <v>0</v>
    <v>0</v>
    <v>0</v>
  </rv>
  <rv s="1">
    <v>134</v>
    <v>5</v>
    <v>0</v>
    <v>0</v>
    <v>0</v>
  </rv>
  <rv s="1">
    <v>135</v>
    <v>5</v>
    <v>0</v>
    <v>0</v>
    <v>0</v>
  </rv>
  <rv s="1">
    <v>136</v>
    <v>5</v>
    <v>0</v>
    <v>0</v>
    <v>0</v>
  </rv>
  <rv s="1">
    <v>137</v>
    <v>5</v>
    <v>0</v>
    <v>0</v>
    <v>0</v>
  </rv>
  <rv s="1">
    <v>138</v>
    <v>5</v>
    <v>0</v>
    <v>0</v>
    <v>0</v>
  </rv>
  <rv s="1">
    <v>139</v>
    <v>5</v>
    <v>0</v>
    <v>0</v>
    <v>0</v>
  </rv>
  <rv s="1">
    <v>140</v>
    <v>5</v>
    <v>0</v>
    <v>0</v>
    <v>0</v>
  </rv>
  <rv s="1">
    <v>141</v>
    <v>5</v>
    <v>0</v>
    <v>0</v>
    <v>0</v>
  </rv>
  <rv s="1">
    <v>142</v>
    <v>5</v>
    <v>0</v>
    <v>0</v>
    <v>0</v>
  </rv>
  <rv s="1">
    <v>143</v>
    <v>5</v>
    <v>0</v>
    <v>0</v>
    <v>0</v>
  </rv>
  <rv s="1">
    <v>144</v>
    <v>5</v>
    <v>0</v>
    <v>0</v>
    <v>0</v>
  </rv>
</rvData>
</file>

<file path=xl/richData/rdrichvaluestructure.xml><?xml version="1.0" encoding="utf-8"?>
<rvStructures xmlns="http://schemas.microsoft.com/office/spreadsheetml/2017/richdata" count="5">
  <s t="_webimage">
    <k n="WebImageIdentifier" t="i"/>
    <k n="CalcOrigin" t="i"/>
    <k n="ComputedImage" t="b"/>
    <k n="ImageSizing" t="i"/>
  </s>
  <s t="_webimage">
    <k n="WebImageIdentifier" t="i"/>
    <k n="CalcOrigin" t="i"/>
    <k n="ComputedImage" t="b"/>
    <k n="ImageSizing" t="i"/>
    <k n="Text" t="s"/>
  </s>
  <s t="_error">
    <k n="colOffset" t="i"/>
    <k n="errorType" t="i"/>
    <k n="rwOffset" t="i"/>
    <k n="subType" t="i"/>
  </s>
  <s t="_localImage">
    <k n="_rvRel:LocalImageIdentifier" t="i"/>
    <k n="CalcOrigin" t="i"/>
    <k n="Text" t="s"/>
  </s>
  <s t="_localImage">
    <k n="_rvRel:LocalImageIdentifier" t="i"/>
    <k n="CalcOrigin" t="i"/>
  </s>
</rvStructures>
</file>

<file path=xl/richData/richValueRel.xml><?xml version="1.0" encoding="utf-8"?>
<richValueRels xmlns="http://schemas.microsoft.com/office/spreadsheetml/2022/richvaluerel" xmlns:r="http://schemas.openxmlformats.org/officeDocument/2006/relationships">
  <rel r:id="rId1"/>
  <rel r:id="rId2"/>
  <rel r:id="rId3"/>
  <rel r:id="rId4"/>
  <rel r:id="rId5"/>
  <rel r:id="rId6"/>
  <rel r:id="rId7"/>
  <rel r:id="rId8"/>
  <rel r:id="rId9"/>
  <rel r:id="rId10"/>
  <rel r:id="rId11"/>
  <rel r:id="rId12"/>
  <rel r:id="rId13"/>
  <rel r:id="rId14"/>
  <rel r:id="rId15"/>
  <rel r:id="rId16"/>
  <rel r:id="rId17"/>
  <rel r:id="rId18"/>
  <rel r:id="rId19"/>
  <rel r:id="rId20"/>
  <rel r:id="rId21"/>
  <rel r:id="rId22"/>
  <rel r:id="rId23"/>
  <rel r:id="rId24"/>
  <rel r:id="rId25"/>
  <rel r:id="rId26"/>
  <rel r:id="rId27"/>
  <rel r:id="rId28"/>
  <rel r:id="rId29"/>
  <rel r:id="rId30"/>
  <rel r:id="rId31"/>
  <rel r:id="rId32"/>
  <rel r:id="rId33"/>
  <rel r:id="rId34"/>
  <rel r:id="rId35"/>
  <rel r:id="rId36"/>
  <rel r:id="rId37"/>
  <rel r:id="rId38"/>
  <rel r:id="rId39"/>
  <rel r:id="rId40"/>
  <rel r:id="rId41"/>
  <rel r:id="rId42"/>
  <rel r:id="rId43"/>
  <rel r:id="rId44"/>
  <rel r:id="rId45"/>
  <rel r:id="rId46"/>
  <rel r:id="rId47"/>
  <rel r:id="rId48"/>
  <rel r:id="rId49"/>
  <rel r:id="rId50"/>
  <rel r:id="rId51"/>
  <rel r:id="rId52"/>
  <rel r:id="rId53"/>
  <rel r:id="rId54"/>
  <rel r:id="rId55"/>
  <rel r:id="rId56"/>
  <rel r:id="rId57"/>
  <rel r:id="rId58"/>
  <rel r:id="rId59"/>
  <rel r:id="rId60"/>
  <rel r:id="rId61"/>
  <rel r:id="rId62"/>
  <rel r:id="rId63"/>
  <rel r:id="rId64"/>
  <rel r:id="rId65"/>
  <rel r:id="rId66"/>
  <rel r:id="rId67"/>
  <rel r:id="rId68"/>
  <rel r:id="rId69"/>
  <rel r:id="rId70"/>
  <rel r:id="rId71"/>
  <rel r:id="rId72"/>
  <rel r:id="rId73"/>
  <rel r:id="rId74"/>
  <rel r:id="rId75"/>
  <rel r:id="rId76"/>
  <rel r:id="rId77"/>
  <rel r:id="rId78"/>
  <rel r:id="rId79"/>
  <rel r:id="rId80"/>
  <rel r:id="rId81"/>
  <rel r:id="rId82"/>
  <rel r:id="rId83"/>
  <rel r:id="rId84"/>
  <rel r:id="rId85"/>
  <rel r:id="rId86"/>
  <rel r:id="rId87"/>
  <rel r:id="rId88"/>
  <rel r:id="rId89"/>
  <rel r:id="rId90"/>
  <rel r:id="rId91"/>
  <rel r:id="rId92"/>
  <rel r:id="rId93"/>
  <rel r:id="rId94"/>
  <rel r:id="rId95"/>
  <rel r:id="rId96"/>
  <rel r:id="rId97"/>
  <rel r:id="rId98"/>
  <rel r:id="rId99"/>
  <rel r:id="rId100"/>
  <rel r:id="rId101"/>
  <rel r:id="rId102"/>
  <rel r:id="rId103"/>
  <rel r:id="rId104"/>
  <rel r:id="rId105"/>
  <rel r:id="rId106"/>
  <rel r:id="rId107"/>
  <rel r:id="rId108"/>
  <rel r:id="rId109"/>
  <rel r:id="rId110"/>
  <rel r:id="rId111"/>
  <rel r:id="rId112"/>
  <rel r:id="rId113"/>
  <rel r:id="rId114"/>
  <rel r:id="rId115"/>
  <rel r:id="rId116"/>
  <rel r:id="rId117"/>
  <rel r:id="rId118"/>
  <rel r:id="rId119"/>
  <rel r:id="rId120"/>
  <rel r:id="rId121"/>
  <rel r:id="rId122"/>
  <rel r:id="rId123"/>
  <rel r:id="rId124"/>
  <rel r:id="rId125"/>
  <rel r:id="rId126"/>
  <rel r:id="rId127"/>
  <rel r:id="rId128"/>
  <rel r:id="rId129"/>
  <rel r:id="rId130"/>
  <rel r:id="rId131"/>
  <rel r:id="rId132"/>
  <rel r:id="rId133"/>
  <rel r:id="rId134"/>
  <rel r:id="rId135"/>
  <rel r:id="rId136"/>
  <rel r:id="rId137"/>
  <rel r:id="rId138"/>
  <rel r:id="rId139"/>
  <rel r:id="rId140"/>
  <rel r:id="rId141"/>
  <rel r:id="rId142"/>
  <rel r:id="rId143"/>
  <rel r:id="rId144"/>
  <rel r:id="rId145"/>
  <rel r:id="rId146"/>
  <rel r:id="rId147"/>
  <rel r:id="rId148"/>
  <rel r:id="rId149"/>
  <rel r:id="rId150"/>
  <rel r:id="rId151"/>
  <rel r:id="rId152"/>
  <rel r:id="rId153"/>
  <rel r:id="rId154"/>
  <rel r:id="rId155"/>
  <rel r:id="rId156"/>
  <rel r:id="rId157"/>
  <rel r:id="rId158"/>
  <rel r:id="rId159"/>
  <rel r:id="rId160"/>
  <rel r:id="rId161"/>
  <rel r:id="rId162"/>
  <rel r:id="rId163"/>
  <rel r:id="rId164"/>
  <rel r:id="rId165"/>
  <rel r:id="rId166"/>
  <rel r:id="rId167"/>
  <rel r:id="rId168"/>
  <rel r:id="rId169"/>
  <rel r:id="rId170"/>
  <rel r:id="rId171"/>
  <rel r:id="rId172"/>
  <rel r:id="rId173"/>
  <rel r:id="rId174"/>
  <rel r:id="rId175"/>
  <rel r:id="rId176"/>
  <rel r:id="rId177"/>
  <rel r:id="rId178"/>
  <rel r:id="rId179"/>
  <rel r:id="rId180"/>
  <rel r:id="rId181"/>
  <rel r:id="rId182"/>
  <rel r:id="rId183"/>
  <rel r:id="rId184"/>
  <rel r:id="rId185"/>
  <rel r:id="rId186"/>
  <rel r:id="rId187"/>
  <rel r:id="rId188"/>
  <rel r:id="rId189"/>
  <rel r:id="rId190"/>
  <rel r:id="rId191"/>
  <rel r:id="rId192"/>
  <rel r:id="rId193"/>
  <rel r:id="rId194"/>
  <rel r:id="rId195"/>
  <rel r:id="rId196"/>
  <rel r:id="rId197"/>
  <rel r:id="rId198"/>
  <rel r:id="rId199"/>
  <rel r:id="rId200"/>
  <rel r:id="rId201"/>
  <rel r:id="rId202"/>
  <rel r:id="rId203"/>
  <rel r:id="rId204"/>
  <rel r:id="rId205"/>
  <rel r:id="rId206"/>
  <rel r:id="rId207"/>
  <rel r:id="rId208"/>
  <rel r:id="rId209"/>
  <rel r:id="rId210"/>
  <rel r:id="rId211"/>
  <rel r:id="rId212"/>
  <rel r:id="rId213"/>
  <rel r:id="rId214"/>
  <rel r:id="rId215"/>
  <rel r:id="rId216"/>
  <rel r:id="rId217"/>
  <rel r:id="rId218"/>
  <rel r:id="rId219"/>
  <rel r:id="rId220"/>
  <rel r:id="rId221"/>
  <rel r:id="rId222"/>
  <rel r:id="rId223"/>
  <rel r:id="rId224"/>
  <rel r:id="rId225"/>
  <rel r:id="rId226"/>
  <rel r:id="rId227"/>
  <rel r:id="rId228"/>
  <rel r:id="rId229"/>
  <rel r:id="rId230"/>
  <rel r:id="rId231"/>
  <rel r:id="rId232"/>
  <rel r:id="rId233"/>
  <rel r:id="rId234"/>
  <rel r:id="rId235"/>
  <rel r:id="rId236"/>
  <rel r:id="rId237"/>
  <rel r:id="rId238"/>
  <rel r:id="rId239"/>
  <rel r:id="rId240"/>
  <rel r:id="rId241"/>
  <rel r:id="rId242"/>
  <rel r:id="rId243"/>
  <rel r:id="rId244"/>
  <rel r:id="rId245"/>
  <rel r:id="rId246"/>
  <rel r:id="rId247"/>
  <rel r:id="rId248"/>
  <rel r:id="rId249"/>
  <rel r:id="rId250"/>
  <rel r:id="rId251"/>
  <rel r:id="rId252"/>
  <rel r:id="rId253"/>
  <rel r:id="rId254"/>
  <rel r:id="rId255"/>
  <rel r:id="rId256"/>
  <rel r:id="rId257"/>
  <rel r:id="rId258"/>
  <rel r:id="rId259"/>
  <rel r:id="rId260"/>
  <rel r:id="rId261"/>
  <rel r:id="rId262"/>
  <rel r:id="rId263"/>
  <rel r:id="rId264"/>
  <rel r:id="rId265"/>
  <rel r:id="rId266"/>
  <rel r:id="rId267"/>
  <rel r:id="rId268"/>
  <rel r:id="rId269"/>
  <rel r:id="rId270"/>
  <rel r:id="rId271"/>
  <rel r:id="rId272"/>
  <rel r:id="rId273"/>
  <rel r:id="rId274"/>
  <rel r:id="rId275"/>
  <rel r:id="rId276"/>
  <rel r:id="rId277"/>
  <rel r:id="rId278"/>
  <rel r:id="rId279"/>
  <rel r:id="rId280"/>
  <rel r:id="rId281"/>
  <rel r:id="rId282"/>
  <rel r:id="rId283"/>
  <rel r:id="rId284"/>
  <rel r:id="rId285"/>
  <rel r:id="rId286"/>
  <rel r:id="rId287"/>
  <rel r:id="rId288"/>
  <rel r:id="rId289"/>
  <rel r:id="rId290"/>
  <rel r:id="rId291"/>
  <rel r:id="rId292"/>
  <rel r:id="rId293"/>
  <rel r:id="rId294"/>
  <rel r:id="rId295"/>
  <rel r:id="rId296"/>
  <rel r:id="rId297"/>
  <rel r:id="rId298"/>
  <rel r:id="rId299"/>
  <rel r:id="rId300"/>
  <rel r:id="rId301"/>
  <rel r:id="rId302"/>
  <rel r:id="rId303"/>
  <rel r:id="rId304"/>
  <rel r:id="rId305"/>
  <rel r:id="rId306"/>
  <rel r:id="rId307"/>
  <rel r:id="rId308"/>
  <rel r:id="rId309"/>
  <rel r:id="rId310"/>
  <rel r:id="rId311"/>
  <rel r:id="rId312"/>
  <rel r:id="rId313"/>
  <rel r:id="rId314"/>
  <rel r:id="rId315"/>
  <rel r:id="rId316"/>
  <rel r:id="rId317"/>
  <rel r:id="rId318"/>
  <rel r:id="rId319"/>
  <rel r:id="rId320"/>
  <rel r:id="rId321"/>
  <rel r:id="rId322"/>
  <rel r:id="rId323"/>
  <rel r:id="rId324"/>
  <rel r:id="rId325"/>
  <rel r:id="rId326"/>
  <rel r:id="rId327"/>
  <rel r:id="rId328"/>
  <rel r:id="rId329"/>
  <rel r:id="rId330"/>
  <rel r:id="rId331"/>
  <rel r:id="rId332"/>
  <rel r:id="rId333"/>
  <rel r:id="rId334"/>
  <rel r:id="rId335"/>
  <rel r:id="rId336"/>
  <rel r:id="rId337"/>
  <rel r:id="rId338"/>
  <rel r:id="rId339"/>
  <rel r:id="rId340"/>
  <rel r:id="rId341"/>
  <rel r:id="rId342"/>
  <rel r:id="rId343"/>
  <rel r:id="rId344"/>
  <rel r:id="rId345"/>
  <rel r:id="rId346"/>
  <rel r:id="rId347"/>
  <rel r:id="rId348"/>
  <rel r:id="rId349"/>
  <rel r:id="rId350"/>
  <rel r:id="rId351"/>
  <rel r:id="rId352"/>
  <rel r:id="rId353"/>
  <rel r:id="rId354"/>
  <rel r:id="rId355"/>
  <rel r:id="rId356"/>
  <rel r:id="rId357"/>
  <rel r:id="rId358"/>
  <rel r:id="rId359"/>
  <rel r:id="rId360"/>
  <rel r:id="rId361"/>
  <rel r:id="rId362"/>
  <rel r:id="rId363"/>
  <rel r:id="rId364"/>
  <rel r:id="rId365"/>
  <rel r:id="rId366"/>
  <rel r:id="rId367"/>
  <rel r:id="rId368"/>
  <rel r:id="rId369"/>
  <rel r:id="rId370"/>
  <rel r:id="rId371"/>
  <rel r:id="rId372"/>
  <rel r:id="rId373"/>
  <rel r:id="rId374"/>
  <rel r:id="rId375"/>
  <rel r:id="rId376"/>
  <rel r:id="rId377"/>
  <rel r:id="rId378"/>
  <rel r:id="rId379"/>
  <rel r:id="rId380"/>
  <rel r:id="rId381"/>
  <rel r:id="rId382"/>
  <rel r:id="rId383"/>
  <rel r:id="rId384"/>
  <rel r:id="rId385"/>
  <rel r:id="rId386"/>
  <rel r:id="rId387"/>
  <rel r:id="rId388"/>
  <rel r:id="rId389"/>
  <rel r:id="rId390"/>
  <rel r:id="rId391"/>
  <rel r:id="rId392"/>
  <rel r:id="rId393"/>
  <rel r:id="rId394"/>
  <rel r:id="rId395"/>
  <rel r:id="rId396"/>
  <rel r:id="rId397"/>
  <rel r:id="rId398"/>
  <rel r:id="rId399"/>
  <rel r:id="rId400"/>
  <rel r:id="rId401"/>
  <rel r:id="rId402"/>
  <rel r:id="rId403"/>
  <rel r:id="rId404"/>
  <rel r:id="rId405"/>
  <rel r:id="rId406"/>
  <rel r:id="rId407"/>
  <rel r:id="rId408"/>
  <rel r:id="rId409"/>
  <rel r:id="rId410"/>
  <rel r:id="rId411"/>
  <rel r:id="rId412"/>
  <rel r:id="rId413"/>
  <rel r:id="rId414"/>
  <rel r:id="rId415"/>
  <rel r:id="rId416"/>
  <rel r:id="rId417"/>
  <rel r:id="rId418"/>
  <rel r:id="rId419"/>
  <rel r:id="rId420"/>
  <rel r:id="rId421"/>
  <rel r:id="rId422"/>
  <rel r:id="rId423"/>
  <rel r:id="rId424"/>
  <rel r:id="rId425"/>
  <rel r:id="rId426"/>
  <rel r:id="rId427"/>
  <rel r:id="rId428"/>
  <rel r:id="rId429"/>
  <rel r:id="rId430"/>
  <rel r:id="rId431"/>
  <rel r:id="rId432"/>
  <rel r:id="rId433"/>
  <rel r:id="rId434"/>
  <rel r:id="rId435"/>
  <rel r:id="rId436"/>
  <rel r:id="rId437"/>
  <rel r:id="rId438"/>
  <rel r:id="rId439"/>
  <rel r:id="rId440"/>
  <rel r:id="rId441"/>
  <rel r:id="rId442"/>
  <rel r:id="rId443"/>
  <rel r:id="rId444"/>
  <rel r:id="rId445"/>
  <rel r:id="rId446"/>
  <rel r:id="rId447"/>
  <rel r:id="rId448"/>
  <rel r:id="rId449"/>
  <rel r:id="rId450"/>
  <rel r:id="rId451"/>
  <rel r:id="rId452"/>
  <rel r:id="rId453"/>
  <rel r:id="rId454"/>
  <rel r:id="rId455"/>
  <rel r:id="rId456"/>
  <rel r:id="rId457"/>
  <rel r:id="rId458"/>
  <rel r:id="rId459"/>
  <rel r:id="rId460"/>
  <rel r:id="rId461"/>
  <rel r:id="rId462"/>
  <rel r:id="rId463"/>
  <rel r:id="rId464"/>
  <rel r:id="rId465"/>
  <rel r:id="rId466"/>
  <rel r:id="rId467"/>
  <rel r:id="rId468"/>
  <rel r:id="rId469"/>
  <rel r:id="rId470"/>
  <rel r:id="rId471"/>
  <rel r:id="rId472"/>
  <rel r:id="rId473"/>
  <rel r:id="rId474"/>
  <rel r:id="rId475"/>
  <rel r:id="rId476"/>
  <rel r:id="rId477"/>
  <rel r:id="rId478"/>
  <rel r:id="rId479"/>
  <rel r:id="rId480"/>
  <rel r:id="rId481"/>
  <rel r:id="rId482"/>
  <rel r:id="rId483"/>
  <rel r:id="rId484"/>
  <rel r:id="rId485"/>
  <rel r:id="rId486"/>
  <rel r:id="rId487"/>
  <rel r:id="rId488"/>
  <rel r:id="rId489"/>
  <rel r:id="rId490"/>
  <rel r:id="rId491"/>
  <rel r:id="rId492"/>
  <rel r:id="rId493"/>
  <rel r:id="rId494"/>
  <rel r:id="rId495"/>
  <rel r:id="rId496"/>
  <rel r:id="rId497"/>
  <rel r:id="rId498"/>
  <rel r:id="rId499"/>
  <rel r:id="rId500"/>
  <rel r:id="rId501"/>
  <rel r:id="rId502"/>
  <rel r:id="rId503"/>
  <rel r:id="rId504"/>
  <rel r:id="rId505"/>
  <rel r:id="rId506"/>
  <rel r:id="rId507"/>
  <rel r:id="rId508"/>
  <rel r:id="rId509"/>
  <rel r:id="rId510"/>
  <rel r:id="rId511"/>
  <rel r:id="rId512"/>
  <rel r:id="rId513"/>
  <rel r:id="rId514"/>
  <rel r:id="rId515"/>
  <rel r:id="rId516"/>
  <rel r:id="rId517"/>
  <rel r:id="rId518"/>
  <rel r:id="rId519"/>
  <rel r:id="rId520"/>
  <rel r:id="rId521"/>
  <rel r:id="rId522"/>
  <rel r:id="rId523"/>
  <rel r:id="rId524"/>
  <rel r:id="rId525"/>
  <rel r:id="rId526"/>
  <rel r:id="rId527"/>
  <rel r:id="rId528"/>
  <rel r:id="rId529"/>
  <rel r:id="rId530"/>
  <rel r:id="rId531"/>
  <rel r:id="rId532"/>
  <rel r:id="rId533"/>
  <rel r:id="rId534"/>
  <rel r:id="rId535"/>
  <rel r:id="rId536"/>
  <rel r:id="rId537"/>
  <rel r:id="rId538"/>
  <rel r:id="rId539"/>
  <rel r:id="rId540"/>
  <rel r:id="rId541"/>
  <rel r:id="rId542"/>
  <rel r:id="rId543"/>
  <rel r:id="rId544"/>
  <rel r:id="rId545"/>
  <rel r:id="rId546"/>
  <rel r:id="rId547"/>
  <rel r:id="rId548"/>
  <rel r:id="rId549"/>
  <rel r:id="rId550"/>
  <rel r:id="rId551"/>
  <rel r:id="rId552"/>
  <rel r:id="rId553"/>
  <rel r:id="rId554"/>
  <rel r:id="rId555"/>
  <rel r:id="rId556"/>
  <rel r:id="rId557"/>
  <rel r:id="rId558"/>
  <rel r:id="rId559"/>
  <rel r:id="rId560"/>
  <rel r:id="rId561"/>
  <rel r:id="rId562"/>
  <rel r:id="rId563"/>
  <rel r:id="rId564"/>
  <rel r:id="rId565"/>
  <rel r:id="rId566"/>
  <rel r:id="rId567"/>
  <rel r:id="rId568"/>
  <rel r:id="rId569"/>
  <rel r:id="rId570"/>
  <rel r:id="rId571"/>
  <rel r:id="rId572"/>
  <rel r:id="rId573"/>
  <rel r:id="rId574"/>
  <rel r:id="rId575"/>
  <rel r:id="rId576"/>
  <rel r:id="rId577"/>
  <rel r:id="rId578"/>
  <rel r:id="rId579"/>
  <rel r:id="rId580"/>
  <rel r:id="rId581"/>
  <rel r:id="rId582"/>
  <rel r:id="rId583"/>
  <rel r:id="rId584"/>
  <rel r:id="rId585"/>
  <rel r:id="rId586"/>
  <rel r:id="rId587"/>
  <rel r:id="rId588"/>
  <rel r:id="rId589"/>
  <rel r:id="rId590"/>
  <rel r:id="rId591"/>
  <rel r:id="rId592"/>
  <rel r:id="rId593"/>
  <rel r:id="rId594"/>
  <rel r:id="rId595"/>
  <rel r:id="rId596"/>
  <rel r:id="rId597"/>
  <rel r:id="rId598"/>
  <rel r:id="rId599"/>
  <rel r:id="rId600"/>
  <rel r:id="rId601"/>
  <rel r:id="rId602"/>
  <rel r:id="rId603"/>
  <rel r:id="rId604"/>
  <rel r:id="rId605"/>
  <rel r:id="rId606"/>
  <rel r:id="rId607"/>
  <rel r:id="rId608"/>
  <rel r:id="rId609"/>
  <rel r:id="rId610"/>
  <rel r:id="rId611"/>
  <rel r:id="rId612"/>
  <rel r:id="rId613"/>
  <rel r:id="rId614"/>
  <rel r:id="rId615"/>
  <rel r:id="rId616"/>
  <rel r:id="rId617"/>
  <rel r:id="rId618"/>
  <rel r:id="rId619"/>
  <rel r:id="rId620"/>
  <rel r:id="rId621"/>
  <rel r:id="rId622"/>
  <rel r:id="rId623"/>
  <rel r:id="rId624"/>
  <rel r:id="rId625"/>
  <rel r:id="rId626"/>
  <rel r:id="rId627"/>
  <rel r:id="rId628"/>
  <rel r:id="rId629"/>
  <rel r:id="rId630"/>
  <rel r:id="rId631"/>
  <rel r:id="rId632"/>
  <rel r:id="rId633"/>
  <rel r:id="rId634"/>
  <rel r:id="rId635"/>
  <rel r:id="rId636"/>
  <rel r:id="rId637"/>
  <rel r:id="rId638"/>
  <rel r:id="rId639"/>
  <rel r:id="rId640"/>
  <rel r:id="rId641"/>
  <rel r:id="rId642"/>
  <rel r:id="rId643"/>
  <rel r:id="rId644"/>
  <rel r:id="rId645"/>
  <rel r:id="rId646"/>
  <rel r:id="rId647"/>
  <rel r:id="rId648"/>
  <rel r:id="rId649"/>
  <rel r:id="rId650"/>
  <rel r:id="rId651"/>
  <rel r:id="rId652"/>
  <rel r:id="rId653"/>
  <rel r:id="rId654"/>
  <rel r:id="rId655"/>
  <rel r:id="rId656"/>
  <rel r:id="rId657"/>
  <rel r:id="rId658"/>
  <rel r:id="rId659"/>
  <rel r:id="rId660"/>
  <rel r:id="rId661"/>
  <rel r:id="rId662"/>
  <rel r:id="rId663"/>
  <rel r:id="rId664"/>
  <rel r:id="rId665"/>
  <rel r:id="rId666"/>
  <rel r:id="rId667"/>
  <rel r:id="rId668"/>
  <rel r:id="rId669"/>
  <rel r:id="rId670"/>
  <rel r:id="rId671"/>
  <rel r:id="rId672"/>
  <rel r:id="rId673"/>
  <rel r:id="rId674"/>
  <rel r:id="rId675"/>
  <rel r:id="rId676"/>
  <rel r:id="rId677"/>
  <rel r:id="rId678"/>
  <rel r:id="rId679"/>
  <rel r:id="rId680"/>
  <rel r:id="rId681"/>
  <rel r:id="rId682"/>
  <rel r:id="rId683"/>
  <rel r:id="rId684"/>
  <rel r:id="rId685"/>
  <rel r:id="rId686"/>
  <rel r:id="rId687"/>
  <rel r:id="rId688"/>
  <rel r:id="rId689"/>
  <rel r:id="rId690"/>
  <rel r:id="rId691"/>
  <rel r:id="rId692"/>
  <rel r:id="rId693"/>
  <rel r:id="rId694"/>
  <rel r:id="rId695"/>
  <rel r:id="rId696"/>
  <rel r:id="rId697"/>
  <rel r:id="rId698"/>
  <rel r:id="rId699"/>
  <rel r:id="rId700"/>
  <rel r:id="rId701"/>
  <rel r:id="rId702"/>
  <rel r:id="rId703"/>
  <rel r:id="rId704"/>
  <rel r:id="rId705"/>
  <rel r:id="rId706"/>
  <rel r:id="rId707"/>
  <rel r:id="rId708"/>
  <rel r:id="rId709"/>
  <rel r:id="rId710"/>
  <rel r:id="rId711"/>
  <rel r:id="rId712"/>
  <rel r:id="rId713"/>
  <rel r:id="rId714"/>
  <rel r:id="rId715"/>
  <rel r:id="rId716"/>
  <rel r:id="rId717"/>
  <rel r:id="rId718"/>
  <rel r:id="rId719"/>
  <rel r:id="rId720"/>
  <rel r:id="rId721"/>
  <rel r:id="rId722"/>
  <rel r:id="rId723"/>
  <rel r:id="rId724"/>
  <rel r:id="rId725"/>
  <rel r:id="rId726"/>
  <rel r:id="rId727"/>
  <rel r:id="rId728"/>
  <rel r:id="rId729"/>
  <rel r:id="rId730"/>
  <rel r:id="rId731"/>
  <rel r:id="rId732"/>
  <rel r:id="rId733"/>
  <rel r:id="rId734"/>
  <rel r:id="rId735"/>
  <rel r:id="rId736"/>
  <rel r:id="rId737"/>
  <rel r:id="rId738"/>
  <rel r:id="rId739"/>
  <rel r:id="rId740"/>
  <rel r:id="rId741"/>
  <rel r:id="rId742"/>
  <rel r:id="rId743"/>
  <rel r:id="rId744"/>
  <rel r:id="rId745"/>
  <rel r:id="rId746"/>
  <rel r:id="rId747"/>
  <rel r:id="rId748"/>
  <rel r:id="rId749"/>
  <rel r:id="rId750"/>
  <rel r:id="rId751"/>
  <rel r:id="rId752"/>
  <rel r:id="rId753"/>
  <rel r:id="rId754"/>
  <rel r:id="rId755"/>
  <rel r:id="rId756"/>
  <rel r:id="rId757"/>
  <rel r:id="rId758"/>
  <rel r:id="rId759"/>
  <rel r:id="rId760"/>
  <rel r:id="rId761"/>
  <rel r:id="rId762"/>
  <rel r:id="rId763"/>
  <rel r:id="rId764"/>
  <rel r:id="rId765"/>
  <rel r:id="rId766"/>
  <rel r:id="rId767"/>
  <rel r:id="rId768"/>
  <rel r:id="rId769"/>
  <rel r:id="rId770"/>
  <rel r:id="rId771"/>
  <rel r:id="rId772"/>
  <rel r:id="rId773"/>
  <rel r:id="rId774"/>
  <rel r:id="rId775"/>
  <rel r:id="rId776"/>
  <rel r:id="rId777"/>
  <rel r:id="rId778"/>
  <rel r:id="rId779"/>
  <rel r:id="rId780"/>
  <rel r:id="rId781"/>
  <rel r:id="rId782"/>
  <rel r:id="rId783"/>
  <rel r:id="rId784"/>
  <rel r:id="rId785"/>
  <rel r:id="rId786"/>
  <rel r:id="rId787"/>
  <rel r:id="rId788"/>
  <rel r:id="rId789"/>
  <rel r:id="rId790"/>
  <rel r:id="rId791"/>
  <rel r:id="rId792"/>
  <rel r:id="rId793"/>
  <rel r:id="rId794"/>
  <rel r:id="rId795"/>
  <rel r:id="rId796"/>
  <rel r:id="rId797"/>
  <rel r:id="rId798"/>
  <rel r:id="rId799"/>
  <rel r:id="rId800"/>
  <rel r:id="rId801"/>
  <rel r:id="rId802"/>
  <rel r:id="rId803"/>
  <rel r:id="rId804"/>
  <rel r:id="rId805"/>
  <rel r:id="rId806"/>
  <rel r:id="rId807"/>
  <rel r:id="rId808"/>
  <rel r:id="rId809"/>
  <rel r:id="rId810"/>
  <rel r:id="rId811"/>
  <rel r:id="rId812"/>
  <rel r:id="rId813"/>
  <rel r:id="rId814"/>
  <rel r:id="rId815"/>
  <rel r:id="rId816"/>
  <rel r:id="rId817"/>
  <rel r:id="rId818"/>
  <rel r:id="rId819"/>
  <rel r:id="rId820"/>
  <rel r:id="rId821"/>
  <rel r:id="rId822"/>
  <rel r:id="rId823"/>
  <rel r:id="rId824"/>
  <rel r:id="rId825"/>
  <rel r:id="rId826"/>
  <rel r:id="rId827"/>
  <rel r:id="rId828"/>
  <rel r:id="rId829"/>
  <rel r:id="rId830"/>
  <rel r:id="rId831"/>
  <rel r:id="rId832"/>
  <rel r:id="rId833"/>
  <rel r:id="rId834"/>
  <rel r:id="rId835"/>
  <rel r:id="rId836"/>
  <rel r:id="rId837"/>
  <rel r:id="rId838"/>
  <rel r:id="rId839"/>
  <rel r:id="rId840"/>
  <rel r:id="rId841"/>
  <rel r:id="rId842"/>
  <rel r:id="rId843"/>
  <rel r:id="rId844"/>
  <rel r:id="rId845"/>
  <rel r:id="rId846"/>
  <rel r:id="rId847"/>
  <rel r:id="rId848"/>
  <rel r:id="rId849"/>
  <rel r:id="rId850"/>
  <rel r:id="rId851"/>
  <rel r:id="rId852"/>
  <rel r:id="rId853"/>
  <rel r:id="rId854"/>
  <rel r:id="rId855"/>
  <rel r:id="rId856"/>
  <rel r:id="rId857"/>
  <rel r:id="rId858"/>
  <rel r:id="rId859"/>
  <rel r:id="rId860"/>
  <rel r:id="rId861"/>
  <rel r:id="rId862"/>
  <rel r:id="rId863"/>
  <rel r:id="rId864"/>
  <rel r:id="rId865"/>
  <rel r:id="rId866"/>
  <rel r:id="rId867"/>
  <rel r:id="rId868"/>
  <rel r:id="rId869"/>
  <rel r:id="rId870"/>
  <rel r:id="rId871"/>
  <rel r:id="rId872"/>
  <rel r:id="rId873"/>
  <rel r:id="rId874"/>
  <rel r:id="rId875"/>
  <rel r:id="rId876"/>
  <rel r:id="rId877"/>
  <rel r:id="rId878"/>
  <rel r:id="rId879"/>
  <rel r:id="rId880"/>
  <rel r:id="rId881"/>
  <rel r:id="rId882"/>
  <rel r:id="rId883"/>
  <rel r:id="rId884"/>
  <rel r:id="rId885"/>
  <rel r:id="rId886"/>
  <rel r:id="rId887"/>
  <rel r:id="rId888"/>
  <rel r:id="rId889"/>
  <rel r:id="rId890"/>
  <rel r:id="rId891"/>
  <rel r:id="rId892"/>
  <rel r:id="rId893"/>
  <rel r:id="rId894"/>
  <rel r:id="rId895"/>
  <rel r:id="rId896"/>
  <rel r:id="rId897"/>
  <rel r:id="rId898"/>
  <rel r:id="rId899"/>
  <rel r:id="rId900"/>
  <rel r:id="rId901"/>
  <rel r:id="rId902"/>
  <rel r:id="rId903"/>
  <rel r:id="rId904"/>
  <rel r:id="rId905"/>
  <rel r:id="rId906"/>
  <rel r:id="rId907"/>
  <rel r:id="rId908"/>
  <rel r:id="rId909"/>
  <rel r:id="rId910"/>
  <rel r:id="rId911"/>
  <rel r:id="rId912"/>
  <rel r:id="rId913"/>
  <rel r:id="rId914"/>
  <rel r:id="rId915"/>
  <rel r:id="rId916"/>
  <rel r:id="rId917"/>
  <rel r:id="rId918"/>
  <rel r:id="rId919"/>
  <rel r:id="rId920"/>
  <rel r:id="rId921"/>
  <rel r:id="rId922"/>
  <rel r:id="rId923"/>
  <rel r:id="rId924"/>
  <rel r:id="rId925"/>
  <rel r:id="rId926"/>
  <rel r:id="rId927"/>
  <rel r:id="rId928"/>
  <rel r:id="rId929"/>
  <rel r:id="rId930"/>
  <rel r:id="rId931"/>
  <rel r:id="rId932"/>
  <rel r:id="rId933"/>
  <rel r:id="rId934"/>
  <rel r:id="rId935"/>
  <rel r:id="rId936"/>
  <rel r:id="rId937"/>
  <rel r:id="rId938"/>
  <rel r:id="rId939"/>
  <rel r:id="rId940"/>
  <rel r:id="rId941"/>
  <rel r:id="rId942"/>
  <rel r:id="rId943"/>
</richValueRels>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13" Type="http://schemas.openxmlformats.org/officeDocument/2006/relationships/control" Target="../activeX/activeX5.xml"/><Relationship Id="rId18" Type="http://schemas.openxmlformats.org/officeDocument/2006/relationships/image" Target="../media/image1095.emf"/><Relationship Id="rId26" Type="http://schemas.openxmlformats.org/officeDocument/2006/relationships/image" Target="../media/image1099.emf"/><Relationship Id="rId21" Type="http://schemas.openxmlformats.org/officeDocument/2006/relationships/control" Target="../activeX/activeX9.xml"/><Relationship Id="rId34" Type="http://schemas.openxmlformats.org/officeDocument/2006/relationships/image" Target="../media/image1102.emf"/><Relationship Id="rId7" Type="http://schemas.openxmlformats.org/officeDocument/2006/relationships/control" Target="../activeX/activeX2.xml"/><Relationship Id="rId12" Type="http://schemas.openxmlformats.org/officeDocument/2006/relationships/image" Target="../media/image1092.emf"/><Relationship Id="rId17" Type="http://schemas.openxmlformats.org/officeDocument/2006/relationships/control" Target="../activeX/activeX7.xml"/><Relationship Id="rId25" Type="http://schemas.openxmlformats.org/officeDocument/2006/relationships/control" Target="../activeX/activeX11.xml"/><Relationship Id="rId33" Type="http://schemas.openxmlformats.org/officeDocument/2006/relationships/control" Target="../activeX/activeX16.xml"/><Relationship Id="rId2" Type="http://schemas.openxmlformats.org/officeDocument/2006/relationships/printerSettings" Target="../printerSettings/printerSettings1.bin"/><Relationship Id="rId16" Type="http://schemas.openxmlformats.org/officeDocument/2006/relationships/image" Target="../media/image1094.emf"/><Relationship Id="rId20" Type="http://schemas.openxmlformats.org/officeDocument/2006/relationships/image" Target="../media/image1096.emf"/><Relationship Id="rId29" Type="http://schemas.openxmlformats.org/officeDocument/2006/relationships/control" Target="../activeX/activeX13.xml"/><Relationship Id="rId1" Type="http://schemas.openxmlformats.org/officeDocument/2006/relationships/hyperlink" Target="http://www.branz.co.nz/terms-conditions/" TargetMode="External"/><Relationship Id="rId6" Type="http://schemas.openxmlformats.org/officeDocument/2006/relationships/image" Target="../media/image1089.emf"/><Relationship Id="rId11" Type="http://schemas.openxmlformats.org/officeDocument/2006/relationships/control" Target="../activeX/activeX4.xml"/><Relationship Id="rId24" Type="http://schemas.openxmlformats.org/officeDocument/2006/relationships/image" Target="../media/image1098.emf"/><Relationship Id="rId32" Type="http://schemas.openxmlformats.org/officeDocument/2006/relationships/image" Target="../media/image1101.emf"/><Relationship Id="rId37" Type="http://schemas.openxmlformats.org/officeDocument/2006/relationships/comments" Target="../comments1.xml"/><Relationship Id="rId5" Type="http://schemas.openxmlformats.org/officeDocument/2006/relationships/control" Target="../activeX/activeX1.xml"/><Relationship Id="rId15" Type="http://schemas.openxmlformats.org/officeDocument/2006/relationships/control" Target="../activeX/activeX6.xml"/><Relationship Id="rId23" Type="http://schemas.openxmlformats.org/officeDocument/2006/relationships/control" Target="../activeX/activeX10.xml"/><Relationship Id="rId28" Type="http://schemas.openxmlformats.org/officeDocument/2006/relationships/image" Target="../media/image1100.emf"/><Relationship Id="rId36" Type="http://schemas.openxmlformats.org/officeDocument/2006/relationships/image" Target="../media/image1103.emf"/><Relationship Id="rId10" Type="http://schemas.openxmlformats.org/officeDocument/2006/relationships/image" Target="../media/image1091.emf"/><Relationship Id="rId19" Type="http://schemas.openxmlformats.org/officeDocument/2006/relationships/control" Target="../activeX/activeX8.xml"/><Relationship Id="rId31" Type="http://schemas.openxmlformats.org/officeDocument/2006/relationships/control" Target="../activeX/activeX15.xml"/><Relationship Id="rId4" Type="http://schemas.openxmlformats.org/officeDocument/2006/relationships/vmlDrawing" Target="../drawings/vmlDrawing1.vml"/><Relationship Id="rId9" Type="http://schemas.openxmlformats.org/officeDocument/2006/relationships/control" Target="../activeX/activeX3.xml"/><Relationship Id="rId14" Type="http://schemas.openxmlformats.org/officeDocument/2006/relationships/image" Target="../media/image1093.emf"/><Relationship Id="rId22" Type="http://schemas.openxmlformats.org/officeDocument/2006/relationships/image" Target="../media/image1097.emf"/><Relationship Id="rId27" Type="http://schemas.openxmlformats.org/officeDocument/2006/relationships/control" Target="../activeX/activeX12.xml"/><Relationship Id="rId30" Type="http://schemas.openxmlformats.org/officeDocument/2006/relationships/control" Target="../activeX/activeX14.xml"/><Relationship Id="rId35" Type="http://schemas.openxmlformats.org/officeDocument/2006/relationships/control" Target="../activeX/activeX17.xml"/><Relationship Id="rId8" Type="http://schemas.openxmlformats.org/officeDocument/2006/relationships/image" Target="../media/image1090.emf"/><Relationship Id="rId3"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8" Type="http://schemas.openxmlformats.org/officeDocument/2006/relationships/control" Target="../activeX/activeX20.xml"/><Relationship Id="rId13" Type="http://schemas.openxmlformats.org/officeDocument/2006/relationships/control" Target="../activeX/activeX23.xml"/><Relationship Id="rId18" Type="http://schemas.openxmlformats.org/officeDocument/2006/relationships/control" Target="../activeX/activeX26.xml"/><Relationship Id="rId26" Type="http://schemas.openxmlformats.org/officeDocument/2006/relationships/image" Target="../media/image1112.emf"/><Relationship Id="rId3" Type="http://schemas.openxmlformats.org/officeDocument/2006/relationships/vmlDrawing" Target="../drawings/vmlDrawing2.vml"/><Relationship Id="rId21" Type="http://schemas.openxmlformats.org/officeDocument/2006/relationships/control" Target="../activeX/activeX29.xml"/><Relationship Id="rId7" Type="http://schemas.openxmlformats.org/officeDocument/2006/relationships/image" Target="../media/image1105.emf"/><Relationship Id="rId12" Type="http://schemas.openxmlformats.org/officeDocument/2006/relationships/image" Target="../media/image1107.emf"/><Relationship Id="rId17" Type="http://schemas.openxmlformats.org/officeDocument/2006/relationships/image" Target="../media/image1109.emf"/><Relationship Id="rId25" Type="http://schemas.openxmlformats.org/officeDocument/2006/relationships/control" Target="../activeX/activeX31.xml"/><Relationship Id="rId2" Type="http://schemas.openxmlformats.org/officeDocument/2006/relationships/drawing" Target="../drawings/drawing2.xml"/><Relationship Id="rId16" Type="http://schemas.openxmlformats.org/officeDocument/2006/relationships/control" Target="../activeX/activeX25.xml"/><Relationship Id="rId20" Type="http://schemas.openxmlformats.org/officeDocument/2006/relationships/control" Target="../activeX/activeX28.xml"/><Relationship Id="rId29" Type="http://schemas.openxmlformats.org/officeDocument/2006/relationships/comments" Target="../comments2.xml"/><Relationship Id="rId1" Type="http://schemas.openxmlformats.org/officeDocument/2006/relationships/printerSettings" Target="../printerSettings/printerSettings2.bin"/><Relationship Id="rId6" Type="http://schemas.openxmlformats.org/officeDocument/2006/relationships/control" Target="../activeX/activeX19.xml"/><Relationship Id="rId11" Type="http://schemas.openxmlformats.org/officeDocument/2006/relationships/control" Target="../activeX/activeX22.xml"/><Relationship Id="rId24" Type="http://schemas.openxmlformats.org/officeDocument/2006/relationships/image" Target="../media/image1111.emf"/><Relationship Id="rId5" Type="http://schemas.openxmlformats.org/officeDocument/2006/relationships/image" Target="../media/image1104.emf"/><Relationship Id="rId15" Type="http://schemas.openxmlformats.org/officeDocument/2006/relationships/control" Target="../activeX/activeX24.xml"/><Relationship Id="rId23" Type="http://schemas.openxmlformats.org/officeDocument/2006/relationships/control" Target="../activeX/activeX30.xml"/><Relationship Id="rId28" Type="http://schemas.openxmlformats.org/officeDocument/2006/relationships/image" Target="../media/image1101.emf"/><Relationship Id="rId10" Type="http://schemas.openxmlformats.org/officeDocument/2006/relationships/image" Target="../media/image1106.emf"/><Relationship Id="rId19" Type="http://schemas.openxmlformats.org/officeDocument/2006/relationships/control" Target="../activeX/activeX27.xml"/><Relationship Id="rId4" Type="http://schemas.openxmlformats.org/officeDocument/2006/relationships/control" Target="../activeX/activeX18.xml"/><Relationship Id="rId9" Type="http://schemas.openxmlformats.org/officeDocument/2006/relationships/control" Target="../activeX/activeX21.xml"/><Relationship Id="rId14" Type="http://schemas.openxmlformats.org/officeDocument/2006/relationships/image" Target="../media/image1108.emf"/><Relationship Id="rId22" Type="http://schemas.openxmlformats.org/officeDocument/2006/relationships/image" Target="../media/image1110.emf"/><Relationship Id="rId27" Type="http://schemas.openxmlformats.org/officeDocument/2006/relationships/control" Target="../activeX/activeX32.xml"/></Relationships>
</file>

<file path=xl/worksheets/_rels/sheet3.xml.rels><?xml version="1.0" encoding="UTF-8" standalone="yes"?>
<Relationships xmlns="http://schemas.openxmlformats.org/package/2006/relationships"><Relationship Id="rId8" Type="http://schemas.openxmlformats.org/officeDocument/2006/relationships/image" Target="../media/image1115.emf"/><Relationship Id="rId13" Type="http://schemas.openxmlformats.org/officeDocument/2006/relationships/control" Target="../activeX/activeX37.xml"/><Relationship Id="rId18" Type="http://schemas.openxmlformats.org/officeDocument/2006/relationships/image" Target="../media/image1120.emf"/><Relationship Id="rId26" Type="http://schemas.openxmlformats.org/officeDocument/2006/relationships/control" Target="../activeX/activeX44.xml"/><Relationship Id="rId3" Type="http://schemas.openxmlformats.org/officeDocument/2006/relationships/drawing" Target="../drawings/drawing3.xml"/><Relationship Id="rId21" Type="http://schemas.openxmlformats.org/officeDocument/2006/relationships/control" Target="../activeX/activeX41.xml"/><Relationship Id="rId7" Type="http://schemas.openxmlformats.org/officeDocument/2006/relationships/control" Target="../activeX/activeX34.xml"/><Relationship Id="rId12" Type="http://schemas.openxmlformats.org/officeDocument/2006/relationships/image" Target="../media/image1117.emf"/><Relationship Id="rId17" Type="http://schemas.openxmlformats.org/officeDocument/2006/relationships/control" Target="../activeX/activeX39.xml"/><Relationship Id="rId25" Type="http://schemas.openxmlformats.org/officeDocument/2006/relationships/control" Target="../activeX/activeX43.xml"/><Relationship Id="rId2" Type="http://schemas.openxmlformats.org/officeDocument/2006/relationships/printerSettings" Target="../printerSettings/printerSettings3.bin"/><Relationship Id="rId16" Type="http://schemas.openxmlformats.org/officeDocument/2006/relationships/image" Target="../media/image1119.emf"/><Relationship Id="rId20" Type="http://schemas.openxmlformats.org/officeDocument/2006/relationships/image" Target="../media/image1121.emf"/><Relationship Id="rId1" Type="http://schemas.openxmlformats.org/officeDocument/2006/relationships/hyperlink" Target="http://www.branz.co.nz/terms-conditions/" TargetMode="External"/><Relationship Id="rId6" Type="http://schemas.openxmlformats.org/officeDocument/2006/relationships/image" Target="../media/image1114.emf"/><Relationship Id="rId11" Type="http://schemas.openxmlformats.org/officeDocument/2006/relationships/control" Target="../activeX/activeX36.xml"/><Relationship Id="rId24" Type="http://schemas.openxmlformats.org/officeDocument/2006/relationships/image" Target="../media/image1100.emf"/><Relationship Id="rId5" Type="http://schemas.openxmlformats.org/officeDocument/2006/relationships/control" Target="../activeX/activeX33.xml"/><Relationship Id="rId15" Type="http://schemas.openxmlformats.org/officeDocument/2006/relationships/control" Target="../activeX/activeX38.xml"/><Relationship Id="rId23" Type="http://schemas.openxmlformats.org/officeDocument/2006/relationships/control" Target="../activeX/activeX42.xml"/><Relationship Id="rId10" Type="http://schemas.openxmlformats.org/officeDocument/2006/relationships/image" Target="../media/image1116.emf"/><Relationship Id="rId19" Type="http://schemas.openxmlformats.org/officeDocument/2006/relationships/control" Target="../activeX/activeX40.xml"/><Relationship Id="rId4" Type="http://schemas.openxmlformats.org/officeDocument/2006/relationships/vmlDrawing" Target="../drawings/vmlDrawing3.vml"/><Relationship Id="rId9" Type="http://schemas.openxmlformats.org/officeDocument/2006/relationships/control" Target="../activeX/activeX35.xml"/><Relationship Id="rId14" Type="http://schemas.openxmlformats.org/officeDocument/2006/relationships/image" Target="../media/image1118.emf"/><Relationship Id="rId22" Type="http://schemas.openxmlformats.org/officeDocument/2006/relationships/image" Target="../media/image1122.emf"/><Relationship Id="rId27" Type="http://schemas.openxmlformats.org/officeDocument/2006/relationships/comments" Target="../comments3.xml"/></Relationships>
</file>

<file path=xl/worksheets/_rels/sheet4.xml.rels><?xml version="1.0" encoding="UTF-8" standalone="yes"?>
<Relationships xmlns="http://schemas.openxmlformats.org/package/2006/relationships"><Relationship Id="rId13" Type="http://schemas.openxmlformats.org/officeDocument/2006/relationships/control" Target="../activeX/activeX49.xml"/><Relationship Id="rId18" Type="http://schemas.openxmlformats.org/officeDocument/2006/relationships/control" Target="../activeX/activeX52.xml"/><Relationship Id="rId26" Type="http://schemas.openxmlformats.org/officeDocument/2006/relationships/image" Target="../media/image1129.emf"/><Relationship Id="rId39" Type="http://schemas.openxmlformats.org/officeDocument/2006/relationships/control" Target="../activeX/activeX67.xml"/><Relationship Id="rId21" Type="http://schemas.openxmlformats.org/officeDocument/2006/relationships/control" Target="../activeX/activeX55.xml"/><Relationship Id="rId34" Type="http://schemas.openxmlformats.org/officeDocument/2006/relationships/control" Target="../activeX/activeX64.xml"/><Relationship Id="rId42" Type="http://schemas.openxmlformats.org/officeDocument/2006/relationships/control" Target="../activeX/activeX69.xml"/><Relationship Id="rId47" Type="http://schemas.openxmlformats.org/officeDocument/2006/relationships/image" Target="../media/image1137.emf"/><Relationship Id="rId50" Type="http://schemas.openxmlformats.org/officeDocument/2006/relationships/control" Target="../activeX/activeX73.xml"/><Relationship Id="rId7" Type="http://schemas.openxmlformats.org/officeDocument/2006/relationships/control" Target="../activeX/activeX46.xml"/><Relationship Id="rId2" Type="http://schemas.openxmlformats.org/officeDocument/2006/relationships/printerSettings" Target="../printerSettings/printerSettings4.bin"/><Relationship Id="rId16" Type="http://schemas.openxmlformats.org/officeDocument/2006/relationships/control" Target="../activeX/activeX51.xml"/><Relationship Id="rId29" Type="http://schemas.openxmlformats.org/officeDocument/2006/relationships/control" Target="../activeX/activeX60.xml"/><Relationship Id="rId11" Type="http://schemas.openxmlformats.org/officeDocument/2006/relationships/control" Target="../activeX/activeX48.xml"/><Relationship Id="rId24" Type="http://schemas.openxmlformats.org/officeDocument/2006/relationships/image" Target="../media/image1128.emf"/><Relationship Id="rId32" Type="http://schemas.openxmlformats.org/officeDocument/2006/relationships/control" Target="../activeX/activeX62.xml"/><Relationship Id="rId37" Type="http://schemas.openxmlformats.org/officeDocument/2006/relationships/control" Target="../activeX/activeX66.xml"/><Relationship Id="rId40" Type="http://schemas.openxmlformats.org/officeDocument/2006/relationships/control" Target="../activeX/activeX68.xml"/><Relationship Id="rId45" Type="http://schemas.openxmlformats.org/officeDocument/2006/relationships/image" Target="../media/image1136.emf"/><Relationship Id="rId53" Type="http://schemas.openxmlformats.org/officeDocument/2006/relationships/image" Target="../media/image1140.emf"/><Relationship Id="rId5" Type="http://schemas.openxmlformats.org/officeDocument/2006/relationships/control" Target="../activeX/activeX45.xml"/><Relationship Id="rId10" Type="http://schemas.openxmlformats.org/officeDocument/2006/relationships/image" Target="../media/image1125.emf"/><Relationship Id="rId19" Type="http://schemas.openxmlformats.org/officeDocument/2006/relationships/control" Target="../activeX/activeX53.xml"/><Relationship Id="rId31" Type="http://schemas.openxmlformats.org/officeDocument/2006/relationships/control" Target="../activeX/activeX61.xml"/><Relationship Id="rId44" Type="http://schemas.openxmlformats.org/officeDocument/2006/relationships/control" Target="../activeX/activeX70.xml"/><Relationship Id="rId52" Type="http://schemas.openxmlformats.org/officeDocument/2006/relationships/control" Target="../activeX/activeX74.xml"/><Relationship Id="rId4" Type="http://schemas.openxmlformats.org/officeDocument/2006/relationships/vmlDrawing" Target="../drawings/vmlDrawing4.vml"/><Relationship Id="rId9" Type="http://schemas.openxmlformats.org/officeDocument/2006/relationships/control" Target="../activeX/activeX47.xml"/><Relationship Id="rId14" Type="http://schemas.openxmlformats.org/officeDocument/2006/relationships/control" Target="../activeX/activeX50.xml"/><Relationship Id="rId22" Type="http://schemas.openxmlformats.org/officeDocument/2006/relationships/control" Target="../activeX/activeX56.xml"/><Relationship Id="rId27" Type="http://schemas.openxmlformats.org/officeDocument/2006/relationships/control" Target="../activeX/activeX59.xml"/><Relationship Id="rId30" Type="http://schemas.openxmlformats.org/officeDocument/2006/relationships/image" Target="../media/image1131.emf"/><Relationship Id="rId35" Type="http://schemas.openxmlformats.org/officeDocument/2006/relationships/control" Target="../activeX/activeX65.xml"/><Relationship Id="rId43" Type="http://schemas.openxmlformats.org/officeDocument/2006/relationships/image" Target="../media/image1135.emf"/><Relationship Id="rId48" Type="http://schemas.openxmlformats.org/officeDocument/2006/relationships/control" Target="../activeX/activeX72.xml"/><Relationship Id="rId8" Type="http://schemas.openxmlformats.org/officeDocument/2006/relationships/image" Target="../media/image1124.emf"/><Relationship Id="rId51" Type="http://schemas.openxmlformats.org/officeDocument/2006/relationships/image" Target="../media/image1139.emf"/><Relationship Id="rId3" Type="http://schemas.openxmlformats.org/officeDocument/2006/relationships/drawing" Target="../drawings/drawing4.xml"/><Relationship Id="rId12" Type="http://schemas.openxmlformats.org/officeDocument/2006/relationships/image" Target="../media/image1126.emf"/><Relationship Id="rId17" Type="http://schemas.openxmlformats.org/officeDocument/2006/relationships/image" Target="../media/image1100.emf"/><Relationship Id="rId25" Type="http://schemas.openxmlformats.org/officeDocument/2006/relationships/control" Target="../activeX/activeX58.xml"/><Relationship Id="rId33" Type="http://schemas.openxmlformats.org/officeDocument/2006/relationships/control" Target="../activeX/activeX63.xml"/><Relationship Id="rId38" Type="http://schemas.openxmlformats.org/officeDocument/2006/relationships/image" Target="../media/image1133.emf"/><Relationship Id="rId46" Type="http://schemas.openxmlformats.org/officeDocument/2006/relationships/control" Target="../activeX/activeX71.xml"/><Relationship Id="rId20" Type="http://schemas.openxmlformats.org/officeDocument/2006/relationships/control" Target="../activeX/activeX54.xml"/><Relationship Id="rId41" Type="http://schemas.openxmlformats.org/officeDocument/2006/relationships/image" Target="../media/image1134.emf"/><Relationship Id="rId54" Type="http://schemas.openxmlformats.org/officeDocument/2006/relationships/comments" Target="../comments4.xml"/><Relationship Id="rId1" Type="http://schemas.openxmlformats.org/officeDocument/2006/relationships/hyperlink" Target="http://www.branz.co.nz/terms-conditions/" TargetMode="External"/><Relationship Id="rId6" Type="http://schemas.openxmlformats.org/officeDocument/2006/relationships/image" Target="../media/image1123.emf"/><Relationship Id="rId15" Type="http://schemas.openxmlformats.org/officeDocument/2006/relationships/image" Target="../media/image1127.emf"/><Relationship Id="rId23" Type="http://schemas.openxmlformats.org/officeDocument/2006/relationships/control" Target="../activeX/activeX57.xml"/><Relationship Id="rId28" Type="http://schemas.openxmlformats.org/officeDocument/2006/relationships/image" Target="../media/image1130.emf"/><Relationship Id="rId36" Type="http://schemas.openxmlformats.org/officeDocument/2006/relationships/image" Target="../media/image1132.emf"/><Relationship Id="rId49" Type="http://schemas.openxmlformats.org/officeDocument/2006/relationships/image" Target="../media/image1138.emf"/></Relationships>
</file>

<file path=xl/worksheets/_rels/sheet5.xml.rels><?xml version="1.0" encoding="UTF-8" standalone="yes"?>
<Relationships xmlns="http://schemas.openxmlformats.org/package/2006/relationships"><Relationship Id="rId8" Type="http://schemas.openxmlformats.org/officeDocument/2006/relationships/image" Target="../media/image1142.emf"/><Relationship Id="rId13" Type="http://schemas.openxmlformats.org/officeDocument/2006/relationships/control" Target="../activeX/activeX79.xml"/><Relationship Id="rId3" Type="http://schemas.openxmlformats.org/officeDocument/2006/relationships/drawing" Target="../drawings/drawing5.xml"/><Relationship Id="rId7" Type="http://schemas.openxmlformats.org/officeDocument/2006/relationships/control" Target="../activeX/activeX76.xml"/><Relationship Id="rId12" Type="http://schemas.openxmlformats.org/officeDocument/2006/relationships/image" Target="../media/image1144.emf"/><Relationship Id="rId17" Type="http://schemas.openxmlformats.org/officeDocument/2006/relationships/comments" Target="../comments5.xml"/><Relationship Id="rId2" Type="http://schemas.openxmlformats.org/officeDocument/2006/relationships/printerSettings" Target="../printerSettings/printerSettings5.bin"/><Relationship Id="rId16" Type="http://schemas.openxmlformats.org/officeDocument/2006/relationships/image" Target="../media/image1146.emf"/><Relationship Id="rId1" Type="http://schemas.openxmlformats.org/officeDocument/2006/relationships/hyperlink" Target="http://www.branz.co.nz/terms-conditions/" TargetMode="External"/><Relationship Id="rId6" Type="http://schemas.openxmlformats.org/officeDocument/2006/relationships/image" Target="../media/image1141.emf"/><Relationship Id="rId11" Type="http://schemas.openxmlformats.org/officeDocument/2006/relationships/control" Target="../activeX/activeX78.xml"/><Relationship Id="rId5" Type="http://schemas.openxmlformats.org/officeDocument/2006/relationships/control" Target="../activeX/activeX75.xml"/><Relationship Id="rId15" Type="http://schemas.openxmlformats.org/officeDocument/2006/relationships/control" Target="../activeX/activeX80.xml"/><Relationship Id="rId10" Type="http://schemas.openxmlformats.org/officeDocument/2006/relationships/image" Target="../media/image1143.emf"/><Relationship Id="rId4" Type="http://schemas.openxmlformats.org/officeDocument/2006/relationships/vmlDrawing" Target="../drawings/vmlDrawing5.vml"/><Relationship Id="rId9" Type="http://schemas.openxmlformats.org/officeDocument/2006/relationships/control" Target="../activeX/activeX77.xml"/><Relationship Id="rId14" Type="http://schemas.openxmlformats.org/officeDocument/2006/relationships/image" Target="../media/image1145.emf"/></Relationships>
</file>

<file path=xl/worksheets/_rels/sheet6.xml.rels><?xml version="1.0" encoding="UTF-8" standalone="yes"?>
<Relationships xmlns="http://schemas.openxmlformats.org/package/2006/relationships"><Relationship Id="rId8" Type="http://schemas.openxmlformats.org/officeDocument/2006/relationships/image" Target="../media/image1148.emf"/><Relationship Id="rId13" Type="http://schemas.openxmlformats.org/officeDocument/2006/relationships/control" Target="../activeX/activeX85.xml"/><Relationship Id="rId18" Type="http://schemas.openxmlformats.org/officeDocument/2006/relationships/control" Target="../activeX/activeX88.xml"/><Relationship Id="rId3" Type="http://schemas.openxmlformats.org/officeDocument/2006/relationships/drawing" Target="../drawings/drawing6.xml"/><Relationship Id="rId7" Type="http://schemas.openxmlformats.org/officeDocument/2006/relationships/control" Target="../activeX/activeX82.xml"/><Relationship Id="rId12" Type="http://schemas.openxmlformats.org/officeDocument/2006/relationships/image" Target="../media/image1150.emf"/><Relationship Id="rId17" Type="http://schemas.openxmlformats.org/officeDocument/2006/relationships/control" Target="../activeX/activeX87.xml"/><Relationship Id="rId2" Type="http://schemas.openxmlformats.org/officeDocument/2006/relationships/printerSettings" Target="../printerSettings/printerSettings6.bin"/><Relationship Id="rId16" Type="http://schemas.openxmlformats.org/officeDocument/2006/relationships/image" Target="../media/image1152.emf"/><Relationship Id="rId20" Type="http://schemas.openxmlformats.org/officeDocument/2006/relationships/comments" Target="../comments6.xml"/><Relationship Id="rId1" Type="http://schemas.openxmlformats.org/officeDocument/2006/relationships/hyperlink" Target="http://www.branz.co.nz/terms-conditions/" TargetMode="External"/><Relationship Id="rId6" Type="http://schemas.openxmlformats.org/officeDocument/2006/relationships/image" Target="../media/image1147.emf"/><Relationship Id="rId11" Type="http://schemas.openxmlformats.org/officeDocument/2006/relationships/control" Target="../activeX/activeX84.xml"/><Relationship Id="rId5" Type="http://schemas.openxmlformats.org/officeDocument/2006/relationships/control" Target="../activeX/activeX81.xml"/><Relationship Id="rId15" Type="http://schemas.openxmlformats.org/officeDocument/2006/relationships/control" Target="../activeX/activeX86.xml"/><Relationship Id="rId10" Type="http://schemas.openxmlformats.org/officeDocument/2006/relationships/image" Target="../media/image1149.emf"/><Relationship Id="rId19" Type="http://schemas.openxmlformats.org/officeDocument/2006/relationships/image" Target="../media/image1153.emf"/><Relationship Id="rId4" Type="http://schemas.openxmlformats.org/officeDocument/2006/relationships/vmlDrawing" Target="../drawings/vmlDrawing6.vml"/><Relationship Id="rId9" Type="http://schemas.openxmlformats.org/officeDocument/2006/relationships/control" Target="../activeX/activeX83.xml"/><Relationship Id="rId14" Type="http://schemas.openxmlformats.org/officeDocument/2006/relationships/image" Target="../media/image1151.emf"/></Relationships>
</file>

<file path=xl/worksheets/_rels/sheet7.xml.rels><?xml version="1.0" encoding="UTF-8" standalone="yes"?>
<Relationships xmlns="http://schemas.openxmlformats.org/package/2006/relationships"><Relationship Id="rId8" Type="http://schemas.openxmlformats.org/officeDocument/2006/relationships/image" Target="../media/image1155.emf"/><Relationship Id="rId13" Type="http://schemas.openxmlformats.org/officeDocument/2006/relationships/comments" Target="../comments7.xml"/><Relationship Id="rId3" Type="http://schemas.openxmlformats.org/officeDocument/2006/relationships/drawing" Target="../drawings/drawing7.xml"/><Relationship Id="rId7" Type="http://schemas.openxmlformats.org/officeDocument/2006/relationships/control" Target="../activeX/activeX90.xml"/><Relationship Id="rId12" Type="http://schemas.openxmlformats.org/officeDocument/2006/relationships/image" Target="../media/image1157.emf"/><Relationship Id="rId2" Type="http://schemas.openxmlformats.org/officeDocument/2006/relationships/printerSettings" Target="../printerSettings/printerSettings7.bin"/><Relationship Id="rId1" Type="http://schemas.openxmlformats.org/officeDocument/2006/relationships/hyperlink" Target="http://www.branz.co.nz/terms-conditions/" TargetMode="External"/><Relationship Id="rId6" Type="http://schemas.openxmlformats.org/officeDocument/2006/relationships/image" Target="../media/image1154.emf"/><Relationship Id="rId11" Type="http://schemas.openxmlformats.org/officeDocument/2006/relationships/control" Target="../activeX/activeX92.xml"/><Relationship Id="rId5" Type="http://schemas.openxmlformats.org/officeDocument/2006/relationships/control" Target="../activeX/activeX89.xml"/><Relationship Id="rId10" Type="http://schemas.openxmlformats.org/officeDocument/2006/relationships/image" Target="../media/image1156.emf"/><Relationship Id="rId4" Type="http://schemas.openxmlformats.org/officeDocument/2006/relationships/vmlDrawing" Target="../drawings/vmlDrawing7.vml"/><Relationship Id="rId9" Type="http://schemas.openxmlformats.org/officeDocument/2006/relationships/control" Target="../activeX/activeX91.xml"/></Relationships>
</file>

<file path=xl/worksheets/_rels/sheet8.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8.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printerSettings" Target="../printerSettings/printerSettings9.bin"/><Relationship Id="rId1" Type="http://schemas.openxmlformats.org/officeDocument/2006/relationships/hyperlink" Target="http://www.branz.co.nz/terms-conditions/" TargetMode="External"/></Relationships>
</file>

<file path=xl/worksheets/_rels/sheet10.xml.rels><?xml version="1.0" encoding="UTF-8" standalone="yes"?>
<Relationships xmlns="http://schemas.openxmlformats.org/package/2006/relationships"><Relationship Id="rId3" Type="http://schemas.openxmlformats.org/officeDocument/2006/relationships/drawing" Target="../drawings/drawing8.xml"/><Relationship Id="rId2" Type="http://schemas.openxmlformats.org/officeDocument/2006/relationships/printerSettings" Target="../printerSettings/printerSettings10.bin"/><Relationship Id="rId1" Type="http://schemas.openxmlformats.org/officeDocument/2006/relationships/hyperlink" Target="http://www.branz.co.nz/terms-conditions/" TargetMode="External"/><Relationship Id="rId6" Type="http://schemas.openxmlformats.org/officeDocument/2006/relationships/ctrlProp" Target="../ctrlProps/ctrlProp2.xml"/><Relationship Id="rId5" Type="http://schemas.openxmlformats.org/officeDocument/2006/relationships/ctrlProp" Target="../ctrlProps/ctrlProp1.xml"/><Relationship Id="rId4" Type="http://schemas.openxmlformats.org/officeDocument/2006/relationships/vmlDrawing" Target="../drawings/vmlDrawing9.vml"/></Relationships>
</file>

<file path=xl/worksheets/_rels/sheet11.xml.rels><?xml version="1.0" encoding="UTF-8" standalone="yes"?>
<Relationships xmlns="http://schemas.openxmlformats.org/package/2006/relationships"><Relationship Id="rId2" Type="http://schemas.openxmlformats.org/officeDocument/2006/relationships/printerSettings" Target="../printerSettings/printerSettings11.bin"/><Relationship Id="rId1" Type="http://schemas.openxmlformats.org/officeDocument/2006/relationships/hyperlink" Target="http://www.branz.co.nz/terms-conditions/" TargetMode="External"/></Relationships>
</file>

<file path=xl/worksheets/_rels/sheet12.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7E8AB3E-C8A9-4EBA-A104-3B14D3D00AFD}">
  <sheetPr codeName="Sheet10"/>
  <dimension ref="A1:DO461"/>
  <sheetViews>
    <sheetView showGridLines="0" showRowColHeaders="0" tabSelected="1" topLeftCell="CJ1" zoomScaleNormal="100" workbookViewId="0">
      <selection activeCell="CJ1" sqref="CJ1"/>
    </sheetView>
  </sheetViews>
  <sheetFormatPr defaultColWidth="9.140625" defaultRowHeight="15.75"/>
  <cols>
    <col min="1" max="2" width="9.140625" hidden="1" customWidth="1"/>
    <col min="3" max="3" width="9.140625" style="2" hidden="1" customWidth="1"/>
    <col min="4" max="4" width="12.85546875" style="2" hidden="1" customWidth="1"/>
    <col min="5" max="5" width="16.85546875" hidden="1" customWidth="1"/>
    <col min="6" max="6" width="110.7109375" hidden="1" customWidth="1"/>
    <col min="7" max="8" width="9.140625" hidden="1" customWidth="1"/>
    <col min="9" max="9" width="24.85546875" hidden="1" customWidth="1"/>
    <col min="10" max="10" width="26.28515625" style="2" hidden="1" customWidth="1"/>
    <col min="11" max="11" width="6.42578125" hidden="1" customWidth="1"/>
    <col min="12" max="12" width="9.140625" style="2" hidden="1" customWidth="1"/>
    <col min="13" max="13" width="9.140625" hidden="1" customWidth="1"/>
    <col min="14" max="14" width="9.140625" style="2" hidden="1" customWidth="1"/>
    <col min="15" max="15" width="10" hidden="1" customWidth="1"/>
    <col min="16" max="16" width="10.140625" hidden="1" customWidth="1"/>
    <col min="17" max="17" width="12.42578125" hidden="1" customWidth="1"/>
    <col min="18" max="19" width="9.140625" style="2" hidden="1" customWidth="1"/>
    <col min="20" max="82" width="9.140625" style="7" hidden="1" customWidth="1"/>
    <col min="83" max="83" width="7.85546875" style="7" hidden="1" customWidth="1"/>
    <col min="84" max="86" width="9.140625" style="7" hidden="1" customWidth="1"/>
    <col min="87" max="87" width="7.85546875" style="7" hidden="1" customWidth="1"/>
    <col min="88" max="88" width="5.140625" style="359" customWidth="1"/>
    <col min="89" max="89" width="9.140625" style="359" customWidth="1"/>
    <col min="90" max="90" width="9.140625" style="359"/>
    <col min="91" max="101" width="9.140625" style="359" customWidth="1"/>
    <col min="102" max="106" width="9.140625" style="359"/>
    <col min="107" max="107" width="9.140625" style="359" customWidth="1"/>
    <col min="108" max="117" width="9.140625" style="359"/>
    <col min="118" max="119" width="9.140625" style="359" customWidth="1"/>
    <col min="120" max="126" width="9.140625" style="10" customWidth="1"/>
    <col min="127" max="16384" width="9.140625" style="10"/>
  </cols>
  <sheetData>
    <row r="1" spans="1:119" ht="37.5" customHeight="1">
      <c r="C1" s="2">
        <f>SUM(C2:C27)</f>
        <v>175</v>
      </c>
      <c r="D1" s="2">
        <f>SUM(D2:D27)</f>
        <v>76</v>
      </c>
      <c r="F1" s="177" t="str">
        <f>_xlfn.CONCAT(E2:E27)</f>
        <v>1001100000000001000000000000000000000000010010011001000000000011100101100010</v>
      </c>
      <c r="G1" t="s">
        <v>0</v>
      </c>
      <c r="I1" s="580" t="str">
        <f>_xlfn.CONCAT(I2:I27)</f>
        <v>mAEAAABJkAOWI</v>
      </c>
      <c r="J1" s="580" t="str">
        <f>radix64</f>
        <v>mAEAAABJkAOWI</v>
      </c>
      <c r="K1" t="str">
        <f>J1</f>
        <v>mAEAAABJkAOWI</v>
      </c>
      <c r="L1" s="2" t="s">
        <v>0</v>
      </c>
      <c r="O1" t="str">
        <f>_xlfn.CONCAT((O2:O27))</f>
        <v>100110000000000100000000000000000000000001001001100100000000001110010110001000</v>
      </c>
      <c r="P1" s="177" t="str">
        <f>O1</f>
        <v>100110000000000100000000000000000000000001001001100100000000001110010110001000</v>
      </c>
      <c r="Q1" t="s">
        <v>0</v>
      </c>
      <c r="R1" s="2">
        <f>SUM(R2:R27)</f>
        <v>175</v>
      </c>
      <c r="AD1" s="12">
        <f>Cntrl17-1</f>
        <v>0</v>
      </c>
      <c r="AG1" s="12">
        <f>Cntrl16-1</f>
        <v>1</v>
      </c>
      <c r="AJ1" s="12">
        <f>Cntrl4-1</f>
        <v>4</v>
      </c>
      <c r="AK1" s="12"/>
      <c r="AL1" s="12"/>
      <c r="AM1" s="12"/>
      <c r="AO1" s="12">
        <f>Cntrl2-1</f>
        <v>1</v>
      </c>
      <c r="AP1" s="12"/>
      <c r="AQ1" s="12"/>
      <c r="AS1" s="12">
        <f>Cntrl1-1</f>
        <v>1</v>
      </c>
      <c r="AT1" s="12"/>
      <c r="AU1" s="12"/>
      <c r="AW1" s="12">
        <f>Cntrl3-1</f>
        <v>2</v>
      </c>
      <c r="AX1" s="12"/>
      <c r="AY1" s="12"/>
      <c r="BA1" s="12">
        <f>Cntrl5-1</f>
        <v>3</v>
      </c>
      <c r="BB1" s="12"/>
      <c r="BD1" s="12">
        <f>Cntrl10-1</f>
        <v>0</v>
      </c>
      <c r="BE1" s="12"/>
      <c r="BF1" s="12"/>
      <c r="BH1" s="12">
        <f>Cntrl15-1</f>
        <v>0</v>
      </c>
      <c r="BI1" s="12"/>
      <c r="BK1" s="12">
        <f>Cntrl9-1</f>
        <v>50</v>
      </c>
      <c r="BL1" s="12"/>
      <c r="BN1" s="12">
        <f>Cntrl11-1</f>
        <v>36</v>
      </c>
      <c r="BO1" s="12"/>
      <c r="BQ1" s="12">
        <f>Cntrl14-1</f>
        <v>0</v>
      </c>
      <c r="BR1" s="12"/>
      <c r="BT1" s="12">
        <f>Cntrl13-1</f>
        <v>0</v>
      </c>
      <c r="BU1" s="12"/>
      <c r="BW1" s="12">
        <f>Cntrl12-1</f>
        <v>0</v>
      </c>
      <c r="BX1" s="12"/>
      <c r="BZ1" s="12">
        <f>Cntrl6-1</f>
        <v>1</v>
      </c>
      <c r="CD1" s="12">
        <f>Cntrl8-1</f>
        <v>76</v>
      </c>
      <c r="CF1" s="12">
        <f>CG1</f>
        <v>24</v>
      </c>
      <c r="CG1" s="12">
        <f>Cntrl7-1</f>
        <v>24</v>
      </c>
      <c r="CH1" s="12"/>
      <c r="CI1" s="7" t="b">
        <f>NOT(AND(NOT(AT5),Cntrl16-1,Cntrl2-1,Cntrl3-1,Cntrl6-1,Cntrl1-1,Cntrl4-1,Cntrl5-1,Cntrl8-1))</f>
        <v>0</v>
      </c>
      <c r="CJ1" s="328"/>
      <c r="CK1" s="1014" t="e" vm="1">
        <v>#VALUE!</v>
      </c>
      <c r="CL1" s="1014"/>
      <c r="CM1" s="1015" t="s">
        <v>1</v>
      </c>
      <c r="CN1" s="1015"/>
      <c r="CO1" s="1015"/>
      <c r="CP1" s="1015"/>
      <c r="CQ1" s="1015"/>
      <c r="CR1" s="1015"/>
      <c r="CS1" s="1015"/>
      <c r="CT1" s="1015"/>
      <c r="CU1" s="328"/>
      <c r="CV1" s="1051" t="str">
        <f>IF(CI1,"",I1)</f>
        <v>mAEAAABJkAOWI</v>
      </c>
      <c r="CW1" s="1051"/>
      <c r="CX1" s="1051"/>
      <c r="CY1" s="1051"/>
      <c r="CZ1" s="328"/>
      <c r="DA1" s="1025" t="s">
        <v>2</v>
      </c>
      <c r="DB1" s="1025"/>
      <c r="DC1" s="1025"/>
      <c r="DD1" s="1025"/>
      <c r="DE1" s="328"/>
      <c r="DF1" s="328"/>
      <c r="DG1" s="328"/>
      <c r="DH1" s="328"/>
      <c r="DI1" s="328"/>
      <c r="DJ1" s="328"/>
      <c r="DK1" s="905" t="s">
        <v>2261</v>
      </c>
      <c r="DL1" s="1041" t="s">
        <v>3</v>
      </c>
      <c r="DM1" s="1041"/>
      <c r="DN1" s="1052">
        <v>45988.700578703705</v>
      </c>
      <c r="DO1" s="1053"/>
    </row>
    <row r="2" spans="1:119">
      <c r="A2">
        <v>1</v>
      </c>
      <c r="B2" t="s">
        <v>4</v>
      </c>
      <c r="C2" s="142">
        <f>Cntrl8-1</f>
        <v>76</v>
      </c>
      <c r="D2" s="559">
        <f>CD2</f>
        <v>7</v>
      </c>
      <c r="E2" s="172" t="str">
        <f>IF(C2&lt;&gt;"",RIGHT("0000000000"&amp;TEXT(DEC2BIN(C2,D2),"0"),D2),"")</f>
        <v>1001100</v>
      </c>
      <c r="F2" s="555" t="str">
        <f>F1</f>
        <v>1001100000000001000000000000000000000000010010011001000000000011100101100010</v>
      </c>
      <c r="G2" s="172" t="str">
        <f>IF(F2&lt;&gt;"",IF(LEN(F2)&gt;=6,LEFT(F2,6),LEFT(F2&amp;"000000",6)),"")</f>
        <v>100110</v>
      </c>
      <c r="H2">
        <f>IF(G2&lt;&gt;"",BIN2DEC(G2),"")</f>
        <v>38</v>
      </c>
      <c r="I2" s="552" t="str" cm="1">
        <f t="array" ref="I2">IF(H2&lt;&gt;"",INDEX($B$2:$B$66,H2+1),"")</f>
        <v>m</v>
      </c>
      <c r="J2" s="554">
        <f t="shared" ref="J2:J27" si="0">IF(D2&lt;&gt;"",D2,"")</f>
        <v>7</v>
      </c>
      <c r="K2" t="str">
        <f>J1</f>
        <v>mAEAAABJkAOWI</v>
      </c>
      <c r="L2" s="2" t="str">
        <f>LEFT(K2,1)</f>
        <v>m</v>
      </c>
      <c r="M2" t="b">
        <f>IF(L2&lt;&gt;"",EXACT(L2,UPPER(L2)),"")</f>
        <v>0</v>
      </c>
      <c r="N2" s="2">
        <f>IF(M2&lt;&gt;"",IF(M2,MATCH(L2,$B$2:$B$66,0)-1,MATCH(L2,$B$28:$B$66,0)+25),"")</f>
        <v>38</v>
      </c>
      <c r="O2" s="172" t="str">
        <f t="shared" ref="O2:O27" si="1">IF(N2&lt;&gt;"",DEC2BIN(N2,6),"")</f>
        <v>100110</v>
      </c>
      <c r="P2" s="177" t="str">
        <f>P1</f>
        <v>100110000000000100000000000000000000000001001001100100000000001110010110001000</v>
      </c>
      <c r="Q2" s="172" t="str">
        <f t="shared" ref="Q2:Q27" si="2">IF(J2&lt;&gt;"",LEFT(P2,J2),"")</f>
        <v>1001100</v>
      </c>
      <c r="R2" s="553">
        <f>IF(Q2&lt;&gt;"",BIN2DEC(Q2),"")</f>
        <v>76</v>
      </c>
      <c r="S2" s="553" t="s">
        <v>5</v>
      </c>
      <c r="AD2" s="12">
        <f>IF(AD3=1,1,INT(LOG(AD3-1,2))+1)</f>
        <v>1</v>
      </c>
      <c r="AG2" s="12">
        <f>IF(AG3=1,1,INT(LOG(AG3-1,2))+1)</f>
        <v>2</v>
      </c>
      <c r="AJ2" s="12">
        <f>IF(AJ3=1,1,INT(LOG(AJ3-1,2))+1)</f>
        <v>3</v>
      </c>
      <c r="AK2" s="12"/>
      <c r="AL2" s="12"/>
      <c r="AM2" s="12"/>
      <c r="AO2" s="12">
        <f>IF(AO3=1,1,INT(LOG(AO3-1,2))+1)</f>
        <v>2</v>
      </c>
      <c r="AP2" s="12"/>
      <c r="AQ2" s="12"/>
      <c r="AS2" s="12">
        <f>IF(AS3=1,1,INT(LOG(AS3-1,2))+1)</f>
        <v>2</v>
      </c>
      <c r="AT2" s="12"/>
      <c r="AU2" s="12"/>
      <c r="AW2" s="12">
        <f>IF(AW3=1,1,INT(LOG(AW3-1,2))+1)</f>
        <v>2</v>
      </c>
      <c r="AX2" s="12"/>
      <c r="AY2" s="12"/>
      <c r="BA2" s="12">
        <f>IF(BA3=1,1,INT(LOG(BA3-1,2))+1)</f>
        <v>2</v>
      </c>
      <c r="BB2" s="12"/>
      <c r="BD2" s="12">
        <f>IF(BD3=1,1,INT(LOG(BD3-1,2))+1)</f>
        <v>4</v>
      </c>
      <c r="BE2" s="12"/>
      <c r="BF2" s="12"/>
      <c r="BH2" s="12">
        <f>IF(BH3=1,1,INT(LOG(BH3-1,2))+1)</f>
        <v>5</v>
      </c>
      <c r="BI2" s="12"/>
      <c r="BK2" s="12">
        <f>IF(BK3=1,1,INT(LOG(BK3-1,2))+1)</f>
        <v>6</v>
      </c>
      <c r="BL2" s="12"/>
      <c r="BN2" s="12">
        <f>IF(BN3=1,1,INT(LOG(BN3-1,2))+1)</f>
        <v>7</v>
      </c>
      <c r="BO2" s="12"/>
      <c r="BQ2" s="12">
        <f>IF(BQ3=1,1,INT(LOG(BQ3-1,2))+1)</f>
        <v>7</v>
      </c>
      <c r="BR2" s="12"/>
      <c r="BT2" s="12">
        <f>IF(BT3=1,1,INT(LOG(BT3-1,2))+1)</f>
        <v>8</v>
      </c>
      <c r="BU2" s="12"/>
      <c r="BW2" s="12">
        <f>IF(BW3=1,1,INT(LOG(BW3-1,2))+1)</f>
        <v>9</v>
      </c>
      <c r="BX2" s="12"/>
      <c r="BZ2" s="12">
        <f>IF(BZ3=1,1,INT(LOG(BZ3-1,2))+1)</f>
        <v>9</v>
      </c>
      <c r="CD2" s="12">
        <f>IF(CD3=1,1,INT(LOG(CD3-1,2))+1)</f>
        <v>7</v>
      </c>
      <c r="CE2" s="12"/>
      <c r="CF2" s="12">
        <f>CG2</f>
        <v>7</v>
      </c>
      <c r="CG2" s="12">
        <f>IF(CG3=1,1,INT(LOG(CG3-1,2))+1)</f>
        <v>7</v>
      </c>
      <c r="CH2" s="12"/>
      <c r="CI2" s="7" t="b">
        <f>OR(NOT(WebCntrl16),NOT(WebCntrl2),NOT(WebCntrl3),NOT(WebCntrl6),NOT(WebCntrl1),NOT(WebCntrl4),NOT(WebCntrl5),NOT(WebCntrl8))</f>
        <v>1</v>
      </c>
      <c r="CJ2" s="193"/>
      <c r="CK2" s="1004" t="s">
        <v>6</v>
      </c>
      <c r="CL2" s="1004"/>
      <c r="CM2" s="1004"/>
      <c r="CN2" s="1004"/>
      <c r="CO2" s="1004"/>
      <c r="CP2" s="1004"/>
      <c r="CQ2" s="1004"/>
      <c r="CR2" s="1004"/>
      <c r="CS2" s="194"/>
      <c r="CT2" s="194"/>
      <c r="CU2" s="194"/>
      <c r="CV2" s="194"/>
      <c r="CW2" s="194"/>
      <c r="CX2" s="194"/>
      <c r="CY2" s="194"/>
      <c r="CZ2" s="194"/>
      <c r="DA2" s="194"/>
      <c r="DB2" s="194"/>
      <c r="DC2" s="194"/>
      <c r="DD2" s="194"/>
      <c r="DE2" s="194"/>
      <c r="DF2" s="194"/>
      <c r="DG2" s="194"/>
      <c r="DH2" s="194"/>
      <c r="DI2" s="194"/>
      <c r="DJ2" s="194"/>
      <c r="DK2" s="194"/>
      <c r="DL2" s="194"/>
      <c r="DM2" s="194"/>
      <c r="DN2" s="194"/>
      <c r="DO2" s="191"/>
    </row>
    <row r="3" spans="1:119" ht="15.75" customHeight="1">
      <c r="A3">
        <v>2</v>
      </c>
      <c r="B3" t="s">
        <v>7</v>
      </c>
      <c r="C3" s="142">
        <f>Cntrl6-1</f>
        <v>1</v>
      </c>
      <c r="D3" s="559">
        <f>BZ2</f>
        <v>9</v>
      </c>
      <c r="E3" s="172" t="str">
        <f t="shared" ref="E3:E27" si="3">IF(C3&lt;&gt;"",RIGHT("0000000000"&amp;TEXT(DEC2BIN(C3,D3),"0"),D3),"")</f>
        <v>000000001</v>
      </c>
      <c r="F3" s="555" t="str">
        <f t="shared" ref="F3:F14" si="4">IF(LEN(F2)&gt;=6,RIGHT(F2,LEN(F2)-6),"")</f>
        <v>0000000001000000000000000000000000010010011001000000000011100101100010</v>
      </c>
      <c r="G3" s="172" t="str">
        <f t="shared" ref="G3:G27" si="5">IF(F3&lt;&gt;"",IF(LEN(F3)&gt;=6,LEFT(F3,6),LEFT(F3&amp;"000000",6)),"")</f>
        <v>000000</v>
      </c>
      <c r="H3">
        <f t="shared" ref="H3:H27" si="6">IF(G3&lt;&gt;"",BIN2DEC(G3),"")</f>
        <v>0</v>
      </c>
      <c r="I3" s="552" t="str" cm="1">
        <f t="array" ref="I3">IF(H3&lt;&gt;"",INDEX($B$2:$B$66,H3+1),"")</f>
        <v>A</v>
      </c>
      <c r="J3" s="554">
        <f t="shared" si="0"/>
        <v>9</v>
      </c>
      <c r="K3" t="str">
        <f t="shared" ref="K3:K11" si="7">IF(LEN(K2)&gt;1,RIGHT(K2,LEN(K2)-1),"")</f>
        <v>AEAAABJkAOWI</v>
      </c>
      <c r="L3" s="2" t="str">
        <f t="shared" ref="L3:L27" si="8">LEFT(K3,1)</f>
        <v>A</v>
      </c>
      <c r="M3" t="b">
        <f t="shared" ref="M3:M27" si="9">IF(L3&lt;&gt;"",EXACT(L3,UPPER(L3)),"")</f>
        <v>1</v>
      </c>
      <c r="N3" s="2">
        <f t="shared" ref="N3:N27" si="10">IF(M3&lt;&gt;"",IF(M3,MATCH(L3,$B$2:$B$66,0)-1,MATCH(L3,$B$28:$B$66,0)+25),"")</f>
        <v>0</v>
      </c>
      <c r="O3" s="172" t="str">
        <f t="shared" si="1"/>
        <v>000000</v>
      </c>
      <c r="P3" s="177" t="str">
        <f t="shared" ref="P3:P26" si="11">IF(J3&lt;&gt;"",RIGHT(P2,LEN(P2)-J2),"")</f>
        <v>00000000100000000000000000000000001001001100100000000001110010110001000</v>
      </c>
      <c r="Q3" s="172" t="str">
        <f t="shared" si="2"/>
        <v>000000001</v>
      </c>
      <c r="R3" s="553">
        <f t="shared" ref="R3:R27" si="12">IF(Q3&lt;&gt;"",BIN2DEC(Q3),"")</f>
        <v>1</v>
      </c>
      <c r="S3" s="553" t="s">
        <v>8</v>
      </c>
      <c r="AD3" s="12">
        <v>2</v>
      </c>
      <c r="AG3" s="12">
        <v>3</v>
      </c>
      <c r="AI3" s="12"/>
      <c r="AJ3" s="12">
        <v>6</v>
      </c>
      <c r="AK3" s="12"/>
      <c r="AL3" s="12"/>
      <c r="AM3" s="12"/>
      <c r="AN3" s="12"/>
      <c r="AO3" s="12">
        <v>3</v>
      </c>
      <c r="AP3" s="12"/>
      <c r="AQ3" s="12"/>
      <c r="AR3" s="12"/>
      <c r="AS3" s="12">
        <v>4</v>
      </c>
      <c r="AT3" s="12"/>
      <c r="AU3" s="12"/>
      <c r="AV3" s="12"/>
      <c r="AW3" s="12">
        <v>3</v>
      </c>
      <c r="AX3" s="12"/>
      <c r="AY3" s="12"/>
      <c r="AZ3" s="12"/>
      <c r="BA3" s="12">
        <v>4</v>
      </c>
      <c r="BB3" s="12"/>
      <c r="BC3" s="12"/>
      <c r="BD3" s="12">
        <v>15</v>
      </c>
      <c r="BE3" s="12"/>
      <c r="BF3" s="12"/>
      <c r="BG3" s="12"/>
      <c r="BH3" s="12">
        <v>30</v>
      </c>
      <c r="BI3" s="12"/>
      <c r="BJ3" s="12"/>
      <c r="BK3" s="12">
        <v>35</v>
      </c>
      <c r="BL3" s="12"/>
      <c r="BM3" s="12"/>
      <c r="BN3" s="12">
        <v>76</v>
      </c>
      <c r="BO3" s="12"/>
      <c r="BP3" s="12"/>
      <c r="BQ3" s="12">
        <v>96</v>
      </c>
      <c r="BR3" s="12"/>
      <c r="BS3" s="12"/>
      <c r="BT3" s="12">
        <v>242</v>
      </c>
      <c r="BU3" s="12"/>
      <c r="BV3" s="12"/>
      <c r="BW3" s="12">
        <v>301</v>
      </c>
      <c r="BX3" s="12"/>
      <c r="BY3" s="12"/>
      <c r="BZ3" s="12">
        <v>452</v>
      </c>
      <c r="CD3" s="12">
        <v>76</v>
      </c>
      <c r="CE3" s="12"/>
      <c r="CF3" s="12"/>
      <c r="CG3" s="12">
        <v>76</v>
      </c>
      <c r="CH3" s="12"/>
      <c r="CJ3" s="193"/>
      <c r="CK3" s="1004"/>
      <c r="CL3" s="1004"/>
      <c r="CM3" s="1004"/>
      <c r="CN3" s="1004"/>
      <c r="CO3" s="1004"/>
      <c r="CP3" s="1004"/>
      <c r="CQ3" s="1004"/>
      <c r="CR3" s="1004"/>
      <c r="CS3" s="194"/>
      <c r="CT3" s="199"/>
      <c r="CU3" s="193" t="s">
        <v>9</v>
      </c>
      <c r="CV3" s="207"/>
      <c r="CW3" s="207"/>
      <c r="CX3" s="200" t="s">
        <v>10</v>
      </c>
      <c r="CY3" s="195"/>
      <c r="CZ3" s="250">
        <v>325</v>
      </c>
      <c r="DA3" s="193"/>
      <c r="DB3" s="260"/>
      <c r="DC3" s="194"/>
      <c r="DD3" s="194"/>
      <c r="DE3" s="194"/>
      <c r="DF3" s="194"/>
      <c r="DG3" s="194"/>
      <c r="DH3" s="194"/>
      <c r="DI3" s="194"/>
      <c r="DJ3" s="993" cm="1">
        <f t="array" ref="DJ3">PIC_roofspace2</f>
        <v>0</v>
      </c>
      <c r="DK3" s="993"/>
      <c r="DL3" s="993"/>
      <c r="DM3" s="194"/>
      <c r="DN3" s="194"/>
      <c r="DO3" s="191"/>
    </row>
    <row r="4" spans="1:119" ht="15" customHeight="1">
      <c r="A4">
        <v>3</v>
      </c>
      <c r="B4" t="s">
        <v>11</v>
      </c>
      <c r="C4" s="142">
        <f>Cntrl12-1</f>
        <v>0</v>
      </c>
      <c r="D4" s="559">
        <f>BW2</f>
        <v>9</v>
      </c>
      <c r="E4" s="172" t="str">
        <f t="shared" si="3"/>
        <v>000000000</v>
      </c>
      <c r="F4" s="555" t="str">
        <f t="shared" si="4"/>
        <v>0001000000000000000000000000010010011001000000000011100101100010</v>
      </c>
      <c r="G4" s="172" t="str">
        <f t="shared" si="5"/>
        <v>000100</v>
      </c>
      <c r="H4">
        <f t="shared" si="6"/>
        <v>4</v>
      </c>
      <c r="I4" s="552" t="str" cm="1">
        <f t="array" ref="I4">IF(H4&lt;&gt;"",INDEX($B$2:$B$66,H4+1),"")</f>
        <v>E</v>
      </c>
      <c r="J4" s="554">
        <f t="shared" si="0"/>
        <v>9</v>
      </c>
      <c r="K4" t="str">
        <f t="shared" si="7"/>
        <v>EAAABJkAOWI</v>
      </c>
      <c r="L4" s="2" t="str">
        <f t="shared" si="8"/>
        <v>E</v>
      </c>
      <c r="M4" t="b">
        <f t="shared" si="9"/>
        <v>1</v>
      </c>
      <c r="N4" s="2">
        <f t="shared" si="10"/>
        <v>4</v>
      </c>
      <c r="O4" s="172" t="str">
        <f t="shared" si="1"/>
        <v>000100</v>
      </c>
      <c r="P4" s="177" t="str">
        <f t="shared" si="11"/>
        <v>00000000000000000000000001001001100100000000001110010110001000</v>
      </c>
      <c r="Q4" s="172" t="str">
        <f t="shared" si="2"/>
        <v>000000000</v>
      </c>
      <c r="R4" s="553">
        <f t="shared" si="12"/>
        <v>0</v>
      </c>
      <c r="S4" s="553" t="s">
        <v>12</v>
      </c>
      <c r="CI4" s="13" t="b">
        <f>ISBLANK(WebCntrl16)</f>
        <v>0</v>
      </c>
      <c r="CJ4" s="193"/>
      <c r="CK4" s="330">
        <v>1</v>
      </c>
      <c r="CL4" s="690" t="str">
        <f>IF(ISBLANK(WebCntrl16),"",AH9)</f>
        <v>single layer or two layers of same material</v>
      </c>
      <c r="CM4" s="691"/>
      <c r="CN4" s="691"/>
      <c r="CO4" s="691"/>
      <c r="CP4" s="691"/>
      <c r="CQ4" s="691"/>
      <c r="CR4" s="691"/>
      <c r="CS4" s="194"/>
      <c r="CT4" s="199"/>
      <c r="CU4" s="193" t="s">
        <v>13</v>
      </c>
      <c r="CV4" s="207"/>
      <c r="CW4" s="207"/>
      <c r="CX4" s="195"/>
      <c r="CY4" s="195"/>
      <c r="CZ4" s="196" t="s">
        <v>14</v>
      </c>
      <c r="DA4" s="197" t="s">
        <v>15</v>
      </c>
      <c r="DB4" s="327">
        <f>INT(CZ3/CZ5*10+0.5)/10000</f>
        <v>6.5000000000000002E-2</v>
      </c>
      <c r="DC4" s="198" t="s">
        <v>16</v>
      </c>
      <c r="DD4" s="194"/>
      <c r="DE4" s="194"/>
      <c r="DF4" s="194"/>
      <c r="DG4" s="194"/>
      <c r="DH4" s="194"/>
      <c r="DI4" s="194"/>
      <c r="DJ4" s="993"/>
      <c r="DK4" s="993"/>
      <c r="DL4" s="993"/>
      <c r="DM4" s="194"/>
      <c r="DN4" s="194"/>
      <c r="DO4" s="191"/>
    </row>
    <row r="5" spans="1:119" ht="15.75" customHeight="1">
      <c r="A5">
        <v>4</v>
      </c>
      <c r="B5" t="s">
        <v>17</v>
      </c>
      <c r="C5" s="142">
        <f>Cntrl13-1</f>
        <v>0</v>
      </c>
      <c r="D5" s="559">
        <f>BT2</f>
        <v>8</v>
      </c>
      <c r="E5" s="172" t="str">
        <f t="shared" si="3"/>
        <v>00000000</v>
      </c>
      <c r="F5" s="555" t="str">
        <f t="shared" si="4"/>
        <v>0000000000000000000000010010011001000000000011100101100010</v>
      </c>
      <c r="G5" s="172" t="str">
        <f t="shared" si="5"/>
        <v>000000</v>
      </c>
      <c r="H5">
        <f t="shared" si="6"/>
        <v>0</v>
      </c>
      <c r="I5" s="552" t="str" cm="1">
        <f t="array" ref="I5">IF(H5&lt;&gt;"",INDEX($B$2:$B$66,H5+1),"")</f>
        <v>A</v>
      </c>
      <c r="J5" s="554">
        <f t="shared" si="0"/>
        <v>8</v>
      </c>
      <c r="K5" t="str">
        <f t="shared" si="7"/>
        <v>AAABJkAOWI</v>
      </c>
      <c r="L5" s="2" t="str">
        <f t="shared" si="8"/>
        <v>A</v>
      </c>
      <c r="M5" t="b">
        <f t="shared" si="9"/>
        <v>1</v>
      </c>
      <c r="N5" s="2">
        <f t="shared" si="10"/>
        <v>0</v>
      </c>
      <c r="O5" s="172" t="str">
        <f t="shared" si="1"/>
        <v>000000</v>
      </c>
      <c r="P5" s="177" t="str">
        <f t="shared" si="11"/>
        <v>00000000000000001001001100100000000001110010110001000</v>
      </c>
      <c r="Q5" s="172" t="str">
        <f t="shared" si="2"/>
        <v>00000000</v>
      </c>
      <c r="R5" s="553">
        <f t="shared" si="12"/>
        <v>0</v>
      </c>
      <c r="S5" s="553" t="s">
        <v>18</v>
      </c>
      <c r="AT5" s="7" t="b">
        <f>OR(AT6,AT7)</f>
        <v>0</v>
      </c>
      <c r="BC5" s="7" t="s">
        <v>19</v>
      </c>
      <c r="BF5" s="13"/>
      <c r="BG5" s="325" t="s">
        <v>20</v>
      </c>
      <c r="BH5" s="13"/>
      <c r="BI5" s="13"/>
      <c r="BJ5" s="325" t="s">
        <v>21</v>
      </c>
      <c r="BK5" s="13"/>
      <c r="BL5" s="13"/>
      <c r="BM5" s="7" t="s">
        <v>22</v>
      </c>
      <c r="BP5" s="7" t="s">
        <v>23</v>
      </c>
      <c r="BS5" s="7" t="s">
        <v>24</v>
      </c>
      <c r="BV5" s="7" t="s">
        <v>25</v>
      </c>
      <c r="BY5" s="7" t="s">
        <v>26</v>
      </c>
      <c r="CC5" s="7" t="s">
        <v>27</v>
      </c>
      <c r="CF5" s="7" t="s">
        <v>28</v>
      </c>
      <c r="CI5" s="12"/>
      <c r="CJ5" s="193"/>
      <c r="CK5" s="193"/>
      <c r="CL5" s="193"/>
      <c r="CM5" s="193"/>
      <c r="CN5" s="193"/>
      <c r="CO5" s="193"/>
      <c r="CP5" s="193"/>
      <c r="CQ5" s="193"/>
      <c r="CR5" s="193"/>
      <c r="CS5" s="194"/>
      <c r="CT5" s="199"/>
      <c r="CU5" s="193" t="s">
        <v>29</v>
      </c>
      <c r="CV5" s="207"/>
      <c r="CW5" s="207"/>
      <c r="CX5" s="200" t="s">
        <v>30</v>
      </c>
      <c r="CY5" s="195"/>
      <c r="CZ5" s="251">
        <v>5</v>
      </c>
      <c r="DA5" s="193"/>
      <c r="DB5" s="199"/>
      <c r="DC5" s="194"/>
      <c r="DD5" s="194"/>
      <c r="DE5" s="194"/>
      <c r="DF5" s="194"/>
      <c r="DG5" s="194"/>
      <c r="DH5" s="194"/>
      <c r="DI5" s="194"/>
      <c r="DJ5" s="993"/>
      <c r="DK5" s="993"/>
      <c r="DL5" s="993"/>
      <c r="DM5" s="194"/>
      <c r="DN5" s="194"/>
      <c r="DO5" s="191"/>
    </row>
    <row r="6" spans="1:119">
      <c r="A6">
        <v>5</v>
      </c>
      <c r="B6" t="s">
        <v>31</v>
      </c>
      <c r="C6" s="142">
        <f>Cntrl14-1</f>
        <v>0</v>
      </c>
      <c r="D6" s="559">
        <f>BQ2</f>
        <v>7</v>
      </c>
      <c r="E6" s="172" t="str">
        <f t="shared" si="3"/>
        <v>0000000</v>
      </c>
      <c r="F6" s="555" t="str">
        <f t="shared" si="4"/>
        <v>0000000000000000010010011001000000000011100101100010</v>
      </c>
      <c r="G6" s="172" t="str">
        <f t="shared" si="5"/>
        <v>000000</v>
      </c>
      <c r="H6">
        <f t="shared" si="6"/>
        <v>0</v>
      </c>
      <c r="I6" s="552" t="str" cm="1">
        <f t="array" ref="I6">IF(H6&lt;&gt;"",INDEX($B$2:$B$66,H6+1),"")</f>
        <v>A</v>
      </c>
      <c r="J6" s="554">
        <f t="shared" si="0"/>
        <v>7</v>
      </c>
      <c r="K6" t="str">
        <f t="shared" si="7"/>
        <v>AABJkAOWI</v>
      </c>
      <c r="L6" s="2" t="str">
        <f t="shared" si="8"/>
        <v>A</v>
      </c>
      <c r="M6" t="b">
        <f t="shared" si="9"/>
        <v>1</v>
      </c>
      <c r="N6" s="2">
        <f t="shared" si="10"/>
        <v>0</v>
      </c>
      <c r="O6" s="172" t="str">
        <f t="shared" si="1"/>
        <v>000000</v>
      </c>
      <c r="P6" s="177" t="str">
        <f t="shared" si="11"/>
        <v>000000001001001100100000000001110010110001000</v>
      </c>
      <c r="Q6" s="172" t="str">
        <f t="shared" si="2"/>
        <v>0000000</v>
      </c>
      <c r="R6" s="553">
        <f t="shared" si="12"/>
        <v>0</v>
      </c>
      <c r="S6" s="553" t="s">
        <v>32</v>
      </c>
      <c r="AI6" s="7" t="s">
        <v>33</v>
      </c>
      <c r="AT6" s="7" t="b">
        <f>AND(Cntrl1=3,NOT(Cntrl12-1))</f>
        <v>0</v>
      </c>
      <c r="BF6" s="13"/>
      <c r="BG6" s="13"/>
      <c r="BH6" s="13"/>
      <c r="BI6" s="13"/>
      <c r="CI6" s="12" t="b">
        <f>ISBLANK(WebCntrl3)</f>
        <v>0</v>
      </c>
      <c r="CJ6" s="193"/>
      <c r="CK6" s="1054" t="s">
        <v>34</v>
      </c>
      <c r="CL6" s="1055"/>
      <c r="CM6" s="1020" t="s">
        <v>35</v>
      </c>
      <c r="CN6" s="1020"/>
      <c r="CO6" s="1044"/>
      <c r="CP6" s="331">
        <v>1</v>
      </c>
      <c r="CQ6" s="995" t="str">
        <f>IF(ISBLANK(WebCntrl2),"",AP9)</f>
        <v>Profiled metal</v>
      </c>
      <c r="CR6" s="995"/>
      <c r="CS6" s="199"/>
      <c r="CT6" s="199"/>
      <c r="CU6" s="199"/>
      <c r="CV6" s="194"/>
      <c r="CW6" s="194"/>
      <c r="CX6" s="194"/>
      <c r="CY6" s="194"/>
      <c r="CZ6" s="194"/>
      <c r="DA6" s="194"/>
      <c r="DB6" s="194"/>
      <c r="DC6" s="194"/>
      <c r="DD6" s="194"/>
      <c r="DE6" s="194"/>
      <c r="DF6" s="194"/>
      <c r="DG6" s="194"/>
      <c r="DH6" s="194"/>
      <c r="DI6" s="194"/>
      <c r="DJ6" s="993"/>
      <c r="DK6" s="993"/>
      <c r="DL6" s="993"/>
      <c r="DM6" s="194"/>
      <c r="DN6" s="194"/>
      <c r="DO6" s="191"/>
    </row>
    <row r="7" spans="1:119" ht="15.75" customHeight="1">
      <c r="A7">
        <v>6</v>
      </c>
      <c r="B7" t="s">
        <v>36</v>
      </c>
      <c r="C7" s="142">
        <f>Cntrl11-1</f>
        <v>36</v>
      </c>
      <c r="D7" s="559">
        <f>BN2</f>
        <v>7</v>
      </c>
      <c r="E7" s="172" t="str">
        <f t="shared" si="3"/>
        <v>0100100</v>
      </c>
      <c r="F7" s="555" t="str">
        <f t="shared" si="4"/>
        <v>0000000000010010011001000000000011100101100010</v>
      </c>
      <c r="G7" s="172" t="str">
        <f t="shared" si="5"/>
        <v>000000</v>
      </c>
      <c r="H7">
        <f t="shared" si="6"/>
        <v>0</v>
      </c>
      <c r="I7" s="552" t="str" cm="1">
        <f t="array" ref="I7">IF(H7&lt;&gt;"",INDEX($B$2:$B$66,H7+1),"")</f>
        <v>A</v>
      </c>
      <c r="J7" s="554">
        <f t="shared" si="0"/>
        <v>7</v>
      </c>
      <c r="K7" t="str">
        <f t="shared" si="7"/>
        <v>ABJkAOWI</v>
      </c>
      <c r="L7" s="2" t="str">
        <f t="shared" si="8"/>
        <v>A</v>
      </c>
      <c r="M7" t="b">
        <f t="shared" si="9"/>
        <v>1</v>
      </c>
      <c r="N7" s="2">
        <f t="shared" si="10"/>
        <v>0</v>
      </c>
      <c r="O7" s="172" t="str">
        <f t="shared" si="1"/>
        <v>000000</v>
      </c>
      <c r="P7" s="177" t="str">
        <f t="shared" si="11"/>
        <v>01001001100100000000001110010110001000</v>
      </c>
      <c r="Q7" s="172" t="str">
        <f t="shared" si="2"/>
        <v>0100100</v>
      </c>
      <c r="R7" s="553">
        <f t="shared" si="12"/>
        <v>36</v>
      </c>
      <c r="S7" s="553" t="s">
        <v>37</v>
      </c>
      <c r="AF7" s="7" t="s">
        <v>38</v>
      </c>
      <c r="AN7" s="7" t="s">
        <v>39</v>
      </c>
      <c r="AR7" s="7" t="s">
        <v>40</v>
      </c>
      <c r="AT7" s="7" t="b">
        <f>AND(Cntrl1=4,NOT(AND(Cntrl12-1,Cntrl14-1,Cntrl13-1)))</f>
        <v>0</v>
      </c>
      <c r="AV7" s="7" t="s">
        <v>41</v>
      </c>
      <c r="AZ7" s="7" t="s">
        <v>42</v>
      </c>
      <c r="BF7" s="12"/>
      <c r="BG7" s="9">
        <f>BI8*10</f>
        <v>0</v>
      </c>
      <c r="BH7" s="12"/>
      <c r="BI7" s="36" t="e">
        <f>(AX9+20)/1000/BI8</f>
        <v>#DIV/0!</v>
      </c>
      <c r="CI7" s="12"/>
      <c r="CJ7" s="332"/>
      <c r="CK7" s="1056"/>
      <c r="CL7" s="1055"/>
      <c r="CM7" s="193"/>
      <c r="CN7" s="193"/>
      <c r="CO7" s="193"/>
      <c r="CP7" s="193"/>
      <c r="CQ7" s="193"/>
      <c r="CR7" s="193"/>
      <c r="CS7" s="333"/>
      <c r="CT7" s="199"/>
      <c r="CU7" s="199"/>
      <c r="CV7" s="194"/>
      <c r="CW7" s="194"/>
      <c r="CX7" s="194"/>
      <c r="CY7" s="194"/>
      <c r="CZ7" s="194"/>
      <c r="DA7" s="194"/>
      <c r="DB7" s="333"/>
      <c r="DC7" s="194"/>
      <c r="DD7" s="194"/>
      <c r="DE7" s="194"/>
      <c r="DF7" s="194"/>
      <c r="DG7" s="194"/>
      <c r="DH7" s="194"/>
      <c r="DI7" s="194"/>
      <c r="DJ7" s="993"/>
      <c r="DK7" s="993"/>
      <c r="DL7" s="993"/>
      <c r="DM7" s="193"/>
      <c r="DN7" s="194"/>
      <c r="DO7" s="191"/>
    </row>
    <row r="8" spans="1:119">
      <c r="A8">
        <v>7</v>
      </c>
      <c r="B8" t="s">
        <v>43</v>
      </c>
      <c r="C8" s="142">
        <f>Cntrl9-1</f>
        <v>50</v>
      </c>
      <c r="D8" s="559">
        <f>BK2</f>
        <v>6</v>
      </c>
      <c r="E8" s="172" t="str">
        <f t="shared" si="3"/>
        <v>110010</v>
      </c>
      <c r="F8" s="555" t="str">
        <f t="shared" si="4"/>
        <v>0000010010011001000000000011100101100010</v>
      </c>
      <c r="G8" s="172" t="str">
        <f t="shared" si="5"/>
        <v>000001</v>
      </c>
      <c r="H8">
        <f t="shared" si="6"/>
        <v>1</v>
      </c>
      <c r="I8" s="552" t="str" cm="1">
        <f t="array" ref="I8">IF(H8&lt;&gt;"",INDEX($B$2:$B$66,H8+1),"")</f>
        <v>B</v>
      </c>
      <c r="J8" s="554">
        <f t="shared" si="0"/>
        <v>6</v>
      </c>
      <c r="K8" t="str">
        <f t="shared" si="7"/>
        <v>BJkAOWI</v>
      </c>
      <c r="L8" s="2" t="str">
        <f t="shared" si="8"/>
        <v>B</v>
      </c>
      <c r="M8" t="b">
        <f t="shared" si="9"/>
        <v>1</v>
      </c>
      <c r="N8" s="2">
        <f t="shared" si="10"/>
        <v>1</v>
      </c>
      <c r="O8" s="172" t="str">
        <f t="shared" si="1"/>
        <v>000001</v>
      </c>
      <c r="P8" s="177" t="str">
        <f t="shared" si="11"/>
        <v>1100100000000001110010110001000</v>
      </c>
      <c r="Q8" s="172" t="str">
        <f t="shared" si="2"/>
        <v>110010</v>
      </c>
      <c r="R8" s="553">
        <f t="shared" si="12"/>
        <v>50</v>
      </c>
      <c r="S8" s="553" t="s">
        <v>44</v>
      </c>
      <c r="AD8" s="635">
        <v>17</v>
      </c>
      <c r="AE8" s="12">
        <f>IF(Cntrl17&gt;1,1,0)</f>
        <v>0</v>
      </c>
      <c r="AG8" s="635">
        <v>16</v>
      </c>
      <c r="AH8" s="12">
        <f>IF(AG9&gt;1,1,0)</f>
        <v>1</v>
      </c>
      <c r="AJ8" s="635">
        <v>4</v>
      </c>
      <c r="AK8" s="45" t="s">
        <v>45</v>
      </c>
      <c r="AL8" s="63">
        <f>AL9+$AV$35</f>
        <v>0</v>
      </c>
      <c r="AO8" s="635">
        <v>2</v>
      </c>
      <c r="AS8" s="635">
        <v>1</v>
      </c>
      <c r="AW8" s="635">
        <v>3</v>
      </c>
      <c r="BA8" s="635">
        <v>5</v>
      </c>
      <c r="BD8" s="635">
        <v>10</v>
      </c>
      <c r="BF8" s="9"/>
      <c r="BG8" s="13">
        <v>1.6</v>
      </c>
      <c r="BH8" s="635">
        <v>15</v>
      </c>
      <c r="BI8" s="13">
        <f>IF(BI9="---------",0,VALUE(BI9))</f>
        <v>0</v>
      </c>
      <c r="BK8" s="635">
        <v>9</v>
      </c>
      <c r="BN8" s="635">
        <v>11</v>
      </c>
      <c r="BO8" s="13">
        <f>BO9-AE8*$BI$8</f>
        <v>5.4</v>
      </c>
      <c r="BP8" s="9"/>
      <c r="BQ8" s="635">
        <v>14</v>
      </c>
      <c r="BR8" s="9">
        <f>IF(BR9="---------",0,VALUE(BR9))</f>
        <v>0</v>
      </c>
      <c r="BS8" s="9"/>
      <c r="BT8" s="635">
        <v>13</v>
      </c>
      <c r="BU8" s="13">
        <f>IF(BU9="---------",0,VALUE(BU9))</f>
        <v>0</v>
      </c>
      <c r="BW8" s="635">
        <v>12</v>
      </c>
      <c r="BX8" s="63">
        <f>IF(BX9="---------",0,VALUE(BX9))</f>
        <v>0</v>
      </c>
      <c r="BZ8" s="635">
        <v>6</v>
      </c>
      <c r="CD8" s="635">
        <v>8</v>
      </c>
      <c r="CG8" s="635">
        <v>7</v>
      </c>
      <c r="CI8" s="12" t="b">
        <f>ISBLANK(WebCntrl3)</f>
        <v>0</v>
      </c>
      <c r="CJ8" s="333"/>
      <c r="CK8" s="1056"/>
      <c r="CL8" s="1055"/>
      <c r="CM8" s="1045" t="s">
        <v>46</v>
      </c>
      <c r="CN8" s="1045"/>
      <c r="CO8" s="1046"/>
      <c r="CP8" s="331">
        <v>1</v>
      </c>
      <c r="CQ8" s="996">
        <f>IF(ISBLANK(WebCntrl3),"",AX9)</f>
        <v>140</v>
      </c>
      <c r="CR8" s="996"/>
      <c r="CS8" s="334"/>
      <c r="CT8" s="194"/>
      <c r="CU8" s="194"/>
      <c r="CV8" s="194"/>
      <c r="CW8" s="194"/>
      <c r="CX8" s="194"/>
      <c r="CY8" s="194"/>
      <c r="CZ8" s="194"/>
      <c r="DA8" s="194"/>
      <c r="DB8" s="333"/>
      <c r="DC8" s="194"/>
      <c r="DD8" s="194"/>
      <c r="DE8" s="194"/>
      <c r="DF8" s="194"/>
      <c r="DG8" s="194"/>
      <c r="DH8" s="194"/>
      <c r="DI8" s="194"/>
      <c r="DJ8" s="993"/>
      <c r="DK8" s="993"/>
      <c r="DL8" s="993"/>
      <c r="DM8" s="193"/>
      <c r="DN8" s="194"/>
      <c r="DO8" s="191"/>
    </row>
    <row r="9" spans="1:119" ht="15.75" customHeight="1">
      <c r="A9">
        <v>8</v>
      </c>
      <c r="B9" t="s">
        <v>47</v>
      </c>
      <c r="C9" s="142">
        <f>Cntrl15-1</f>
        <v>0</v>
      </c>
      <c r="D9" s="559">
        <f>BH2</f>
        <v>5</v>
      </c>
      <c r="E9" s="172" t="str">
        <f t="shared" si="3"/>
        <v>00000</v>
      </c>
      <c r="F9" s="555" t="str">
        <f t="shared" si="4"/>
        <v>0010011001000000000011100101100010</v>
      </c>
      <c r="G9" s="172" t="str">
        <f t="shared" si="5"/>
        <v>001001</v>
      </c>
      <c r="H9">
        <f t="shared" si="6"/>
        <v>9</v>
      </c>
      <c r="I9" s="552" t="str" cm="1">
        <f t="array" ref="I9">IF(H9&lt;&gt;"",INDEX($B$2:$B$66,H9+1),"")</f>
        <v>J</v>
      </c>
      <c r="J9" s="554">
        <f t="shared" si="0"/>
        <v>5</v>
      </c>
      <c r="K9" t="str">
        <f t="shared" si="7"/>
        <v>JkAOWI</v>
      </c>
      <c r="L9" s="2" t="str">
        <f t="shared" si="8"/>
        <v>J</v>
      </c>
      <c r="M9" t="b">
        <f t="shared" si="9"/>
        <v>1</v>
      </c>
      <c r="N9" s="2">
        <f t="shared" si="10"/>
        <v>9</v>
      </c>
      <c r="O9" s="172" t="str">
        <f t="shared" si="1"/>
        <v>001001</v>
      </c>
      <c r="P9" s="177" t="str">
        <f t="shared" si="11"/>
        <v>0000000001110010110001000</v>
      </c>
      <c r="Q9" s="172" t="str">
        <f t="shared" si="2"/>
        <v>00000</v>
      </c>
      <c r="R9" s="553">
        <f t="shared" si="12"/>
        <v>0</v>
      </c>
      <c r="S9" s="553" t="s">
        <v>48</v>
      </c>
      <c r="AC9" s="56">
        <f>IF(WebCntrl17="",1,MIN(2,MAX(1,WebCntrl17)))</f>
        <v>1</v>
      </c>
      <c r="AD9" s="326">
        <v>1</v>
      </c>
      <c r="AE9" s="42" t="str" cm="1">
        <f t="array" ref="AE9">INDEX(AE10:AE11,AD9)</f>
        <v>full insul. thick. compressed</v>
      </c>
      <c r="AF9" s="275">
        <f>IF(WebCntrl16="",1,MIN(3,MAX(2,WebCntrl16+1)))</f>
        <v>2</v>
      </c>
      <c r="AG9" s="14">
        <v>2</v>
      </c>
      <c r="AH9" s="33" t="str" cm="1">
        <f t="array" ref="AH9">INDEX(AH10:AH12,AG9)</f>
        <v>single layer or two layers of same material</v>
      </c>
      <c r="AI9" s="275">
        <f>IF(WebCntrl4="",1,MIN(6,MAX(2,WebCntrl4+2)))</f>
        <v>5</v>
      </c>
      <c r="AJ9" s="108">
        <v>5</v>
      </c>
      <c r="AK9" s="52" t="str" cm="1">
        <f t="array" ref="AK9">INDEX(AK10:AK15,AJ9)</f>
        <v>10 mm plasterboard</v>
      </c>
      <c r="AL9" s="12" cm="1">
        <f t="array" ref="AL9">INDEX(AL11:AL15,AJ9-1)</f>
        <v>0</v>
      </c>
      <c r="AM9" s="8" cm="1">
        <f t="array" ref="AM9">INDEX(AM11:AM15,MAX(1,AJ9-1))</f>
        <v>4.4999999999999998E-2</v>
      </c>
      <c r="AN9" s="275">
        <f>IF(WebCntrl2="",1,MIN(3,MAX(2,WebCntrl2+1)))</f>
        <v>2</v>
      </c>
      <c r="AO9" s="143">
        <v>2</v>
      </c>
      <c r="AP9" s="42" t="str" cm="1">
        <f t="array" ref="AP9">INDEX(AP10:AP12,AO9)</f>
        <v>Profiled metal</v>
      </c>
      <c r="AQ9" s="9">
        <f>AO9-2</f>
        <v>0</v>
      </c>
      <c r="AR9" s="275">
        <f>IF(WebCntrl1="",1,MIN(4,MAX(2,WebCntrl1+2)))</f>
        <v>2</v>
      </c>
      <c r="AS9" s="144">
        <v>2</v>
      </c>
      <c r="AT9" s="33" t="str" cm="1">
        <f t="array" ref="AT9">INDEX(AT10:AT13,AS9)</f>
        <v>none</v>
      </c>
      <c r="AU9" s="9">
        <f>AS9-2</f>
        <v>0</v>
      </c>
      <c r="AV9" s="275">
        <f>IF(WebCntrl3="",1,MIN(3,MAX(2,WebCntrl3+1)))</f>
        <v>2</v>
      </c>
      <c r="AW9" s="143">
        <v>3</v>
      </c>
      <c r="AX9" s="33" cm="1">
        <f t="array" ref="AX9">INDEX(AX10:AX12,AW9)</f>
        <v>140</v>
      </c>
      <c r="AY9" s="9">
        <f>AW9-2</f>
        <v>1</v>
      </c>
      <c r="AZ9" s="56">
        <f>IF(WebCntrl5="",1,MIN(4,MAX(2,WebCntrl5+1)))</f>
        <v>2</v>
      </c>
      <c r="BA9" s="143">
        <v>4</v>
      </c>
      <c r="BB9" s="33" cm="1">
        <f t="array" ref="BB9">INDEX(BB10:BB13,BA9)</f>
        <v>600</v>
      </c>
      <c r="BC9" s="56">
        <f>IF(WebCntrl10="",1,MIN(15,MAX(1,20-WebCntrl10/50)))</f>
        <v>10</v>
      </c>
      <c r="BD9" s="151">
        <v>1</v>
      </c>
      <c r="BE9" s="44" cm="1">
        <f t="array" ref="BE9">INDEX(BE10:BE24,BD9)</f>
        <v>950</v>
      </c>
      <c r="BF9" s="8"/>
      <c r="BG9" s="275">
        <f>IF(WebCntrl15="",1,MIN(30,MAX(2,30-10*(WebCntrl15-BG39))))</f>
        <v>30</v>
      </c>
      <c r="BH9" s="39">
        <v>1</v>
      </c>
      <c r="BI9" s="44" cm="1">
        <f t="array" ref="BI9">INDEX(BI10:BI39,BH9)</f>
        <v>0</v>
      </c>
      <c r="BJ9" s="56">
        <f>IF(WebCntrl9="",51,MIN(51,MAX(1,51-10*WebCntrl9)))</f>
        <v>51</v>
      </c>
      <c r="BK9" s="21">
        <v>51</v>
      </c>
      <c r="BL9" s="44" cm="1">
        <f t="array" ref="BL9">INDEX(BL10:BL60,BK9)</f>
        <v>0</v>
      </c>
      <c r="BM9" s="56">
        <f>IF(WebCntrl11="",1,MIN(76,MAX(1,76-10*(WebCntrl11+One_layer*BI8-1.5))))</f>
        <v>41</v>
      </c>
      <c r="BN9" s="144">
        <v>37</v>
      </c>
      <c r="BO9" s="15" cm="1">
        <f t="array" ref="BO9">INDEX(BO10:BO85,MIN(76,MAX(1,BN9-Two_layers*$BG$7)))</f>
        <v>5.4</v>
      </c>
      <c r="BP9" s="275">
        <f>IF(WebCntrl13="",1,97-(MIN(95,MAX(1,INT(WebCntrl13)))))</f>
        <v>96</v>
      </c>
      <c r="BQ9" s="14">
        <v>1</v>
      </c>
      <c r="BR9" s="33" cm="1">
        <f t="array" ref="BR9">INDEX(BR10:BR105,BQ9)</f>
        <v>0</v>
      </c>
      <c r="BS9" s="275">
        <f>IF(WebCntrl14="",1,242-10*(MIN(25,MAX(1,INT(10*WebCntrl14)/10))-1))</f>
        <v>242</v>
      </c>
      <c r="BT9" s="71" t="s">
        <v>49</v>
      </c>
      <c r="BU9" s="33" cm="1">
        <f t="array" ref="BU9">INDEX(BU10:BU251,BT9)</f>
        <v>0</v>
      </c>
      <c r="BV9" s="56">
        <f>IF(WebCntrl12="",1,302-100*(INT(100*MIN(3,MAX(0.01,WebCntrl12)))/100))</f>
        <v>301</v>
      </c>
      <c r="BW9" s="14">
        <v>1</v>
      </c>
      <c r="BX9" s="33" cm="1">
        <f t="array" ref="BX9">INDEX(BX10:BX310,BW9)</f>
        <v>0</v>
      </c>
      <c r="BY9" s="275">
        <f>IF(WebCntrl6="",1,MAX(2,MIN(452,652-10000*WebCntrl6)))</f>
        <v>202</v>
      </c>
      <c r="BZ9" s="31">
        <v>2</v>
      </c>
      <c r="CA9" s="22" cm="1">
        <f t="array" ref="CA9">INDEX(CA10:CA461,BZ9)</f>
        <v>6.5000000000000002E-2</v>
      </c>
      <c r="CB9" s="7">
        <f>76-(CE9-1.5)*10</f>
        <v>76</v>
      </c>
      <c r="CC9" s="56">
        <f>IF(WebCntrl8="",1,MIN(77,MAX(2,77-10*(WebCntrl8-1.5))))</f>
        <v>22</v>
      </c>
      <c r="CD9" s="14">
        <v>77</v>
      </c>
      <c r="CE9" s="15" cm="1">
        <f t="array" ref="CE9">INDEX(CE10:CE86,CD9)</f>
        <v>1.5</v>
      </c>
      <c r="CF9" s="275">
        <f>IF(WebCntrl7="",1,MIN(76,MAX(1,76-10*(WebCntrl7-1.5))))</f>
        <v>25</v>
      </c>
      <c r="CG9" s="144">
        <v>25</v>
      </c>
      <c r="CH9" s="17" t="str" cm="1">
        <f t="array" ref="CH9">INDEX(CH10:CH85,CG9)</f>
        <v>6.6</v>
      </c>
      <c r="CI9" s="12"/>
      <c r="CJ9" s="333"/>
      <c r="CK9" s="1056"/>
      <c r="CL9" s="1055"/>
      <c r="CM9" s="334"/>
      <c r="CN9" s="334"/>
      <c r="CO9" s="334"/>
      <c r="CP9" s="334"/>
      <c r="CQ9" s="334"/>
      <c r="CR9" s="334"/>
      <c r="CS9" s="334"/>
      <c r="CT9" s="194"/>
      <c r="CU9" s="194"/>
      <c r="CV9" s="194"/>
      <c r="CW9" s="194"/>
      <c r="CX9" s="194"/>
      <c r="CY9" s="194"/>
      <c r="CZ9" s="194"/>
      <c r="DA9" s="194"/>
      <c r="DB9" s="333"/>
      <c r="DC9" s="1057" t="e" cm="1" vm="2">
        <f t="array" ref="DC9">IF(Cntrl2=1,"",PIC_roofspace)</f>
        <v>#VALUE!</v>
      </c>
      <c r="DD9" s="1057"/>
      <c r="DE9" s="1057"/>
      <c r="DF9" s="1057"/>
      <c r="DG9" s="1057"/>
      <c r="DH9" s="1057"/>
      <c r="DI9" s="194"/>
      <c r="DJ9" s="993"/>
      <c r="DK9" s="993"/>
      <c r="DL9" s="993"/>
      <c r="DM9" s="333"/>
      <c r="DN9" s="333"/>
      <c r="DO9" s="336"/>
    </row>
    <row r="10" spans="1:119" ht="15.75" customHeight="1">
      <c r="A10">
        <v>9</v>
      </c>
      <c r="B10" t="s">
        <v>50</v>
      </c>
      <c r="C10" s="142">
        <f>Cntrl10-1</f>
        <v>0</v>
      </c>
      <c r="D10" s="559">
        <f>BD2</f>
        <v>4</v>
      </c>
      <c r="E10" s="172" t="str">
        <f t="shared" si="3"/>
        <v>0000</v>
      </c>
      <c r="F10" s="555" t="str">
        <f t="shared" si="4"/>
        <v>1001000000000011100101100010</v>
      </c>
      <c r="G10" s="172" t="str">
        <f t="shared" si="5"/>
        <v>100100</v>
      </c>
      <c r="H10">
        <f t="shared" si="6"/>
        <v>36</v>
      </c>
      <c r="I10" s="552" t="str" cm="1">
        <f t="array" ref="I10">IF(H10&lt;&gt;"",INDEX($B$2:$B$66,H10+1),"")</f>
        <v>k</v>
      </c>
      <c r="J10" s="554">
        <f t="shared" si="0"/>
        <v>4</v>
      </c>
      <c r="K10" t="str">
        <f t="shared" si="7"/>
        <v>kAOWI</v>
      </c>
      <c r="L10" s="2" t="str">
        <f t="shared" si="8"/>
        <v>k</v>
      </c>
      <c r="M10" t="b">
        <f t="shared" si="9"/>
        <v>0</v>
      </c>
      <c r="N10" s="2">
        <f t="shared" si="10"/>
        <v>36</v>
      </c>
      <c r="O10" s="172" t="str">
        <f t="shared" si="1"/>
        <v>100100</v>
      </c>
      <c r="P10" s="177" t="str">
        <f t="shared" si="11"/>
        <v>00001110010110001000</v>
      </c>
      <c r="Q10" s="172" t="str">
        <f t="shared" si="2"/>
        <v>0000</v>
      </c>
      <c r="R10" s="553">
        <f t="shared" si="12"/>
        <v>0</v>
      </c>
      <c r="S10" s="553" t="s">
        <v>51</v>
      </c>
      <c r="AD10" s="12">
        <v>1</v>
      </c>
      <c r="AE10" s="41" t="s">
        <v>52</v>
      </c>
      <c r="AG10" s="12">
        <v>1</v>
      </c>
      <c r="AH10" s="633"/>
      <c r="AJ10" s="12">
        <v>1</v>
      </c>
      <c r="AK10" s="633"/>
      <c r="AO10" s="12">
        <v>1</v>
      </c>
      <c r="AP10" s="633"/>
      <c r="AS10" s="12">
        <v>1</v>
      </c>
      <c r="AT10" s="633"/>
      <c r="AW10" s="12">
        <v>1</v>
      </c>
      <c r="AX10" s="633"/>
      <c r="BA10" s="12">
        <v>1</v>
      </c>
      <c r="BB10" s="633"/>
      <c r="BD10" s="12">
        <v>1</v>
      </c>
      <c r="BE10" s="12">
        <v>950</v>
      </c>
      <c r="BH10" s="12">
        <v>1</v>
      </c>
      <c r="BI10" s="633"/>
      <c r="BK10" s="12">
        <v>1</v>
      </c>
      <c r="BL10" s="12" t="s">
        <v>53</v>
      </c>
      <c r="BN10" s="12">
        <v>1</v>
      </c>
      <c r="BO10" s="12">
        <v>9</v>
      </c>
      <c r="BP10" s="633"/>
      <c r="BQ10" s="59">
        <v>1</v>
      </c>
      <c r="BR10" s="633"/>
      <c r="BS10" s="633"/>
      <c r="BT10" s="12" t="s">
        <v>49</v>
      </c>
      <c r="BU10" s="633"/>
      <c r="BV10" s="633"/>
      <c r="BW10" s="59">
        <v>1</v>
      </c>
      <c r="BX10" s="633"/>
      <c r="BY10" s="633"/>
      <c r="BZ10" s="185">
        <v>1</v>
      </c>
      <c r="CA10" s="633"/>
      <c r="CB10" s="633"/>
      <c r="CC10" s="633"/>
      <c r="CD10" s="12">
        <v>1</v>
      </c>
      <c r="CE10" s="633"/>
      <c r="CG10" s="12">
        <v>1</v>
      </c>
      <c r="CH10" s="12" t="s">
        <v>54</v>
      </c>
      <c r="CI10" s="12" t="b">
        <f>ISBLANK(WebCntrl6)</f>
        <v>0</v>
      </c>
      <c r="CJ10" s="333"/>
      <c r="CK10" s="1056"/>
      <c r="CL10" s="1055"/>
      <c r="CM10" s="1050" t="str">
        <f>IF(One_layer,"Primary insulation conductivity (W/mK)","upper primary insulation layer conductiivty")</f>
        <v>Primary insulation conductivity (W/mK)</v>
      </c>
      <c r="CN10" s="1050"/>
      <c r="CO10" s="1050"/>
      <c r="CP10" s="335">
        <v>4.4999999999999998E-2</v>
      </c>
      <c r="CQ10" s="997">
        <f>IF(ISBLANK(WebCntrl6),"",CA9)</f>
        <v>6.5000000000000002E-2</v>
      </c>
      <c r="CR10" s="997"/>
      <c r="CS10" s="334"/>
      <c r="CT10" s="1058" t="s">
        <v>55</v>
      </c>
      <c r="CU10" s="1058"/>
      <c r="CV10" s="1058"/>
      <c r="CW10" s="337">
        <v>1</v>
      </c>
      <c r="CX10" s="462">
        <f>IF(ISBLANK(WebCntrl5),"",BB9)</f>
        <v>600</v>
      </c>
      <c r="CY10" s="194"/>
      <c r="CZ10" s="194"/>
      <c r="DA10" s="194"/>
      <c r="DB10" s="333"/>
      <c r="DC10" s="1057"/>
      <c r="DD10" s="1057"/>
      <c r="DE10" s="1057"/>
      <c r="DF10" s="1057"/>
      <c r="DG10" s="1057"/>
      <c r="DH10" s="1057"/>
      <c r="DI10" s="194"/>
      <c r="DJ10" s="993"/>
      <c r="DK10" s="993"/>
      <c r="DL10" s="993"/>
      <c r="DM10" s="333"/>
      <c r="DN10" s="333"/>
      <c r="DO10" s="336"/>
    </row>
    <row r="11" spans="1:119" ht="15.75" customHeight="1">
      <c r="A11">
        <v>10</v>
      </c>
      <c r="B11" t="s">
        <v>56</v>
      </c>
      <c r="C11" s="142">
        <f>Cntrl5-1</f>
        <v>3</v>
      </c>
      <c r="D11" s="559">
        <f>BA2</f>
        <v>2</v>
      </c>
      <c r="E11" s="172" t="str">
        <f t="shared" si="3"/>
        <v>11</v>
      </c>
      <c r="F11" s="555" t="str">
        <f t="shared" si="4"/>
        <v>0000000011100101100010</v>
      </c>
      <c r="G11" s="172" t="str">
        <f t="shared" si="5"/>
        <v>000000</v>
      </c>
      <c r="H11">
        <f t="shared" si="6"/>
        <v>0</v>
      </c>
      <c r="I11" s="552" t="str" cm="1">
        <f t="array" ref="I11">IF(H11&lt;&gt;"",INDEX($B$2:$B$66,H11+1),"")</f>
        <v>A</v>
      </c>
      <c r="J11" s="554">
        <f t="shared" si="0"/>
        <v>2</v>
      </c>
      <c r="K11" t="str">
        <f t="shared" si="7"/>
        <v>AOWI</v>
      </c>
      <c r="L11" s="2" t="str">
        <f t="shared" si="8"/>
        <v>A</v>
      </c>
      <c r="M11" t="b">
        <f t="shared" si="9"/>
        <v>1</v>
      </c>
      <c r="N11" s="2">
        <f t="shared" si="10"/>
        <v>0</v>
      </c>
      <c r="O11" s="172" t="str">
        <f t="shared" si="1"/>
        <v>000000</v>
      </c>
      <c r="P11" s="177" t="str">
        <f t="shared" si="11"/>
        <v>1110010110001000</v>
      </c>
      <c r="Q11" s="172" t="str">
        <f t="shared" si="2"/>
        <v>11</v>
      </c>
      <c r="R11" s="553">
        <f t="shared" si="12"/>
        <v>3</v>
      </c>
      <c r="S11" s="553" t="s">
        <v>57</v>
      </c>
      <c r="AD11" s="12">
        <v>2</v>
      </c>
      <c r="AE11" s="7" t="str">
        <f>IF(Two_layers,"only upper layer compressed","full insul. thick. compressed")</f>
        <v>full insul. thick. compressed</v>
      </c>
      <c r="AG11" s="12">
        <v>2</v>
      </c>
      <c r="AH11" s="24" t="s">
        <v>58</v>
      </c>
      <c r="AJ11" s="12">
        <v>2</v>
      </c>
      <c r="AK11" s="43" t="s">
        <v>59</v>
      </c>
      <c r="AL11" s="12">
        <v>-4.4999999999999998E-2</v>
      </c>
      <c r="AM11" s="8">
        <f>AL11+0.045</f>
        <v>0</v>
      </c>
      <c r="AO11" s="12">
        <v>2</v>
      </c>
      <c r="AP11" s="43" t="s">
        <v>60</v>
      </c>
      <c r="AS11" s="12">
        <v>2</v>
      </c>
      <c r="AT11" s="24" t="s">
        <v>61</v>
      </c>
      <c r="AW11" s="12">
        <v>2</v>
      </c>
      <c r="AX11" s="34">
        <v>90</v>
      </c>
      <c r="BA11" s="12">
        <v>2</v>
      </c>
      <c r="BB11" s="12">
        <f>AJ42</f>
        <v>1200</v>
      </c>
      <c r="BD11" s="12">
        <v>2</v>
      </c>
      <c r="BE11" s="12">
        <v>900</v>
      </c>
      <c r="BF11" s="13">
        <v>3.4</v>
      </c>
      <c r="BG11" s="13">
        <f t="shared" ref="BG11:BG39" si="13">IF(Cntrl3=2,BF11,BF11+$BG$8)</f>
        <v>5</v>
      </c>
      <c r="BH11" s="12">
        <v>2</v>
      </c>
      <c r="BI11" s="13" t="str">
        <f t="shared" ref="BI11:BI39" si="14">IF($AG$9&lt;=2,"---------",MAX(1.5,BG11))</f>
        <v>---------</v>
      </c>
      <c r="BK11" s="12">
        <v>2</v>
      </c>
      <c r="BL11" s="12" t="s">
        <v>62</v>
      </c>
      <c r="BN11" s="12">
        <v>2</v>
      </c>
      <c r="BO11" s="12">
        <v>8.9</v>
      </c>
      <c r="BP11" s="7">
        <v>95</v>
      </c>
      <c r="BQ11" s="59">
        <v>2</v>
      </c>
      <c r="BR11" s="64" t="str">
        <f t="shared" ref="BR11:BR42" si="15">IF(Cntrl1&lt;=3,"---------",TEXT(BP11,"0"))</f>
        <v>---------</v>
      </c>
      <c r="BS11" s="106">
        <v>25</v>
      </c>
      <c r="BT11" s="12" t="s">
        <v>63</v>
      </c>
      <c r="BU11" s="7" t="str">
        <f t="shared" ref="BU11:BU74" si="16">IF(Cntrl1&lt;=3,"---------",TEXT(BS11,"0.0"))</f>
        <v>---------</v>
      </c>
      <c r="BV11" s="290">
        <v>3</v>
      </c>
      <c r="BW11" s="59">
        <v>2</v>
      </c>
      <c r="BX11" s="168" t="str">
        <f t="shared" ref="BX11:BX74" si="17">IF(Cntrl1&lt;=2,"---------",TEXT(BV11,"0.00"))</f>
        <v>---------</v>
      </c>
      <c r="BY11" s="182">
        <v>6.5000000000000002E-2</v>
      </c>
      <c r="BZ11" s="185">
        <v>2</v>
      </c>
      <c r="CA11" s="184">
        <f t="shared" ref="CA11:CA74" si="18">BY11</f>
        <v>6.5000000000000002E-2</v>
      </c>
      <c r="CB11" s="142">
        <f>IF($CI$1,"",IF($BA135*$CA$9*1000&lt;=$AH$37+$AX$9+20,$BA135*$CA$9*1000,""))</f>
        <v>585</v>
      </c>
      <c r="CC11" s="262" t="str">
        <f t="shared" ref="CC11:CC42" si="19">IF($CB11&lt;&gt;"",CH10,CC12)</f>
        <v>9.0</v>
      </c>
      <c r="CD11" s="12">
        <v>2</v>
      </c>
      <c r="CE11" s="262" t="str">
        <f t="shared" ref="CE11:CE42" si="20">CC11</f>
        <v>9.0</v>
      </c>
      <c r="CG11" s="12">
        <v>2</v>
      </c>
      <c r="CH11" s="12" t="s">
        <v>64</v>
      </c>
      <c r="CI11" s="12" t="b">
        <f>ISBLANK(WebCntrl5)</f>
        <v>0</v>
      </c>
      <c r="CJ11" s="333"/>
      <c r="CK11" s="1056"/>
      <c r="CL11" s="1055"/>
      <c r="CM11" s="1050"/>
      <c r="CN11" s="1050"/>
      <c r="CO11" s="1050"/>
      <c r="CP11" s="193"/>
      <c r="CQ11" s="193"/>
      <c r="CR11" s="193"/>
      <c r="CS11" s="334"/>
      <c r="CT11" s="1058"/>
      <c r="CU11" s="1058"/>
      <c r="CV11" s="1058"/>
      <c r="CW11" s="333"/>
      <c r="CX11" s="333"/>
      <c r="CY11" s="1047" t="s">
        <v>65</v>
      </c>
      <c r="CZ11" s="1047"/>
      <c r="DA11" s="1047"/>
      <c r="DB11" s="333"/>
      <c r="DC11" s="1057"/>
      <c r="DD11" s="1057"/>
      <c r="DE11" s="1057"/>
      <c r="DF11" s="1057"/>
      <c r="DG11" s="1057"/>
      <c r="DH11" s="1057"/>
      <c r="DI11" s="333"/>
      <c r="DJ11" s="333"/>
      <c r="DK11" s="333"/>
      <c r="DL11" s="333"/>
      <c r="DM11" s="333"/>
      <c r="DN11" s="333"/>
      <c r="DO11" s="336"/>
    </row>
    <row r="12" spans="1:119">
      <c r="A12">
        <v>11</v>
      </c>
      <c r="B12" t="s">
        <v>66</v>
      </c>
      <c r="C12" s="142">
        <f>Cntrl3-1</f>
        <v>2</v>
      </c>
      <c r="D12" s="559">
        <f>AW2</f>
        <v>2</v>
      </c>
      <c r="E12" s="172" t="str">
        <f t="shared" si="3"/>
        <v>10</v>
      </c>
      <c r="F12" s="555" t="str">
        <f t="shared" si="4"/>
        <v>0011100101100010</v>
      </c>
      <c r="G12" s="172" t="str">
        <f t="shared" si="5"/>
        <v>001110</v>
      </c>
      <c r="H12">
        <f t="shared" si="6"/>
        <v>14</v>
      </c>
      <c r="I12" s="552" t="str" cm="1">
        <f t="array" ref="I12">IF(H12&lt;&gt;"",INDEX($B$2:$B$66,H12+1),"")</f>
        <v>O</v>
      </c>
      <c r="J12" s="554">
        <f t="shared" si="0"/>
        <v>2</v>
      </c>
      <c r="K12" t="str">
        <f>IF(LEN(K11)&gt;1,RIGHT(K11,LEN(K11)-1),"")</f>
        <v>OWI</v>
      </c>
      <c r="L12" s="2" t="str">
        <f t="shared" si="8"/>
        <v>O</v>
      </c>
      <c r="M12" t="b">
        <f t="shared" si="9"/>
        <v>1</v>
      </c>
      <c r="N12" s="2">
        <f t="shared" si="10"/>
        <v>14</v>
      </c>
      <c r="O12" s="172" t="str">
        <f t="shared" si="1"/>
        <v>001110</v>
      </c>
      <c r="P12" s="177" t="str">
        <f t="shared" si="11"/>
        <v>10010110001000</v>
      </c>
      <c r="Q12" s="172" t="str">
        <f t="shared" si="2"/>
        <v>10</v>
      </c>
      <c r="R12" s="553">
        <f t="shared" si="12"/>
        <v>2</v>
      </c>
      <c r="S12" s="553" t="s">
        <v>67</v>
      </c>
      <c r="AG12" s="12">
        <v>3</v>
      </c>
      <c r="AH12" s="41" t="s">
        <v>68</v>
      </c>
      <c r="AJ12" s="12">
        <v>3</v>
      </c>
      <c r="AK12" s="43" t="s">
        <v>69</v>
      </c>
      <c r="AL12" s="12">
        <v>5.0000000000000001E-3</v>
      </c>
      <c r="AM12" s="8">
        <f>AL12+0.045</f>
        <v>4.9999999999999996E-2</v>
      </c>
      <c r="AO12" s="12">
        <v>3</v>
      </c>
      <c r="AP12" s="43" t="s">
        <v>70</v>
      </c>
      <c r="AS12" s="12">
        <v>3</v>
      </c>
      <c r="AT12" s="41" t="s">
        <v>71</v>
      </c>
      <c r="AU12" s="8"/>
      <c r="AW12" s="12">
        <v>3</v>
      </c>
      <c r="AX12" s="34">
        <v>140</v>
      </c>
      <c r="BA12" s="12">
        <v>3</v>
      </c>
      <c r="BB12" s="12">
        <f>AJ41</f>
        <v>900</v>
      </c>
      <c r="BD12" s="12">
        <v>3</v>
      </c>
      <c r="BE12" s="12">
        <v>850</v>
      </c>
      <c r="BF12" s="13">
        <v>3.3</v>
      </c>
      <c r="BG12" s="13">
        <f t="shared" si="13"/>
        <v>4.9000000000000004</v>
      </c>
      <c r="BH12" s="12">
        <v>3</v>
      </c>
      <c r="BI12" s="13" t="str">
        <f t="shared" si="14"/>
        <v>---------</v>
      </c>
      <c r="BK12" s="12">
        <v>3</v>
      </c>
      <c r="BL12" s="12" t="s">
        <v>72</v>
      </c>
      <c r="BN12" s="12">
        <v>3</v>
      </c>
      <c r="BO12" s="12">
        <v>8.8000000000000007</v>
      </c>
      <c r="BP12" s="7">
        <v>94</v>
      </c>
      <c r="BQ12" s="59">
        <v>3</v>
      </c>
      <c r="BR12" s="64" t="str">
        <f t="shared" si="15"/>
        <v>---------</v>
      </c>
      <c r="BS12" s="106">
        <v>24.9</v>
      </c>
      <c r="BT12" s="12" t="s">
        <v>73</v>
      </c>
      <c r="BU12" s="7" t="str">
        <f t="shared" si="16"/>
        <v>---------</v>
      </c>
      <c r="BV12" s="290">
        <v>2.99</v>
      </c>
      <c r="BW12" s="59">
        <v>3</v>
      </c>
      <c r="BX12" s="168" t="str">
        <f t="shared" si="17"/>
        <v>---------</v>
      </c>
      <c r="BY12" s="182">
        <v>6.4899999999999999E-2</v>
      </c>
      <c r="BZ12" s="185">
        <v>3</v>
      </c>
      <c r="CA12" s="184">
        <f t="shared" si="18"/>
        <v>6.4899999999999999E-2</v>
      </c>
      <c r="CB12" s="142">
        <f t="shared" ref="CB12:CB75" si="21">IF($CI$1,"",IF($BA136*$CA$9*1000&lt;=$AH$37+$AX$9+20,$BA136*$CA$9*1000,""))</f>
        <v>578.5</v>
      </c>
      <c r="CC12" s="262" t="str">
        <f t="shared" si="19"/>
        <v>8.9</v>
      </c>
      <c r="CD12" s="12">
        <v>3</v>
      </c>
      <c r="CE12" s="262" t="str">
        <f t="shared" si="20"/>
        <v>8.9</v>
      </c>
      <c r="CG12" s="12">
        <v>3</v>
      </c>
      <c r="CH12" s="12" t="s">
        <v>74</v>
      </c>
      <c r="CI12" s="12"/>
      <c r="CJ12" s="333"/>
      <c r="CK12" s="1056"/>
      <c r="CL12" s="1055"/>
      <c r="CM12" s="334"/>
      <c r="CN12" s="334"/>
      <c r="CO12" s="334"/>
      <c r="CP12" s="334"/>
      <c r="CQ12" s="334"/>
      <c r="CR12" s="334"/>
      <c r="CS12" s="334"/>
      <c r="CT12" s="333"/>
      <c r="CU12" s="333"/>
      <c r="CV12" s="333"/>
      <c r="CW12" s="333"/>
      <c r="CX12" s="333"/>
      <c r="CY12" s="1047"/>
      <c r="CZ12" s="1047"/>
      <c r="DA12" s="1047"/>
      <c r="DB12" s="333"/>
      <c r="DC12" s="1057"/>
      <c r="DD12" s="1057"/>
      <c r="DE12" s="1057"/>
      <c r="DF12" s="1057"/>
      <c r="DG12" s="1057"/>
      <c r="DH12" s="1057"/>
      <c r="DI12" s="333"/>
      <c r="DJ12" s="333"/>
      <c r="DK12" s="333"/>
      <c r="DL12" s="333"/>
      <c r="DM12" s="333"/>
      <c r="DN12" s="333"/>
      <c r="DO12" s="336"/>
    </row>
    <row r="13" spans="1:119" ht="15.75" customHeight="1">
      <c r="A13">
        <v>12</v>
      </c>
      <c r="B13" t="s">
        <v>75</v>
      </c>
      <c r="C13" s="142">
        <f>Cntrl1-1</f>
        <v>1</v>
      </c>
      <c r="D13" s="559">
        <f>AS2</f>
        <v>2</v>
      </c>
      <c r="E13" s="172" t="str">
        <f t="shared" si="3"/>
        <v>01</v>
      </c>
      <c r="F13" s="555" t="str">
        <f t="shared" si="4"/>
        <v>0101100010</v>
      </c>
      <c r="G13" s="172" t="str">
        <f t="shared" si="5"/>
        <v>010110</v>
      </c>
      <c r="H13">
        <f t="shared" si="6"/>
        <v>22</v>
      </c>
      <c r="I13" s="552" t="str" cm="1">
        <f t="array" ref="I13">IF(H13&lt;&gt;"",INDEX($B$2:$B$66,H13+1),"")</f>
        <v>W</v>
      </c>
      <c r="J13" s="554">
        <f t="shared" si="0"/>
        <v>2</v>
      </c>
      <c r="K13" t="str">
        <f t="shared" ref="K13:K27" si="22">IF(LEN(K12)&gt;1,RIGHT(K12,LEN(K12)-1),"")</f>
        <v>WI</v>
      </c>
      <c r="L13" s="2" t="str">
        <f t="shared" si="8"/>
        <v>W</v>
      </c>
      <c r="M13" t="b">
        <f t="shared" si="9"/>
        <v>1</v>
      </c>
      <c r="N13" s="2">
        <f t="shared" si="10"/>
        <v>22</v>
      </c>
      <c r="O13" s="172" t="str">
        <f t="shared" si="1"/>
        <v>010110</v>
      </c>
      <c r="P13" s="177" t="str">
        <f t="shared" si="11"/>
        <v>010110001000</v>
      </c>
      <c r="Q13" s="172" t="str">
        <f t="shared" si="2"/>
        <v>01</v>
      </c>
      <c r="R13" s="553">
        <f t="shared" si="12"/>
        <v>1</v>
      </c>
      <c r="S13" s="553" t="s">
        <v>76</v>
      </c>
      <c r="AJ13" s="12">
        <v>4</v>
      </c>
      <c r="AK13" s="43" t="s">
        <v>77</v>
      </c>
      <c r="AL13" s="18">
        <v>5.5E-2</v>
      </c>
      <c r="AM13" s="8">
        <f>AL13+0.045</f>
        <v>0.1</v>
      </c>
      <c r="AS13" s="12">
        <v>4</v>
      </c>
      <c r="AT13" s="41" t="s">
        <v>78</v>
      </c>
      <c r="BA13" s="12">
        <v>4</v>
      </c>
      <c r="BB13" s="12">
        <f>AJ40</f>
        <v>600</v>
      </c>
      <c r="BD13" s="12">
        <v>4</v>
      </c>
      <c r="BE13" s="12">
        <v>800</v>
      </c>
      <c r="BF13" s="13">
        <v>3.2</v>
      </c>
      <c r="BG13" s="13">
        <f t="shared" si="13"/>
        <v>4.8000000000000007</v>
      </c>
      <c r="BH13" s="12">
        <v>4</v>
      </c>
      <c r="BI13" s="13" t="str">
        <f t="shared" si="14"/>
        <v>---------</v>
      </c>
      <c r="BK13" s="12">
        <v>4</v>
      </c>
      <c r="BL13" s="12" t="s">
        <v>79</v>
      </c>
      <c r="BN13" s="12">
        <v>4</v>
      </c>
      <c r="BO13" s="12">
        <v>8.6999999999999993</v>
      </c>
      <c r="BP13" s="7">
        <v>93</v>
      </c>
      <c r="BQ13" s="59">
        <v>4</v>
      </c>
      <c r="BR13" s="64" t="str">
        <f t="shared" si="15"/>
        <v>---------</v>
      </c>
      <c r="BS13" s="106">
        <v>24.8</v>
      </c>
      <c r="BT13" s="12" t="s">
        <v>80</v>
      </c>
      <c r="BU13" s="7" t="str">
        <f t="shared" si="16"/>
        <v>---------</v>
      </c>
      <c r="BV13" s="290">
        <v>2.98</v>
      </c>
      <c r="BW13" s="59">
        <v>4</v>
      </c>
      <c r="BX13" s="168" t="str">
        <f t="shared" si="17"/>
        <v>---------</v>
      </c>
      <c r="BY13" s="182">
        <v>6.4799999999999996E-2</v>
      </c>
      <c r="BZ13" s="185">
        <v>4</v>
      </c>
      <c r="CA13" s="184">
        <f t="shared" si="18"/>
        <v>6.4799999999999996E-2</v>
      </c>
      <c r="CB13" s="142">
        <f t="shared" si="21"/>
        <v>572.00000000000011</v>
      </c>
      <c r="CC13" s="262" t="str">
        <f t="shared" si="19"/>
        <v>8.8</v>
      </c>
      <c r="CD13" s="12">
        <v>4</v>
      </c>
      <c r="CE13" s="262" t="str">
        <f t="shared" si="20"/>
        <v>8.8</v>
      </c>
      <c r="CG13" s="12">
        <v>4</v>
      </c>
      <c r="CH13" s="12" t="s">
        <v>81</v>
      </c>
      <c r="CI13" s="12" t="b">
        <f>ISBLANK(WebCntrl15)</f>
        <v>0</v>
      </c>
      <c r="CJ13" s="333"/>
      <c r="CK13" s="337">
        <v>6.6</v>
      </c>
      <c r="CL13" s="470" t="str">
        <f>CH9</f>
        <v>6.6</v>
      </c>
      <c r="CM13" s="1034" t="str">
        <f>IF(Two_layers,"lower primary insulation layer ","")</f>
        <v/>
      </c>
      <c r="CN13" s="1035"/>
      <c r="CO13" s="1036"/>
      <c r="CP13" s="337">
        <v>0</v>
      </c>
      <c r="CQ13" s="998">
        <f>IF(ISBLANK(WebCntrl15),"",BI9)</f>
        <v>0</v>
      </c>
      <c r="CR13" s="999"/>
      <c r="CS13" s="334"/>
      <c r="CT13" s="1059" t="str">
        <f>IF(Two_layers,"upper primary insulation layer R-value","Total primary insulation layer(s) R-value")</f>
        <v>Total primary insulation layer(s) R-value</v>
      </c>
      <c r="CU13" s="1059"/>
      <c r="CV13" s="1059"/>
      <c r="CW13" s="338">
        <v>7</v>
      </c>
      <c r="CX13" s="461">
        <f>IF(ISBLANK(WebCntrl8),"",CE9)</f>
        <v>1.5</v>
      </c>
      <c r="CY13" s="333"/>
      <c r="CZ13" s="442">
        <f>CE9</f>
        <v>1.5</v>
      </c>
      <c r="DA13" s="1048" t="str">
        <f>"R "&amp;TEXT(IF(One_layer,CE9,CE9+BI8),"0.0")</f>
        <v>R 1.5</v>
      </c>
      <c r="DB13" s="333"/>
      <c r="DC13" s="1057"/>
      <c r="DD13" s="1057"/>
      <c r="DE13" s="1057"/>
      <c r="DF13" s="1057"/>
      <c r="DG13" s="1057"/>
      <c r="DH13" s="1057"/>
      <c r="DI13" s="333"/>
      <c r="DJ13" s="333"/>
      <c r="DK13" s="333"/>
      <c r="DL13" s="333"/>
      <c r="DM13" s="333"/>
      <c r="DN13" s="333"/>
      <c r="DO13" s="336"/>
    </row>
    <row r="14" spans="1:119" ht="15.75" customHeight="1">
      <c r="A14">
        <v>13</v>
      </c>
      <c r="B14" t="s">
        <v>82</v>
      </c>
      <c r="C14" s="142">
        <f>Cntrl2-1</f>
        <v>1</v>
      </c>
      <c r="D14" s="559">
        <f>AO2</f>
        <v>2</v>
      </c>
      <c r="E14" s="172" t="str">
        <f t="shared" si="3"/>
        <v>01</v>
      </c>
      <c r="F14" s="555" t="str">
        <f t="shared" si="4"/>
        <v>0010</v>
      </c>
      <c r="G14" s="172" t="str">
        <f t="shared" si="5"/>
        <v>001000</v>
      </c>
      <c r="H14">
        <f t="shared" si="6"/>
        <v>8</v>
      </c>
      <c r="I14" s="552" t="str" cm="1">
        <f t="array" ref="I14">IF(H14&lt;&gt;"",INDEX($B$2:$B$66,H14+1),"")</f>
        <v>I</v>
      </c>
      <c r="J14" s="554">
        <f t="shared" si="0"/>
        <v>2</v>
      </c>
      <c r="K14" t="str">
        <f t="shared" si="22"/>
        <v>I</v>
      </c>
      <c r="L14" s="2" t="str">
        <f t="shared" si="8"/>
        <v>I</v>
      </c>
      <c r="M14" t="b">
        <f t="shared" si="9"/>
        <v>1</v>
      </c>
      <c r="N14" s="2">
        <f t="shared" si="10"/>
        <v>8</v>
      </c>
      <c r="O14" s="172" t="str">
        <f t="shared" si="1"/>
        <v>001000</v>
      </c>
      <c r="P14" s="177" t="str">
        <f t="shared" si="11"/>
        <v>0110001000</v>
      </c>
      <c r="Q14" s="172" t="str">
        <f t="shared" si="2"/>
        <v>01</v>
      </c>
      <c r="R14" s="553">
        <f t="shared" si="12"/>
        <v>1</v>
      </c>
      <c r="S14" s="553" t="s">
        <v>83</v>
      </c>
      <c r="AJ14" s="12">
        <v>5</v>
      </c>
      <c r="AK14" s="43" t="s">
        <v>84</v>
      </c>
      <c r="AL14" s="12">
        <v>0</v>
      </c>
      <c r="AM14" s="8">
        <f>AL14+0.045</f>
        <v>4.4999999999999998E-2</v>
      </c>
      <c r="BD14" s="12">
        <v>5</v>
      </c>
      <c r="BE14" s="12">
        <v>750</v>
      </c>
      <c r="BF14" s="13">
        <v>3.1</v>
      </c>
      <c r="BG14" s="13">
        <f t="shared" si="13"/>
        <v>4.7</v>
      </c>
      <c r="BH14" s="12">
        <v>5</v>
      </c>
      <c r="BI14" s="13" t="str">
        <f t="shared" si="14"/>
        <v>---------</v>
      </c>
      <c r="BK14" s="12">
        <v>5</v>
      </c>
      <c r="BL14" s="12" t="s">
        <v>85</v>
      </c>
      <c r="BN14" s="12">
        <v>5</v>
      </c>
      <c r="BO14" s="12">
        <v>8.6</v>
      </c>
      <c r="BP14" s="7">
        <v>92</v>
      </c>
      <c r="BQ14" s="59">
        <v>5</v>
      </c>
      <c r="BR14" s="64" t="str">
        <f t="shared" si="15"/>
        <v>---------</v>
      </c>
      <c r="BS14" s="106">
        <v>24.7</v>
      </c>
      <c r="BT14" s="12" t="s">
        <v>86</v>
      </c>
      <c r="BU14" s="7" t="str">
        <f t="shared" si="16"/>
        <v>---------</v>
      </c>
      <c r="BV14" s="290">
        <v>2.97</v>
      </c>
      <c r="BW14" s="59">
        <v>5</v>
      </c>
      <c r="BX14" s="168" t="str">
        <f t="shared" si="17"/>
        <v>---------</v>
      </c>
      <c r="BY14" s="182">
        <v>6.4699999999999994E-2</v>
      </c>
      <c r="BZ14" s="185">
        <v>5</v>
      </c>
      <c r="CA14" s="184">
        <f t="shared" si="18"/>
        <v>6.4699999999999994E-2</v>
      </c>
      <c r="CB14" s="142">
        <f t="shared" si="21"/>
        <v>565.5</v>
      </c>
      <c r="CC14" s="262" t="str">
        <f t="shared" si="19"/>
        <v>8.7</v>
      </c>
      <c r="CD14" s="12">
        <v>5</v>
      </c>
      <c r="CE14" s="262" t="str">
        <f t="shared" si="20"/>
        <v>8.7</v>
      </c>
      <c r="CG14" s="12">
        <v>5</v>
      </c>
      <c r="CH14" s="12" t="s">
        <v>87</v>
      </c>
      <c r="CI14" s="12" t="b">
        <f>ISBLANK(WebCntrl8)</f>
        <v>0</v>
      </c>
      <c r="CJ14" s="333"/>
      <c r="CK14" s="1037"/>
      <c r="CL14" s="1038"/>
      <c r="CM14" s="1034" t="str">
        <f>IF(Two_layers,"R-value @ "&amp;INT(AX9+20)&amp;" mm &amp; k = "&amp;TEXT(BI7,"0.000"),"")</f>
        <v/>
      </c>
      <c r="CN14" s="1035"/>
      <c r="CO14" s="1035"/>
      <c r="CP14" s="489"/>
      <c r="CQ14" s="489"/>
      <c r="CR14" s="489"/>
      <c r="CS14" s="334"/>
      <c r="CT14" s="1059"/>
      <c r="CU14" s="1059"/>
      <c r="CV14" s="1059"/>
      <c r="CW14" s="643"/>
      <c r="CX14" s="333"/>
      <c r="CY14" s="333"/>
      <c r="CZ14" s="360" t="str">
        <f>IF(BI8=0,"",BI8)</f>
        <v/>
      </c>
      <c r="DA14" s="1049"/>
      <c r="DB14" s="333"/>
      <c r="DC14" s="1057"/>
      <c r="DD14" s="1057"/>
      <c r="DE14" s="1057"/>
      <c r="DF14" s="1057"/>
      <c r="DG14" s="1057"/>
      <c r="DH14" s="1057"/>
      <c r="DI14" s="333"/>
      <c r="DJ14" s="333"/>
      <c r="DK14" s="333"/>
      <c r="DL14" s="333"/>
      <c r="DM14" s="333"/>
      <c r="DN14" s="333"/>
      <c r="DO14" s="336"/>
    </row>
    <row r="15" spans="1:119" ht="15.75" customHeight="1">
      <c r="A15">
        <v>14</v>
      </c>
      <c r="B15" t="s">
        <v>88</v>
      </c>
      <c r="C15" s="142">
        <f>Cntrl4-1</f>
        <v>4</v>
      </c>
      <c r="D15" s="559">
        <f>AJ2</f>
        <v>3</v>
      </c>
      <c r="E15" s="172" t="str">
        <f t="shared" si="3"/>
        <v>100</v>
      </c>
      <c r="F15" s="555" t="str">
        <f>IF(LEN(F14)&gt;=6,RIGHT(F14,LEN(F14)-6),"")</f>
        <v/>
      </c>
      <c r="G15" s="172" t="str">
        <f t="shared" si="5"/>
        <v/>
      </c>
      <c r="H15" t="str">
        <f t="shared" si="6"/>
        <v/>
      </c>
      <c r="I15" s="552" t="str" cm="1">
        <f t="array" ref="I15">IF(H15&lt;&gt;"",INDEX($B$2:$B$66,H15+1),"")</f>
        <v/>
      </c>
      <c r="J15" s="554">
        <f t="shared" si="0"/>
        <v>3</v>
      </c>
      <c r="K15" t="str">
        <f t="shared" si="22"/>
        <v/>
      </c>
      <c r="L15" s="2" t="str">
        <f t="shared" si="8"/>
        <v/>
      </c>
      <c r="M15" t="str">
        <f t="shared" si="9"/>
        <v/>
      </c>
      <c r="N15" s="2" t="str">
        <f t="shared" si="10"/>
        <v/>
      </c>
      <c r="O15" s="172" t="str">
        <f t="shared" si="1"/>
        <v/>
      </c>
      <c r="P15" s="177" t="str">
        <f t="shared" si="11"/>
        <v>10001000</v>
      </c>
      <c r="Q15" s="172" t="str">
        <f t="shared" si="2"/>
        <v>100</v>
      </c>
      <c r="R15" s="553">
        <f t="shared" si="12"/>
        <v>4</v>
      </c>
      <c r="S15" s="553" t="s">
        <v>89</v>
      </c>
      <c r="AJ15" s="12">
        <v>6</v>
      </c>
      <c r="AK15" s="43" t="s">
        <v>90</v>
      </c>
      <c r="AL15" s="12">
        <v>1.4E-2</v>
      </c>
      <c r="AM15" s="8">
        <f>AL15+0.045</f>
        <v>5.8999999999999997E-2</v>
      </c>
      <c r="BD15" s="12">
        <v>6</v>
      </c>
      <c r="BE15" s="12" t="s">
        <v>91</v>
      </c>
      <c r="BF15" s="13">
        <v>3</v>
      </c>
      <c r="BG15" s="13">
        <f t="shared" si="13"/>
        <v>4.5999999999999996</v>
      </c>
      <c r="BH15" s="12">
        <v>6</v>
      </c>
      <c r="BI15" s="13" t="str">
        <f t="shared" si="14"/>
        <v>---------</v>
      </c>
      <c r="BK15" s="12">
        <v>6</v>
      </c>
      <c r="BL15" s="12" t="s">
        <v>92</v>
      </c>
      <c r="BN15" s="12">
        <v>6</v>
      </c>
      <c r="BO15" s="12">
        <v>8.5</v>
      </c>
      <c r="BP15" s="7">
        <v>91</v>
      </c>
      <c r="BQ15" s="59">
        <v>6</v>
      </c>
      <c r="BR15" s="64" t="str">
        <f t="shared" si="15"/>
        <v>---------</v>
      </c>
      <c r="BS15" s="106">
        <v>24.6</v>
      </c>
      <c r="BT15" s="12" t="s">
        <v>93</v>
      </c>
      <c r="BU15" s="7" t="str">
        <f t="shared" si="16"/>
        <v>---------</v>
      </c>
      <c r="BV15" s="290">
        <v>2.96</v>
      </c>
      <c r="BW15" s="59">
        <v>6</v>
      </c>
      <c r="BX15" s="168" t="str">
        <f t="shared" si="17"/>
        <v>---------</v>
      </c>
      <c r="BY15" s="182">
        <v>6.4600000000000005E-2</v>
      </c>
      <c r="BZ15" s="185">
        <v>6</v>
      </c>
      <c r="CA15" s="184">
        <f t="shared" si="18"/>
        <v>6.4600000000000005E-2</v>
      </c>
      <c r="CB15" s="142">
        <f t="shared" si="21"/>
        <v>558.99999999999989</v>
      </c>
      <c r="CC15" s="262" t="str">
        <f t="shared" si="19"/>
        <v>8.6</v>
      </c>
      <c r="CD15" s="12">
        <v>6</v>
      </c>
      <c r="CE15" s="262" t="str">
        <f t="shared" si="20"/>
        <v>8.6</v>
      </c>
      <c r="CG15" s="12">
        <v>6</v>
      </c>
      <c r="CH15" s="12" t="s">
        <v>94</v>
      </c>
      <c r="CI15" s="12"/>
      <c r="CJ15" s="332"/>
      <c r="CK15" s="1037"/>
      <c r="CL15" s="1038"/>
      <c r="CM15" s="334"/>
      <c r="CN15" s="334"/>
      <c r="CO15" s="334"/>
      <c r="CP15" s="334"/>
      <c r="CQ15" s="334"/>
      <c r="CR15" s="334"/>
      <c r="CS15" s="334"/>
      <c r="CT15" s="333"/>
      <c r="CU15" s="333"/>
      <c r="CV15" s="333"/>
      <c r="CW15" s="333"/>
      <c r="CX15" s="333"/>
      <c r="CY15" s="333"/>
      <c r="CZ15" s="1042" t="s">
        <v>95</v>
      </c>
      <c r="DA15" s="1042"/>
      <c r="DB15" s="333"/>
      <c r="DC15" s="1057"/>
      <c r="DD15" s="1057"/>
      <c r="DE15" s="1057"/>
      <c r="DF15" s="1057"/>
      <c r="DG15" s="1057"/>
      <c r="DH15" s="1057"/>
      <c r="DI15" s="333"/>
      <c r="DJ15" s="333"/>
      <c r="DK15" s="333"/>
      <c r="DL15" s="333"/>
      <c r="DM15" s="333"/>
      <c r="DN15" s="333"/>
      <c r="DO15" s="336"/>
    </row>
    <row r="16" spans="1:119" ht="15.75" customHeight="1">
      <c r="A16">
        <v>15</v>
      </c>
      <c r="B16" t="s">
        <v>96</v>
      </c>
      <c r="C16" s="142">
        <f>Cntrl16-1</f>
        <v>1</v>
      </c>
      <c r="D16" s="559">
        <f>AG2</f>
        <v>2</v>
      </c>
      <c r="E16" s="172" t="str">
        <f t="shared" si="3"/>
        <v>01</v>
      </c>
      <c r="F16" s="555" t="str">
        <f t="shared" ref="F16:F27" si="23">IF(LEN(F15)&gt;=6,RIGHT(F15,LEN(F15)-6),"")</f>
        <v/>
      </c>
      <c r="G16" s="172" t="str">
        <f t="shared" si="5"/>
        <v/>
      </c>
      <c r="H16" t="str">
        <f t="shared" si="6"/>
        <v/>
      </c>
      <c r="I16" s="552" t="str" cm="1">
        <f t="array" ref="I16">IF(H16&lt;&gt;"",INDEX($B$2:$B$66,H16+1),"")</f>
        <v/>
      </c>
      <c r="J16" s="554">
        <f t="shared" si="0"/>
        <v>2</v>
      </c>
      <c r="K16" t="str">
        <f t="shared" si="22"/>
        <v/>
      </c>
      <c r="L16" s="2" t="str">
        <f t="shared" si="8"/>
        <v/>
      </c>
      <c r="M16" t="str">
        <f t="shared" si="9"/>
        <v/>
      </c>
      <c r="N16" s="2" t="str">
        <f t="shared" si="10"/>
        <v/>
      </c>
      <c r="O16" s="172" t="str">
        <f t="shared" si="1"/>
        <v/>
      </c>
      <c r="P16" s="177" t="str">
        <f t="shared" si="11"/>
        <v>01000</v>
      </c>
      <c r="Q16" s="172" t="str">
        <f t="shared" si="2"/>
        <v>01</v>
      </c>
      <c r="R16" s="553">
        <f t="shared" si="12"/>
        <v>1</v>
      </c>
      <c r="S16" s="553" t="s">
        <v>97</v>
      </c>
      <c r="AJ16" s="12"/>
      <c r="AL16" s="12"/>
      <c r="AP16" s="7">
        <v>1</v>
      </c>
      <c r="AQ16" s="7">
        <v>1</v>
      </c>
      <c r="AR16" s="7">
        <f t="shared" ref="AR16:AR21" si="24">IF(AP16=1,1,INT(LOG(AP16-1,2))+1)</f>
        <v>1</v>
      </c>
      <c r="BD16" s="12">
        <v>7</v>
      </c>
      <c r="BE16" s="12">
        <v>650</v>
      </c>
      <c r="BF16" s="13">
        <v>2.9</v>
      </c>
      <c r="BG16" s="13">
        <f t="shared" si="13"/>
        <v>4.5</v>
      </c>
      <c r="BH16" s="12">
        <v>7</v>
      </c>
      <c r="BI16" s="13" t="str">
        <f t="shared" si="14"/>
        <v>---------</v>
      </c>
      <c r="BK16" s="12">
        <v>7</v>
      </c>
      <c r="BL16" s="12" t="s">
        <v>98</v>
      </c>
      <c r="BN16" s="12">
        <v>7</v>
      </c>
      <c r="BO16" s="12">
        <v>8.4</v>
      </c>
      <c r="BP16" s="7">
        <v>90</v>
      </c>
      <c r="BQ16" s="59">
        <v>7</v>
      </c>
      <c r="BR16" s="64" t="str">
        <f t="shared" si="15"/>
        <v>---------</v>
      </c>
      <c r="BS16" s="106">
        <v>24.5</v>
      </c>
      <c r="BT16" s="12" t="s">
        <v>99</v>
      </c>
      <c r="BU16" s="7" t="str">
        <f t="shared" si="16"/>
        <v>---------</v>
      </c>
      <c r="BV16" s="290">
        <v>2.95</v>
      </c>
      <c r="BW16" s="59">
        <v>7</v>
      </c>
      <c r="BX16" s="168" t="str">
        <f t="shared" si="17"/>
        <v>---------</v>
      </c>
      <c r="BY16" s="182">
        <v>6.4500000000000002E-2</v>
      </c>
      <c r="BZ16" s="185">
        <v>7</v>
      </c>
      <c r="CA16" s="184">
        <f t="shared" si="18"/>
        <v>6.4500000000000002E-2</v>
      </c>
      <c r="CB16" s="142">
        <f t="shared" si="21"/>
        <v>552.5</v>
      </c>
      <c r="CC16" s="262" t="str">
        <f t="shared" si="19"/>
        <v>8.5</v>
      </c>
      <c r="CD16" s="12">
        <v>7</v>
      </c>
      <c r="CE16" s="262" t="str">
        <f t="shared" si="20"/>
        <v>8.5</v>
      </c>
      <c r="CG16" s="12">
        <v>7</v>
      </c>
      <c r="CH16" s="12" t="s">
        <v>100</v>
      </c>
      <c r="CI16" s="12" t="b">
        <f>ISBLANK(WebCntrl1)</f>
        <v>0</v>
      </c>
      <c r="CJ16" s="332"/>
      <c r="CK16" s="1037"/>
      <c r="CL16" s="1038"/>
      <c r="CM16" s="1040" t="s">
        <v>101</v>
      </c>
      <c r="CN16" s="1040"/>
      <c r="CO16" s="443"/>
      <c r="CP16" s="331">
        <v>0</v>
      </c>
      <c r="CQ16" s="995" t="str">
        <f>IF(ISBLANK(WebCntrl1),"",AT9)</f>
        <v>none</v>
      </c>
      <c r="CR16" s="995"/>
      <c r="CS16" s="334"/>
      <c r="CT16" s="1060" t="s">
        <v>102</v>
      </c>
      <c r="CU16" s="1060"/>
      <c r="CV16" s="1060"/>
      <c r="CW16" s="1043" t="str">
        <f>TEXT(CE9*CA9*1000,"0")&amp;" mm"</f>
        <v>98 mm</v>
      </c>
      <c r="CX16" s="1043"/>
      <c r="CY16" s="333"/>
      <c r="CZ16" s="1042"/>
      <c r="DA16" s="1042"/>
      <c r="DB16" s="333"/>
      <c r="DC16" s="1057"/>
      <c r="DD16" s="1057"/>
      <c r="DE16" s="1057"/>
      <c r="DF16" s="1057"/>
      <c r="DG16" s="1057"/>
      <c r="DH16" s="1057"/>
      <c r="DI16" s="333"/>
      <c r="DJ16" s="333"/>
      <c r="DK16" s="334"/>
      <c r="DL16" s="334"/>
      <c r="DM16" s="334"/>
      <c r="DN16" s="333"/>
      <c r="DO16" s="336"/>
    </row>
    <row r="17" spans="1:119" ht="15.75" customHeight="1">
      <c r="A17">
        <v>16</v>
      </c>
      <c r="B17" t="s">
        <v>103</v>
      </c>
      <c r="C17" s="142">
        <f>Cntrl17-1</f>
        <v>0</v>
      </c>
      <c r="D17" s="559">
        <f>AD2</f>
        <v>1</v>
      </c>
      <c r="E17" s="172" t="str">
        <f t="shared" si="3"/>
        <v>0</v>
      </c>
      <c r="F17" s="555" t="str">
        <f t="shared" si="23"/>
        <v/>
      </c>
      <c r="G17" s="172" t="str">
        <f t="shared" si="5"/>
        <v/>
      </c>
      <c r="H17" t="str">
        <f t="shared" si="6"/>
        <v/>
      </c>
      <c r="I17" s="552" t="str" cm="1">
        <f t="array" ref="I17">IF(H17&lt;&gt;"",INDEX($B$2:$B$66,H17+1),"")</f>
        <v/>
      </c>
      <c r="J17" s="554">
        <f t="shared" si="0"/>
        <v>1</v>
      </c>
      <c r="K17" t="str">
        <f t="shared" si="22"/>
        <v/>
      </c>
      <c r="L17" s="2" t="str">
        <f t="shared" si="8"/>
        <v/>
      </c>
      <c r="M17" t="str">
        <f t="shared" si="9"/>
        <v/>
      </c>
      <c r="N17" s="2" t="str">
        <f t="shared" si="10"/>
        <v/>
      </c>
      <c r="O17" s="172" t="str">
        <f t="shared" si="1"/>
        <v/>
      </c>
      <c r="P17" s="177" t="str">
        <f t="shared" si="11"/>
        <v>000</v>
      </c>
      <c r="Q17" s="172" t="str">
        <f t="shared" si="2"/>
        <v>0</v>
      </c>
      <c r="R17" s="553">
        <f t="shared" si="12"/>
        <v>0</v>
      </c>
      <c r="S17" s="553" t="s">
        <v>104</v>
      </c>
      <c r="AP17" s="7">
        <v>2</v>
      </c>
      <c r="AQ17" s="7">
        <v>1</v>
      </c>
      <c r="AR17" s="7">
        <f t="shared" si="24"/>
        <v>1</v>
      </c>
      <c r="BA17" s="13"/>
      <c r="BD17" s="12">
        <v>8</v>
      </c>
      <c r="BE17" s="12">
        <v>600</v>
      </c>
      <c r="BF17" s="13">
        <v>2.8</v>
      </c>
      <c r="BG17" s="13">
        <f t="shared" si="13"/>
        <v>4.4000000000000004</v>
      </c>
      <c r="BH17" s="12">
        <v>8</v>
      </c>
      <c r="BI17" s="13" t="str">
        <f t="shared" si="14"/>
        <v>---------</v>
      </c>
      <c r="BK17" s="12">
        <v>8</v>
      </c>
      <c r="BL17" s="12" t="s">
        <v>105</v>
      </c>
      <c r="BN17" s="12">
        <v>8</v>
      </c>
      <c r="BO17" s="12">
        <v>8.3000000000000007</v>
      </c>
      <c r="BP17" s="7">
        <v>89</v>
      </c>
      <c r="BQ17" s="59">
        <v>8</v>
      </c>
      <c r="BR17" s="64" t="str">
        <f t="shared" si="15"/>
        <v>---------</v>
      </c>
      <c r="BS17" s="106">
        <v>24.4</v>
      </c>
      <c r="BT17" s="12" t="s">
        <v>106</v>
      </c>
      <c r="BU17" s="7" t="str">
        <f t="shared" si="16"/>
        <v>---------</v>
      </c>
      <c r="BV17" s="290">
        <v>2.94</v>
      </c>
      <c r="BW17" s="59">
        <v>8</v>
      </c>
      <c r="BX17" s="168" t="str">
        <f t="shared" si="17"/>
        <v>---------</v>
      </c>
      <c r="BY17" s="182">
        <v>6.4399999999999999E-2</v>
      </c>
      <c r="BZ17" s="185">
        <v>8</v>
      </c>
      <c r="CA17" s="184">
        <f t="shared" si="18"/>
        <v>6.4399999999999999E-2</v>
      </c>
      <c r="CB17" s="142">
        <f t="shared" si="21"/>
        <v>546</v>
      </c>
      <c r="CC17" s="262" t="str">
        <f t="shared" si="19"/>
        <v>8.4</v>
      </c>
      <c r="CD17" s="12">
        <v>8</v>
      </c>
      <c r="CE17" s="262" t="str">
        <f t="shared" si="20"/>
        <v>8.4</v>
      </c>
      <c r="CG17" s="12">
        <v>8</v>
      </c>
      <c r="CH17" s="12" t="s">
        <v>107</v>
      </c>
      <c r="CI17" s="12" t="b">
        <f>AND(Cntrl1&gt;=3,ISBLANK(WebCntrl12))</f>
        <v>0</v>
      </c>
      <c r="CJ17" s="332"/>
      <c r="CK17" s="1037"/>
      <c r="CL17" s="1038"/>
      <c r="CM17" s="1040"/>
      <c r="CN17" s="1040"/>
      <c r="CO17" s="444"/>
      <c r="CP17" s="443" t="str">
        <f>IF(Cntrl1&lt;=2,"","insul. R-value")</f>
        <v/>
      </c>
      <c r="CQ17" s="339">
        <v>0</v>
      </c>
      <c r="CR17" s="465">
        <f>IF(ISBLANK(WebCntrl12),"",BX9)</f>
        <v>0</v>
      </c>
      <c r="CS17" s="333"/>
      <c r="CT17" s="1039" t="str">
        <f>IF(Two_layers,"Total  ","")</f>
        <v/>
      </c>
      <c r="CU17" s="1039"/>
      <c r="CV17" s="1039"/>
      <c r="CW17" s="1007" t="str">
        <f>IF(Two_layers,TEXT(AX9+20+CE9*CA9*1000,"0")&amp;" mm","")</f>
        <v/>
      </c>
      <c r="CX17" s="1007"/>
      <c r="CY17" s="333"/>
      <c r="CZ17" s="1042"/>
      <c r="DA17" s="1042"/>
      <c r="DB17" s="333"/>
      <c r="DC17" s="1057"/>
      <c r="DD17" s="1057"/>
      <c r="DE17" s="1057"/>
      <c r="DF17" s="1057"/>
      <c r="DG17" s="1057"/>
      <c r="DH17" s="1057"/>
      <c r="DI17" s="333"/>
      <c r="DJ17" s="333"/>
      <c r="DK17" s="333"/>
      <c r="DL17" s="333"/>
      <c r="DM17" s="333"/>
      <c r="DN17" s="333"/>
      <c r="DO17" s="336"/>
    </row>
    <row r="18" spans="1:119" ht="15.75" customHeight="1">
      <c r="A18">
        <v>17</v>
      </c>
      <c r="B18" t="s">
        <v>108</v>
      </c>
      <c r="C18" s="553"/>
      <c r="D18" s="554"/>
      <c r="E18" s="172" t="str">
        <f t="shared" si="3"/>
        <v/>
      </c>
      <c r="F18" s="555" t="str">
        <f t="shared" si="23"/>
        <v/>
      </c>
      <c r="G18" s="172" t="str">
        <f t="shared" si="5"/>
        <v/>
      </c>
      <c r="H18" t="str">
        <f t="shared" si="6"/>
        <v/>
      </c>
      <c r="I18" s="552" t="str" cm="1">
        <f t="array" ref="I18">IF(H18&lt;&gt;"",INDEX($B$2:$B$66,H18+1),"")</f>
        <v/>
      </c>
      <c r="J18" s="554" t="str">
        <f t="shared" si="0"/>
        <v/>
      </c>
      <c r="K18" t="str">
        <f t="shared" si="22"/>
        <v/>
      </c>
      <c r="L18" s="2" t="str">
        <f t="shared" si="8"/>
        <v/>
      </c>
      <c r="M18" t="str">
        <f t="shared" si="9"/>
        <v/>
      </c>
      <c r="N18" s="2" t="str">
        <f t="shared" si="10"/>
        <v/>
      </c>
      <c r="O18" s="172" t="str">
        <f t="shared" si="1"/>
        <v/>
      </c>
      <c r="P18" s="177" t="str">
        <f t="shared" si="11"/>
        <v/>
      </c>
      <c r="Q18" s="172" t="str">
        <f t="shared" si="2"/>
        <v/>
      </c>
      <c r="R18" s="553" t="str">
        <f t="shared" si="12"/>
        <v/>
      </c>
      <c r="S18" s="553"/>
      <c r="AP18" s="7">
        <v>3</v>
      </c>
      <c r="AQ18" s="7">
        <v>2</v>
      </c>
      <c r="AR18" s="7">
        <f t="shared" si="24"/>
        <v>2</v>
      </c>
      <c r="BA18" s="13"/>
      <c r="BD18" s="12">
        <v>9</v>
      </c>
      <c r="BE18" s="12">
        <v>550</v>
      </c>
      <c r="BF18" s="13">
        <v>2.7</v>
      </c>
      <c r="BG18" s="13">
        <f t="shared" si="13"/>
        <v>4.3000000000000007</v>
      </c>
      <c r="BH18" s="12">
        <v>9</v>
      </c>
      <c r="BI18" s="13" t="str">
        <f t="shared" si="14"/>
        <v>---------</v>
      </c>
      <c r="BK18" s="12">
        <v>9</v>
      </c>
      <c r="BL18" s="12" t="s">
        <v>109</v>
      </c>
      <c r="BN18" s="12">
        <v>9</v>
      </c>
      <c r="BO18" s="12">
        <v>8.1999999999999993</v>
      </c>
      <c r="BP18" s="7">
        <v>88</v>
      </c>
      <c r="BQ18" s="59">
        <v>9</v>
      </c>
      <c r="BR18" s="64" t="str">
        <f t="shared" si="15"/>
        <v>---------</v>
      </c>
      <c r="BS18" s="106">
        <v>24.3</v>
      </c>
      <c r="BT18" s="12" t="s">
        <v>110</v>
      </c>
      <c r="BU18" s="7" t="str">
        <f t="shared" si="16"/>
        <v>---------</v>
      </c>
      <c r="BV18" s="290">
        <v>2.93</v>
      </c>
      <c r="BW18" s="59">
        <v>9</v>
      </c>
      <c r="BX18" s="168" t="str">
        <f t="shared" si="17"/>
        <v>---------</v>
      </c>
      <c r="BY18" s="182">
        <v>6.4299999999999996E-2</v>
      </c>
      <c r="BZ18" s="185">
        <v>9</v>
      </c>
      <c r="CA18" s="184">
        <f t="shared" si="18"/>
        <v>6.4299999999999996E-2</v>
      </c>
      <c r="CB18" s="142">
        <f t="shared" si="21"/>
        <v>539.50000000000011</v>
      </c>
      <c r="CC18" s="262" t="str">
        <f t="shared" si="19"/>
        <v>8.3</v>
      </c>
      <c r="CD18" s="12">
        <v>9</v>
      </c>
      <c r="CE18" s="262" t="str">
        <f t="shared" si="20"/>
        <v>8.3</v>
      </c>
      <c r="CG18" s="12">
        <v>9</v>
      </c>
      <c r="CH18" s="12" t="s">
        <v>111</v>
      </c>
      <c r="CI18" s="12" t="b">
        <f>AND(Cntrl1=4,OR(ISBLANK(WebCntrl13),ISBLANK(WebCntrl14)))</f>
        <v>0</v>
      </c>
      <c r="CJ18" s="333"/>
      <c r="CK18" s="1037"/>
      <c r="CL18" s="1038"/>
      <c r="CM18" s="1040"/>
      <c r="CN18" s="1040"/>
      <c r="CO18" s="444"/>
      <c r="CP18" s="443" t="str">
        <f>IF(Cntrl1&lt;=3,"","depth (mm)")</f>
        <v/>
      </c>
      <c r="CQ18" s="331">
        <v>0</v>
      </c>
      <c r="CR18" s="464">
        <f>IF(ISBLANK(WebCntrl13),"",BR9)</f>
        <v>0</v>
      </c>
      <c r="CS18" s="333"/>
      <c r="CT18" s="333"/>
      <c r="CU18" s="333"/>
      <c r="CV18" s="333"/>
      <c r="CW18" s="333"/>
      <c r="CX18" s="333"/>
      <c r="CY18" s="333"/>
      <c r="CZ18" s="1042"/>
      <c r="DA18" s="1042"/>
      <c r="DB18" s="333"/>
      <c r="DC18" s="1057"/>
      <c r="DD18" s="1057"/>
      <c r="DE18" s="1057"/>
      <c r="DF18" s="1057"/>
      <c r="DG18" s="1057"/>
      <c r="DH18" s="1057"/>
      <c r="DI18" s="333"/>
      <c r="DJ18" s="333"/>
      <c r="DK18" s="333"/>
      <c r="DL18" s="1005" t="e" vm="3">
        <f>P_RP_reducedperim</f>
        <v>#VALUE!</v>
      </c>
      <c r="DM18" s="1005"/>
      <c r="DN18" s="1005"/>
      <c r="DO18" s="336"/>
    </row>
    <row r="19" spans="1:119" ht="15.75" customHeight="1">
      <c r="A19">
        <v>18</v>
      </c>
      <c r="B19" t="s">
        <v>112</v>
      </c>
      <c r="C19" s="553"/>
      <c r="D19" s="554"/>
      <c r="E19" s="172" t="str">
        <f t="shared" si="3"/>
        <v/>
      </c>
      <c r="F19" s="555" t="str">
        <f t="shared" si="23"/>
        <v/>
      </c>
      <c r="G19" s="172" t="str">
        <f t="shared" si="5"/>
        <v/>
      </c>
      <c r="H19" t="str">
        <f t="shared" si="6"/>
        <v/>
      </c>
      <c r="I19" s="552" t="str" cm="1">
        <f t="array" ref="I19">IF(H19&lt;&gt;"",INDEX($B$2:$B$66,H19+1),"")</f>
        <v/>
      </c>
      <c r="J19" s="554" t="str">
        <f t="shared" si="0"/>
        <v/>
      </c>
      <c r="K19" t="str">
        <f t="shared" si="22"/>
        <v/>
      </c>
      <c r="L19" s="2" t="str">
        <f t="shared" si="8"/>
        <v/>
      </c>
      <c r="M19" t="str">
        <f t="shared" si="9"/>
        <v/>
      </c>
      <c r="N19" s="2" t="str">
        <f t="shared" si="10"/>
        <v/>
      </c>
      <c r="O19" s="172" t="str">
        <f t="shared" si="1"/>
        <v/>
      </c>
      <c r="P19" s="177" t="str">
        <f t="shared" si="11"/>
        <v/>
      </c>
      <c r="Q19" s="172" t="str">
        <f t="shared" si="2"/>
        <v/>
      </c>
      <c r="R19" s="553" t="str">
        <f t="shared" si="12"/>
        <v/>
      </c>
      <c r="S19" s="553"/>
      <c r="AK19" s="12">
        <v>-4.4999999999999998E-2</v>
      </c>
      <c r="AL19" s="8">
        <f>AK19+0.045</f>
        <v>0</v>
      </c>
      <c r="AP19" s="7">
        <v>4</v>
      </c>
      <c r="AQ19" s="7">
        <v>2</v>
      </c>
      <c r="AR19" s="7">
        <f t="shared" si="24"/>
        <v>2</v>
      </c>
      <c r="BA19" s="13"/>
      <c r="BD19" s="12">
        <v>10</v>
      </c>
      <c r="BE19" s="12">
        <v>500</v>
      </c>
      <c r="BF19" s="13">
        <v>2.6</v>
      </c>
      <c r="BG19" s="13">
        <f t="shared" si="13"/>
        <v>4.2</v>
      </c>
      <c r="BH19" s="12">
        <v>10</v>
      </c>
      <c r="BI19" s="13" t="str">
        <f t="shared" si="14"/>
        <v>---------</v>
      </c>
      <c r="BK19" s="12">
        <v>10</v>
      </c>
      <c r="BL19" s="12" t="s">
        <v>113</v>
      </c>
      <c r="BN19" s="12">
        <v>10</v>
      </c>
      <c r="BO19" s="12">
        <v>8.1</v>
      </c>
      <c r="BP19" s="7">
        <v>87</v>
      </c>
      <c r="BQ19" s="59">
        <v>10</v>
      </c>
      <c r="BR19" s="64" t="str">
        <f t="shared" si="15"/>
        <v>---------</v>
      </c>
      <c r="BS19" s="106">
        <v>24.2</v>
      </c>
      <c r="BT19" s="12" t="s">
        <v>114</v>
      </c>
      <c r="BU19" s="7" t="str">
        <f t="shared" si="16"/>
        <v>---------</v>
      </c>
      <c r="BV19" s="290">
        <v>2.92</v>
      </c>
      <c r="BW19" s="59">
        <v>10</v>
      </c>
      <c r="BX19" s="168" t="str">
        <f t="shared" si="17"/>
        <v>---------</v>
      </c>
      <c r="BY19" s="182">
        <v>6.4199999999999993E-2</v>
      </c>
      <c r="BZ19" s="185">
        <v>10</v>
      </c>
      <c r="CA19" s="184">
        <f t="shared" si="18"/>
        <v>6.4199999999999993E-2</v>
      </c>
      <c r="CB19" s="142">
        <f t="shared" si="21"/>
        <v>532.99999999999989</v>
      </c>
      <c r="CC19" s="262" t="str">
        <f t="shared" si="19"/>
        <v>8.2</v>
      </c>
      <c r="CD19" s="12">
        <v>10</v>
      </c>
      <c r="CE19" s="262" t="str">
        <f t="shared" si="20"/>
        <v>8.2</v>
      </c>
      <c r="CG19" s="12">
        <v>10</v>
      </c>
      <c r="CH19" s="12" t="s">
        <v>115</v>
      </c>
      <c r="CI19" s="12"/>
      <c r="CJ19" s="333"/>
      <c r="CK19" s="1037"/>
      <c r="CL19" s="1038"/>
      <c r="CM19" s="1040"/>
      <c r="CN19" s="1040"/>
      <c r="CO19" s="444"/>
      <c r="CP19" s="443" t="str">
        <f>IF(Cntrl1&lt;=3,"","frame %")</f>
        <v/>
      </c>
      <c r="CQ19" s="340">
        <v>0</v>
      </c>
      <c r="CR19" s="463">
        <f>IF(ISBLANK(WebCntrl14),"",BU9)</f>
        <v>0</v>
      </c>
      <c r="CS19" s="333"/>
      <c r="CT19" s="1018" t="s">
        <v>116</v>
      </c>
      <c r="CU19" s="1018"/>
      <c r="CV19" s="1018"/>
      <c r="CW19" s="1032" cm="1">
        <f t="array" ref="CW19">IF($CI$1,"",IF(CE9&lt;&gt;"",INDEX(BB105:BB210,MAX(1,CD9-1+30-$AH$8*$BG$7)),"OR"))</f>
        <v>1.5634411129037167</v>
      </c>
      <c r="CX19" s="1032"/>
      <c r="CY19" s="333"/>
      <c r="CZ19" s="1019" cm="1">
        <f t="array" ref="CZ19">IF($CI$1,"",IF(CE9&lt;&gt;"",INDEX(BC105:BC210,MAX(1,CD9-1+30-$AH$8*$BG$7)),"OR"))</f>
        <v>2.0254956664941712</v>
      </c>
      <c r="DA19" s="194"/>
      <c r="DB19" s="333"/>
      <c r="DC19" s="1057"/>
      <c r="DD19" s="1057"/>
      <c r="DE19" s="1057"/>
      <c r="DF19" s="1057"/>
      <c r="DG19" s="1057"/>
      <c r="DH19" s="1057"/>
      <c r="DI19" s="333"/>
      <c r="DJ19" s="333"/>
      <c r="DK19" s="333"/>
      <c r="DL19" s="1005"/>
      <c r="DM19" s="1005"/>
      <c r="DN19" s="1005"/>
      <c r="DO19" s="336"/>
    </row>
    <row r="20" spans="1:119" ht="15.75" customHeight="1">
      <c r="A20">
        <v>19</v>
      </c>
      <c r="B20" t="s">
        <v>117</v>
      </c>
      <c r="C20" s="553"/>
      <c r="D20" s="554"/>
      <c r="E20" s="172" t="str">
        <f t="shared" si="3"/>
        <v/>
      </c>
      <c r="F20" s="555" t="str">
        <f t="shared" si="23"/>
        <v/>
      </c>
      <c r="G20" s="172" t="str">
        <f t="shared" si="5"/>
        <v/>
      </c>
      <c r="H20" t="str">
        <f t="shared" si="6"/>
        <v/>
      </c>
      <c r="I20" s="552" t="str" cm="1">
        <f t="array" ref="I20">IF(H20&lt;&gt;"",INDEX($B$2:$B$66,H20+1),"")</f>
        <v/>
      </c>
      <c r="J20" s="554" t="str">
        <f t="shared" si="0"/>
        <v/>
      </c>
      <c r="K20" t="str">
        <f t="shared" si="22"/>
        <v/>
      </c>
      <c r="L20" s="2" t="str">
        <f t="shared" si="8"/>
        <v/>
      </c>
      <c r="M20" t="str">
        <f t="shared" si="9"/>
        <v/>
      </c>
      <c r="N20" s="2" t="str">
        <f t="shared" si="10"/>
        <v/>
      </c>
      <c r="O20" s="172" t="str">
        <f t="shared" si="1"/>
        <v/>
      </c>
      <c r="P20" s="177" t="str">
        <f t="shared" si="11"/>
        <v/>
      </c>
      <c r="Q20" s="172" t="str">
        <f t="shared" si="2"/>
        <v/>
      </c>
      <c r="R20" s="553" t="str">
        <f t="shared" si="12"/>
        <v/>
      </c>
      <c r="S20" s="553"/>
      <c r="AK20" s="12">
        <v>5.0000000000000001E-3</v>
      </c>
      <c r="AL20" s="8">
        <f>AK20+0.045</f>
        <v>4.9999999999999996E-2</v>
      </c>
      <c r="AP20" s="7">
        <v>5</v>
      </c>
      <c r="AQ20" s="7">
        <v>3</v>
      </c>
      <c r="AR20" s="7">
        <f t="shared" si="24"/>
        <v>3</v>
      </c>
      <c r="BA20" s="13"/>
      <c r="BD20" s="12">
        <v>11</v>
      </c>
      <c r="BE20" s="12">
        <v>450</v>
      </c>
      <c r="BF20" s="13">
        <v>2.5</v>
      </c>
      <c r="BG20" s="13">
        <f t="shared" si="13"/>
        <v>4.0999999999999996</v>
      </c>
      <c r="BH20" s="12">
        <v>11</v>
      </c>
      <c r="BI20" s="13" t="str">
        <f t="shared" si="14"/>
        <v>---------</v>
      </c>
      <c r="BK20" s="12">
        <v>11</v>
      </c>
      <c r="BL20" s="12" t="s">
        <v>118</v>
      </c>
      <c r="BN20" s="12">
        <v>11</v>
      </c>
      <c r="BO20" s="12">
        <v>8</v>
      </c>
      <c r="BP20" s="7">
        <v>86</v>
      </c>
      <c r="BQ20" s="59">
        <v>11</v>
      </c>
      <c r="BR20" s="64" t="str">
        <f t="shared" si="15"/>
        <v>---------</v>
      </c>
      <c r="BS20" s="106">
        <v>24.1</v>
      </c>
      <c r="BT20" s="12" t="s">
        <v>119</v>
      </c>
      <c r="BU20" s="7" t="str">
        <f t="shared" si="16"/>
        <v>---------</v>
      </c>
      <c r="BV20" s="290">
        <v>2.91</v>
      </c>
      <c r="BW20" s="59">
        <v>11</v>
      </c>
      <c r="BX20" s="168" t="str">
        <f t="shared" si="17"/>
        <v>---------</v>
      </c>
      <c r="BY20" s="182">
        <v>6.4100000000000004E-2</v>
      </c>
      <c r="BZ20" s="185">
        <v>11</v>
      </c>
      <c r="CA20" s="184">
        <f t="shared" si="18"/>
        <v>6.4100000000000004E-2</v>
      </c>
      <c r="CB20" s="142">
        <f t="shared" si="21"/>
        <v>526.5</v>
      </c>
      <c r="CC20" s="262" t="str">
        <f t="shared" si="19"/>
        <v>8.1</v>
      </c>
      <c r="CD20" s="12">
        <v>11</v>
      </c>
      <c r="CE20" s="262" t="str">
        <f t="shared" si="20"/>
        <v>8.1</v>
      </c>
      <c r="CG20" s="12">
        <v>11</v>
      </c>
      <c r="CH20" s="12" t="s">
        <v>120</v>
      </c>
      <c r="CI20" s="12"/>
      <c r="CJ20" s="194"/>
      <c r="CK20" s="1037"/>
      <c r="CL20" s="1038"/>
      <c r="CM20" s="341"/>
      <c r="CN20" s="341"/>
      <c r="CO20" s="341"/>
      <c r="CP20" s="341"/>
      <c r="CQ20" s="333"/>
      <c r="CR20" s="333"/>
      <c r="CS20" s="333"/>
      <c r="CT20" s="1018"/>
      <c r="CU20" s="1018"/>
      <c r="CV20" s="1018"/>
      <c r="CW20" s="1032"/>
      <c r="CX20" s="1032"/>
      <c r="CY20" s="333"/>
      <c r="CZ20" s="1019"/>
      <c r="DA20" s="194"/>
      <c r="DB20" s="333"/>
      <c r="DC20" s="1057"/>
      <c r="DD20" s="1057"/>
      <c r="DE20" s="1057"/>
      <c r="DF20" s="1057"/>
      <c r="DG20" s="1057"/>
      <c r="DH20" s="1057"/>
      <c r="DI20" s="333"/>
      <c r="DJ20" s="333"/>
      <c r="DK20" s="333"/>
      <c r="DL20" s="1005"/>
      <c r="DM20" s="1005"/>
      <c r="DN20" s="1005"/>
      <c r="DO20" s="336"/>
    </row>
    <row r="21" spans="1:119" ht="15.75" customHeight="1">
      <c r="A21">
        <v>20</v>
      </c>
      <c r="B21" t="s">
        <v>121</v>
      </c>
      <c r="C21" s="553"/>
      <c r="D21" s="554"/>
      <c r="E21" s="172" t="str">
        <f t="shared" si="3"/>
        <v/>
      </c>
      <c r="F21" s="555" t="str">
        <f t="shared" si="23"/>
        <v/>
      </c>
      <c r="G21" s="172" t="str">
        <f t="shared" si="5"/>
        <v/>
      </c>
      <c r="H21" t="str">
        <f t="shared" si="6"/>
        <v/>
      </c>
      <c r="I21" s="552" t="str" cm="1">
        <f t="array" ref="I21">IF(H21&lt;&gt;"",INDEX($B$2:$B$66,H21+1),"")</f>
        <v/>
      </c>
      <c r="J21" s="554" t="str">
        <f t="shared" si="0"/>
        <v/>
      </c>
      <c r="K21" t="str">
        <f t="shared" si="22"/>
        <v/>
      </c>
      <c r="L21" s="2" t="str">
        <f t="shared" si="8"/>
        <v/>
      </c>
      <c r="M21" t="str">
        <f t="shared" si="9"/>
        <v/>
      </c>
      <c r="N21" s="2" t="str">
        <f t="shared" si="10"/>
        <v/>
      </c>
      <c r="O21" s="172" t="str">
        <f t="shared" si="1"/>
        <v/>
      </c>
      <c r="P21" s="177" t="str">
        <f t="shared" si="11"/>
        <v/>
      </c>
      <c r="Q21" s="172" t="str">
        <f t="shared" si="2"/>
        <v/>
      </c>
      <c r="R21" s="553" t="str">
        <f t="shared" si="12"/>
        <v/>
      </c>
      <c r="S21" s="553"/>
      <c r="AK21" s="18">
        <v>5.5E-2</v>
      </c>
      <c r="AL21" s="8">
        <f>AK21+0.045</f>
        <v>0.1</v>
      </c>
      <c r="AP21" s="7">
        <v>6</v>
      </c>
      <c r="AQ21" s="7">
        <v>3</v>
      </c>
      <c r="AR21" s="7">
        <f t="shared" si="24"/>
        <v>3</v>
      </c>
      <c r="BA21" s="13"/>
      <c r="BD21" s="12">
        <v>12</v>
      </c>
      <c r="BE21" s="12">
        <v>400</v>
      </c>
      <c r="BF21" s="13">
        <v>2.4</v>
      </c>
      <c r="BG21" s="13">
        <f t="shared" si="13"/>
        <v>4</v>
      </c>
      <c r="BH21" s="12">
        <v>12</v>
      </c>
      <c r="BI21" s="13" t="str">
        <f t="shared" si="14"/>
        <v>---------</v>
      </c>
      <c r="BK21" s="12">
        <v>12</v>
      </c>
      <c r="BL21" s="12" t="s">
        <v>122</v>
      </c>
      <c r="BN21" s="12">
        <v>12</v>
      </c>
      <c r="BO21" s="12">
        <v>7.9</v>
      </c>
      <c r="BP21" s="7">
        <v>85</v>
      </c>
      <c r="BQ21" s="59">
        <v>12</v>
      </c>
      <c r="BR21" s="64" t="str">
        <f t="shared" si="15"/>
        <v>---------</v>
      </c>
      <c r="BS21" s="106">
        <v>24</v>
      </c>
      <c r="BT21" s="12" t="s">
        <v>123</v>
      </c>
      <c r="BU21" s="7" t="str">
        <f t="shared" si="16"/>
        <v>---------</v>
      </c>
      <c r="BV21" s="290">
        <v>2.9</v>
      </c>
      <c r="BW21" s="59">
        <v>12</v>
      </c>
      <c r="BX21" s="168" t="str">
        <f t="shared" si="17"/>
        <v>---------</v>
      </c>
      <c r="BY21" s="182">
        <v>6.4000000000000001E-2</v>
      </c>
      <c r="BZ21" s="185">
        <v>12</v>
      </c>
      <c r="CA21" s="184">
        <f t="shared" si="18"/>
        <v>6.4000000000000001E-2</v>
      </c>
      <c r="CB21" s="142">
        <f t="shared" si="21"/>
        <v>520</v>
      </c>
      <c r="CC21" s="262" t="str">
        <f t="shared" si="19"/>
        <v>8.0</v>
      </c>
      <c r="CD21" s="12">
        <v>12</v>
      </c>
      <c r="CE21" s="262" t="str">
        <f t="shared" si="20"/>
        <v>8.0</v>
      </c>
      <c r="CG21" s="12">
        <v>12</v>
      </c>
      <c r="CH21" s="12" t="s">
        <v>124</v>
      </c>
      <c r="CI21" s="12"/>
      <c r="CJ21" s="194"/>
      <c r="CK21" s="1037"/>
      <c r="CL21" s="1038"/>
      <c r="CM21" s="1033"/>
      <c r="CN21" s="1007"/>
      <c r="CO21" s="333"/>
      <c r="CP21" s="333"/>
      <c r="CQ21" s="333"/>
      <c r="CR21" s="333"/>
      <c r="CS21" s="333"/>
      <c r="CT21" s="1018"/>
      <c r="CU21" s="1018"/>
      <c r="CV21" s="1018"/>
      <c r="CW21" s="1032"/>
      <c r="CX21" s="1032"/>
      <c r="CY21" s="333"/>
      <c r="CZ21" s="1019"/>
      <c r="DA21" s="194"/>
      <c r="DB21" s="333"/>
      <c r="DC21" s="194"/>
      <c r="DD21" s="194"/>
      <c r="DE21" s="194"/>
      <c r="DF21" s="194"/>
      <c r="DG21" s="194"/>
      <c r="DH21" s="194"/>
      <c r="DI21" s="333"/>
      <c r="DJ21" s="333"/>
      <c r="DK21" s="333"/>
      <c r="DL21" s="1005"/>
      <c r="DM21" s="1005"/>
      <c r="DN21" s="1005"/>
      <c r="DO21" s="336"/>
    </row>
    <row r="22" spans="1:119">
      <c r="A22">
        <v>21</v>
      </c>
      <c r="B22" t="s">
        <v>125</v>
      </c>
      <c r="C22" s="553"/>
      <c r="D22" s="554"/>
      <c r="E22" s="172" t="str">
        <f t="shared" si="3"/>
        <v/>
      </c>
      <c r="F22" s="555" t="str">
        <f t="shared" si="23"/>
        <v/>
      </c>
      <c r="G22" s="172" t="str">
        <f t="shared" si="5"/>
        <v/>
      </c>
      <c r="H22" t="str">
        <f t="shared" si="6"/>
        <v/>
      </c>
      <c r="I22" s="552" t="str" cm="1">
        <f t="array" ref="I22">IF(H22&lt;&gt;"",INDEX($B$2:$B$66,H22+1),"")</f>
        <v/>
      </c>
      <c r="J22" s="554" t="str">
        <f t="shared" si="0"/>
        <v/>
      </c>
      <c r="K22" t="str">
        <f t="shared" si="22"/>
        <v/>
      </c>
      <c r="L22" s="2" t="str">
        <f t="shared" si="8"/>
        <v/>
      </c>
      <c r="M22" t="str">
        <f t="shared" si="9"/>
        <v/>
      </c>
      <c r="N22" s="2" t="str">
        <f t="shared" si="10"/>
        <v/>
      </c>
      <c r="O22" s="172" t="str">
        <f t="shared" si="1"/>
        <v/>
      </c>
      <c r="P22" s="177" t="str">
        <f t="shared" si="11"/>
        <v/>
      </c>
      <c r="Q22" s="172" t="str">
        <f t="shared" si="2"/>
        <v/>
      </c>
      <c r="R22" s="553" t="str">
        <f t="shared" si="12"/>
        <v/>
      </c>
      <c r="S22" s="553"/>
      <c r="AK22" s="12">
        <v>0</v>
      </c>
      <c r="AL22" s="8">
        <f>AK22+0.045</f>
        <v>4.4999999999999998E-2</v>
      </c>
      <c r="BA22" s="13"/>
      <c r="BD22" s="12">
        <v>13</v>
      </c>
      <c r="BE22" s="12">
        <v>300</v>
      </c>
      <c r="BF22" s="13">
        <v>2.2999999999999998</v>
      </c>
      <c r="BG22" s="13">
        <f t="shared" si="13"/>
        <v>3.9</v>
      </c>
      <c r="BH22" s="12">
        <v>13</v>
      </c>
      <c r="BI22" s="13" t="str">
        <f t="shared" si="14"/>
        <v>---------</v>
      </c>
      <c r="BK22" s="12">
        <v>13</v>
      </c>
      <c r="BL22" s="12" t="s">
        <v>126</v>
      </c>
      <c r="BN22" s="12">
        <v>13</v>
      </c>
      <c r="BO22" s="12">
        <v>7.8</v>
      </c>
      <c r="BP22" s="7">
        <v>84</v>
      </c>
      <c r="BQ22" s="59">
        <v>13</v>
      </c>
      <c r="BR22" s="64" t="str">
        <f t="shared" si="15"/>
        <v>---------</v>
      </c>
      <c r="BS22" s="106">
        <v>23.9</v>
      </c>
      <c r="BT22" s="12" t="s">
        <v>127</v>
      </c>
      <c r="BU22" s="7" t="str">
        <f t="shared" si="16"/>
        <v>---------</v>
      </c>
      <c r="BV22" s="290">
        <v>2.89</v>
      </c>
      <c r="BW22" s="59">
        <v>13</v>
      </c>
      <c r="BX22" s="168" t="str">
        <f t="shared" si="17"/>
        <v>---------</v>
      </c>
      <c r="BY22" s="182">
        <v>6.3899999999999998E-2</v>
      </c>
      <c r="BZ22" s="185">
        <v>13</v>
      </c>
      <c r="CA22" s="184">
        <f t="shared" si="18"/>
        <v>6.3899999999999998E-2</v>
      </c>
      <c r="CB22" s="142">
        <f t="shared" si="21"/>
        <v>513.50000000000011</v>
      </c>
      <c r="CC22" s="262" t="str">
        <f t="shared" si="19"/>
        <v>7.9</v>
      </c>
      <c r="CD22" s="12">
        <v>13</v>
      </c>
      <c r="CE22" s="262" t="str">
        <f t="shared" si="20"/>
        <v>7.9</v>
      </c>
      <c r="CG22" s="12">
        <v>13</v>
      </c>
      <c r="CH22" s="12" t="s">
        <v>128</v>
      </c>
      <c r="CI22" s="12" t="b">
        <f>ISBLANK(WebCntrl4)</f>
        <v>0</v>
      </c>
      <c r="CJ22" s="194"/>
      <c r="CK22" s="1023"/>
      <c r="CL22" s="1024"/>
      <c r="CM22" s="1020" t="s">
        <v>33</v>
      </c>
      <c r="CN22" s="1020"/>
      <c r="CO22" s="331">
        <v>3</v>
      </c>
      <c r="CP22" s="1021" t="str">
        <f>IF(ISBLANK(WebCntrl4),"",AK9)</f>
        <v>10 mm plasterboard</v>
      </c>
      <c r="CQ22" s="1022"/>
      <c r="CR22" s="1022"/>
      <c r="CS22" s="194"/>
      <c r="CT22" s="333"/>
      <c r="CU22" s="333"/>
      <c r="CV22" s="333"/>
      <c r="CW22" s="333"/>
      <c r="CX22" s="333"/>
      <c r="CY22" s="333"/>
      <c r="CZ22" s="333"/>
      <c r="DA22" s="333"/>
      <c r="DB22" s="333"/>
      <c r="DC22" s="194"/>
      <c r="DD22" s="194"/>
      <c r="DE22" s="194"/>
      <c r="DF22" s="194"/>
      <c r="DG22" s="194"/>
      <c r="DH22" s="194"/>
      <c r="DI22" s="333"/>
      <c r="DJ22" s="333"/>
      <c r="DK22" s="333"/>
      <c r="DL22" s="1005"/>
      <c r="DM22" s="1005"/>
      <c r="DN22" s="1005"/>
      <c r="DO22" s="336"/>
    </row>
    <row r="23" spans="1:119">
      <c r="A23">
        <v>22</v>
      </c>
      <c r="B23" t="s">
        <v>129</v>
      </c>
      <c r="C23" s="553"/>
      <c r="D23" s="554"/>
      <c r="E23" s="172" t="str">
        <f t="shared" si="3"/>
        <v/>
      </c>
      <c r="F23" s="555" t="str">
        <f t="shared" si="23"/>
        <v/>
      </c>
      <c r="G23" s="172" t="str">
        <f t="shared" si="5"/>
        <v/>
      </c>
      <c r="H23" t="str">
        <f t="shared" si="6"/>
        <v/>
      </c>
      <c r="I23" s="552" t="str" cm="1">
        <f t="array" ref="I23">IF(H23&lt;&gt;"",INDEX($B$2:$B$66,H23+1),"")</f>
        <v/>
      </c>
      <c r="J23" s="554" t="str">
        <f t="shared" si="0"/>
        <v/>
      </c>
      <c r="K23" t="str">
        <f t="shared" si="22"/>
        <v/>
      </c>
      <c r="L23" s="2" t="str">
        <f t="shared" si="8"/>
        <v/>
      </c>
      <c r="M23" t="str">
        <f t="shared" si="9"/>
        <v/>
      </c>
      <c r="N23" s="2" t="str">
        <f t="shared" si="10"/>
        <v/>
      </c>
      <c r="O23" s="172" t="str">
        <f t="shared" si="1"/>
        <v/>
      </c>
      <c r="P23" s="177" t="str">
        <f t="shared" si="11"/>
        <v/>
      </c>
      <c r="Q23" s="172" t="str">
        <f t="shared" si="2"/>
        <v/>
      </c>
      <c r="R23" s="553" t="str">
        <f t="shared" si="12"/>
        <v/>
      </c>
      <c r="S23" s="553"/>
      <c r="AK23" s="12">
        <v>1.4E-2</v>
      </c>
      <c r="AL23" s="8">
        <f>AK23+0.045</f>
        <v>5.8999999999999997E-2</v>
      </c>
      <c r="BA23" s="13"/>
      <c r="BD23" s="12">
        <v>14</v>
      </c>
      <c r="BE23" s="12">
        <v>350</v>
      </c>
      <c r="BF23" s="13">
        <v>2.2000000000000002</v>
      </c>
      <c r="BG23" s="13">
        <f t="shared" si="13"/>
        <v>3.8000000000000003</v>
      </c>
      <c r="BH23" s="12">
        <v>14</v>
      </c>
      <c r="BI23" s="13" t="str">
        <f t="shared" si="14"/>
        <v>---------</v>
      </c>
      <c r="BK23" s="12">
        <v>14</v>
      </c>
      <c r="BL23" s="12" t="s">
        <v>130</v>
      </c>
      <c r="BN23" s="12">
        <v>14</v>
      </c>
      <c r="BO23" s="12">
        <v>7.7</v>
      </c>
      <c r="BP23" s="7">
        <v>83</v>
      </c>
      <c r="BQ23" s="59">
        <v>14</v>
      </c>
      <c r="BR23" s="64" t="str">
        <f t="shared" si="15"/>
        <v>---------</v>
      </c>
      <c r="BS23" s="106">
        <v>23.8</v>
      </c>
      <c r="BT23" s="12" t="s">
        <v>131</v>
      </c>
      <c r="BU23" s="7" t="str">
        <f t="shared" si="16"/>
        <v>---------</v>
      </c>
      <c r="BV23" s="290">
        <v>2.88</v>
      </c>
      <c r="BW23" s="59">
        <v>14</v>
      </c>
      <c r="BX23" s="168" t="str">
        <f t="shared" si="17"/>
        <v>---------</v>
      </c>
      <c r="BY23" s="182">
        <v>6.3799999999999996E-2</v>
      </c>
      <c r="BZ23" s="185">
        <v>14</v>
      </c>
      <c r="CA23" s="184">
        <f t="shared" si="18"/>
        <v>6.3799999999999996E-2</v>
      </c>
      <c r="CB23" s="142">
        <f t="shared" si="21"/>
        <v>507</v>
      </c>
      <c r="CC23" s="262" t="str">
        <f t="shared" si="19"/>
        <v>7.8</v>
      </c>
      <c r="CD23" s="12">
        <v>14</v>
      </c>
      <c r="CE23" s="262" t="str">
        <f t="shared" si="20"/>
        <v>7.8</v>
      </c>
      <c r="CG23" s="12">
        <v>14</v>
      </c>
      <c r="CH23" s="12" t="s">
        <v>132</v>
      </c>
      <c r="CI23" s="12"/>
      <c r="CJ23" s="333"/>
      <c r="CK23" s="333"/>
      <c r="CL23" s="333"/>
      <c r="CM23" s="333"/>
      <c r="CN23" s="333"/>
      <c r="CO23" s="333"/>
      <c r="CP23" s="333"/>
      <c r="CQ23" s="333"/>
      <c r="CR23" s="333"/>
      <c r="CS23" s="333"/>
      <c r="CT23" s="333"/>
      <c r="CU23" s="333"/>
      <c r="CV23" s="333"/>
      <c r="CW23" s="333"/>
      <c r="CX23" s="333"/>
      <c r="CY23" s="333"/>
      <c r="CZ23" s="333"/>
      <c r="DA23" s="333"/>
      <c r="DB23" s="333"/>
      <c r="DC23" s="333"/>
      <c r="DD23" s="333"/>
      <c r="DE23" s="333"/>
      <c r="DF23" s="333"/>
      <c r="DG23" s="333"/>
      <c r="DH23" s="333"/>
      <c r="DI23" s="333"/>
      <c r="DJ23" s="333"/>
      <c r="DK23" s="333"/>
      <c r="DL23" s="1005"/>
      <c r="DM23" s="1005"/>
      <c r="DN23" s="1005"/>
      <c r="DO23" s="336"/>
    </row>
    <row r="24" spans="1:119">
      <c r="A24">
        <v>23</v>
      </c>
      <c r="B24" t="s">
        <v>133</v>
      </c>
      <c r="C24" s="553"/>
      <c r="D24" s="554"/>
      <c r="E24" s="172" t="str">
        <f t="shared" si="3"/>
        <v/>
      </c>
      <c r="F24" s="555" t="str">
        <f t="shared" si="23"/>
        <v/>
      </c>
      <c r="G24" s="172" t="str">
        <f t="shared" si="5"/>
        <v/>
      </c>
      <c r="H24" t="str">
        <f t="shared" si="6"/>
        <v/>
      </c>
      <c r="I24" s="552" t="str" cm="1">
        <f t="array" ref="I24">IF(H24&lt;&gt;"",INDEX($B$2:$B$66,H24+1),"")</f>
        <v/>
      </c>
      <c r="J24" s="554" t="str">
        <f t="shared" si="0"/>
        <v/>
      </c>
      <c r="K24" t="str">
        <f t="shared" si="22"/>
        <v/>
      </c>
      <c r="L24" s="2" t="str">
        <f t="shared" si="8"/>
        <v/>
      </c>
      <c r="M24" t="str">
        <f t="shared" si="9"/>
        <v/>
      </c>
      <c r="N24" s="2" t="str">
        <f t="shared" si="10"/>
        <v/>
      </c>
      <c r="O24" s="172" t="str">
        <f t="shared" si="1"/>
        <v/>
      </c>
      <c r="P24" s="177" t="str">
        <f t="shared" si="11"/>
        <v/>
      </c>
      <c r="Q24" s="172" t="str">
        <f t="shared" si="2"/>
        <v/>
      </c>
      <c r="R24" s="553" t="str">
        <f t="shared" si="12"/>
        <v/>
      </c>
      <c r="S24" s="553"/>
      <c r="AK24" s="12"/>
      <c r="BA24" s="13"/>
      <c r="BD24" s="12">
        <v>15</v>
      </c>
      <c r="BE24" s="12">
        <v>300</v>
      </c>
      <c r="BF24" s="13">
        <v>2.1</v>
      </c>
      <c r="BG24" s="13">
        <f t="shared" si="13"/>
        <v>3.7</v>
      </c>
      <c r="BH24" s="12">
        <v>15</v>
      </c>
      <c r="BI24" s="13" t="str">
        <f t="shared" si="14"/>
        <v>---------</v>
      </c>
      <c r="BK24" s="12">
        <v>15</v>
      </c>
      <c r="BL24" s="12" t="s">
        <v>134</v>
      </c>
      <c r="BN24" s="12">
        <v>15</v>
      </c>
      <c r="BO24" s="12">
        <v>7.6</v>
      </c>
      <c r="BP24" s="7">
        <v>82</v>
      </c>
      <c r="BQ24" s="59">
        <v>15</v>
      </c>
      <c r="BR24" s="64" t="str">
        <f t="shared" si="15"/>
        <v>---------</v>
      </c>
      <c r="BS24" s="106">
        <v>23.7</v>
      </c>
      <c r="BT24" s="12" t="s">
        <v>135</v>
      </c>
      <c r="BU24" s="7" t="str">
        <f t="shared" si="16"/>
        <v>---------</v>
      </c>
      <c r="BV24" s="290">
        <v>2.87</v>
      </c>
      <c r="BW24" s="59">
        <v>15</v>
      </c>
      <c r="BX24" s="168" t="str">
        <f t="shared" si="17"/>
        <v>---------</v>
      </c>
      <c r="BY24" s="182">
        <v>6.3700000000000007E-2</v>
      </c>
      <c r="BZ24" s="185">
        <v>15</v>
      </c>
      <c r="CA24" s="184">
        <f t="shared" si="18"/>
        <v>6.3700000000000007E-2</v>
      </c>
      <c r="CB24" s="142">
        <f t="shared" si="21"/>
        <v>500.50000000000006</v>
      </c>
      <c r="CC24" s="262" t="str">
        <f t="shared" si="19"/>
        <v>7.7</v>
      </c>
      <c r="CD24" s="12">
        <v>15</v>
      </c>
      <c r="CE24" s="262" t="str">
        <f t="shared" si="20"/>
        <v>7.7</v>
      </c>
      <c r="CG24" s="12">
        <v>15</v>
      </c>
      <c r="CH24" s="12" t="s">
        <v>136</v>
      </c>
      <c r="CI24" s="12"/>
      <c r="CJ24" s="333"/>
      <c r="CK24" s="1026" t="s">
        <v>137</v>
      </c>
      <c r="CL24" s="1027"/>
      <c r="CM24" s="1027"/>
      <c r="CN24" s="1027"/>
      <c r="CO24" s="1027"/>
      <c r="CP24" s="1027"/>
      <c r="CQ24" s="1027"/>
      <c r="CR24" s="1027"/>
      <c r="CS24" s="1027"/>
      <c r="CT24" s="1028"/>
      <c r="CU24" s="333"/>
      <c r="CV24" s="1026" t="s">
        <v>138</v>
      </c>
      <c r="CW24" s="1027"/>
      <c r="CX24" s="1027"/>
      <c r="CY24" s="1027"/>
      <c r="CZ24" s="1027"/>
      <c r="DA24" s="1027"/>
      <c r="DB24" s="1027"/>
      <c r="DC24" s="1027"/>
      <c r="DD24" s="1027"/>
      <c r="DE24" s="1028"/>
      <c r="DF24" s="333"/>
      <c r="DG24" s="333"/>
      <c r="DH24" s="333"/>
      <c r="DI24" s="333"/>
      <c r="DJ24" s="333"/>
      <c r="DK24" s="333"/>
      <c r="DL24" s="333"/>
      <c r="DM24" s="333"/>
      <c r="DN24" s="333"/>
      <c r="DO24" s="336"/>
    </row>
    <row r="25" spans="1:119">
      <c r="A25">
        <v>24</v>
      </c>
      <c r="B25" t="s">
        <v>139</v>
      </c>
      <c r="C25" s="553"/>
      <c r="D25" s="554"/>
      <c r="E25" s="172" t="str">
        <f t="shared" si="3"/>
        <v/>
      </c>
      <c r="F25" s="555" t="str">
        <f t="shared" si="23"/>
        <v/>
      </c>
      <c r="G25" s="172" t="str">
        <f t="shared" si="5"/>
        <v/>
      </c>
      <c r="H25" t="str">
        <f t="shared" si="6"/>
        <v/>
      </c>
      <c r="I25" s="552" t="str" cm="1">
        <f t="array" ref="I25">IF(H25&lt;&gt;"",INDEX($B$2:$B$66,H25+1),"")</f>
        <v/>
      </c>
      <c r="J25" s="554" t="str">
        <f t="shared" si="0"/>
        <v/>
      </c>
      <c r="K25" t="str">
        <f t="shared" si="22"/>
        <v/>
      </c>
      <c r="L25" s="2" t="str">
        <f t="shared" si="8"/>
        <v/>
      </c>
      <c r="M25" t="str">
        <f t="shared" si="9"/>
        <v/>
      </c>
      <c r="N25" s="2" t="str">
        <f t="shared" si="10"/>
        <v/>
      </c>
      <c r="O25" s="172" t="str">
        <f t="shared" si="1"/>
        <v/>
      </c>
      <c r="P25" s="177" t="str">
        <f t="shared" si="11"/>
        <v/>
      </c>
      <c r="Q25" s="172" t="str">
        <f t="shared" si="2"/>
        <v/>
      </c>
      <c r="R25" s="553" t="str">
        <f t="shared" si="12"/>
        <v/>
      </c>
      <c r="S25" s="553"/>
      <c r="BA25" s="13"/>
      <c r="BF25" s="13">
        <v>2</v>
      </c>
      <c r="BG25" s="13">
        <f t="shared" si="13"/>
        <v>3.6</v>
      </c>
      <c r="BH25" s="12">
        <v>16</v>
      </c>
      <c r="BI25" s="13" t="str">
        <f t="shared" si="14"/>
        <v>---------</v>
      </c>
      <c r="BK25" s="12">
        <v>16</v>
      </c>
      <c r="BL25" s="12" t="s">
        <v>140</v>
      </c>
      <c r="BN25" s="12">
        <v>16</v>
      </c>
      <c r="BO25" s="12">
        <v>7.5</v>
      </c>
      <c r="BP25" s="7">
        <v>81</v>
      </c>
      <c r="BQ25" s="59">
        <v>16</v>
      </c>
      <c r="BR25" s="64" t="str">
        <f t="shared" si="15"/>
        <v>---------</v>
      </c>
      <c r="BS25" s="106">
        <v>23.6</v>
      </c>
      <c r="BT25" s="12" t="s">
        <v>141</v>
      </c>
      <c r="BU25" s="7" t="str">
        <f t="shared" si="16"/>
        <v>---------</v>
      </c>
      <c r="BV25" s="290">
        <v>2.86</v>
      </c>
      <c r="BW25" s="59">
        <v>16</v>
      </c>
      <c r="BX25" s="168" t="str">
        <f t="shared" si="17"/>
        <v>---------</v>
      </c>
      <c r="BY25" s="182">
        <v>6.3600000000000004E-2</v>
      </c>
      <c r="BZ25" s="185">
        <v>16</v>
      </c>
      <c r="CA25" s="184">
        <f t="shared" si="18"/>
        <v>6.3600000000000004E-2</v>
      </c>
      <c r="CB25" s="142">
        <f t="shared" si="21"/>
        <v>494</v>
      </c>
      <c r="CC25" s="262" t="str">
        <f t="shared" si="19"/>
        <v>7.6</v>
      </c>
      <c r="CD25" s="12">
        <v>16</v>
      </c>
      <c r="CE25" s="262" t="str">
        <f t="shared" si="20"/>
        <v>7.6</v>
      </c>
      <c r="CG25" s="12">
        <v>16</v>
      </c>
      <c r="CH25" s="12" t="s">
        <v>142</v>
      </c>
      <c r="CI25" s="12"/>
      <c r="CJ25" s="333"/>
      <c r="CK25" s="1029"/>
      <c r="CL25" s="1030"/>
      <c r="CM25" s="1030"/>
      <c r="CN25" s="1030"/>
      <c r="CO25" s="1030"/>
      <c r="CP25" s="1030"/>
      <c r="CQ25" s="1030"/>
      <c r="CR25" s="1030"/>
      <c r="CS25" s="1030"/>
      <c r="CT25" s="1031"/>
      <c r="CU25" s="333"/>
      <c r="CV25" s="1029"/>
      <c r="CW25" s="1030"/>
      <c r="CX25" s="1030"/>
      <c r="CY25" s="1030"/>
      <c r="CZ25" s="1030"/>
      <c r="DA25" s="1030"/>
      <c r="DB25" s="1030"/>
      <c r="DC25" s="1030"/>
      <c r="DD25" s="1030"/>
      <c r="DE25" s="1031"/>
      <c r="DF25" s="333"/>
      <c r="DG25" s="333"/>
      <c r="DH25" s="1016" t="s">
        <v>143</v>
      </c>
      <c r="DI25" s="1016"/>
      <c r="DJ25" s="1016"/>
      <c r="DK25" s="1016"/>
      <c r="DL25" s="1016"/>
      <c r="DM25" s="1016"/>
      <c r="DN25" s="333"/>
      <c r="DO25" s="336"/>
    </row>
    <row r="26" spans="1:119">
      <c r="A26">
        <v>25</v>
      </c>
      <c r="B26" t="s">
        <v>144</v>
      </c>
      <c r="C26" s="553"/>
      <c r="D26" s="554"/>
      <c r="E26" s="172" t="str">
        <f t="shared" si="3"/>
        <v/>
      </c>
      <c r="F26" s="555" t="str">
        <f t="shared" si="23"/>
        <v/>
      </c>
      <c r="G26" s="172" t="str">
        <f t="shared" si="5"/>
        <v/>
      </c>
      <c r="H26" t="str">
        <f t="shared" si="6"/>
        <v/>
      </c>
      <c r="I26" s="552" t="str" cm="1">
        <f t="array" ref="I26">IF(H26&lt;&gt;"",INDEX($B$2:$B$66,H26+1),"")</f>
        <v/>
      </c>
      <c r="J26" s="554" t="str">
        <f t="shared" si="0"/>
        <v/>
      </c>
      <c r="K26" t="str">
        <f t="shared" si="22"/>
        <v/>
      </c>
      <c r="L26" s="2" t="str">
        <f t="shared" si="8"/>
        <v/>
      </c>
      <c r="M26" t="str">
        <f t="shared" si="9"/>
        <v/>
      </c>
      <c r="N26" s="2" t="str">
        <f t="shared" si="10"/>
        <v/>
      </c>
      <c r="O26" s="172" t="str">
        <f t="shared" si="1"/>
        <v/>
      </c>
      <c r="P26" s="177" t="str">
        <f t="shared" si="11"/>
        <v/>
      </c>
      <c r="Q26" s="172" t="str">
        <f t="shared" si="2"/>
        <v/>
      </c>
      <c r="R26" s="553" t="str">
        <f t="shared" si="12"/>
        <v/>
      </c>
      <c r="S26" s="553"/>
      <c r="BA26" s="13"/>
      <c r="BF26" s="13">
        <v>1.9</v>
      </c>
      <c r="BG26" s="13">
        <f t="shared" si="13"/>
        <v>3.5</v>
      </c>
      <c r="BH26" s="12">
        <v>17</v>
      </c>
      <c r="BI26" s="13" t="str">
        <f t="shared" si="14"/>
        <v>---------</v>
      </c>
      <c r="BK26" s="12">
        <v>17</v>
      </c>
      <c r="BL26" s="12" t="s">
        <v>145</v>
      </c>
      <c r="BN26" s="12">
        <v>17</v>
      </c>
      <c r="BO26" s="12">
        <v>7.4</v>
      </c>
      <c r="BP26" s="7">
        <v>80</v>
      </c>
      <c r="BQ26" s="59">
        <v>17</v>
      </c>
      <c r="BR26" s="64" t="str">
        <f t="shared" si="15"/>
        <v>---------</v>
      </c>
      <c r="BS26" s="106">
        <v>23.5</v>
      </c>
      <c r="BT26" s="12" t="s">
        <v>146</v>
      </c>
      <c r="BU26" s="7" t="str">
        <f t="shared" si="16"/>
        <v>---------</v>
      </c>
      <c r="BV26" s="290">
        <v>2.85</v>
      </c>
      <c r="BW26" s="59">
        <v>17</v>
      </c>
      <c r="BX26" s="168" t="str">
        <f t="shared" si="17"/>
        <v>---------</v>
      </c>
      <c r="BY26" s="182">
        <v>6.3500000000000001E-2</v>
      </c>
      <c r="BZ26" s="185">
        <v>17</v>
      </c>
      <c r="CA26" s="184">
        <f t="shared" si="18"/>
        <v>6.3500000000000001E-2</v>
      </c>
      <c r="CB26" s="142">
        <f t="shared" si="21"/>
        <v>487.50000000000006</v>
      </c>
      <c r="CC26" s="262" t="str">
        <f t="shared" si="19"/>
        <v>7.5</v>
      </c>
      <c r="CD26" s="12">
        <v>17</v>
      </c>
      <c r="CE26" s="262" t="str">
        <f t="shared" si="20"/>
        <v>7.5</v>
      </c>
      <c r="CG26" s="12">
        <v>17</v>
      </c>
      <c r="CH26" s="12" t="s">
        <v>147</v>
      </c>
      <c r="CI26" s="12"/>
      <c r="CJ26" s="333"/>
      <c r="CK26" s="1000" t="s">
        <v>148</v>
      </c>
      <c r="CL26" s="1001"/>
      <c r="CM26" s="1002" t="s">
        <v>149</v>
      </c>
      <c r="CN26" s="1002"/>
      <c r="CO26" s="1002"/>
      <c r="CP26" s="1000" t="s">
        <v>148</v>
      </c>
      <c r="CQ26" s="1001"/>
      <c r="CR26" s="1002" t="s">
        <v>149</v>
      </c>
      <c r="CS26" s="1002"/>
      <c r="CT26" s="1003"/>
      <c r="CU26" s="333"/>
      <c r="CV26" s="1000" t="s">
        <v>148</v>
      </c>
      <c r="CW26" s="1001"/>
      <c r="CX26" s="1002" t="s">
        <v>149</v>
      </c>
      <c r="CY26" s="1002"/>
      <c r="CZ26" s="1002"/>
      <c r="DA26" s="1000" t="s">
        <v>148</v>
      </c>
      <c r="DB26" s="1001"/>
      <c r="DC26" s="1002" t="s">
        <v>149</v>
      </c>
      <c r="DD26" s="1002"/>
      <c r="DE26" s="1003"/>
      <c r="DF26" s="333"/>
      <c r="DG26" s="333"/>
      <c r="DH26" s="333"/>
      <c r="DI26" s="333"/>
      <c r="DJ26" s="333"/>
      <c r="DK26" s="333"/>
      <c r="DL26" s="333"/>
      <c r="DM26" s="333"/>
      <c r="DN26" s="333"/>
      <c r="DO26" s="336"/>
    </row>
    <row r="27" spans="1:119">
      <c r="A27">
        <v>26</v>
      </c>
      <c r="B27" t="s">
        <v>150</v>
      </c>
      <c r="C27" s="553"/>
      <c r="D27" s="554"/>
      <c r="E27" s="172" t="str">
        <f t="shared" si="3"/>
        <v/>
      </c>
      <c r="F27" s="555" t="str">
        <f t="shared" si="23"/>
        <v/>
      </c>
      <c r="G27" s="172" t="str">
        <f t="shared" si="5"/>
        <v/>
      </c>
      <c r="H27" t="str">
        <f t="shared" si="6"/>
        <v/>
      </c>
      <c r="I27" s="552" t="str" cm="1">
        <f t="array" ref="I27">IF(H27&lt;&gt;"",INDEX($B$2:$B$66,H27+1),"")</f>
        <v/>
      </c>
      <c r="J27" s="554" t="str">
        <f t="shared" si="0"/>
        <v/>
      </c>
      <c r="K27" t="str">
        <f t="shared" si="22"/>
        <v/>
      </c>
      <c r="L27" s="2" t="str">
        <f t="shared" si="8"/>
        <v/>
      </c>
      <c r="M27" t="str">
        <f t="shared" si="9"/>
        <v/>
      </c>
      <c r="N27" s="2" t="str">
        <f t="shared" si="10"/>
        <v/>
      </c>
      <c r="O27" s="172" t="str">
        <f t="shared" si="1"/>
        <v/>
      </c>
      <c r="P27" s="177" t="str">
        <f>IF(J27&lt;&gt;"",RIGHT(P26,LEN(P26)-J26),"")</f>
        <v/>
      </c>
      <c r="Q27" s="172" t="str">
        <f t="shared" si="2"/>
        <v/>
      </c>
      <c r="R27" s="553" t="str">
        <f t="shared" si="12"/>
        <v/>
      </c>
      <c r="S27" s="553"/>
      <c r="BA27" s="13"/>
      <c r="BF27" s="13">
        <v>1.8</v>
      </c>
      <c r="BG27" s="13">
        <f t="shared" si="13"/>
        <v>3.4000000000000004</v>
      </c>
      <c r="BH27" s="12">
        <v>18</v>
      </c>
      <c r="BI27" s="13" t="str">
        <f t="shared" si="14"/>
        <v>---------</v>
      </c>
      <c r="BK27" s="12">
        <v>18</v>
      </c>
      <c r="BL27" s="12" t="s">
        <v>151</v>
      </c>
      <c r="BN27" s="12">
        <v>18</v>
      </c>
      <c r="BO27" s="12">
        <v>7.3</v>
      </c>
      <c r="BP27" s="7">
        <v>79</v>
      </c>
      <c r="BQ27" s="59">
        <v>18</v>
      </c>
      <c r="BR27" s="64" t="str">
        <f t="shared" si="15"/>
        <v>---------</v>
      </c>
      <c r="BS27" s="106">
        <v>23.4</v>
      </c>
      <c r="BT27" s="12" t="s">
        <v>152</v>
      </c>
      <c r="BU27" s="7" t="str">
        <f t="shared" si="16"/>
        <v>---------</v>
      </c>
      <c r="BV27" s="290">
        <v>2.84</v>
      </c>
      <c r="BW27" s="59">
        <v>18</v>
      </c>
      <c r="BX27" s="168" t="str">
        <f t="shared" si="17"/>
        <v>---------</v>
      </c>
      <c r="BY27" s="182">
        <v>6.3399999999999998E-2</v>
      </c>
      <c r="BZ27" s="185">
        <v>18</v>
      </c>
      <c r="CA27" s="184">
        <f t="shared" si="18"/>
        <v>6.3399999999999998E-2</v>
      </c>
      <c r="CB27" s="142">
        <f t="shared" si="21"/>
        <v>481.00000000000006</v>
      </c>
      <c r="CC27" s="262" t="str">
        <f t="shared" si="19"/>
        <v>7.4</v>
      </c>
      <c r="CD27" s="12">
        <v>18</v>
      </c>
      <c r="CE27" s="262" t="str">
        <f t="shared" si="20"/>
        <v>7.4</v>
      </c>
      <c r="CG27" s="12">
        <v>18</v>
      </c>
      <c r="CH27" s="12" t="s">
        <v>153</v>
      </c>
      <c r="CI27" s="12"/>
      <c r="CJ27" s="333"/>
      <c r="CK27" s="1000"/>
      <c r="CL27" s="1001"/>
      <c r="CM27" s="1002"/>
      <c r="CN27" s="1002"/>
      <c r="CO27" s="1002"/>
      <c r="CP27" s="1000"/>
      <c r="CQ27" s="1001"/>
      <c r="CR27" s="1002"/>
      <c r="CS27" s="1002"/>
      <c r="CT27" s="1003"/>
      <c r="CU27" s="333"/>
      <c r="CV27" s="1000"/>
      <c r="CW27" s="1001"/>
      <c r="CX27" s="1002"/>
      <c r="CY27" s="1002"/>
      <c r="CZ27" s="1002"/>
      <c r="DA27" s="1000"/>
      <c r="DB27" s="1001"/>
      <c r="DC27" s="1002"/>
      <c r="DD27" s="1002"/>
      <c r="DE27" s="1003"/>
      <c r="DF27" s="333"/>
      <c r="DG27" s="333"/>
      <c r="DH27" s="333"/>
      <c r="DI27" s="333"/>
      <c r="DJ27" s="333"/>
      <c r="DK27" s="333"/>
      <c r="DL27" s="333"/>
      <c r="DM27" s="333"/>
      <c r="DN27" s="333"/>
      <c r="DO27" s="336"/>
    </row>
    <row r="28" spans="1:119">
      <c r="A28">
        <v>27</v>
      </c>
      <c r="B28" t="s">
        <v>154</v>
      </c>
      <c r="C28" s="556"/>
      <c r="D28" s="556"/>
      <c r="E28" s="557"/>
      <c r="F28" s="557"/>
      <c r="G28" s="557"/>
      <c r="H28" s="557"/>
      <c r="I28" s="557"/>
      <c r="J28" s="556"/>
      <c r="K28" s="557"/>
      <c r="L28" s="556"/>
      <c r="M28" s="557"/>
      <c r="N28" s="556"/>
      <c r="O28" s="557"/>
      <c r="P28" s="557"/>
      <c r="Q28" s="557"/>
      <c r="R28" s="556"/>
      <c r="S28" s="556"/>
      <c r="BA28" s="13"/>
      <c r="BF28" s="13">
        <v>1.7</v>
      </c>
      <c r="BG28" s="13">
        <f t="shared" si="13"/>
        <v>3.3</v>
      </c>
      <c r="BH28" s="12">
        <v>19</v>
      </c>
      <c r="BI28" s="13" t="str">
        <f t="shared" si="14"/>
        <v>---------</v>
      </c>
      <c r="BK28" s="12">
        <v>19</v>
      </c>
      <c r="BL28" s="12" t="s">
        <v>155</v>
      </c>
      <c r="BN28" s="12">
        <v>19</v>
      </c>
      <c r="BO28" s="12">
        <v>7.2</v>
      </c>
      <c r="BP28" s="7">
        <v>78</v>
      </c>
      <c r="BQ28" s="59">
        <v>19</v>
      </c>
      <c r="BR28" s="64" t="str">
        <f t="shared" si="15"/>
        <v>---------</v>
      </c>
      <c r="BS28" s="106">
        <v>23.3</v>
      </c>
      <c r="BT28" s="12" t="s">
        <v>156</v>
      </c>
      <c r="BU28" s="7" t="str">
        <f t="shared" si="16"/>
        <v>---------</v>
      </c>
      <c r="BV28" s="290">
        <v>2.83</v>
      </c>
      <c r="BW28" s="59">
        <v>19</v>
      </c>
      <c r="BX28" s="168" t="str">
        <f t="shared" si="17"/>
        <v>---------</v>
      </c>
      <c r="BY28" s="182">
        <v>6.3299999999999995E-2</v>
      </c>
      <c r="BZ28" s="185">
        <v>19</v>
      </c>
      <c r="CA28" s="184">
        <f t="shared" si="18"/>
        <v>6.3299999999999995E-2</v>
      </c>
      <c r="CB28" s="142">
        <f t="shared" si="21"/>
        <v>474.5</v>
      </c>
      <c r="CC28" s="262" t="str">
        <f t="shared" si="19"/>
        <v>7.3</v>
      </c>
      <c r="CD28" s="12">
        <v>19</v>
      </c>
      <c r="CE28" s="262" t="str">
        <f t="shared" si="20"/>
        <v>7.3</v>
      </c>
      <c r="CG28" s="12">
        <v>19</v>
      </c>
      <c r="CH28" s="12" t="s">
        <v>157</v>
      </c>
      <c r="CI28" s="12"/>
      <c r="CJ28" s="333"/>
      <c r="CK28" s="343" t="s">
        <v>102</v>
      </c>
      <c r="CL28" s="344" t="s">
        <v>158</v>
      </c>
      <c r="CM28" s="636">
        <f>CR28</f>
        <v>600</v>
      </c>
      <c r="CN28" s="636">
        <f>CS28</f>
        <v>900</v>
      </c>
      <c r="CO28" s="636">
        <f>CT28</f>
        <v>1200</v>
      </c>
      <c r="CP28" s="343" t="s">
        <v>102</v>
      </c>
      <c r="CQ28" s="344" t="s">
        <v>158</v>
      </c>
      <c r="CR28" s="636">
        <f>AJ40</f>
        <v>600</v>
      </c>
      <c r="CS28" s="636">
        <f>AJ41</f>
        <v>900</v>
      </c>
      <c r="CT28" s="345">
        <f>AJ42</f>
        <v>1200</v>
      </c>
      <c r="CU28" s="333"/>
      <c r="CV28" s="343" t="s">
        <v>102</v>
      </c>
      <c r="CW28" s="344" t="s">
        <v>158</v>
      </c>
      <c r="CX28" s="636">
        <f>DC28</f>
        <v>600</v>
      </c>
      <c r="CY28" s="636">
        <f>DD28</f>
        <v>900</v>
      </c>
      <c r="CZ28" s="636">
        <f>DE28</f>
        <v>1200</v>
      </c>
      <c r="DA28" s="343" t="s">
        <v>102</v>
      </c>
      <c r="DB28" s="344" t="s">
        <v>158</v>
      </c>
      <c r="DC28" s="346">
        <f>CR28</f>
        <v>600</v>
      </c>
      <c r="DD28" s="346">
        <f>CS28</f>
        <v>900</v>
      </c>
      <c r="DE28" s="347">
        <f>CT28</f>
        <v>1200</v>
      </c>
      <c r="DF28" s="333"/>
      <c r="DG28" s="333"/>
      <c r="DH28" s="333"/>
      <c r="DI28" s="333"/>
      <c r="DJ28" s="333"/>
      <c r="DK28" s="333"/>
      <c r="DL28" s="333"/>
      <c r="DM28" s="333"/>
      <c r="DN28" s="333"/>
      <c r="DO28" s="336"/>
    </row>
    <row r="29" spans="1:119">
      <c r="A29">
        <v>28</v>
      </c>
      <c r="B29" t="s">
        <v>159</v>
      </c>
      <c r="BA29" s="13"/>
      <c r="BF29" s="13">
        <v>1.6</v>
      </c>
      <c r="BG29" s="13">
        <f t="shared" si="13"/>
        <v>3.2</v>
      </c>
      <c r="BH29" s="12">
        <v>20</v>
      </c>
      <c r="BI29" s="13" t="str">
        <f t="shared" si="14"/>
        <v>---------</v>
      </c>
      <c r="BK29" s="12">
        <v>20</v>
      </c>
      <c r="BL29" s="12" t="s">
        <v>160</v>
      </c>
      <c r="BN29" s="12">
        <v>20</v>
      </c>
      <c r="BO29" s="12">
        <v>7.1</v>
      </c>
      <c r="BP29" s="7">
        <v>77</v>
      </c>
      <c r="BQ29" s="59">
        <v>20</v>
      </c>
      <c r="BR29" s="64" t="str">
        <f t="shared" si="15"/>
        <v>---------</v>
      </c>
      <c r="BS29" s="106">
        <v>23.2</v>
      </c>
      <c r="BT29" s="12" t="s">
        <v>161</v>
      </c>
      <c r="BU29" s="7" t="str">
        <f t="shared" si="16"/>
        <v>---------</v>
      </c>
      <c r="BV29" s="290">
        <v>2.82</v>
      </c>
      <c r="BW29" s="59">
        <v>20</v>
      </c>
      <c r="BX29" s="168" t="str">
        <f t="shared" si="17"/>
        <v>---------</v>
      </c>
      <c r="BY29" s="182">
        <v>6.3200000000000006E-2</v>
      </c>
      <c r="BZ29" s="185">
        <v>20</v>
      </c>
      <c r="CA29" s="184">
        <f t="shared" si="18"/>
        <v>6.3200000000000006E-2</v>
      </c>
      <c r="CB29" s="142">
        <f t="shared" si="21"/>
        <v>468</v>
      </c>
      <c r="CC29" s="262" t="str">
        <f t="shared" si="19"/>
        <v>7.2</v>
      </c>
      <c r="CD29" s="12">
        <v>20</v>
      </c>
      <c r="CE29" s="262" t="str">
        <f t="shared" si="20"/>
        <v>7.2</v>
      </c>
      <c r="CG29" s="12">
        <v>20</v>
      </c>
      <c r="CH29" s="12" t="s">
        <v>162</v>
      </c>
      <c r="CI29" s="12"/>
      <c r="CJ29" s="333"/>
      <c r="CK29" s="348">
        <f>CB49</f>
        <v>338</v>
      </c>
      <c r="CL29" s="349" t="str">
        <f t="shared" ref="CL29:CL66" si="25">IF(CB49&lt;&gt;"",CC49,"")</f>
        <v>5.2</v>
      </c>
      <c r="CM29" s="350">
        <f t="shared" ref="CM29:CM66" ca="1" si="26">IF($CK29&lt;&gt;"",IF(OFFSET(AO173,0,Two_layers*6)&lt;=9.9,OFFSET(AO173,0,Two_layers*6),""),"")</f>
        <v>5.3168165553560032</v>
      </c>
      <c r="CN29" s="350">
        <f t="shared" ref="CN29:CN66" ca="1" si="27">IF($CK29&lt;&gt;"",IF(OFFSET(AP173,0,Two_layers*6)&lt;=9.9,OFFSET(AP173,0,Two_layers*6),""),"")</f>
        <v>5.3449798270981095</v>
      </c>
      <c r="CO29" s="350">
        <f t="shared" ref="CO29:CO66" ca="1" si="28">IF($CK29&lt;&gt;"",IF(OFFSET(AQ173,0,Two_layers*6)&lt;=9.9,OFFSET(AQ173,0,Two_layers*6),""),"")</f>
        <v>5.358884637910565</v>
      </c>
      <c r="CP29" s="348">
        <f>CB11</f>
        <v>585</v>
      </c>
      <c r="CQ29" s="349" t="str">
        <f t="shared" ref="CQ29:CQ66" si="29">IF(CB11&lt;&gt;"",CC11,"")</f>
        <v>9.0</v>
      </c>
      <c r="CR29" s="350">
        <f t="shared" ref="CR29:CR66" ca="1" si="30">IF($CP29&lt;&gt;"",IF(OFFSET(AO135,0,Two_layers*6)&lt;=9.9,OFFSET(AO135,0,Two_layers*6),""),"")</f>
        <v>9.162959042342699</v>
      </c>
      <c r="CS29" s="350">
        <f t="shared" ref="CS29:CS66" ca="1" si="31">IF($CP29&lt;&gt;"",IF(OFFSET(AP135,0,Two_layers*6)&lt;=9.9,OFFSET(AP135,0,Two_layers*6),""),"")</f>
        <v>9.1818331411524756</v>
      </c>
      <c r="CT29" s="351">
        <f t="shared" ref="CT29:CT66" ca="1" si="32">IF($CP29&lt;&gt;"",IF(OFFSET(AQ135,0,Two_layers*6)&lt;=9.9,OFFSET(AQ135,0,Two_layers*6),""),"")</f>
        <v>9.1919284667133407</v>
      </c>
      <c r="CU29" s="333"/>
      <c r="CV29" s="348">
        <f>CK29</f>
        <v>338</v>
      </c>
      <c r="CW29" s="349" t="str">
        <f t="shared" ref="CW29:CW66" si="33">IF(CB49&lt;&gt;"",CC49,"")</f>
        <v>5.2</v>
      </c>
      <c r="CX29" s="350">
        <f t="shared" ref="CX29:CX65" ca="1" si="34">IF($CV29&lt;&gt;"",IF(OFFSET(AR173,0,Two_layers*6)&lt;=9.9,OFFSET(AR173,0,Two_layers*6),""),"")</f>
        <v>3.5133056838452399</v>
      </c>
      <c r="CY29" s="350">
        <f t="shared" ref="CY29:CY65" ca="1" si="35">IF($CV29&lt;&gt;"",IF(OFFSET(AS173,0,Two_layers*6)&lt;=9.9,OFFSET(AS173,0,Two_layers*6),""),"")</f>
        <v>4.0903174728318774</v>
      </c>
      <c r="CZ29" s="350">
        <f t="shared" ref="CZ29:CZ65" ca="1" si="36">IF($CV29&lt;&gt;"",IF(OFFSET(AT173,0,Two_layers*6)&lt;=9.9,OFFSET(AT173,0,Two_layers*6),""),"")</f>
        <v>4.4275019889805485</v>
      </c>
      <c r="DA29" s="348">
        <f>CP29</f>
        <v>585</v>
      </c>
      <c r="DB29" s="349" t="str">
        <f t="shared" ref="DB29:DB66" si="37">IF(CB11&lt;&gt;"",CC11,"")</f>
        <v>9.0</v>
      </c>
      <c r="DC29" s="350">
        <f t="shared" ref="DC29:DC66" ca="1" si="38">IF($DA29&lt;&gt;"",IF(OFFSET(AR135,0,Two_layers*6)&lt;=9.9,OFFSET(AR135,0,Two_layers*6),""),"")</f>
        <v>3.8601006404675657</v>
      </c>
      <c r="DD29" s="350">
        <f t="shared" ref="DD29:DD66" ca="1" si="39">IF($DA29&lt;&gt;"",IF(OFFSET(AS135,0,Two_layers*6)&lt;=9.9,OFFSET(AS135,0,Two_layers*6),""),"")</f>
        <v>4.9475416023865346</v>
      </c>
      <c r="DE29" s="351">
        <f t="shared" ref="DE29:DE66" ca="1" si="40">IF($DA29&lt;&gt;"",IF(OFFSET(AT135,0,Two_layers*6)&lt;=9.9,OFFSET(AT135,0,Two_layers*6),""),"")</f>
        <v>5.8065893342668407</v>
      </c>
      <c r="DF29" s="333"/>
      <c r="DG29" s="333"/>
      <c r="DH29" s="333"/>
      <c r="DI29" s="333"/>
      <c r="DJ29" s="333"/>
      <c r="DK29" s="333"/>
      <c r="DL29" s="333"/>
      <c r="DM29" s="333"/>
      <c r="DN29" s="333"/>
      <c r="DO29" s="336"/>
    </row>
    <row r="30" spans="1:119">
      <c r="A30">
        <v>29</v>
      </c>
      <c r="B30" t="s">
        <v>163</v>
      </c>
      <c r="U30" s="8"/>
      <c r="V30" s="8"/>
      <c r="W30" s="8"/>
      <c r="X30" s="8"/>
      <c r="Y30" s="8"/>
      <c r="Z30" s="8"/>
      <c r="AA30" s="8"/>
      <c r="AB30" s="8"/>
      <c r="AC30" s="8"/>
      <c r="AD30" s="8"/>
      <c r="AE30" s="8"/>
      <c r="AF30" s="8"/>
      <c r="AH30" s="8"/>
      <c r="AI30" s="8"/>
      <c r="AJ30" s="8" t="str">
        <f>IF(AU9,AW64,AW65)</f>
        <v>P_blank2</v>
      </c>
      <c r="AK30" s="9">
        <f>AP49</f>
        <v>2</v>
      </c>
      <c r="AL30" s="7" t="str">
        <f>AW49</f>
        <v>P_RP_S_B</v>
      </c>
      <c r="AM30" s="9">
        <f>AS49</f>
        <v>1</v>
      </c>
      <c r="AN30" s="155"/>
      <c r="BA30" s="13"/>
      <c r="BF30" s="13">
        <v>1.5</v>
      </c>
      <c r="BG30" s="13">
        <f t="shared" si="13"/>
        <v>3.1</v>
      </c>
      <c r="BH30" s="12">
        <v>21</v>
      </c>
      <c r="BI30" s="13" t="str">
        <f t="shared" si="14"/>
        <v>---------</v>
      </c>
      <c r="BK30" s="12">
        <v>21</v>
      </c>
      <c r="BL30" s="12" t="s">
        <v>164</v>
      </c>
      <c r="BN30" s="12">
        <v>21</v>
      </c>
      <c r="BO30" s="12">
        <v>7</v>
      </c>
      <c r="BP30" s="7">
        <v>76</v>
      </c>
      <c r="BQ30" s="59">
        <v>21</v>
      </c>
      <c r="BR30" s="64" t="str">
        <f t="shared" si="15"/>
        <v>---------</v>
      </c>
      <c r="BS30" s="106">
        <v>23.1</v>
      </c>
      <c r="BT30" s="12" t="s">
        <v>165</v>
      </c>
      <c r="BU30" s="7" t="str">
        <f t="shared" si="16"/>
        <v>---------</v>
      </c>
      <c r="BV30" s="290">
        <v>2.81</v>
      </c>
      <c r="BW30" s="59">
        <v>21</v>
      </c>
      <c r="BX30" s="168" t="str">
        <f t="shared" si="17"/>
        <v>---------</v>
      </c>
      <c r="BY30" s="182">
        <v>6.3100000000000003E-2</v>
      </c>
      <c r="BZ30" s="185">
        <v>21</v>
      </c>
      <c r="CA30" s="184">
        <f t="shared" si="18"/>
        <v>6.3100000000000003E-2</v>
      </c>
      <c r="CB30" s="142">
        <f t="shared" si="21"/>
        <v>461.49999999999994</v>
      </c>
      <c r="CC30" s="262" t="str">
        <f t="shared" si="19"/>
        <v>7.1</v>
      </c>
      <c r="CD30" s="12">
        <v>21</v>
      </c>
      <c r="CE30" s="262" t="str">
        <f t="shared" si="20"/>
        <v>7.1</v>
      </c>
      <c r="CG30" s="12">
        <v>21</v>
      </c>
      <c r="CH30" s="12" t="s">
        <v>166</v>
      </c>
      <c r="CI30" s="12"/>
      <c r="CJ30" s="333"/>
      <c r="CK30" s="348">
        <f t="shared" ref="CK30:CK66" si="41">CB50</f>
        <v>331.49999999999994</v>
      </c>
      <c r="CL30" s="349" t="str">
        <f t="shared" si="25"/>
        <v>5.1</v>
      </c>
      <c r="CM30" s="350">
        <f t="shared" ca="1" si="26"/>
        <v>5.2154835615354171</v>
      </c>
      <c r="CN30" s="350">
        <f t="shared" ca="1" si="27"/>
        <v>5.2439250604243393</v>
      </c>
      <c r="CO30" s="350">
        <f t="shared" ca="1" si="28"/>
        <v>5.257964667742228</v>
      </c>
      <c r="CP30" s="348">
        <f t="shared" ref="CP30:CP66" si="42">CB12</f>
        <v>578.5</v>
      </c>
      <c r="CQ30" s="349" t="str">
        <f t="shared" si="29"/>
        <v>8.9</v>
      </c>
      <c r="CR30" s="350">
        <f t="shared" ca="1" si="30"/>
        <v>9.0618573961218836</v>
      </c>
      <c r="CS30" s="350">
        <f t="shared" ca="1" si="31"/>
        <v>9.0809439036863431</v>
      </c>
      <c r="CT30" s="351">
        <f t="shared" ca="1" si="32"/>
        <v>9.091106703601108</v>
      </c>
      <c r="CU30" s="333"/>
      <c r="CV30" s="348">
        <f t="shared" ref="CV30:CV66" si="43">CK30</f>
        <v>331.49999999999994</v>
      </c>
      <c r="CW30" s="349" t="str">
        <f t="shared" si="33"/>
        <v>5.1</v>
      </c>
      <c r="CX30" s="350">
        <f t="shared" ca="1" si="34"/>
        <v>3.4880153535661016</v>
      </c>
      <c r="CY30" s="350">
        <f t="shared" ca="1" si="35"/>
        <v>4.0479057575111881</v>
      </c>
      <c r="CZ30" s="350">
        <f t="shared" ca="1" si="36"/>
        <v>4.3725101969498636</v>
      </c>
      <c r="DA30" s="348">
        <f t="shared" ref="DA30:DA66" si="44">CP30</f>
        <v>578.5</v>
      </c>
      <c r="DB30" s="349" t="str">
        <f t="shared" si="37"/>
        <v>8.9</v>
      </c>
      <c r="DC30" s="350">
        <f t="shared" ca="1" si="38"/>
        <v>3.8663096739825269</v>
      </c>
      <c r="DD30" s="350">
        <f t="shared" ca="1" si="39"/>
        <v>4.9438181461751558</v>
      </c>
      <c r="DE30" s="351">
        <f t="shared" ca="1" si="40"/>
        <v>5.7880386064351166</v>
      </c>
      <c r="DF30" s="333"/>
      <c r="DG30" s="333"/>
      <c r="DH30" s="333"/>
      <c r="DI30" s="333"/>
      <c r="DJ30" s="333"/>
      <c r="DK30" s="333"/>
      <c r="DL30" s="333"/>
      <c r="DM30" s="333"/>
      <c r="DN30" s="333"/>
      <c r="DO30" s="336"/>
    </row>
    <row r="31" spans="1:119">
      <c r="A31">
        <v>30</v>
      </c>
      <c r="B31" t="s">
        <v>167</v>
      </c>
      <c r="U31" s="992" t="s">
        <v>168</v>
      </c>
      <c r="V31" s="992"/>
      <c r="W31" s="992"/>
      <c r="X31" s="992"/>
      <c r="Y31" s="992"/>
      <c r="Z31" s="992"/>
      <c r="AA31" s="992" t="s">
        <v>169</v>
      </c>
      <c r="AB31" s="992"/>
      <c r="AC31" s="992"/>
      <c r="AD31" s="992"/>
      <c r="AE31" s="992"/>
      <c r="AF31" s="992"/>
      <c r="AG31" s="8"/>
      <c r="AH31" s="12"/>
      <c r="AL31" s="155"/>
      <c r="AM31" s="155"/>
      <c r="AN31" s="155"/>
      <c r="AS31" s="8"/>
      <c r="BA31" s="13"/>
      <c r="BF31" s="13">
        <v>1.4</v>
      </c>
      <c r="BG31" s="13">
        <f t="shared" si="13"/>
        <v>3</v>
      </c>
      <c r="BH31" s="12">
        <v>22</v>
      </c>
      <c r="BI31" s="13" t="str">
        <f t="shared" si="14"/>
        <v>---------</v>
      </c>
      <c r="BK31" s="12">
        <v>22</v>
      </c>
      <c r="BL31" s="12" t="s">
        <v>170</v>
      </c>
      <c r="BN31" s="12">
        <v>22</v>
      </c>
      <c r="BO31" s="12">
        <v>6.9</v>
      </c>
      <c r="BP31" s="7">
        <v>75</v>
      </c>
      <c r="BQ31" s="59">
        <v>22</v>
      </c>
      <c r="BR31" s="64" t="str">
        <f t="shared" si="15"/>
        <v>---------</v>
      </c>
      <c r="BS31" s="106">
        <v>23</v>
      </c>
      <c r="BT31" s="12" t="s">
        <v>171</v>
      </c>
      <c r="BU31" s="7" t="str">
        <f t="shared" si="16"/>
        <v>---------</v>
      </c>
      <c r="BV31" s="290">
        <v>2.8</v>
      </c>
      <c r="BW31" s="59">
        <v>22</v>
      </c>
      <c r="BX31" s="168" t="str">
        <f t="shared" si="17"/>
        <v>---------</v>
      </c>
      <c r="BY31" s="182">
        <v>6.3E-2</v>
      </c>
      <c r="BZ31" s="185">
        <v>22</v>
      </c>
      <c r="CA31" s="184">
        <f t="shared" si="18"/>
        <v>6.3E-2</v>
      </c>
      <c r="CB31" s="142">
        <f t="shared" si="21"/>
        <v>455</v>
      </c>
      <c r="CC31" s="262" t="str">
        <f t="shared" si="19"/>
        <v>7.0</v>
      </c>
      <c r="CD31" s="12">
        <v>22</v>
      </c>
      <c r="CE31" s="262" t="str">
        <f t="shared" si="20"/>
        <v>7.0</v>
      </c>
      <c r="CG31" s="12">
        <v>22</v>
      </c>
      <c r="CH31" s="12" t="s">
        <v>172</v>
      </c>
      <c r="CI31" s="12"/>
      <c r="CJ31" s="333"/>
      <c r="CK31" s="348">
        <f t="shared" si="41"/>
        <v>325</v>
      </c>
      <c r="CL31" s="349" t="str">
        <f t="shared" si="25"/>
        <v>5.0</v>
      </c>
      <c r="CM31" s="350">
        <f t="shared" ca="1" si="26"/>
        <v>5.1141444796201032</v>
      </c>
      <c r="CN31" s="350">
        <f t="shared" ca="1" si="27"/>
        <v>5.1428659377187902</v>
      </c>
      <c r="CO31" s="350">
        <f t="shared" ca="1" si="28"/>
        <v>5.1570421131776794</v>
      </c>
      <c r="CP31" s="348">
        <f t="shared" si="42"/>
        <v>572.00000000000011</v>
      </c>
      <c r="CQ31" s="349" t="str">
        <f t="shared" si="29"/>
        <v>8.8</v>
      </c>
      <c r="CR31" s="350">
        <f t="shared" ca="1" si="30"/>
        <v>8.9607496618063394</v>
      </c>
      <c r="CS31" s="350">
        <f t="shared" ca="1" si="31"/>
        <v>8.9800503101884281</v>
      </c>
      <c r="CT31" s="351">
        <f t="shared" ca="1" si="32"/>
        <v>8.9902823560926599</v>
      </c>
      <c r="CU31" s="333"/>
      <c r="CV31" s="348">
        <f t="shared" si="43"/>
        <v>325</v>
      </c>
      <c r="CW31" s="349" t="str">
        <f t="shared" si="33"/>
        <v>5.0</v>
      </c>
      <c r="CX31" s="350">
        <f t="shared" ca="1" si="34"/>
        <v>3.4618960926608016</v>
      </c>
      <c r="CY31" s="350">
        <f t="shared" ca="1" si="35"/>
        <v>4.004475930108673</v>
      </c>
      <c r="CZ31" s="350">
        <f t="shared" ca="1" si="36"/>
        <v>4.3165594295455234</v>
      </c>
      <c r="DA31" s="348">
        <f t="shared" si="44"/>
        <v>572.00000000000011</v>
      </c>
      <c r="DB31" s="349" t="str">
        <f t="shared" si="37"/>
        <v>8.8</v>
      </c>
      <c r="DC31" s="350">
        <f t="shared" ca="1" si="38"/>
        <v>3.8716897768713276</v>
      </c>
      <c r="DD31" s="350">
        <f t="shared" ca="1" si="39"/>
        <v>4.9390765778819539</v>
      </c>
      <c r="DE31" s="351">
        <f t="shared" ca="1" si="40"/>
        <v>5.7685289032297344</v>
      </c>
      <c r="DF31" s="333"/>
      <c r="DG31" s="333"/>
      <c r="DH31" s="333"/>
      <c r="DI31" s="333"/>
      <c r="DJ31" s="333"/>
      <c r="DK31" s="333"/>
      <c r="DL31" s="333"/>
      <c r="DM31" s="333"/>
      <c r="DN31" s="333"/>
      <c r="DO31" s="336"/>
    </row>
    <row r="32" spans="1:119">
      <c r="A32">
        <v>31</v>
      </c>
      <c r="B32" t="s">
        <v>173</v>
      </c>
      <c r="U32" s="994" t="s">
        <v>174</v>
      </c>
      <c r="V32" s="994"/>
      <c r="W32" s="994"/>
      <c r="X32" s="994" t="s">
        <v>175</v>
      </c>
      <c r="Y32" s="994"/>
      <c r="Z32" s="994"/>
      <c r="AA32" s="994" t="s">
        <v>174</v>
      </c>
      <c r="AB32" s="994"/>
      <c r="AC32" s="994"/>
      <c r="AD32" s="994" t="s">
        <v>175</v>
      </c>
      <c r="AE32" s="994"/>
      <c r="AF32" s="994"/>
      <c r="AG32" s="9"/>
      <c r="AH32" s="305">
        <f>MAX(1,(AW9-2)*3+AI32+(AO9-2)*6)</f>
        <v>4</v>
      </c>
      <c r="AI32" s="12">
        <v>1</v>
      </c>
      <c r="AL32" s="155"/>
      <c r="AM32" s="155"/>
      <c r="AN32" s="155"/>
      <c r="BA32" s="13"/>
      <c r="BF32" s="13">
        <v>1.3</v>
      </c>
      <c r="BG32" s="13">
        <f t="shared" si="13"/>
        <v>2.9000000000000004</v>
      </c>
      <c r="BH32" s="12">
        <v>23</v>
      </c>
      <c r="BI32" s="13" t="str">
        <f t="shared" si="14"/>
        <v>---------</v>
      </c>
      <c r="BK32" s="12">
        <v>23</v>
      </c>
      <c r="BL32" s="12" t="s">
        <v>176</v>
      </c>
      <c r="BN32" s="12">
        <v>23</v>
      </c>
      <c r="BO32" s="12">
        <v>6.8</v>
      </c>
      <c r="BP32" s="7">
        <v>74</v>
      </c>
      <c r="BQ32" s="59">
        <v>23</v>
      </c>
      <c r="BR32" s="64" t="str">
        <f t="shared" si="15"/>
        <v>---------</v>
      </c>
      <c r="BS32" s="106">
        <v>22.9</v>
      </c>
      <c r="BT32" s="12" t="s">
        <v>177</v>
      </c>
      <c r="BU32" s="7" t="str">
        <f t="shared" si="16"/>
        <v>---------</v>
      </c>
      <c r="BV32" s="290">
        <v>2.79</v>
      </c>
      <c r="BW32" s="59">
        <v>23</v>
      </c>
      <c r="BX32" s="168" t="str">
        <f t="shared" si="17"/>
        <v>---------</v>
      </c>
      <c r="BY32" s="182">
        <v>6.2899999999999998E-2</v>
      </c>
      <c r="BZ32" s="185">
        <v>23</v>
      </c>
      <c r="CA32" s="184">
        <f t="shared" si="18"/>
        <v>6.2899999999999998E-2</v>
      </c>
      <c r="CB32" s="142">
        <f t="shared" si="21"/>
        <v>448.50000000000006</v>
      </c>
      <c r="CC32" s="262" t="str">
        <f t="shared" si="19"/>
        <v>6.9</v>
      </c>
      <c r="CD32" s="12">
        <v>23</v>
      </c>
      <c r="CE32" s="262" t="str">
        <f t="shared" si="20"/>
        <v>6.9</v>
      </c>
      <c r="CG32" s="12">
        <v>23</v>
      </c>
      <c r="CH32" s="12" t="s">
        <v>178</v>
      </c>
      <c r="CI32" s="12"/>
      <c r="CJ32" s="333"/>
      <c r="CK32" s="348">
        <f t="shared" si="41"/>
        <v>318.50000000000006</v>
      </c>
      <c r="CL32" s="349" t="str">
        <f t="shared" si="25"/>
        <v>4.9</v>
      </c>
      <c r="CM32" s="350">
        <f t="shared" ca="1" si="26"/>
        <v>5.0127993096100587</v>
      </c>
      <c r="CN32" s="350">
        <f t="shared" ca="1" si="27"/>
        <v>5.0418024589814614</v>
      </c>
      <c r="CO32" s="350">
        <f t="shared" ca="1" si="28"/>
        <v>5.0561169742169181</v>
      </c>
      <c r="CP32" s="348">
        <f t="shared" si="42"/>
        <v>565.5</v>
      </c>
      <c r="CQ32" s="349" t="str">
        <f t="shared" si="29"/>
        <v>8.7</v>
      </c>
      <c r="CR32" s="350">
        <f t="shared" ca="1" si="30"/>
        <v>8.859635839396061</v>
      </c>
      <c r="CS32" s="350">
        <f t="shared" ca="1" si="31"/>
        <v>8.8791523606587326</v>
      </c>
      <c r="CT32" s="351">
        <f t="shared" ca="1" si="32"/>
        <v>8.8894554241879984</v>
      </c>
      <c r="CU32" s="333"/>
      <c r="CV32" s="348">
        <f t="shared" si="43"/>
        <v>318.50000000000006</v>
      </c>
      <c r="CW32" s="349" t="str">
        <f t="shared" si="33"/>
        <v>4.9</v>
      </c>
      <c r="CX32" s="350">
        <f t="shared" ca="1" si="34"/>
        <v>3.434947901129342</v>
      </c>
      <c r="CY32" s="350">
        <f t="shared" ca="1" si="35"/>
        <v>3.9600279906243343</v>
      </c>
      <c r="CZ32" s="350">
        <f t="shared" ca="1" si="36"/>
        <v>4.259649686767526</v>
      </c>
      <c r="DA32" s="348">
        <f t="shared" si="44"/>
        <v>565.5</v>
      </c>
      <c r="DB32" s="349" t="str">
        <f t="shared" si="37"/>
        <v>8.7</v>
      </c>
      <c r="DC32" s="350">
        <f t="shared" ca="1" si="38"/>
        <v>3.8762409491339689</v>
      </c>
      <c r="DD32" s="350">
        <f t="shared" ca="1" si="39"/>
        <v>4.9333168975069261</v>
      </c>
      <c r="DE32" s="351">
        <f t="shared" ca="1" si="40"/>
        <v>5.7480602246506951</v>
      </c>
      <c r="DF32" s="333"/>
      <c r="DG32" s="333"/>
      <c r="DH32" s="1007" t="s">
        <v>179</v>
      </c>
      <c r="DI32" s="1007"/>
      <c r="DJ32" s="1007"/>
      <c r="DK32" s="1008"/>
      <c r="DL32" s="337"/>
      <c r="DM32" s="462" t="str">
        <f>IF(NOT(WebCntrl9),"",BL9)</f>
        <v/>
      </c>
      <c r="DN32" s="333"/>
      <c r="DO32" s="336"/>
    </row>
    <row r="33" spans="1:119">
      <c r="A33">
        <v>32</v>
      </c>
      <c r="B33" t="s">
        <v>180</v>
      </c>
      <c r="U33" s="12" t="s">
        <v>61</v>
      </c>
      <c r="V33" s="12" t="s">
        <v>181</v>
      </c>
      <c r="W33" s="12" t="s">
        <v>182</v>
      </c>
      <c r="X33" s="12" t="s">
        <v>61</v>
      </c>
      <c r="Y33" s="12" t="s">
        <v>181</v>
      </c>
      <c r="Z33" s="12" t="s">
        <v>182</v>
      </c>
      <c r="AA33" s="12" t="s">
        <v>61</v>
      </c>
      <c r="AB33" s="12" t="s">
        <v>181</v>
      </c>
      <c r="AC33" s="12" t="s">
        <v>182</v>
      </c>
      <c r="AD33" s="12" t="s">
        <v>61</v>
      </c>
      <c r="AE33" s="12" t="s">
        <v>181</v>
      </c>
      <c r="AF33" s="12" t="s">
        <v>182</v>
      </c>
      <c r="AG33" s="18"/>
      <c r="AH33" s="18"/>
      <c r="AN33" s="155"/>
      <c r="BA33" s="13"/>
      <c r="BF33" s="13">
        <v>1.2</v>
      </c>
      <c r="BG33" s="13">
        <f t="shared" si="13"/>
        <v>2.8</v>
      </c>
      <c r="BH33" s="12">
        <v>24</v>
      </c>
      <c r="BI33" s="13" t="str">
        <f t="shared" si="14"/>
        <v>---------</v>
      </c>
      <c r="BK33" s="12">
        <v>24</v>
      </c>
      <c r="BL33" s="12" t="s">
        <v>183</v>
      </c>
      <c r="BN33" s="12">
        <v>24</v>
      </c>
      <c r="BO33" s="12">
        <v>6.7</v>
      </c>
      <c r="BP33" s="7">
        <v>73</v>
      </c>
      <c r="BQ33" s="59">
        <v>24</v>
      </c>
      <c r="BR33" s="64" t="str">
        <f t="shared" si="15"/>
        <v>---------</v>
      </c>
      <c r="BS33" s="106">
        <v>22.8</v>
      </c>
      <c r="BT33" s="12" t="s">
        <v>184</v>
      </c>
      <c r="BU33" s="7" t="str">
        <f t="shared" si="16"/>
        <v>---------</v>
      </c>
      <c r="BV33" s="290">
        <v>2.78000000000001</v>
      </c>
      <c r="BW33" s="59">
        <v>24</v>
      </c>
      <c r="BX33" s="168" t="str">
        <f t="shared" si="17"/>
        <v>---------</v>
      </c>
      <c r="BY33" s="182">
        <v>6.2799999999999995E-2</v>
      </c>
      <c r="BZ33" s="185">
        <v>24</v>
      </c>
      <c r="CA33" s="184">
        <f t="shared" si="18"/>
        <v>6.2799999999999995E-2</v>
      </c>
      <c r="CB33" s="142">
        <f t="shared" si="21"/>
        <v>442</v>
      </c>
      <c r="CC33" s="262" t="str">
        <f t="shared" si="19"/>
        <v>6.8</v>
      </c>
      <c r="CD33" s="12">
        <v>24</v>
      </c>
      <c r="CE33" s="262" t="str">
        <f t="shared" si="20"/>
        <v>6.8</v>
      </c>
      <c r="CG33" s="12">
        <v>24</v>
      </c>
      <c r="CH33" s="12" t="s">
        <v>185</v>
      </c>
      <c r="CI33" s="12"/>
      <c r="CJ33" s="333"/>
      <c r="CK33" s="348">
        <f t="shared" si="41"/>
        <v>312</v>
      </c>
      <c r="CL33" s="349" t="str">
        <f t="shared" si="25"/>
        <v>4.8</v>
      </c>
      <c r="CM33" s="350">
        <f t="shared" ca="1" si="26"/>
        <v>4.9114480515052819</v>
      </c>
      <c r="CN33" s="350">
        <f t="shared" ca="1" si="27"/>
        <v>4.9407346242123511</v>
      </c>
      <c r="CO33" s="350">
        <f t="shared" ca="1" si="28"/>
        <v>4.9551892508599416</v>
      </c>
      <c r="CP33" s="348">
        <f t="shared" si="42"/>
        <v>558.99999999999989</v>
      </c>
      <c r="CQ33" s="349" t="str">
        <f t="shared" si="29"/>
        <v>8.6</v>
      </c>
      <c r="CR33" s="350">
        <f t="shared" ca="1" si="30"/>
        <v>8.7585159288910539</v>
      </c>
      <c r="CS33" s="350">
        <f t="shared" ca="1" si="31"/>
        <v>8.7782500550972582</v>
      </c>
      <c r="CT33" s="351">
        <f t="shared" ca="1" si="32"/>
        <v>8.7886259078871252</v>
      </c>
      <c r="CU33" s="333"/>
      <c r="CV33" s="348">
        <f t="shared" si="43"/>
        <v>312</v>
      </c>
      <c r="CW33" s="349" t="str">
        <f t="shared" si="33"/>
        <v>4.8</v>
      </c>
      <c r="CX33" s="350">
        <f t="shared" ca="1" si="34"/>
        <v>3.4071707789717212</v>
      </c>
      <c r="CY33" s="350">
        <f t="shared" ca="1" si="35"/>
        <v>3.9145619390581716</v>
      </c>
      <c r="CZ33" s="350">
        <f t="shared" ca="1" si="36"/>
        <v>4.2017809686158705</v>
      </c>
      <c r="DA33" s="348">
        <f t="shared" si="44"/>
        <v>558.99999999999989</v>
      </c>
      <c r="DB33" s="349" t="str">
        <f t="shared" si="37"/>
        <v>8.6</v>
      </c>
      <c r="DC33" s="350">
        <f t="shared" ca="1" si="38"/>
        <v>3.8799631907704488</v>
      </c>
      <c r="DD33" s="350">
        <f t="shared" ca="1" si="39"/>
        <v>4.9265391050500753</v>
      </c>
      <c r="DE33" s="351">
        <f t="shared" ca="1" si="40"/>
        <v>5.7266325706980004</v>
      </c>
      <c r="DF33" s="333"/>
      <c r="DG33" s="333"/>
      <c r="DH33" s="333"/>
      <c r="DI33" s="333"/>
      <c r="DJ33" s="333"/>
      <c r="DK33" s="333"/>
      <c r="DL33" s="333"/>
      <c r="DM33" s="333"/>
      <c r="DN33" s="333"/>
      <c r="DO33" s="336"/>
    </row>
    <row r="34" spans="1:119">
      <c r="A34">
        <v>33</v>
      </c>
      <c r="B34" t="s">
        <v>186</v>
      </c>
      <c r="AG34" s="8"/>
      <c r="AI34" s="12">
        <v>3</v>
      </c>
      <c r="AL34" s="12">
        <v>1</v>
      </c>
      <c r="AM34" s="24">
        <f>AJ37</f>
        <v>6.3E-2</v>
      </c>
      <c r="AP34" s="269"/>
      <c r="AQ34" s="269"/>
      <c r="AR34" s="269"/>
      <c r="AS34" s="268">
        <v>0</v>
      </c>
      <c r="AT34" s="18">
        <f>IF(AT35&lt;0.07,0,0.106+0.0377*LN(AT35))</f>
        <v>0</v>
      </c>
      <c r="AV34" s="7">
        <v>0</v>
      </c>
      <c r="BA34" s="13"/>
      <c r="BF34" s="13">
        <v>1.1000000000000001</v>
      </c>
      <c r="BG34" s="13">
        <f t="shared" si="13"/>
        <v>2.7</v>
      </c>
      <c r="BH34" s="12">
        <v>25</v>
      </c>
      <c r="BI34" s="13" t="str">
        <f t="shared" si="14"/>
        <v>---------</v>
      </c>
      <c r="BK34" s="12">
        <v>25</v>
      </c>
      <c r="BL34" s="12" t="s">
        <v>187</v>
      </c>
      <c r="BN34" s="12">
        <v>25</v>
      </c>
      <c r="BO34" s="12">
        <v>6.6</v>
      </c>
      <c r="BP34" s="7">
        <v>72</v>
      </c>
      <c r="BQ34" s="59">
        <v>25</v>
      </c>
      <c r="BR34" s="64" t="str">
        <f t="shared" si="15"/>
        <v>---------</v>
      </c>
      <c r="BS34" s="106">
        <v>22.7</v>
      </c>
      <c r="BT34" s="12" t="s">
        <v>188</v>
      </c>
      <c r="BU34" s="7" t="str">
        <f t="shared" si="16"/>
        <v>---------</v>
      </c>
      <c r="BV34" s="290">
        <v>2.77</v>
      </c>
      <c r="BW34" s="59">
        <v>25</v>
      </c>
      <c r="BX34" s="168" t="str">
        <f t="shared" si="17"/>
        <v>---------</v>
      </c>
      <c r="BY34" s="182">
        <v>6.2700000000000006E-2</v>
      </c>
      <c r="BZ34" s="185">
        <v>25</v>
      </c>
      <c r="CA34" s="184">
        <f t="shared" si="18"/>
        <v>6.2700000000000006E-2</v>
      </c>
      <c r="CB34" s="142">
        <f t="shared" si="21"/>
        <v>435.50000000000006</v>
      </c>
      <c r="CC34" s="262" t="str">
        <f t="shared" si="19"/>
        <v>6.7</v>
      </c>
      <c r="CD34" s="12">
        <v>25</v>
      </c>
      <c r="CE34" s="262" t="str">
        <f t="shared" si="20"/>
        <v>6.7</v>
      </c>
      <c r="CG34" s="12">
        <v>25</v>
      </c>
      <c r="CH34" s="12" t="s">
        <v>189</v>
      </c>
      <c r="CI34" s="12"/>
      <c r="CJ34" s="333"/>
      <c r="CK34" s="348">
        <f t="shared" si="41"/>
        <v>305.50000000000006</v>
      </c>
      <c r="CL34" s="349" t="str">
        <f t="shared" si="25"/>
        <v>4.7</v>
      </c>
      <c r="CM34" s="350">
        <f t="shared" ca="1" si="26"/>
        <v>4.8100907053057753</v>
      </c>
      <c r="CN34" s="350">
        <f t="shared" ca="1" si="27"/>
        <v>4.8396624334114637</v>
      </c>
      <c r="CO34" s="350">
        <f t="shared" ca="1" si="28"/>
        <v>4.8542589431067524</v>
      </c>
      <c r="CP34" s="348">
        <f t="shared" si="42"/>
        <v>552.5</v>
      </c>
      <c r="CQ34" s="349" t="str">
        <f t="shared" si="29"/>
        <v>8.5</v>
      </c>
      <c r="CR34" s="350">
        <f t="shared" ca="1" si="30"/>
        <v>8.6573899302913144</v>
      </c>
      <c r="CS34" s="350">
        <f t="shared" ca="1" si="31"/>
        <v>8.6773433935040014</v>
      </c>
      <c r="CT34" s="351">
        <f t="shared" ca="1" si="32"/>
        <v>8.6877938071900385</v>
      </c>
      <c r="CU34" s="333"/>
      <c r="CV34" s="348">
        <f t="shared" si="43"/>
        <v>305.50000000000006</v>
      </c>
      <c r="CW34" s="349" t="str">
        <f t="shared" si="33"/>
        <v>4.7</v>
      </c>
      <c r="CX34" s="350">
        <f t="shared" ca="1" si="34"/>
        <v>3.3785647261879399</v>
      </c>
      <c r="CY34" s="350">
        <f t="shared" ca="1" si="35"/>
        <v>3.8680777754101849</v>
      </c>
      <c r="CZ34" s="350">
        <f t="shared" ca="1" si="36"/>
        <v>4.1429532750905604</v>
      </c>
      <c r="DA34" s="348">
        <f t="shared" si="44"/>
        <v>552.5</v>
      </c>
      <c r="DB34" s="349" t="str">
        <f t="shared" si="37"/>
        <v>8.5</v>
      </c>
      <c r="DC34" s="350">
        <f t="shared" ca="1" si="38"/>
        <v>3.8828565017807679</v>
      </c>
      <c r="DD34" s="350">
        <f t="shared" ca="1" si="39"/>
        <v>4.9187432005114013</v>
      </c>
      <c r="DE34" s="351">
        <f t="shared" ca="1" si="40"/>
        <v>5.7042459413716484</v>
      </c>
      <c r="DF34" s="333"/>
      <c r="DG34" s="333"/>
      <c r="DH34" s="1007" t="s">
        <v>190</v>
      </c>
      <c r="DI34" s="1007"/>
      <c r="DJ34" s="1007"/>
      <c r="DK34" s="1008"/>
      <c r="DL34" s="337">
        <v>500</v>
      </c>
      <c r="DM34" s="462">
        <f>IF(NOT(WebCntrl10),"",BE9)</f>
        <v>950</v>
      </c>
      <c r="DN34" s="333"/>
      <c r="DO34" s="336"/>
    </row>
    <row r="35" spans="1:119">
      <c r="A35">
        <v>34</v>
      </c>
      <c r="B35" t="s">
        <v>191</v>
      </c>
      <c r="F35" s="53" t="s">
        <v>192</v>
      </c>
      <c r="G35" s="53"/>
      <c r="AH35" s="23"/>
      <c r="AI35" s="12">
        <v>1</v>
      </c>
      <c r="AJ35" s="12" cm="1">
        <f t="array" ref="AJ35">INDEX(U39:AF39,1,$AH$32)</f>
        <v>3.6999999999999998E-2</v>
      </c>
      <c r="AK35" s="12"/>
      <c r="AL35" s="12">
        <v>2</v>
      </c>
      <c r="AM35" s="24">
        <f>AJ36</f>
        <v>0.05</v>
      </c>
      <c r="AN35" s="12"/>
      <c r="AO35" s="12"/>
      <c r="AP35" s="32" t="s">
        <v>193</v>
      </c>
      <c r="AQ35" s="272">
        <f>VALUE(BR8)/1000/0.13</f>
        <v>0</v>
      </c>
      <c r="AR35" s="278">
        <f>VALUE(BU8)</f>
        <v>0</v>
      </c>
      <c r="AS35" s="272">
        <f>IF((AQ35+AS34)=0,0,AR35/100/(AQ35+AS34))</f>
        <v>0</v>
      </c>
      <c r="AT35" s="272">
        <f>IF((AS36+AS35)=0,0,1/(AS36+AS35)-AS34)</f>
        <v>0</v>
      </c>
      <c r="AU35" s="8">
        <f>AT35+AT34</f>
        <v>0</v>
      </c>
      <c r="AV35" s="290">
        <f>AU35+$AV$34</f>
        <v>0</v>
      </c>
      <c r="BA35" s="13"/>
      <c r="BF35" s="13">
        <v>1</v>
      </c>
      <c r="BG35" s="13">
        <f t="shared" si="13"/>
        <v>2.6</v>
      </c>
      <c r="BH35" s="12">
        <v>26</v>
      </c>
      <c r="BI35" s="13" t="str">
        <f t="shared" si="14"/>
        <v>---------</v>
      </c>
      <c r="BK35" s="12">
        <v>26</v>
      </c>
      <c r="BL35" s="12" t="s">
        <v>194</v>
      </c>
      <c r="BN35" s="12">
        <v>26</v>
      </c>
      <c r="BO35" s="12">
        <v>6.5</v>
      </c>
      <c r="BP35" s="7">
        <v>71</v>
      </c>
      <c r="BQ35" s="59">
        <v>26</v>
      </c>
      <c r="BR35" s="64" t="str">
        <f t="shared" si="15"/>
        <v>---------</v>
      </c>
      <c r="BS35" s="106">
        <v>22.6</v>
      </c>
      <c r="BT35" s="12" t="s">
        <v>195</v>
      </c>
      <c r="BU35" s="7" t="str">
        <f t="shared" si="16"/>
        <v>---------</v>
      </c>
      <c r="BV35" s="290">
        <v>2.76000000000001</v>
      </c>
      <c r="BW35" s="59">
        <v>26</v>
      </c>
      <c r="BX35" s="168" t="str">
        <f t="shared" si="17"/>
        <v>---------</v>
      </c>
      <c r="BY35" s="182">
        <v>6.2600000000000003E-2</v>
      </c>
      <c r="BZ35" s="185">
        <v>26</v>
      </c>
      <c r="CA35" s="184">
        <f t="shared" si="18"/>
        <v>6.2600000000000003E-2</v>
      </c>
      <c r="CB35" s="142">
        <f t="shared" si="21"/>
        <v>429</v>
      </c>
      <c r="CC35" s="262" t="str">
        <f t="shared" si="19"/>
        <v>6.6</v>
      </c>
      <c r="CD35" s="12">
        <v>26</v>
      </c>
      <c r="CE35" s="262" t="str">
        <f t="shared" si="20"/>
        <v>6.6</v>
      </c>
      <c r="CG35" s="12">
        <v>26</v>
      </c>
      <c r="CH35" s="12" t="s">
        <v>196</v>
      </c>
      <c r="CI35" s="12"/>
      <c r="CJ35" s="333"/>
      <c r="CK35" s="348">
        <f t="shared" si="41"/>
        <v>299</v>
      </c>
      <c r="CL35" s="349" t="str">
        <f t="shared" si="25"/>
        <v>4.6</v>
      </c>
      <c r="CM35" s="350">
        <f t="shared" ca="1" si="26"/>
        <v>4.7087272710115373</v>
      </c>
      <c r="CN35" s="350">
        <f t="shared" ca="1" si="27"/>
        <v>4.738585886578794</v>
      </c>
      <c r="CO35" s="350">
        <f t="shared" ca="1" si="28"/>
        <v>4.7533260509573507</v>
      </c>
      <c r="CP35" s="348">
        <f t="shared" si="42"/>
        <v>546</v>
      </c>
      <c r="CQ35" s="349" t="str">
        <f t="shared" si="29"/>
        <v>8.4</v>
      </c>
      <c r="CR35" s="350">
        <f t="shared" ca="1" si="30"/>
        <v>8.5562578435968462</v>
      </c>
      <c r="CS35" s="350">
        <f t="shared" ca="1" si="31"/>
        <v>8.5764323758789693</v>
      </c>
      <c r="CT35" s="351">
        <f t="shared" ca="1" si="32"/>
        <v>8.5869591220967383</v>
      </c>
      <c r="CU35" s="333"/>
      <c r="CV35" s="348">
        <f t="shared" si="43"/>
        <v>299</v>
      </c>
      <c r="CW35" s="349" t="str">
        <f t="shared" si="33"/>
        <v>4.6</v>
      </c>
      <c r="CX35" s="350">
        <f t="shared" ca="1" si="34"/>
        <v>3.3491297427779978</v>
      </c>
      <c r="CY35" s="350">
        <f t="shared" ca="1" si="35"/>
        <v>3.8205754996803747</v>
      </c>
      <c r="CZ35" s="350">
        <f t="shared" ca="1" si="36"/>
        <v>4.0831666061915914</v>
      </c>
      <c r="DA35" s="348">
        <f t="shared" si="44"/>
        <v>546</v>
      </c>
      <c r="DB35" s="349" t="str">
        <f t="shared" si="37"/>
        <v>8.4</v>
      </c>
      <c r="DC35" s="350">
        <f t="shared" ca="1" si="38"/>
        <v>3.884920882164927</v>
      </c>
      <c r="DD35" s="350">
        <f t="shared" ca="1" si="39"/>
        <v>4.9099291838909025</v>
      </c>
      <c r="DE35" s="351">
        <f t="shared" ca="1" si="40"/>
        <v>5.6809003366716384</v>
      </c>
      <c r="DF35" s="333"/>
      <c r="DG35" s="333"/>
      <c r="DH35" s="333"/>
      <c r="DI35" s="333"/>
      <c r="DJ35" s="333"/>
      <c r="DK35" s="333"/>
      <c r="DL35" s="333"/>
      <c r="DM35" s="333"/>
      <c r="DN35" s="333"/>
      <c r="DO35" s="336"/>
    </row>
    <row r="36" spans="1:119" ht="15.75" customHeight="1">
      <c r="A36">
        <v>35</v>
      </c>
      <c r="B36" t="s">
        <v>197</v>
      </c>
      <c r="F36" s="850" t="s">
        <v>198</v>
      </c>
      <c r="G36" s="850" t="str">
        <f>J1</f>
        <v>mAEAAABJkAOWI</v>
      </c>
      <c r="U36" s="8"/>
      <c r="X36" s="8"/>
      <c r="AG36" s="8"/>
      <c r="AI36" s="12">
        <v>2</v>
      </c>
      <c r="AJ36" s="12" cm="1">
        <f t="array" ref="AJ36">INDEX(U40:AF40,1,$AH$32)</f>
        <v>0.05</v>
      </c>
      <c r="AK36" s="12"/>
      <c r="AL36" s="12">
        <v>3</v>
      </c>
      <c r="AM36" s="24">
        <f>AJ35</f>
        <v>3.6999999999999998E-2</v>
      </c>
      <c r="AN36" s="12"/>
      <c r="AO36" s="12"/>
      <c r="AP36" s="271" t="s">
        <v>199</v>
      </c>
      <c r="AQ36" s="279">
        <f>VALUE(BX8)</f>
        <v>0</v>
      </c>
      <c r="AR36" s="278">
        <f>100-AR35</f>
        <v>100</v>
      </c>
      <c r="AS36" s="272">
        <f>IF((AQ36+AS34)=0,0,AR36/100/(AQ36+AS34))</f>
        <v>0</v>
      </c>
      <c r="AT36" s="270"/>
      <c r="BA36" s="13"/>
      <c r="BF36" s="13">
        <v>0.9</v>
      </c>
      <c r="BG36" s="13">
        <f t="shared" si="13"/>
        <v>2.5</v>
      </c>
      <c r="BH36" s="12">
        <v>27</v>
      </c>
      <c r="BI36" s="13" t="str">
        <f t="shared" si="14"/>
        <v>---------</v>
      </c>
      <c r="BK36" s="12">
        <v>27</v>
      </c>
      <c r="BL36" s="12" t="s">
        <v>200</v>
      </c>
      <c r="BN36" s="12">
        <v>27</v>
      </c>
      <c r="BO36" s="12">
        <v>6.4</v>
      </c>
      <c r="BP36" s="7">
        <v>70</v>
      </c>
      <c r="BQ36" s="59">
        <v>27</v>
      </c>
      <c r="BR36" s="64" t="str">
        <f t="shared" si="15"/>
        <v>---------</v>
      </c>
      <c r="BS36" s="106">
        <v>22.5</v>
      </c>
      <c r="BT36" s="12" t="s">
        <v>201</v>
      </c>
      <c r="BU36" s="7" t="str">
        <f t="shared" si="16"/>
        <v>---------</v>
      </c>
      <c r="BV36" s="290">
        <v>2.75</v>
      </c>
      <c r="BW36" s="59">
        <v>27</v>
      </c>
      <c r="BX36" s="168" t="str">
        <f t="shared" si="17"/>
        <v>---------</v>
      </c>
      <c r="BY36" s="182">
        <v>6.25E-2</v>
      </c>
      <c r="BZ36" s="185">
        <v>27</v>
      </c>
      <c r="CA36" s="184">
        <f t="shared" si="18"/>
        <v>6.25E-2</v>
      </c>
      <c r="CB36" s="142">
        <f t="shared" si="21"/>
        <v>422.5</v>
      </c>
      <c r="CC36" s="262" t="str">
        <f t="shared" si="19"/>
        <v>6.5</v>
      </c>
      <c r="CD36" s="12">
        <v>27</v>
      </c>
      <c r="CE36" s="262" t="str">
        <f t="shared" si="20"/>
        <v>6.5</v>
      </c>
      <c r="CG36" s="12">
        <v>27</v>
      </c>
      <c r="CH36" s="12" t="s">
        <v>202</v>
      </c>
      <c r="CI36" s="12"/>
      <c r="CJ36" s="333"/>
      <c r="CK36" s="348">
        <f t="shared" si="41"/>
        <v>292.5</v>
      </c>
      <c r="CL36" s="349" t="str">
        <f t="shared" si="25"/>
        <v>4.5</v>
      </c>
      <c r="CM36" s="350">
        <f t="shared" ca="1" si="26"/>
        <v>4.6073577486225696</v>
      </c>
      <c r="CN36" s="350">
        <f t="shared" ca="1" si="27"/>
        <v>4.6375049837143454</v>
      </c>
      <c r="CO36" s="350">
        <f t="shared" ca="1" si="28"/>
        <v>4.6523905744117364</v>
      </c>
      <c r="CP36" s="348">
        <f t="shared" si="42"/>
        <v>539.50000000000011</v>
      </c>
      <c r="CQ36" s="349" t="str">
        <f t="shared" si="29"/>
        <v>8.3</v>
      </c>
      <c r="CR36" s="350">
        <f t="shared" ca="1" si="30"/>
        <v>8.4551196688076473</v>
      </c>
      <c r="CS36" s="350">
        <f t="shared" ca="1" si="31"/>
        <v>8.4755170022221549</v>
      </c>
      <c r="CT36" s="351">
        <f t="shared" ca="1" si="32"/>
        <v>8.4861218526072264</v>
      </c>
      <c r="CU36" s="333"/>
      <c r="CV36" s="348">
        <f t="shared" si="43"/>
        <v>292.5</v>
      </c>
      <c r="CW36" s="349" t="str">
        <f t="shared" si="33"/>
        <v>4.5</v>
      </c>
      <c r="CX36" s="350">
        <f t="shared" ca="1" si="34"/>
        <v>3.3188658287418948</v>
      </c>
      <c r="CY36" s="350">
        <f t="shared" ca="1" si="35"/>
        <v>3.7720551118687413</v>
      </c>
      <c r="CZ36" s="350">
        <f t="shared" ca="1" si="36"/>
        <v>4.022420961918967</v>
      </c>
      <c r="DA36" s="348">
        <f t="shared" si="44"/>
        <v>539.50000000000011</v>
      </c>
      <c r="DB36" s="349" t="str">
        <f t="shared" si="37"/>
        <v>8.3</v>
      </c>
      <c r="DC36" s="350">
        <f t="shared" ca="1" si="38"/>
        <v>3.8861563319229253</v>
      </c>
      <c r="DD36" s="350">
        <f t="shared" ca="1" si="39"/>
        <v>4.9000970551885796</v>
      </c>
      <c r="DE36" s="351">
        <f t="shared" ca="1" si="40"/>
        <v>5.656595756597973</v>
      </c>
      <c r="DF36" s="333"/>
      <c r="DG36" s="333"/>
      <c r="DH36" s="333"/>
      <c r="DI36" s="849"/>
      <c r="DJ36" s="333"/>
      <c r="DK36" s="333"/>
      <c r="DL36" s="333"/>
      <c r="DM36" s="333"/>
      <c r="DN36" s="333"/>
      <c r="DO36" s="336"/>
    </row>
    <row r="37" spans="1:119">
      <c r="A37">
        <v>36</v>
      </c>
      <c r="B37" t="s">
        <v>203</v>
      </c>
      <c r="F37" s="855" t="str">
        <f>CK2</f>
        <v>Insulation installed as a single layer or as two layers ?</v>
      </c>
      <c r="G37" s="53" t="str">
        <f>AH9</f>
        <v>single layer or two layers of same material</v>
      </c>
      <c r="T37" s="7" t="s">
        <v>102</v>
      </c>
      <c r="U37" s="12">
        <v>450</v>
      </c>
      <c r="V37" s="12">
        <v>450</v>
      </c>
      <c r="W37" s="12">
        <v>450</v>
      </c>
      <c r="X37" s="12">
        <v>450</v>
      </c>
      <c r="Y37" s="12">
        <v>450</v>
      </c>
      <c r="Z37" s="12">
        <v>450</v>
      </c>
      <c r="AA37" s="12">
        <v>450</v>
      </c>
      <c r="AB37" s="12">
        <v>450</v>
      </c>
      <c r="AC37" s="12">
        <v>450</v>
      </c>
      <c r="AD37" s="12">
        <v>450</v>
      </c>
      <c r="AE37" s="12">
        <v>450</v>
      </c>
      <c r="AF37" s="12">
        <v>450</v>
      </c>
      <c r="AH37" s="81" cm="1">
        <f t="array" ref="AH37">INDEX(U37:AF37,1,AH32)</f>
        <v>450</v>
      </c>
      <c r="AI37" s="12">
        <v>3</v>
      </c>
      <c r="AJ37" s="12" cm="1">
        <f t="array" ref="AJ37">INDEX(U41:AF41,1,$AH$32)</f>
        <v>6.3E-2</v>
      </c>
      <c r="AK37" s="12"/>
      <c r="AL37" s="12"/>
      <c r="BA37" s="13"/>
      <c r="BF37" s="13">
        <v>0.8</v>
      </c>
      <c r="BG37" s="13">
        <f t="shared" si="13"/>
        <v>2.4000000000000004</v>
      </c>
      <c r="BH37" s="12">
        <v>28</v>
      </c>
      <c r="BI37" s="13" t="str">
        <f t="shared" si="14"/>
        <v>---------</v>
      </c>
      <c r="BK37" s="12">
        <v>28</v>
      </c>
      <c r="BL37" s="12" t="s">
        <v>204</v>
      </c>
      <c r="BN37" s="12">
        <v>28</v>
      </c>
      <c r="BO37" s="12">
        <v>6.3</v>
      </c>
      <c r="BP37" s="7">
        <v>69</v>
      </c>
      <c r="BQ37" s="59">
        <v>28</v>
      </c>
      <c r="BR37" s="64" t="str">
        <f t="shared" si="15"/>
        <v>---------</v>
      </c>
      <c r="BS37" s="106">
        <v>22.4</v>
      </c>
      <c r="BT37" s="12" t="s">
        <v>205</v>
      </c>
      <c r="BU37" s="7" t="str">
        <f t="shared" si="16"/>
        <v>---------</v>
      </c>
      <c r="BV37" s="290">
        <v>2.74000000000001</v>
      </c>
      <c r="BW37" s="59">
        <v>28</v>
      </c>
      <c r="BX37" s="168" t="str">
        <f t="shared" si="17"/>
        <v>---------</v>
      </c>
      <c r="BY37" s="182">
        <v>6.2399999999999997E-2</v>
      </c>
      <c r="BZ37" s="185">
        <v>28</v>
      </c>
      <c r="CA37" s="184">
        <f t="shared" si="18"/>
        <v>6.2399999999999997E-2</v>
      </c>
      <c r="CB37" s="142">
        <f t="shared" si="21"/>
        <v>416.00000000000006</v>
      </c>
      <c r="CC37" s="262" t="str">
        <f t="shared" si="19"/>
        <v>6.4</v>
      </c>
      <c r="CD37" s="12">
        <v>28</v>
      </c>
      <c r="CE37" s="262" t="str">
        <f t="shared" si="20"/>
        <v>6.4</v>
      </c>
      <c r="CG37" s="12">
        <v>28</v>
      </c>
      <c r="CH37" s="12" t="s">
        <v>206</v>
      </c>
      <c r="CI37" s="12"/>
      <c r="CJ37" s="333"/>
      <c r="CK37" s="348">
        <f t="shared" si="41"/>
        <v>286.00000000000006</v>
      </c>
      <c r="CL37" s="349" t="str">
        <f t="shared" si="25"/>
        <v>4.4</v>
      </c>
      <c r="CM37" s="350">
        <f t="shared" ca="1" si="26"/>
        <v>4.5059821381388705</v>
      </c>
      <c r="CN37" s="350">
        <f t="shared" ca="1" si="27"/>
        <v>4.5364197248181171</v>
      </c>
      <c r="CO37" s="350">
        <f t="shared" ca="1" si="28"/>
        <v>4.5514525134699086</v>
      </c>
      <c r="CP37" s="348">
        <f t="shared" si="42"/>
        <v>532.99999999999989</v>
      </c>
      <c r="CQ37" s="349" t="str">
        <f t="shared" si="29"/>
        <v>8.2</v>
      </c>
      <c r="CR37" s="350">
        <f t="shared" ca="1" si="30"/>
        <v>8.3539754059237161</v>
      </c>
      <c r="CS37" s="350">
        <f t="shared" ca="1" si="31"/>
        <v>8.3745972725335598</v>
      </c>
      <c r="CT37" s="351">
        <f t="shared" ca="1" si="32"/>
        <v>8.3852819987214975</v>
      </c>
      <c r="CU37" s="333"/>
      <c r="CV37" s="348">
        <f t="shared" si="43"/>
        <v>286.00000000000006</v>
      </c>
      <c r="CW37" s="349" t="str">
        <f t="shared" si="33"/>
        <v>4.4</v>
      </c>
      <c r="CX37" s="350">
        <f t="shared" ca="1" si="34"/>
        <v>3.2877729840796324</v>
      </c>
      <c r="CY37" s="350">
        <f t="shared" ca="1" si="35"/>
        <v>3.7225166119752835</v>
      </c>
      <c r="CZ37" s="350">
        <f t="shared" ca="1" si="36"/>
        <v>3.9607163422726859</v>
      </c>
      <c r="DA37" s="348">
        <f t="shared" si="44"/>
        <v>532.99999999999989</v>
      </c>
      <c r="DB37" s="349" t="str">
        <f t="shared" si="37"/>
        <v>8.2</v>
      </c>
      <c r="DC37" s="350">
        <f t="shared" ca="1" si="38"/>
        <v>3.8865628510547623</v>
      </c>
      <c r="DD37" s="350">
        <f t="shared" ca="1" si="39"/>
        <v>4.8892468144044328</v>
      </c>
      <c r="DE37" s="351">
        <f t="shared" ca="1" si="40"/>
        <v>5.6313322011506495</v>
      </c>
      <c r="DF37" s="333"/>
      <c r="DG37" s="333"/>
      <c r="DH37" s="861" t="str">
        <f>IF(BL9=0,"",IF(AE8,"R "&amp;CZ13&amp;"  --&gt;",DA13&amp;"  --&gt;"))</f>
        <v/>
      </c>
      <c r="DI37" s="862" t="str">
        <f>IF(BL9=0,""," R "&amp;TEXT(AX44,"0.0"))</f>
        <v/>
      </c>
      <c r="DJ37" s="333"/>
      <c r="DK37" s="452" t="str">
        <f>IF(Two_layers,"one or both layers compressed ?","one layer or  two layers of same material")</f>
        <v>one layer or  two layers of same material</v>
      </c>
      <c r="DL37" s="333"/>
      <c r="DM37" s="333"/>
      <c r="DN37" s="333"/>
      <c r="DO37" s="336"/>
    </row>
    <row r="38" spans="1:119" ht="15.75" customHeight="1">
      <c r="A38">
        <v>37</v>
      </c>
      <c r="B38" t="s">
        <v>207</v>
      </c>
      <c r="F38" s="855" t="str">
        <f>CM6</f>
        <v>Roof cladding</v>
      </c>
      <c r="G38" s="177" t="str">
        <f>AP9</f>
        <v>Profiled metal</v>
      </c>
      <c r="U38" s="12"/>
      <c r="V38" s="12"/>
      <c r="W38" s="12"/>
      <c r="X38" s="12"/>
      <c r="Y38" s="12"/>
      <c r="Z38" s="12"/>
      <c r="AA38" s="12"/>
      <c r="AB38" s="12"/>
      <c r="AC38" s="12"/>
      <c r="AD38" s="12"/>
      <c r="AE38" s="12"/>
      <c r="AF38" s="12"/>
      <c r="AM38" s="18" cm="1">
        <f t="array" ref="AM38">INDEX($AI$47:$AI$55,($AI$39-1)*3+1)</f>
        <v>-2.7700831024960833E-5</v>
      </c>
      <c r="AN38" s="18"/>
      <c r="AO38" s="18"/>
      <c r="BA38" s="13"/>
      <c r="BF38" s="13">
        <v>0.69999999999999896</v>
      </c>
      <c r="BG38" s="13">
        <f t="shared" si="13"/>
        <v>2.2999999999999989</v>
      </c>
      <c r="BH38" s="12">
        <v>29</v>
      </c>
      <c r="BI38" s="13" t="str">
        <f t="shared" si="14"/>
        <v>---------</v>
      </c>
      <c r="BK38" s="12">
        <v>29</v>
      </c>
      <c r="BL38" s="12" t="s">
        <v>208</v>
      </c>
      <c r="BN38" s="12">
        <v>29</v>
      </c>
      <c r="BO38" s="12">
        <v>6.2</v>
      </c>
      <c r="BP38" s="7">
        <v>68</v>
      </c>
      <c r="BQ38" s="59">
        <v>29</v>
      </c>
      <c r="BR38" s="64" t="str">
        <f t="shared" si="15"/>
        <v>---------</v>
      </c>
      <c r="BS38" s="106">
        <v>22.3</v>
      </c>
      <c r="BT38" s="12" t="s">
        <v>209</v>
      </c>
      <c r="BU38" s="7" t="str">
        <f t="shared" si="16"/>
        <v>---------</v>
      </c>
      <c r="BV38" s="290">
        <v>2.7300000000000102</v>
      </c>
      <c r="BW38" s="59">
        <v>29</v>
      </c>
      <c r="BX38" s="168" t="str">
        <f t="shared" si="17"/>
        <v>---------</v>
      </c>
      <c r="BY38" s="182">
        <v>6.2300000000000001E-2</v>
      </c>
      <c r="BZ38" s="185">
        <v>29</v>
      </c>
      <c r="CA38" s="184">
        <f t="shared" si="18"/>
        <v>6.2300000000000001E-2</v>
      </c>
      <c r="CB38" s="142">
        <f t="shared" si="21"/>
        <v>409.5</v>
      </c>
      <c r="CC38" s="262" t="str">
        <f t="shared" si="19"/>
        <v>6.3</v>
      </c>
      <c r="CD38" s="12">
        <v>29</v>
      </c>
      <c r="CE38" s="262" t="str">
        <f t="shared" si="20"/>
        <v>6.3</v>
      </c>
      <c r="CG38" s="12">
        <v>29</v>
      </c>
      <c r="CH38" s="12" t="s">
        <v>210</v>
      </c>
      <c r="CI38" s="12"/>
      <c r="CJ38" s="333"/>
      <c r="CK38" s="348">
        <f t="shared" si="41"/>
        <v>279.49999999999994</v>
      </c>
      <c r="CL38" s="349" t="str">
        <f t="shared" si="25"/>
        <v>4.3</v>
      </c>
      <c r="CM38" s="350">
        <f t="shared" ca="1" si="26"/>
        <v>4.4046004395604399</v>
      </c>
      <c r="CN38" s="350">
        <f t="shared" ca="1" si="27"/>
        <v>4.435330109890109</v>
      </c>
      <c r="CO38" s="350">
        <f t="shared" ca="1" si="28"/>
        <v>4.4505118681318665</v>
      </c>
      <c r="CP38" s="348">
        <f t="shared" si="42"/>
        <v>526.5</v>
      </c>
      <c r="CQ38" s="349" t="str">
        <f t="shared" si="29"/>
        <v>8.1</v>
      </c>
      <c r="CR38" s="350">
        <f t="shared" ca="1" si="30"/>
        <v>8.2528250549450544</v>
      </c>
      <c r="CS38" s="350">
        <f t="shared" ca="1" si="31"/>
        <v>8.2736731868131876</v>
      </c>
      <c r="CT38" s="351">
        <f t="shared" ca="1" si="32"/>
        <v>8.2844395604395604</v>
      </c>
      <c r="CU38" s="333"/>
      <c r="CV38" s="348">
        <f t="shared" si="43"/>
        <v>279.49999999999994</v>
      </c>
      <c r="CW38" s="349" t="str">
        <f t="shared" si="33"/>
        <v>4.3</v>
      </c>
      <c r="CX38" s="350">
        <f t="shared" ca="1" si="34"/>
        <v>3.255851208791209</v>
      </c>
      <c r="CY38" s="350">
        <f t="shared" ca="1" si="35"/>
        <v>3.6719600000000003</v>
      </c>
      <c r="CZ38" s="350">
        <f t="shared" ca="1" si="36"/>
        <v>3.8980527472527462</v>
      </c>
      <c r="DA38" s="348">
        <f t="shared" si="44"/>
        <v>526.5</v>
      </c>
      <c r="DB38" s="349" t="str">
        <f t="shared" si="37"/>
        <v>8.1</v>
      </c>
      <c r="DC38" s="350">
        <f t="shared" ca="1" si="38"/>
        <v>3.8861404395604393</v>
      </c>
      <c r="DD38" s="350">
        <f t="shared" ca="1" si="39"/>
        <v>4.877378461538461</v>
      </c>
      <c r="DE38" s="351">
        <f t="shared" ca="1" si="40"/>
        <v>5.6051096703296688</v>
      </c>
      <c r="DF38" s="333"/>
      <c r="DG38" s="333"/>
      <c r="DH38" s="1012"/>
      <c r="DI38" s="1012"/>
      <c r="DJ38" s="333"/>
      <c r="DK38" s="333"/>
      <c r="DL38" s="333"/>
      <c r="DM38" s="333"/>
      <c r="DN38" s="333"/>
      <c r="DO38" s="336"/>
    </row>
    <row r="39" spans="1:119">
      <c r="A39">
        <v>38</v>
      </c>
      <c r="B39" t="s">
        <v>211</v>
      </c>
      <c r="F39" t="str">
        <f>CM8</f>
        <v>Joist/Cord height (mm)</v>
      </c>
      <c r="G39" s="177">
        <f>AX9</f>
        <v>140</v>
      </c>
      <c r="T39" s="7" t="s">
        <v>212</v>
      </c>
      <c r="U39" s="12">
        <v>3.6999999999999998E-2</v>
      </c>
      <c r="V39" s="12">
        <v>3.6999999999999998E-2</v>
      </c>
      <c r="W39" s="12">
        <v>3.6999999999999998E-2</v>
      </c>
      <c r="X39" s="12">
        <v>3.6999999999999998E-2</v>
      </c>
      <c r="Y39" s="12">
        <v>3.6999999999999998E-2</v>
      </c>
      <c r="Z39" s="12">
        <v>3.6999999999999998E-2</v>
      </c>
      <c r="AA39" s="12">
        <v>3.6999999999999998E-2</v>
      </c>
      <c r="AB39" s="12">
        <v>3.6999999999999998E-2</v>
      </c>
      <c r="AC39" s="12">
        <v>3.6999999999999998E-2</v>
      </c>
      <c r="AD39" s="12">
        <v>3.6999999999999998E-2</v>
      </c>
      <c r="AE39" s="12">
        <v>3.6999999999999998E-2</v>
      </c>
      <c r="AF39" s="12">
        <v>3.6999999999999998E-2</v>
      </c>
      <c r="AI39" s="9">
        <f>5-BA9</f>
        <v>1</v>
      </c>
      <c r="AJ39" s="12">
        <f>BB13</f>
        <v>600</v>
      </c>
      <c r="AK39" s="12"/>
      <c r="AL39" s="12"/>
      <c r="AM39" s="18" cm="1">
        <f t="array" ref="AM39">INDEX($AI$47:$AI$55,($AI$39-1)*3+2)</f>
        <v>1.0141961218836568</v>
      </c>
      <c r="AN39" s="18"/>
      <c r="AO39" s="18"/>
      <c r="AP39" s="46" t="s">
        <v>213</v>
      </c>
      <c r="AQ39" s="46"/>
      <c r="AR39" s="46"/>
      <c r="AS39" s="46"/>
      <c r="AT39" s="46"/>
      <c r="AU39" s="47">
        <f>BL9</f>
        <v>0</v>
      </c>
      <c r="AV39" s="48" t="e">
        <f>AU40/AU39</f>
        <v>#DIV/0!</v>
      </c>
      <c r="AW39" s="49" t="s">
        <v>214</v>
      </c>
      <c r="AX39" s="50" t="s">
        <v>154</v>
      </c>
      <c r="BA39" s="13"/>
      <c r="BF39" s="13">
        <v>0.59999999999999898</v>
      </c>
      <c r="BG39" s="13">
        <f t="shared" si="13"/>
        <v>2.1999999999999993</v>
      </c>
      <c r="BH39" s="12">
        <v>30</v>
      </c>
      <c r="BI39" s="13" t="str">
        <f t="shared" si="14"/>
        <v>---------</v>
      </c>
      <c r="BK39" s="12">
        <v>30</v>
      </c>
      <c r="BL39" s="12" t="s">
        <v>215</v>
      </c>
      <c r="BN39" s="12">
        <v>30</v>
      </c>
      <c r="BO39" s="12">
        <v>6.1</v>
      </c>
      <c r="BP39" s="7">
        <v>67</v>
      </c>
      <c r="BQ39" s="59">
        <v>30</v>
      </c>
      <c r="BR39" s="64" t="str">
        <f t="shared" si="15"/>
        <v>---------</v>
      </c>
      <c r="BS39" s="106">
        <v>22.2</v>
      </c>
      <c r="BT39" s="12" t="s">
        <v>216</v>
      </c>
      <c r="BU39" s="7" t="str">
        <f t="shared" si="16"/>
        <v>---------</v>
      </c>
      <c r="BV39" s="290">
        <v>2.72000000000001</v>
      </c>
      <c r="BW39" s="59">
        <v>30</v>
      </c>
      <c r="BX39" s="168" t="str">
        <f t="shared" si="17"/>
        <v>---------</v>
      </c>
      <c r="BY39" s="182">
        <v>6.2199999999999998E-2</v>
      </c>
      <c r="BZ39" s="185">
        <v>30</v>
      </c>
      <c r="CA39" s="184">
        <f t="shared" si="18"/>
        <v>6.2199999999999998E-2</v>
      </c>
      <c r="CB39" s="142">
        <f t="shared" si="21"/>
        <v>403</v>
      </c>
      <c r="CC39" s="262" t="str">
        <f t="shared" si="19"/>
        <v>6.2</v>
      </c>
      <c r="CD39" s="12">
        <v>30</v>
      </c>
      <c r="CE39" s="262" t="str">
        <f t="shared" si="20"/>
        <v>6.2</v>
      </c>
      <c r="CG39" s="12">
        <v>30</v>
      </c>
      <c r="CH39" s="12" t="s">
        <v>217</v>
      </c>
      <c r="CI39" s="12"/>
      <c r="CJ39" s="333"/>
      <c r="CK39" s="348">
        <f t="shared" si="41"/>
        <v>273</v>
      </c>
      <c r="CL39" s="349" t="str">
        <f t="shared" si="25"/>
        <v>4.2</v>
      </c>
      <c r="CM39" s="350">
        <f t="shared" ca="1" si="26"/>
        <v>4.3032126528872796</v>
      </c>
      <c r="CN39" s="350">
        <f t="shared" ca="1" si="27"/>
        <v>4.3342361389303221</v>
      </c>
      <c r="CO39" s="350">
        <f t="shared" ca="1" si="28"/>
        <v>4.3495686383976109</v>
      </c>
      <c r="CP39" s="348">
        <f t="shared" si="42"/>
        <v>520</v>
      </c>
      <c r="CQ39" s="349" t="str">
        <f t="shared" si="29"/>
        <v>8.0</v>
      </c>
      <c r="CR39" s="350">
        <f t="shared" ca="1" si="30"/>
        <v>8.1516686158716638</v>
      </c>
      <c r="CS39" s="350">
        <f t="shared" ca="1" si="31"/>
        <v>8.1727447450610331</v>
      </c>
      <c r="CT39" s="351">
        <f t="shared" ca="1" si="32"/>
        <v>8.1835945377614063</v>
      </c>
      <c r="CU39" s="333"/>
      <c r="CV39" s="348">
        <f t="shared" si="43"/>
        <v>273</v>
      </c>
      <c r="CW39" s="349" t="str">
        <f t="shared" si="33"/>
        <v>4.2</v>
      </c>
      <c r="CX39" s="350">
        <f t="shared" ca="1" si="34"/>
        <v>3.2231005028766244</v>
      </c>
      <c r="CY39" s="350">
        <f t="shared" ca="1" si="35"/>
        <v>3.6203852759428941</v>
      </c>
      <c r="CZ39" s="350">
        <f t="shared" ca="1" si="36"/>
        <v>3.8344301768591516</v>
      </c>
      <c r="DA39" s="348">
        <f t="shared" si="44"/>
        <v>520</v>
      </c>
      <c r="DB39" s="349" t="str">
        <f t="shared" si="37"/>
        <v>8.0</v>
      </c>
      <c r="DC39" s="350">
        <f t="shared" ca="1" si="38"/>
        <v>3.8848890974399559</v>
      </c>
      <c r="DD39" s="350">
        <f t="shared" ca="1" si="39"/>
        <v>4.864491996590667</v>
      </c>
      <c r="DE39" s="351">
        <f t="shared" ca="1" si="40"/>
        <v>5.5779281641350327</v>
      </c>
      <c r="DF39" s="333"/>
      <c r="DG39" s="333"/>
      <c r="DH39" s="1012"/>
      <c r="DI39" s="1012"/>
      <c r="DJ39" s="333"/>
      <c r="DK39" s="337">
        <v>1</v>
      </c>
      <c r="DL39" s="998" t="str">
        <f>IF(NOT(WebCntrl17),"",AE9)</f>
        <v>full insul. thick. compressed</v>
      </c>
      <c r="DM39" s="999"/>
      <c r="DN39" s="999"/>
      <c r="DO39" s="336"/>
    </row>
    <row r="40" spans="1:119">
      <c r="A40">
        <v>39</v>
      </c>
      <c r="B40" t="s">
        <v>218</v>
      </c>
      <c r="F40" s="131" t="str">
        <f>CM10</f>
        <v>Primary insulation conductivity (W/mK)</v>
      </c>
      <c r="G40" s="856">
        <f>CA9</f>
        <v>6.5000000000000002E-2</v>
      </c>
      <c r="T40" s="7" t="s">
        <v>219</v>
      </c>
      <c r="U40" s="12">
        <v>0.05</v>
      </c>
      <c r="V40" s="12">
        <v>0.05</v>
      </c>
      <c r="W40" s="12">
        <v>0.05</v>
      </c>
      <c r="X40" s="12">
        <v>0.05</v>
      </c>
      <c r="Y40" s="12">
        <v>0.05</v>
      </c>
      <c r="Z40" s="12">
        <v>0.05</v>
      </c>
      <c r="AA40" s="12">
        <v>0.05</v>
      </c>
      <c r="AB40" s="12">
        <v>0.05</v>
      </c>
      <c r="AC40" s="12">
        <v>0.05</v>
      </c>
      <c r="AD40" s="12">
        <v>0.05</v>
      </c>
      <c r="AE40" s="12">
        <v>0.05</v>
      </c>
      <c r="AF40" s="12">
        <v>0.05</v>
      </c>
      <c r="AI40" s="12">
        <v>1</v>
      </c>
      <c r="AJ40" s="12" cm="1">
        <f t="array" ref="AJ40">INDEX(U43:AF43,1,$AH$32)</f>
        <v>600</v>
      </c>
      <c r="AK40" s="12"/>
      <c r="AL40" s="12"/>
      <c r="AM40" s="18" cm="1">
        <f t="array" ref="AM40">INDEX($AI$47:$AI$55,($AI$39-1)*3+3)</f>
        <v>3.1668864265927528E-2</v>
      </c>
      <c r="AN40" s="18"/>
      <c r="AO40" s="18"/>
      <c r="AP40" s="46" t="s">
        <v>220</v>
      </c>
      <c r="AQ40" s="46"/>
      <c r="AR40" s="46"/>
      <c r="AS40" s="46"/>
      <c r="AT40" s="46"/>
      <c r="AU40" s="50">
        <f>BE9/1000</f>
        <v>0.95</v>
      </c>
      <c r="AV40" s="48" t="e">
        <f>AV39*(1-AV39/4)</f>
        <v>#DIV/0!</v>
      </c>
      <c r="AW40" s="46"/>
      <c r="AX40" s="46" t="s">
        <v>221</v>
      </c>
      <c r="BA40" s="13"/>
      <c r="BF40" s="13"/>
      <c r="BG40" s="13"/>
      <c r="BH40" s="12"/>
      <c r="BI40" s="13"/>
      <c r="BK40" s="12">
        <v>31</v>
      </c>
      <c r="BL40" s="12" t="s">
        <v>222</v>
      </c>
      <c r="BN40" s="12">
        <v>31</v>
      </c>
      <c r="BO40" s="12">
        <v>6</v>
      </c>
      <c r="BP40" s="7">
        <v>66</v>
      </c>
      <c r="BQ40" s="59">
        <v>31</v>
      </c>
      <c r="BR40" s="64" t="str">
        <f t="shared" si="15"/>
        <v>---------</v>
      </c>
      <c r="BS40" s="106">
        <v>22.1</v>
      </c>
      <c r="BT40" s="12" t="s">
        <v>223</v>
      </c>
      <c r="BU40" s="7" t="str">
        <f t="shared" si="16"/>
        <v>---------</v>
      </c>
      <c r="BV40" s="290">
        <v>2.7100000000000102</v>
      </c>
      <c r="BW40" s="59">
        <v>31</v>
      </c>
      <c r="BX40" s="168" t="str">
        <f t="shared" si="17"/>
        <v>---------</v>
      </c>
      <c r="BY40" s="182">
        <v>6.2100000000000002E-2</v>
      </c>
      <c r="BZ40" s="185">
        <v>31</v>
      </c>
      <c r="CA40" s="184">
        <f t="shared" si="18"/>
        <v>6.2100000000000002E-2</v>
      </c>
      <c r="CB40" s="142">
        <f t="shared" si="21"/>
        <v>396.49999999999994</v>
      </c>
      <c r="CC40" s="262" t="str">
        <f t="shared" si="19"/>
        <v>6.1</v>
      </c>
      <c r="CD40" s="12">
        <v>31</v>
      </c>
      <c r="CE40" s="262" t="str">
        <f t="shared" si="20"/>
        <v>6.1</v>
      </c>
      <c r="CG40" s="12">
        <v>31</v>
      </c>
      <c r="CH40" s="12" t="s">
        <v>224</v>
      </c>
      <c r="CI40" s="12"/>
      <c r="CJ40" s="333"/>
      <c r="CK40" s="348">
        <f t="shared" si="41"/>
        <v>266.49999999999994</v>
      </c>
      <c r="CL40" s="349" t="str">
        <f t="shared" si="25"/>
        <v>4.1</v>
      </c>
      <c r="CM40" s="350">
        <f t="shared" ca="1" si="26"/>
        <v>4.2018187781193879</v>
      </c>
      <c r="CN40" s="350">
        <f t="shared" ca="1" si="27"/>
        <v>4.2331378119387519</v>
      </c>
      <c r="CO40" s="350">
        <f t="shared" ca="1" si="28"/>
        <v>4.2486228242671435</v>
      </c>
      <c r="CP40" s="348">
        <f t="shared" si="42"/>
        <v>513.50000000000011</v>
      </c>
      <c r="CQ40" s="349" t="str">
        <f t="shared" si="29"/>
        <v>7.9</v>
      </c>
      <c r="CR40" s="350">
        <f t="shared" ca="1" si="30"/>
        <v>8.0505060887035409</v>
      </c>
      <c r="CS40" s="350">
        <f t="shared" ca="1" si="31"/>
        <v>8.0718119472770997</v>
      </c>
      <c r="CT40" s="351">
        <f t="shared" ca="1" si="32"/>
        <v>8.0827469306870405</v>
      </c>
      <c r="CU40" s="333"/>
      <c r="CV40" s="348">
        <f t="shared" si="43"/>
        <v>266.49999999999994</v>
      </c>
      <c r="CW40" s="349" t="str">
        <f t="shared" si="33"/>
        <v>4.1</v>
      </c>
      <c r="CX40" s="350">
        <f t="shared" ca="1" si="34"/>
        <v>3.1895208663358803</v>
      </c>
      <c r="CY40" s="350">
        <f t="shared" ca="1" si="35"/>
        <v>3.5677924398039638</v>
      </c>
      <c r="CZ40" s="350">
        <f t="shared" ca="1" si="36"/>
        <v>3.7698486310918993</v>
      </c>
      <c r="DA40" s="348">
        <f t="shared" si="44"/>
        <v>513.50000000000011</v>
      </c>
      <c r="DB40" s="349" t="str">
        <f t="shared" si="37"/>
        <v>7.9</v>
      </c>
      <c r="DC40" s="350">
        <f t="shared" ca="1" si="38"/>
        <v>3.882808824693313</v>
      </c>
      <c r="DD40" s="350">
        <f t="shared" ca="1" si="39"/>
        <v>4.8505874195610481</v>
      </c>
      <c r="DE40" s="351">
        <f t="shared" ca="1" si="40"/>
        <v>5.5497876825667412</v>
      </c>
      <c r="DF40" s="333"/>
      <c r="DG40" s="333"/>
      <c r="DH40" s="1012"/>
      <c r="DI40" s="1012"/>
      <c r="DJ40" s="333"/>
      <c r="DK40" s="1010" t="str">
        <f>IF(Layer_two,"compressed upper layer R-value","compressed primary insul. R-value")</f>
        <v>compressed primary insul. R-value</v>
      </c>
      <c r="DL40" s="1010"/>
      <c r="DM40" s="333"/>
      <c r="DN40" s="333"/>
      <c r="DO40" s="336"/>
    </row>
    <row r="41" spans="1:119">
      <c r="A41">
        <v>40</v>
      </c>
      <c r="B41" t="s">
        <v>225</v>
      </c>
      <c r="F41" t="str">
        <f>CM13&amp;" "&amp;CM14</f>
        <v xml:space="preserve"> </v>
      </c>
      <c r="G41" s="177">
        <f>BI9</f>
        <v>0</v>
      </c>
      <c r="T41" s="7" t="s">
        <v>226</v>
      </c>
      <c r="U41" s="12">
        <v>6.3E-2</v>
      </c>
      <c r="V41" s="12">
        <v>6.3E-2</v>
      </c>
      <c r="W41" s="12">
        <v>6.3E-2</v>
      </c>
      <c r="X41" s="12">
        <v>6.3E-2</v>
      </c>
      <c r="Y41" s="12">
        <v>6.3E-2</v>
      </c>
      <c r="Z41" s="12">
        <v>6.3E-2</v>
      </c>
      <c r="AA41" s="12">
        <v>6.3E-2</v>
      </c>
      <c r="AB41" s="12">
        <v>6.3E-2</v>
      </c>
      <c r="AC41" s="12">
        <v>6.3E-2</v>
      </c>
      <c r="AD41" s="12">
        <v>6.3E-2</v>
      </c>
      <c r="AE41" s="12">
        <v>6.3E-2</v>
      </c>
      <c r="AF41" s="12">
        <v>6.3E-2</v>
      </c>
      <c r="AG41" s="8"/>
      <c r="AI41" s="12">
        <v>2</v>
      </c>
      <c r="AJ41" s="12" cm="1">
        <f t="array" ref="AJ41">INDEX(U44:AF44,1,$AH$32)</f>
        <v>900</v>
      </c>
      <c r="AK41" s="12"/>
      <c r="AL41" s="12"/>
      <c r="AM41" s="18" cm="1">
        <f t="array" ref="AM41">INDEX($AI$74:$AI$82,($AI$39-1)*3+1)</f>
        <v>-4.3335971507716647E-2</v>
      </c>
      <c r="AN41" s="18"/>
      <c r="AO41" s="18"/>
      <c r="AP41" s="46" t="s">
        <v>227</v>
      </c>
      <c r="AQ41" s="46"/>
      <c r="AR41" s="46"/>
      <c r="AS41" s="46"/>
      <c r="AT41" s="46"/>
      <c r="AU41" s="50">
        <f>AW44</f>
        <v>3.56</v>
      </c>
      <c r="AV41" s="48" t="e">
        <f>AU41*AV40</f>
        <v>#DIV/0!</v>
      </c>
      <c r="AW41" s="46"/>
      <c r="AX41" s="46"/>
      <c r="BA41" s="13"/>
      <c r="BC41" s="12"/>
      <c r="BF41" s="13"/>
      <c r="BG41" s="13"/>
      <c r="BH41" s="12"/>
      <c r="BI41" s="13"/>
      <c r="BK41" s="12">
        <v>32</v>
      </c>
      <c r="BL41" s="12" t="s">
        <v>228</v>
      </c>
      <c r="BN41" s="12">
        <v>32</v>
      </c>
      <c r="BO41" s="12">
        <v>5.9</v>
      </c>
      <c r="BP41" s="7">
        <v>65</v>
      </c>
      <c r="BQ41" s="59">
        <v>32</v>
      </c>
      <c r="BR41" s="64" t="str">
        <f t="shared" si="15"/>
        <v>---------</v>
      </c>
      <c r="BS41" s="106">
        <v>22</v>
      </c>
      <c r="BT41" s="12" t="s">
        <v>229</v>
      </c>
      <c r="BU41" s="7" t="str">
        <f t="shared" si="16"/>
        <v>---------</v>
      </c>
      <c r="BV41" s="290">
        <v>2.7000000000000099</v>
      </c>
      <c r="BW41" s="59">
        <v>32</v>
      </c>
      <c r="BX41" s="168" t="str">
        <f t="shared" si="17"/>
        <v>---------</v>
      </c>
      <c r="BY41" s="182">
        <v>6.2E-2</v>
      </c>
      <c r="BZ41" s="185">
        <v>32</v>
      </c>
      <c r="CA41" s="184">
        <f t="shared" si="18"/>
        <v>6.2E-2</v>
      </c>
      <c r="CB41" s="142">
        <f t="shared" si="21"/>
        <v>390</v>
      </c>
      <c r="CC41" s="262" t="str">
        <f t="shared" si="19"/>
        <v>6.0</v>
      </c>
      <c r="CD41" s="12">
        <v>32</v>
      </c>
      <c r="CE41" s="262" t="str">
        <f t="shared" si="20"/>
        <v>6.0</v>
      </c>
      <c r="CG41" s="12">
        <v>32</v>
      </c>
      <c r="CH41" s="12" t="s">
        <v>230</v>
      </c>
      <c r="CI41" s="12"/>
      <c r="CJ41" s="333"/>
      <c r="CK41" s="348">
        <f t="shared" si="41"/>
        <v>260</v>
      </c>
      <c r="CL41" s="349" t="str">
        <f t="shared" si="25"/>
        <v>4.0</v>
      </c>
      <c r="CM41" s="350">
        <f t="shared" ca="1" si="26"/>
        <v>4.1004188152567664</v>
      </c>
      <c r="CN41" s="350">
        <f t="shared" ca="1" si="27"/>
        <v>4.1320351289154047</v>
      </c>
      <c r="CO41" s="350">
        <f t="shared" ca="1" si="28"/>
        <v>4.1476744257404627</v>
      </c>
      <c r="CP41" s="348">
        <f t="shared" si="42"/>
        <v>507</v>
      </c>
      <c r="CQ41" s="349" t="str">
        <f t="shared" si="29"/>
        <v>7.8</v>
      </c>
      <c r="CR41" s="350">
        <f t="shared" ca="1" si="30"/>
        <v>7.9493374734406874</v>
      </c>
      <c r="CS41" s="350">
        <f t="shared" ca="1" si="31"/>
        <v>7.9708747934613848</v>
      </c>
      <c r="CT41" s="351">
        <f t="shared" ca="1" si="32"/>
        <v>7.9818967392164613</v>
      </c>
      <c r="CU41" s="333"/>
      <c r="CV41" s="348">
        <f t="shared" si="43"/>
        <v>260</v>
      </c>
      <c r="CW41" s="349" t="str">
        <f t="shared" si="33"/>
        <v>4.0</v>
      </c>
      <c r="CX41" s="350">
        <f t="shared" ca="1" si="34"/>
        <v>3.1551122991689757</v>
      </c>
      <c r="CY41" s="350">
        <f t="shared" ca="1" si="35"/>
        <v>3.514181491583209</v>
      </c>
      <c r="CZ41" s="350">
        <f t="shared" ca="1" si="36"/>
        <v>3.7043081099509902</v>
      </c>
      <c r="DA41" s="348">
        <f t="shared" si="44"/>
        <v>507</v>
      </c>
      <c r="DB41" s="349" t="str">
        <f t="shared" si="37"/>
        <v>7.8</v>
      </c>
      <c r="DC41" s="350">
        <f t="shared" ca="1" si="38"/>
        <v>3.8798996213205075</v>
      </c>
      <c r="DD41" s="350">
        <f t="shared" ca="1" si="39"/>
        <v>4.835664730449607</v>
      </c>
      <c r="DE41" s="351">
        <f t="shared" ca="1" si="40"/>
        <v>5.5206882256247907</v>
      </c>
      <c r="DF41" s="333"/>
      <c r="DG41" s="333"/>
      <c r="DH41" s="1013" t="str">
        <f>IF(Layer_two,"un-compressed lower layer "&amp;"R "&amp;TEXT(BI8,"0.0"),"")</f>
        <v/>
      </c>
      <c r="DI41" s="1013"/>
      <c r="DJ41" s="333"/>
      <c r="DK41" s="1010"/>
      <c r="DL41" s="1010"/>
      <c r="DM41" s="337">
        <v>5</v>
      </c>
      <c r="DN41" s="461">
        <f>IF(NOT(WebCntrl11),"",AX44)</f>
        <v>5.4</v>
      </c>
      <c r="DO41" s="336"/>
    </row>
    <row r="42" spans="1:119">
      <c r="A42">
        <v>41</v>
      </c>
      <c r="B42" t="s">
        <v>231</v>
      </c>
      <c r="F42" t="str">
        <f>CM16</f>
        <v>Secondary Insulation</v>
      </c>
      <c r="G42" s="177" t="str">
        <f>AT9</f>
        <v>none</v>
      </c>
      <c r="U42" s="12"/>
      <c r="V42" s="12"/>
      <c r="W42" s="12"/>
      <c r="X42" s="12"/>
      <c r="Y42" s="12"/>
      <c r="Z42" s="12"/>
      <c r="AA42" s="12"/>
      <c r="AB42" s="12"/>
      <c r="AC42" s="12"/>
      <c r="AD42" s="12"/>
      <c r="AE42" s="12"/>
      <c r="AF42" s="12"/>
      <c r="AI42" s="12">
        <v>3</v>
      </c>
      <c r="AJ42" s="12" cm="1">
        <f t="array" ref="AJ42">INDEX(U45:AF45,1,$AH$32)</f>
        <v>1200</v>
      </c>
      <c r="AK42" s="12"/>
      <c r="AL42" s="12"/>
      <c r="AM42" s="18" cm="1">
        <f t="array" ref="AM42">INDEX($AI$74:$AI$82,($AI$39-1)*3+2)</f>
        <v>0.7201976256430549</v>
      </c>
      <c r="AN42" s="18"/>
      <c r="AO42" s="18"/>
      <c r="AP42" s="46" t="s">
        <v>232</v>
      </c>
      <c r="AQ42" s="46"/>
      <c r="AR42" s="46"/>
      <c r="AS42" s="46"/>
      <c r="AT42" s="46"/>
      <c r="AU42" s="161">
        <f>CW19</f>
        <v>1.5634411129037167</v>
      </c>
      <c r="AV42" s="48" t="e">
        <f>(1-AV40)*AU42</f>
        <v>#DIV/0!</v>
      </c>
      <c r="AW42" s="46"/>
      <c r="AX42" s="46"/>
      <c r="BA42" s="13"/>
      <c r="BF42" s="13"/>
      <c r="BG42" s="13"/>
      <c r="BH42" s="12"/>
      <c r="BI42" s="13"/>
      <c r="BK42" s="12">
        <v>33</v>
      </c>
      <c r="BL42" s="12" t="s">
        <v>233</v>
      </c>
      <c r="BN42" s="12">
        <v>33</v>
      </c>
      <c r="BO42" s="12">
        <v>5.8</v>
      </c>
      <c r="BP42" s="7">
        <v>64</v>
      </c>
      <c r="BQ42" s="59">
        <v>33</v>
      </c>
      <c r="BR42" s="64" t="str">
        <f t="shared" si="15"/>
        <v>---------</v>
      </c>
      <c r="BS42" s="106">
        <v>21.9</v>
      </c>
      <c r="BT42" s="12" t="s">
        <v>234</v>
      </c>
      <c r="BU42" s="7" t="str">
        <f t="shared" si="16"/>
        <v>---------</v>
      </c>
      <c r="BV42" s="290">
        <v>2.6900000000000102</v>
      </c>
      <c r="BW42" s="59">
        <v>33</v>
      </c>
      <c r="BX42" s="168" t="str">
        <f t="shared" si="17"/>
        <v>---------</v>
      </c>
      <c r="BY42" s="182">
        <v>6.1899999999999997E-2</v>
      </c>
      <c r="BZ42" s="185">
        <v>33</v>
      </c>
      <c r="CA42" s="184">
        <f t="shared" si="18"/>
        <v>6.1899999999999997E-2</v>
      </c>
      <c r="CB42" s="142">
        <f t="shared" si="21"/>
        <v>383.50000000000006</v>
      </c>
      <c r="CC42" s="262" t="str">
        <f t="shared" si="19"/>
        <v>5.9</v>
      </c>
      <c r="CD42" s="12">
        <v>33</v>
      </c>
      <c r="CE42" s="262" t="str">
        <f t="shared" si="20"/>
        <v>5.9</v>
      </c>
      <c r="CG42" s="12">
        <v>33</v>
      </c>
      <c r="CH42" s="12" t="s">
        <v>235</v>
      </c>
      <c r="CI42" s="12"/>
      <c r="CJ42" s="333"/>
      <c r="CK42" s="348">
        <f t="shared" si="41"/>
        <v>253.5</v>
      </c>
      <c r="CL42" s="349">
        <f t="shared" si="25"/>
        <v>3.9</v>
      </c>
      <c r="CM42" s="350">
        <f t="shared" ca="1" si="26"/>
        <v>3.9990127642994127</v>
      </c>
      <c r="CN42" s="350">
        <f t="shared" ca="1" si="27"/>
        <v>4.0309280898602777</v>
      </c>
      <c r="CO42" s="350">
        <f t="shared" ca="1" si="28"/>
        <v>4.0467234428175685</v>
      </c>
      <c r="CP42" s="348">
        <f t="shared" si="42"/>
        <v>500.50000000000006</v>
      </c>
      <c r="CQ42" s="349" t="str">
        <f t="shared" si="29"/>
        <v>7.7</v>
      </c>
      <c r="CR42" s="350">
        <f t="shared" ca="1" si="30"/>
        <v>7.8481627700831034</v>
      </c>
      <c r="CS42" s="350">
        <f t="shared" ca="1" si="31"/>
        <v>7.869933283613892</v>
      </c>
      <c r="CT42" s="351">
        <f t="shared" ca="1" si="32"/>
        <v>7.8810439633496694</v>
      </c>
      <c r="CU42" s="333"/>
      <c r="CV42" s="348">
        <f t="shared" si="43"/>
        <v>253.5</v>
      </c>
      <c r="CW42" s="349">
        <f t="shared" si="33"/>
        <v>3.9</v>
      </c>
      <c r="CX42" s="350">
        <f t="shared" ca="1" si="34"/>
        <v>3.1198748013759099</v>
      </c>
      <c r="CY42" s="350">
        <f t="shared" ca="1" si="35"/>
        <v>3.4595524312806307</v>
      </c>
      <c r="CZ42" s="350">
        <f t="shared" ca="1" si="36"/>
        <v>3.6378086134364236</v>
      </c>
      <c r="DA42" s="348">
        <f t="shared" si="44"/>
        <v>500.50000000000006</v>
      </c>
      <c r="DB42" s="349" t="str">
        <f t="shared" si="37"/>
        <v>7.7</v>
      </c>
      <c r="DC42" s="350">
        <f t="shared" ca="1" si="38"/>
        <v>3.8761614873215433</v>
      </c>
      <c r="DD42" s="350">
        <f t="shared" ca="1" si="39"/>
        <v>4.8197239292563401</v>
      </c>
      <c r="DE42" s="351">
        <f t="shared" ca="1" si="40"/>
        <v>5.4906297933091839</v>
      </c>
      <c r="DF42" s="333"/>
      <c r="DG42" s="333"/>
      <c r="DH42" s="1013"/>
      <c r="DI42" s="1013"/>
      <c r="DJ42" s="333"/>
      <c r="DK42" s="1011"/>
      <c r="DL42" s="1011"/>
      <c r="DM42" s="1009"/>
      <c r="DN42" s="1009"/>
      <c r="DO42" s="336"/>
    </row>
    <row r="43" spans="1:119">
      <c r="A43">
        <v>42</v>
      </c>
      <c r="B43" t="s">
        <v>236</v>
      </c>
      <c r="F43" t="str">
        <f>IF(CP17&lt;&gt;"",CP17,"----------")</f>
        <v>----------</v>
      </c>
      <c r="G43" s="177">
        <f>BX9</f>
        <v>0</v>
      </c>
      <c r="T43" s="32"/>
      <c r="U43" s="145">
        <v>600</v>
      </c>
      <c r="V43" s="146">
        <v>600</v>
      </c>
      <c r="W43" s="145">
        <v>600</v>
      </c>
      <c r="X43" s="146">
        <v>600</v>
      </c>
      <c r="Y43" s="145">
        <v>600</v>
      </c>
      <c r="Z43" s="146">
        <v>600</v>
      </c>
      <c r="AA43" s="147">
        <v>400</v>
      </c>
      <c r="AB43" s="148">
        <v>400</v>
      </c>
      <c r="AC43" s="147">
        <v>400</v>
      </c>
      <c r="AD43" s="148">
        <v>400</v>
      </c>
      <c r="AE43" s="147">
        <v>400</v>
      </c>
      <c r="AF43" s="148">
        <v>400</v>
      </c>
      <c r="AM43" s="18" cm="1">
        <f t="array" ref="AM43">INDEX($AI$74:$AI$82,($AI$39-1)*3+3)</f>
        <v>1.007035180055402</v>
      </c>
      <c r="AN43" s="18"/>
      <c r="AO43" s="18"/>
      <c r="AP43" s="46"/>
      <c r="AQ43" s="46"/>
      <c r="AR43" s="46"/>
      <c r="AS43" s="46"/>
      <c r="AT43" s="46"/>
      <c r="AU43" s="46"/>
      <c r="AV43" s="49"/>
      <c r="AW43" s="162" cm="1">
        <f t="array" ref="AW43">IF(BO9&lt;&gt;"",INDEX(BC105:BC210,MIN(106,MAX(1,BN9+30-Two_layers*NOT(Full_thick)*$BG$7))),"OR")</f>
        <v>3.561399552525037</v>
      </c>
      <c r="AX43" s="106" cm="1">
        <f t="array" ref="AX43">IF(BO9&lt;&gt;"",INDEX(BD105:BD210,MIN(106,MAX(1,BN9+30-Two_layers*NOT(Full_thick)*$BG$7))),"OR")</f>
        <v>5.4</v>
      </c>
      <c r="BA43" s="13"/>
      <c r="BF43" s="13"/>
      <c r="BG43" s="13"/>
      <c r="BH43" s="12"/>
      <c r="BI43" s="13"/>
      <c r="BK43" s="12">
        <v>34</v>
      </c>
      <c r="BL43" s="12" t="s">
        <v>237</v>
      </c>
      <c r="BN43" s="12">
        <v>34</v>
      </c>
      <c r="BO43" s="12">
        <v>5.7</v>
      </c>
      <c r="BP43" s="7">
        <v>63</v>
      </c>
      <c r="BQ43" s="59">
        <v>34</v>
      </c>
      <c r="BR43" s="64" t="str">
        <f t="shared" ref="BR43:BR74" si="45">IF(Cntrl1&lt;=3,"---------",TEXT(BP43,"0"))</f>
        <v>---------</v>
      </c>
      <c r="BS43" s="106">
        <v>21.8</v>
      </c>
      <c r="BT43" s="12" t="s">
        <v>238</v>
      </c>
      <c r="BU43" s="7" t="str">
        <f t="shared" si="16"/>
        <v>---------</v>
      </c>
      <c r="BV43" s="290">
        <v>2.6800000000000099</v>
      </c>
      <c r="BW43" s="59">
        <v>34</v>
      </c>
      <c r="BX43" s="168" t="str">
        <f t="shared" si="17"/>
        <v>---------</v>
      </c>
      <c r="BY43" s="182">
        <v>6.1800000000000001E-2</v>
      </c>
      <c r="BZ43" s="185">
        <v>34</v>
      </c>
      <c r="CA43" s="184">
        <f t="shared" si="18"/>
        <v>6.1800000000000001E-2</v>
      </c>
      <c r="CB43" s="142">
        <f t="shared" si="21"/>
        <v>377</v>
      </c>
      <c r="CC43" s="262" t="str">
        <f t="shared" ref="CC43:CC74" si="46">IF($CB43&lt;&gt;"",CH42,CC44)</f>
        <v>5.8</v>
      </c>
      <c r="CD43" s="12">
        <v>34</v>
      </c>
      <c r="CE43" s="262" t="str">
        <f t="shared" ref="CE43:CE74" si="47">CC43</f>
        <v>5.8</v>
      </c>
      <c r="CG43" s="12">
        <v>34</v>
      </c>
      <c r="CH43" s="12" t="s">
        <v>239</v>
      </c>
      <c r="CI43" s="12"/>
      <c r="CJ43" s="333"/>
      <c r="CK43" s="348">
        <f t="shared" si="41"/>
        <v>247</v>
      </c>
      <c r="CL43" s="349">
        <f t="shared" si="25"/>
        <v>3.8</v>
      </c>
      <c r="CM43" s="350">
        <f t="shared" ca="1" si="26"/>
        <v>3.8976006252473292</v>
      </c>
      <c r="CN43" s="350">
        <f t="shared" ca="1" si="27"/>
        <v>3.9298166947733706</v>
      </c>
      <c r="CO43" s="350">
        <f t="shared" ca="1" si="28"/>
        <v>3.9457698754984603</v>
      </c>
      <c r="CP43" s="348">
        <f t="shared" si="42"/>
        <v>494</v>
      </c>
      <c r="CQ43" s="349" t="str">
        <f t="shared" si="29"/>
        <v>7.6</v>
      </c>
      <c r="CR43" s="350">
        <f t="shared" ca="1" si="30"/>
        <v>7.7469819786307879</v>
      </c>
      <c r="CS43" s="350">
        <f t="shared" ca="1" si="31"/>
        <v>7.7689874177346185</v>
      </c>
      <c r="CT43" s="351">
        <f t="shared" ca="1" si="32"/>
        <v>7.7801886030866623</v>
      </c>
      <c r="CU43" s="333"/>
      <c r="CV43" s="348">
        <f t="shared" si="43"/>
        <v>247</v>
      </c>
      <c r="CW43" s="349">
        <f t="shared" si="33"/>
        <v>3.8</v>
      </c>
      <c r="CX43" s="350">
        <f t="shared" ca="1" si="34"/>
        <v>3.0838083729566828</v>
      </c>
      <c r="CY43" s="350">
        <f t="shared" ca="1" si="35"/>
        <v>3.403905258896228</v>
      </c>
      <c r="CZ43" s="350">
        <f t="shared" ca="1" si="36"/>
        <v>3.570350141548202</v>
      </c>
      <c r="DA43" s="348">
        <f t="shared" si="44"/>
        <v>494</v>
      </c>
      <c r="DB43" s="349" t="str">
        <f t="shared" si="37"/>
        <v>7.6</v>
      </c>
      <c r="DC43" s="350">
        <f t="shared" ca="1" si="38"/>
        <v>3.8715944226964178</v>
      </c>
      <c r="DD43" s="350">
        <f t="shared" ca="1" si="39"/>
        <v>4.8027650159812474</v>
      </c>
      <c r="DE43" s="351">
        <f t="shared" ca="1" si="40"/>
        <v>5.4596123856199199</v>
      </c>
      <c r="DF43" s="333"/>
      <c r="DG43" s="333"/>
      <c r="DH43" s="1013"/>
      <c r="DI43" s="1013"/>
      <c r="DJ43" s="333"/>
      <c r="DK43" s="1011"/>
      <c r="DL43" s="1011"/>
      <c r="DM43" s="1009"/>
      <c r="DN43" s="1009"/>
      <c r="DO43" s="336"/>
    </row>
    <row r="44" spans="1:119">
      <c r="A44">
        <v>43</v>
      </c>
      <c r="B44" t="s">
        <v>240</v>
      </c>
      <c r="F44" t="str">
        <f t="shared" ref="F44:F45" si="48">IF(CP18&lt;&gt;"",CP18,"----------")</f>
        <v>----------</v>
      </c>
      <c r="G44" s="177">
        <f>BR9</f>
        <v>0</v>
      </c>
      <c r="T44" s="32"/>
      <c r="U44" s="145">
        <v>900</v>
      </c>
      <c r="V44" s="146">
        <v>900</v>
      </c>
      <c r="W44" s="145">
        <v>900</v>
      </c>
      <c r="X44" s="146">
        <v>900</v>
      </c>
      <c r="Y44" s="145">
        <v>900</v>
      </c>
      <c r="Z44" s="146">
        <v>900</v>
      </c>
      <c r="AA44" s="147">
        <v>600</v>
      </c>
      <c r="AB44" s="148">
        <v>600</v>
      </c>
      <c r="AC44" s="147">
        <v>600</v>
      </c>
      <c r="AD44" s="148">
        <v>600</v>
      </c>
      <c r="AE44" s="147">
        <v>600</v>
      </c>
      <c r="AF44" s="148">
        <v>600</v>
      </c>
      <c r="AP44" s="46" t="s">
        <v>241</v>
      </c>
      <c r="AQ44" s="46"/>
      <c r="AR44" s="46"/>
      <c r="AS44" s="46"/>
      <c r="AT44" s="46"/>
      <c r="AU44" s="46"/>
      <c r="AV44" s="48" t="e">
        <f>ROUND(AV41+AV42,2)</f>
        <v>#DIV/0!</v>
      </c>
      <c r="AW44" s="46">
        <f>ROUND(AW43,2)</f>
        <v>3.56</v>
      </c>
      <c r="AX44" s="860">
        <f>IF(AE8,BO8,AX43)</f>
        <v>5.4</v>
      </c>
      <c r="BA44" s="13"/>
      <c r="BF44" s="13"/>
      <c r="BG44" s="13"/>
      <c r="BH44" s="12"/>
      <c r="BI44" s="13"/>
      <c r="BK44" s="12">
        <v>35</v>
      </c>
      <c r="BL44" s="12" t="s">
        <v>242</v>
      </c>
      <c r="BN44" s="12">
        <v>35</v>
      </c>
      <c r="BO44" s="12">
        <v>5.6</v>
      </c>
      <c r="BP44" s="7">
        <v>62</v>
      </c>
      <c r="BQ44" s="59">
        <v>35</v>
      </c>
      <c r="BR44" s="64" t="str">
        <f t="shared" si="45"/>
        <v>---------</v>
      </c>
      <c r="BS44" s="106">
        <v>21.7</v>
      </c>
      <c r="BT44" s="12" t="s">
        <v>243</v>
      </c>
      <c r="BU44" s="7" t="str">
        <f t="shared" si="16"/>
        <v>---------</v>
      </c>
      <c r="BV44" s="290">
        <v>2.6700000000000101</v>
      </c>
      <c r="BW44" s="59">
        <v>35</v>
      </c>
      <c r="BX44" s="168" t="str">
        <f t="shared" si="17"/>
        <v>---------</v>
      </c>
      <c r="BY44" s="182">
        <v>6.1699999999999998E-2</v>
      </c>
      <c r="BZ44" s="185">
        <v>35</v>
      </c>
      <c r="CA44" s="184">
        <f t="shared" si="18"/>
        <v>6.1699999999999998E-2</v>
      </c>
      <c r="CB44" s="142">
        <f t="shared" si="21"/>
        <v>370.50000000000006</v>
      </c>
      <c r="CC44" s="262" t="str">
        <f t="shared" si="46"/>
        <v>5.7</v>
      </c>
      <c r="CD44" s="12">
        <v>35</v>
      </c>
      <c r="CE44" s="262" t="str">
        <f t="shared" si="47"/>
        <v>5.7</v>
      </c>
      <c r="CG44" s="12">
        <v>35</v>
      </c>
      <c r="CH44" s="12" t="s">
        <v>244</v>
      </c>
      <c r="CI44" s="12"/>
      <c r="CJ44" s="333"/>
      <c r="CK44" s="348">
        <f t="shared" si="41"/>
        <v>240.50000000000003</v>
      </c>
      <c r="CL44" s="349">
        <f t="shared" si="25"/>
        <v>3.7</v>
      </c>
      <c r="CM44" s="350">
        <f t="shared" ca="1" si="26"/>
        <v>3.7961823981005156</v>
      </c>
      <c r="CN44" s="350">
        <f t="shared" ca="1" si="27"/>
        <v>3.8287009436546837</v>
      </c>
      <c r="CO44" s="350">
        <f t="shared" ca="1" si="28"/>
        <v>3.8448137237831408</v>
      </c>
      <c r="CP44" s="348">
        <f t="shared" si="42"/>
        <v>487.50000000000006</v>
      </c>
      <c r="CQ44" s="349" t="str">
        <f t="shared" si="29"/>
        <v>7.5</v>
      </c>
      <c r="CR44" s="350">
        <f t="shared" ca="1" si="30"/>
        <v>7.6457950990837418</v>
      </c>
      <c r="CS44" s="350">
        <f t="shared" ca="1" si="31"/>
        <v>7.6680371958235662</v>
      </c>
      <c r="CT44" s="351">
        <f t="shared" ca="1" si="32"/>
        <v>7.6793306584274434</v>
      </c>
      <c r="CU44" s="333"/>
      <c r="CV44" s="348">
        <f t="shared" si="43"/>
        <v>240.50000000000003</v>
      </c>
      <c r="CW44" s="349">
        <f t="shared" si="33"/>
        <v>3.7</v>
      </c>
      <c r="CX44" s="350">
        <f t="shared" ca="1" si="34"/>
        <v>3.046913013911297</v>
      </c>
      <c r="CY44" s="350">
        <f t="shared" ca="1" si="35"/>
        <v>3.3472399744300025</v>
      </c>
      <c r="CZ44" s="350">
        <f t="shared" ca="1" si="36"/>
        <v>3.5019326942863227</v>
      </c>
      <c r="DA44" s="348">
        <f t="shared" si="44"/>
        <v>487.50000000000006</v>
      </c>
      <c r="DB44" s="349" t="str">
        <f t="shared" si="37"/>
        <v>7.5</v>
      </c>
      <c r="DC44" s="350">
        <f t="shared" ca="1" si="38"/>
        <v>3.8661984274451315</v>
      </c>
      <c r="DD44" s="350">
        <f t="shared" ca="1" si="39"/>
        <v>4.7847879906243342</v>
      </c>
      <c r="DE44" s="351">
        <f t="shared" ca="1" si="40"/>
        <v>5.4276360025569996</v>
      </c>
      <c r="DF44" s="333"/>
      <c r="DG44" s="333"/>
      <c r="DH44" s="333"/>
      <c r="DI44" s="333"/>
      <c r="DJ44" s="333"/>
      <c r="DK44" s="333"/>
      <c r="DL44" s="333"/>
      <c r="DM44" s="333"/>
      <c r="DN44" s="333"/>
      <c r="DO44" s="336"/>
    </row>
    <row r="45" spans="1:119">
      <c r="A45">
        <v>44</v>
      </c>
      <c r="B45" t="s">
        <v>245</v>
      </c>
      <c r="F45" t="str">
        <f t="shared" si="48"/>
        <v>----------</v>
      </c>
      <c r="G45" s="177">
        <f>BU9</f>
        <v>0</v>
      </c>
      <c r="T45" s="32"/>
      <c r="U45" s="145">
        <v>1200</v>
      </c>
      <c r="V45" s="146">
        <v>1200</v>
      </c>
      <c r="W45" s="145">
        <v>1200</v>
      </c>
      <c r="X45" s="146">
        <v>1200</v>
      </c>
      <c r="Y45" s="145">
        <v>1200</v>
      </c>
      <c r="Z45" s="146">
        <v>1200</v>
      </c>
      <c r="AA45" s="147">
        <v>900</v>
      </c>
      <c r="AB45" s="148">
        <v>900</v>
      </c>
      <c r="AC45" s="147">
        <v>900</v>
      </c>
      <c r="AD45" s="148">
        <v>900</v>
      </c>
      <c r="AE45" s="147">
        <v>900</v>
      </c>
      <c r="AF45" s="148">
        <v>900</v>
      </c>
      <c r="BA45" s="13"/>
      <c r="BF45" s="13"/>
      <c r="BG45" s="13"/>
      <c r="BH45" s="12"/>
      <c r="BI45" s="13"/>
      <c r="BK45" s="12">
        <v>36</v>
      </c>
      <c r="BL45" s="12" t="s">
        <v>246</v>
      </c>
      <c r="BN45" s="12">
        <v>36</v>
      </c>
      <c r="BO45" s="12">
        <v>5.5</v>
      </c>
      <c r="BP45" s="7">
        <v>61</v>
      </c>
      <c r="BQ45" s="59">
        <v>36</v>
      </c>
      <c r="BR45" s="64" t="str">
        <f t="shared" si="45"/>
        <v>---------</v>
      </c>
      <c r="BS45" s="106">
        <v>21.6</v>
      </c>
      <c r="BT45" s="12" t="s">
        <v>247</v>
      </c>
      <c r="BU45" s="7" t="str">
        <f t="shared" si="16"/>
        <v>---------</v>
      </c>
      <c r="BV45" s="290">
        <v>2.6600000000000099</v>
      </c>
      <c r="BW45" s="59">
        <v>36</v>
      </c>
      <c r="BX45" s="168" t="str">
        <f t="shared" si="17"/>
        <v>---------</v>
      </c>
      <c r="BY45" s="182">
        <v>6.1600000000000002E-2</v>
      </c>
      <c r="BZ45" s="185">
        <v>36</v>
      </c>
      <c r="CA45" s="184">
        <f t="shared" si="18"/>
        <v>6.1600000000000002E-2</v>
      </c>
      <c r="CB45" s="142">
        <f t="shared" si="21"/>
        <v>364</v>
      </c>
      <c r="CC45" s="262" t="str">
        <f t="shared" si="46"/>
        <v>5.6</v>
      </c>
      <c r="CD45" s="12">
        <v>36</v>
      </c>
      <c r="CE45" s="262" t="str">
        <f t="shared" si="47"/>
        <v>5.6</v>
      </c>
      <c r="CG45" s="12">
        <v>36</v>
      </c>
      <c r="CH45" s="12" t="s">
        <v>248</v>
      </c>
      <c r="CI45" s="12"/>
      <c r="CJ45" s="333"/>
      <c r="CK45" s="348">
        <f t="shared" si="41"/>
        <v>234</v>
      </c>
      <c r="CL45" s="349">
        <f t="shared" si="25"/>
        <v>3.6</v>
      </c>
      <c r="CM45" s="350">
        <f t="shared" ca="1" si="26"/>
        <v>3.6947580828589697</v>
      </c>
      <c r="CN45" s="350">
        <f t="shared" ca="1" si="27"/>
        <v>3.7275808365042162</v>
      </c>
      <c r="CO45" s="350">
        <f t="shared" ca="1" si="28"/>
        <v>3.7438549876716061</v>
      </c>
      <c r="CP45" s="348">
        <f t="shared" si="42"/>
        <v>481.00000000000006</v>
      </c>
      <c r="CQ45" s="349" t="str">
        <f t="shared" si="29"/>
        <v>7.4</v>
      </c>
      <c r="CR45" s="350">
        <f t="shared" ca="1" si="30"/>
        <v>7.544602131441966</v>
      </c>
      <c r="CS45" s="350">
        <f t="shared" ca="1" si="31"/>
        <v>7.5670826178807333</v>
      </c>
      <c r="CT45" s="351">
        <f t="shared" ca="1" si="32"/>
        <v>7.578470129372012</v>
      </c>
      <c r="CU45" s="333"/>
      <c r="CV45" s="348">
        <f t="shared" si="43"/>
        <v>234</v>
      </c>
      <c r="CW45" s="349">
        <f t="shared" si="33"/>
        <v>3.6</v>
      </c>
      <c r="CX45" s="350">
        <f t="shared" ca="1" si="34"/>
        <v>3.009188724239749</v>
      </c>
      <c r="CY45" s="350">
        <f t="shared" ca="1" si="35"/>
        <v>3.2895565778819518</v>
      </c>
      <c r="CZ45" s="350">
        <f t="shared" ca="1" si="36"/>
        <v>3.4325562716507867</v>
      </c>
      <c r="DA45" s="348">
        <f t="shared" si="44"/>
        <v>481.00000000000006</v>
      </c>
      <c r="DB45" s="349" t="str">
        <f t="shared" si="37"/>
        <v>7.4</v>
      </c>
      <c r="DC45" s="350">
        <f t="shared" ca="1" si="38"/>
        <v>3.8599735015676844</v>
      </c>
      <c r="DD45" s="350">
        <f t="shared" ca="1" si="39"/>
        <v>4.7657928531855953</v>
      </c>
      <c r="DE45" s="351">
        <f t="shared" ca="1" si="40"/>
        <v>5.3947006441204222</v>
      </c>
      <c r="DF45" s="333"/>
      <c r="DG45" s="333"/>
      <c r="DH45" s="1005" t="s">
        <v>249</v>
      </c>
      <c r="DI45" s="1005"/>
      <c r="DJ45" s="1005"/>
      <c r="DK45" s="1005"/>
      <c r="DL45" s="1017" t="str">
        <f>IF(OR(CI1,BL9=0),"",AW44)</f>
        <v/>
      </c>
      <c r="DM45" s="1017"/>
      <c r="DN45" s="333"/>
      <c r="DO45" s="336"/>
    </row>
    <row r="46" spans="1:119">
      <c r="A46">
        <v>45</v>
      </c>
      <c r="B46" t="s">
        <v>250</v>
      </c>
      <c r="F46" t="str">
        <f>CM22</f>
        <v>Lining</v>
      </c>
      <c r="G46" s="177" t="str">
        <f>AK9</f>
        <v>10 mm plasterboard</v>
      </c>
      <c r="T46" s="32"/>
      <c r="U46" s="32"/>
      <c r="V46" s="32"/>
      <c r="W46" s="32"/>
      <c r="X46" s="32"/>
      <c r="Y46" s="32"/>
      <c r="Z46" s="32"/>
      <c r="AA46" s="32"/>
      <c r="AB46" s="32"/>
      <c r="AC46" s="32"/>
      <c r="AD46" s="32"/>
      <c r="AE46" s="32"/>
      <c r="AF46" s="32"/>
      <c r="AG46" s="8"/>
      <c r="AI46" s="12" t="s">
        <v>207</v>
      </c>
      <c r="AK46" s="82" t="s">
        <v>251</v>
      </c>
      <c r="AL46" s="12">
        <v>600</v>
      </c>
      <c r="AM46" s="12">
        <v>900</v>
      </c>
      <c r="AN46" s="12">
        <v>1200</v>
      </c>
      <c r="BF46" s="13"/>
      <c r="BG46" s="13"/>
      <c r="BH46" s="12"/>
      <c r="BI46" s="13"/>
      <c r="BK46" s="12">
        <v>37</v>
      </c>
      <c r="BL46" s="12" t="s">
        <v>252</v>
      </c>
      <c r="BN46" s="12">
        <v>37</v>
      </c>
      <c r="BO46" s="12">
        <v>5.4</v>
      </c>
      <c r="BP46" s="7">
        <v>60</v>
      </c>
      <c r="BQ46" s="59">
        <v>37</v>
      </c>
      <c r="BR46" s="64" t="str">
        <f t="shared" si="45"/>
        <v>---------</v>
      </c>
      <c r="BS46" s="106">
        <v>21.5</v>
      </c>
      <c r="BT46" s="12" t="s">
        <v>253</v>
      </c>
      <c r="BU46" s="7" t="str">
        <f t="shared" si="16"/>
        <v>---------</v>
      </c>
      <c r="BV46" s="290">
        <v>2.6500000000000101</v>
      </c>
      <c r="BW46" s="59">
        <v>37</v>
      </c>
      <c r="BX46" s="168" t="str">
        <f t="shared" si="17"/>
        <v>---------</v>
      </c>
      <c r="BY46" s="182">
        <v>6.1499999999999999E-2</v>
      </c>
      <c r="BZ46" s="185">
        <v>37</v>
      </c>
      <c r="CA46" s="184">
        <f t="shared" si="18"/>
        <v>6.1499999999999999E-2</v>
      </c>
      <c r="CB46" s="142">
        <f t="shared" si="21"/>
        <v>357.50000000000006</v>
      </c>
      <c r="CC46" s="262" t="str">
        <f t="shared" si="46"/>
        <v>5.5</v>
      </c>
      <c r="CD46" s="12">
        <v>37</v>
      </c>
      <c r="CE46" s="262" t="str">
        <f t="shared" si="47"/>
        <v>5.5</v>
      </c>
      <c r="CG46" s="12">
        <v>37</v>
      </c>
      <c r="CH46" s="12" t="s">
        <v>254</v>
      </c>
      <c r="CI46" s="12"/>
      <c r="CJ46" s="333"/>
      <c r="CK46" s="348">
        <f t="shared" si="41"/>
        <v>227.5</v>
      </c>
      <c r="CL46" s="349">
        <f t="shared" si="25"/>
        <v>3.5</v>
      </c>
      <c r="CM46" s="350">
        <f t="shared" ca="1" si="26"/>
        <v>3.5933276795226936</v>
      </c>
      <c r="CN46" s="350">
        <f t="shared" ca="1" si="27"/>
        <v>3.626456373321969</v>
      </c>
      <c r="CO46" s="350">
        <f t="shared" ca="1" si="28"/>
        <v>3.6428936671638592</v>
      </c>
      <c r="CP46" s="348">
        <f t="shared" si="42"/>
        <v>474.5</v>
      </c>
      <c r="CQ46" s="349" t="str">
        <f t="shared" si="29"/>
        <v>7.3</v>
      </c>
      <c r="CR46" s="350">
        <f t="shared" ca="1" si="30"/>
        <v>7.4434030757054588</v>
      </c>
      <c r="CS46" s="350">
        <f t="shared" ca="1" si="31"/>
        <v>7.4661236839061198</v>
      </c>
      <c r="CT46" s="351">
        <f t="shared" ca="1" si="32"/>
        <v>7.4776070159203663</v>
      </c>
      <c r="CU46" s="333"/>
      <c r="CV46" s="348">
        <f t="shared" si="43"/>
        <v>227.5</v>
      </c>
      <c r="CW46" s="349">
        <f t="shared" si="33"/>
        <v>3.5</v>
      </c>
      <c r="CX46" s="350">
        <f t="shared" ca="1" si="34"/>
        <v>2.970635503942042</v>
      </c>
      <c r="CY46" s="350">
        <f t="shared" ca="1" si="35"/>
        <v>3.2308550692520779</v>
      </c>
      <c r="CZ46" s="350">
        <f t="shared" ca="1" si="36"/>
        <v>3.3622208736415935</v>
      </c>
      <c r="DA46" s="348">
        <f t="shared" si="44"/>
        <v>474.5</v>
      </c>
      <c r="DB46" s="349" t="str">
        <f t="shared" si="37"/>
        <v>7.3</v>
      </c>
      <c r="DC46" s="350">
        <f t="shared" ca="1" si="38"/>
        <v>3.8529196450640777</v>
      </c>
      <c r="DD46" s="350">
        <f t="shared" ca="1" si="39"/>
        <v>4.7457796036650333</v>
      </c>
      <c r="DE46" s="351">
        <f t="shared" ca="1" si="40"/>
        <v>5.3608063103101875</v>
      </c>
      <c r="DF46" s="333"/>
      <c r="DG46" s="333"/>
      <c r="DH46" s="1005"/>
      <c r="DI46" s="1005"/>
      <c r="DJ46" s="1005"/>
      <c r="DK46" s="1005"/>
      <c r="DL46" s="1017"/>
      <c r="DM46" s="1017"/>
      <c r="DN46" s="333"/>
      <c r="DO46" s="336"/>
    </row>
    <row r="47" spans="1:119">
      <c r="A47">
        <v>46</v>
      </c>
      <c r="B47" t="s">
        <v>255</v>
      </c>
      <c r="F47" t="str">
        <f>CT10</f>
        <v>Joist/Cord spacing (mm)</v>
      </c>
      <c r="G47" s="177">
        <f>BB9</f>
        <v>600</v>
      </c>
      <c r="T47" s="7" t="s">
        <v>212</v>
      </c>
      <c r="U47" s="149">
        <v>5.5935892362484864E-3</v>
      </c>
      <c r="V47" s="149">
        <v>5.3779184804116234E-3</v>
      </c>
      <c r="W47" s="149">
        <v>5.4095765730114952E-3</v>
      </c>
      <c r="X47" s="149">
        <v>7.6098140087059859E-3</v>
      </c>
      <c r="Y47" s="149">
        <v>7.4060150375940071E-3</v>
      </c>
      <c r="Z47" s="149">
        <v>7.4950534230312791E-3</v>
      </c>
      <c r="AA47" s="149">
        <v>8.3656509695290808E-3</v>
      </c>
      <c r="AB47" s="149">
        <v>8.3656509695290808E-3</v>
      </c>
      <c r="AC47" s="149">
        <v>8.3656509695290808E-3</v>
      </c>
      <c r="AD47" s="149">
        <v>1.1292045904234346E-2</v>
      </c>
      <c r="AE47" s="149">
        <v>1.1292045904234346E-2</v>
      </c>
      <c r="AF47" s="149">
        <v>1.1292045904234346E-2</v>
      </c>
      <c r="AG47" s="8"/>
      <c r="AH47" s="150" cm="1">
        <f t="array" ref="AH47">INDEX(U47:AF47,1,$AH$32)</f>
        <v>7.6098140087059859E-3</v>
      </c>
      <c r="AI47" s="18" cm="1">
        <f t="array" ref="AI47">INDEX($AH$47:$AH$73,($AI$34-1)*9+1)</f>
        <v>-2.7700831024960833E-5</v>
      </c>
      <c r="AJ47" s="7" t="s">
        <v>256</v>
      </c>
      <c r="AK47" s="82">
        <v>3.6999999999999998E-2</v>
      </c>
      <c r="AL47" s="18">
        <f>AH47</f>
        <v>7.6098140087059859E-3</v>
      </c>
      <c r="AM47" s="18">
        <f>AH50</f>
        <v>5.1048674317372422E-3</v>
      </c>
      <c r="AN47" s="18">
        <f>AH53</f>
        <v>3.8622872971903581E-3</v>
      </c>
      <c r="AO47" s="18"/>
      <c r="BF47" s="13"/>
      <c r="BG47" s="13"/>
      <c r="BH47" s="12"/>
      <c r="BI47" s="13"/>
      <c r="BK47" s="12">
        <v>38</v>
      </c>
      <c r="BL47" s="12" t="s">
        <v>257</v>
      </c>
      <c r="BN47" s="12">
        <v>38</v>
      </c>
      <c r="BO47" s="12">
        <v>5.3</v>
      </c>
      <c r="BP47" s="7">
        <v>59</v>
      </c>
      <c r="BQ47" s="59">
        <v>38</v>
      </c>
      <c r="BR47" s="64" t="str">
        <f t="shared" si="45"/>
        <v>---------</v>
      </c>
      <c r="BS47" s="106">
        <v>21.4</v>
      </c>
      <c r="BT47" s="12" t="s">
        <v>258</v>
      </c>
      <c r="BU47" s="7" t="str">
        <f t="shared" si="16"/>
        <v>---------</v>
      </c>
      <c r="BV47" s="290">
        <v>2.6400000000000099</v>
      </c>
      <c r="BW47" s="59">
        <v>38</v>
      </c>
      <c r="BX47" s="168" t="str">
        <f t="shared" si="17"/>
        <v>---------</v>
      </c>
      <c r="BY47" s="182">
        <v>6.1400000000000003E-2</v>
      </c>
      <c r="BZ47" s="185">
        <v>38</v>
      </c>
      <c r="CA47" s="184">
        <f t="shared" si="18"/>
        <v>6.1400000000000003E-2</v>
      </c>
      <c r="CB47" s="142">
        <f t="shared" si="21"/>
        <v>351.00000000000006</v>
      </c>
      <c r="CC47" s="262" t="str">
        <f t="shared" si="46"/>
        <v>5.4</v>
      </c>
      <c r="CD47" s="12">
        <v>38</v>
      </c>
      <c r="CE47" s="262" t="str">
        <f t="shared" si="47"/>
        <v>5.4</v>
      </c>
      <c r="CG47" s="12">
        <v>38</v>
      </c>
      <c r="CH47" s="12" t="s">
        <v>259</v>
      </c>
      <c r="CI47" s="12"/>
      <c r="CJ47" s="333"/>
      <c r="CK47" s="348">
        <f t="shared" si="41"/>
        <v>221</v>
      </c>
      <c r="CL47" s="349">
        <f t="shared" si="25"/>
        <v>3.4</v>
      </c>
      <c r="CM47" s="350">
        <f t="shared" ca="1" si="26"/>
        <v>3.491891188091687</v>
      </c>
      <c r="CN47" s="350">
        <f t="shared" ca="1" si="27"/>
        <v>3.5253275541079416</v>
      </c>
      <c r="CO47" s="350">
        <f t="shared" ca="1" si="28"/>
        <v>3.5419297622598984</v>
      </c>
      <c r="CP47" s="348">
        <f t="shared" si="42"/>
        <v>468</v>
      </c>
      <c r="CQ47" s="349" t="str">
        <f t="shared" si="29"/>
        <v>7.2</v>
      </c>
      <c r="CR47" s="350">
        <f t="shared" ca="1" si="30"/>
        <v>7.3421979318742201</v>
      </c>
      <c r="CS47" s="350">
        <f t="shared" ca="1" si="31"/>
        <v>7.3651603938997283</v>
      </c>
      <c r="CT47" s="351">
        <f t="shared" ca="1" si="32"/>
        <v>7.3767413180725079</v>
      </c>
      <c r="CU47" s="333"/>
      <c r="CV47" s="348">
        <f t="shared" si="43"/>
        <v>221</v>
      </c>
      <c r="CW47" s="349">
        <f t="shared" si="33"/>
        <v>3.4</v>
      </c>
      <c r="CX47" s="350">
        <f t="shared" ca="1" si="34"/>
        <v>2.9312533530181728</v>
      </c>
      <c r="CY47" s="350">
        <f t="shared" ca="1" si="35"/>
        <v>3.1711354485403791</v>
      </c>
      <c r="CZ47" s="350">
        <f t="shared" ca="1" si="36"/>
        <v>3.2909265002587436</v>
      </c>
      <c r="DA47" s="348">
        <f t="shared" si="44"/>
        <v>468</v>
      </c>
      <c r="DB47" s="349" t="str">
        <f t="shared" si="37"/>
        <v>7.2</v>
      </c>
      <c r="DC47" s="350">
        <f t="shared" ca="1" si="38"/>
        <v>3.8450368579343102</v>
      </c>
      <c r="DD47" s="350">
        <f t="shared" ca="1" si="39"/>
        <v>4.7247482420626481</v>
      </c>
      <c r="DE47" s="351">
        <f t="shared" ca="1" si="40"/>
        <v>5.3259530011262974</v>
      </c>
      <c r="DF47" s="333"/>
      <c r="DG47" s="333"/>
      <c r="DH47" s="333"/>
      <c r="DI47" s="333"/>
      <c r="DJ47" s="333"/>
      <c r="DK47" s="333"/>
      <c r="DL47" s="333"/>
      <c r="DM47" s="333"/>
      <c r="DN47" s="333"/>
      <c r="DO47" s="336"/>
    </row>
    <row r="48" spans="1:119">
      <c r="A48">
        <v>47</v>
      </c>
      <c r="B48" t="s">
        <v>260</v>
      </c>
      <c r="F48" t="str">
        <f>CT13</f>
        <v>Total primary insulation layer(s) R-value</v>
      </c>
      <c r="G48" s="858">
        <f>CE9</f>
        <v>1.5</v>
      </c>
      <c r="U48" s="149">
        <v>0.97671844083893988</v>
      </c>
      <c r="V48" s="149">
        <v>0.95984012663236962</v>
      </c>
      <c r="W48" s="149">
        <v>0.96371072417886783</v>
      </c>
      <c r="X48" s="149">
        <v>0.93534356944994046</v>
      </c>
      <c r="Y48" s="149">
        <v>0.91485488721804487</v>
      </c>
      <c r="Z48" s="149">
        <v>0.92271396913335979</v>
      </c>
      <c r="AA48" s="149">
        <v>0.9601185595567866</v>
      </c>
      <c r="AB48" s="149">
        <v>0.9601185595567866</v>
      </c>
      <c r="AC48" s="149">
        <v>0.9601185595567866</v>
      </c>
      <c r="AD48" s="149">
        <v>0.89423652552433663</v>
      </c>
      <c r="AE48" s="149">
        <v>0.89423652552433663</v>
      </c>
      <c r="AF48" s="149">
        <v>0.89423652552433663</v>
      </c>
      <c r="AG48" s="8"/>
      <c r="AH48" s="150" cm="1">
        <f t="array" ref="AH48">INDEX(U48:AF48,1,$AH$32)</f>
        <v>0.93534356944994046</v>
      </c>
      <c r="AI48" s="18" cm="1">
        <f t="array" ref="AI48">INDEX($AH$47:$AH$73,($AI$34-1)*9+2)</f>
        <v>1.0141961218836568</v>
      </c>
      <c r="AJ48" s="7" t="s">
        <v>261</v>
      </c>
      <c r="AK48" s="82"/>
      <c r="AL48" s="18">
        <f>AH48</f>
        <v>0.93534356944994046</v>
      </c>
      <c r="AM48" s="18">
        <f>AH51</f>
        <v>0.96317332805698452</v>
      </c>
      <c r="AN48" s="18">
        <f>AH54</f>
        <v>0.97697079540957654</v>
      </c>
      <c r="AO48" s="18"/>
      <c r="BF48" s="13"/>
      <c r="BG48" s="13"/>
      <c r="BH48" s="12"/>
      <c r="BI48" s="13"/>
      <c r="BK48" s="12">
        <v>39</v>
      </c>
      <c r="BL48" s="12" t="s">
        <v>262</v>
      </c>
      <c r="BN48" s="12">
        <v>39</v>
      </c>
      <c r="BO48" s="12">
        <v>5.2</v>
      </c>
      <c r="BP48" s="7">
        <v>58</v>
      </c>
      <c r="BQ48" s="59">
        <v>39</v>
      </c>
      <c r="BR48" s="64" t="str">
        <f t="shared" si="45"/>
        <v>---------</v>
      </c>
      <c r="BS48" s="106">
        <v>21.3</v>
      </c>
      <c r="BT48" s="12" t="s">
        <v>263</v>
      </c>
      <c r="BU48" s="7" t="str">
        <f t="shared" si="16"/>
        <v>---------</v>
      </c>
      <c r="BV48" s="290">
        <v>2.6300000000000101</v>
      </c>
      <c r="BW48" s="59">
        <v>39</v>
      </c>
      <c r="BX48" s="168" t="str">
        <f t="shared" si="17"/>
        <v>---------</v>
      </c>
      <c r="BY48" s="182">
        <v>6.13E-2</v>
      </c>
      <c r="BZ48" s="185">
        <v>39</v>
      </c>
      <c r="CA48" s="184">
        <f t="shared" si="18"/>
        <v>6.13E-2</v>
      </c>
      <c r="CB48" s="142">
        <f t="shared" si="21"/>
        <v>344.5</v>
      </c>
      <c r="CC48" s="262" t="str">
        <f t="shared" si="46"/>
        <v>5.3</v>
      </c>
      <c r="CD48" s="12">
        <v>39</v>
      </c>
      <c r="CE48" s="262" t="str">
        <f t="shared" si="47"/>
        <v>5.3</v>
      </c>
      <c r="CG48" s="12">
        <v>39</v>
      </c>
      <c r="CH48" s="12" t="s">
        <v>264</v>
      </c>
      <c r="CI48" s="12"/>
      <c r="CJ48" s="333"/>
      <c r="CK48" s="348">
        <f t="shared" si="41"/>
        <v>214.5</v>
      </c>
      <c r="CL48" s="349">
        <f t="shared" si="25"/>
        <v>3.3</v>
      </c>
      <c r="CM48" s="350">
        <f t="shared" ca="1" si="26"/>
        <v>3.3904486085659493</v>
      </c>
      <c r="CN48" s="350">
        <f t="shared" ca="1" si="27"/>
        <v>3.424194378862135</v>
      </c>
      <c r="CO48" s="350">
        <f t="shared" ca="1" si="28"/>
        <v>3.440963272959725</v>
      </c>
      <c r="CP48" s="348">
        <f t="shared" si="42"/>
        <v>461.49999999999994</v>
      </c>
      <c r="CQ48" s="349" t="str">
        <f t="shared" si="29"/>
        <v>7.1</v>
      </c>
      <c r="CR48" s="350">
        <f t="shared" ca="1" si="30"/>
        <v>7.2409866999482517</v>
      </c>
      <c r="CS48" s="350">
        <f t="shared" ca="1" si="31"/>
        <v>7.2641927478615544</v>
      </c>
      <c r="CT48" s="351">
        <f t="shared" ca="1" si="32"/>
        <v>7.2758730358284351</v>
      </c>
      <c r="CU48" s="333"/>
      <c r="CV48" s="348">
        <f t="shared" si="43"/>
        <v>214.5</v>
      </c>
      <c r="CW48" s="349">
        <f t="shared" si="33"/>
        <v>3.3</v>
      </c>
      <c r="CX48" s="350">
        <f t="shared" ca="1" si="34"/>
        <v>2.8910422714681436</v>
      </c>
      <c r="CY48" s="350">
        <f t="shared" ca="1" si="35"/>
        <v>3.1103977157468572</v>
      </c>
      <c r="CZ48" s="350">
        <f t="shared" ca="1" si="36"/>
        <v>3.2186731515022369</v>
      </c>
      <c r="DA48" s="348">
        <f t="shared" si="44"/>
        <v>461.49999999999994</v>
      </c>
      <c r="DB48" s="349" t="str">
        <f t="shared" si="37"/>
        <v>7.1</v>
      </c>
      <c r="DC48" s="350">
        <f t="shared" ca="1" si="38"/>
        <v>3.8363251401783822</v>
      </c>
      <c r="DD48" s="350">
        <f t="shared" ca="1" si="39"/>
        <v>4.7026987683784371</v>
      </c>
      <c r="DE48" s="351">
        <f t="shared" ca="1" si="40"/>
        <v>5.2901407165687493</v>
      </c>
      <c r="DF48" s="333"/>
      <c r="DG48" s="333"/>
      <c r="DH48" s="1005" t="s">
        <v>265</v>
      </c>
      <c r="DI48" s="1005"/>
      <c r="DJ48" s="1005"/>
      <c r="DK48" s="1005"/>
      <c r="DL48" s="1006" t="str">
        <f>IF(OR(CI1,VALUE(BL9)&lt;1.6),"",AV44)</f>
        <v/>
      </c>
      <c r="DM48" s="1006"/>
      <c r="DN48" s="333"/>
      <c r="DO48" s="336"/>
    </row>
    <row r="49" spans="1:119">
      <c r="A49">
        <v>48</v>
      </c>
      <c r="B49" t="s">
        <v>266</v>
      </c>
      <c r="F49" t="str">
        <f>CT16</f>
        <v>thickness</v>
      </c>
      <c r="G49" s="859" t="str">
        <f>CW16</f>
        <v>98 mm</v>
      </c>
      <c r="U49" s="149">
        <v>-7.1817617728533234E-2</v>
      </c>
      <c r="V49" s="149">
        <v>1.0459554570637142</v>
      </c>
      <c r="W49" s="149">
        <v>1.1261722437673156</v>
      </c>
      <c r="X49" s="149">
        <v>-1.5574238227145543E-2</v>
      </c>
      <c r="Y49" s="149">
        <v>1.1251810526315795</v>
      </c>
      <c r="Z49" s="149">
        <v>1.3819692520775608</v>
      </c>
      <c r="AA49" s="149">
        <v>-0.16873069252077605</v>
      </c>
      <c r="AB49" s="149">
        <v>0.90126930747922396</v>
      </c>
      <c r="AC49" s="149">
        <v>1.2112693074792238</v>
      </c>
      <c r="AD49" s="149">
        <v>-4.2261274238227786E-2</v>
      </c>
      <c r="AE49" s="149">
        <v>1.0277387257617723</v>
      </c>
      <c r="AF49" s="149">
        <v>1.3377387257617721</v>
      </c>
      <c r="AG49" s="8"/>
      <c r="AH49" s="150" cm="1">
        <f t="array" ref="AH49">INDEX(U49:AF49,1,$AH$32)</f>
        <v>-1.5574238227145543E-2</v>
      </c>
      <c r="AI49" s="18" cm="1">
        <f t="array" ref="AI49">INDEX($AH$47:$AH$73,($AI$34-1)*9+3)+$AL$8</f>
        <v>3.1668864265927528E-2</v>
      </c>
      <c r="AJ49" s="7" t="s">
        <v>267</v>
      </c>
      <c r="AK49" s="82"/>
      <c r="AL49" s="18">
        <f>AH49+$AL$8</f>
        <v>-1.5574238227145543E-2</v>
      </c>
      <c r="AM49" s="18">
        <f>AH52+$AL$8</f>
        <v>8.571191135720857E-4</v>
      </c>
      <c r="AN49" s="18">
        <f>AH55+$AL$8</f>
        <v>9.3490304709137328E-3</v>
      </c>
      <c r="AO49" s="18"/>
      <c r="AP49" s="163">
        <f>MATCH(AQ49,AQ50:AQ64,0)</f>
        <v>2</v>
      </c>
      <c r="AQ49" s="8" t="str">
        <f>AJ30</f>
        <v>P_blank2</v>
      </c>
      <c r="AS49" s="163">
        <f>MATCH(AT49,AT50:AT56,0)</f>
        <v>1</v>
      </c>
      <c r="AT49" s="7" t="str">
        <f>AL30</f>
        <v>P_RP_S_B</v>
      </c>
      <c r="AU49" s="8"/>
      <c r="AV49" s="8"/>
      <c r="AW49" s="7" t="str">
        <f>IF(AQ9,AW63,AW60)</f>
        <v>P_RP_S_B</v>
      </c>
      <c r="AX49" s="8"/>
      <c r="BF49" s="13"/>
      <c r="BG49" s="13"/>
      <c r="BH49" s="12"/>
      <c r="BI49" s="13"/>
      <c r="BK49" s="12">
        <v>40</v>
      </c>
      <c r="BL49" s="12" t="s">
        <v>268</v>
      </c>
      <c r="BN49" s="12">
        <v>40</v>
      </c>
      <c r="BO49" s="12">
        <v>5.0999999999999996</v>
      </c>
      <c r="BP49" s="7">
        <v>57</v>
      </c>
      <c r="BQ49" s="59">
        <v>40</v>
      </c>
      <c r="BR49" s="64" t="str">
        <f t="shared" si="45"/>
        <v>---------</v>
      </c>
      <c r="BS49" s="106">
        <v>21.2</v>
      </c>
      <c r="BT49" s="12" t="s">
        <v>269</v>
      </c>
      <c r="BU49" s="7" t="str">
        <f t="shared" si="16"/>
        <v>---------</v>
      </c>
      <c r="BV49" s="290">
        <v>2.6200000000000099</v>
      </c>
      <c r="BW49" s="59">
        <v>40</v>
      </c>
      <c r="BX49" s="168" t="str">
        <f t="shared" si="17"/>
        <v>---------</v>
      </c>
      <c r="BY49" s="182">
        <v>6.1199999999999997E-2</v>
      </c>
      <c r="BZ49" s="185">
        <v>40</v>
      </c>
      <c r="CA49" s="184">
        <f t="shared" si="18"/>
        <v>6.1199999999999997E-2</v>
      </c>
      <c r="CB49" s="142">
        <f t="shared" si="21"/>
        <v>338</v>
      </c>
      <c r="CC49" s="262" t="str">
        <f t="shared" si="46"/>
        <v>5.2</v>
      </c>
      <c r="CD49" s="12">
        <v>40</v>
      </c>
      <c r="CE49" s="262" t="str">
        <f t="shared" si="47"/>
        <v>5.2</v>
      </c>
      <c r="CG49" s="12">
        <v>40</v>
      </c>
      <c r="CH49" s="12" t="s">
        <v>270</v>
      </c>
      <c r="CI49" s="12"/>
      <c r="CJ49" s="333"/>
      <c r="CK49" s="348">
        <f t="shared" si="41"/>
        <v>208.00000000000003</v>
      </c>
      <c r="CL49" s="349">
        <f t="shared" si="25"/>
        <v>3.2</v>
      </c>
      <c r="CM49" s="350">
        <f t="shared" ca="1" si="26"/>
        <v>3.2889999409454815</v>
      </c>
      <c r="CN49" s="350">
        <f t="shared" ca="1" si="27"/>
        <v>3.323056847584549</v>
      </c>
      <c r="CO49" s="350">
        <f t="shared" ca="1" si="28"/>
        <v>3.3399941992633386</v>
      </c>
      <c r="CP49" s="348">
        <f t="shared" si="42"/>
        <v>455</v>
      </c>
      <c r="CQ49" s="349" t="str">
        <f t="shared" si="29"/>
        <v>7.0</v>
      </c>
      <c r="CR49" s="350">
        <f t="shared" ca="1" si="30"/>
        <v>7.1397693799275519</v>
      </c>
      <c r="CS49" s="350">
        <f t="shared" ca="1" si="31"/>
        <v>7.1632207457916026</v>
      </c>
      <c r="CT49" s="351">
        <f t="shared" ca="1" si="32"/>
        <v>7.1750021691881516</v>
      </c>
      <c r="CU49" s="333"/>
      <c r="CV49" s="348">
        <f t="shared" si="43"/>
        <v>208.00000000000003</v>
      </c>
      <c r="CW49" s="349">
        <f t="shared" si="33"/>
        <v>3.2</v>
      </c>
      <c r="CX49" s="350">
        <f t="shared" ca="1" si="34"/>
        <v>2.8500022592919545</v>
      </c>
      <c r="CY49" s="350">
        <f t="shared" ca="1" si="35"/>
        <v>3.0486418708715113</v>
      </c>
      <c r="CZ49" s="350">
        <f t="shared" ca="1" si="36"/>
        <v>3.1454608273720734</v>
      </c>
      <c r="DA49" s="348">
        <f t="shared" si="44"/>
        <v>455</v>
      </c>
      <c r="DB49" s="349" t="str">
        <f t="shared" si="37"/>
        <v>7.0</v>
      </c>
      <c r="DC49" s="350">
        <f t="shared" ca="1" si="38"/>
        <v>3.826784491796293</v>
      </c>
      <c r="DD49" s="350">
        <f t="shared" ca="1" si="39"/>
        <v>4.6796311826124022</v>
      </c>
      <c r="DE49" s="351">
        <f t="shared" ca="1" si="40"/>
        <v>5.2533694566375457</v>
      </c>
      <c r="DF49" s="333"/>
      <c r="DG49" s="333"/>
      <c r="DH49" s="1005"/>
      <c r="DI49" s="1005"/>
      <c r="DJ49" s="1005"/>
      <c r="DK49" s="1005"/>
      <c r="DL49" s="1006"/>
      <c r="DM49" s="1006"/>
      <c r="DN49" s="333"/>
      <c r="DO49" s="336"/>
    </row>
    <row r="50" spans="1:119">
      <c r="A50">
        <v>49</v>
      </c>
      <c r="B50" t="s">
        <v>251</v>
      </c>
      <c r="F50" t="str">
        <f>CT17</f>
        <v/>
      </c>
      <c r="G50" s="177" t="str">
        <f>CW17</f>
        <v/>
      </c>
      <c r="U50" s="149">
        <v>3.6822318955283592E-3</v>
      </c>
      <c r="V50" s="149">
        <v>3.6030866640284929E-3</v>
      </c>
      <c r="W50" s="149">
        <v>3.636723387415925E-3</v>
      </c>
      <c r="X50" s="149">
        <v>5.1048674317372422E-3</v>
      </c>
      <c r="Y50" s="149">
        <v>4.9168975069251754E-3</v>
      </c>
      <c r="Z50" s="149">
        <v>5.00791452314995E-3</v>
      </c>
      <c r="AA50" s="149">
        <v>5.5935892362484864E-3</v>
      </c>
      <c r="AB50" s="149">
        <v>5.5935892362484864E-3</v>
      </c>
      <c r="AC50" s="149">
        <v>5.5935892362484864E-3</v>
      </c>
      <c r="AD50" s="149">
        <v>7.6098140087059859E-3</v>
      </c>
      <c r="AE50" s="149">
        <v>7.6098140087059859E-3</v>
      </c>
      <c r="AF50" s="149">
        <v>7.6098140087059859E-3</v>
      </c>
      <c r="AG50" s="8"/>
      <c r="AH50" s="150" cm="1">
        <f t="array" ref="AH50">INDEX(U50:AF50,1,$AH$32)</f>
        <v>5.1048674317372422E-3</v>
      </c>
      <c r="AI50" s="18" cm="1">
        <f t="array" ref="AI50">INDEX($AH$47:$AH$73,($AI$34-1)*9+4)</f>
        <v>-2.5722200237364764E-5</v>
      </c>
      <c r="AJ50" s="7" t="s">
        <v>271</v>
      </c>
      <c r="AK50" s="82">
        <v>0.05</v>
      </c>
      <c r="AL50" s="18">
        <f>AH56</f>
        <v>1.7708745548080909E-3</v>
      </c>
      <c r="AM50" s="18">
        <f>AH59</f>
        <v>1.2227938266719557E-3</v>
      </c>
      <c r="AN50" s="18">
        <f>AH62</f>
        <v>9.1412742382273389E-4</v>
      </c>
      <c r="AO50" s="18"/>
      <c r="AP50" s="7">
        <v>1</v>
      </c>
      <c r="AQ50" s="7" t="s">
        <v>272</v>
      </c>
      <c r="AS50" s="7">
        <v>1</v>
      </c>
      <c r="AT50" s="7" t="s">
        <v>273</v>
      </c>
      <c r="AU50" s="8"/>
      <c r="AV50" s="8"/>
      <c r="AX50" s="8"/>
      <c r="BF50" s="13"/>
      <c r="BG50" s="13"/>
      <c r="BH50" s="12"/>
      <c r="BI50" s="13"/>
      <c r="BK50" s="12">
        <v>41</v>
      </c>
      <c r="BL50" s="12" t="s">
        <v>274</v>
      </c>
      <c r="BN50" s="12">
        <v>41</v>
      </c>
      <c r="BO50" s="12">
        <v>5</v>
      </c>
      <c r="BP50" s="7">
        <v>56</v>
      </c>
      <c r="BQ50" s="59">
        <v>41</v>
      </c>
      <c r="BR50" s="64" t="str">
        <f t="shared" si="45"/>
        <v>---------</v>
      </c>
      <c r="BS50" s="106">
        <v>21.1</v>
      </c>
      <c r="BT50" s="12" t="s">
        <v>275</v>
      </c>
      <c r="BU50" s="7" t="str">
        <f t="shared" si="16"/>
        <v>---------</v>
      </c>
      <c r="BV50" s="290">
        <v>2.6100000000000101</v>
      </c>
      <c r="BW50" s="59">
        <v>41</v>
      </c>
      <c r="BX50" s="168" t="str">
        <f t="shared" si="17"/>
        <v>---------</v>
      </c>
      <c r="BY50" s="182">
        <v>6.1100000000000002E-2</v>
      </c>
      <c r="BZ50" s="185">
        <v>41</v>
      </c>
      <c r="CA50" s="184">
        <f t="shared" si="18"/>
        <v>6.1100000000000002E-2</v>
      </c>
      <c r="CB50" s="142">
        <f t="shared" si="21"/>
        <v>331.49999999999994</v>
      </c>
      <c r="CC50" s="262" t="str">
        <f t="shared" si="46"/>
        <v>5.1</v>
      </c>
      <c r="CD50" s="12">
        <v>41</v>
      </c>
      <c r="CE50" s="262" t="str">
        <f t="shared" si="47"/>
        <v>5.1</v>
      </c>
      <c r="CG50" s="12">
        <v>41</v>
      </c>
      <c r="CH50" s="12" t="s">
        <v>53</v>
      </c>
      <c r="CI50" s="12"/>
      <c r="CJ50" s="333"/>
      <c r="CK50" s="348">
        <f t="shared" si="41"/>
        <v>201.5</v>
      </c>
      <c r="CL50" s="349">
        <f t="shared" si="25"/>
        <v>3.1</v>
      </c>
      <c r="CM50" s="350">
        <f t="shared" ca="1" si="26"/>
        <v>3.1875451852302827</v>
      </c>
      <c r="CN50" s="350">
        <f t="shared" ca="1" si="27"/>
        <v>3.2219149602751824</v>
      </c>
      <c r="CO50" s="350">
        <f t="shared" ca="1" si="28"/>
        <v>3.2390225411707387</v>
      </c>
      <c r="CP50" s="348">
        <f t="shared" si="42"/>
        <v>448.50000000000006</v>
      </c>
      <c r="CQ50" s="349" t="str">
        <f t="shared" si="29"/>
        <v>6.9</v>
      </c>
      <c r="CR50" s="350">
        <f t="shared" ca="1" si="30"/>
        <v>7.0385459718121224</v>
      </c>
      <c r="CS50" s="350">
        <f t="shared" ca="1" si="31"/>
        <v>7.0622443876898719</v>
      </c>
      <c r="CT50" s="351">
        <f t="shared" ca="1" si="32"/>
        <v>7.0741287181516528</v>
      </c>
      <c r="CU50" s="333"/>
      <c r="CV50" s="348">
        <f t="shared" si="43"/>
        <v>201.5</v>
      </c>
      <c r="CW50" s="349">
        <f t="shared" si="33"/>
        <v>3.1</v>
      </c>
      <c r="CX50" s="350">
        <f t="shared" ca="1" si="34"/>
        <v>2.808133316489605</v>
      </c>
      <c r="CY50" s="350">
        <f t="shared" ca="1" si="35"/>
        <v>2.9858679139143409</v>
      </c>
      <c r="CZ50" s="350">
        <f t="shared" ca="1" si="36"/>
        <v>3.0712895278682528</v>
      </c>
      <c r="DA50" s="348">
        <f t="shared" si="44"/>
        <v>448.50000000000006</v>
      </c>
      <c r="DB50" s="349" t="str">
        <f t="shared" si="37"/>
        <v>6.9</v>
      </c>
      <c r="DC50" s="350">
        <f t="shared" ca="1" si="38"/>
        <v>3.8164149127880429</v>
      </c>
      <c r="DD50" s="350">
        <f t="shared" ca="1" si="39"/>
        <v>4.6555454847645432</v>
      </c>
      <c r="DE50" s="351">
        <f t="shared" ca="1" si="40"/>
        <v>5.2156392213326832</v>
      </c>
      <c r="DF50" s="333"/>
      <c r="DG50" s="333"/>
      <c r="DH50" s="333"/>
      <c r="DI50" s="333"/>
      <c r="DJ50" s="333"/>
      <c r="DK50" s="333"/>
      <c r="DL50" s="333"/>
      <c r="DM50" s="333"/>
      <c r="DN50" s="333"/>
      <c r="DO50" s="336"/>
    </row>
    <row r="51" spans="1:119">
      <c r="A51">
        <v>50</v>
      </c>
      <c r="B51" t="s">
        <v>276</v>
      </c>
      <c r="F51" t="str">
        <f>CT19</f>
        <v>Roof R-value if joist/cord covered by insulation</v>
      </c>
      <c r="G51" s="854">
        <f>CW19</f>
        <v>1.5634411129037167</v>
      </c>
      <c r="U51" s="149">
        <v>0.98878769291650126</v>
      </c>
      <c r="V51" s="149">
        <v>0.98379014641867846</v>
      </c>
      <c r="W51" s="149">
        <v>0.98766252473288463</v>
      </c>
      <c r="X51" s="149">
        <v>0.96317332805698452</v>
      </c>
      <c r="Y51" s="149">
        <v>0.94958310249307532</v>
      </c>
      <c r="Z51" s="149">
        <v>0.95738080728136166</v>
      </c>
      <c r="AA51" s="149">
        <v>0.97671844083893988</v>
      </c>
      <c r="AB51" s="149">
        <v>0.97671844083893988</v>
      </c>
      <c r="AC51" s="149">
        <v>0.97671844083893988</v>
      </c>
      <c r="AD51" s="149">
        <v>0.93534356944994046</v>
      </c>
      <c r="AE51" s="149">
        <v>0.93534356944994046</v>
      </c>
      <c r="AF51" s="149">
        <v>0.93534356944994046</v>
      </c>
      <c r="AG51" s="8"/>
      <c r="AH51" s="150" cm="1">
        <f t="array" ref="AH51">INDEX(U51:AF51,1,$AH$32)</f>
        <v>0.96317332805698452</v>
      </c>
      <c r="AI51" s="18" cm="1">
        <f t="array" ref="AI51">INDEX($AH$47:$AH$73,($AI$34-1)*9+5)</f>
        <v>1.0114610605461012</v>
      </c>
      <c r="AJ51" s="7" t="s">
        <v>277</v>
      </c>
      <c r="AK51" s="82"/>
      <c r="AL51" s="18">
        <f>AH57</f>
        <v>0.99944641867827455</v>
      </c>
      <c r="AM51" s="18">
        <f>AH60</f>
        <v>1.0028163039176889</v>
      </c>
      <c r="AN51" s="18">
        <f>AH63</f>
        <v>1.0048016620498612</v>
      </c>
      <c r="AO51" s="18"/>
      <c r="AP51" s="7">
        <v>2</v>
      </c>
      <c r="AQ51" s="7" t="s">
        <v>278</v>
      </c>
      <c r="AS51" s="7">
        <v>2</v>
      </c>
      <c r="AT51" s="7" t="s">
        <v>279</v>
      </c>
      <c r="AU51" s="8"/>
      <c r="AV51" s="8"/>
      <c r="AW51" s="7" t="str">
        <f>IF(AQ9,AW62,AW60)</f>
        <v>P_RP_S_B</v>
      </c>
      <c r="AX51" s="8"/>
      <c r="BF51" s="13"/>
      <c r="BG51" s="13"/>
      <c r="BH51" s="12"/>
      <c r="BI51" s="13"/>
      <c r="BK51" s="12">
        <v>42</v>
      </c>
      <c r="BL51" s="12">
        <v>0.9</v>
      </c>
      <c r="BN51" s="12">
        <v>42</v>
      </c>
      <c r="BO51" s="12">
        <v>4.9000000000000004</v>
      </c>
      <c r="BP51" s="7">
        <v>55</v>
      </c>
      <c r="BQ51" s="59">
        <v>42</v>
      </c>
      <c r="BR51" s="64" t="str">
        <f t="shared" si="45"/>
        <v>---------</v>
      </c>
      <c r="BS51" s="106">
        <v>21</v>
      </c>
      <c r="BT51" s="12" t="s">
        <v>280</v>
      </c>
      <c r="BU51" s="7" t="str">
        <f t="shared" si="16"/>
        <v>---------</v>
      </c>
      <c r="BV51" s="290">
        <v>2.6000000000000099</v>
      </c>
      <c r="BW51" s="59">
        <v>42</v>
      </c>
      <c r="BX51" s="168" t="str">
        <f t="shared" si="17"/>
        <v>---------</v>
      </c>
      <c r="BY51" s="182">
        <v>6.0999999999999999E-2</v>
      </c>
      <c r="BZ51" s="185">
        <v>42</v>
      </c>
      <c r="CA51" s="184">
        <f t="shared" si="18"/>
        <v>6.0999999999999999E-2</v>
      </c>
      <c r="CB51" s="142">
        <f t="shared" si="21"/>
        <v>325</v>
      </c>
      <c r="CC51" s="262" t="str">
        <f t="shared" si="46"/>
        <v>5.0</v>
      </c>
      <c r="CD51" s="12">
        <v>42</v>
      </c>
      <c r="CE51" s="262" t="str">
        <f t="shared" si="47"/>
        <v>5.0</v>
      </c>
      <c r="CG51" s="12">
        <v>42</v>
      </c>
      <c r="CH51" s="12" t="s">
        <v>62</v>
      </c>
      <c r="CI51" s="12"/>
      <c r="CJ51" s="333"/>
      <c r="CK51" s="348">
        <f t="shared" si="41"/>
        <v>195</v>
      </c>
      <c r="CL51" s="349">
        <f t="shared" si="25"/>
        <v>3</v>
      </c>
      <c r="CM51" s="350">
        <f t="shared" ca="1" si="26"/>
        <v>3.0860843414203525</v>
      </c>
      <c r="CN51" s="350">
        <f t="shared" ca="1" si="27"/>
        <v>3.1207687169340357</v>
      </c>
      <c r="CO51" s="350">
        <f t="shared" ca="1" si="28"/>
        <v>3.1380482986819258</v>
      </c>
      <c r="CP51" s="348">
        <f t="shared" si="42"/>
        <v>442</v>
      </c>
      <c r="CQ51" s="349" t="str">
        <f t="shared" si="29"/>
        <v>6.8</v>
      </c>
      <c r="CR51" s="350">
        <f t="shared" ca="1" si="30"/>
        <v>6.9373164756019614</v>
      </c>
      <c r="CS51" s="350">
        <f t="shared" ca="1" si="31"/>
        <v>6.9612636735563589</v>
      </c>
      <c r="CT51" s="351">
        <f t="shared" ca="1" si="32"/>
        <v>6.9732526827189414</v>
      </c>
      <c r="CU51" s="333"/>
      <c r="CV51" s="348">
        <f t="shared" si="43"/>
        <v>195</v>
      </c>
      <c r="CW51" s="349">
        <f t="shared" si="33"/>
        <v>3</v>
      </c>
      <c r="CX51" s="350">
        <f t="shared" ca="1" si="34"/>
        <v>2.7654354430610946</v>
      </c>
      <c r="CY51" s="350">
        <f t="shared" ca="1" si="35"/>
        <v>2.9220758448753466</v>
      </c>
      <c r="CZ51" s="350">
        <f t="shared" ca="1" si="36"/>
        <v>2.9961592529907759</v>
      </c>
      <c r="DA51" s="348">
        <f t="shared" si="44"/>
        <v>442</v>
      </c>
      <c r="DB51" s="349" t="str">
        <f t="shared" si="37"/>
        <v>6.8</v>
      </c>
      <c r="DC51" s="350">
        <f t="shared" ca="1" si="38"/>
        <v>3.8052164031536329</v>
      </c>
      <c r="DD51" s="350">
        <f t="shared" ca="1" si="39"/>
        <v>4.6304416748348602</v>
      </c>
      <c r="DE51" s="351">
        <f t="shared" ca="1" si="40"/>
        <v>5.176950010654167</v>
      </c>
      <c r="DF51" s="333"/>
      <c r="DG51" s="333"/>
      <c r="DH51" s="333"/>
      <c r="DI51" s="333"/>
      <c r="DJ51" s="333"/>
      <c r="DK51" s="333"/>
      <c r="DL51" s="333"/>
      <c r="DM51" s="333"/>
      <c r="DN51" s="333"/>
      <c r="DO51" s="336"/>
    </row>
    <row r="52" spans="1:119">
      <c r="A52">
        <v>51</v>
      </c>
      <c r="B52" t="s">
        <v>281</v>
      </c>
      <c r="F52" t="str">
        <f>IF(BL9&lt;&gt;0,DH32,"----------")</f>
        <v>----------</v>
      </c>
      <c r="G52" s="177" t="str">
        <f>IF(BL9&lt;&gt;0,BL9,"----------")</f>
        <v>----------</v>
      </c>
      <c r="U52" s="149">
        <v>-1.0214404432132812E-2</v>
      </c>
      <c r="V52" s="149">
        <v>1.0947641551246541</v>
      </c>
      <c r="W52" s="149">
        <v>1.1747195567867037</v>
      </c>
      <c r="X52" s="149">
        <v>8.571191135720857E-4</v>
      </c>
      <c r="Y52" s="149">
        <v>1.1349392243767302</v>
      </c>
      <c r="Z52" s="149">
        <v>1.3920576177285313</v>
      </c>
      <c r="AA52" s="149">
        <v>-7.1817617728533234E-2</v>
      </c>
      <c r="AB52" s="149">
        <v>0.99818238227146683</v>
      </c>
      <c r="AC52" s="149">
        <v>1.3081823822714667</v>
      </c>
      <c r="AD52" s="149">
        <v>-1.5574238227145543E-2</v>
      </c>
      <c r="AE52" s="149">
        <v>1.0544257617728545</v>
      </c>
      <c r="AF52" s="149">
        <v>1.3644257617728544</v>
      </c>
      <c r="AG52" s="8"/>
      <c r="AH52" s="150" cm="1">
        <f t="array" ref="AH52">INDEX(U52:AF52,1,$AH$32)</f>
        <v>8.571191135720857E-4</v>
      </c>
      <c r="AI52" s="18" cm="1">
        <f t="array" ref="AI52">INDEX($AH$47:$AH$73,($AI$34-1)*9+6)+$AL$8</f>
        <v>7.6975900277010567E-2</v>
      </c>
      <c r="AJ52" s="7" t="s">
        <v>282</v>
      </c>
      <c r="AK52" s="82"/>
      <c r="AL52" s="18">
        <f>AH58+$AL$8</f>
        <v>-1.8765927977839145E-2</v>
      </c>
      <c r="AM52" s="18">
        <f>AH61+$AL$8</f>
        <v>2.9006149584487807E-2</v>
      </c>
      <c r="AN52" s="18">
        <f>AH64+$AL$8</f>
        <v>5.2530637119113238E-2</v>
      </c>
      <c r="AO52" s="18"/>
      <c r="AP52" s="7">
        <v>3</v>
      </c>
      <c r="AQ52" s="7" t="s">
        <v>283</v>
      </c>
      <c r="AS52" s="7">
        <v>3</v>
      </c>
      <c r="AT52" s="7" t="s">
        <v>284</v>
      </c>
      <c r="AU52" s="8"/>
      <c r="AV52" s="8"/>
      <c r="AW52" s="7" t="str">
        <f>IF(AQ9,AW63,AW61)</f>
        <v>P_RP_S_D</v>
      </c>
      <c r="AX52" s="8"/>
      <c r="BF52" s="13"/>
      <c r="BG52" s="13"/>
      <c r="BH52" s="12"/>
      <c r="BI52" s="13"/>
      <c r="BK52" s="12">
        <v>43</v>
      </c>
      <c r="BL52" s="12">
        <v>0.8</v>
      </c>
      <c r="BN52" s="12">
        <v>43</v>
      </c>
      <c r="BO52" s="12">
        <v>4.8</v>
      </c>
      <c r="BP52" s="7">
        <v>54</v>
      </c>
      <c r="BQ52" s="59">
        <v>43</v>
      </c>
      <c r="BR52" s="64" t="str">
        <f t="shared" si="45"/>
        <v>---------</v>
      </c>
      <c r="BS52" s="106">
        <v>20.9</v>
      </c>
      <c r="BT52" s="12" t="s">
        <v>285</v>
      </c>
      <c r="BU52" s="7" t="str">
        <f t="shared" si="16"/>
        <v>---------</v>
      </c>
      <c r="BV52" s="290">
        <v>2.5900000000000101</v>
      </c>
      <c r="BW52" s="59">
        <v>43</v>
      </c>
      <c r="BX52" s="168" t="str">
        <f t="shared" si="17"/>
        <v>---------</v>
      </c>
      <c r="BY52" s="182">
        <v>6.0900000000000003E-2</v>
      </c>
      <c r="BZ52" s="185">
        <v>43</v>
      </c>
      <c r="CA52" s="184">
        <f t="shared" si="18"/>
        <v>6.0900000000000003E-2</v>
      </c>
      <c r="CB52" s="142">
        <f t="shared" si="21"/>
        <v>318.50000000000006</v>
      </c>
      <c r="CC52" s="262" t="str">
        <f t="shared" si="46"/>
        <v>4.9</v>
      </c>
      <c r="CD52" s="12">
        <v>43</v>
      </c>
      <c r="CE52" s="262" t="str">
        <f t="shared" si="47"/>
        <v>4.9</v>
      </c>
      <c r="CG52" s="12">
        <v>43</v>
      </c>
      <c r="CH52" s="12" t="s">
        <v>72</v>
      </c>
      <c r="CI52" s="12"/>
      <c r="CJ52" s="333"/>
      <c r="CK52" s="348">
        <f t="shared" si="41"/>
        <v>188.5</v>
      </c>
      <c r="CL52" s="349">
        <f t="shared" si="25"/>
        <v>2.9</v>
      </c>
      <c r="CM52" s="350">
        <f t="shared" ca="1" si="26"/>
        <v>2.9846174095156921</v>
      </c>
      <c r="CN52" s="350">
        <f t="shared" ca="1" si="27"/>
        <v>3.0196181175611096</v>
      </c>
      <c r="CO52" s="350">
        <f t="shared" ca="1" si="28"/>
        <v>3.037071471796899</v>
      </c>
      <c r="CP52" s="348">
        <f t="shared" si="42"/>
        <v>435.50000000000006</v>
      </c>
      <c r="CQ52" s="349" t="str">
        <f t="shared" si="29"/>
        <v>6.7</v>
      </c>
      <c r="CR52" s="350">
        <f t="shared" ca="1" si="30"/>
        <v>6.8360808912970699</v>
      </c>
      <c r="CS52" s="350">
        <f t="shared" ca="1" si="31"/>
        <v>6.8602786033910679</v>
      </c>
      <c r="CT52" s="351">
        <f t="shared" ca="1" si="32"/>
        <v>6.8723740628900174</v>
      </c>
      <c r="CU52" s="333"/>
      <c r="CV52" s="348">
        <f t="shared" si="43"/>
        <v>188.5</v>
      </c>
      <c r="CW52" s="349">
        <f t="shared" si="33"/>
        <v>2.9</v>
      </c>
      <c r="CX52" s="350">
        <f t="shared" ca="1" si="34"/>
        <v>2.7219086390064229</v>
      </c>
      <c r="CY52" s="350">
        <f t="shared" ca="1" si="35"/>
        <v>2.8572656637545277</v>
      </c>
      <c r="CZ52" s="350">
        <f t="shared" ca="1" si="36"/>
        <v>2.9200700027396418</v>
      </c>
      <c r="DA52" s="348">
        <f t="shared" si="44"/>
        <v>435.50000000000006</v>
      </c>
      <c r="DB52" s="349" t="str">
        <f t="shared" si="37"/>
        <v>6.7</v>
      </c>
      <c r="DC52" s="350">
        <f t="shared" ca="1" si="38"/>
        <v>3.7931889628930624</v>
      </c>
      <c r="DD52" s="350">
        <f t="shared" ca="1" si="39"/>
        <v>4.6043197528233542</v>
      </c>
      <c r="DE52" s="351">
        <f t="shared" ca="1" si="40"/>
        <v>5.1373018246019901</v>
      </c>
      <c r="DF52" s="333"/>
      <c r="DG52" s="333"/>
      <c r="DH52" s="333"/>
      <c r="DI52" s="333"/>
      <c r="DJ52" s="333"/>
      <c r="DK52" s="333"/>
      <c r="DL52" s="1005" t="e" vm="4">
        <f>P_RP_S_B_RH</f>
        <v>#VALUE!</v>
      </c>
      <c r="DM52" s="1005"/>
      <c r="DN52" s="1005"/>
      <c r="DO52" s="336"/>
    </row>
    <row r="53" spans="1:119">
      <c r="A53">
        <v>52</v>
      </c>
      <c r="B53" t="s">
        <v>286</v>
      </c>
      <c r="F53" t="str">
        <f>IF(BL9&lt;&gt;0,DH34,"----------")</f>
        <v>----------</v>
      </c>
      <c r="G53" s="177" t="str">
        <f>IF(BL9&lt;&gt;0,BE9,"----------")</f>
        <v>----------</v>
      </c>
      <c r="U53" s="149">
        <v>2.7938266719431189E-3</v>
      </c>
      <c r="V53" s="149">
        <v>2.7938266719430486E-3</v>
      </c>
      <c r="W53" s="149">
        <v>2.833399287692882E-3</v>
      </c>
      <c r="X53" s="149">
        <v>3.8622872971903581E-3</v>
      </c>
      <c r="Y53" s="149">
        <v>3.678274633953343E-3</v>
      </c>
      <c r="Z53" s="149">
        <v>3.7732489117530865E-3</v>
      </c>
      <c r="AA53" s="149">
        <v>3.6822318955283592E-3</v>
      </c>
      <c r="AB53" s="149">
        <v>3.6822318955283592E-3</v>
      </c>
      <c r="AC53" s="149">
        <v>3.6822318955283592E-3</v>
      </c>
      <c r="AD53" s="149">
        <v>5.1048674317372422E-3</v>
      </c>
      <c r="AE53" s="149">
        <v>5.1048674317372422E-3</v>
      </c>
      <c r="AF53" s="149">
        <v>5.1048674317372422E-3</v>
      </c>
      <c r="AG53" s="8"/>
      <c r="AH53" s="150" cm="1">
        <f t="array" ref="AH53">INDEX(U53:AF53,1,$AH$32)</f>
        <v>3.8622872971903581E-3</v>
      </c>
      <c r="AI53" s="18" cm="1">
        <f t="array" ref="AI53">INDEX($AH$47:$AH$73,($AI$34-1)*9+7)</f>
        <v>9.8931539375111485E-6</v>
      </c>
      <c r="AJ53" s="7" t="s">
        <v>287</v>
      </c>
      <c r="AK53" s="82">
        <v>6.3E-2</v>
      </c>
      <c r="AL53" s="18">
        <f>AH65</f>
        <v>-2.7700831024960833E-5</v>
      </c>
      <c r="AM53" s="18">
        <f>AH68</f>
        <v>-2.5722200237364764E-5</v>
      </c>
      <c r="AN53" s="18">
        <f>AH71</f>
        <v>9.8931539375111485E-6</v>
      </c>
      <c r="AP53" s="7">
        <v>4</v>
      </c>
      <c r="AQ53" s="7" t="s">
        <v>288</v>
      </c>
      <c r="AS53" s="7">
        <v>4</v>
      </c>
      <c r="AT53" s="7" t="s">
        <v>289</v>
      </c>
      <c r="AU53" s="8"/>
      <c r="AV53" s="8"/>
      <c r="AX53" s="8"/>
      <c r="BF53" s="13"/>
      <c r="BG53" s="13"/>
      <c r="BH53" s="12"/>
      <c r="BI53" s="13"/>
      <c r="BK53" s="12">
        <v>44</v>
      </c>
      <c r="BL53" s="12">
        <v>0.7</v>
      </c>
      <c r="BN53" s="12">
        <v>44</v>
      </c>
      <c r="BO53" s="12">
        <v>4.7</v>
      </c>
      <c r="BP53" s="7">
        <v>53</v>
      </c>
      <c r="BQ53" s="59">
        <v>44</v>
      </c>
      <c r="BR53" s="64" t="str">
        <f t="shared" si="45"/>
        <v>---------</v>
      </c>
      <c r="BS53" s="106">
        <v>20.8</v>
      </c>
      <c r="BT53" s="12" t="s">
        <v>290</v>
      </c>
      <c r="BU53" s="7" t="str">
        <f t="shared" si="16"/>
        <v>---------</v>
      </c>
      <c r="BV53" s="290">
        <v>2.5800000000000098</v>
      </c>
      <c r="BW53" s="59">
        <v>44</v>
      </c>
      <c r="BX53" s="168" t="str">
        <f t="shared" si="17"/>
        <v>---------</v>
      </c>
      <c r="BY53" s="182">
        <v>6.08E-2</v>
      </c>
      <c r="BZ53" s="185">
        <v>44</v>
      </c>
      <c r="CA53" s="184">
        <f t="shared" si="18"/>
        <v>6.08E-2</v>
      </c>
      <c r="CB53" s="142">
        <f t="shared" si="21"/>
        <v>312</v>
      </c>
      <c r="CC53" s="262" t="str">
        <f t="shared" si="46"/>
        <v>4.8</v>
      </c>
      <c r="CD53" s="12">
        <v>44</v>
      </c>
      <c r="CE53" s="262" t="str">
        <f t="shared" si="47"/>
        <v>4.8</v>
      </c>
      <c r="CG53" s="12">
        <v>44</v>
      </c>
      <c r="CH53" s="12" t="s">
        <v>79</v>
      </c>
      <c r="CI53" s="12"/>
      <c r="CJ53" s="333"/>
      <c r="CK53" s="348">
        <f t="shared" si="41"/>
        <v>182</v>
      </c>
      <c r="CL53" s="349">
        <f t="shared" si="25"/>
        <v>2.8</v>
      </c>
      <c r="CM53" s="350">
        <f t="shared" ca="1" si="26"/>
        <v>2.8831443895163007</v>
      </c>
      <c r="CN53" s="350">
        <f t="shared" ca="1" si="27"/>
        <v>2.9184631621564039</v>
      </c>
      <c r="CO53" s="350">
        <f t="shared" ca="1" si="28"/>
        <v>2.9360920605156595</v>
      </c>
      <c r="CP53" s="348">
        <f t="shared" si="42"/>
        <v>429</v>
      </c>
      <c r="CQ53" s="349" t="str">
        <f t="shared" si="29"/>
        <v>6.6</v>
      </c>
      <c r="CR53" s="350">
        <f t="shared" ca="1" si="30"/>
        <v>6.734839218897446</v>
      </c>
      <c r="CS53" s="350">
        <f t="shared" ca="1" si="31"/>
        <v>6.7592891771939962</v>
      </c>
      <c r="CT53" s="351">
        <f t="shared" ca="1" si="32"/>
        <v>6.771492858664879</v>
      </c>
      <c r="CU53" s="333"/>
      <c r="CV53" s="348">
        <f t="shared" si="43"/>
        <v>182</v>
      </c>
      <c r="CW53" s="349">
        <f t="shared" si="33"/>
        <v>2.8</v>
      </c>
      <c r="CX53" s="350">
        <f t="shared" ca="1" si="34"/>
        <v>2.6775529043255912</v>
      </c>
      <c r="CY53" s="350">
        <f t="shared" ca="1" si="35"/>
        <v>2.7914373705518858</v>
      </c>
      <c r="CZ53" s="350">
        <f t="shared" ca="1" si="36"/>
        <v>2.8430217771148509</v>
      </c>
      <c r="DA53" s="348">
        <f t="shared" si="44"/>
        <v>429</v>
      </c>
      <c r="DB53" s="349" t="str">
        <f t="shared" si="37"/>
        <v>6.6</v>
      </c>
      <c r="DC53" s="350">
        <f t="shared" ca="1" si="38"/>
        <v>3.7803325920063315</v>
      </c>
      <c r="DD53" s="350">
        <f t="shared" ca="1" si="39"/>
        <v>4.5771797187300223</v>
      </c>
      <c r="DE53" s="351">
        <f t="shared" ca="1" si="40"/>
        <v>5.0966946631761587</v>
      </c>
      <c r="DF53" s="333"/>
      <c r="DG53" s="333"/>
      <c r="DH53" s="333"/>
      <c r="DI53" s="333"/>
      <c r="DJ53" s="333"/>
      <c r="DK53" s="333"/>
      <c r="DL53" s="1005"/>
      <c r="DM53" s="1005"/>
      <c r="DN53" s="1005"/>
      <c r="DO53" s="336"/>
    </row>
    <row r="54" spans="1:119">
      <c r="A54">
        <v>53</v>
      </c>
      <c r="B54" s="558" t="s">
        <v>291</v>
      </c>
      <c r="F54" t="str">
        <f>IF(BL9&lt;&gt;0,DK37,"----------")</f>
        <v>----------</v>
      </c>
      <c r="G54" s="177" t="str">
        <f>IF(BL9&lt;&gt;0,AE9,"----------")</f>
        <v>----------</v>
      </c>
      <c r="U54" s="149">
        <v>0.99412497032053704</v>
      </c>
      <c r="V54" s="149">
        <v>0.99472497032053764</v>
      </c>
      <c r="W54" s="149">
        <v>0.99855005935892394</v>
      </c>
      <c r="X54" s="149">
        <v>0.97697079540957654</v>
      </c>
      <c r="Y54" s="149">
        <v>0.96689992085476817</v>
      </c>
      <c r="Z54" s="149">
        <v>0.9746169766521563</v>
      </c>
      <c r="AA54" s="149">
        <v>0.98878769291650126</v>
      </c>
      <c r="AB54" s="149">
        <v>0.98878769291650126</v>
      </c>
      <c r="AC54" s="149">
        <v>0.98878769291650126</v>
      </c>
      <c r="AD54" s="149">
        <v>0.96317332805698452</v>
      </c>
      <c r="AE54" s="149">
        <v>0.96317332805698452</v>
      </c>
      <c r="AF54" s="149">
        <v>0.96317332805698452</v>
      </c>
      <c r="AG54" s="8"/>
      <c r="AH54" s="150" cm="1">
        <f t="array" ref="AH54">INDEX(U54:AF54,1,$AH$32)</f>
        <v>0.97697079540957654</v>
      </c>
      <c r="AI54" s="18" cm="1">
        <f t="array" ref="AI54">INDEX($AH$47:$AH$73,($AI$34-1)*9+8)</f>
        <v>1.0097667985753855</v>
      </c>
      <c r="AJ54" s="7" t="s">
        <v>292</v>
      </c>
      <c r="AL54" s="18">
        <f>AH66</f>
        <v>1.0141961218836568</v>
      </c>
      <c r="AM54" s="18">
        <f>AH69</f>
        <v>1.0114610605461012</v>
      </c>
      <c r="AN54" s="18">
        <f>AH72</f>
        <v>1.0097667985753855</v>
      </c>
      <c r="AP54" s="7">
        <v>5</v>
      </c>
      <c r="AQ54" s="7" t="s">
        <v>293</v>
      </c>
      <c r="AS54" s="7">
        <v>5</v>
      </c>
      <c r="AT54" s="7" t="s">
        <v>294</v>
      </c>
      <c r="AU54" s="8"/>
      <c r="AV54" s="8"/>
      <c r="AX54" s="8"/>
      <c r="BF54" s="13"/>
      <c r="BG54" s="13"/>
      <c r="BH54" s="12"/>
      <c r="BI54" s="13"/>
      <c r="BK54" s="12">
        <v>45</v>
      </c>
      <c r="BL54" s="12">
        <v>0.6</v>
      </c>
      <c r="BN54" s="12">
        <v>45</v>
      </c>
      <c r="BO54" s="12">
        <v>4.5999999999999996</v>
      </c>
      <c r="BP54" s="7">
        <v>52</v>
      </c>
      <c r="BQ54" s="59">
        <v>45</v>
      </c>
      <c r="BR54" s="64" t="str">
        <f t="shared" si="45"/>
        <v>---------</v>
      </c>
      <c r="BS54" s="106">
        <v>20.7</v>
      </c>
      <c r="BT54" s="12" t="s">
        <v>295</v>
      </c>
      <c r="BU54" s="7" t="str">
        <f t="shared" si="16"/>
        <v>---------</v>
      </c>
      <c r="BV54" s="290">
        <v>2.5700000000000101</v>
      </c>
      <c r="BW54" s="59">
        <v>45</v>
      </c>
      <c r="BX54" s="168" t="str">
        <f t="shared" si="17"/>
        <v>---------</v>
      </c>
      <c r="BY54" s="182">
        <v>6.0699999999999997E-2</v>
      </c>
      <c r="BZ54" s="185">
        <v>45</v>
      </c>
      <c r="CA54" s="184">
        <f t="shared" si="18"/>
        <v>6.0699999999999997E-2</v>
      </c>
      <c r="CB54" s="142">
        <f t="shared" si="21"/>
        <v>305.50000000000006</v>
      </c>
      <c r="CC54" s="262" t="str">
        <f t="shared" si="46"/>
        <v>4.7</v>
      </c>
      <c r="CD54" s="12">
        <v>45</v>
      </c>
      <c r="CE54" s="262" t="str">
        <f t="shared" si="47"/>
        <v>4.7</v>
      </c>
      <c r="CG54" s="12">
        <v>45</v>
      </c>
      <c r="CH54" s="12" t="s">
        <v>85</v>
      </c>
      <c r="CI54" s="12"/>
      <c r="CJ54" s="333"/>
      <c r="CK54" s="348">
        <f t="shared" si="41"/>
        <v>175.50000000000003</v>
      </c>
      <c r="CL54" s="349">
        <f t="shared" si="25"/>
        <v>2.7</v>
      </c>
      <c r="CM54" s="350">
        <f t="shared" ca="1" si="26"/>
        <v>2.7816652814221796</v>
      </c>
      <c r="CN54" s="350">
        <f t="shared" ca="1" si="27"/>
        <v>2.817303850719918</v>
      </c>
      <c r="CO54" s="350">
        <f t="shared" ca="1" si="28"/>
        <v>2.835110064838207</v>
      </c>
      <c r="CP54" s="348">
        <f t="shared" si="42"/>
        <v>422.5</v>
      </c>
      <c r="CQ54" s="349" t="str">
        <f t="shared" si="29"/>
        <v>6.5</v>
      </c>
      <c r="CR54" s="350">
        <f t="shared" ca="1" si="30"/>
        <v>6.6335914584030933</v>
      </c>
      <c r="CS54" s="350">
        <f t="shared" ca="1" si="31"/>
        <v>6.658295394965144</v>
      </c>
      <c r="CT54" s="351">
        <f t="shared" ca="1" si="32"/>
        <v>6.6706090700435281</v>
      </c>
      <c r="CU54" s="333"/>
      <c r="CV54" s="348">
        <f t="shared" si="43"/>
        <v>175.50000000000003</v>
      </c>
      <c r="CW54" s="349">
        <f t="shared" si="33"/>
        <v>2.7</v>
      </c>
      <c r="CX54" s="350">
        <f t="shared" ca="1" si="34"/>
        <v>2.6323682390185996</v>
      </c>
      <c r="CY54" s="350">
        <f t="shared" ca="1" si="35"/>
        <v>2.7245909652674198</v>
      </c>
      <c r="CZ54" s="350">
        <f t="shared" ca="1" si="36"/>
        <v>2.7650145761164033</v>
      </c>
      <c r="DA54" s="348">
        <f t="shared" si="44"/>
        <v>422.5</v>
      </c>
      <c r="DB54" s="349" t="str">
        <f t="shared" si="37"/>
        <v>6.5</v>
      </c>
      <c r="DC54" s="350">
        <f t="shared" ca="1" si="38"/>
        <v>3.7666472904934398</v>
      </c>
      <c r="DD54" s="350">
        <f t="shared" ca="1" si="39"/>
        <v>4.5490215725548691</v>
      </c>
      <c r="DE54" s="351">
        <f t="shared" ca="1" si="40"/>
        <v>5.0551285263766701</v>
      </c>
      <c r="DF54" s="333"/>
      <c r="DG54" s="333"/>
      <c r="DH54" s="333"/>
      <c r="DI54" s="333"/>
      <c r="DJ54" s="333"/>
      <c r="DK54" s="333"/>
      <c r="DL54" s="1005"/>
      <c r="DM54" s="1005"/>
      <c r="DN54" s="1005"/>
      <c r="DO54" s="336"/>
    </row>
    <row r="55" spans="1:119">
      <c r="A55">
        <v>54</v>
      </c>
      <c r="B55" s="558" t="s">
        <v>49</v>
      </c>
      <c r="F55" t="str">
        <f>IF(BL9&lt;&gt;0,DK40,"----------")</f>
        <v>----------</v>
      </c>
      <c r="G55" s="858" t="str">
        <f>IF(BL9&lt;&gt;0,AX44,"----------")</f>
        <v>----------</v>
      </c>
      <c r="U55" s="149">
        <v>2.2279058171748078E-2</v>
      </c>
      <c r="V55" s="149">
        <v>1.1224990581717462</v>
      </c>
      <c r="W55" s="149">
        <v>1.2023366204986157</v>
      </c>
      <c r="X55" s="149">
        <v>9.3490304709137328E-3</v>
      </c>
      <c r="Y55" s="149">
        <v>1.1397704709141276</v>
      </c>
      <c r="Z55" s="149">
        <v>1.3971681994459859</v>
      </c>
      <c r="AA55" s="149">
        <v>-1.0214404432132812E-2</v>
      </c>
      <c r="AB55" s="149">
        <v>1.0597855955678672</v>
      </c>
      <c r="AC55" s="149">
        <v>1.3697855955678671</v>
      </c>
      <c r="AD55" s="149">
        <v>8.571191135720857E-4</v>
      </c>
      <c r="AE55" s="149">
        <v>1.0708571191135721</v>
      </c>
      <c r="AF55" s="149">
        <v>1.3808571191135719</v>
      </c>
      <c r="AG55" s="8"/>
      <c r="AH55" s="150" cm="1">
        <f t="array" ref="AH55">INDEX(U55:AF55,1,$AH$32)</f>
        <v>9.3490304709137328E-3</v>
      </c>
      <c r="AI55" s="18" cm="1">
        <f t="array" ref="AI55">INDEX($AH$47:$AH$73,($AI$34-1)*9+9)+$AL$8</f>
        <v>0.10027412742382162</v>
      </c>
      <c r="AJ55" s="7" t="s">
        <v>296</v>
      </c>
      <c r="AL55" s="18">
        <f>AH67+$AL$8</f>
        <v>3.1668864265927528E-2</v>
      </c>
      <c r="AM55" s="18">
        <f>AH70+$AL$8</f>
        <v>7.6975900277010567E-2</v>
      </c>
      <c r="AN55" s="18">
        <f>AH73+$AL$8</f>
        <v>0.10027412742382162</v>
      </c>
      <c r="AP55" s="7">
        <v>6</v>
      </c>
      <c r="AQ55" s="7" t="s">
        <v>297</v>
      </c>
      <c r="AS55" s="7">
        <v>6</v>
      </c>
      <c r="AT55" s="7" t="s">
        <v>298</v>
      </c>
      <c r="AU55" s="8"/>
      <c r="AV55" s="8"/>
      <c r="AX55" s="8"/>
      <c r="BF55" s="13"/>
      <c r="BG55" s="13"/>
      <c r="BH55" s="12"/>
      <c r="BI55" s="13"/>
      <c r="BK55" s="12">
        <v>46</v>
      </c>
      <c r="BL55" s="12">
        <v>0.5</v>
      </c>
      <c r="BN55" s="12">
        <v>46</v>
      </c>
      <c r="BO55" s="12">
        <v>4.5</v>
      </c>
      <c r="BP55" s="7">
        <v>51</v>
      </c>
      <c r="BQ55" s="59">
        <v>46</v>
      </c>
      <c r="BR55" s="64" t="str">
        <f t="shared" si="45"/>
        <v>---------</v>
      </c>
      <c r="BS55" s="106">
        <v>20.6</v>
      </c>
      <c r="BT55" s="12" t="s">
        <v>299</v>
      </c>
      <c r="BU55" s="7" t="str">
        <f t="shared" si="16"/>
        <v>---------</v>
      </c>
      <c r="BV55" s="290">
        <v>2.5600000000000098</v>
      </c>
      <c r="BW55" s="59">
        <v>46</v>
      </c>
      <c r="BX55" s="168" t="str">
        <f t="shared" si="17"/>
        <v>---------</v>
      </c>
      <c r="BY55" s="182">
        <v>6.0600000000000001E-2</v>
      </c>
      <c r="BZ55" s="185">
        <v>46</v>
      </c>
      <c r="CA55" s="184">
        <f t="shared" si="18"/>
        <v>6.0600000000000001E-2</v>
      </c>
      <c r="CB55" s="142">
        <f t="shared" si="21"/>
        <v>299</v>
      </c>
      <c r="CC55" s="262" t="str">
        <f t="shared" si="46"/>
        <v>4.6</v>
      </c>
      <c r="CD55" s="12">
        <v>46</v>
      </c>
      <c r="CE55" s="262" t="str">
        <f t="shared" si="47"/>
        <v>4.6</v>
      </c>
      <c r="CG55" s="12">
        <v>46</v>
      </c>
      <c r="CH55" s="12" t="s">
        <v>92</v>
      </c>
      <c r="CI55" s="12"/>
      <c r="CJ55" s="333"/>
      <c r="CK55" s="348">
        <f t="shared" si="41"/>
        <v>169</v>
      </c>
      <c r="CL55" s="349">
        <f t="shared" si="25"/>
        <v>2.6</v>
      </c>
      <c r="CM55" s="350">
        <f t="shared" ca="1" si="26"/>
        <v>2.6801800852333266</v>
      </c>
      <c r="CN55" s="350">
        <f t="shared" ca="1" si="27"/>
        <v>2.7161401832516523</v>
      </c>
      <c r="CO55" s="350">
        <f t="shared" ca="1" si="28"/>
        <v>2.7341254847645411</v>
      </c>
      <c r="CP55" s="348">
        <f t="shared" si="42"/>
        <v>416.00000000000006</v>
      </c>
      <c r="CQ55" s="349" t="str">
        <f t="shared" si="29"/>
        <v>6.4</v>
      </c>
      <c r="CR55" s="350">
        <f t="shared" ca="1" si="30"/>
        <v>6.53233760981401</v>
      </c>
      <c r="CS55" s="350">
        <f t="shared" ca="1" si="31"/>
        <v>6.5572972567045138</v>
      </c>
      <c r="CT55" s="351">
        <f t="shared" ca="1" si="32"/>
        <v>6.5697226970259646</v>
      </c>
      <c r="CU55" s="333"/>
      <c r="CV55" s="348">
        <f t="shared" si="43"/>
        <v>169</v>
      </c>
      <c r="CW55" s="349">
        <f t="shared" si="33"/>
        <v>2.6</v>
      </c>
      <c r="CX55" s="350">
        <f t="shared" ca="1" si="34"/>
        <v>2.5863546430854467</v>
      </c>
      <c r="CY55" s="350">
        <f t="shared" ca="1" si="35"/>
        <v>2.6567264479011294</v>
      </c>
      <c r="CZ55" s="350">
        <f t="shared" ca="1" si="36"/>
        <v>2.686048399744299</v>
      </c>
      <c r="DA55" s="348">
        <f t="shared" si="44"/>
        <v>416.00000000000006</v>
      </c>
      <c r="DB55" s="349" t="str">
        <f t="shared" si="37"/>
        <v>6.4</v>
      </c>
      <c r="DC55" s="350">
        <f t="shared" ca="1" si="38"/>
        <v>3.7521330583543886</v>
      </c>
      <c r="DD55" s="350">
        <f t="shared" ca="1" si="39"/>
        <v>4.5198453142978909</v>
      </c>
      <c r="DE55" s="351">
        <f t="shared" ca="1" si="40"/>
        <v>5.0126034142035252</v>
      </c>
      <c r="DF55" s="333"/>
      <c r="DG55" s="333"/>
      <c r="DH55" s="333"/>
      <c r="DI55" s="333"/>
      <c r="DJ55" s="333"/>
      <c r="DK55" s="333"/>
      <c r="DL55" s="1005"/>
      <c r="DM55" s="1005"/>
      <c r="DN55" s="1005"/>
      <c r="DO55" s="336"/>
    </row>
    <row r="56" spans="1:119">
      <c r="A56">
        <v>55</v>
      </c>
      <c r="B56" s="558" t="s">
        <v>63</v>
      </c>
      <c r="F56" t="str">
        <f>IF(DL45&lt;&gt;"",DH45,"----------")</f>
        <v>----------</v>
      </c>
      <c r="G56" s="854" t="str">
        <f>IF(DL45&lt;&gt;"",AW44,"----------")</f>
        <v>----------</v>
      </c>
      <c r="T56" s="7" t="s">
        <v>219</v>
      </c>
      <c r="U56" s="36">
        <v>4.1353383458645279E-4</v>
      </c>
      <c r="V56" s="36">
        <v>1.8203403244958344E-4</v>
      </c>
      <c r="W56" s="36">
        <v>1.6620498614960079E-4</v>
      </c>
      <c r="X56" s="36">
        <v>1.7708745548080909E-3</v>
      </c>
      <c r="Y56" s="36">
        <v>1.638306292045946E-3</v>
      </c>
      <c r="Z56" s="36">
        <v>1.7075583696082306E-3</v>
      </c>
      <c r="AA56" s="36">
        <v>5.4808072813613521E-4</v>
      </c>
      <c r="AB56" s="36">
        <v>5.4808072813613521E-4</v>
      </c>
      <c r="AC56" s="36">
        <v>5.4808072813613521E-4</v>
      </c>
      <c r="AD56" s="36">
        <v>2.5880490700434852E-3</v>
      </c>
      <c r="AE56" s="36">
        <v>2.5880490700434852E-3</v>
      </c>
      <c r="AF56" s="36">
        <v>2.5880490700434852E-3</v>
      </c>
      <c r="AG56" s="8"/>
      <c r="AH56" s="18" cm="1">
        <f t="array" ref="AH56">INDEX(U56:AF56,1,$AH$32)</f>
        <v>1.7708745548080909E-3</v>
      </c>
      <c r="AM56" s="18"/>
      <c r="AN56" s="18"/>
      <c r="AO56" s="18"/>
      <c r="AP56" s="7">
        <v>7</v>
      </c>
      <c r="AQ56" s="7" t="s">
        <v>300</v>
      </c>
      <c r="AS56" s="7">
        <v>7</v>
      </c>
      <c r="AT56" s="7" t="s">
        <v>301</v>
      </c>
      <c r="AU56" s="8"/>
      <c r="AV56" s="8"/>
      <c r="AX56" s="8"/>
      <c r="BF56" s="13"/>
      <c r="BG56" s="13"/>
      <c r="BH56" s="12"/>
      <c r="BI56" s="13"/>
      <c r="BK56" s="12">
        <v>47</v>
      </c>
      <c r="BL56" s="12">
        <v>0.4</v>
      </c>
      <c r="BN56" s="12">
        <v>47</v>
      </c>
      <c r="BO56" s="12">
        <v>4.4000000000000004</v>
      </c>
      <c r="BP56" s="7">
        <v>50</v>
      </c>
      <c r="BQ56" s="59">
        <v>47</v>
      </c>
      <c r="BR56" s="64" t="str">
        <f t="shared" si="45"/>
        <v>---------</v>
      </c>
      <c r="BS56" s="106">
        <v>20.5</v>
      </c>
      <c r="BT56" s="12" t="s">
        <v>302</v>
      </c>
      <c r="BU56" s="7" t="str">
        <f t="shared" si="16"/>
        <v>---------</v>
      </c>
      <c r="BV56" s="290">
        <v>2.55000000000001</v>
      </c>
      <c r="BW56" s="59">
        <v>47</v>
      </c>
      <c r="BX56" s="168" t="str">
        <f t="shared" si="17"/>
        <v>---------</v>
      </c>
      <c r="BY56" s="182">
        <v>6.0499999999999998E-2</v>
      </c>
      <c r="BZ56" s="185">
        <v>47</v>
      </c>
      <c r="CA56" s="184">
        <f t="shared" si="18"/>
        <v>6.0499999999999998E-2</v>
      </c>
      <c r="CB56" s="142">
        <f t="shared" si="21"/>
        <v>292.5</v>
      </c>
      <c r="CC56" s="262" t="str">
        <f t="shared" si="46"/>
        <v>4.5</v>
      </c>
      <c r="CD56" s="12">
        <v>47</v>
      </c>
      <c r="CE56" s="262" t="str">
        <f t="shared" si="47"/>
        <v>4.5</v>
      </c>
      <c r="CG56" s="12">
        <v>47</v>
      </c>
      <c r="CH56" s="12" t="s">
        <v>98</v>
      </c>
      <c r="CI56" s="12"/>
      <c r="CJ56" s="333"/>
      <c r="CK56" s="348">
        <f t="shared" si="41"/>
        <v>162.5</v>
      </c>
      <c r="CL56" s="349">
        <f t="shared" si="25"/>
        <v>2.5</v>
      </c>
      <c r="CM56" s="350">
        <f t="shared" ca="1" si="26"/>
        <v>2.5786888009497431</v>
      </c>
      <c r="CN56" s="350">
        <f t="shared" ca="1" si="27"/>
        <v>2.6149721597516065</v>
      </c>
      <c r="CO56" s="350">
        <f t="shared" ca="1" si="28"/>
        <v>2.6331383202946617</v>
      </c>
      <c r="CP56" s="348">
        <f t="shared" si="42"/>
        <v>409.5</v>
      </c>
      <c r="CQ56" s="349" t="str">
        <f t="shared" si="29"/>
        <v>6.3</v>
      </c>
      <c r="CR56" s="350">
        <f t="shared" ca="1" si="30"/>
        <v>6.4310776731301944</v>
      </c>
      <c r="CS56" s="350">
        <f t="shared" ca="1" si="31"/>
        <v>6.4562947624121012</v>
      </c>
      <c r="CT56" s="351">
        <f t="shared" ca="1" si="32"/>
        <v>6.4688337396121867</v>
      </c>
      <c r="CU56" s="333"/>
      <c r="CV56" s="348">
        <f t="shared" si="43"/>
        <v>162.5</v>
      </c>
      <c r="CW56" s="349">
        <f t="shared" si="33"/>
        <v>2.5</v>
      </c>
      <c r="CX56" s="350">
        <f t="shared" ca="1" si="34"/>
        <v>2.5395121165261338</v>
      </c>
      <c r="CY56" s="350">
        <f t="shared" ca="1" si="35"/>
        <v>2.587843818453015</v>
      </c>
      <c r="CZ56" s="350">
        <f t="shared" ca="1" si="36"/>
        <v>2.6061232479985383</v>
      </c>
      <c r="DA56" s="348">
        <f t="shared" si="44"/>
        <v>409.5</v>
      </c>
      <c r="DB56" s="349" t="str">
        <f t="shared" si="37"/>
        <v>6.3</v>
      </c>
      <c r="DC56" s="350">
        <f t="shared" ca="1" si="38"/>
        <v>3.7367898955891756</v>
      </c>
      <c r="DD56" s="350">
        <f t="shared" ca="1" si="39"/>
        <v>4.4896509439590879</v>
      </c>
      <c r="DE56" s="351">
        <f t="shared" ca="1" si="40"/>
        <v>4.9691193266567231</v>
      </c>
      <c r="DF56" s="333"/>
      <c r="DG56" s="333"/>
      <c r="DH56" s="333"/>
      <c r="DI56" s="333"/>
      <c r="DJ56" s="333"/>
      <c r="DK56" s="333"/>
      <c r="DL56" s="1005"/>
      <c r="DM56" s="1005"/>
      <c r="DN56" s="1005"/>
      <c r="DO56" s="336"/>
    </row>
    <row r="57" spans="1:119">
      <c r="A57">
        <v>56</v>
      </c>
      <c r="B57" s="558" t="s">
        <v>73</v>
      </c>
      <c r="F57" s="600" t="str">
        <f>IF(DL48&lt;&gt;"",DH48,"----------")</f>
        <v>----------</v>
      </c>
      <c r="G57" s="854" t="str">
        <f>IF(DL48&lt;&gt;"",AV44,"----------")</f>
        <v>----------</v>
      </c>
      <c r="U57" s="36">
        <v>1.0314984962406013</v>
      </c>
      <c r="V57" s="36">
        <v>1.0331006727344676</v>
      </c>
      <c r="W57" s="36">
        <v>1.0223811634349027</v>
      </c>
      <c r="X57" s="36">
        <v>0.99944641867827455</v>
      </c>
      <c r="Y57" s="36">
        <v>0.9984639493470514</v>
      </c>
      <c r="Z57" s="36">
        <v>1.0090315393747527</v>
      </c>
      <c r="AA57" s="36">
        <v>1.0445669568658484</v>
      </c>
      <c r="AB57" s="36">
        <v>1.0445669568658484</v>
      </c>
      <c r="AC57" s="36">
        <v>1.0445669568658484</v>
      </c>
      <c r="AD57" s="36">
        <v>0.99409766521567111</v>
      </c>
      <c r="AE57" s="36">
        <v>0.99409766521567111</v>
      </c>
      <c r="AF57" s="36">
        <v>0.99409766521567111</v>
      </c>
      <c r="AG57" s="8"/>
      <c r="AH57" s="18" cm="1">
        <f t="array" ref="AH57">INDEX(U57:AF57,1,$AH$32)</f>
        <v>0.99944641867827455</v>
      </c>
      <c r="AM57" s="18"/>
      <c r="AN57" s="18"/>
      <c r="AO57" s="18"/>
      <c r="AP57" s="7">
        <v>8</v>
      </c>
      <c r="AQ57" s="7" t="s">
        <v>303</v>
      </c>
      <c r="AU57" s="8"/>
      <c r="BF57" s="13"/>
      <c r="BG57" s="13"/>
      <c r="BH57" s="12"/>
      <c r="BI57" s="13"/>
      <c r="BK57" s="12">
        <v>48</v>
      </c>
      <c r="BL57" s="12">
        <v>0.3</v>
      </c>
      <c r="BN57" s="12">
        <v>48</v>
      </c>
      <c r="BO57" s="12">
        <v>4.3</v>
      </c>
      <c r="BP57" s="7">
        <v>49</v>
      </c>
      <c r="BQ57" s="59">
        <v>48</v>
      </c>
      <c r="BR57" s="64" t="str">
        <f t="shared" si="45"/>
        <v>---------</v>
      </c>
      <c r="BS57" s="106">
        <v>20.399999999999999</v>
      </c>
      <c r="BT57" s="12" t="s">
        <v>304</v>
      </c>
      <c r="BU57" s="7" t="str">
        <f t="shared" si="16"/>
        <v>---------</v>
      </c>
      <c r="BV57" s="290">
        <v>2.5400000000000098</v>
      </c>
      <c r="BW57" s="59">
        <v>48</v>
      </c>
      <c r="BX57" s="168" t="str">
        <f t="shared" si="17"/>
        <v>---------</v>
      </c>
      <c r="BY57" s="182">
        <v>6.0400000000000002E-2</v>
      </c>
      <c r="BZ57" s="185">
        <v>48</v>
      </c>
      <c r="CA57" s="184">
        <f t="shared" si="18"/>
        <v>6.0400000000000002E-2</v>
      </c>
      <c r="CB57" s="142">
        <f t="shared" si="21"/>
        <v>286.00000000000006</v>
      </c>
      <c r="CC57" s="262" t="str">
        <f t="shared" si="46"/>
        <v>4.4</v>
      </c>
      <c r="CD57" s="12">
        <v>48</v>
      </c>
      <c r="CE57" s="262" t="str">
        <f t="shared" si="47"/>
        <v>4.4</v>
      </c>
      <c r="CG57" s="12">
        <v>48</v>
      </c>
      <c r="CH57" s="12" t="s">
        <v>105</v>
      </c>
      <c r="CI57" s="12"/>
      <c r="CJ57" s="333"/>
      <c r="CK57" s="348">
        <f t="shared" si="41"/>
        <v>156</v>
      </c>
      <c r="CL57" s="349">
        <f t="shared" si="25"/>
        <v>2.4</v>
      </c>
      <c r="CM57" s="350">
        <f t="shared" ca="1" si="26"/>
        <v>2.4771914285714285</v>
      </c>
      <c r="CN57" s="350">
        <f t="shared" ca="1" si="27"/>
        <v>2.5137997802197805</v>
      </c>
      <c r="CO57" s="350">
        <f t="shared" ca="1" si="28"/>
        <v>2.5321485714285696</v>
      </c>
      <c r="CP57" s="348">
        <f t="shared" si="42"/>
        <v>403</v>
      </c>
      <c r="CQ57" s="349" t="str">
        <f t="shared" si="29"/>
        <v>6.2</v>
      </c>
      <c r="CR57" s="350">
        <f t="shared" ca="1" si="30"/>
        <v>6.3298116483516491</v>
      </c>
      <c r="CS57" s="350">
        <f t="shared" ca="1" si="31"/>
        <v>6.3552879120879116</v>
      </c>
      <c r="CT57" s="351">
        <f t="shared" ca="1" si="32"/>
        <v>6.3679421978021962</v>
      </c>
      <c r="CU57" s="333"/>
      <c r="CV57" s="348">
        <f t="shared" si="43"/>
        <v>156</v>
      </c>
      <c r="CW57" s="349">
        <f t="shared" si="33"/>
        <v>2.4</v>
      </c>
      <c r="CX57" s="350">
        <f t="shared" ca="1" si="34"/>
        <v>2.4918406593406597</v>
      </c>
      <c r="CY57" s="350">
        <f t="shared" ca="1" si="35"/>
        <v>2.5179430769230766</v>
      </c>
      <c r="CZ57" s="350">
        <f t="shared" ca="1" si="36"/>
        <v>2.5252391208791201</v>
      </c>
      <c r="DA57" s="348">
        <f t="shared" si="44"/>
        <v>403</v>
      </c>
      <c r="DB57" s="349" t="str">
        <f t="shared" si="37"/>
        <v>6.2</v>
      </c>
      <c r="DC57" s="350">
        <f t="shared" ca="1" si="38"/>
        <v>3.7206178021978018</v>
      </c>
      <c r="DD57" s="350">
        <f t="shared" ca="1" si="39"/>
        <v>4.4584384615384627</v>
      </c>
      <c r="DE57" s="351">
        <f t="shared" ca="1" si="40"/>
        <v>4.9246762637362638</v>
      </c>
      <c r="DF57" s="333"/>
      <c r="DG57" s="333"/>
      <c r="DH57" s="333"/>
      <c r="DI57" s="333"/>
      <c r="DJ57" s="333"/>
      <c r="DK57" s="333"/>
      <c r="DL57" s="1005"/>
      <c r="DM57" s="1005"/>
      <c r="DN57" s="1005"/>
      <c r="DO57" s="336"/>
    </row>
    <row r="58" spans="1:119">
      <c r="A58">
        <v>57</v>
      </c>
      <c r="B58" s="558" t="s">
        <v>80</v>
      </c>
      <c r="U58" s="36">
        <v>-8.1592631578945904E-2</v>
      </c>
      <c r="V58" s="36">
        <v>1.0172441551246527</v>
      </c>
      <c r="W58" s="36">
        <v>0.81888786703601235</v>
      </c>
      <c r="X58" s="36">
        <v>-1.8765927977839145E-2</v>
      </c>
      <c r="Y58" s="36">
        <v>1.1012184487534631</v>
      </c>
      <c r="Z58" s="36">
        <v>1.3526773407202213</v>
      </c>
      <c r="AA58" s="36">
        <v>-0.20636049861495701</v>
      </c>
      <c r="AB58" s="36">
        <v>0.86363950138504308</v>
      </c>
      <c r="AC58" s="36">
        <v>1.1736395013850429</v>
      </c>
      <c r="AD58" s="36">
        <v>-9.0295844875346032E-2</v>
      </c>
      <c r="AE58" s="36">
        <v>0.97970415512465403</v>
      </c>
      <c r="AF58" s="36">
        <v>1.289704155124654</v>
      </c>
      <c r="AG58" s="8"/>
      <c r="AH58" s="18" cm="1">
        <f t="array" ref="AH58">INDEX(U58:AF58,1,$AH$32)</f>
        <v>-1.8765927977839145E-2</v>
      </c>
      <c r="AM58" s="18"/>
      <c r="AN58" s="18"/>
      <c r="AO58" s="18"/>
      <c r="AP58" s="7">
        <v>9</v>
      </c>
      <c r="AQ58" s="7" t="s">
        <v>305</v>
      </c>
      <c r="AU58" s="8"/>
      <c r="BK58" s="12">
        <v>49</v>
      </c>
      <c r="BL58" s="12">
        <v>0.2</v>
      </c>
      <c r="BN58" s="12">
        <v>49</v>
      </c>
      <c r="BO58" s="12">
        <v>4.2</v>
      </c>
      <c r="BP58" s="7">
        <v>48</v>
      </c>
      <c r="BQ58" s="59">
        <v>49</v>
      </c>
      <c r="BR58" s="64" t="str">
        <f t="shared" si="45"/>
        <v>---------</v>
      </c>
      <c r="BS58" s="106">
        <v>20.3</v>
      </c>
      <c r="BT58" s="12" t="s">
        <v>306</v>
      </c>
      <c r="BU58" s="7" t="str">
        <f t="shared" si="16"/>
        <v>---------</v>
      </c>
      <c r="BV58" s="290">
        <v>2.53000000000001</v>
      </c>
      <c r="BW58" s="59">
        <v>49</v>
      </c>
      <c r="BX58" s="168" t="str">
        <f t="shared" si="17"/>
        <v>---------</v>
      </c>
      <c r="BY58" s="182">
        <v>6.0299999999999999E-2</v>
      </c>
      <c r="BZ58" s="185">
        <v>49</v>
      </c>
      <c r="CA58" s="184">
        <f t="shared" si="18"/>
        <v>6.0299999999999999E-2</v>
      </c>
      <c r="CB58" s="142">
        <f t="shared" si="21"/>
        <v>279.49999999999994</v>
      </c>
      <c r="CC58" s="262" t="str">
        <f t="shared" si="46"/>
        <v>4.3</v>
      </c>
      <c r="CD58" s="12">
        <v>49</v>
      </c>
      <c r="CE58" s="262" t="str">
        <f t="shared" si="47"/>
        <v>4.3</v>
      </c>
      <c r="CG58" s="12">
        <v>49</v>
      </c>
      <c r="CH58" s="12" t="s">
        <v>109</v>
      </c>
      <c r="CI58" s="12"/>
      <c r="CJ58" s="333"/>
      <c r="CK58" s="348">
        <f t="shared" si="41"/>
        <v>149.5</v>
      </c>
      <c r="CL58" s="349">
        <f t="shared" si="25"/>
        <v>2.2999999999999998</v>
      </c>
      <c r="CM58" s="350">
        <f t="shared" ca="1" si="26"/>
        <v>2.3756879680983829</v>
      </c>
      <c r="CN58" s="350">
        <f t="shared" ca="1" si="27"/>
        <v>2.4126230446561756</v>
      </c>
      <c r="CO58" s="350">
        <f t="shared" ca="1" si="28"/>
        <v>2.4311562381662637</v>
      </c>
      <c r="CP58" s="348">
        <f t="shared" si="42"/>
        <v>396.49999999999994</v>
      </c>
      <c r="CQ58" s="349" t="str">
        <f t="shared" si="29"/>
        <v>6.1</v>
      </c>
      <c r="CR58" s="350">
        <f t="shared" ca="1" si="30"/>
        <v>6.2285395354783724</v>
      </c>
      <c r="CS58" s="350">
        <f t="shared" ca="1" si="31"/>
        <v>6.2542767057319395</v>
      </c>
      <c r="CT58" s="351">
        <f t="shared" ca="1" si="32"/>
        <v>6.2670480715959913</v>
      </c>
      <c r="CU58" s="333"/>
      <c r="CV58" s="348">
        <f t="shared" si="43"/>
        <v>149.5</v>
      </c>
      <c r="CW58" s="349">
        <f t="shared" si="33"/>
        <v>2.2999999999999998</v>
      </c>
      <c r="CX58" s="350">
        <f t="shared" ca="1" si="34"/>
        <v>2.4433402715290251</v>
      </c>
      <c r="CY58" s="350">
        <f t="shared" ca="1" si="35"/>
        <v>2.4470242233113142</v>
      </c>
      <c r="CZ58" s="350">
        <f t="shared" ca="1" si="36"/>
        <v>2.443396018386045</v>
      </c>
      <c r="DA58" s="348">
        <f t="shared" si="44"/>
        <v>396.49999999999994</v>
      </c>
      <c r="DB58" s="349" t="str">
        <f t="shared" si="37"/>
        <v>6.1</v>
      </c>
      <c r="DC58" s="350">
        <f t="shared" ca="1" si="38"/>
        <v>3.703616778180268</v>
      </c>
      <c r="DD58" s="350">
        <f t="shared" ca="1" si="39"/>
        <v>4.4262078670360125</v>
      </c>
      <c r="DE58" s="351">
        <f t="shared" ca="1" si="40"/>
        <v>4.8792742254421482</v>
      </c>
      <c r="DF58" s="333"/>
      <c r="DG58" s="333"/>
      <c r="DH58" s="333"/>
      <c r="DI58" s="333"/>
      <c r="DJ58" s="333"/>
      <c r="DK58" s="333"/>
      <c r="DL58" s="1005"/>
      <c r="DM58" s="1005"/>
      <c r="DN58" s="1005"/>
      <c r="DO58" s="336"/>
    </row>
    <row r="59" spans="1:119">
      <c r="A59">
        <v>58</v>
      </c>
      <c r="B59" s="558" t="s">
        <v>86</v>
      </c>
      <c r="U59" s="36">
        <v>2.8492283339928882E-4</v>
      </c>
      <c r="V59" s="36">
        <v>2.1764938662447106E-4</v>
      </c>
      <c r="W59" s="36">
        <v>1.5631183221206617E-4</v>
      </c>
      <c r="X59" s="36">
        <v>1.2227938266719557E-3</v>
      </c>
      <c r="Y59" s="36">
        <v>1.1218836565097525E-3</v>
      </c>
      <c r="Z59" s="36">
        <v>1.1733280569845525E-3</v>
      </c>
      <c r="AA59" s="36">
        <v>4.1353383458645279E-4</v>
      </c>
      <c r="AB59" s="36">
        <v>4.1353383458645279E-4</v>
      </c>
      <c r="AC59" s="36">
        <v>4.1353383458645279E-4</v>
      </c>
      <c r="AD59" s="36">
        <v>1.7708745548080909E-3</v>
      </c>
      <c r="AE59" s="36">
        <v>1.7708745548080909E-3</v>
      </c>
      <c r="AF59" s="36">
        <v>1.7708745548080909E-3</v>
      </c>
      <c r="AG59" s="8"/>
      <c r="AH59" s="18" cm="1">
        <f t="array" ref="AH59">INDEX(U59:AF59,1,$AH$32)</f>
        <v>1.2227938266719557E-3</v>
      </c>
      <c r="AM59" s="18"/>
      <c r="AN59" s="18"/>
      <c r="AO59" s="18"/>
      <c r="AP59" s="7">
        <v>10</v>
      </c>
      <c r="AQ59" s="7" t="s">
        <v>307</v>
      </c>
      <c r="AU59" s="8"/>
      <c r="BK59" s="12">
        <v>50</v>
      </c>
      <c r="BL59" s="12">
        <v>0.1</v>
      </c>
      <c r="BN59" s="12">
        <v>50</v>
      </c>
      <c r="BO59" s="12">
        <v>4.0999999999999996</v>
      </c>
      <c r="BP59" s="7">
        <v>47</v>
      </c>
      <c r="BQ59" s="59">
        <v>50</v>
      </c>
      <c r="BR59" s="64" t="str">
        <f t="shared" si="45"/>
        <v>---------</v>
      </c>
      <c r="BS59" s="106">
        <v>20.2</v>
      </c>
      <c r="BT59" s="12" t="s">
        <v>308</v>
      </c>
      <c r="BU59" s="7" t="str">
        <f t="shared" si="16"/>
        <v>---------</v>
      </c>
      <c r="BV59" s="290">
        <v>2.5200000000000098</v>
      </c>
      <c r="BW59" s="59">
        <v>50</v>
      </c>
      <c r="BX59" s="168" t="str">
        <f t="shared" si="17"/>
        <v>---------</v>
      </c>
      <c r="BY59" s="182">
        <v>6.0199999999999997E-2</v>
      </c>
      <c r="BZ59" s="185">
        <v>50</v>
      </c>
      <c r="CA59" s="184">
        <f t="shared" si="18"/>
        <v>6.0199999999999997E-2</v>
      </c>
      <c r="CB59" s="142">
        <f t="shared" si="21"/>
        <v>273</v>
      </c>
      <c r="CC59" s="262" t="str">
        <f t="shared" si="46"/>
        <v>4.2</v>
      </c>
      <c r="CD59" s="12">
        <v>50</v>
      </c>
      <c r="CE59" s="262" t="str">
        <f t="shared" si="47"/>
        <v>4.2</v>
      </c>
      <c r="CG59" s="12">
        <v>50</v>
      </c>
      <c r="CH59" s="12" t="s">
        <v>113</v>
      </c>
      <c r="CI59" s="12"/>
      <c r="CJ59" s="333"/>
      <c r="CK59" s="348">
        <f t="shared" si="41"/>
        <v>143.00000000000003</v>
      </c>
      <c r="CL59" s="349">
        <f t="shared" si="25"/>
        <v>2.2000000000000002</v>
      </c>
      <c r="CM59" s="350">
        <f t="shared" ca="1" si="26"/>
        <v>2.2741784195306081</v>
      </c>
      <c r="CN59" s="350">
        <f t="shared" ca="1" si="27"/>
        <v>2.3114419530607906</v>
      </c>
      <c r="CO59" s="350">
        <f t="shared" ca="1" si="28"/>
        <v>2.3301613205077452</v>
      </c>
      <c r="CP59" s="348">
        <f t="shared" si="42"/>
        <v>390</v>
      </c>
      <c r="CQ59" s="349" t="str">
        <f t="shared" si="29"/>
        <v>6.0</v>
      </c>
      <c r="CR59" s="350">
        <f t="shared" ca="1" si="30"/>
        <v>6.127261334510365</v>
      </c>
      <c r="CS59" s="350">
        <f t="shared" ca="1" si="31"/>
        <v>6.1532611433441895</v>
      </c>
      <c r="CT59" s="351">
        <f t="shared" ca="1" si="32"/>
        <v>6.1661513609935756</v>
      </c>
      <c r="CU59" s="333"/>
      <c r="CV59" s="348">
        <f t="shared" si="43"/>
        <v>143.00000000000003</v>
      </c>
      <c r="CW59" s="349">
        <f t="shared" si="33"/>
        <v>2.2000000000000002</v>
      </c>
      <c r="CX59" s="350">
        <f t="shared" ca="1" si="34"/>
        <v>2.3940109530912306</v>
      </c>
      <c r="CY59" s="350">
        <f t="shared" ca="1" si="35"/>
        <v>2.3750872576177287</v>
      </c>
      <c r="CZ59" s="350">
        <f t="shared" ca="1" si="36"/>
        <v>2.3605939405193137</v>
      </c>
      <c r="DA59" s="348">
        <f t="shared" si="44"/>
        <v>390</v>
      </c>
      <c r="DB59" s="349" t="str">
        <f t="shared" si="37"/>
        <v>6.0</v>
      </c>
      <c r="DC59" s="350">
        <f t="shared" ca="1" si="38"/>
        <v>3.6857868235365743</v>
      </c>
      <c r="DD59" s="350">
        <f t="shared" ca="1" si="39"/>
        <v>4.3929591604517366</v>
      </c>
      <c r="DE59" s="351">
        <f t="shared" ca="1" si="40"/>
        <v>4.8329132117743754</v>
      </c>
      <c r="DF59" s="333"/>
      <c r="DG59" s="333"/>
      <c r="DH59" s="333"/>
      <c r="DI59" s="333"/>
      <c r="DJ59" s="333"/>
      <c r="DK59" s="333"/>
      <c r="DL59" s="333"/>
      <c r="DM59" s="333"/>
      <c r="DN59" s="333"/>
      <c r="DO59" s="336"/>
    </row>
    <row r="60" spans="1:119">
      <c r="A60">
        <v>59</v>
      </c>
      <c r="B60" s="558" t="s">
        <v>93</v>
      </c>
      <c r="U60" s="36">
        <v>1.0230985358132174</v>
      </c>
      <c r="V60" s="36">
        <v>1.0315748318163827</v>
      </c>
      <c r="W60" s="36">
        <v>1.0212775227542548</v>
      </c>
      <c r="X60" s="36">
        <v>1.0028163039176889</v>
      </c>
      <c r="Y60" s="36">
        <v>1.0053254847645421</v>
      </c>
      <c r="Z60" s="36">
        <v>1.0159507320933916</v>
      </c>
      <c r="AA60" s="36">
        <v>1.0314984962406013</v>
      </c>
      <c r="AB60" s="36">
        <v>1.0314984962406013</v>
      </c>
      <c r="AC60" s="36">
        <v>1.0314984962406013</v>
      </c>
      <c r="AD60" s="36">
        <v>0.99944641867827455</v>
      </c>
      <c r="AE60" s="36">
        <v>0.99944641867827455</v>
      </c>
      <c r="AF60" s="36">
        <v>0.99944641867827455</v>
      </c>
      <c r="AG60" s="8"/>
      <c r="AH60" s="18" cm="1">
        <f t="array" ref="AH60">INDEX(U60:AF60,1,$AH$32)</f>
        <v>1.0028163039176889</v>
      </c>
      <c r="AM60" s="18"/>
      <c r="AN60" s="18"/>
      <c r="AO60" s="18"/>
      <c r="AP60" s="7">
        <v>11</v>
      </c>
      <c r="AQ60" s="7" t="s">
        <v>309</v>
      </c>
      <c r="AU60" s="8"/>
      <c r="AW60" s="7" t="s">
        <v>273</v>
      </c>
      <c r="BK60" s="12">
        <v>51</v>
      </c>
      <c r="BL60" s="12">
        <v>0</v>
      </c>
      <c r="BN60" s="12">
        <v>51</v>
      </c>
      <c r="BO60" s="12">
        <v>4</v>
      </c>
      <c r="BP60" s="7">
        <v>46</v>
      </c>
      <c r="BQ60" s="59">
        <v>51</v>
      </c>
      <c r="BR60" s="64" t="str">
        <f t="shared" si="45"/>
        <v>---------</v>
      </c>
      <c r="BS60" s="106">
        <v>20.100000000000001</v>
      </c>
      <c r="BT60" s="12" t="s">
        <v>310</v>
      </c>
      <c r="BU60" s="7" t="str">
        <f t="shared" si="16"/>
        <v>---------</v>
      </c>
      <c r="BV60" s="290">
        <v>2.51000000000001</v>
      </c>
      <c r="BW60" s="59">
        <v>51</v>
      </c>
      <c r="BX60" s="168" t="str">
        <f t="shared" si="17"/>
        <v>---------</v>
      </c>
      <c r="BY60" s="182">
        <v>6.0100000000000001E-2</v>
      </c>
      <c r="BZ60" s="185">
        <v>51</v>
      </c>
      <c r="CA60" s="184">
        <f t="shared" si="18"/>
        <v>6.0100000000000001E-2</v>
      </c>
      <c r="CB60" s="142">
        <f t="shared" si="21"/>
        <v>266.49999999999994</v>
      </c>
      <c r="CC60" s="262" t="str">
        <f t="shared" si="46"/>
        <v>4.1</v>
      </c>
      <c r="CD60" s="12">
        <v>51</v>
      </c>
      <c r="CE60" s="262" t="str">
        <f t="shared" si="47"/>
        <v>4.1</v>
      </c>
      <c r="CG60" s="12">
        <v>51</v>
      </c>
      <c r="CH60" s="12" t="s">
        <v>118</v>
      </c>
      <c r="CI60" s="12"/>
      <c r="CJ60" s="333"/>
      <c r="CK60" s="348">
        <f t="shared" si="41"/>
        <v>136.5</v>
      </c>
      <c r="CL60" s="349">
        <f t="shared" si="25"/>
        <v>2.1</v>
      </c>
      <c r="CM60" s="350">
        <f t="shared" ca="1" si="26"/>
        <v>2.1726627828681013</v>
      </c>
      <c r="CN60" s="350">
        <f t="shared" ca="1" si="27"/>
        <v>2.2102565054336258</v>
      </c>
      <c r="CO60" s="350">
        <f t="shared" ca="1" si="28"/>
        <v>2.2291638184530131</v>
      </c>
      <c r="CP60" s="348">
        <f t="shared" si="42"/>
        <v>383.50000000000006</v>
      </c>
      <c r="CQ60" s="349" t="str">
        <f t="shared" si="29"/>
        <v>5.9</v>
      </c>
      <c r="CR60" s="350">
        <f t="shared" ca="1" si="30"/>
        <v>6.025977045447628</v>
      </c>
      <c r="CS60" s="350">
        <f t="shared" ca="1" si="31"/>
        <v>6.0522412249246589</v>
      </c>
      <c r="CT60" s="351">
        <f t="shared" ca="1" si="32"/>
        <v>6.0652520659949456</v>
      </c>
      <c r="CU60" s="333"/>
      <c r="CV60" s="348">
        <f t="shared" si="43"/>
        <v>136.5</v>
      </c>
      <c r="CW60" s="349">
        <f t="shared" si="33"/>
        <v>2.1</v>
      </c>
      <c r="CX60" s="350">
        <f t="shared" ca="1" si="34"/>
        <v>2.3438527040272752</v>
      </c>
      <c r="CY60" s="350">
        <f t="shared" ca="1" si="35"/>
        <v>2.3021321798423182</v>
      </c>
      <c r="CZ60" s="350">
        <f t="shared" ca="1" si="36"/>
        <v>2.2768328872789252</v>
      </c>
      <c r="DA60" s="348">
        <f t="shared" si="44"/>
        <v>383.50000000000006</v>
      </c>
      <c r="DB60" s="349" t="str">
        <f t="shared" si="37"/>
        <v>5.9</v>
      </c>
      <c r="DC60" s="350">
        <f t="shared" ca="1" si="38"/>
        <v>3.6671279382667192</v>
      </c>
      <c r="DD60" s="350">
        <f t="shared" ca="1" si="39"/>
        <v>4.3586923417856394</v>
      </c>
      <c r="DE60" s="351">
        <f t="shared" ca="1" si="40"/>
        <v>4.7855932227329454</v>
      </c>
      <c r="DF60" s="333"/>
      <c r="DG60" s="333"/>
      <c r="DH60" s="333"/>
      <c r="DI60" s="333"/>
      <c r="DJ60" s="333"/>
      <c r="DK60" s="333"/>
      <c r="DL60" s="1005" t="e" vm="5">
        <f>P_RP_SIL</f>
        <v>#VALUE!</v>
      </c>
      <c r="DM60" s="1005"/>
      <c r="DN60" s="1005"/>
      <c r="DO60" s="336"/>
    </row>
    <row r="61" spans="1:119">
      <c r="A61">
        <v>60</v>
      </c>
      <c r="B61" s="558" t="s">
        <v>99</v>
      </c>
      <c r="U61" s="36">
        <v>9.9950138503975688E-4</v>
      </c>
      <c r="V61" s="36">
        <v>1.0968181717451535</v>
      </c>
      <c r="W61" s="36">
        <v>0.89792216066481723</v>
      </c>
      <c r="X61" s="36">
        <v>2.9006149584487807E-2</v>
      </c>
      <c r="Y61" s="36">
        <v>1.1469567867036035</v>
      </c>
      <c r="Z61" s="36">
        <v>1.3986513019390572</v>
      </c>
      <c r="AA61" s="36">
        <v>-8.1592631578945904E-2</v>
      </c>
      <c r="AB61" s="36">
        <v>0.98840736842105414</v>
      </c>
      <c r="AC61" s="36">
        <v>1.298407368421054</v>
      </c>
      <c r="AD61" s="36">
        <v>-1.8765927977839145E-2</v>
      </c>
      <c r="AE61" s="36">
        <v>1.0512340720221609</v>
      </c>
      <c r="AF61" s="36">
        <v>1.3612340720221607</v>
      </c>
      <c r="AG61" s="8"/>
      <c r="AH61" s="18" cm="1">
        <f t="array" ref="AH61">INDEX(U61:AF61,1,$AH$32)</f>
        <v>2.9006149584487807E-2</v>
      </c>
      <c r="AM61" s="18"/>
      <c r="AN61" s="18"/>
      <c r="AO61" s="18"/>
      <c r="AP61" s="7">
        <v>12</v>
      </c>
      <c r="AQ61" s="7" t="s">
        <v>311</v>
      </c>
      <c r="AU61" s="8"/>
      <c r="AW61" s="7" t="s">
        <v>289</v>
      </c>
      <c r="BN61" s="12">
        <v>52</v>
      </c>
      <c r="BO61" s="12">
        <v>3.9</v>
      </c>
      <c r="BP61" s="7">
        <v>45</v>
      </c>
      <c r="BQ61" s="59">
        <v>52</v>
      </c>
      <c r="BR61" s="64" t="str">
        <f t="shared" si="45"/>
        <v>---------</v>
      </c>
      <c r="BS61" s="106">
        <v>20</v>
      </c>
      <c r="BT61" s="12" t="s">
        <v>312</v>
      </c>
      <c r="BU61" s="7" t="str">
        <f t="shared" si="16"/>
        <v>---------</v>
      </c>
      <c r="BV61" s="290">
        <v>2.5000000000000102</v>
      </c>
      <c r="BW61" s="59">
        <v>52</v>
      </c>
      <c r="BX61" s="168" t="str">
        <f t="shared" si="17"/>
        <v>---------</v>
      </c>
      <c r="BY61" s="182">
        <v>0.06</v>
      </c>
      <c r="BZ61" s="185">
        <v>52</v>
      </c>
      <c r="CA61" s="184">
        <f t="shared" si="18"/>
        <v>0.06</v>
      </c>
      <c r="CB61" s="142">
        <f t="shared" si="21"/>
        <v>260</v>
      </c>
      <c r="CC61" s="262" t="str">
        <f t="shared" si="46"/>
        <v>4.0</v>
      </c>
      <c r="CD61" s="12">
        <v>52</v>
      </c>
      <c r="CE61" s="262" t="str">
        <f t="shared" si="47"/>
        <v>4.0</v>
      </c>
      <c r="CG61" s="12">
        <v>52</v>
      </c>
      <c r="CH61" s="12">
        <v>3.9</v>
      </c>
      <c r="CI61" s="12"/>
      <c r="CJ61" s="333"/>
      <c r="CK61" s="348">
        <f t="shared" si="41"/>
        <v>130</v>
      </c>
      <c r="CL61" s="349">
        <f t="shared" si="25"/>
        <v>2</v>
      </c>
      <c r="CM61" s="350">
        <f t="shared" ca="1" si="26"/>
        <v>2.071141058110864</v>
      </c>
      <c r="CN61" s="350">
        <f t="shared" ca="1" si="27"/>
        <v>2.1090667017746809</v>
      </c>
      <c r="CO61" s="350">
        <f t="shared" ca="1" si="28"/>
        <v>2.1281637320020681</v>
      </c>
      <c r="CP61" s="348">
        <f t="shared" si="42"/>
        <v>377</v>
      </c>
      <c r="CQ61" s="349" t="str">
        <f t="shared" si="29"/>
        <v>5.8</v>
      </c>
      <c r="CR61" s="350">
        <f t="shared" ca="1" si="30"/>
        <v>5.9246866682901596</v>
      </c>
      <c r="CS61" s="350">
        <f t="shared" ca="1" si="31"/>
        <v>5.9512169504733476</v>
      </c>
      <c r="CT61" s="351">
        <f t="shared" ca="1" si="32"/>
        <v>5.9643501866001012</v>
      </c>
      <c r="CU61" s="333"/>
      <c r="CV61" s="348">
        <f t="shared" si="43"/>
        <v>130</v>
      </c>
      <c r="CW61" s="349">
        <f t="shared" si="33"/>
        <v>2</v>
      </c>
      <c r="CX61" s="350">
        <f t="shared" ca="1" si="34"/>
        <v>2.292865524337159</v>
      </c>
      <c r="CY61" s="350">
        <f t="shared" ca="1" si="35"/>
        <v>2.2281589899850842</v>
      </c>
      <c r="CZ61" s="350">
        <f t="shared" ca="1" si="36"/>
        <v>2.1921128586648799</v>
      </c>
      <c r="DA61" s="348">
        <f t="shared" si="44"/>
        <v>377</v>
      </c>
      <c r="DB61" s="349" t="str">
        <f t="shared" si="37"/>
        <v>5.8</v>
      </c>
      <c r="DC61" s="350">
        <f t="shared" ca="1" si="38"/>
        <v>3.6476401223707042</v>
      </c>
      <c r="DD61" s="350">
        <f t="shared" ca="1" si="39"/>
        <v>4.3234074110377154</v>
      </c>
      <c r="DE61" s="351">
        <f t="shared" ca="1" si="40"/>
        <v>4.7373142583178591</v>
      </c>
      <c r="DF61" s="333"/>
      <c r="DG61" s="333"/>
      <c r="DH61" s="333"/>
      <c r="DI61" s="333"/>
      <c r="DJ61" s="333"/>
      <c r="DK61" s="333"/>
      <c r="DL61" s="1005"/>
      <c r="DM61" s="1005"/>
      <c r="DN61" s="1005"/>
      <c r="DO61" s="336"/>
    </row>
    <row r="62" spans="1:119">
      <c r="A62">
        <v>61</v>
      </c>
      <c r="B62" s="558" t="s">
        <v>106</v>
      </c>
      <c r="U62" s="36">
        <v>1.9786307874951917E-4</v>
      </c>
      <c r="V62" s="36">
        <v>1.8401266323705046E-4</v>
      </c>
      <c r="W62" s="36">
        <v>1.5829046299958014E-4</v>
      </c>
      <c r="X62" s="36">
        <v>9.1412742382273389E-4</v>
      </c>
      <c r="Y62" s="36">
        <v>8.40918084685433E-4</v>
      </c>
      <c r="Z62" s="36">
        <v>9.0027700831031218E-4</v>
      </c>
      <c r="AA62" s="36">
        <v>2.8492283339928882E-4</v>
      </c>
      <c r="AB62" s="36">
        <v>2.8492283339928882E-4</v>
      </c>
      <c r="AC62" s="36">
        <v>2.8492283339928882E-4</v>
      </c>
      <c r="AD62" s="36">
        <v>1.2227938266719557E-3</v>
      </c>
      <c r="AE62" s="36">
        <v>1.2227938266719557E-3</v>
      </c>
      <c r="AF62" s="36">
        <v>1.2227938266719557E-3</v>
      </c>
      <c r="AG62" s="8"/>
      <c r="AH62" s="18" cm="1">
        <f t="array" ref="AH62">INDEX(U62:AF62,1,$AH$32)</f>
        <v>9.1412742382273389E-4</v>
      </c>
      <c r="AP62" s="7">
        <v>13</v>
      </c>
      <c r="AQ62" s="7" t="s">
        <v>313</v>
      </c>
      <c r="AU62" s="8"/>
      <c r="AW62" s="7" t="s">
        <v>284</v>
      </c>
      <c r="BN62" s="12">
        <v>53</v>
      </c>
      <c r="BO62" s="12">
        <v>3.8</v>
      </c>
      <c r="BP62" s="7">
        <v>44</v>
      </c>
      <c r="BQ62" s="59">
        <v>53</v>
      </c>
      <c r="BR62" s="64" t="str">
        <f t="shared" si="45"/>
        <v>---------</v>
      </c>
      <c r="BS62" s="106">
        <v>19.899999999999999</v>
      </c>
      <c r="BT62" s="12" t="s">
        <v>314</v>
      </c>
      <c r="BU62" s="7" t="str">
        <f t="shared" si="16"/>
        <v>---------</v>
      </c>
      <c r="BV62" s="290">
        <v>2.49000000000001</v>
      </c>
      <c r="BW62" s="59">
        <v>53</v>
      </c>
      <c r="BX62" s="168" t="str">
        <f t="shared" si="17"/>
        <v>---------</v>
      </c>
      <c r="BY62" s="182">
        <v>5.9900000000000002E-2</v>
      </c>
      <c r="BZ62" s="185">
        <v>53</v>
      </c>
      <c r="CA62" s="184">
        <f t="shared" si="18"/>
        <v>5.9900000000000002E-2</v>
      </c>
      <c r="CB62" s="142">
        <f t="shared" si="21"/>
        <v>253.5</v>
      </c>
      <c r="CC62" s="262">
        <f t="shared" si="46"/>
        <v>3.9</v>
      </c>
      <c r="CD62" s="12">
        <v>53</v>
      </c>
      <c r="CE62" s="262">
        <f t="shared" si="47"/>
        <v>3.9</v>
      </c>
      <c r="CG62" s="12">
        <v>53</v>
      </c>
      <c r="CH62" s="12">
        <v>3.8</v>
      </c>
      <c r="CI62" s="12"/>
      <c r="CJ62" s="333"/>
      <c r="CK62" s="348">
        <f t="shared" si="41"/>
        <v>123.5</v>
      </c>
      <c r="CL62" s="349">
        <f t="shared" si="25"/>
        <v>1.9</v>
      </c>
      <c r="CM62" s="350">
        <f t="shared" ca="1" si="26"/>
        <v>1.9696132452588961</v>
      </c>
      <c r="CN62" s="350">
        <f t="shared" ca="1" si="27"/>
        <v>2.0078725420839558</v>
      </c>
      <c r="CO62" s="350">
        <f t="shared" ca="1" si="28"/>
        <v>2.0271610611549096</v>
      </c>
      <c r="CP62" s="348">
        <f t="shared" si="42"/>
        <v>370.50000000000006</v>
      </c>
      <c r="CQ62" s="349" t="str">
        <f t="shared" si="29"/>
        <v>5.7</v>
      </c>
      <c r="CR62" s="350">
        <f t="shared" ca="1" si="30"/>
        <v>5.8233902030379614</v>
      </c>
      <c r="CS62" s="350">
        <f t="shared" ca="1" si="31"/>
        <v>5.8501883199902585</v>
      </c>
      <c r="CT62" s="351">
        <f t="shared" ca="1" si="32"/>
        <v>5.8634457228090451</v>
      </c>
      <c r="CU62" s="333"/>
      <c r="CV62" s="348">
        <f t="shared" si="43"/>
        <v>123.5</v>
      </c>
      <c r="CW62" s="349">
        <f t="shared" si="33"/>
        <v>1.9</v>
      </c>
      <c r="CX62" s="350">
        <f t="shared" ca="1" si="34"/>
        <v>2.2410494140208823</v>
      </c>
      <c r="CY62" s="350">
        <f t="shared" ca="1" si="35"/>
        <v>2.1531676880460253</v>
      </c>
      <c r="CZ62" s="350">
        <f t="shared" ca="1" si="36"/>
        <v>2.1064338546771779</v>
      </c>
      <c r="DA62" s="348">
        <f t="shared" si="44"/>
        <v>370.50000000000006</v>
      </c>
      <c r="DB62" s="349" t="str">
        <f t="shared" si="37"/>
        <v>5.7</v>
      </c>
      <c r="DC62" s="350">
        <f t="shared" ca="1" si="38"/>
        <v>3.6273233758485279</v>
      </c>
      <c r="DD62" s="350">
        <f t="shared" ca="1" si="39"/>
        <v>4.2871043682079701</v>
      </c>
      <c r="DE62" s="351">
        <f t="shared" ca="1" si="40"/>
        <v>4.6880763185291157</v>
      </c>
      <c r="DF62" s="333"/>
      <c r="DG62" s="333"/>
      <c r="DH62" s="333"/>
      <c r="DI62" s="333"/>
      <c r="DJ62" s="333"/>
      <c r="DK62" s="333"/>
      <c r="DL62" s="1005"/>
      <c r="DM62" s="1005"/>
      <c r="DN62" s="1005"/>
      <c r="DO62" s="336"/>
    </row>
    <row r="63" spans="1:119">
      <c r="A63">
        <v>62</v>
      </c>
      <c r="B63" s="558" t="s">
        <v>110</v>
      </c>
      <c r="U63" s="36">
        <v>1.0192201820340325</v>
      </c>
      <c r="V63" s="36">
        <v>1.031334032449545</v>
      </c>
      <c r="W63" s="36">
        <v>1.020679303521963</v>
      </c>
      <c r="X63" s="36">
        <v>1.0048016620498612</v>
      </c>
      <c r="Y63" s="36">
        <v>1.0088620894341112</v>
      </c>
      <c r="Z63" s="36">
        <v>1.0193681440443207</v>
      </c>
      <c r="AA63" s="36">
        <v>1.0230985358132174</v>
      </c>
      <c r="AB63" s="36">
        <v>1.0230985358132174</v>
      </c>
      <c r="AC63" s="36">
        <v>1.0230985358132174</v>
      </c>
      <c r="AD63" s="36">
        <v>1.0028163039176889</v>
      </c>
      <c r="AE63" s="36">
        <v>1.0028163039176889</v>
      </c>
      <c r="AF63" s="36">
        <v>1.0028163039176889</v>
      </c>
      <c r="AG63" s="8"/>
      <c r="AH63" s="18" cm="1">
        <f t="array" ref="AH63">INDEX(U63:AF63,1,$AH$32)</f>
        <v>1.0048016620498612</v>
      </c>
      <c r="AP63" s="7">
        <v>14</v>
      </c>
      <c r="AQ63" s="7" t="s">
        <v>315</v>
      </c>
      <c r="AU63" s="8"/>
      <c r="AW63" s="7" t="s">
        <v>279</v>
      </c>
      <c r="BN63" s="12">
        <v>54</v>
      </c>
      <c r="BO63" s="12">
        <v>3.7</v>
      </c>
      <c r="BP63" s="7">
        <v>43</v>
      </c>
      <c r="BQ63" s="59">
        <v>54</v>
      </c>
      <c r="BR63" s="64" t="str">
        <f t="shared" si="45"/>
        <v>---------</v>
      </c>
      <c r="BS63" s="106">
        <v>19.8</v>
      </c>
      <c r="BT63" s="12" t="s">
        <v>316</v>
      </c>
      <c r="BU63" s="7" t="str">
        <f t="shared" si="16"/>
        <v>---------</v>
      </c>
      <c r="BV63" s="290">
        <v>2.4800000000000102</v>
      </c>
      <c r="BW63" s="59">
        <v>54</v>
      </c>
      <c r="BX63" s="168" t="str">
        <f t="shared" si="17"/>
        <v>---------</v>
      </c>
      <c r="BY63" s="182">
        <v>5.9799999999999999E-2</v>
      </c>
      <c r="BZ63" s="185">
        <v>54</v>
      </c>
      <c r="CA63" s="184">
        <f t="shared" si="18"/>
        <v>5.9799999999999999E-2</v>
      </c>
      <c r="CB63" s="142">
        <f t="shared" si="21"/>
        <v>247</v>
      </c>
      <c r="CC63" s="262">
        <f t="shared" si="46"/>
        <v>3.8</v>
      </c>
      <c r="CD63" s="12">
        <v>54</v>
      </c>
      <c r="CE63" s="262">
        <f t="shared" si="47"/>
        <v>3.8</v>
      </c>
      <c r="CG63" s="12">
        <v>54</v>
      </c>
      <c r="CH63" s="12">
        <v>3.7</v>
      </c>
      <c r="CI63" s="12"/>
      <c r="CJ63" s="333"/>
      <c r="CK63" s="348">
        <f t="shared" si="41"/>
        <v>117</v>
      </c>
      <c r="CL63" s="349">
        <f t="shared" si="25"/>
        <v>1.8</v>
      </c>
      <c r="CM63" s="350">
        <f t="shared" ca="1" si="26"/>
        <v>1.8680793443121975</v>
      </c>
      <c r="CN63" s="350">
        <f t="shared" ca="1" si="27"/>
        <v>1.9066740263614514</v>
      </c>
      <c r="CO63" s="350">
        <f t="shared" ca="1" si="28"/>
        <v>1.9261558059115385</v>
      </c>
      <c r="CP63" s="348">
        <f t="shared" si="42"/>
        <v>364</v>
      </c>
      <c r="CQ63" s="349" t="str">
        <f t="shared" si="29"/>
        <v>5.6</v>
      </c>
      <c r="CR63" s="350">
        <f t="shared" ca="1" si="30"/>
        <v>5.7220876496910291</v>
      </c>
      <c r="CS63" s="350">
        <f t="shared" ca="1" si="31"/>
        <v>5.7491553334753878</v>
      </c>
      <c r="CT63" s="351">
        <f t="shared" ca="1" si="32"/>
        <v>5.7625386746217755</v>
      </c>
      <c r="CU63" s="333"/>
      <c r="CV63" s="348">
        <f t="shared" si="43"/>
        <v>117</v>
      </c>
      <c r="CW63" s="349">
        <f t="shared" si="33"/>
        <v>1.8</v>
      </c>
      <c r="CX63" s="350">
        <f t="shared" ca="1" si="34"/>
        <v>2.1884043730784457</v>
      </c>
      <c r="CY63" s="350">
        <f t="shared" ca="1" si="35"/>
        <v>2.0771582740251437</v>
      </c>
      <c r="CZ63" s="350">
        <f t="shared" ca="1" si="36"/>
        <v>2.0197958753158187</v>
      </c>
      <c r="DA63" s="348">
        <f t="shared" si="44"/>
        <v>364</v>
      </c>
      <c r="DB63" s="349" t="str">
        <f t="shared" si="37"/>
        <v>5.6</v>
      </c>
      <c r="DC63" s="350">
        <f t="shared" ca="1" si="38"/>
        <v>3.6061776987001921</v>
      </c>
      <c r="DD63" s="350">
        <f t="shared" ca="1" si="39"/>
        <v>4.2497832132963991</v>
      </c>
      <c r="DE63" s="351">
        <f t="shared" ca="1" si="40"/>
        <v>4.637879403366715</v>
      </c>
      <c r="DF63" s="333"/>
      <c r="DG63" s="333"/>
      <c r="DH63" s="333"/>
      <c r="DI63" s="333"/>
      <c r="DJ63" s="333"/>
      <c r="DK63" s="333"/>
      <c r="DL63" s="1005"/>
      <c r="DM63" s="1005"/>
      <c r="DN63" s="1005"/>
      <c r="DO63" s="336"/>
    </row>
    <row r="64" spans="1:119">
      <c r="A64">
        <v>63</v>
      </c>
      <c r="B64" s="558" t="s">
        <v>317</v>
      </c>
      <c r="U64" s="36">
        <v>4.1420443213294578E-2</v>
      </c>
      <c r="V64" s="36">
        <v>1.1355869806094165</v>
      </c>
      <c r="W64" s="36">
        <v>0.93760077562326805</v>
      </c>
      <c r="X64" s="36">
        <v>5.2530637119113238E-2</v>
      </c>
      <c r="Y64" s="36">
        <v>1.1701587257617743</v>
      </c>
      <c r="Z64" s="36">
        <v>1.422170858725762</v>
      </c>
      <c r="AA64" s="36">
        <v>9.9950138503975688E-4</v>
      </c>
      <c r="AB64" s="36">
        <v>1.0709995013850397</v>
      </c>
      <c r="AC64" s="36">
        <v>1.3809995013850396</v>
      </c>
      <c r="AD64" s="36">
        <v>2.9006149584487807E-2</v>
      </c>
      <c r="AE64" s="36">
        <v>1.0990061495844878</v>
      </c>
      <c r="AF64" s="36">
        <v>1.4090061495844877</v>
      </c>
      <c r="AG64" s="8"/>
      <c r="AH64" s="18" cm="1">
        <f t="array" ref="AH64">INDEX(U64:AF64,1,$AH$32)</f>
        <v>5.2530637119113238E-2</v>
      </c>
      <c r="AP64" s="7">
        <v>15</v>
      </c>
      <c r="AQ64" s="7" t="s">
        <v>318</v>
      </c>
      <c r="AU64" s="8"/>
      <c r="AW64" s="7" t="s">
        <v>288</v>
      </c>
      <c r="BN64" s="12">
        <v>55</v>
      </c>
      <c r="BO64" s="12">
        <v>3.6</v>
      </c>
      <c r="BP64" s="7">
        <v>42</v>
      </c>
      <c r="BQ64" s="59">
        <v>55</v>
      </c>
      <c r="BR64" s="64" t="str">
        <f t="shared" si="45"/>
        <v>---------</v>
      </c>
      <c r="BS64" s="106">
        <v>19.7</v>
      </c>
      <c r="BT64" s="12" t="s">
        <v>319</v>
      </c>
      <c r="BU64" s="7" t="str">
        <f t="shared" si="16"/>
        <v>---------</v>
      </c>
      <c r="BV64" s="290">
        <v>2.47000000000001</v>
      </c>
      <c r="BW64" s="59">
        <v>55</v>
      </c>
      <c r="BX64" s="168" t="str">
        <f t="shared" si="17"/>
        <v>---------</v>
      </c>
      <c r="BY64" s="182">
        <v>5.9700000000000003E-2</v>
      </c>
      <c r="BZ64" s="185">
        <v>55</v>
      </c>
      <c r="CA64" s="184">
        <f t="shared" si="18"/>
        <v>5.9700000000000003E-2</v>
      </c>
      <c r="CB64" s="142">
        <f t="shared" si="21"/>
        <v>240.50000000000003</v>
      </c>
      <c r="CC64" s="262">
        <f t="shared" si="46"/>
        <v>3.7</v>
      </c>
      <c r="CD64" s="12">
        <v>55</v>
      </c>
      <c r="CE64" s="262">
        <f t="shared" si="47"/>
        <v>3.7</v>
      </c>
      <c r="CG64" s="12">
        <v>55</v>
      </c>
      <c r="CH64" s="12">
        <v>3.6</v>
      </c>
      <c r="CI64" s="12"/>
      <c r="CJ64" s="333"/>
      <c r="CK64" s="348">
        <f t="shared" si="41"/>
        <v>110.5</v>
      </c>
      <c r="CL64" s="349">
        <f t="shared" si="25"/>
        <v>1.7</v>
      </c>
      <c r="CM64" s="350">
        <f t="shared" ca="1" si="26"/>
        <v>1.7665393552707678</v>
      </c>
      <c r="CN64" s="350">
        <f t="shared" ca="1" si="27"/>
        <v>1.8054711546071665</v>
      </c>
      <c r="CO64" s="350">
        <f t="shared" ca="1" si="28"/>
        <v>1.8251479662719536</v>
      </c>
      <c r="CP64" s="348">
        <f t="shared" si="42"/>
        <v>357.50000000000006</v>
      </c>
      <c r="CQ64" s="349" t="str">
        <f t="shared" si="29"/>
        <v>5.5</v>
      </c>
      <c r="CR64" s="350">
        <f t="shared" ca="1" si="30"/>
        <v>5.6207790082493689</v>
      </c>
      <c r="CS64" s="350">
        <f t="shared" ca="1" si="31"/>
        <v>5.6481179909287382</v>
      </c>
      <c r="CT64" s="351">
        <f t="shared" ca="1" si="32"/>
        <v>5.6616290420382924</v>
      </c>
      <c r="CU64" s="333"/>
      <c r="CV64" s="348">
        <f t="shared" si="43"/>
        <v>110.5</v>
      </c>
      <c r="CW64" s="349">
        <f t="shared" si="33"/>
        <v>1.7</v>
      </c>
      <c r="CX64" s="350">
        <f t="shared" ca="1" si="34"/>
        <v>2.1349304015098478</v>
      </c>
      <c r="CY64" s="350">
        <f t="shared" ca="1" si="35"/>
        <v>2.0001307479224377</v>
      </c>
      <c r="CZ64" s="350">
        <f t="shared" ca="1" si="36"/>
        <v>1.9321989205808032</v>
      </c>
      <c r="DA64" s="348">
        <f t="shared" si="44"/>
        <v>357.50000000000006</v>
      </c>
      <c r="DB64" s="349" t="str">
        <f t="shared" si="37"/>
        <v>5.5</v>
      </c>
      <c r="DC64" s="350">
        <f t="shared" ca="1" si="38"/>
        <v>3.5842030909256946</v>
      </c>
      <c r="DD64" s="350">
        <f t="shared" ca="1" si="39"/>
        <v>4.2114439463030049</v>
      </c>
      <c r="DE64" s="351">
        <f t="shared" ca="1" si="40"/>
        <v>4.5867235128306589</v>
      </c>
      <c r="DF64" s="333"/>
      <c r="DG64" s="333"/>
      <c r="DH64" s="333"/>
      <c r="DI64" s="333"/>
      <c r="DJ64" s="333"/>
      <c r="DK64" s="333"/>
      <c r="DL64" s="1005"/>
      <c r="DM64" s="1005"/>
      <c r="DN64" s="1005"/>
      <c r="DO64" s="336"/>
    </row>
    <row r="65" spans="1:119">
      <c r="A65">
        <v>64</v>
      </c>
      <c r="B65" s="558" t="s">
        <v>320</v>
      </c>
      <c r="T65" s="7" t="s">
        <v>226</v>
      </c>
      <c r="U65" s="149">
        <v>2.7700831024925644E-5</v>
      </c>
      <c r="V65" s="149">
        <v>-3.3636723387397145E-5</v>
      </c>
      <c r="W65" s="149">
        <v>-6.3316185199883669E-5</v>
      </c>
      <c r="X65" s="149">
        <v>-2.7700831024960833E-5</v>
      </c>
      <c r="Y65" s="149">
        <v>-9.299564701226462E-5</v>
      </c>
      <c r="Z65" s="149">
        <v>-7.3209339137300975E-5</v>
      </c>
      <c r="AA65" s="149">
        <v>2.3743569450085406E-5</v>
      </c>
      <c r="AB65" s="149">
        <v>2.3743569450085406E-5</v>
      </c>
      <c r="AC65" s="149">
        <v>2.3743569450085406E-5</v>
      </c>
      <c r="AD65" s="149">
        <v>-1.1080332409969084E-4</v>
      </c>
      <c r="AE65" s="149">
        <v>-1.1080332409969084E-4</v>
      </c>
      <c r="AF65" s="149">
        <v>-1.1080332409969084E-4</v>
      </c>
      <c r="AG65" s="8"/>
      <c r="AH65" s="150" cm="1">
        <f t="array" ref="AH65">INDEX(U65:AF65,1,$AH$32)</f>
        <v>-2.7700831024960833E-5</v>
      </c>
      <c r="AU65" s="8"/>
      <c r="AW65" s="7" t="s">
        <v>278</v>
      </c>
      <c r="BN65" s="12">
        <v>56</v>
      </c>
      <c r="BO65" s="12">
        <v>3.5</v>
      </c>
      <c r="BP65" s="7">
        <v>41</v>
      </c>
      <c r="BQ65" s="59">
        <v>56</v>
      </c>
      <c r="BR65" s="64" t="str">
        <f t="shared" si="45"/>
        <v>---------</v>
      </c>
      <c r="BS65" s="106">
        <v>19.600000000000001</v>
      </c>
      <c r="BT65" s="12" t="s">
        <v>321</v>
      </c>
      <c r="BU65" s="7" t="str">
        <f t="shared" si="16"/>
        <v>---------</v>
      </c>
      <c r="BV65" s="290">
        <v>2.4600000000000102</v>
      </c>
      <c r="BW65" s="59">
        <v>56</v>
      </c>
      <c r="BX65" s="168" t="str">
        <f t="shared" si="17"/>
        <v>---------</v>
      </c>
      <c r="BY65" s="182">
        <v>5.96E-2</v>
      </c>
      <c r="BZ65" s="185">
        <v>56</v>
      </c>
      <c r="CA65" s="184">
        <f t="shared" si="18"/>
        <v>5.96E-2</v>
      </c>
      <c r="CB65" s="142">
        <f t="shared" si="21"/>
        <v>234</v>
      </c>
      <c r="CC65" s="262">
        <f t="shared" si="46"/>
        <v>3.6</v>
      </c>
      <c r="CD65" s="12">
        <v>56</v>
      </c>
      <c r="CE65" s="262">
        <f t="shared" si="47"/>
        <v>3.6</v>
      </c>
      <c r="CG65" s="12">
        <v>56</v>
      </c>
      <c r="CH65" s="12">
        <v>3.5</v>
      </c>
      <c r="CI65" s="12"/>
      <c r="CJ65" s="333"/>
      <c r="CK65" s="348">
        <f t="shared" si="41"/>
        <v>104.00000000000001</v>
      </c>
      <c r="CL65" s="349">
        <f t="shared" si="25"/>
        <v>1.6</v>
      </c>
      <c r="CM65" s="350">
        <f t="shared" ca="1" si="26"/>
        <v>1.6649932781346077</v>
      </c>
      <c r="CN65" s="350">
        <f t="shared" ca="1" si="27"/>
        <v>1.7042639268211024</v>
      </c>
      <c r="CO65" s="350">
        <f t="shared" ca="1" si="28"/>
        <v>1.7241375422361556</v>
      </c>
      <c r="CP65" s="348">
        <f t="shared" si="42"/>
        <v>351.00000000000006</v>
      </c>
      <c r="CQ65" s="349" t="str">
        <f t="shared" si="29"/>
        <v>5.4</v>
      </c>
      <c r="CR65" s="350">
        <f t="shared" ca="1" si="30"/>
        <v>5.5194642787129773</v>
      </c>
      <c r="CS65" s="350">
        <f t="shared" ca="1" si="31"/>
        <v>5.5470762923503081</v>
      </c>
      <c r="CT65" s="351">
        <f t="shared" ca="1" si="32"/>
        <v>5.5607168250585968</v>
      </c>
      <c r="CU65" s="333"/>
      <c r="CV65" s="348">
        <f t="shared" si="43"/>
        <v>104.00000000000001</v>
      </c>
      <c r="CW65" s="349">
        <f t="shared" si="33"/>
        <v>1.6</v>
      </c>
      <c r="CX65" s="350">
        <f t="shared" ca="1" si="34"/>
        <v>2.0806274993150895</v>
      </c>
      <c r="CY65" s="350">
        <f t="shared" ca="1" si="35"/>
        <v>1.9220851097379077</v>
      </c>
      <c r="CZ65" s="350">
        <f t="shared" ca="1" si="36"/>
        <v>1.8436429904721305</v>
      </c>
      <c r="DA65" s="348">
        <f t="shared" si="44"/>
        <v>351.00000000000006</v>
      </c>
      <c r="DB65" s="349" t="str">
        <f t="shared" si="37"/>
        <v>5.4</v>
      </c>
      <c r="DC65" s="350">
        <f t="shared" ca="1" si="38"/>
        <v>3.561399552525037</v>
      </c>
      <c r="DD65" s="350">
        <f t="shared" ca="1" si="39"/>
        <v>4.1720865672277867</v>
      </c>
      <c r="DE65" s="351">
        <f t="shared" ca="1" si="40"/>
        <v>4.5346086469209466</v>
      </c>
      <c r="DF65" s="333"/>
      <c r="DG65" s="333"/>
      <c r="DH65" s="333"/>
      <c r="DI65" s="333"/>
      <c r="DJ65" s="333"/>
      <c r="DK65" s="333"/>
      <c r="DL65" s="1005"/>
      <c r="DM65" s="1005"/>
      <c r="DN65" s="1005"/>
      <c r="DO65" s="336"/>
    </row>
    <row r="66" spans="1:119">
      <c r="A66">
        <v>65</v>
      </c>
      <c r="B66" s="558" t="s">
        <v>15</v>
      </c>
      <c r="U66" s="149">
        <v>1.023456509695291</v>
      </c>
      <c r="V66" s="149">
        <v>1.0342855164226352</v>
      </c>
      <c r="W66" s="149">
        <v>1.0146798575385836</v>
      </c>
      <c r="X66" s="149">
        <v>1.0141961218836568</v>
      </c>
      <c r="Y66" s="149">
        <v>1.0251899881282154</v>
      </c>
      <c r="Z66" s="149">
        <v>1.0382814800158289</v>
      </c>
      <c r="AA66" s="149">
        <v>1.0332213692125034</v>
      </c>
      <c r="AB66" s="149">
        <v>1.0332213692125034</v>
      </c>
      <c r="AC66" s="149">
        <v>1.0332213692125034</v>
      </c>
      <c r="AD66" s="149">
        <v>1.0186897506925203</v>
      </c>
      <c r="AE66" s="149">
        <v>1.0186897506925203</v>
      </c>
      <c r="AF66" s="149">
        <v>1.0186897506925203</v>
      </c>
      <c r="AG66" s="8"/>
      <c r="AH66" s="150" cm="1">
        <f t="array" ref="AH66">INDEX(U66:AF66,1,$AH$32)</f>
        <v>1.0141961218836568</v>
      </c>
      <c r="AI66" s="18"/>
      <c r="BN66" s="12">
        <v>57</v>
      </c>
      <c r="BO66" s="12">
        <v>3.4</v>
      </c>
      <c r="BP66" s="7">
        <v>40</v>
      </c>
      <c r="BQ66" s="59">
        <v>57</v>
      </c>
      <c r="BR66" s="64" t="str">
        <f t="shared" si="45"/>
        <v>---------</v>
      </c>
      <c r="BS66" s="106">
        <v>19.5</v>
      </c>
      <c r="BT66" s="12" t="s">
        <v>322</v>
      </c>
      <c r="BU66" s="7" t="str">
        <f t="shared" si="16"/>
        <v>---------</v>
      </c>
      <c r="BV66" s="290">
        <v>2.4500000000000099</v>
      </c>
      <c r="BW66" s="59">
        <v>57</v>
      </c>
      <c r="BX66" s="168" t="str">
        <f t="shared" si="17"/>
        <v>---------</v>
      </c>
      <c r="BY66" s="182">
        <v>5.9499999999999997E-2</v>
      </c>
      <c r="BZ66" s="185">
        <v>57</v>
      </c>
      <c r="CA66" s="184">
        <f t="shared" si="18"/>
        <v>5.9499999999999997E-2</v>
      </c>
      <c r="CB66" s="142">
        <f t="shared" si="21"/>
        <v>227.5</v>
      </c>
      <c r="CC66" s="262">
        <f t="shared" si="46"/>
        <v>3.5</v>
      </c>
      <c r="CD66" s="12">
        <v>57</v>
      </c>
      <c r="CE66" s="262">
        <f t="shared" si="47"/>
        <v>3.5</v>
      </c>
      <c r="CG66" s="12">
        <v>57</v>
      </c>
      <c r="CH66" s="12">
        <v>3.4</v>
      </c>
      <c r="CI66" s="12"/>
      <c r="CJ66" s="333"/>
      <c r="CK66" s="352">
        <f t="shared" si="41"/>
        <v>97.5</v>
      </c>
      <c r="CL66" s="353">
        <f t="shared" si="25"/>
        <v>1.5</v>
      </c>
      <c r="CM66" s="375">
        <f t="shared" ca="1" si="26"/>
        <v>1.5634411129037167</v>
      </c>
      <c r="CN66" s="375">
        <f t="shared" ca="1" si="27"/>
        <v>1.6030523430032584</v>
      </c>
      <c r="CO66" s="375">
        <f t="shared" ca="1" si="28"/>
        <v>1.6231245338041447</v>
      </c>
      <c r="CP66" s="352">
        <f t="shared" si="42"/>
        <v>344.5</v>
      </c>
      <c r="CQ66" s="353" t="str">
        <f t="shared" si="29"/>
        <v>5.3</v>
      </c>
      <c r="CR66" s="375">
        <f t="shared" ca="1" si="30"/>
        <v>5.4181434610818551</v>
      </c>
      <c r="CS66" s="375">
        <f t="shared" ca="1" si="31"/>
        <v>5.4460302377400973</v>
      </c>
      <c r="CT66" s="376">
        <f t="shared" ca="1" si="32"/>
        <v>5.4598020236826859</v>
      </c>
      <c r="CU66" s="333"/>
      <c r="CV66" s="352">
        <f t="shared" si="43"/>
        <v>97.5</v>
      </c>
      <c r="CW66" s="353">
        <f t="shared" si="33"/>
        <v>1.5</v>
      </c>
      <c r="CX66" s="375">
        <f ca="1">IF($CV66&lt;&gt;"",IF(OFFSET(AR210,0,Two_layers*6)&lt;=9,OFFSET(AR210,0,Two_layers*6),""),"")</f>
        <v>2.0254956664941712</v>
      </c>
      <c r="CY66" s="375">
        <f ca="1">IF($CV66&lt;&gt;"",IF(OFFSET(AS210,0,Two_layers*6)&lt;=9,OFFSET(AS210,0,Two_layers*6),""),"")</f>
        <v>1.8430213594715532</v>
      </c>
      <c r="CZ66" s="375">
        <f ca="1">IF($CV66&lt;&gt;"",IF(OFFSET(AT210,0,Two_layers*6)&lt;=9,OFFSET(AT210,0,Two_layers*6),""),"")</f>
        <v>1.7541280849898013</v>
      </c>
      <c r="DA66" s="352">
        <f t="shared" si="44"/>
        <v>344.5</v>
      </c>
      <c r="DB66" s="353" t="str">
        <f t="shared" si="37"/>
        <v>5.3</v>
      </c>
      <c r="DC66" s="375">
        <f t="shared" ca="1" si="38"/>
        <v>3.5377670834982187</v>
      </c>
      <c r="DD66" s="375">
        <f t="shared" ca="1" si="39"/>
        <v>4.1317110760707436</v>
      </c>
      <c r="DE66" s="376">
        <f t="shared" ca="1" si="40"/>
        <v>4.4815348056375752</v>
      </c>
      <c r="DF66" s="333"/>
      <c r="DG66" s="333"/>
      <c r="DH66" s="333"/>
      <c r="DI66" s="333"/>
      <c r="DJ66" s="333"/>
      <c r="DK66" s="333"/>
      <c r="DL66" s="1005"/>
      <c r="DM66" s="1005"/>
      <c r="DN66" s="1005"/>
      <c r="DO66" s="336"/>
    </row>
    <row r="67" spans="1:119" ht="16.5" thickBot="1">
      <c r="U67" s="149">
        <v>2.9764819944597055E-2</v>
      </c>
      <c r="V67" s="149">
        <v>1.1295256509695308</v>
      </c>
      <c r="W67" s="149">
        <v>0.76345590027700816</v>
      </c>
      <c r="X67" s="149">
        <v>3.1668864265927528E-2</v>
      </c>
      <c r="Y67" s="149">
        <v>1.1421282548476437</v>
      </c>
      <c r="Z67" s="149">
        <v>1.3902575623268696</v>
      </c>
      <c r="AA67" s="149">
        <v>-5.0576620498611474E-2</v>
      </c>
      <c r="AB67" s="149">
        <v>1.0194233795013885</v>
      </c>
      <c r="AC67" s="149">
        <v>1.3294233795013883</v>
      </c>
      <c r="AD67" s="149">
        <v>-3.6977174515235238E-2</v>
      </c>
      <c r="AE67" s="149">
        <v>1.0330228254847649</v>
      </c>
      <c r="AF67" s="149">
        <v>1.3430228254847647</v>
      </c>
      <c r="AG67" s="8"/>
      <c r="AH67" s="150" cm="1">
        <f t="array" ref="AH67">INDEX(U67:AF67,1,$AH$32)</f>
        <v>3.1668864265927528E-2</v>
      </c>
      <c r="AI67" s="18"/>
      <c r="BN67" s="12">
        <v>58</v>
      </c>
      <c r="BO67" s="12">
        <v>3.3</v>
      </c>
      <c r="BP67" s="7">
        <v>39</v>
      </c>
      <c r="BQ67" s="59">
        <v>58</v>
      </c>
      <c r="BR67" s="64" t="str">
        <f t="shared" si="45"/>
        <v>---------</v>
      </c>
      <c r="BS67" s="106">
        <v>19.399999999999999</v>
      </c>
      <c r="BT67" s="12" t="s">
        <v>323</v>
      </c>
      <c r="BU67" s="7" t="str">
        <f t="shared" si="16"/>
        <v>---------</v>
      </c>
      <c r="BV67" s="290">
        <v>2.4400000000000102</v>
      </c>
      <c r="BW67" s="59">
        <v>58</v>
      </c>
      <c r="BX67" s="168" t="str">
        <f t="shared" si="17"/>
        <v>---------</v>
      </c>
      <c r="BY67" s="182">
        <v>5.9400000000000001E-2</v>
      </c>
      <c r="BZ67" s="185">
        <v>58</v>
      </c>
      <c r="CA67" s="184">
        <f t="shared" si="18"/>
        <v>5.9400000000000001E-2</v>
      </c>
      <c r="CB67" s="142">
        <f t="shared" si="21"/>
        <v>221</v>
      </c>
      <c r="CC67" s="262">
        <f t="shared" si="46"/>
        <v>3.4</v>
      </c>
      <c r="CD67" s="12">
        <v>58</v>
      </c>
      <c r="CE67" s="262">
        <f t="shared" si="47"/>
        <v>3.4</v>
      </c>
      <c r="CG67" s="12">
        <v>58</v>
      </c>
      <c r="CH67" s="12">
        <v>3.3</v>
      </c>
      <c r="CI67" s="12"/>
      <c r="CJ67" s="354"/>
      <c r="CK67" s="354"/>
      <c r="CL67" s="354"/>
      <c r="CM67" s="354"/>
      <c r="CN67" s="354"/>
      <c r="CO67" s="354"/>
      <c r="CP67" s="354"/>
      <c r="CQ67" s="354"/>
      <c r="CR67" s="354"/>
      <c r="CS67" s="354"/>
      <c r="CT67" s="354"/>
      <c r="CU67" s="354"/>
      <c r="CV67" s="354"/>
      <c r="CW67" s="354"/>
      <c r="CX67" s="354"/>
      <c r="CY67" s="354"/>
      <c r="CZ67" s="354"/>
      <c r="DA67" s="354"/>
      <c r="DB67" s="354"/>
      <c r="DC67" s="354"/>
      <c r="DD67" s="354"/>
      <c r="DE67" s="354"/>
      <c r="DF67" s="354"/>
      <c r="DG67" s="354"/>
      <c r="DH67" s="354"/>
      <c r="DI67" s="354"/>
      <c r="DJ67" s="354"/>
      <c r="DK67" s="354"/>
      <c r="DL67" s="354"/>
      <c r="DM67" s="354"/>
      <c r="DN67" s="354"/>
      <c r="DO67" s="355"/>
    </row>
    <row r="68" spans="1:119">
      <c r="U68" s="149">
        <v>3.759398496249544E-5</v>
      </c>
      <c r="V68" s="149">
        <v>1.9786307875010567E-5</v>
      </c>
      <c r="W68" s="149">
        <v>-7.9145231499502678E-6</v>
      </c>
      <c r="X68" s="149">
        <v>-2.5722200237364764E-5</v>
      </c>
      <c r="Y68" s="149">
        <v>-3.957261574993902E-5</v>
      </c>
      <c r="Z68" s="149">
        <v>-3.7593984962401602E-5</v>
      </c>
      <c r="AA68" s="149">
        <v>2.7700831024925644E-5</v>
      </c>
      <c r="AB68" s="149">
        <v>2.7700831024925644E-5</v>
      </c>
      <c r="AC68" s="149">
        <v>2.7700831024925644E-5</v>
      </c>
      <c r="AD68" s="149">
        <v>-2.7700831024960833E-5</v>
      </c>
      <c r="AE68" s="149">
        <v>-2.7700831024960833E-5</v>
      </c>
      <c r="AF68" s="149">
        <v>-2.7700831024960833E-5</v>
      </c>
      <c r="AG68" s="8"/>
      <c r="AH68" s="150" cm="1">
        <f t="array" ref="AH68">INDEX(U68:AF68,1,$AH$32)</f>
        <v>-2.5722200237364764E-5</v>
      </c>
      <c r="AI68" s="18"/>
      <c r="BN68" s="12">
        <v>59</v>
      </c>
      <c r="BO68" s="12">
        <v>3.2</v>
      </c>
      <c r="BP68" s="7">
        <v>38</v>
      </c>
      <c r="BQ68" s="59">
        <v>59</v>
      </c>
      <c r="BR68" s="64" t="str">
        <f t="shared" si="45"/>
        <v>---------</v>
      </c>
      <c r="BS68" s="106">
        <v>19.3</v>
      </c>
      <c r="BT68" s="12" t="s">
        <v>324</v>
      </c>
      <c r="BU68" s="7" t="str">
        <f t="shared" si="16"/>
        <v>---------</v>
      </c>
      <c r="BV68" s="290">
        <v>2.4300000000000099</v>
      </c>
      <c r="BW68" s="59">
        <v>59</v>
      </c>
      <c r="BX68" s="168" t="str">
        <f t="shared" si="17"/>
        <v>---------</v>
      </c>
      <c r="BY68" s="182">
        <v>5.9299999999999999E-2</v>
      </c>
      <c r="BZ68" s="185">
        <v>59</v>
      </c>
      <c r="CA68" s="184">
        <f t="shared" si="18"/>
        <v>5.9299999999999999E-2</v>
      </c>
      <c r="CB68" s="142">
        <f t="shared" si="21"/>
        <v>214.5</v>
      </c>
      <c r="CC68" s="262">
        <f t="shared" si="46"/>
        <v>3.3</v>
      </c>
      <c r="CD68" s="12">
        <v>59</v>
      </c>
      <c r="CE68" s="262">
        <f t="shared" si="47"/>
        <v>3.3</v>
      </c>
      <c r="CG68" s="12">
        <v>59</v>
      </c>
      <c r="CH68" s="12">
        <v>3.2</v>
      </c>
      <c r="CI68" s="12"/>
      <c r="CJ68" s="356"/>
      <c r="CK68" s="356"/>
      <c r="CL68" s="356"/>
      <c r="CM68" s="356"/>
      <c r="CN68" s="356"/>
      <c r="CO68" s="356"/>
      <c r="CP68" s="356"/>
      <c r="CQ68" s="356"/>
      <c r="CR68" s="356"/>
      <c r="CS68" s="356"/>
      <c r="CT68" s="356"/>
      <c r="CU68" s="356"/>
      <c r="CV68" s="356"/>
      <c r="CW68" s="356"/>
      <c r="CX68" s="356"/>
      <c r="CY68" s="356"/>
      <c r="CZ68" s="356"/>
      <c r="DA68" s="356"/>
      <c r="DB68" s="356"/>
      <c r="DC68" s="356"/>
      <c r="DD68" s="356"/>
      <c r="DE68" s="356"/>
      <c r="DF68" s="356"/>
      <c r="DG68" s="356"/>
      <c r="DH68" s="356"/>
      <c r="DI68" s="356"/>
      <c r="DJ68" s="356"/>
      <c r="DK68" s="356"/>
      <c r="DL68" s="356"/>
      <c r="DM68" s="356"/>
      <c r="DN68" s="356"/>
      <c r="DO68" s="356"/>
    </row>
    <row r="69" spans="1:119">
      <c r="U69" s="149">
        <v>1.0167390977443602</v>
      </c>
      <c r="V69" s="149">
        <v>1.0329546497823499</v>
      </c>
      <c r="W69" s="149">
        <v>1.0132876137712699</v>
      </c>
      <c r="X69" s="149">
        <v>1.0114610605461012</v>
      </c>
      <c r="Y69" s="149">
        <v>1.0238696478037204</v>
      </c>
      <c r="Z69" s="149">
        <v>1.03703984962406</v>
      </c>
      <c r="AA69" s="149">
        <v>1.023456509695291</v>
      </c>
      <c r="AB69" s="149">
        <v>1.023456509695291</v>
      </c>
      <c r="AC69" s="149">
        <v>1.023456509695291</v>
      </c>
      <c r="AD69" s="149">
        <v>1.0141961218836568</v>
      </c>
      <c r="AE69" s="149">
        <v>1.0141961218836568</v>
      </c>
      <c r="AF69" s="149">
        <v>1.0141961218836568</v>
      </c>
      <c r="AG69" s="8"/>
      <c r="AH69" s="150" cm="1">
        <f t="array" ref="AH69">INDEX(U69:AF69,1,$AH$32)</f>
        <v>1.0114610605461012</v>
      </c>
      <c r="BN69" s="12">
        <v>60</v>
      </c>
      <c r="BO69" s="12">
        <v>3.1</v>
      </c>
      <c r="BP69" s="7">
        <v>37</v>
      </c>
      <c r="BQ69" s="59">
        <v>60</v>
      </c>
      <c r="BR69" s="64" t="str">
        <f t="shared" si="45"/>
        <v>---------</v>
      </c>
      <c r="BS69" s="106">
        <v>19.2</v>
      </c>
      <c r="BT69" s="12" t="s">
        <v>325</v>
      </c>
      <c r="BU69" s="7" t="str">
        <f t="shared" si="16"/>
        <v>---------</v>
      </c>
      <c r="BV69" s="290">
        <v>2.4200000000000101</v>
      </c>
      <c r="BW69" s="59">
        <v>60</v>
      </c>
      <c r="BX69" s="168" t="str">
        <f t="shared" si="17"/>
        <v>---------</v>
      </c>
      <c r="BY69" s="182">
        <v>5.9200000000000003E-2</v>
      </c>
      <c r="BZ69" s="185">
        <v>60</v>
      </c>
      <c r="CA69" s="184">
        <f t="shared" si="18"/>
        <v>5.9200000000000003E-2</v>
      </c>
      <c r="CB69" s="142">
        <f t="shared" si="21"/>
        <v>208.00000000000003</v>
      </c>
      <c r="CC69" s="262">
        <f t="shared" si="46"/>
        <v>3.2</v>
      </c>
      <c r="CD69" s="12">
        <v>60</v>
      </c>
      <c r="CE69" s="262">
        <f t="shared" si="47"/>
        <v>3.2</v>
      </c>
      <c r="CG69" s="12">
        <v>60</v>
      </c>
      <c r="CH69" s="12">
        <v>3.1</v>
      </c>
      <c r="CI69" s="12"/>
      <c r="CJ69" s="356"/>
      <c r="CK69" s="357" t="s">
        <v>326</v>
      </c>
      <c r="CL69" s="356"/>
      <c r="CM69" s="356"/>
      <c r="CN69" s="356"/>
      <c r="CO69" s="356"/>
      <c r="CP69" s="356"/>
      <c r="CQ69" s="356"/>
      <c r="CR69" s="356"/>
      <c r="CS69" s="356"/>
      <c r="CT69" s="356"/>
      <c r="CU69" s="356"/>
      <c r="CV69" s="356"/>
      <c r="CW69" s="356"/>
      <c r="CX69" s="356"/>
      <c r="CY69" s="356"/>
      <c r="CZ69" s="356"/>
      <c r="DA69" s="356"/>
      <c r="DB69" s="356"/>
      <c r="DC69" s="356"/>
      <c r="DD69" s="356"/>
      <c r="DE69" s="356"/>
      <c r="DF69" s="356"/>
      <c r="DG69" s="356"/>
      <c r="DH69" s="356"/>
      <c r="DI69" s="356"/>
      <c r="DJ69" s="356"/>
      <c r="DK69" s="356"/>
      <c r="DL69" s="356"/>
      <c r="DM69" s="356"/>
      <c r="DN69" s="356"/>
      <c r="DO69" s="356"/>
    </row>
    <row r="70" spans="1:119">
      <c r="U70" s="149">
        <v>8.388105263157937E-2</v>
      </c>
      <c r="V70" s="149">
        <v>1.1805377285318563</v>
      </c>
      <c r="W70" s="149">
        <v>0.81489817174515311</v>
      </c>
      <c r="X70" s="149">
        <v>7.6975900277010567E-2</v>
      </c>
      <c r="Y70" s="149">
        <v>1.1881150692520759</v>
      </c>
      <c r="Z70" s="149">
        <v>1.4363094736842112</v>
      </c>
      <c r="AA70" s="149">
        <v>2.9764819944597055E-2</v>
      </c>
      <c r="AB70" s="149">
        <v>1.0997648199445971</v>
      </c>
      <c r="AC70" s="149">
        <v>1.4097648199445969</v>
      </c>
      <c r="AD70" s="149">
        <v>3.1668864265927528E-2</v>
      </c>
      <c r="AE70" s="149">
        <v>1.1016688642659276</v>
      </c>
      <c r="AF70" s="149">
        <v>1.4116688642659274</v>
      </c>
      <c r="AH70" s="150" cm="1">
        <f t="array" ref="AH70">INDEX(U70:AF70,1,$AH$32)</f>
        <v>7.6975900277010567E-2</v>
      </c>
      <c r="BN70" s="12">
        <v>61</v>
      </c>
      <c r="BO70" s="12">
        <v>3</v>
      </c>
      <c r="BP70" s="7">
        <v>36</v>
      </c>
      <c r="BQ70" s="59">
        <v>61</v>
      </c>
      <c r="BR70" s="64" t="str">
        <f t="shared" si="45"/>
        <v>---------</v>
      </c>
      <c r="BS70" s="106">
        <v>19.100000000000001</v>
      </c>
      <c r="BT70" s="12" t="s">
        <v>327</v>
      </c>
      <c r="BU70" s="7" t="str">
        <f t="shared" si="16"/>
        <v>---------</v>
      </c>
      <c r="BV70" s="290">
        <v>2.4100000000000099</v>
      </c>
      <c r="BW70" s="59">
        <v>61</v>
      </c>
      <c r="BX70" s="168" t="str">
        <f t="shared" si="17"/>
        <v>---------</v>
      </c>
      <c r="BY70" s="182">
        <v>5.91E-2</v>
      </c>
      <c r="BZ70" s="185">
        <v>61</v>
      </c>
      <c r="CA70" s="184">
        <f t="shared" si="18"/>
        <v>5.91E-2</v>
      </c>
      <c r="CB70" s="142">
        <f t="shared" si="21"/>
        <v>201.5</v>
      </c>
      <c r="CC70" s="262">
        <f t="shared" si="46"/>
        <v>3.1</v>
      </c>
      <c r="CD70" s="12">
        <v>61</v>
      </c>
      <c r="CE70" s="262">
        <f t="shared" si="47"/>
        <v>3.1</v>
      </c>
      <c r="CG70" s="12">
        <v>61</v>
      </c>
      <c r="CH70" s="13">
        <v>3</v>
      </c>
      <c r="CI70" s="12"/>
      <c r="CJ70" s="356"/>
      <c r="CK70" s="357" t="s">
        <v>328</v>
      </c>
      <c r="CL70" s="356"/>
      <c r="CM70" s="356"/>
      <c r="CN70" s="356"/>
      <c r="CO70" s="356"/>
      <c r="CP70" s="356"/>
      <c r="CQ70" s="356"/>
      <c r="CR70" s="356"/>
      <c r="CS70" s="356"/>
      <c r="CT70" s="356"/>
      <c r="CU70" s="356"/>
      <c r="CV70" s="356"/>
      <c r="CW70" s="356"/>
      <c r="CX70" s="356"/>
      <c r="CY70" s="356"/>
      <c r="CZ70" s="356"/>
      <c r="DA70" s="356"/>
      <c r="DB70" s="356"/>
      <c r="DC70" s="356"/>
      <c r="DD70" s="356"/>
      <c r="DE70" s="356"/>
      <c r="DF70" s="356"/>
      <c r="DG70" s="356"/>
      <c r="DH70" s="356"/>
      <c r="DI70" s="356"/>
      <c r="DJ70" s="356"/>
      <c r="DK70" s="356"/>
      <c r="DL70" s="356"/>
      <c r="DM70" s="356"/>
      <c r="DN70" s="356"/>
      <c r="DO70" s="356"/>
    </row>
    <row r="71" spans="1:119">
      <c r="U71" s="149">
        <v>3.759398496247198E-5</v>
      </c>
      <c r="V71" s="149">
        <v>2.1764938662454144E-5</v>
      </c>
      <c r="W71" s="149">
        <v>-1.9786307874670391E-6</v>
      </c>
      <c r="X71" s="149">
        <v>9.8931539375111485E-6</v>
      </c>
      <c r="Y71" s="149">
        <v>-3.7593984962319494E-5</v>
      </c>
      <c r="Z71" s="149">
        <v>-1.1871784724954727E-5</v>
      </c>
      <c r="AA71" s="149">
        <v>3.759398496249544E-5</v>
      </c>
      <c r="AB71" s="149">
        <v>3.759398496249544E-5</v>
      </c>
      <c r="AC71" s="149">
        <v>3.759398496249544E-5</v>
      </c>
      <c r="AD71" s="149">
        <v>-2.5722200237364764E-5</v>
      </c>
      <c r="AE71" s="149">
        <v>-2.5722200237364764E-5</v>
      </c>
      <c r="AF71" s="149">
        <v>-2.5722200237364764E-5</v>
      </c>
      <c r="AH71" s="150" cm="1">
        <f t="array" ref="AH71">INDEX(U71:AF71,1,$AH$32)</f>
        <v>9.8931539375111485E-6</v>
      </c>
      <c r="AX71" s="82" t="s">
        <v>329</v>
      </c>
      <c r="AY71" s="7" t="b">
        <f>IF(Cntrl16=3,TRUE,FALSE)</f>
        <v>0</v>
      </c>
      <c r="BN71" s="12">
        <v>62</v>
      </c>
      <c r="BO71" s="12">
        <v>2.9</v>
      </c>
      <c r="BP71" s="7">
        <v>35</v>
      </c>
      <c r="BQ71" s="59">
        <v>62</v>
      </c>
      <c r="BR71" s="64" t="str">
        <f t="shared" si="45"/>
        <v>---------</v>
      </c>
      <c r="BS71" s="106">
        <v>19</v>
      </c>
      <c r="BT71" s="12" t="s">
        <v>330</v>
      </c>
      <c r="BU71" s="7" t="str">
        <f t="shared" si="16"/>
        <v>---------</v>
      </c>
      <c r="BV71" s="290">
        <v>2.4000000000000101</v>
      </c>
      <c r="BW71" s="59">
        <v>62</v>
      </c>
      <c r="BX71" s="168" t="str">
        <f t="shared" si="17"/>
        <v>---------</v>
      </c>
      <c r="BY71" s="182">
        <v>5.8999999999999997E-2</v>
      </c>
      <c r="BZ71" s="185">
        <v>62</v>
      </c>
      <c r="CA71" s="184">
        <f t="shared" si="18"/>
        <v>5.8999999999999997E-2</v>
      </c>
      <c r="CB71" s="142">
        <f t="shared" si="21"/>
        <v>195</v>
      </c>
      <c r="CC71" s="262">
        <f t="shared" si="46"/>
        <v>3</v>
      </c>
      <c r="CD71" s="12">
        <v>62</v>
      </c>
      <c r="CE71" s="262">
        <f t="shared" si="47"/>
        <v>3</v>
      </c>
      <c r="CG71" s="12">
        <v>62</v>
      </c>
      <c r="CH71" s="12">
        <v>2.9</v>
      </c>
      <c r="CI71" s="12"/>
      <c r="CJ71" s="356"/>
      <c r="CK71" s="356"/>
      <c r="CL71" s="356"/>
      <c r="CM71" s="356"/>
      <c r="CN71" s="356"/>
      <c r="CO71" s="356"/>
      <c r="CP71" s="356"/>
      <c r="CQ71" s="356"/>
      <c r="CR71" s="356"/>
      <c r="CS71" s="356"/>
      <c r="CT71" s="356"/>
      <c r="CU71" s="356"/>
      <c r="CV71" s="356"/>
      <c r="CW71" s="356"/>
      <c r="CX71" s="356"/>
      <c r="CY71" s="356"/>
      <c r="CZ71" s="356"/>
      <c r="DA71" s="356"/>
      <c r="DB71" s="356"/>
      <c r="DC71" s="356"/>
      <c r="DD71" s="356"/>
      <c r="DE71" s="356"/>
      <c r="DF71" s="356"/>
      <c r="DG71" s="356"/>
      <c r="DH71" s="356"/>
      <c r="DI71" s="356"/>
      <c r="DJ71" s="356"/>
      <c r="DK71" s="356"/>
      <c r="DL71" s="356"/>
      <c r="DM71" s="356"/>
      <c r="DN71" s="356"/>
      <c r="DO71" s="356"/>
    </row>
    <row r="72" spans="1:119">
      <c r="U72" s="149">
        <v>1.0134548872180442</v>
      </c>
      <c r="V72" s="149">
        <v>1.0325143252869013</v>
      </c>
      <c r="W72" s="149">
        <v>1.0127561139691332</v>
      </c>
      <c r="X72" s="149">
        <v>1.0097667985753855</v>
      </c>
      <c r="Y72" s="149">
        <v>1.023387218045112</v>
      </c>
      <c r="Z72" s="149">
        <v>1.0362314206569052</v>
      </c>
      <c r="AA72" s="149">
        <v>1.0167390977443602</v>
      </c>
      <c r="AB72" s="149">
        <v>1.0167390977443602</v>
      </c>
      <c r="AC72" s="149">
        <v>1.0167390977443602</v>
      </c>
      <c r="AD72" s="149">
        <v>1.0114610605461012</v>
      </c>
      <c r="AE72" s="149">
        <v>1.0114610605461012</v>
      </c>
      <c r="AF72" s="149">
        <v>1.0114610605461012</v>
      </c>
      <c r="AH72" s="150" cm="1">
        <f t="array" ref="AH72">INDEX(U72:AF72,1,$AH$32)</f>
        <v>1.0097667985753855</v>
      </c>
      <c r="BN72" s="12">
        <v>63</v>
      </c>
      <c r="BO72" s="12">
        <v>2.8</v>
      </c>
      <c r="BP72" s="7">
        <v>34</v>
      </c>
      <c r="BQ72" s="59">
        <v>63</v>
      </c>
      <c r="BR72" s="64" t="str">
        <f t="shared" si="45"/>
        <v>---------</v>
      </c>
      <c r="BS72" s="106">
        <v>18.899999999999999</v>
      </c>
      <c r="BT72" s="12" t="s">
        <v>331</v>
      </c>
      <c r="BU72" s="7" t="str">
        <f t="shared" si="16"/>
        <v>---------</v>
      </c>
      <c r="BV72" s="290">
        <v>2.3900000000000099</v>
      </c>
      <c r="BW72" s="59">
        <v>63</v>
      </c>
      <c r="BX72" s="168" t="str">
        <f t="shared" si="17"/>
        <v>---------</v>
      </c>
      <c r="BY72" s="182">
        <v>5.8900000000000001E-2</v>
      </c>
      <c r="BZ72" s="185">
        <v>63</v>
      </c>
      <c r="CA72" s="184">
        <f t="shared" si="18"/>
        <v>5.8900000000000001E-2</v>
      </c>
      <c r="CB72" s="142">
        <f t="shared" si="21"/>
        <v>188.5</v>
      </c>
      <c r="CC72" s="262">
        <f t="shared" si="46"/>
        <v>2.9</v>
      </c>
      <c r="CD72" s="12">
        <v>63</v>
      </c>
      <c r="CE72" s="262">
        <f t="shared" si="47"/>
        <v>2.9</v>
      </c>
      <c r="CG72" s="12">
        <v>63</v>
      </c>
      <c r="CH72" s="12">
        <v>2.8</v>
      </c>
      <c r="CI72" s="12"/>
      <c r="CJ72" s="356"/>
      <c r="CK72" s="358" t="s">
        <v>332</v>
      </c>
      <c r="CL72" s="358"/>
      <c r="CM72" s="358"/>
      <c r="CN72" s="358"/>
      <c r="CO72" s="358"/>
      <c r="CP72" s="358"/>
      <c r="CQ72" s="358"/>
      <c r="CR72" s="358"/>
      <c r="CS72" s="358"/>
      <c r="CT72" s="358"/>
      <c r="CU72" s="358"/>
      <c r="CV72" s="356"/>
      <c r="CW72" s="356"/>
      <c r="CX72" s="356"/>
      <c r="CY72" s="356"/>
      <c r="CZ72" s="356"/>
      <c r="DA72" s="356"/>
      <c r="DB72" s="356"/>
      <c r="DC72" s="356"/>
      <c r="DD72" s="356"/>
      <c r="DE72" s="356"/>
      <c r="DF72" s="356"/>
      <c r="DG72" s="356"/>
      <c r="DH72" s="356"/>
      <c r="DI72" s="356"/>
      <c r="DJ72" s="356"/>
      <c r="DK72" s="356"/>
      <c r="DL72" s="356"/>
      <c r="DM72" s="356"/>
      <c r="DN72" s="356"/>
      <c r="DO72" s="356"/>
    </row>
    <row r="73" spans="1:119">
      <c r="U73" s="149">
        <v>0.11068315789473951</v>
      </c>
      <c r="V73" s="149">
        <v>1.2057573961218844</v>
      </c>
      <c r="W73" s="149">
        <v>0.84062243767312994</v>
      </c>
      <c r="X73" s="149">
        <v>0.10027412742382162</v>
      </c>
      <c r="Y73" s="149">
        <v>1.210795789473686</v>
      </c>
      <c r="Z73" s="149">
        <v>1.459847257617729</v>
      </c>
      <c r="AA73" s="149">
        <v>8.388105263157937E-2</v>
      </c>
      <c r="AB73" s="149">
        <v>1.1538810526315795</v>
      </c>
      <c r="AC73" s="149">
        <v>1.4638810526315793</v>
      </c>
      <c r="AD73" s="149">
        <v>7.6975900277010567E-2</v>
      </c>
      <c r="AE73" s="149">
        <v>1.1469759002770106</v>
      </c>
      <c r="AF73" s="149">
        <v>1.4569759002770104</v>
      </c>
      <c r="AH73" s="150" cm="1">
        <f t="array" ref="AH73">INDEX(U73:AF73,1,$AH$32)</f>
        <v>0.10027412742382162</v>
      </c>
      <c r="AL73" s="12">
        <v>600</v>
      </c>
      <c r="AM73" s="12">
        <v>900</v>
      </c>
      <c r="AN73" s="12">
        <v>1200</v>
      </c>
      <c r="AX73" s="82" t="s">
        <v>333</v>
      </c>
      <c r="AY73" s="7" t="b">
        <f>NOT(Two_layers)</f>
        <v>1</v>
      </c>
      <c r="BN73" s="12">
        <v>64</v>
      </c>
      <c r="BO73" s="12">
        <v>2.7</v>
      </c>
      <c r="BP73" s="7">
        <v>33</v>
      </c>
      <c r="BQ73" s="59">
        <v>64</v>
      </c>
      <c r="BR73" s="64" t="str">
        <f t="shared" si="45"/>
        <v>---------</v>
      </c>
      <c r="BS73" s="106">
        <v>18.8</v>
      </c>
      <c r="BT73" s="12" t="s">
        <v>334</v>
      </c>
      <c r="BU73" s="7" t="str">
        <f t="shared" si="16"/>
        <v>---------</v>
      </c>
      <c r="BV73" s="290">
        <v>2.3800000000000101</v>
      </c>
      <c r="BW73" s="59">
        <v>64</v>
      </c>
      <c r="BX73" s="168" t="str">
        <f t="shared" si="17"/>
        <v>---------</v>
      </c>
      <c r="BY73" s="182">
        <v>5.8799999999999998E-2</v>
      </c>
      <c r="BZ73" s="185">
        <v>64</v>
      </c>
      <c r="CA73" s="184">
        <f t="shared" si="18"/>
        <v>5.8799999999999998E-2</v>
      </c>
      <c r="CB73" s="142">
        <f t="shared" si="21"/>
        <v>182</v>
      </c>
      <c r="CC73" s="262">
        <f t="shared" si="46"/>
        <v>2.8</v>
      </c>
      <c r="CD73" s="12">
        <v>64</v>
      </c>
      <c r="CE73" s="262">
        <f t="shared" si="47"/>
        <v>2.8</v>
      </c>
      <c r="CG73" s="12">
        <v>64</v>
      </c>
      <c r="CH73" s="12">
        <v>2.7</v>
      </c>
      <c r="CI73" s="12"/>
      <c r="CJ73" s="356"/>
      <c r="CK73" s="358"/>
      <c r="CL73" s="358"/>
      <c r="CM73" s="358"/>
      <c r="CN73" s="358"/>
      <c r="CO73" s="358"/>
      <c r="CP73" s="358"/>
      <c r="CQ73" s="358"/>
      <c r="CR73" s="358"/>
      <c r="CS73" s="358"/>
      <c r="CT73" s="358"/>
      <c r="CU73" s="358"/>
      <c r="CV73" s="356"/>
      <c r="CW73" s="356"/>
      <c r="CX73" s="356"/>
      <c r="CY73" s="356"/>
      <c r="CZ73" s="356"/>
      <c r="DA73" s="356"/>
      <c r="DB73" s="356"/>
      <c r="DC73" s="356"/>
      <c r="DD73" s="356"/>
      <c r="DE73" s="356"/>
      <c r="DF73" s="356"/>
      <c r="DG73" s="356"/>
      <c r="DH73" s="356"/>
      <c r="DI73" s="356"/>
      <c r="DJ73" s="356"/>
      <c r="DK73" s="356"/>
      <c r="DL73" s="356"/>
      <c r="DM73" s="356"/>
      <c r="DN73" s="356"/>
      <c r="DO73" s="356"/>
    </row>
    <row r="74" spans="1:119">
      <c r="T74" s="7" t="s">
        <v>212</v>
      </c>
      <c r="U74" s="132">
        <v>-5.7544519192718628E-2</v>
      </c>
      <c r="V74" s="132">
        <v>-5.6297981796596751E-2</v>
      </c>
      <c r="W74" s="132">
        <v>-5.6563118322121089E-2</v>
      </c>
      <c r="X74" s="132">
        <v>-6.0261179263949395E-2</v>
      </c>
      <c r="Y74" s="132">
        <v>-5.9776414721013089E-2</v>
      </c>
      <c r="Z74" s="132">
        <v>-6.0373961218836592E-2</v>
      </c>
      <c r="AA74" s="132">
        <v>-5.8735654926790636E-2</v>
      </c>
      <c r="AB74" s="132">
        <v>-5.8735654926790636E-2</v>
      </c>
      <c r="AC74" s="132">
        <v>-5.8735654926790636E-2</v>
      </c>
      <c r="AD74" s="132">
        <v>-6.3531855955678701E-2</v>
      </c>
      <c r="AE74" s="132">
        <v>-6.3531855955678701E-2</v>
      </c>
      <c r="AF74" s="132">
        <v>-6.3531855955678701E-2</v>
      </c>
      <c r="AH74" s="152" cm="1">
        <f t="array" ref="AH74">INDEX(U74:AF74,1,$AH$32)</f>
        <v>-6.0261179263949395E-2</v>
      </c>
      <c r="AI74" s="18" cm="1">
        <f t="array" ref="AI74">INDEX($AH$74:$AH$100,($AI$34-1)*9+1)</f>
        <v>-4.3335971507716647E-2</v>
      </c>
      <c r="AJ74" s="7" t="s">
        <v>335</v>
      </c>
      <c r="AK74" s="82">
        <v>3.6999999999999998E-2</v>
      </c>
      <c r="AL74" s="18">
        <f>AH74</f>
        <v>-6.0261179263949395E-2</v>
      </c>
      <c r="AM74" s="18">
        <f>AH77</f>
        <v>-4.593984962406019E-2</v>
      </c>
      <c r="AN74" s="18">
        <f>AH80</f>
        <v>-3.5035615354174897E-2</v>
      </c>
      <c r="BN74" s="12">
        <v>65</v>
      </c>
      <c r="BO74" s="12">
        <v>2.6</v>
      </c>
      <c r="BP74" s="7">
        <v>32</v>
      </c>
      <c r="BQ74" s="59">
        <v>65</v>
      </c>
      <c r="BR74" s="64" t="str">
        <f t="shared" si="45"/>
        <v>---------</v>
      </c>
      <c r="BS74" s="106">
        <v>18.7</v>
      </c>
      <c r="BT74" s="12" t="s">
        <v>336</v>
      </c>
      <c r="BU74" s="7" t="str">
        <f t="shared" si="16"/>
        <v>---------</v>
      </c>
      <c r="BV74" s="290">
        <v>2.3700000000000099</v>
      </c>
      <c r="BW74" s="59">
        <v>65</v>
      </c>
      <c r="BX74" s="168" t="str">
        <f t="shared" si="17"/>
        <v>---------</v>
      </c>
      <c r="BY74" s="182">
        <v>5.8700000000000002E-2</v>
      </c>
      <c r="BZ74" s="185">
        <v>65</v>
      </c>
      <c r="CA74" s="184">
        <f t="shared" si="18"/>
        <v>5.8700000000000002E-2</v>
      </c>
      <c r="CB74" s="142">
        <f t="shared" si="21"/>
        <v>175.50000000000003</v>
      </c>
      <c r="CC74" s="262">
        <f t="shared" si="46"/>
        <v>2.7</v>
      </c>
      <c r="CD74" s="12">
        <v>65</v>
      </c>
      <c r="CE74" s="262">
        <f t="shared" si="47"/>
        <v>2.7</v>
      </c>
      <c r="CG74" s="12">
        <v>65</v>
      </c>
      <c r="CH74" s="12">
        <v>2.6</v>
      </c>
      <c r="CI74" s="12"/>
      <c r="CJ74" s="356"/>
      <c r="CK74" s="358" t="s">
        <v>337</v>
      </c>
      <c r="CL74" s="358"/>
      <c r="CM74" s="358"/>
      <c r="CN74" s="358"/>
      <c r="CO74" s="358"/>
      <c r="CP74" s="358"/>
      <c r="CQ74" s="358"/>
      <c r="CR74" s="358"/>
      <c r="CS74" s="358"/>
      <c r="CT74" s="358"/>
      <c r="CU74" s="358"/>
      <c r="CV74" s="356"/>
      <c r="CW74" s="356"/>
      <c r="CX74" s="356"/>
      <c r="CY74" s="356"/>
      <c r="CZ74" s="356"/>
      <c r="DA74" s="356"/>
      <c r="DB74" s="356"/>
      <c r="DC74" s="356"/>
      <c r="DD74" s="356"/>
      <c r="DE74" s="356"/>
      <c r="DF74" s="356"/>
      <c r="DG74" s="356"/>
      <c r="DH74" s="356"/>
      <c r="DI74" s="356"/>
      <c r="DJ74" s="356"/>
      <c r="DK74" s="356"/>
      <c r="DL74" s="356"/>
      <c r="DM74" s="356"/>
      <c r="DN74" s="356"/>
      <c r="DO74" s="356"/>
    </row>
    <row r="75" spans="1:119">
      <c r="U75" s="132">
        <v>1.1532415116739216</v>
      </c>
      <c r="V75" s="132">
        <v>1.087447605856747</v>
      </c>
      <c r="W75" s="132">
        <v>1.0921037198258805</v>
      </c>
      <c r="X75" s="132">
        <v>1.213185991294025</v>
      </c>
      <c r="Y75" s="132">
        <v>1.1622749109616151</v>
      </c>
      <c r="Z75" s="132">
        <v>1.1724634349030474</v>
      </c>
      <c r="AA75" s="132">
        <v>1.0042642263553618</v>
      </c>
      <c r="AB75" s="132">
        <v>1.0042642263553618</v>
      </c>
      <c r="AC75" s="132">
        <v>1.0042642263553618</v>
      </c>
      <c r="AD75" s="132">
        <v>1.0932844875346266</v>
      </c>
      <c r="AE75" s="132">
        <v>1.0932844875346266</v>
      </c>
      <c r="AF75" s="132">
        <v>1.0932844875346266</v>
      </c>
      <c r="AH75" s="152" cm="1">
        <f t="array" ref="AH75">INDEX(U75:AF75,1,$AH$32)</f>
        <v>1.213185991294025</v>
      </c>
      <c r="AI75" s="18" cm="1">
        <f t="array" ref="AI75">INDEX($AH$74:$AH$100,($AI$34-1)*9+2)</f>
        <v>0.7201976256430549</v>
      </c>
      <c r="AJ75" s="7" t="s">
        <v>338</v>
      </c>
      <c r="AK75" s="82"/>
      <c r="AL75" s="18">
        <f>AH75</f>
        <v>1.213185991294025</v>
      </c>
      <c r="AM75" s="18">
        <f>AH78</f>
        <v>1.1999172932330833</v>
      </c>
      <c r="AN75" s="18">
        <f>AH81</f>
        <v>1.1601626830233476</v>
      </c>
      <c r="AX75" s="7" t="s">
        <v>339</v>
      </c>
      <c r="AY75" s="7" t="b">
        <f>IF(OR(One_layer,Both_layers),TRUE,FALSE)</f>
        <v>1</v>
      </c>
      <c r="BN75" s="12">
        <v>66</v>
      </c>
      <c r="BO75" s="12">
        <v>2.5</v>
      </c>
      <c r="BP75" s="7">
        <v>31</v>
      </c>
      <c r="BQ75" s="59">
        <v>66</v>
      </c>
      <c r="BR75" s="64" t="str">
        <f t="shared" ref="BR75:BR105" si="49">IF(Cntrl1&lt;=3,"---------",TEXT(BP75,"0"))</f>
        <v>---------</v>
      </c>
      <c r="BS75" s="106">
        <v>18.600000000000001</v>
      </c>
      <c r="BT75" s="12" t="s">
        <v>340</v>
      </c>
      <c r="BU75" s="7" t="str">
        <f t="shared" ref="BU75:BU138" si="50">IF(Cntrl1&lt;=3,"---------",TEXT(BS75,"0.0"))</f>
        <v>---------</v>
      </c>
      <c r="BV75" s="290">
        <v>2.3600000000000101</v>
      </c>
      <c r="BW75" s="59">
        <v>66</v>
      </c>
      <c r="BX75" s="168" t="str">
        <f t="shared" ref="BX75:BX138" si="51">IF(Cntrl1&lt;=2,"---------",TEXT(BV75,"0.00"))</f>
        <v>---------</v>
      </c>
      <c r="BY75" s="182">
        <v>5.8599999999999999E-2</v>
      </c>
      <c r="BZ75" s="185">
        <v>66</v>
      </c>
      <c r="CA75" s="184">
        <f t="shared" ref="CA75:CA138" si="52">BY75</f>
        <v>5.8599999999999999E-2</v>
      </c>
      <c r="CB75" s="142">
        <f t="shared" si="21"/>
        <v>169</v>
      </c>
      <c r="CC75" s="262">
        <f t="shared" ref="CC75:CC85" si="53">IF($CB75&lt;&gt;"",CH74,CC76)</f>
        <v>2.6</v>
      </c>
      <c r="CD75" s="12">
        <v>66</v>
      </c>
      <c r="CE75" s="262">
        <f t="shared" ref="CE75:CE86" si="54">CC75</f>
        <v>2.6</v>
      </c>
      <c r="CG75" s="12">
        <v>66</v>
      </c>
      <c r="CH75" s="12">
        <v>2.5</v>
      </c>
      <c r="CI75" s="13"/>
      <c r="CJ75" s="356"/>
      <c r="CK75" s="358" t="s">
        <v>341</v>
      </c>
      <c r="CL75" s="358"/>
      <c r="CM75" s="358"/>
      <c r="CN75" s="358"/>
      <c r="CO75" s="358"/>
      <c r="CP75" s="358"/>
      <c r="CQ75" s="358"/>
      <c r="CR75" s="358"/>
      <c r="CS75" s="358"/>
      <c r="CT75" s="358"/>
      <c r="CU75" s="358"/>
      <c r="CV75" s="356"/>
      <c r="CW75" s="356"/>
      <c r="CX75" s="356"/>
      <c r="CY75" s="356"/>
      <c r="CZ75" s="356"/>
      <c r="DA75" s="356"/>
      <c r="DB75" s="356"/>
      <c r="DC75" s="356"/>
      <c r="DD75" s="356"/>
      <c r="DE75" s="356"/>
      <c r="DF75" s="356"/>
      <c r="DG75" s="356"/>
      <c r="DH75" s="356"/>
      <c r="DI75" s="356"/>
      <c r="DJ75" s="356"/>
      <c r="DK75" s="356"/>
      <c r="DL75" s="356"/>
      <c r="DM75" s="356"/>
      <c r="DN75" s="356"/>
      <c r="DO75" s="356"/>
    </row>
    <row r="76" spans="1:119" ht="18">
      <c r="U76" s="132">
        <v>-8.7034626038781759E-2</v>
      </c>
      <c r="V76" s="132">
        <v>1.1493906925207762</v>
      </c>
      <c r="W76" s="132">
        <v>1.2297889196675897</v>
      </c>
      <c r="X76" s="132">
        <v>-0.24032770083102672</v>
      </c>
      <c r="Y76" s="132">
        <v>0.97896664819944412</v>
      </c>
      <c r="Z76" s="132">
        <v>1.2350017728531855</v>
      </c>
      <c r="AA76" s="132">
        <v>0.20083180055401639</v>
      </c>
      <c r="AB76" s="132">
        <v>1.2708318005540165</v>
      </c>
      <c r="AC76" s="132">
        <v>1.5808318005540163</v>
      </c>
      <c r="AD76" s="132">
        <v>1.0400720221604765E-2</v>
      </c>
      <c r="AE76" s="132">
        <v>1.0804007202216048</v>
      </c>
      <c r="AF76" s="132">
        <v>1.3904007202216047</v>
      </c>
      <c r="AH76" s="152" cm="1">
        <f t="array" ref="AH76">INDEX(U76:AF76,1,$AH$32)</f>
        <v>-0.24032770083102672</v>
      </c>
      <c r="AI76" s="18" cm="1">
        <f t="array" ref="AI76">INDEX($AH$74:$AH$100,($AI$34-1)*9+3)+$AL$8</f>
        <v>1.007035180055402</v>
      </c>
      <c r="AJ76" s="7" t="s">
        <v>342</v>
      </c>
      <c r="AK76" s="82"/>
      <c r="AL76" s="18">
        <f>AH76+$AL$8</f>
        <v>-0.24032770083102672</v>
      </c>
      <c r="AM76" s="18">
        <f>AH79+$AL$8</f>
        <v>-0.24741368421052856</v>
      </c>
      <c r="AN76" s="18">
        <f>AH82+$AL$8</f>
        <v>-0.18798243767312894</v>
      </c>
      <c r="BN76" s="12">
        <v>67</v>
      </c>
      <c r="BO76" s="12">
        <v>2.4</v>
      </c>
      <c r="BP76" s="7">
        <v>30</v>
      </c>
      <c r="BQ76" s="59">
        <v>67</v>
      </c>
      <c r="BR76" s="64" t="str">
        <f t="shared" si="49"/>
        <v>---------</v>
      </c>
      <c r="BS76" s="106">
        <v>18.5</v>
      </c>
      <c r="BT76" s="12" t="s">
        <v>343</v>
      </c>
      <c r="BU76" s="7" t="str">
        <f t="shared" si="50"/>
        <v>---------</v>
      </c>
      <c r="BV76" s="290">
        <v>2.3500000000000099</v>
      </c>
      <c r="BW76" s="59">
        <v>67</v>
      </c>
      <c r="BX76" s="168" t="str">
        <f t="shared" si="51"/>
        <v>---------</v>
      </c>
      <c r="BY76" s="182">
        <v>5.8500000000000003E-2</v>
      </c>
      <c r="BZ76" s="185">
        <v>67</v>
      </c>
      <c r="CA76" s="184">
        <f t="shared" si="52"/>
        <v>5.8500000000000003E-2</v>
      </c>
      <c r="CB76" s="142">
        <f t="shared" ref="CB76:CB86" si="55">IF($CI$1,"",IF($BA200*$CA$9*1000&lt;=$AH$37+$AX$9+20,$BA200*$CA$9*1000,""))</f>
        <v>162.5</v>
      </c>
      <c r="CC76" s="262">
        <f t="shared" si="53"/>
        <v>2.5</v>
      </c>
      <c r="CD76" s="12">
        <v>67</v>
      </c>
      <c r="CE76" s="262">
        <f t="shared" si="54"/>
        <v>2.5</v>
      </c>
      <c r="CG76" s="12">
        <v>67</v>
      </c>
      <c r="CH76" s="12">
        <v>2.4</v>
      </c>
      <c r="CI76" s="12"/>
      <c r="CJ76" s="356"/>
      <c r="CK76" s="358" t="s">
        <v>344</v>
      </c>
      <c r="CL76" s="358"/>
      <c r="CM76" s="358"/>
      <c r="CN76" s="358"/>
      <c r="CO76" s="358"/>
      <c r="CP76" s="358"/>
      <c r="CQ76" s="358"/>
      <c r="CR76" s="358"/>
      <c r="CS76" s="358"/>
      <c r="CT76" s="358"/>
      <c r="CU76" s="358"/>
      <c r="CV76" s="356"/>
      <c r="CW76" s="356"/>
      <c r="CX76" s="356"/>
      <c r="CY76" s="356"/>
      <c r="CZ76" s="356"/>
      <c r="DA76" s="356"/>
      <c r="DB76" s="356"/>
      <c r="DC76" s="356"/>
      <c r="DD76" s="356"/>
      <c r="DE76" s="356"/>
      <c r="DF76" s="356"/>
      <c r="DG76" s="356"/>
      <c r="DH76" s="356"/>
      <c r="DI76" s="356"/>
      <c r="DJ76" s="356"/>
      <c r="DK76" s="356"/>
      <c r="DL76" s="356"/>
      <c r="DM76" s="356"/>
      <c r="DN76" s="356"/>
      <c r="DO76" s="356"/>
    </row>
    <row r="77" spans="1:119">
      <c r="U77" s="132">
        <v>-4.4339137316976647E-2</v>
      </c>
      <c r="V77" s="132">
        <v>-4.6398891966759018E-2</v>
      </c>
      <c r="W77" s="132">
        <v>-4.6666007123070827E-2</v>
      </c>
      <c r="X77" s="132">
        <v>-4.593984962406019E-2</v>
      </c>
      <c r="Y77" s="132">
        <v>-4.8161851998417042E-2</v>
      </c>
      <c r="Z77" s="132">
        <v>-4.8802928373565514E-2</v>
      </c>
      <c r="AA77" s="132">
        <v>-5.7544519192718628E-2</v>
      </c>
      <c r="AB77" s="132">
        <v>-5.7544519192718628E-2</v>
      </c>
      <c r="AC77" s="132">
        <v>-5.7544519192718628E-2</v>
      </c>
      <c r="AD77" s="132">
        <v>-6.0261179263949395E-2</v>
      </c>
      <c r="AE77" s="132">
        <v>-6.0261179263949395E-2</v>
      </c>
      <c r="AF77" s="132">
        <v>-6.0261179263949395E-2</v>
      </c>
      <c r="AH77" s="152" cm="1">
        <f t="array" ref="AH77">INDEX(U77:AF77,1,$AH$32)</f>
        <v>-4.593984962406019E-2</v>
      </c>
      <c r="AI77" s="18" cm="1">
        <f t="array" ref="AI77">INDEX($AH$74:$AH$100,($AI$34-1)*9+4)</f>
        <v>-5.1096161456272264E-2</v>
      </c>
      <c r="AJ77" s="7" t="s">
        <v>345</v>
      </c>
      <c r="AK77" s="82">
        <v>0.05</v>
      </c>
      <c r="AL77" s="18">
        <f>AH83</f>
        <v>-5.5617332805698472E-2</v>
      </c>
      <c r="AM77" s="18">
        <f>AH86</f>
        <v>-5.2334784329244204E-2</v>
      </c>
      <c r="AN77" s="18">
        <f>AH89</f>
        <v>-4.3076770874554852E-2</v>
      </c>
      <c r="AX77" s="82" t="s">
        <v>346</v>
      </c>
      <c r="AY77" s="7" t="b">
        <f>IF(AND(Two_layers,AD9=2),TRUE,FALSE)</f>
        <v>0</v>
      </c>
      <c r="BN77" s="12">
        <v>68</v>
      </c>
      <c r="BO77" s="12">
        <v>2.2999999999999998</v>
      </c>
      <c r="BP77" s="7">
        <v>29</v>
      </c>
      <c r="BQ77" s="59">
        <v>68</v>
      </c>
      <c r="BR77" s="64" t="str">
        <f t="shared" si="49"/>
        <v>---------</v>
      </c>
      <c r="BS77" s="106">
        <v>18.399999999999999</v>
      </c>
      <c r="BT77" s="12" t="s">
        <v>347</v>
      </c>
      <c r="BU77" s="7" t="str">
        <f t="shared" si="50"/>
        <v>---------</v>
      </c>
      <c r="BV77" s="290">
        <v>2.3400000000000101</v>
      </c>
      <c r="BW77" s="59">
        <v>68</v>
      </c>
      <c r="BX77" s="168" t="str">
        <f t="shared" si="51"/>
        <v>---------</v>
      </c>
      <c r="BY77" s="182">
        <v>5.8400000000000001E-2</v>
      </c>
      <c r="BZ77" s="185">
        <v>68</v>
      </c>
      <c r="CA77" s="184">
        <f t="shared" si="52"/>
        <v>5.8400000000000001E-2</v>
      </c>
      <c r="CB77" s="142">
        <f t="shared" si="55"/>
        <v>156</v>
      </c>
      <c r="CC77" s="262">
        <f t="shared" si="53"/>
        <v>2.4</v>
      </c>
      <c r="CD77" s="12">
        <v>68</v>
      </c>
      <c r="CE77" s="262">
        <f t="shared" si="54"/>
        <v>2.4</v>
      </c>
      <c r="CG77" s="12">
        <v>68</v>
      </c>
      <c r="CH77" s="12">
        <v>2.2999999999999998</v>
      </c>
      <c r="CI77" s="12"/>
      <c r="CJ77" s="356"/>
      <c r="CK77" s="358"/>
      <c r="CL77" s="358"/>
      <c r="CM77" s="358"/>
      <c r="CN77" s="358"/>
      <c r="CO77" s="358"/>
      <c r="CP77" s="358"/>
      <c r="CQ77" s="358"/>
      <c r="CR77" s="358"/>
      <c r="CS77" s="358"/>
      <c r="CT77" s="358"/>
      <c r="CU77" s="358"/>
      <c r="CV77" s="356"/>
      <c r="CW77" s="356"/>
      <c r="CX77" s="356"/>
      <c r="CY77" s="356"/>
      <c r="CZ77" s="356"/>
      <c r="DA77" s="356"/>
      <c r="DB77" s="356"/>
      <c r="DC77" s="356"/>
      <c r="DD77" s="356"/>
      <c r="DE77" s="356"/>
      <c r="DF77" s="356"/>
      <c r="DG77" s="356"/>
      <c r="DH77" s="356"/>
      <c r="DI77" s="356"/>
      <c r="DJ77" s="356"/>
      <c r="DK77" s="356"/>
      <c r="DL77" s="356"/>
      <c r="DM77" s="356"/>
      <c r="DN77" s="356"/>
      <c r="DO77" s="356"/>
    </row>
    <row r="78" spans="1:119">
      <c r="U78" s="132">
        <v>1.1589368816778791</v>
      </c>
      <c r="V78" s="132">
        <v>1.1434094182825487</v>
      </c>
      <c r="W78" s="132">
        <v>1.1485900672734468</v>
      </c>
      <c r="X78" s="132">
        <v>1.1999172932330833</v>
      </c>
      <c r="Y78" s="132">
        <v>1.1846964384645819</v>
      </c>
      <c r="Z78" s="132">
        <v>1.196119469726949</v>
      </c>
      <c r="AA78" s="132">
        <v>1.1532415116739216</v>
      </c>
      <c r="AB78" s="132">
        <v>1.1532415116739216</v>
      </c>
      <c r="AC78" s="132">
        <v>1.1532415116739216</v>
      </c>
      <c r="AD78" s="132">
        <v>1.213185991294025</v>
      </c>
      <c r="AE78" s="132">
        <v>1.213185991294025</v>
      </c>
      <c r="AF78" s="132">
        <v>1.213185991294025</v>
      </c>
      <c r="AH78" s="152" cm="1">
        <f t="array" ref="AH78">INDEX(U78:AF78,1,$AH$32)</f>
        <v>1.1999172932330833</v>
      </c>
      <c r="AI78" s="18" cm="1">
        <f t="array" ref="AI78">INDEX($AH$74:$AH$100,($AI$34-1)*9+5)</f>
        <v>0.97067661258409199</v>
      </c>
      <c r="AJ78" s="7" t="s">
        <v>348</v>
      </c>
      <c r="AK78" s="82"/>
      <c r="AL78" s="18">
        <f>AH84</f>
        <v>0.98276545310645058</v>
      </c>
      <c r="AM78" s="18">
        <f>AH87</f>
        <v>1.1151829046299966</v>
      </c>
      <c r="AN78" s="18">
        <f>AH90</f>
        <v>1.1230414325286906</v>
      </c>
      <c r="BN78" s="12">
        <v>69</v>
      </c>
      <c r="BO78" s="12">
        <v>2.2000000000000002</v>
      </c>
      <c r="BP78" s="7">
        <v>28</v>
      </c>
      <c r="BQ78" s="59">
        <v>69</v>
      </c>
      <c r="BR78" s="64" t="str">
        <f t="shared" si="49"/>
        <v>---------</v>
      </c>
      <c r="BS78" s="106">
        <v>18.3</v>
      </c>
      <c r="BT78" s="12" t="s">
        <v>349</v>
      </c>
      <c r="BU78" s="7" t="str">
        <f t="shared" si="50"/>
        <v>---------</v>
      </c>
      <c r="BV78" s="290">
        <v>2.3300000000000098</v>
      </c>
      <c r="BW78" s="59">
        <v>69</v>
      </c>
      <c r="BX78" s="168" t="str">
        <f t="shared" si="51"/>
        <v>---------</v>
      </c>
      <c r="BY78" s="182">
        <v>5.8299999999999998E-2</v>
      </c>
      <c r="BZ78" s="185">
        <v>69</v>
      </c>
      <c r="CA78" s="184">
        <f t="shared" si="52"/>
        <v>5.8299999999999998E-2</v>
      </c>
      <c r="CB78" s="142">
        <f t="shared" si="55"/>
        <v>149.5</v>
      </c>
      <c r="CC78" s="262">
        <f t="shared" si="53"/>
        <v>2.2999999999999998</v>
      </c>
      <c r="CD78" s="12">
        <v>69</v>
      </c>
      <c r="CE78" s="262">
        <f t="shared" si="54"/>
        <v>2.2999999999999998</v>
      </c>
      <c r="CG78" s="12">
        <v>69</v>
      </c>
      <c r="CH78" s="12">
        <v>2.2000000000000002</v>
      </c>
      <c r="CI78" s="12"/>
      <c r="CJ78" s="356"/>
      <c r="CK78" s="358" t="s">
        <v>350</v>
      </c>
      <c r="CL78" s="358"/>
      <c r="CM78" s="358"/>
      <c r="CN78" s="358"/>
      <c r="CO78" s="358"/>
      <c r="CP78" s="358"/>
      <c r="CQ78" s="358"/>
      <c r="CR78" s="358"/>
      <c r="CS78" s="358"/>
      <c r="CT78" s="358"/>
      <c r="CU78" s="358"/>
      <c r="CV78" s="356"/>
      <c r="CW78" s="356"/>
      <c r="CX78" s="356"/>
      <c r="CY78" s="356"/>
      <c r="CZ78" s="356"/>
      <c r="DA78" s="356"/>
      <c r="DB78" s="356"/>
      <c r="DC78" s="356"/>
      <c r="DD78" s="356"/>
      <c r="DE78" s="356"/>
      <c r="DF78" s="356"/>
      <c r="DG78" s="356"/>
      <c r="DH78" s="356"/>
      <c r="DI78" s="356"/>
      <c r="DJ78" s="356"/>
      <c r="DK78" s="356"/>
      <c r="DL78" s="356"/>
      <c r="DM78" s="356"/>
      <c r="DN78" s="356"/>
      <c r="DO78" s="356"/>
    </row>
    <row r="79" spans="1:119">
      <c r="U79" s="132">
        <v>-0.12044365650969668</v>
      </c>
      <c r="V79" s="132">
        <v>1.0261150138504154</v>
      </c>
      <c r="W79" s="132">
        <v>1.1048114681440433</v>
      </c>
      <c r="X79" s="132">
        <v>-0.24741368421052856</v>
      </c>
      <c r="Y79" s="132">
        <v>0.90739224376731409</v>
      </c>
      <c r="Z79" s="132">
        <v>1.1604409972299172</v>
      </c>
      <c r="AA79" s="132">
        <v>-8.7034626038781759E-2</v>
      </c>
      <c r="AB79" s="132">
        <v>0.9829653739612183</v>
      </c>
      <c r="AC79" s="132">
        <v>1.2929653739612181</v>
      </c>
      <c r="AD79" s="132">
        <v>-0.24032770083102672</v>
      </c>
      <c r="AE79" s="132">
        <v>0.82967229916897334</v>
      </c>
      <c r="AF79" s="132">
        <v>1.1396722991689732</v>
      </c>
      <c r="AH79" s="152" cm="1">
        <f t="array" ref="AH79">INDEX(U79:AF79,1,$AH$32)</f>
        <v>-0.24741368421052856</v>
      </c>
      <c r="AI79" s="18" cm="1">
        <f t="array" ref="AI79">INDEX($AH$74:$AH$100,($AI$34-1)*9+6)+$AL$8</f>
        <v>0.47587573407202166</v>
      </c>
      <c r="AJ79" s="7" t="s">
        <v>351</v>
      </c>
      <c r="AK79" s="82"/>
      <c r="AL79" s="18">
        <f>AH85+$AL$8</f>
        <v>0.40896160664819847</v>
      </c>
      <c r="AM79" s="18">
        <f>AH88+$AL$8</f>
        <v>9.2272243767311135E-2</v>
      </c>
      <c r="AN79" s="18">
        <f>AH91+$AL$8</f>
        <v>3.4868476454292141E-2</v>
      </c>
      <c r="AX79" s="82" t="s">
        <v>352</v>
      </c>
      <c r="AY79" s="7" t="b">
        <f>IF(AND(Two_layers,AD9=1),TRUE,FALSE)</f>
        <v>0</v>
      </c>
      <c r="BN79" s="12">
        <v>70</v>
      </c>
      <c r="BO79" s="12">
        <v>2.1</v>
      </c>
      <c r="BP79" s="7">
        <v>27</v>
      </c>
      <c r="BQ79" s="59">
        <v>70</v>
      </c>
      <c r="BR79" s="64" t="str">
        <f t="shared" si="49"/>
        <v>---------</v>
      </c>
      <c r="BS79" s="106">
        <v>18.2</v>
      </c>
      <c r="BT79" s="12" t="s">
        <v>353</v>
      </c>
      <c r="BU79" s="7" t="str">
        <f t="shared" si="50"/>
        <v>---------</v>
      </c>
      <c r="BV79" s="290">
        <v>2.3200000000000101</v>
      </c>
      <c r="BW79" s="59">
        <v>70</v>
      </c>
      <c r="BX79" s="168" t="str">
        <f t="shared" si="51"/>
        <v>---------</v>
      </c>
      <c r="BY79" s="182">
        <v>5.8200000000000002E-2</v>
      </c>
      <c r="BZ79" s="185">
        <v>70</v>
      </c>
      <c r="CA79" s="184">
        <f t="shared" si="52"/>
        <v>5.8200000000000002E-2</v>
      </c>
      <c r="CB79" s="142">
        <f t="shared" si="55"/>
        <v>143.00000000000003</v>
      </c>
      <c r="CC79" s="262">
        <f t="shared" si="53"/>
        <v>2.2000000000000002</v>
      </c>
      <c r="CD79" s="12">
        <v>70</v>
      </c>
      <c r="CE79" s="262">
        <f t="shared" si="54"/>
        <v>2.2000000000000002</v>
      </c>
      <c r="CG79" s="12">
        <v>70</v>
      </c>
      <c r="CH79" s="12">
        <v>2.1</v>
      </c>
      <c r="CI79" s="12"/>
      <c r="CJ79" s="356"/>
      <c r="CK79" s="358"/>
      <c r="CL79" s="358"/>
      <c r="CM79" s="358"/>
      <c r="CN79" s="358"/>
      <c r="CO79" s="358"/>
      <c r="CP79" s="358"/>
      <c r="CQ79" s="358"/>
      <c r="CR79" s="358"/>
      <c r="CS79" s="358"/>
      <c r="CT79" s="358"/>
      <c r="CU79" s="358"/>
      <c r="CV79" s="356"/>
      <c r="CW79" s="356"/>
      <c r="CX79" s="356"/>
      <c r="CY79" s="356"/>
      <c r="CZ79" s="356"/>
      <c r="DA79" s="356"/>
      <c r="DB79" s="356"/>
      <c r="DC79" s="356"/>
      <c r="DD79" s="356"/>
      <c r="DE79" s="356"/>
      <c r="DF79" s="356"/>
      <c r="DG79" s="356"/>
      <c r="DH79" s="356"/>
      <c r="DI79" s="356"/>
      <c r="DJ79" s="356"/>
      <c r="DK79" s="356"/>
      <c r="DL79" s="356"/>
      <c r="DM79" s="356"/>
      <c r="DN79" s="356"/>
      <c r="DO79" s="356"/>
    </row>
    <row r="80" spans="1:119">
      <c r="U80" s="132">
        <v>-3.3929560743965199E-2</v>
      </c>
      <c r="V80" s="132">
        <v>-3.6143648595172113E-2</v>
      </c>
      <c r="W80" s="132">
        <v>-3.6367233874159077E-2</v>
      </c>
      <c r="X80" s="132">
        <v>-3.5035615354174897E-2</v>
      </c>
      <c r="Y80" s="132">
        <v>-3.7411950929956472E-2</v>
      </c>
      <c r="Z80" s="132">
        <v>-3.797783933517998E-2</v>
      </c>
      <c r="AA80" s="132">
        <v>-4.4339137316976647E-2</v>
      </c>
      <c r="AB80" s="132">
        <v>-4.4339137316976647E-2</v>
      </c>
      <c r="AC80" s="132">
        <v>-4.4339137316976647E-2</v>
      </c>
      <c r="AD80" s="132">
        <v>-4.593984962406019E-2</v>
      </c>
      <c r="AE80" s="132">
        <v>-4.593984962406019E-2</v>
      </c>
      <c r="AF80" s="132">
        <v>-4.593984962406019E-2</v>
      </c>
      <c r="AH80" s="152" cm="1">
        <f t="array" ref="AH80">INDEX(U80:AF80,1,$AH$32)</f>
        <v>-3.5035615354174897E-2</v>
      </c>
      <c r="AI80" s="18" cm="1">
        <f t="array" ref="AI80">INDEX($AH$74:$AH$100,($AI$34-1)*9+7)</f>
        <v>-4.7299168975069271E-2</v>
      </c>
      <c r="AJ80" s="7" t="s">
        <v>354</v>
      </c>
      <c r="AK80" s="82">
        <v>6.3E-2</v>
      </c>
      <c r="AL80" s="18">
        <f>AH92</f>
        <v>-4.3335971507716647E-2</v>
      </c>
      <c r="AM80" s="18">
        <f>AH95</f>
        <v>-5.1096161456272264E-2</v>
      </c>
      <c r="AN80" s="18">
        <f>AH98</f>
        <v>-4.7299168975069271E-2</v>
      </c>
      <c r="BN80" s="12">
        <v>71</v>
      </c>
      <c r="BO80" s="12">
        <v>2</v>
      </c>
      <c r="BP80" s="7">
        <v>26</v>
      </c>
      <c r="BQ80" s="59">
        <v>71</v>
      </c>
      <c r="BR80" s="64" t="str">
        <f t="shared" si="49"/>
        <v>---------</v>
      </c>
      <c r="BS80" s="106">
        <v>18.100000000000001</v>
      </c>
      <c r="BT80" s="12" t="s">
        <v>355</v>
      </c>
      <c r="BU80" s="7" t="str">
        <f t="shared" si="50"/>
        <v>---------</v>
      </c>
      <c r="BV80" s="290">
        <v>2.31000000000002</v>
      </c>
      <c r="BW80" s="59">
        <v>71</v>
      </c>
      <c r="BX80" s="168" t="str">
        <f t="shared" si="51"/>
        <v>---------</v>
      </c>
      <c r="BY80" s="182">
        <v>5.8099999999999999E-2</v>
      </c>
      <c r="BZ80" s="185">
        <v>71</v>
      </c>
      <c r="CA80" s="184">
        <f t="shared" si="52"/>
        <v>5.8099999999999999E-2</v>
      </c>
      <c r="CB80" s="142">
        <f t="shared" si="55"/>
        <v>136.5</v>
      </c>
      <c r="CC80" s="262">
        <f t="shared" si="53"/>
        <v>2.1</v>
      </c>
      <c r="CD80" s="12">
        <v>71</v>
      </c>
      <c r="CE80" s="262">
        <f t="shared" si="54"/>
        <v>2.1</v>
      </c>
      <c r="CG80" s="12">
        <v>71</v>
      </c>
      <c r="CH80" s="13">
        <v>2</v>
      </c>
      <c r="CI80" s="12"/>
      <c r="CJ80" s="356"/>
      <c r="CK80" s="358" t="s">
        <v>356</v>
      </c>
      <c r="CL80" s="358"/>
      <c r="CM80" s="358"/>
      <c r="CN80" s="358"/>
      <c r="CO80" s="358"/>
      <c r="CP80" s="358"/>
      <c r="CQ80" s="358"/>
      <c r="CR80" s="358"/>
      <c r="CS80" s="358"/>
      <c r="CT80" s="358"/>
      <c r="CU80" s="358"/>
      <c r="CV80" s="356"/>
      <c r="CW80" s="356"/>
      <c r="CX80" s="356"/>
      <c r="CY80" s="356"/>
      <c r="CZ80" s="356"/>
      <c r="DA80" s="356"/>
      <c r="DB80" s="356"/>
      <c r="DC80" s="356"/>
      <c r="DD80" s="356"/>
      <c r="DE80" s="356"/>
      <c r="DF80" s="356"/>
      <c r="DG80" s="356"/>
      <c r="DH80" s="356"/>
      <c r="DI80" s="356"/>
      <c r="DJ80" s="356"/>
      <c r="DK80" s="356"/>
      <c r="DL80" s="356"/>
      <c r="DM80" s="356"/>
      <c r="DN80" s="356"/>
      <c r="DO80" s="356"/>
    </row>
    <row r="81" spans="20:119">
      <c r="U81" s="132">
        <v>1.1283055005935896</v>
      </c>
      <c r="V81" s="132">
        <v>1.1272812425801342</v>
      </c>
      <c r="W81" s="132">
        <v>1.1324273842500989</v>
      </c>
      <c r="X81" s="132">
        <v>1.1601626830233476</v>
      </c>
      <c r="Y81" s="132">
        <v>1.1545818757419868</v>
      </c>
      <c r="Z81" s="132">
        <v>1.1660094182825478</v>
      </c>
      <c r="AA81" s="132">
        <v>1.1589368816778791</v>
      </c>
      <c r="AB81" s="132">
        <v>1.1589368816778791</v>
      </c>
      <c r="AC81" s="132">
        <v>1.1589368816778791</v>
      </c>
      <c r="AD81" s="132">
        <v>1.1999172932330833</v>
      </c>
      <c r="AE81" s="132">
        <v>1.1999172932330833</v>
      </c>
      <c r="AF81" s="132">
        <v>1.1999172932330833</v>
      </c>
      <c r="AH81" s="152" cm="1">
        <f t="array" ref="AH81">INDEX(U81:AF81,1,$AH$32)</f>
        <v>1.1601626830233476</v>
      </c>
      <c r="AI81" s="18" cm="1">
        <f t="array" ref="AI81">INDEX($AH$74:$AH$100,($AI$34-1)*9+8)</f>
        <v>1.0543570637119117</v>
      </c>
      <c r="AJ81" s="7" t="s">
        <v>357</v>
      </c>
      <c r="AL81" s="18">
        <f>AH93</f>
        <v>0.7201976256430549</v>
      </c>
      <c r="AM81" s="18">
        <f>AH96</f>
        <v>0.97067661258409199</v>
      </c>
      <c r="AN81" s="18">
        <f>AH99</f>
        <v>1.0543570637119117</v>
      </c>
      <c r="BN81" s="12">
        <v>72</v>
      </c>
      <c r="BO81" s="12">
        <v>1.9</v>
      </c>
      <c r="BP81" s="7">
        <v>25</v>
      </c>
      <c r="BQ81" s="59">
        <v>72</v>
      </c>
      <c r="BR81" s="64" t="str">
        <f t="shared" si="49"/>
        <v>---------</v>
      </c>
      <c r="BS81" s="106">
        <v>18</v>
      </c>
      <c r="BT81" s="12" t="s">
        <v>358</v>
      </c>
      <c r="BU81" s="7" t="str">
        <f t="shared" si="50"/>
        <v>---------</v>
      </c>
      <c r="BV81" s="290">
        <v>2.30000000000001</v>
      </c>
      <c r="BW81" s="59">
        <v>72</v>
      </c>
      <c r="BX81" s="168" t="str">
        <f t="shared" si="51"/>
        <v>---------</v>
      </c>
      <c r="BY81" s="182">
        <v>5.8000000000000003E-2</v>
      </c>
      <c r="BZ81" s="185">
        <v>72</v>
      </c>
      <c r="CA81" s="184">
        <f t="shared" si="52"/>
        <v>5.8000000000000003E-2</v>
      </c>
      <c r="CB81" s="142">
        <f t="shared" si="55"/>
        <v>130</v>
      </c>
      <c r="CC81" s="262">
        <f t="shared" si="53"/>
        <v>2</v>
      </c>
      <c r="CD81" s="12">
        <v>72</v>
      </c>
      <c r="CE81" s="262">
        <f t="shared" si="54"/>
        <v>2</v>
      </c>
      <c r="CG81" s="12">
        <v>72</v>
      </c>
      <c r="CH81" s="12">
        <v>1.9</v>
      </c>
      <c r="CJ81" s="356"/>
      <c r="CK81" s="358"/>
      <c r="CL81" s="358"/>
      <c r="CM81" s="358"/>
      <c r="CN81" s="358"/>
      <c r="CO81" s="358"/>
      <c r="CP81" s="358"/>
      <c r="CQ81" s="358"/>
      <c r="CR81" s="358"/>
      <c r="CS81" s="358"/>
      <c r="CT81" s="358"/>
      <c r="CU81" s="358"/>
      <c r="CV81" s="356"/>
      <c r="CW81" s="356"/>
      <c r="CX81" s="356"/>
      <c r="CY81" s="356"/>
      <c r="CZ81" s="356"/>
      <c r="DA81" s="356"/>
      <c r="DB81" s="356"/>
      <c r="DC81" s="356"/>
      <c r="DD81" s="356"/>
      <c r="DE81" s="356"/>
      <c r="DF81" s="356"/>
      <c r="DG81" s="356"/>
      <c r="DH81" s="356"/>
      <c r="DI81" s="356"/>
      <c r="DJ81" s="356"/>
      <c r="DK81" s="356"/>
      <c r="DL81" s="356"/>
      <c r="DM81" s="356"/>
      <c r="DN81" s="356"/>
      <c r="DO81" s="356"/>
    </row>
    <row r="82" spans="20:119">
      <c r="U82" s="132">
        <v>-7.3310360110804274E-2</v>
      </c>
      <c r="V82" s="132">
        <v>1.0465152908587272</v>
      </c>
      <c r="W82" s="132">
        <v>1.1247781163434909</v>
      </c>
      <c r="X82" s="132">
        <v>-0.18798243767312894</v>
      </c>
      <c r="Y82" s="132">
        <v>0.94740204986149412</v>
      </c>
      <c r="Z82" s="132">
        <v>1.199809750692522</v>
      </c>
      <c r="AA82" s="132">
        <v>-0.12044365650969668</v>
      </c>
      <c r="AB82" s="132">
        <v>0.94955634349030338</v>
      </c>
      <c r="AC82" s="132">
        <v>1.2595563434903032</v>
      </c>
      <c r="AD82" s="132">
        <v>-0.24741368421052856</v>
      </c>
      <c r="AE82" s="132">
        <v>0.8225863157894715</v>
      </c>
      <c r="AF82" s="132">
        <v>1.1325863157894713</v>
      </c>
      <c r="AH82" s="152" cm="1">
        <f t="array" ref="AH82">INDEX(U82:AF82,1,$AH$32)</f>
        <v>-0.18798243767312894</v>
      </c>
      <c r="AI82" s="18" cm="1">
        <f t="array" ref="AI82">INDEX($AH$74:$AH$100,($AI$34-1)*9+9)+$AL$8</f>
        <v>0.26146626038780996</v>
      </c>
      <c r="AJ82" s="7" t="s">
        <v>359</v>
      </c>
      <c r="AL82" s="18">
        <f>AH94+$AL$8</f>
        <v>1.007035180055402</v>
      </c>
      <c r="AM82" s="18">
        <f>AH97+$AL$8</f>
        <v>0.47587573407202166</v>
      </c>
      <c r="AN82" s="18">
        <f>AH100+$AL$8</f>
        <v>0.26146626038780996</v>
      </c>
      <c r="BN82" s="12">
        <v>73</v>
      </c>
      <c r="BO82" s="12">
        <v>1.8</v>
      </c>
      <c r="BP82" s="7">
        <v>24</v>
      </c>
      <c r="BQ82" s="59">
        <v>73</v>
      </c>
      <c r="BR82" s="64" t="str">
        <f t="shared" si="49"/>
        <v>---------</v>
      </c>
      <c r="BS82" s="106">
        <v>17.899999999999999</v>
      </c>
      <c r="BT82" s="12" t="s">
        <v>360</v>
      </c>
      <c r="BU82" s="7" t="str">
        <f t="shared" si="50"/>
        <v>---------</v>
      </c>
      <c r="BV82" s="290">
        <v>2.29000000000002</v>
      </c>
      <c r="BW82" s="59">
        <v>73</v>
      </c>
      <c r="BX82" s="168" t="str">
        <f t="shared" si="51"/>
        <v>---------</v>
      </c>
      <c r="BY82" s="182">
        <v>5.79E-2</v>
      </c>
      <c r="BZ82" s="185">
        <v>73</v>
      </c>
      <c r="CA82" s="184">
        <f t="shared" si="52"/>
        <v>5.79E-2</v>
      </c>
      <c r="CB82" s="142">
        <f t="shared" si="55"/>
        <v>123.5</v>
      </c>
      <c r="CC82" s="262">
        <f t="shared" si="53"/>
        <v>1.9</v>
      </c>
      <c r="CD82" s="12">
        <v>73</v>
      </c>
      <c r="CE82" s="262">
        <f t="shared" si="54"/>
        <v>1.9</v>
      </c>
      <c r="CG82" s="12">
        <v>73</v>
      </c>
      <c r="CH82" s="12">
        <v>1.8</v>
      </c>
      <c r="CJ82" s="356"/>
      <c r="CK82" s="358" t="s">
        <v>361</v>
      </c>
      <c r="CL82" s="358"/>
      <c r="CM82" s="358"/>
      <c r="CN82" s="358"/>
      <c r="CO82" s="358"/>
      <c r="CP82" s="358"/>
      <c r="CQ82" s="358"/>
      <c r="CR82" s="358"/>
      <c r="CS82" s="358"/>
      <c r="CT82" s="358"/>
      <c r="CU82" s="358"/>
      <c r="CV82" s="356"/>
      <c r="CW82" s="356"/>
      <c r="CX82" s="356"/>
      <c r="CY82" s="356"/>
      <c r="CZ82" s="356"/>
      <c r="DA82" s="356"/>
      <c r="DB82" s="356"/>
      <c r="DC82" s="356"/>
      <c r="DD82" s="356"/>
      <c r="DE82" s="356"/>
      <c r="DF82" s="356"/>
      <c r="DG82" s="356"/>
      <c r="DH82" s="356"/>
      <c r="DI82" s="356"/>
      <c r="DJ82" s="356"/>
      <c r="DK82" s="356"/>
      <c r="DL82" s="356"/>
      <c r="DM82" s="356"/>
      <c r="DN82" s="356"/>
      <c r="DO82" s="356"/>
    </row>
    <row r="83" spans="20:119">
      <c r="T83" s="7" t="s">
        <v>219</v>
      </c>
      <c r="U83" s="36">
        <v>-5.1474079936683799E-2</v>
      </c>
      <c r="V83" s="36">
        <v>-4.8529877324891162E-2</v>
      </c>
      <c r="W83" s="36">
        <v>-4.8027305104867433E-2</v>
      </c>
      <c r="X83" s="36">
        <v>-5.5617332805698472E-2</v>
      </c>
      <c r="Y83" s="36">
        <v>-5.3652552433715868E-2</v>
      </c>
      <c r="Z83" s="36">
        <v>-5.4212504946577006E-2</v>
      </c>
      <c r="AA83" s="36">
        <v>-3.9062129006727342E-2</v>
      </c>
      <c r="AB83" s="36">
        <v>-3.9062129006727342E-2</v>
      </c>
      <c r="AC83" s="36">
        <v>-3.9062129006727342E-2</v>
      </c>
      <c r="AD83" s="36">
        <v>-4.5128611001187188E-2</v>
      </c>
      <c r="AE83" s="36">
        <v>-4.5128611001187188E-2</v>
      </c>
      <c r="AF83" s="36">
        <v>-4.5128611001187188E-2</v>
      </c>
      <c r="AH83" s="18" cm="1">
        <f t="array" ref="AH83">INDEX(U83:AF83,1,$AH$32)</f>
        <v>-5.5617332805698472E-2</v>
      </c>
      <c r="BN83" s="12">
        <v>74</v>
      </c>
      <c r="BO83" s="12">
        <v>1.7</v>
      </c>
      <c r="BP83" s="7">
        <v>23</v>
      </c>
      <c r="BQ83" s="59">
        <v>74</v>
      </c>
      <c r="BR83" s="64" t="str">
        <f t="shared" si="49"/>
        <v>---------</v>
      </c>
      <c r="BS83" s="106">
        <v>17.8</v>
      </c>
      <c r="BT83" s="12" t="s">
        <v>362</v>
      </c>
      <c r="BU83" s="7" t="str">
        <f t="shared" si="50"/>
        <v>---------</v>
      </c>
      <c r="BV83" s="290">
        <v>2.28000000000001</v>
      </c>
      <c r="BW83" s="59">
        <v>74</v>
      </c>
      <c r="BX83" s="168" t="str">
        <f t="shared" si="51"/>
        <v>---------</v>
      </c>
      <c r="BY83" s="182">
        <v>5.7799999999999997E-2</v>
      </c>
      <c r="BZ83" s="185">
        <v>74</v>
      </c>
      <c r="CA83" s="184">
        <f t="shared" si="52"/>
        <v>5.7799999999999997E-2</v>
      </c>
      <c r="CB83" s="142">
        <f t="shared" si="55"/>
        <v>117</v>
      </c>
      <c r="CC83" s="262">
        <f t="shared" si="53"/>
        <v>1.8</v>
      </c>
      <c r="CD83" s="12">
        <v>74</v>
      </c>
      <c r="CE83" s="262">
        <f t="shared" si="54"/>
        <v>1.8</v>
      </c>
      <c r="CG83" s="12">
        <v>74</v>
      </c>
      <c r="CH83" s="12">
        <v>1.7</v>
      </c>
      <c r="CJ83" s="356"/>
      <c r="CK83" s="358" t="s">
        <v>363</v>
      </c>
      <c r="CL83" s="358"/>
      <c r="CM83" s="358"/>
      <c r="CN83" s="358"/>
      <c r="CO83" s="358"/>
      <c r="CP83" s="358"/>
      <c r="CQ83" s="358"/>
      <c r="CR83" s="358"/>
      <c r="CS83" s="358"/>
      <c r="CT83" s="358"/>
      <c r="CU83" s="358"/>
      <c r="CV83" s="356"/>
      <c r="CW83" s="356"/>
      <c r="CX83" s="356"/>
      <c r="CY83" s="356"/>
      <c r="CZ83" s="356"/>
      <c r="DA83" s="356"/>
      <c r="DB83" s="356"/>
      <c r="DC83" s="356"/>
      <c r="DD83" s="356"/>
      <c r="DE83" s="356"/>
      <c r="DF83" s="356"/>
      <c r="DG83" s="356"/>
      <c r="DH83" s="356"/>
      <c r="DI83" s="356"/>
      <c r="DJ83" s="356"/>
      <c r="DK83" s="356"/>
      <c r="DL83" s="356"/>
      <c r="DM83" s="356"/>
      <c r="DN83" s="356"/>
      <c r="DO83" s="356"/>
    </row>
    <row r="84" spans="20:119">
      <c r="U84" s="36">
        <v>0.91017859121487921</v>
      </c>
      <c r="V84" s="36">
        <v>0.84482837356549267</v>
      </c>
      <c r="W84" s="36">
        <v>0.83657542540561936</v>
      </c>
      <c r="X84" s="36">
        <v>0.98276545310645058</v>
      </c>
      <c r="Y84" s="36">
        <v>0.93466007123070849</v>
      </c>
      <c r="Z84" s="36">
        <v>0.9439034823901864</v>
      </c>
      <c r="AA84" s="36">
        <v>0.62634934705184009</v>
      </c>
      <c r="AB84" s="36">
        <v>0.62634934705184009</v>
      </c>
      <c r="AC84" s="36">
        <v>0.62634934705184009</v>
      </c>
      <c r="AD84" s="36">
        <v>0.72401582904630013</v>
      </c>
      <c r="AE84" s="36">
        <v>0.72401582904630013</v>
      </c>
      <c r="AF84" s="36">
        <v>0.72401582904630013</v>
      </c>
      <c r="AH84" s="18" cm="1">
        <f t="array" ref="AH84">INDEX(U84:AF84,1,$AH$32)</f>
        <v>0.98276545310645058</v>
      </c>
      <c r="BN84" s="12">
        <v>75</v>
      </c>
      <c r="BO84" s="12">
        <v>1.6</v>
      </c>
      <c r="BP84" s="7">
        <v>22</v>
      </c>
      <c r="BQ84" s="59">
        <v>75</v>
      </c>
      <c r="BR84" s="64" t="str">
        <f t="shared" si="49"/>
        <v>---------</v>
      </c>
      <c r="BS84" s="106">
        <v>17.7</v>
      </c>
      <c r="BT84" s="12" t="s">
        <v>364</v>
      </c>
      <c r="BU84" s="7" t="str">
        <f t="shared" si="50"/>
        <v>---------</v>
      </c>
      <c r="BV84" s="290">
        <v>2.27000000000002</v>
      </c>
      <c r="BW84" s="59">
        <v>75</v>
      </c>
      <c r="BX84" s="168" t="str">
        <f t="shared" si="51"/>
        <v>---------</v>
      </c>
      <c r="BY84" s="182">
        <v>5.7700000000000001E-2</v>
      </c>
      <c r="BZ84" s="185">
        <v>75</v>
      </c>
      <c r="CA84" s="184">
        <f t="shared" si="52"/>
        <v>5.7700000000000001E-2</v>
      </c>
      <c r="CB84" s="142">
        <f t="shared" si="55"/>
        <v>110.5</v>
      </c>
      <c r="CC84" s="262">
        <f t="shared" si="53"/>
        <v>1.7</v>
      </c>
      <c r="CD84" s="12">
        <v>75</v>
      </c>
      <c r="CE84" s="262">
        <f t="shared" si="54"/>
        <v>1.7</v>
      </c>
      <c r="CG84" s="12">
        <v>75</v>
      </c>
      <c r="CH84" s="12">
        <v>1.6</v>
      </c>
      <c r="CJ84" s="356"/>
      <c r="CK84" s="358"/>
      <c r="CL84" s="358"/>
      <c r="CM84" s="358"/>
      <c r="CN84" s="358"/>
      <c r="CO84" s="358"/>
      <c r="CP84" s="358"/>
      <c r="CQ84" s="358"/>
      <c r="CR84" s="358"/>
      <c r="CS84" s="358"/>
      <c r="CT84" s="358"/>
      <c r="CU84" s="358"/>
      <c r="CV84" s="356"/>
      <c r="CW84" s="356"/>
      <c r="CX84" s="356"/>
      <c r="CY84" s="356"/>
      <c r="CZ84" s="356"/>
      <c r="DA84" s="356"/>
      <c r="DB84" s="356"/>
      <c r="DC84" s="356"/>
      <c r="DD84" s="356"/>
      <c r="DE84" s="356"/>
      <c r="DF84" s="356"/>
      <c r="DG84" s="356"/>
      <c r="DH84" s="356"/>
      <c r="DI84" s="356"/>
      <c r="DJ84" s="356"/>
      <c r="DK84" s="356"/>
      <c r="DL84" s="356"/>
      <c r="DM84" s="356"/>
      <c r="DN84" s="356"/>
      <c r="DO84" s="356"/>
    </row>
    <row r="85" spans="20:119">
      <c r="U85" s="36">
        <v>0.5568392243767315</v>
      </c>
      <c r="V85" s="36">
        <v>1.801398282548476</v>
      </c>
      <c r="W85" s="36">
        <v>1.5932991135734071</v>
      </c>
      <c r="X85" s="36">
        <v>0.40896160664819847</v>
      </c>
      <c r="Y85" s="36">
        <v>1.6345831024930733</v>
      </c>
      <c r="Z85" s="36">
        <v>1.8937213850415509</v>
      </c>
      <c r="AA85" s="36">
        <v>1.0939508587257623</v>
      </c>
      <c r="AB85" s="36">
        <v>2.1639508587257623</v>
      </c>
      <c r="AC85" s="36">
        <v>2.4739508587257619</v>
      </c>
      <c r="AD85" s="36">
        <v>0.91719423822714585</v>
      </c>
      <c r="AE85" s="36">
        <v>1.9871942382271459</v>
      </c>
      <c r="AF85" s="36">
        <v>2.2971942382271457</v>
      </c>
      <c r="AH85" s="18" cm="1">
        <f t="array" ref="AH85">INDEX(U85:AF85,1,$AH$32)</f>
        <v>0.40896160664819847</v>
      </c>
      <c r="BN85" s="12">
        <v>76</v>
      </c>
      <c r="BO85" s="12">
        <v>1.5</v>
      </c>
      <c r="BP85" s="7">
        <v>21</v>
      </c>
      <c r="BQ85" s="59">
        <v>76</v>
      </c>
      <c r="BR85" s="64" t="str">
        <f t="shared" si="49"/>
        <v>---------</v>
      </c>
      <c r="BS85" s="106">
        <v>17.600000000000001</v>
      </c>
      <c r="BT85" s="12" t="s">
        <v>365</v>
      </c>
      <c r="BU85" s="7" t="str">
        <f t="shared" si="50"/>
        <v>---------</v>
      </c>
      <c r="BV85" s="290">
        <v>2.2600000000000202</v>
      </c>
      <c r="BW85" s="59">
        <v>76</v>
      </c>
      <c r="BX85" s="168" t="str">
        <f t="shared" si="51"/>
        <v>---------</v>
      </c>
      <c r="BY85" s="182">
        <v>5.7599999999999998E-2</v>
      </c>
      <c r="BZ85" s="185">
        <v>76</v>
      </c>
      <c r="CA85" s="184">
        <f t="shared" si="52"/>
        <v>5.7599999999999998E-2</v>
      </c>
      <c r="CB85" s="142">
        <f t="shared" si="55"/>
        <v>104.00000000000001</v>
      </c>
      <c r="CC85" s="262">
        <f t="shared" si="53"/>
        <v>1.6</v>
      </c>
      <c r="CD85" s="12">
        <v>76</v>
      </c>
      <c r="CE85" s="262">
        <f t="shared" si="54"/>
        <v>1.6</v>
      </c>
      <c r="CG85" s="12">
        <v>76</v>
      </c>
      <c r="CH85" s="12">
        <v>1.5</v>
      </c>
      <c r="CJ85" s="356"/>
      <c r="CK85" s="358"/>
      <c r="CL85" s="358"/>
      <c r="CM85" s="358"/>
      <c r="CN85" s="358"/>
      <c r="CO85" s="358"/>
      <c r="CP85" s="358"/>
      <c r="CQ85" s="358"/>
      <c r="CR85" s="358"/>
      <c r="CS85" s="358"/>
      <c r="CT85" s="358"/>
      <c r="CU85" s="358"/>
      <c r="CV85" s="356"/>
      <c r="CW85" s="356"/>
      <c r="CX85" s="356"/>
      <c r="CY85" s="356"/>
      <c r="CZ85" s="356"/>
      <c r="DA85" s="356"/>
      <c r="DB85" s="356"/>
      <c r="DC85" s="356"/>
      <c r="DD85" s="356"/>
      <c r="DE85" s="356"/>
      <c r="DF85" s="356"/>
      <c r="DG85" s="356"/>
      <c r="DH85" s="356"/>
      <c r="DI85" s="356"/>
      <c r="DJ85" s="356"/>
      <c r="DK85" s="356"/>
      <c r="DL85" s="356"/>
      <c r="DM85" s="356"/>
      <c r="DN85" s="356"/>
      <c r="DO85" s="356"/>
    </row>
    <row r="86" spans="20:119">
      <c r="U86" s="36">
        <v>-4.9944598337950133E-2</v>
      </c>
      <c r="V86" s="36">
        <v>-5.0375939849624046E-2</v>
      </c>
      <c r="W86" s="36">
        <v>-4.9744756628413135E-2</v>
      </c>
      <c r="X86" s="36">
        <v>-5.2334784329244204E-2</v>
      </c>
      <c r="Y86" s="36">
        <v>-5.321527502967948E-2</v>
      </c>
      <c r="Z86" s="36">
        <v>-5.3889988128215258E-2</v>
      </c>
      <c r="AA86" s="36">
        <v>-5.1474079936683799E-2</v>
      </c>
      <c r="AB86" s="36">
        <v>-5.1474079936683799E-2</v>
      </c>
      <c r="AC86" s="36">
        <v>-5.1474079936683799E-2</v>
      </c>
      <c r="AD86" s="36">
        <v>-5.5617332805698472E-2</v>
      </c>
      <c r="AE86" s="36">
        <v>-5.5617332805698472E-2</v>
      </c>
      <c r="AF86" s="36">
        <v>-5.5617332805698472E-2</v>
      </c>
      <c r="AH86" s="18" cm="1">
        <f t="array" ref="AH86">INDEX(U86:AF86,1,$AH$32)</f>
        <v>-5.2334784329244204E-2</v>
      </c>
      <c r="BP86" s="7">
        <v>20</v>
      </c>
      <c r="BQ86" s="59">
        <v>77</v>
      </c>
      <c r="BR86" s="64" t="str">
        <f t="shared" si="49"/>
        <v>---------</v>
      </c>
      <c r="BS86" s="106">
        <v>17.5</v>
      </c>
      <c r="BT86" s="12" t="s">
        <v>366</v>
      </c>
      <c r="BU86" s="7" t="str">
        <f t="shared" si="50"/>
        <v>---------</v>
      </c>
      <c r="BV86" s="290">
        <v>2.25000000000002</v>
      </c>
      <c r="BW86" s="59">
        <v>77</v>
      </c>
      <c r="BX86" s="168" t="str">
        <f t="shared" si="51"/>
        <v>---------</v>
      </c>
      <c r="BY86" s="182">
        <v>5.7500000000000002E-2</v>
      </c>
      <c r="BZ86" s="185">
        <v>77</v>
      </c>
      <c r="CA86" s="184">
        <f t="shared" si="52"/>
        <v>5.7500000000000002E-2</v>
      </c>
      <c r="CB86" s="142">
        <f t="shared" si="55"/>
        <v>97.5</v>
      </c>
      <c r="CC86" s="262">
        <f>CH85</f>
        <v>1.5</v>
      </c>
      <c r="CD86" s="12">
        <v>77</v>
      </c>
      <c r="CE86" s="262">
        <f t="shared" si="54"/>
        <v>1.5</v>
      </c>
      <c r="CJ86" s="356"/>
      <c r="CK86" s="358"/>
      <c r="CL86" s="358"/>
      <c r="CM86" s="358"/>
      <c r="CN86" s="358"/>
      <c r="CO86" s="358"/>
      <c r="CP86" s="358"/>
      <c r="CQ86" s="358"/>
      <c r="CR86" s="358"/>
      <c r="CS86" s="358"/>
      <c r="CT86" s="358"/>
      <c r="CU86" s="358"/>
      <c r="CV86" s="356"/>
      <c r="CW86" s="356"/>
      <c r="CX86" s="356"/>
      <c r="CY86" s="356"/>
      <c r="CZ86" s="356"/>
      <c r="DA86" s="356"/>
      <c r="DB86" s="356"/>
      <c r="DC86" s="356"/>
      <c r="DD86" s="356"/>
      <c r="DE86" s="356"/>
      <c r="DF86" s="356"/>
      <c r="DG86" s="356"/>
      <c r="DH86" s="356"/>
      <c r="DI86" s="356"/>
      <c r="DJ86" s="356"/>
      <c r="DK86" s="356"/>
      <c r="DL86" s="356"/>
      <c r="DM86" s="356"/>
      <c r="DN86" s="356"/>
      <c r="DO86" s="356"/>
    </row>
    <row r="87" spans="20:119">
      <c r="U87" s="36">
        <v>1.0676603878116344</v>
      </c>
      <c r="V87" s="36">
        <v>1.0403774436090223</v>
      </c>
      <c r="W87" s="36">
        <v>1.0297034032449546</v>
      </c>
      <c r="X87" s="36">
        <v>1.1151829046299966</v>
      </c>
      <c r="Y87" s="36">
        <v>1.0949799366838151</v>
      </c>
      <c r="Z87" s="36">
        <v>1.1063516422635533</v>
      </c>
      <c r="AA87" s="36">
        <v>0.91017859121487921</v>
      </c>
      <c r="AB87" s="36">
        <v>0.91017859121487921</v>
      </c>
      <c r="AC87" s="36">
        <v>0.91017859121487921</v>
      </c>
      <c r="AD87" s="36">
        <v>0.98276545310645058</v>
      </c>
      <c r="AE87" s="36">
        <v>0.98276545310645058</v>
      </c>
      <c r="AF87" s="36">
        <v>0.98276545310645058</v>
      </c>
      <c r="AH87" s="38" cm="1">
        <f t="array" ref="AH87">INDEX(U87:AF87,1,$AH$32)</f>
        <v>1.1151829046299966</v>
      </c>
      <c r="BP87" s="7">
        <v>19</v>
      </c>
      <c r="BQ87" s="59">
        <v>78</v>
      </c>
      <c r="BR87" s="64" t="str">
        <f t="shared" si="49"/>
        <v>---------</v>
      </c>
      <c r="BS87" s="106">
        <v>17.399999999999999</v>
      </c>
      <c r="BT87" s="12" t="s">
        <v>367</v>
      </c>
      <c r="BU87" s="7" t="str">
        <f t="shared" si="50"/>
        <v>---------</v>
      </c>
      <c r="BV87" s="290">
        <v>2.2400000000000202</v>
      </c>
      <c r="BW87" s="59">
        <v>78</v>
      </c>
      <c r="BX87" s="168" t="str">
        <f t="shared" si="51"/>
        <v>---------</v>
      </c>
      <c r="BY87" s="182">
        <v>5.74E-2</v>
      </c>
      <c r="BZ87" s="185">
        <v>78</v>
      </c>
      <c r="CA87" s="184">
        <f t="shared" si="52"/>
        <v>5.74E-2</v>
      </c>
      <c r="CJ87" s="356"/>
      <c r="CK87" s="358"/>
      <c r="CL87" s="358"/>
      <c r="CM87" s="358"/>
      <c r="CN87" s="358"/>
      <c r="CO87" s="358"/>
      <c r="CP87" s="358"/>
      <c r="CQ87" s="358"/>
      <c r="CR87" s="358"/>
      <c r="CS87" s="358"/>
      <c r="CT87" s="358"/>
      <c r="CU87" s="358"/>
      <c r="CV87" s="356"/>
      <c r="CW87" s="356"/>
      <c r="CX87" s="356"/>
      <c r="CY87" s="356"/>
      <c r="CZ87" s="356"/>
      <c r="DA87" s="356"/>
      <c r="DB87" s="356"/>
      <c r="DC87" s="356"/>
      <c r="DD87" s="356"/>
      <c r="DE87" s="356"/>
      <c r="DF87" s="356"/>
      <c r="DG87" s="356"/>
      <c r="DH87" s="356"/>
      <c r="DI87" s="356"/>
      <c r="DJ87" s="356"/>
      <c r="DK87" s="356"/>
      <c r="DL87" s="356"/>
      <c r="DM87" s="356"/>
      <c r="DN87" s="356"/>
      <c r="DO87" s="356"/>
    </row>
    <row r="88" spans="20:119">
      <c r="U88" s="36">
        <v>0.20249595567866985</v>
      </c>
      <c r="V88" s="36">
        <v>1.3915852631578969</v>
      </c>
      <c r="W88" s="36">
        <v>1.1889844875346256</v>
      </c>
      <c r="X88" s="36">
        <v>9.2272243767311135E-2</v>
      </c>
      <c r="Y88" s="36">
        <v>1.2749738504155119</v>
      </c>
      <c r="Z88" s="36">
        <v>1.5297966759002786</v>
      </c>
      <c r="AA88" s="36">
        <v>0.5568392243767315</v>
      </c>
      <c r="AB88" s="36">
        <v>1.6268392243767316</v>
      </c>
      <c r="AC88" s="36">
        <v>1.9368392243767314</v>
      </c>
      <c r="AD88" s="36">
        <v>0.40896160664819847</v>
      </c>
      <c r="AE88" s="36">
        <v>1.4789616066481985</v>
      </c>
      <c r="AF88" s="36">
        <v>1.7889616066481984</v>
      </c>
      <c r="AH88" s="40" cm="1">
        <f t="array" ref="AH88">INDEX(U88:AF88,1,$AH$32)</f>
        <v>9.2272243767311135E-2</v>
      </c>
      <c r="BP88" s="7">
        <v>18</v>
      </c>
      <c r="BQ88" s="59">
        <v>79</v>
      </c>
      <c r="BR88" s="64" t="str">
        <f t="shared" si="49"/>
        <v>---------</v>
      </c>
      <c r="BS88" s="106">
        <v>17.3</v>
      </c>
      <c r="BT88" s="12" t="s">
        <v>368</v>
      </c>
      <c r="BU88" s="7" t="str">
        <f t="shared" si="50"/>
        <v>---------</v>
      </c>
      <c r="BV88" s="290">
        <v>2.23000000000002</v>
      </c>
      <c r="BW88" s="59">
        <v>79</v>
      </c>
      <c r="BX88" s="168" t="str">
        <f t="shared" si="51"/>
        <v>---------</v>
      </c>
      <c r="BY88" s="182">
        <v>5.7299999999999997E-2</v>
      </c>
      <c r="BZ88" s="185">
        <v>79</v>
      </c>
      <c r="CA88" s="184">
        <f t="shared" si="52"/>
        <v>5.7299999999999997E-2</v>
      </c>
      <c r="CJ88" s="356"/>
      <c r="CK88" s="358"/>
      <c r="CL88" s="358"/>
      <c r="CM88" s="358"/>
      <c r="CN88" s="358"/>
      <c r="CO88" s="358"/>
      <c r="CP88" s="358"/>
      <c r="CQ88" s="358"/>
      <c r="CR88" s="358"/>
      <c r="CS88" s="358"/>
      <c r="CT88" s="358"/>
      <c r="CU88" s="358"/>
      <c r="CV88" s="356"/>
      <c r="CW88" s="356"/>
      <c r="CX88" s="356"/>
      <c r="CY88" s="356"/>
      <c r="CZ88" s="356"/>
      <c r="DA88" s="356"/>
      <c r="DB88" s="356"/>
      <c r="DC88" s="356"/>
      <c r="DD88" s="356"/>
      <c r="DE88" s="356"/>
      <c r="DF88" s="356"/>
      <c r="DG88" s="356"/>
      <c r="DH88" s="356"/>
      <c r="DI88" s="356"/>
      <c r="DJ88" s="356"/>
      <c r="DK88" s="356"/>
      <c r="DL88" s="356"/>
      <c r="DM88" s="356"/>
      <c r="DN88" s="356"/>
      <c r="DO88" s="356"/>
    </row>
    <row r="89" spans="20:119">
      <c r="U89" s="36">
        <v>-4.1383062920459054E-2</v>
      </c>
      <c r="V89" s="36">
        <v>-4.33795013850415E-2</v>
      </c>
      <c r="W89" s="36">
        <v>-4.271072417886821E-2</v>
      </c>
      <c r="X89" s="36">
        <v>-4.3076770874554852E-2</v>
      </c>
      <c r="Y89" s="36">
        <v>-4.5271072417886804E-2</v>
      </c>
      <c r="Z89" s="36">
        <v>-4.5999208547684904E-2</v>
      </c>
      <c r="AA89" s="36">
        <v>-4.9944598337950133E-2</v>
      </c>
      <c r="AB89" s="36">
        <v>-4.9944598337950133E-2</v>
      </c>
      <c r="AC89" s="36">
        <v>-4.9944598337950133E-2</v>
      </c>
      <c r="AD89" s="36">
        <v>-5.2334784329244204E-2</v>
      </c>
      <c r="AE89" s="36">
        <v>-5.2334784329244204E-2</v>
      </c>
      <c r="AF89" s="36">
        <v>-5.2334784329244204E-2</v>
      </c>
      <c r="AH89" s="37" cm="1">
        <f t="array" ref="AH89">INDEX(U89:AF89,1,$AH$32)</f>
        <v>-4.3076770874554852E-2</v>
      </c>
      <c r="BP89" s="7">
        <v>17</v>
      </c>
      <c r="BQ89" s="59">
        <v>80</v>
      </c>
      <c r="BR89" s="64" t="str">
        <f t="shared" si="49"/>
        <v>---------</v>
      </c>
      <c r="BS89" s="106">
        <v>17.2</v>
      </c>
      <c r="BT89" s="12" t="s">
        <v>369</v>
      </c>
      <c r="BU89" s="7" t="str">
        <f t="shared" si="50"/>
        <v>---------</v>
      </c>
      <c r="BV89" s="290">
        <v>2.2200000000000202</v>
      </c>
      <c r="BW89" s="59">
        <v>80</v>
      </c>
      <c r="BX89" s="168" t="str">
        <f t="shared" si="51"/>
        <v>---------</v>
      </c>
      <c r="BY89" s="182">
        <v>5.7200000000000001E-2</v>
      </c>
      <c r="BZ89" s="185">
        <v>80</v>
      </c>
      <c r="CA89" s="184">
        <f t="shared" si="52"/>
        <v>5.7200000000000001E-2</v>
      </c>
      <c r="CJ89" s="356"/>
      <c r="CK89" s="358"/>
      <c r="CL89" s="358"/>
      <c r="CM89" s="358"/>
      <c r="CN89" s="358"/>
      <c r="CO89" s="358"/>
      <c r="CP89" s="358"/>
      <c r="CQ89" s="358"/>
      <c r="CR89" s="358"/>
      <c r="CS89" s="358"/>
      <c r="CT89" s="358"/>
      <c r="CU89" s="358"/>
      <c r="CV89" s="356"/>
      <c r="CW89" s="356"/>
      <c r="CX89" s="356"/>
      <c r="CY89" s="356"/>
      <c r="CZ89" s="356"/>
      <c r="DA89" s="356"/>
      <c r="DB89" s="356"/>
      <c r="DC89" s="356"/>
      <c r="DD89" s="356"/>
      <c r="DE89" s="356"/>
      <c r="DF89" s="356"/>
      <c r="DG89" s="356"/>
      <c r="DH89" s="356"/>
      <c r="DI89" s="356"/>
      <c r="DJ89" s="356"/>
      <c r="DK89" s="356"/>
      <c r="DL89" s="356"/>
      <c r="DM89" s="356"/>
      <c r="DN89" s="356"/>
      <c r="DO89" s="356"/>
    </row>
    <row r="90" spans="20:119">
      <c r="U90" s="36">
        <v>1.0873026117926397</v>
      </c>
      <c r="V90" s="36">
        <v>1.0856110803324095</v>
      </c>
      <c r="W90" s="36">
        <v>1.0733603482390184</v>
      </c>
      <c r="X90" s="36">
        <v>1.1230414325286906</v>
      </c>
      <c r="Y90" s="36">
        <v>1.1217402453502174</v>
      </c>
      <c r="Z90" s="36">
        <v>1.1347375544123457</v>
      </c>
      <c r="AA90" s="36">
        <v>1.0676603878116344</v>
      </c>
      <c r="AB90" s="36">
        <v>1.0676603878116344</v>
      </c>
      <c r="AC90" s="36">
        <v>1.0676603878116344</v>
      </c>
      <c r="AD90" s="36">
        <v>1.1151829046299966</v>
      </c>
      <c r="AE90" s="36">
        <v>1.1151829046299966</v>
      </c>
      <c r="AF90" s="36">
        <v>1.1151829046299966</v>
      </c>
      <c r="AH90" s="38" cm="1">
        <f t="array" ref="AH90">INDEX(U90:AF90,1,$AH$32)</f>
        <v>1.1230414325286906</v>
      </c>
      <c r="BP90" s="7">
        <v>16</v>
      </c>
      <c r="BQ90" s="59">
        <v>81</v>
      </c>
      <c r="BR90" s="64" t="str">
        <f t="shared" si="49"/>
        <v>---------</v>
      </c>
      <c r="BS90" s="106">
        <v>17.100000000000001</v>
      </c>
      <c r="BT90" s="12" t="s">
        <v>370</v>
      </c>
      <c r="BU90" s="7" t="str">
        <f t="shared" si="50"/>
        <v>---------</v>
      </c>
      <c r="BV90" s="290">
        <v>2.2100000000000199</v>
      </c>
      <c r="BW90" s="59">
        <v>81</v>
      </c>
      <c r="BX90" s="168" t="str">
        <f t="shared" si="51"/>
        <v>---------</v>
      </c>
      <c r="BY90" s="182">
        <v>5.7099999999999998E-2</v>
      </c>
      <c r="BZ90" s="185">
        <v>81</v>
      </c>
      <c r="CA90" s="184">
        <f t="shared" si="52"/>
        <v>5.7099999999999998E-2</v>
      </c>
      <c r="CJ90" s="356"/>
      <c r="CK90" s="358"/>
      <c r="CL90" s="358"/>
      <c r="CM90" s="358"/>
      <c r="CN90" s="358"/>
      <c r="CO90" s="358"/>
      <c r="CP90" s="358"/>
      <c r="CQ90" s="358"/>
      <c r="CR90" s="358"/>
      <c r="CS90" s="358"/>
      <c r="CT90" s="358"/>
      <c r="CU90" s="358"/>
      <c r="CV90" s="356"/>
      <c r="CW90" s="356"/>
      <c r="CX90" s="356"/>
      <c r="CY90" s="356"/>
      <c r="CZ90" s="356"/>
      <c r="DA90" s="356"/>
      <c r="DB90" s="356"/>
      <c r="DC90" s="356"/>
      <c r="DD90" s="356"/>
      <c r="DE90" s="356"/>
      <c r="DF90" s="356"/>
      <c r="DG90" s="356"/>
      <c r="DH90" s="356"/>
      <c r="DI90" s="356"/>
      <c r="DJ90" s="356"/>
      <c r="DK90" s="356"/>
      <c r="DL90" s="356"/>
      <c r="DM90" s="356"/>
      <c r="DN90" s="356"/>
      <c r="DO90" s="356"/>
    </row>
    <row r="91" spans="20:119">
      <c r="U91" s="36">
        <v>0.12603445983379413</v>
      </c>
      <c r="V91" s="36">
        <v>1.2676393351800554</v>
      </c>
      <c r="W91" s="36">
        <v>1.0690975069252089</v>
      </c>
      <c r="X91" s="36">
        <v>3.4868476454292141E-2</v>
      </c>
      <c r="Y91" s="36">
        <v>1.1809876454293637</v>
      </c>
      <c r="Z91" s="36">
        <v>1.4318910249307488</v>
      </c>
      <c r="AA91" s="36">
        <v>0.20249595567866985</v>
      </c>
      <c r="AB91" s="36">
        <v>1.2724959556786699</v>
      </c>
      <c r="AC91" s="36">
        <v>1.5824959556786697</v>
      </c>
      <c r="AD91" s="36">
        <v>9.2272243767311135E-2</v>
      </c>
      <c r="AE91" s="36">
        <v>1.1622722437673112</v>
      </c>
      <c r="AF91" s="36">
        <v>1.472272243767311</v>
      </c>
      <c r="AH91" s="40" cm="1">
        <f t="array" ref="AH91">INDEX(U91:AF91,1,$AH$32)</f>
        <v>3.4868476454292141E-2</v>
      </c>
      <c r="BP91" s="7">
        <v>15</v>
      </c>
      <c r="BQ91" s="59">
        <v>82</v>
      </c>
      <c r="BR91" s="64" t="str">
        <f t="shared" si="49"/>
        <v>---------</v>
      </c>
      <c r="BS91" s="106">
        <v>17</v>
      </c>
      <c r="BT91" s="12" t="s">
        <v>371</v>
      </c>
      <c r="BU91" s="7" t="str">
        <f t="shared" si="50"/>
        <v>---------</v>
      </c>
      <c r="BV91" s="290">
        <v>2.2000000000000202</v>
      </c>
      <c r="BW91" s="59">
        <v>82</v>
      </c>
      <c r="BX91" s="168" t="str">
        <f t="shared" si="51"/>
        <v>---------</v>
      </c>
      <c r="BY91" s="182">
        <v>5.7000000000000002E-2</v>
      </c>
      <c r="BZ91" s="185">
        <v>82</v>
      </c>
      <c r="CA91" s="184">
        <f t="shared" si="52"/>
        <v>5.7000000000000002E-2</v>
      </c>
    </row>
    <row r="92" spans="20:119">
      <c r="T92" s="7" t="s">
        <v>226</v>
      </c>
      <c r="U92" s="132">
        <v>-4.0148397309062112E-2</v>
      </c>
      <c r="V92" s="132">
        <v>-3.7368421052631565E-2</v>
      </c>
      <c r="W92" s="132">
        <v>-3.6753066877720633E-2</v>
      </c>
      <c r="X92" s="132">
        <v>-4.3335971507716647E-2</v>
      </c>
      <c r="Y92" s="132">
        <v>-4.1440443213296395E-2</v>
      </c>
      <c r="Z92" s="132">
        <v>-4.1907400079145223E-2</v>
      </c>
      <c r="AA92" s="132">
        <v>-2.3446774831816387E-2</v>
      </c>
      <c r="AB92" s="132">
        <v>-2.3446774831816387E-2</v>
      </c>
      <c r="AC92" s="132">
        <v>-2.3446774831816387E-2</v>
      </c>
      <c r="AD92" s="132">
        <v>-2.7305104867431738E-2</v>
      </c>
      <c r="AE92" s="132">
        <v>-2.7305104867431738E-2</v>
      </c>
      <c r="AF92" s="132">
        <v>-2.7305104867431738E-2</v>
      </c>
      <c r="AH92" s="133" cm="1">
        <f t="array" ref="AH92">INDEX(U92:AF92,1,$AH$32)</f>
        <v>-4.3335971507716647E-2</v>
      </c>
      <c r="BP92" s="7">
        <v>14</v>
      </c>
      <c r="BQ92" s="59">
        <v>83</v>
      </c>
      <c r="BR92" s="64" t="str">
        <f t="shared" si="49"/>
        <v>---------</v>
      </c>
      <c r="BS92" s="106">
        <v>16.899999999999999</v>
      </c>
      <c r="BT92" s="12" t="s">
        <v>372</v>
      </c>
      <c r="BU92" s="7" t="str">
        <f t="shared" si="50"/>
        <v>---------</v>
      </c>
      <c r="BV92" s="290">
        <v>2.1900000000000199</v>
      </c>
      <c r="BW92" s="59">
        <v>83</v>
      </c>
      <c r="BX92" s="168" t="str">
        <f t="shared" si="51"/>
        <v>---------</v>
      </c>
      <c r="BY92" s="182">
        <v>5.6899999999999999E-2</v>
      </c>
      <c r="BZ92" s="185">
        <v>83</v>
      </c>
      <c r="CA92" s="184">
        <f t="shared" si="52"/>
        <v>5.6899999999999999E-2</v>
      </c>
    </row>
    <row r="93" spans="20:119">
      <c r="U93" s="132">
        <v>0.66685591610605444</v>
      </c>
      <c r="V93" s="132">
        <v>0.61594736842105235</v>
      </c>
      <c r="W93" s="132">
        <v>0.60611171349426218</v>
      </c>
      <c r="X93" s="132">
        <v>0.7201976256430549</v>
      </c>
      <c r="Y93" s="132">
        <v>0.68398781163434896</v>
      </c>
      <c r="Z93" s="132">
        <v>0.69156755045508511</v>
      </c>
      <c r="AA93" s="132">
        <v>0.36551895528294426</v>
      </c>
      <c r="AB93" s="132">
        <v>0.36551895528294426</v>
      </c>
      <c r="AC93" s="132">
        <v>0.36551895528294426</v>
      </c>
      <c r="AD93" s="132">
        <v>0.42595172140878518</v>
      </c>
      <c r="AE93" s="132">
        <v>0.42595172140878518</v>
      </c>
      <c r="AF93" s="132">
        <v>0.42595172140878518</v>
      </c>
      <c r="AH93" s="134" cm="1">
        <f t="array" ref="AH93">INDEX(U93:AF93,1,$AH$32)</f>
        <v>0.7201976256430549</v>
      </c>
      <c r="BP93" s="7">
        <v>13</v>
      </c>
      <c r="BQ93" s="59">
        <v>84</v>
      </c>
      <c r="BR93" s="64" t="str">
        <f t="shared" si="49"/>
        <v>---------</v>
      </c>
      <c r="BS93" s="106">
        <v>16.8</v>
      </c>
      <c r="BT93" s="12" t="s">
        <v>373</v>
      </c>
      <c r="BU93" s="7" t="str">
        <f t="shared" si="50"/>
        <v>---------</v>
      </c>
      <c r="BV93" s="290">
        <v>2.1800000000000201</v>
      </c>
      <c r="BW93" s="59">
        <v>84</v>
      </c>
      <c r="BX93" s="168" t="str">
        <f t="shared" si="51"/>
        <v>---------</v>
      </c>
      <c r="BY93" s="182">
        <v>5.6800000000000003E-2</v>
      </c>
      <c r="BZ93" s="185">
        <v>84</v>
      </c>
      <c r="CA93" s="184">
        <f t="shared" si="52"/>
        <v>5.6800000000000003E-2</v>
      </c>
    </row>
    <row r="94" spans="20:119">
      <c r="U94" s="132">
        <v>1.068689141274239</v>
      </c>
      <c r="V94" s="132">
        <v>2.2890684210526326</v>
      </c>
      <c r="W94" s="132">
        <v>1.8961724099722987</v>
      </c>
      <c r="X94" s="132">
        <v>1.007035180055402</v>
      </c>
      <c r="Y94" s="132">
        <v>2.2172662049861498</v>
      </c>
      <c r="Z94" s="132">
        <v>2.4817730747922426</v>
      </c>
      <c r="AA94" s="132">
        <v>1.583642216066482</v>
      </c>
      <c r="AB94" s="132">
        <v>2.6536422160664821</v>
      </c>
      <c r="AC94" s="132">
        <v>2.9636422160664821</v>
      </c>
      <c r="AD94" s="132">
        <v>1.5433504155124649</v>
      </c>
      <c r="AE94" s="132">
        <v>2.6133504155124649</v>
      </c>
      <c r="AF94" s="132">
        <v>2.9233504155124646</v>
      </c>
      <c r="AH94" s="135" cm="1">
        <f t="array" ref="AH94">INDEX(U94:AF94,1,$AH$32)</f>
        <v>1.007035180055402</v>
      </c>
      <c r="BP94" s="7">
        <v>12</v>
      </c>
      <c r="BQ94" s="59">
        <v>85</v>
      </c>
      <c r="BR94" s="64" t="str">
        <f t="shared" si="49"/>
        <v>---------</v>
      </c>
      <c r="BS94" s="106">
        <v>16.7</v>
      </c>
      <c r="BT94" s="12" t="s">
        <v>374</v>
      </c>
      <c r="BU94" s="7" t="str">
        <f t="shared" si="50"/>
        <v>---------</v>
      </c>
      <c r="BV94" s="290">
        <v>2.1700000000000199</v>
      </c>
      <c r="BW94" s="59">
        <v>85</v>
      </c>
      <c r="BX94" s="168" t="str">
        <f t="shared" si="51"/>
        <v>---------</v>
      </c>
      <c r="BY94" s="182">
        <v>5.67E-2</v>
      </c>
      <c r="BZ94" s="185">
        <v>85</v>
      </c>
      <c r="CA94" s="184">
        <f t="shared" si="52"/>
        <v>5.67E-2</v>
      </c>
    </row>
    <row r="95" spans="20:119">
      <c r="U95" s="132">
        <v>-4.9099722991689736E-2</v>
      </c>
      <c r="V95" s="132">
        <v>-4.8203403244954507E-2</v>
      </c>
      <c r="W95" s="132">
        <v>-4.7313019390581738E-2</v>
      </c>
      <c r="X95" s="132">
        <v>-5.1096161456272264E-2</v>
      </c>
      <c r="Y95" s="132">
        <v>-5.0625247328848433E-2</v>
      </c>
      <c r="Z95" s="132">
        <v>-5.1256430550059372E-2</v>
      </c>
      <c r="AA95" s="132">
        <v>-4.0148397309062112E-2</v>
      </c>
      <c r="AB95" s="132">
        <v>-4.0148397309062112E-2</v>
      </c>
      <c r="AC95" s="132">
        <v>-4.0148397309062112E-2</v>
      </c>
      <c r="AD95" s="132">
        <v>-4.3335971507716647E-2</v>
      </c>
      <c r="AE95" s="132">
        <v>-4.3335971507716647E-2</v>
      </c>
      <c r="AF95" s="132">
        <v>-4.3335971507716647E-2</v>
      </c>
      <c r="AH95" s="133" cm="1">
        <f t="array" ref="AH95">INDEX(U95:AF95,1,$AH$32)</f>
        <v>-5.1096161456272264E-2</v>
      </c>
      <c r="BP95" s="7">
        <v>11</v>
      </c>
      <c r="BQ95" s="59">
        <v>86</v>
      </c>
      <c r="BR95" s="64" t="str">
        <f t="shared" si="49"/>
        <v>---------</v>
      </c>
      <c r="BS95" s="106">
        <v>16.600000000000001</v>
      </c>
      <c r="BT95" s="12" t="s">
        <v>375</v>
      </c>
      <c r="BU95" s="7" t="str">
        <f t="shared" si="50"/>
        <v>---------</v>
      </c>
      <c r="BV95" s="290">
        <v>2.1600000000000201</v>
      </c>
      <c r="BW95" s="59">
        <v>86</v>
      </c>
      <c r="BX95" s="168" t="str">
        <f t="shared" si="51"/>
        <v>---------</v>
      </c>
      <c r="BY95" s="182">
        <v>5.6599999999999998E-2</v>
      </c>
      <c r="BZ95" s="185">
        <v>86</v>
      </c>
      <c r="CA95" s="184">
        <f t="shared" si="52"/>
        <v>5.6599999999999998E-2</v>
      </c>
    </row>
    <row r="96" spans="20:119">
      <c r="U96" s="132">
        <v>0.93310498614958437</v>
      </c>
      <c r="V96" s="132">
        <v>0.89688009497427801</v>
      </c>
      <c r="W96" s="132">
        <v>0.88276565096952941</v>
      </c>
      <c r="X96" s="132">
        <v>0.97067661258409199</v>
      </c>
      <c r="Y96" s="132">
        <v>0.94235306687772069</v>
      </c>
      <c r="Z96" s="132">
        <v>0.95277447566284146</v>
      </c>
      <c r="AA96" s="132">
        <v>0.66685591610605444</v>
      </c>
      <c r="AB96" s="132">
        <v>0.66685591610605444</v>
      </c>
      <c r="AC96" s="132">
        <v>0.66685591610605444</v>
      </c>
      <c r="AD96" s="132">
        <v>0.7201976256430549</v>
      </c>
      <c r="AE96" s="132">
        <v>0.7201976256430549</v>
      </c>
      <c r="AF96" s="132">
        <v>0.7201976256430549</v>
      </c>
      <c r="AH96" s="134" cm="1">
        <f t="array" ref="AH96">INDEX(U96:AF96,1,$AH$32)</f>
        <v>0.97067661258409199</v>
      </c>
      <c r="BP96" s="7">
        <v>10</v>
      </c>
      <c r="BQ96" s="59">
        <v>87</v>
      </c>
      <c r="BR96" s="64" t="str">
        <f t="shared" si="49"/>
        <v>---------</v>
      </c>
      <c r="BS96" s="106">
        <v>16.5</v>
      </c>
      <c r="BT96" s="12" t="s">
        <v>376</v>
      </c>
      <c r="BU96" s="7" t="str">
        <f t="shared" si="50"/>
        <v>---------</v>
      </c>
      <c r="BV96" s="290">
        <v>2.1500000000000199</v>
      </c>
      <c r="BW96" s="59">
        <v>87</v>
      </c>
      <c r="BX96" s="168" t="str">
        <f t="shared" si="51"/>
        <v>---------</v>
      </c>
      <c r="BY96" s="182">
        <v>5.6500000000000002E-2</v>
      </c>
      <c r="BZ96" s="185">
        <v>87</v>
      </c>
      <c r="CA96" s="184">
        <f t="shared" si="52"/>
        <v>5.6500000000000002E-2</v>
      </c>
    </row>
    <row r="97" spans="21:79">
      <c r="U97" s="132">
        <v>0.52966243767313115</v>
      </c>
      <c r="V97" s="132">
        <v>1.7446908033240991</v>
      </c>
      <c r="W97" s="132">
        <v>1.3602054293628805</v>
      </c>
      <c r="X97" s="132">
        <v>0.47587573407202166</v>
      </c>
      <c r="Y97" s="132">
        <v>1.6854597783933518</v>
      </c>
      <c r="Z97" s="132">
        <v>1.9444068698060932</v>
      </c>
      <c r="AA97" s="132">
        <v>1.068689141274239</v>
      </c>
      <c r="AB97" s="132">
        <v>2.1386891412742388</v>
      </c>
      <c r="AC97" s="132">
        <v>2.4486891412742389</v>
      </c>
      <c r="AD97" s="132">
        <v>1.007035180055402</v>
      </c>
      <c r="AE97" s="132">
        <v>2.0770351800554021</v>
      </c>
      <c r="AF97" s="132">
        <v>2.3870351800554017</v>
      </c>
      <c r="AH97" s="135" cm="1">
        <f t="array" ref="AH97">INDEX(U97:AF97,1,$AH$32)</f>
        <v>0.47587573407202166</v>
      </c>
      <c r="BP97" s="7">
        <v>9</v>
      </c>
      <c r="BQ97" s="59">
        <v>88</v>
      </c>
      <c r="BR97" s="64" t="str">
        <f t="shared" si="49"/>
        <v>---------</v>
      </c>
      <c r="BS97" s="106">
        <v>16.399999999999999</v>
      </c>
      <c r="BT97" s="12" t="s">
        <v>377</v>
      </c>
      <c r="BU97" s="7" t="str">
        <f t="shared" si="50"/>
        <v>---------</v>
      </c>
      <c r="BV97" s="290">
        <v>2.1400000000000201</v>
      </c>
      <c r="BW97" s="59">
        <v>88</v>
      </c>
      <c r="BX97" s="168" t="str">
        <f t="shared" si="51"/>
        <v>---------</v>
      </c>
      <c r="BY97" s="182">
        <v>5.6399999999999999E-2</v>
      </c>
      <c r="BZ97" s="185">
        <v>88</v>
      </c>
      <c r="CA97" s="184">
        <f t="shared" si="52"/>
        <v>5.6399999999999999E-2</v>
      </c>
    </row>
    <row r="98" spans="21:79">
      <c r="U98" s="132">
        <v>-4.5969529085872575E-2</v>
      </c>
      <c r="V98" s="132">
        <v>-4.7285318559556769E-2</v>
      </c>
      <c r="W98" s="132">
        <v>-4.6139691333597174E-2</v>
      </c>
      <c r="X98" s="132">
        <v>-4.7299168975069271E-2</v>
      </c>
      <c r="Y98" s="132">
        <v>-4.8800949742778016E-2</v>
      </c>
      <c r="Z98" s="132">
        <v>-4.9548872180451106E-2</v>
      </c>
      <c r="AA98" s="132">
        <v>-4.9099722991689736E-2</v>
      </c>
      <c r="AB98" s="132">
        <v>-4.9099722991689736E-2</v>
      </c>
      <c r="AC98" s="132">
        <v>-4.9099722991689736E-2</v>
      </c>
      <c r="AD98" s="132">
        <v>-5.1096161456272264E-2</v>
      </c>
      <c r="AE98" s="132">
        <v>-5.1096161456272264E-2</v>
      </c>
      <c r="AF98" s="132">
        <v>-5.1096161456272264E-2</v>
      </c>
      <c r="AH98" s="133" cm="1">
        <f t="array" ref="AH98">INDEX(U98:AF98,1,$AH$32)</f>
        <v>-4.7299168975069271E-2</v>
      </c>
      <c r="BP98" s="7">
        <v>8</v>
      </c>
      <c r="BQ98" s="59">
        <v>89</v>
      </c>
      <c r="BR98" s="64" t="str">
        <f t="shared" si="49"/>
        <v>---------</v>
      </c>
      <c r="BS98" s="106">
        <v>16.3</v>
      </c>
      <c r="BT98" s="12" t="s">
        <v>378</v>
      </c>
      <c r="BU98" s="7" t="str">
        <f t="shared" si="50"/>
        <v>---------</v>
      </c>
      <c r="BV98" s="290">
        <v>2.1300000000000199</v>
      </c>
      <c r="BW98" s="59">
        <v>89</v>
      </c>
      <c r="BX98" s="168" t="str">
        <f t="shared" si="51"/>
        <v>---------</v>
      </c>
      <c r="BY98" s="182">
        <v>5.6300000000000003E-2</v>
      </c>
      <c r="BZ98" s="185">
        <v>89</v>
      </c>
      <c r="CA98" s="184">
        <f t="shared" si="52"/>
        <v>5.6300000000000003E-2</v>
      </c>
    </row>
    <row r="99" spans="21:79">
      <c r="U99" s="132">
        <v>1.0268590027700832</v>
      </c>
      <c r="V99" s="132">
        <v>1.0181274238227147</v>
      </c>
      <c r="W99" s="132">
        <v>0.99956901464186809</v>
      </c>
      <c r="X99" s="132">
        <v>1.0543570637119117</v>
      </c>
      <c r="Y99" s="132">
        <v>1.0482265136525528</v>
      </c>
      <c r="Z99" s="132">
        <v>1.0609533834586464</v>
      </c>
      <c r="AA99" s="132">
        <v>0.93310498614958437</v>
      </c>
      <c r="AB99" s="132">
        <v>0.93310498614958437</v>
      </c>
      <c r="AC99" s="132">
        <v>0.93310498614958437</v>
      </c>
      <c r="AD99" s="132">
        <v>0.97067661258409199</v>
      </c>
      <c r="AE99" s="132">
        <v>0.97067661258409199</v>
      </c>
      <c r="AF99" s="132">
        <v>0.97067661258409199</v>
      </c>
      <c r="AH99" s="134" cm="1">
        <f t="array" ref="AH99">INDEX(U99:AF99,1,$AH$32)</f>
        <v>1.0543570637119117</v>
      </c>
      <c r="BP99" s="7">
        <v>7</v>
      </c>
      <c r="BQ99" s="59">
        <v>90</v>
      </c>
      <c r="BR99" s="64" t="str">
        <f t="shared" si="49"/>
        <v>---------</v>
      </c>
      <c r="BS99" s="106">
        <v>16.2</v>
      </c>
      <c r="BT99" s="12" t="s">
        <v>379</v>
      </c>
      <c r="BU99" s="7" t="str">
        <f t="shared" si="50"/>
        <v>---------</v>
      </c>
      <c r="BV99" s="290">
        <v>2.1200000000000201</v>
      </c>
      <c r="BW99" s="59">
        <v>90</v>
      </c>
      <c r="BX99" s="168" t="str">
        <f t="shared" si="51"/>
        <v>---------</v>
      </c>
      <c r="BY99" s="182">
        <v>5.62E-2</v>
      </c>
      <c r="BZ99" s="185">
        <v>90</v>
      </c>
      <c r="CA99" s="184">
        <f t="shared" si="52"/>
        <v>5.62E-2</v>
      </c>
    </row>
    <row r="100" spans="21:79">
      <c r="U100" s="132">
        <v>0.30558288088642582</v>
      </c>
      <c r="V100" s="132">
        <v>1.473757617728531</v>
      </c>
      <c r="W100" s="132">
        <v>1.0987304155124655</v>
      </c>
      <c r="X100" s="132">
        <v>0.26146626038780996</v>
      </c>
      <c r="Y100" s="132">
        <v>1.4308669806094172</v>
      </c>
      <c r="Z100" s="132">
        <v>1.68505052631579</v>
      </c>
      <c r="AA100" s="132">
        <v>0.52966243767313115</v>
      </c>
      <c r="AB100" s="132">
        <v>1.5996624376731312</v>
      </c>
      <c r="AC100" s="132">
        <v>1.909662437673131</v>
      </c>
      <c r="AD100" s="132">
        <v>0.47587573407202166</v>
      </c>
      <c r="AE100" s="132">
        <v>1.5458757340720217</v>
      </c>
      <c r="AF100" s="132">
        <v>1.8558757340720216</v>
      </c>
      <c r="AH100" s="135" cm="1">
        <f t="array" ref="AH100">INDEX(U100:AF100,1,$AH$32)</f>
        <v>0.26146626038780996</v>
      </c>
      <c r="BP100" s="7">
        <v>6</v>
      </c>
      <c r="BQ100" s="59">
        <v>91</v>
      </c>
      <c r="BR100" s="64" t="str">
        <f t="shared" si="49"/>
        <v>---------</v>
      </c>
      <c r="BS100" s="106">
        <v>16.100000000000001</v>
      </c>
      <c r="BT100" s="12" t="s">
        <v>380</v>
      </c>
      <c r="BU100" s="7" t="str">
        <f t="shared" si="50"/>
        <v>---------</v>
      </c>
      <c r="BV100" s="290">
        <v>2.1100000000000199</v>
      </c>
      <c r="BW100" s="59">
        <v>91</v>
      </c>
      <c r="BX100" s="168" t="str">
        <f t="shared" si="51"/>
        <v>---------</v>
      </c>
      <c r="BY100" s="182">
        <v>5.6099999999999997E-2</v>
      </c>
      <c r="BZ100" s="185">
        <v>91</v>
      </c>
      <c r="CA100" s="184">
        <f t="shared" si="52"/>
        <v>5.6099999999999997E-2</v>
      </c>
    </row>
    <row r="101" spans="21:79">
      <c r="BP101" s="7">
        <v>5</v>
      </c>
      <c r="BQ101" s="59">
        <v>92</v>
      </c>
      <c r="BR101" s="64" t="str">
        <f t="shared" si="49"/>
        <v>---------</v>
      </c>
      <c r="BS101" s="106">
        <v>16</v>
      </c>
      <c r="BT101" s="12" t="s">
        <v>381</v>
      </c>
      <c r="BU101" s="7" t="str">
        <f t="shared" si="50"/>
        <v>---------</v>
      </c>
      <c r="BV101" s="290">
        <v>2.1000000000000201</v>
      </c>
      <c r="BW101" s="59">
        <v>92</v>
      </c>
      <c r="BX101" s="168" t="str">
        <f t="shared" si="51"/>
        <v>---------</v>
      </c>
      <c r="BY101" s="182">
        <v>5.6000000000000001E-2</v>
      </c>
      <c r="BZ101" s="185">
        <v>92</v>
      </c>
      <c r="CA101" s="184">
        <f t="shared" si="52"/>
        <v>5.6000000000000001E-2</v>
      </c>
    </row>
    <row r="102" spans="21:79">
      <c r="BP102" s="7">
        <v>4</v>
      </c>
      <c r="BQ102" s="59">
        <v>93</v>
      </c>
      <c r="BR102" s="64" t="str">
        <f t="shared" si="49"/>
        <v>---------</v>
      </c>
      <c r="BS102" s="106">
        <v>15.9</v>
      </c>
      <c r="BT102" s="12" t="s">
        <v>382</v>
      </c>
      <c r="BU102" s="7" t="str">
        <f t="shared" si="50"/>
        <v>---------</v>
      </c>
      <c r="BV102" s="290">
        <v>2.0900000000000198</v>
      </c>
      <c r="BW102" s="59">
        <v>93</v>
      </c>
      <c r="BX102" s="168" t="str">
        <f t="shared" si="51"/>
        <v>---------</v>
      </c>
      <c r="BY102" s="182">
        <v>5.5899999999999998E-2</v>
      </c>
      <c r="BZ102" s="185">
        <v>93</v>
      </c>
      <c r="CA102" s="184">
        <f t="shared" si="52"/>
        <v>5.5899999999999998E-2</v>
      </c>
    </row>
    <row r="103" spans="21:79">
      <c r="U103" s="12">
        <v>600</v>
      </c>
      <c r="V103" s="12">
        <v>600</v>
      </c>
      <c r="W103" s="12">
        <v>600</v>
      </c>
      <c r="X103" s="12">
        <v>900</v>
      </c>
      <c r="Y103" s="12">
        <v>900</v>
      </c>
      <c r="Z103" s="12">
        <v>900</v>
      </c>
      <c r="AA103" s="12">
        <v>1200</v>
      </c>
      <c r="AB103" s="12">
        <v>1200</v>
      </c>
      <c r="AC103" s="12">
        <v>1200</v>
      </c>
      <c r="AD103" s="12">
        <v>600</v>
      </c>
      <c r="AE103" s="12">
        <v>600</v>
      </c>
      <c r="AF103" s="12">
        <v>600</v>
      </c>
      <c r="AG103" s="12">
        <v>900</v>
      </c>
      <c r="AH103" s="12">
        <v>900</v>
      </c>
      <c r="AI103" s="12">
        <v>900</v>
      </c>
      <c r="AJ103" s="12">
        <v>1200</v>
      </c>
      <c r="AK103" s="12">
        <v>1200</v>
      </c>
      <c r="AL103" s="12">
        <v>1200</v>
      </c>
      <c r="AM103" s="12">
        <v>900</v>
      </c>
      <c r="AN103" s="12">
        <v>600</v>
      </c>
      <c r="AO103" s="320">
        <v>600</v>
      </c>
      <c r="AP103" s="320">
        <v>900</v>
      </c>
      <c r="AQ103" s="320">
        <v>1200</v>
      </c>
      <c r="AR103" s="145">
        <v>600</v>
      </c>
      <c r="AS103" s="145">
        <v>900</v>
      </c>
      <c r="AT103" s="145">
        <v>1200</v>
      </c>
      <c r="AU103" s="294">
        <f t="shared" ref="AU103:AZ103" si="56">AO103</f>
        <v>600</v>
      </c>
      <c r="AV103" s="294">
        <f t="shared" si="56"/>
        <v>900</v>
      </c>
      <c r="AW103" s="294">
        <f t="shared" si="56"/>
        <v>1200</v>
      </c>
      <c r="AX103" s="294">
        <f t="shared" si="56"/>
        <v>600</v>
      </c>
      <c r="AY103" s="294">
        <f t="shared" si="56"/>
        <v>900</v>
      </c>
      <c r="AZ103" s="294">
        <f t="shared" si="56"/>
        <v>1200</v>
      </c>
      <c r="BB103" s="12">
        <f>AJ39</f>
        <v>600</v>
      </c>
      <c r="BC103" s="12">
        <f>BB103</f>
        <v>600</v>
      </c>
      <c r="BD103" s="13"/>
      <c r="BP103" s="7">
        <v>3</v>
      </c>
      <c r="BQ103" s="59">
        <v>94</v>
      </c>
      <c r="BR103" s="64" t="str">
        <f t="shared" si="49"/>
        <v>---------</v>
      </c>
      <c r="BS103" s="106">
        <v>15.8</v>
      </c>
      <c r="BT103" s="12" t="s">
        <v>383</v>
      </c>
      <c r="BU103" s="7" t="str">
        <f t="shared" si="50"/>
        <v>---------</v>
      </c>
      <c r="BV103" s="290">
        <v>2.0800000000000201</v>
      </c>
      <c r="BW103" s="59">
        <v>94</v>
      </c>
      <c r="BX103" s="168" t="str">
        <f t="shared" si="51"/>
        <v>---------</v>
      </c>
      <c r="BY103" s="182">
        <v>5.5800000000000002E-2</v>
      </c>
      <c r="BZ103" s="185">
        <v>94</v>
      </c>
      <c r="CA103" s="184">
        <f t="shared" si="52"/>
        <v>5.5800000000000002E-2</v>
      </c>
    </row>
    <row r="104" spans="21:79">
      <c r="U104" s="18">
        <v>3.6999999999999998E-2</v>
      </c>
      <c r="V104" s="18">
        <v>0.05</v>
      </c>
      <c r="W104" s="18">
        <v>6.3E-2</v>
      </c>
      <c r="X104" s="18">
        <v>3.6999999999999998E-2</v>
      </c>
      <c r="Y104" s="18">
        <v>0.05</v>
      </c>
      <c r="Z104" s="18">
        <v>6.3E-2</v>
      </c>
      <c r="AA104" s="18">
        <v>3.6999999999999998E-2</v>
      </c>
      <c r="AB104" s="18">
        <v>0.05</v>
      </c>
      <c r="AC104" s="18">
        <v>6.3E-2</v>
      </c>
      <c r="AD104" s="18">
        <v>3.6999999999999998E-2</v>
      </c>
      <c r="AE104" s="18">
        <v>0.05</v>
      </c>
      <c r="AF104" s="18">
        <v>6.3E-2</v>
      </c>
      <c r="AG104" s="18">
        <v>3.6999999999999998E-2</v>
      </c>
      <c r="AH104" s="18">
        <v>0.05</v>
      </c>
      <c r="AI104" s="18">
        <v>6.3E-2</v>
      </c>
      <c r="AJ104" s="18">
        <v>3.6999999999999998E-2</v>
      </c>
      <c r="AK104" s="18">
        <v>0.05</v>
      </c>
      <c r="AL104" s="18">
        <v>6.3E-2</v>
      </c>
      <c r="AM104" s="165">
        <f>AO104</f>
        <v>6.5000000000000002E-2</v>
      </c>
      <c r="AN104" s="165">
        <f>AO104</f>
        <v>6.5000000000000002E-2</v>
      </c>
      <c r="AO104" s="321">
        <f>IF(One_layer,CA9,MIN(BI7,CA9))</f>
        <v>6.5000000000000002E-2</v>
      </c>
      <c r="AP104" s="321">
        <f>AO104</f>
        <v>6.5000000000000002E-2</v>
      </c>
      <c r="AQ104" s="321">
        <f>AO104</f>
        <v>6.5000000000000002E-2</v>
      </c>
      <c r="AR104" s="323">
        <f>AO104</f>
        <v>6.5000000000000002E-2</v>
      </c>
      <c r="AS104" s="323">
        <f>AO104</f>
        <v>6.5000000000000002E-2</v>
      </c>
      <c r="AT104" s="323">
        <f>AO104</f>
        <v>6.5000000000000002E-2</v>
      </c>
      <c r="AU104" s="295">
        <f>AO104</f>
        <v>6.5000000000000002E-2</v>
      </c>
      <c r="AV104" s="295">
        <f>AO104</f>
        <v>6.5000000000000002E-2</v>
      </c>
      <c r="AW104" s="295">
        <f>AO104</f>
        <v>6.5000000000000002E-2</v>
      </c>
      <c r="AX104" s="295">
        <f>AO104</f>
        <v>6.5000000000000002E-2</v>
      </c>
      <c r="AY104" s="295">
        <f>AO104</f>
        <v>6.5000000000000002E-2</v>
      </c>
      <c r="AZ104" s="295">
        <f>AO104</f>
        <v>6.5000000000000002E-2</v>
      </c>
      <c r="BB104" s="18">
        <f>AO104</f>
        <v>6.5000000000000002E-2</v>
      </c>
      <c r="BC104" s="18">
        <f>AO104</f>
        <v>6.5000000000000002E-2</v>
      </c>
      <c r="BD104" s="16"/>
      <c r="BP104" s="7">
        <v>2</v>
      </c>
      <c r="BQ104" s="59">
        <v>95</v>
      </c>
      <c r="BR104" s="64" t="str">
        <f t="shared" si="49"/>
        <v>---------</v>
      </c>
      <c r="BS104" s="106">
        <v>15.7</v>
      </c>
      <c r="BT104" s="12" t="s">
        <v>384</v>
      </c>
      <c r="BU104" s="7" t="str">
        <f t="shared" si="50"/>
        <v>---------</v>
      </c>
      <c r="BV104" s="290">
        <v>2.0700000000000198</v>
      </c>
      <c r="BW104" s="59">
        <v>95</v>
      </c>
      <c r="BX104" s="168" t="str">
        <f t="shared" si="51"/>
        <v>---------</v>
      </c>
      <c r="BY104" s="182">
        <v>5.57E-2</v>
      </c>
      <c r="BZ104" s="185">
        <v>95</v>
      </c>
      <c r="CA104" s="184">
        <f t="shared" si="52"/>
        <v>5.57E-2</v>
      </c>
    </row>
    <row r="105" spans="21:79">
      <c r="U105" s="13">
        <f t="shared" ref="U105:U136" si="57">$AL$47*$BA105^2+$AL$48*$BA105+$AL$49</f>
        <v>12.304361812425801</v>
      </c>
      <c r="V105" s="13">
        <f t="shared" ref="V105:V136" si="58">$AL$50*$BA105^2+$AL$51*$BA105+$AL$52</f>
        <v>12.229597032053821</v>
      </c>
      <c r="W105" s="13">
        <f t="shared" ref="W105:W136" si="59">$AL$53*$BA105^2+$AL$54*$BA105+$AL$55</f>
        <v>12.198033407202214</v>
      </c>
      <c r="X105" s="13">
        <f t="shared" ref="X105:X136" si="60">$AM$47*$BA105^2+$AM$48*$BA105+$AM$49</f>
        <v>12.294037965967549</v>
      </c>
      <c r="Y105" s="13">
        <f t="shared" ref="Y105:Y136" si="61">$AM$50*$BA105^2+$AM$51*$BA105+$AM$52</f>
        <v>12.238884107637517</v>
      </c>
      <c r="Z105" s="13">
        <f t="shared" ref="Z105:Z136" si="62">$AM$53*$BA105^2+$AM$54*$BA105+$AM$55</f>
        <v>12.210804629996044</v>
      </c>
      <c r="AA105" s="13">
        <f t="shared" ref="AA105:AA136" si="63">$AN$47*$BA105^2+$AN$48*$BA105+$AN$49</f>
        <v>12.289167946181243</v>
      </c>
      <c r="AB105" s="13">
        <f t="shared" ref="AB105:AB136" si="64">$AN$50*$BA105^2+$AN$51*$BA105+$AN$52</f>
        <v>12.241784930747922</v>
      </c>
      <c r="AC105" s="13">
        <f t="shared" ref="AC105:AC136" si="65">$AN$53*$BA105^2+$AN$54*$BA105+$AN$55</f>
        <v>12.218900324495451</v>
      </c>
      <c r="AD105" s="13">
        <f t="shared" ref="AD105:AD136" si="66">$AL$74*$BA105^2+$AL$75*$BA105+$AL$76</f>
        <v>5.6402943806885615</v>
      </c>
      <c r="AE105" s="13">
        <f t="shared" ref="AE105:AE136" si="67">$AL$77*$BA105^2+$AL$78*$BA105+$AL$79</f>
        <v>4.1932511199050246</v>
      </c>
      <c r="AF105" s="13">
        <f t="shared" ref="AF105:AF136" si="68">$AL$80*$BA105^2+$AL$81*$BA105+$AL$82</f>
        <v>3.4090267906608638</v>
      </c>
      <c r="AG105" s="13">
        <f t="shared" ref="AG105:AG136" si="69">$AM$74*$BA105^2+$AM$75*$BA105+$AM$76</f>
        <v>7.5362554887218032</v>
      </c>
      <c r="AH105" s="13">
        <f t="shared" ref="AH105:AH136" si="70">$AM$77*$BA105^2+$AM$78*$BA105+$AM$79</f>
        <v>5.9382581559161043</v>
      </c>
      <c r="AI105" s="13">
        <f t="shared" ref="AI105:AI136" si="71">$AM$80*$BA105^2+$AM$81*$BA105+$AM$82</f>
        <v>4.7661478353779199</v>
      </c>
      <c r="AJ105" s="13">
        <f t="shared" ref="AJ105:AJ136" si="72">$AN$74*$BA105^2+$AN$75*$BA105+$AN$76</f>
        <v>8.6888411476058547</v>
      </c>
      <c r="AK105" s="13">
        <f t="shared" ref="AK105:AK136" si="73">$AN$77*$BA105^2+$AN$78*$BA105+$AN$79</f>
        <v>7.3083106608626798</v>
      </c>
      <c r="AL105" s="13">
        <f t="shared" ref="AL105:AL136" si="74">$AN$80*$BA105^2+$AN$81*$BA105+$AN$82</f>
        <v>6.1026706925207765</v>
      </c>
      <c r="AM105" s="13">
        <f t="shared" ref="AM105:AM136" si="75">IF($AP$104&lt;=0.05,X105+($AP$104-0.05)/0.013*(Y105-X105),Y105+($AP$104-0.05)/0.013*(Z105-Y105))</f>
        <v>12.206484710358895</v>
      </c>
      <c r="AN105" s="13">
        <f t="shared" ref="AN105:AN136" si="76">IF($AO$104&lt;=0.05,V105+($AO$104-0.05)/0.013*(V105-U105),V105+($AO$104-0.05)/0.013*(W105-V105))</f>
        <v>12.193177464917351</v>
      </c>
      <c r="AO105" s="322">
        <f>IF(AN105&gt;AQ105,AQ105-0.02,AN105)</f>
        <v>12.193177464917351</v>
      </c>
      <c r="AP105" s="322">
        <f t="shared" ref="AP105:AP135" si="77">IF(AM105&lt;AO105,AQ105-0.01,AM105)</f>
        <v>12.206484710358895</v>
      </c>
      <c r="AQ105" s="322">
        <f t="shared" ref="AQ105:AQ136" si="78">IF($AQ$104&lt;=0.05,AA105+($AQ$104-0.05)/0.013*(AB105-AA105),AB105+($AQ$104-0.05)/0.013*(AC105-AB105))</f>
        <v>12.215379615841224</v>
      </c>
      <c r="AR105" s="324">
        <f t="shared" ref="AR105:AR136" si="79">IF($AR$104&lt;=0.05,AD105+($AR$104-0.05)/0.013*(AE105-AD105),AE105+($AR$104-0.05)/0.013*(AF105-AE105))</f>
        <v>3.2883768938540698</v>
      </c>
      <c r="AS105" s="324">
        <f t="shared" ref="AS105:AS136" si="80">IF($AS$104&lt;=0.05,AG105+($AS$104-0.05)/0.013*(AH105-AG105),AH105+($AS$104-0.05)/0.013*(AI105-AH105))</f>
        <v>4.5858231706797374</v>
      </c>
      <c r="AT105" s="324">
        <f t="shared" ref="AT105:AT136" si="81">IF($AS$104&lt;=0.05,AJ105+($AS$104-0.05)/0.013*(AK105-AJ105),AK105+($AS$104-0.05)/0.013*(AL105-AK105))</f>
        <v>5.9171876204681757</v>
      </c>
      <c r="AU105" s="106">
        <f t="shared" ref="AU105:AU136" ca="1" si="82">IF((ROW(AO105)-$BG$7)&gt;105,OFFSET(AO105,-$BG$7,0),$AO$105)</f>
        <v>12.193177464917351</v>
      </c>
      <c r="AV105" s="106">
        <f t="shared" ref="AV105:AV136" ca="1" si="83">IF((ROW(AP105)-$BG$7)&gt;105,OFFSET(AP105,-$BG$7,0),$AP$105)</f>
        <v>12.206484710358895</v>
      </c>
      <c r="AW105" s="106">
        <f t="shared" ref="AW105:AW136" ca="1" si="84">IF((ROW(AQ105)-$BG$7)&gt;105,OFFSET(AQ105,-$BG$7,0),$AQ$105)</f>
        <v>12.215379615841224</v>
      </c>
      <c r="AX105" s="106">
        <f t="shared" ref="AX105:AX136" ca="1" si="85">IF((ROW(AR105)-$BG$7)&gt;105,OFFSET(AR105,-$BG$7,0),$AR$105)</f>
        <v>3.2883768938540698</v>
      </c>
      <c r="AY105" s="106">
        <f t="shared" ref="AY105:AY136" ca="1" si="86">IF((ROW(AS105)-$BG$7)&gt;105,OFFSET(AS105,-$BG$7,0),$AS$105)</f>
        <v>4.5858231706797374</v>
      </c>
      <c r="AZ105" s="106">
        <f t="shared" ref="AZ105:AZ136" ca="1" si="87">IF((ROW(AT105)-$BG$7)&gt;105,OFFSET(AT105,-$BG$7,0),$AT$105)</f>
        <v>5.9171876204681757</v>
      </c>
      <c r="BA105" s="145">
        <v>12</v>
      </c>
      <c r="BB105" s="13" cm="1">
        <f t="array" ref="BB105">INDEX(AO105:AQ105,$AI$39)</f>
        <v>12.193177464917351</v>
      </c>
      <c r="BC105" s="13" cm="1">
        <f t="array" ref="BC105">INDEX(AR105:AT105,$AI$39)</f>
        <v>3.2883768938540698</v>
      </c>
      <c r="BD105" s="145">
        <v>12</v>
      </c>
      <c r="BP105" s="7">
        <v>1</v>
      </c>
      <c r="BQ105" s="59">
        <v>96</v>
      </c>
      <c r="BR105" s="64" t="str">
        <f t="shared" si="49"/>
        <v>---------</v>
      </c>
      <c r="BS105" s="106">
        <v>15.6</v>
      </c>
      <c r="BT105" s="12" t="s">
        <v>385</v>
      </c>
      <c r="BU105" s="7" t="str">
        <f t="shared" si="50"/>
        <v>---------</v>
      </c>
      <c r="BV105" s="290">
        <v>2.06000000000002</v>
      </c>
      <c r="BW105" s="59">
        <v>96</v>
      </c>
      <c r="BX105" s="168" t="str">
        <f t="shared" si="51"/>
        <v>---------</v>
      </c>
      <c r="BY105" s="182">
        <v>5.5599999999999997E-2</v>
      </c>
      <c r="BZ105" s="185">
        <v>96</v>
      </c>
      <c r="CA105" s="184">
        <f t="shared" si="52"/>
        <v>5.5599999999999997E-2</v>
      </c>
    </row>
    <row r="106" spans="21:79">
      <c r="U106" s="13">
        <f t="shared" si="57"/>
        <v>12.192640000000001</v>
      </c>
      <c r="V106" s="13">
        <f t="shared" si="58"/>
        <v>12.125420000000002</v>
      </c>
      <c r="W106" s="13">
        <f t="shared" si="59"/>
        <v>12.096680000000001</v>
      </c>
      <c r="X106" s="13">
        <f t="shared" si="60"/>
        <v>12.185519999999999</v>
      </c>
      <c r="Y106" s="13">
        <f t="shared" si="61"/>
        <v>12.135680000000002</v>
      </c>
      <c r="Z106" s="13">
        <f t="shared" si="62"/>
        <v>12.109720000000001</v>
      </c>
      <c r="AA106" s="13">
        <f t="shared" si="63"/>
        <v>12.182240000000002</v>
      </c>
      <c r="AB106" s="13">
        <f t="shared" si="64"/>
        <v>12.13912</v>
      </c>
      <c r="AC106" s="13">
        <f t="shared" si="65"/>
        <v>12.117900000000001</v>
      </c>
      <c r="AD106" s="13">
        <f t="shared" si="66"/>
        <v>5.6629999999999976</v>
      </c>
      <c r="AE106" s="13">
        <f t="shared" si="67"/>
        <v>4.2278999999999982</v>
      </c>
      <c r="AF106" s="13">
        <f t="shared" si="68"/>
        <v>3.4405799999999997</v>
      </c>
      <c r="AG106" s="13">
        <f t="shared" si="69"/>
        <v>7.5260599999999975</v>
      </c>
      <c r="AH106" s="13">
        <f t="shared" si="70"/>
        <v>5.9518199999999979</v>
      </c>
      <c r="AI106" s="13">
        <f t="shared" si="71"/>
        <v>4.7911999999999999</v>
      </c>
      <c r="AJ106" s="13">
        <f t="shared" si="72"/>
        <v>8.6565600000000007</v>
      </c>
      <c r="AK106" s="13">
        <f t="shared" si="73"/>
        <v>7.2989599999999983</v>
      </c>
      <c r="AL106" s="13">
        <f t="shared" si="74"/>
        <v>6.1102799999999995</v>
      </c>
      <c r="AM106" s="13">
        <f t="shared" si="75"/>
        <v>12.105726153846154</v>
      </c>
      <c r="AN106" s="13">
        <f t="shared" si="76"/>
        <v>12.092258461538462</v>
      </c>
      <c r="AO106" s="322">
        <f t="shared" ref="AO106:AO135" si="88">IF(AN106&gt;AQ106,AQ106-0.02,AN106)</f>
        <v>12.092258461538462</v>
      </c>
      <c r="AP106" s="322">
        <f t="shared" si="77"/>
        <v>12.105726153846154</v>
      </c>
      <c r="AQ106" s="322">
        <f t="shared" si="78"/>
        <v>12.114635384615385</v>
      </c>
      <c r="AR106" s="324">
        <f t="shared" si="79"/>
        <v>3.3194538461538459</v>
      </c>
      <c r="AS106" s="324">
        <f t="shared" si="80"/>
        <v>4.6126430769230771</v>
      </c>
      <c r="AT106" s="324">
        <f t="shared" si="81"/>
        <v>5.9274061538461531</v>
      </c>
      <c r="AU106" s="106">
        <f t="shared" ca="1" si="82"/>
        <v>12.092258461538462</v>
      </c>
      <c r="AV106" s="106">
        <f t="shared" ca="1" si="83"/>
        <v>12.105726153846154</v>
      </c>
      <c r="AW106" s="106">
        <f t="shared" ca="1" si="84"/>
        <v>12.114635384615385</v>
      </c>
      <c r="AX106" s="106">
        <f t="shared" ca="1" si="85"/>
        <v>3.3194538461538459</v>
      </c>
      <c r="AY106" s="106">
        <f t="shared" ca="1" si="86"/>
        <v>4.6126430769230771</v>
      </c>
      <c r="AZ106" s="106">
        <f t="shared" ca="1" si="87"/>
        <v>5.9274061538461531</v>
      </c>
      <c r="BA106" s="145">
        <v>11.9</v>
      </c>
      <c r="BB106" s="13" cm="1">
        <f t="array" ref="BB106">INDEX(AO106:AQ106,$AI$39)</f>
        <v>12.092258461538462</v>
      </c>
      <c r="BC106" s="13" cm="1">
        <f t="array" ref="BC106">INDEX(AR106:AT106,$AI$39)</f>
        <v>3.3194538461538459</v>
      </c>
      <c r="BD106" s="145">
        <v>11.9</v>
      </c>
      <c r="BS106" s="106">
        <v>15.5</v>
      </c>
      <c r="BT106" s="12" t="s">
        <v>386</v>
      </c>
      <c r="BU106" s="7" t="str">
        <f t="shared" si="50"/>
        <v>---------</v>
      </c>
      <c r="BV106" s="290">
        <v>2.0500000000000198</v>
      </c>
      <c r="BW106" s="59">
        <v>97</v>
      </c>
      <c r="BX106" s="168" t="str">
        <f t="shared" si="51"/>
        <v>---------</v>
      </c>
      <c r="BY106" s="182">
        <v>5.5500000000000001E-2</v>
      </c>
      <c r="BZ106" s="185">
        <v>97</v>
      </c>
      <c r="CA106" s="184">
        <f t="shared" si="52"/>
        <v>5.5500000000000001E-2</v>
      </c>
    </row>
    <row r="107" spans="21:79">
      <c r="U107" s="13">
        <f t="shared" si="57"/>
        <v>12.081070383854374</v>
      </c>
      <c r="V107" s="13">
        <f t="shared" si="58"/>
        <v>12.021278385437281</v>
      </c>
      <c r="W107" s="13">
        <f t="shared" si="59"/>
        <v>11.995326038781164</v>
      </c>
      <c r="X107" s="13">
        <f t="shared" si="60"/>
        <v>12.077104131381082</v>
      </c>
      <c r="Y107" s="13">
        <f t="shared" si="61"/>
        <v>12.03250034823902</v>
      </c>
      <c r="Z107" s="13">
        <f t="shared" si="62"/>
        <v>12.008634855559956</v>
      </c>
      <c r="AA107" s="13">
        <f t="shared" si="63"/>
        <v>12.075389299564703</v>
      </c>
      <c r="AB107" s="13">
        <f t="shared" si="64"/>
        <v>12.036473351800554</v>
      </c>
      <c r="AC107" s="13">
        <f t="shared" si="65"/>
        <v>12.016899873367631</v>
      </c>
      <c r="AD107" s="13">
        <f t="shared" si="66"/>
        <v>5.6845003957261548</v>
      </c>
      <c r="AE107" s="13">
        <f t="shared" si="67"/>
        <v>4.2614365334388591</v>
      </c>
      <c r="AF107" s="13">
        <f t="shared" si="68"/>
        <v>3.4712664899089836</v>
      </c>
      <c r="AG107" s="13">
        <f t="shared" si="69"/>
        <v>7.5149457142857123</v>
      </c>
      <c r="AH107" s="13">
        <f t="shared" si="70"/>
        <v>5.9643351483973071</v>
      </c>
      <c r="AI107" s="13">
        <f t="shared" si="71"/>
        <v>4.8152302413929569</v>
      </c>
      <c r="AJ107" s="13">
        <f t="shared" si="72"/>
        <v>8.6235781400870586</v>
      </c>
      <c r="AK107" s="13">
        <f t="shared" si="73"/>
        <v>7.2887478037198239</v>
      </c>
      <c r="AL107" s="13">
        <f t="shared" si="74"/>
        <v>6.116943324099724</v>
      </c>
      <c r="AM107" s="13">
        <f t="shared" si="75"/>
        <v>12.004963241301638</v>
      </c>
      <c r="AN107" s="13">
        <f t="shared" si="76"/>
        <v>11.991333370064838</v>
      </c>
      <c r="AO107" s="322">
        <f t="shared" si="88"/>
        <v>11.991333370064838</v>
      </c>
      <c r="AP107" s="322">
        <f t="shared" si="77"/>
        <v>12.004963241301638</v>
      </c>
      <c r="AQ107" s="322">
        <f t="shared" si="78"/>
        <v>12.013888568993336</v>
      </c>
      <c r="AR107" s="324">
        <f t="shared" si="79"/>
        <v>3.3497018678274642</v>
      </c>
      <c r="AS107" s="324">
        <f t="shared" si="80"/>
        <v>4.6384448710845954</v>
      </c>
      <c r="AT107" s="324">
        <f t="shared" si="81"/>
        <v>5.9366657118504778</v>
      </c>
      <c r="AU107" s="106">
        <f t="shared" ca="1" si="82"/>
        <v>11.991333370064838</v>
      </c>
      <c r="AV107" s="106">
        <f t="shared" ca="1" si="83"/>
        <v>12.004963241301638</v>
      </c>
      <c r="AW107" s="106">
        <f t="shared" ca="1" si="84"/>
        <v>12.013888568993336</v>
      </c>
      <c r="AX107" s="106">
        <f t="shared" ca="1" si="85"/>
        <v>3.3497018678274642</v>
      </c>
      <c r="AY107" s="106">
        <f t="shared" ca="1" si="86"/>
        <v>4.6384448710845954</v>
      </c>
      <c r="AZ107" s="106">
        <f t="shared" ca="1" si="87"/>
        <v>5.9366657118504778</v>
      </c>
      <c r="BA107" s="145">
        <v>11.8</v>
      </c>
      <c r="BB107" s="13" cm="1">
        <f t="array" ref="BB107">INDEX(AO107:AQ107,$AI$39)</f>
        <v>11.991333370064838</v>
      </c>
      <c r="BC107" s="13" cm="1">
        <f t="array" ref="BC107">INDEX(AR107:AT107,$AI$39)</f>
        <v>3.3497018678274642</v>
      </c>
      <c r="BD107" s="145">
        <v>11.8</v>
      </c>
      <c r="BS107" s="106">
        <v>15.4</v>
      </c>
      <c r="BT107" s="12" t="s">
        <v>387</v>
      </c>
      <c r="BU107" s="7" t="str">
        <f t="shared" si="50"/>
        <v>---------</v>
      </c>
      <c r="BV107" s="290">
        <v>2.04000000000002</v>
      </c>
      <c r="BW107" s="59">
        <v>98</v>
      </c>
      <c r="BX107" s="168" t="str">
        <f t="shared" si="51"/>
        <v>---------</v>
      </c>
      <c r="BY107" s="182">
        <v>5.5399999999999998E-2</v>
      </c>
      <c r="BZ107" s="185">
        <v>98</v>
      </c>
      <c r="CA107" s="184">
        <f t="shared" si="52"/>
        <v>5.5399999999999998E-2</v>
      </c>
    </row>
    <row r="108" spans="21:79">
      <c r="U108" s="13">
        <f t="shared" si="57"/>
        <v>11.969652963988921</v>
      </c>
      <c r="V108" s="13">
        <f t="shared" si="58"/>
        <v>11.917172188365653</v>
      </c>
      <c r="W108" s="13">
        <f t="shared" si="59"/>
        <v>11.893971523545705</v>
      </c>
      <c r="X108" s="13">
        <f t="shared" si="60"/>
        <v>11.968790360110802</v>
      </c>
      <c r="Y108" s="13">
        <f t="shared" si="61"/>
        <v>11.929345152354571</v>
      </c>
      <c r="Z108" s="13">
        <f t="shared" si="62"/>
        <v>11.907549196675902</v>
      </c>
      <c r="AA108" s="13">
        <f t="shared" si="63"/>
        <v>11.968615844875346</v>
      </c>
      <c r="AB108" s="13">
        <f t="shared" si="64"/>
        <v>11.933844986149584</v>
      </c>
      <c r="AC108" s="13">
        <f t="shared" si="65"/>
        <v>11.915899944598337</v>
      </c>
      <c r="AD108" s="13">
        <f t="shared" si="66"/>
        <v>5.7047955678670332</v>
      </c>
      <c r="AE108" s="13">
        <f t="shared" si="67"/>
        <v>4.2938607202216073</v>
      </c>
      <c r="AF108" s="13">
        <f t="shared" si="68"/>
        <v>3.5010862603878135</v>
      </c>
      <c r="AG108" s="13">
        <f t="shared" si="69"/>
        <v>7.5029126315789458</v>
      </c>
      <c r="AH108" s="13">
        <f t="shared" si="70"/>
        <v>5.9758036011080335</v>
      </c>
      <c r="AI108" s="13">
        <f t="shared" si="71"/>
        <v>4.8382385595567872</v>
      </c>
      <c r="AJ108" s="13">
        <f t="shared" si="72"/>
        <v>8.5898955678670355</v>
      </c>
      <c r="AK108" s="13">
        <f t="shared" si="73"/>
        <v>7.2776740720221582</v>
      </c>
      <c r="AL108" s="13">
        <f t="shared" si="74"/>
        <v>6.1226606648199446</v>
      </c>
      <c r="AM108" s="13">
        <f t="shared" si="75"/>
        <v>11.904195972725336</v>
      </c>
      <c r="AN108" s="13">
        <f t="shared" si="76"/>
        <v>11.890402190496483</v>
      </c>
      <c r="AO108" s="322">
        <f t="shared" si="88"/>
        <v>11.890402190496483</v>
      </c>
      <c r="AP108" s="322">
        <f t="shared" si="77"/>
        <v>11.904195972725336</v>
      </c>
      <c r="AQ108" s="322">
        <f t="shared" si="78"/>
        <v>11.913139168975068</v>
      </c>
      <c r="AR108" s="324">
        <f t="shared" si="79"/>
        <v>3.379120958874922</v>
      </c>
      <c r="AS108" s="324">
        <f t="shared" si="80"/>
        <v>4.6632285531642879</v>
      </c>
      <c r="AT108" s="324">
        <f t="shared" si="81"/>
        <v>5.9449662944811426</v>
      </c>
      <c r="AU108" s="106">
        <f t="shared" ca="1" si="82"/>
        <v>11.890402190496483</v>
      </c>
      <c r="AV108" s="106">
        <f t="shared" ca="1" si="83"/>
        <v>11.904195972725336</v>
      </c>
      <c r="AW108" s="106">
        <f t="shared" ca="1" si="84"/>
        <v>11.913139168975068</v>
      </c>
      <c r="AX108" s="106">
        <f t="shared" ca="1" si="85"/>
        <v>3.379120958874922</v>
      </c>
      <c r="AY108" s="106">
        <f t="shared" ca="1" si="86"/>
        <v>4.6632285531642879</v>
      </c>
      <c r="AZ108" s="106">
        <f t="shared" ca="1" si="87"/>
        <v>5.9449662944811426</v>
      </c>
      <c r="BA108" s="145">
        <v>11.7</v>
      </c>
      <c r="BB108" s="13" cm="1">
        <f t="array" ref="BB108">INDEX(AO108:AQ108,$AI$39)</f>
        <v>11.890402190496483</v>
      </c>
      <c r="BC108" s="13" cm="1">
        <f t="array" ref="BC108">INDEX(AR108:AT108,$AI$39)</f>
        <v>3.379120958874922</v>
      </c>
      <c r="BD108" s="145">
        <v>11.7</v>
      </c>
      <c r="BS108" s="106">
        <v>15.3</v>
      </c>
      <c r="BT108" s="12" t="s">
        <v>388</v>
      </c>
      <c r="BU108" s="7" t="str">
        <f t="shared" si="50"/>
        <v>---------</v>
      </c>
      <c r="BV108" s="290">
        <v>2.0300000000000198</v>
      </c>
      <c r="BW108" s="59">
        <v>99</v>
      </c>
      <c r="BX108" s="168" t="str">
        <f t="shared" si="51"/>
        <v>---------</v>
      </c>
      <c r="BY108" s="182">
        <v>5.5300000000000002E-2</v>
      </c>
      <c r="BZ108" s="185">
        <v>99</v>
      </c>
      <c r="CA108" s="184">
        <f t="shared" si="52"/>
        <v>5.5300000000000002E-2</v>
      </c>
    </row>
    <row r="109" spans="21:79">
      <c r="U109" s="13">
        <f t="shared" si="57"/>
        <v>11.858387740403641</v>
      </c>
      <c r="V109" s="13">
        <f t="shared" si="58"/>
        <v>11.813101408785123</v>
      </c>
      <c r="W109" s="13">
        <f t="shared" si="59"/>
        <v>11.792616454293627</v>
      </c>
      <c r="X109" s="13">
        <f t="shared" si="60"/>
        <v>11.860578686189156</v>
      </c>
      <c r="Y109" s="13">
        <f t="shared" si="61"/>
        <v>11.826214412346658</v>
      </c>
      <c r="Z109" s="13">
        <f t="shared" si="62"/>
        <v>11.806463023347844</v>
      </c>
      <c r="AA109" s="13">
        <f t="shared" si="63"/>
        <v>11.861919635931937</v>
      </c>
      <c r="AB109" s="13">
        <f t="shared" si="64"/>
        <v>11.83123490304709</v>
      </c>
      <c r="AC109" s="13">
        <f t="shared" si="65"/>
        <v>11.814900213692125</v>
      </c>
      <c r="AD109" s="13">
        <f t="shared" si="66"/>
        <v>5.7238855164226328</v>
      </c>
      <c r="AE109" s="13">
        <f t="shared" si="67"/>
        <v>4.3251725603482392</v>
      </c>
      <c r="AF109" s="13">
        <f t="shared" si="68"/>
        <v>3.5300393114364859</v>
      </c>
      <c r="AG109" s="13">
        <f t="shared" si="69"/>
        <v>7.4899607518796962</v>
      </c>
      <c r="AH109" s="13">
        <f t="shared" si="70"/>
        <v>5.986225358132172</v>
      </c>
      <c r="AI109" s="13">
        <f t="shared" si="71"/>
        <v>4.8602249544914926</v>
      </c>
      <c r="AJ109" s="13">
        <f t="shared" si="72"/>
        <v>8.5555122833399277</v>
      </c>
      <c r="AK109" s="13">
        <f t="shared" si="73"/>
        <v>7.2657388049070013</v>
      </c>
      <c r="AL109" s="13">
        <f t="shared" si="74"/>
        <v>6.1274320221606651</v>
      </c>
      <c r="AM109" s="13">
        <f t="shared" si="75"/>
        <v>11.803424348117257</v>
      </c>
      <c r="AN109" s="13">
        <f t="shared" si="76"/>
        <v>11.789464922833398</v>
      </c>
      <c r="AO109" s="322">
        <f t="shared" si="88"/>
        <v>11.789464922833398</v>
      </c>
      <c r="AP109" s="322">
        <f t="shared" si="77"/>
        <v>11.803424348117257</v>
      </c>
      <c r="AQ109" s="322">
        <f t="shared" si="78"/>
        <v>11.812387184560592</v>
      </c>
      <c r="AR109" s="324">
        <f t="shared" si="79"/>
        <v>3.407711119296216</v>
      </c>
      <c r="AS109" s="324">
        <f t="shared" si="80"/>
        <v>4.6869941231621572</v>
      </c>
      <c r="AT109" s="324">
        <f t="shared" si="81"/>
        <v>5.9523079017381519</v>
      </c>
      <c r="AU109" s="106">
        <f t="shared" ca="1" si="82"/>
        <v>11.789464922833398</v>
      </c>
      <c r="AV109" s="106">
        <f t="shared" ca="1" si="83"/>
        <v>11.803424348117257</v>
      </c>
      <c r="AW109" s="106">
        <f t="shared" ca="1" si="84"/>
        <v>11.812387184560592</v>
      </c>
      <c r="AX109" s="106">
        <f t="shared" ca="1" si="85"/>
        <v>3.407711119296216</v>
      </c>
      <c r="AY109" s="106">
        <f t="shared" ca="1" si="86"/>
        <v>4.6869941231621572</v>
      </c>
      <c r="AZ109" s="106">
        <f t="shared" ca="1" si="87"/>
        <v>5.9523079017381519</v>
      </c>
      <c r="BA109" s="145">
        <v>11.6</v>
      </c>
      <c r="BB109" s="13" cm="1">
        <f t="array" ref="BB109">INDEX(AO109:AQ109,$AI$39)</f>
        <v>11.789464922833398</v>
      </c>
      <c r="BC109" s="13" cm="1">
        <f t="array" ref="BC109">INDEX(AR109:AT109,$AI$39)</f>
        <v>3.407711119296216</v>
      </c>
      <c r="BD109" s="145">
        <v>11.6</v>
      </c>
      <c r="BS109" s="106">
        <v>15.2</v>
      </c>
      <c r="BT109" s="12" t="s">
        <v>389</v>
      </c>
      <c r="BU109" s="7" t="str">
        <f t="shared" si="50"/>
        <v>---------</v>
      </c>
      <c r="BV109" s="290">
        <v>2.02000000000002</v>
      </c>
      <c r="BW109" s="59">
        <v>100</v>
      </c>
      <c r="BX109" s="168" t="str">
        <f t="shared" si="51"/>
        <v>---------</v>
      </c>
      <c r="BY109" s="182">
        <v>5.5199999999999999E-2</v>
      </c>
      <c r="BZ109" s="185">
        <v>100</v>
      </c>
      <c r="CA109" s="184">
        <f t="shared" si="52"/>
        <v>5.5199999999999999E-2</v>
      </c>
    </row>
    <row r="110" spans="21:79">
      <c r="U110" s="13">
        <f t="shared" si="57"/>
        <v>11.747274713098536</v>
      </c>
      <c r="V110" s="13">
        <f t="shared" si="58"/>
        <v>11.709066046695689</v>
      </c>
      <c r="W110" s="13">
        <f t="shared" si="59"/>
        <v>11.69126083102493</v>
      </c>
      <c r="X110" s="13">
        <f t="shared" si="60"/>
        <v>11.752469109616143</v>
      </c>
      <c r="Y110" s="13">
        <f t="shared" si="61"/>
        <v>11.723108128215276</v>
      </c>
      <c r="Z110" s="13">
        <f t="shared" si="62"/>
        <v>11.705376335575783</v>
      </c>
      <c r="AA110" s="13">
        <f t="shared" si="63"/>
        <v>11.755300672734467</v>
      </c>
      <c r="AB110" s="13">
        <f t="shared" si="64"/>
        <v>11.728643102493075</v>
      </c>
      <c r="AC110" s="13">
        <f t="shared" si="65"/>
        <v>11.71390068064899</v>
      </c>
      <c r="AD110" s="13">
        <f t="shared" si="66"/>
        <v>5.7417702413929543</v>
      </c>
      <c r="AE110" s="13">
        <f t="shared" si="67"/>
        <v>4.3553720538187584</v>
      </c>
      <c r="AF110" s="13">
        <f t="shared" si="68"/>
        <v>3.5581256430550061</v>
      </c>
      <c r="AG110" s="13">
        <f t="shared" si="69"/>
        <v>7.4760900751879689</v>
      </c>
      <c r="AH110" s="13">
        <f t="shared" si="70"/>
        <v>5.9956004194697261</v>
      </c>
      <c r="AI110" s="13">
        <f t="shared" si="71"/>
        <v>4.8811894261970714</v>
      </c>
      <c r="AJ110" s="13">
        <f t="shared" si="72"/>
        <v>8.520428286505739</v>
      </c>
      <c r="AK110" s="13">
        <f t="shared" si="73"/>
        <v>7.2529420023743558</v>
      </c>
      <c r="AL110" s="13">
        <f t="shared" si="74"/>
        <v>6.1312573961218835</v>
      </c>
      <c r="AM110" s="13">
        <f t="shared" si="75"/>
        <v>11.7026483674774</v>
      </c>
      <c r="AN110" s="13">
        <f t="shared" si="76"/>
        <v>11.688521567075583</v>
      </c>
      <c r="AO110" s="322">
        <f t="shared" si="88"/>
        <v>11.688521567075583</v>
      </c>
      <c r="AP110" s="322">
        <f t="shared" si="77"/>
        <v>11.7026483674774</v>
      </c>
      <c r="AQ110" s="322">
        <f t="shared" si="78"/>
        <v>11.711632615749901</v>
      </c>
      <c r="AR110" s="324">
        <f t="shared" si="79"/>
        <v>3.4354723490913517</v>
      </c>
      <c r="AS110" s="324">
        <f t="shared" si="80"/>
        <v>4.7097415810782017</v>
      </c>
      <c r="AT110" s="324">
        <f t="shared" si="81"/>
        <v>5.9586905336215032</v>
      </c>
      <c r="AU110" s="106">
        <f t="shared" ca="1" si="82"/>
        <v>11.688521567075583</v>
      </c>
      <c r="AV110" s="106">
        <f t="shared" ca="1" si="83"/>
        <v>11.7026483674774</v>
      </c>
      <c r="AW110" s="106">
        <f t="shared" ca="1" si="84"/>
        <v>11.711632615749901</v>
      </c>
      <c r="AX110" s="106">
        <f t="shared" ca="1" si="85"/>
        <v>3.4354723490913517</v>
      </c>
      <c r="AY110" s="106">
        <f t="shared" ca="1" si="86"/>
        <v>4.7097415810782017</v>
      </c>
      <c r="AZ110" s="106">
        <f t="shared" ca="1" si="87"/>
        <v>5.9586905336215032</v>
      </c>
      <c r="BA110" s="145">
        <v>11.5</v>
      </c>
      <c r="BB110" s="13" cm="1">
        <f t="array" ref="BB110">INDEX(AO110:AQ110,$AI$39)</f>
        <v>11.688521567075583</v>
      </c>
      <c r="BC110" s="13" cm="1">
        <f t="array" ref="BC110">INDEX(AR110:AT110,$AI$39)</f>
        <v>3.4354723490913517</v>
      </c>
      <c r="BD110" s="145">
        <v>11.5</v>
      </c>
      <c r="BS110" s="106">
        <v>15.1</v>
      </c>
      <c r="BT110" s="12" t="s">
        <v>390</v>
      </c>
      <c r="BU110" s="7" t="str">
        <f t="shared" si="50"/>
        <v>---------</v>
      </c>
      <c r="BV110" s="290">
        <v>2.0100000000000202</v>
      </c>
      <c r="BW110" s="59">
        <v>101</v>
      </c>
      <c r="BX110" s="168" t="str">
        <f t="shared" si="51"/>
        <v>---------</v>
      </c>
      <c r="BY110" s="182">
        <v>5.5100000000000003E-2</v>
      </c>
      <c r="BZ110" s="185">
        <v>101</v>
      </c>
      <c r="CA110" s="184">
        <f t="shared" si="52"/>
        <v>5.5100000000000003E-2</v>
      </c>
    </row>
    <row r="111" spans="21:79">
      <c r="U111" s="13">
        <f t="shared" si="57"/>
        <v>11.636313882073607</v>
      </c>
      <c r="V111" s="13">
        <f t="shared" si="58"/>
        <v>11.60506610209735</v>
      </c>
      <c r="W111" s="13">
        <f t="shared" si="59"/>
        <v>11.589904653739612</v>
      </c>
      <c r="X111" s="13">
        <f t="shared" si="60"/>
        <v>11.644461630391767</v>
      </c>
      <c r="Y111" s="13">
        <f t="shared" si="61"/>
        <v>11.620026299960429</v>
      </c>
      <c r="Z111" s="13">
        <f t="shared" si="62"/>
        <v>11.604289133359718</v>
      </c>
      <c r="AA111" s="13">
        <f t="shared" si="63"/>
        <v>11.648758955282945</v>
      </c>
      <c r="AB111" s="13">
        <f t="shared" si="64"/>
        <v>11.626069584487533</v>
      </c>
      <c r="AC111" s="13">
        <f t="shared" si="65"/>
        <v>11.612901345468936</v>
      </c>
      <c r="AD111" s="13">
        <f t="shared" si="66"/>
        <v>5.7584497427779953</v>
      </c>
      <c r="AE111" s="13">
        <f t="shared" si="67"/>
        <v>4.3844592006331613</v>
      </c>
      <c r="AF111" s="13">
        <f t="shared" si="68"/>
        <v>3.5853452552433724</v>
      </c>
      <c r="AG111" s="13">
        <f t="shared" si="69"/>
        <v>7.4613006015037584</v>
      </c>
      <c r="AH111" s="13">
        <f t="shared" si="70"/>
        <v>6.0039287851206957</v>
      </c>
      <c r="AI111" s="13">
        <f t="shared" si="71"/>
        <v>4.9011319746735271</v>
      </c>
      <c r="AJ111" s="13">
        <f t="shared" si="72"/>
        <v>8.484643577364464</v>
      </c>
      <c r="AK111" s="13">
        <f t="shared" si="73"/>
        <v>7.2392836644242173</v>
      </c>
      <c r="AL111" s="13">
        <f t="shared" si="74"/>
        <v>6.1341367867036016</v>
      </c>
      <c r="AM111" s="13">
        <f t="shared" si="75"/>
        <v>11.601868030805761</v>
      </c>
      <c r="AN111" s="13">
        <f t="shared" si="76"/>
        <v>11.587572123223037</v>
      </c>
      <c r="AO111" s="322">
        <f t="shared" si="88"/>
        <v>11.587572123223037</v>
      </c>
      <c r="AP111" s="322">
        <f t="shared" si="77"/>
        <v>11.601868030805761</v>
      </c>
      <c r="AQ111" s="322">
        <f t="shared" si="78"/>
        <v>11.610875462542998</v>
      </c>
      <c r="AR111" s="324">
        <f t="shared" si="79"/>
        <v>3.4624046482603279</v>
      </c>
      <c r="AS111" s="324">
        <f t="shared" si="80"/>
        <v>4.731470926912424</v>
      </c>
      <c r="AT111" s="324">
        <f t="shared" si="81"/>
        <v>5.9641141901311991</v>
      </c>
      <c r="AU111" s="106">
        <f t="shared" ca="1" si="82"/>
        <v>11.587572123223037</v>
      </c>
      <c r="AV111" s="106">
        <f t="shared" ca="1" si="83"/>
        <v>11.601868030805761</v>
      </c>
      <c r="AW111" s="106">
        <f t="shared" ca="1" si="84"/>
        <v>11.610875462542998</v>
      </c>
      <c r="AX111" s="106">
        <f t="shared" ca="1" si="85"/>
        <v>3.4624046482603279</v>
      </c>
      <c r="AY111" s="106">
        <f t="shared" ca="1" si="86"/>
        <v>4.731470926912424</v>
      </c>
      <c r="AZ111" s="106">
        <f t="shared" ca="1" si="87"/>
        <v>5.9641141901311991</v>
      </c>
      <c r="BA111" s="145">
        <v>11.4</v>
      </c>
      <c r="BB111" s="13" cm="1">
        <f t="array" ref="BB111">INDEX(AO111:AQ111,$AI$39)</f>
        <v>11.587572123223037</v>
      </c>
      <c r="BC111" s="13" cm="1">
        <f t="array" ref="BC111">INDEX(AR111:AT111,$AI$39)</f>
        <v>3.4624046482603279</v>
      </c>
      <c r="BD111" s="145">
        <v>11.4</v>
      </c>
      <c r="BS111" s="106">
        <v>15</v>
      </c>
      <c r="BT111" s="12" t="s">
        <v>391</v>
      </c>
      <c r="BU111" s="7" t="str">
        <f t="shared" si="50"/>
        <v>---------</v>
      </c>
      <c r="BV111" s="290">
        <v>2.00000000000002</v>
      </c>
      <c r="BW111" s="59">
        <v>102</v>
      </c>
      <c r="BX111" s="168" t="str">
        <f t="shared" si="51"/>
        <v>---------</v>
      </c>
      <c r="BY111" s="182">
        <v>5.5E-2</v>
      </c>
      <c r="BZ111" s="185">
        <v>102</v>
      </c>
      <c r="CA111" s="184">
        <f t="shared" si="52"/>
        <v>5.5E-2</v>
      </c>
    </row>
    <row r="112" spans="21:79">
      <c r="U112" s="13">
        <f t="shared" si="57"/>
        <v>11.52550524732885</v>
      </c>
      <c r="V112" s="13">
        <f t="shared" si="58"/>
        <v>11.501101574990109</v>
      </c>
      <c r="W112" s="13">
        <f t="shared" si="59"/>
        <v>11.488547922437673</v>
      </c>
      <c r="X112" s="13">
        <f t="shared" si="60"/>
        <v>11.536556248516026</v>
      </c>
      <c r="Y112" s="13">
        <f t="shared" si="61"/>
        <v>11.516968927582116</v>
      </c>
      <c r="Z112" s="13">
        <f t="shared" si="62"/>
        <v>11.503201416699646</v>
      </c>
      <c r="AA112" s="13">
        <f t="shared" si="63"/>
        <v>11.542294483577365</v>
      </c>
      <c r="AB112" s="13">
        <f t="shared" si="64"/>
        <v>11.523514349030471</v>
      </c>
      <c r="AC112" s="13">
        <f t="shared" si="65"/>
        <v>11.511902208151959</v>
      </c>
      <c r="AD112" s="13">
        <f t="shared" si="66"/>
        <v>5.7739240205777573</v>
      </c>
      <c r="AE112" s="13">
        <f t="shared" si="67"/>
        <v>4.4124340007914515</v>
      </c>
      <c r="AF112" s="13">
        <f t="shared" si="68"/>
        <v>3.6116981480015831</v>
      </c>
      <c r="AG112" s="13">
        <f t="shared" si="69"/>
        <v>7.4455923308270666</v>
      </c>
      <c r="AH112" s="13">
        <f t="shared" si="70"/>
        <v>6.0112104550850791</v>
      </c>
      <c r="AI112" s="13">
        <f t="shared" si="71"/>
        <v>4.9200525999208544</v>
      </c>
      <c r="AJ112" s="13">
        <f t="shared" si="72"/>
        <v>8.4481581559161061</v>
      </c>
      <c r="AK112" s="13">
        <f t="shared" si="73"/>
        <v>7.2247637910565876</v>
      </c>
      <c r="AL112" s="13">
        <f t="shared" si="74"/>
        <v>6.1360701939058178</v>
      </c>
      <c r="AM112" s="13">
        <f t="shared" si="75"/>
        <v>11.501083338102344</v>
      </c>
      <c r="AN112" s="13">
        <f t="shared" si="76"/>
        <v>11.486616591275761</v>
      </c>
      <c r="AO112" s="322">
        <f t="shared" si="88"/>
        <v>11.486616591275761</v>
      </c>
      <c r="AP112" s="322">
        <f t="shared" si="77"/>
        <v>11.501083338102344</v>
      </c>
      <c r="AQ112" s="322">
        <f t="shared" si="78"/>
        <v>11.51011572493988</v>
      </c>
      <c r="AR112" s="324">
        <f t="shared" si="79"/>
        <v>3.4885080168031415</v>
      </c>
      <c r="AS112" s="324">
        <f t="shared" si="80"/>
        <v>4.7521821606648196</v>
      </c>
      <c r="AT112" s="324">
        <f t="shared" si="81"/>
        <v>5.9685788712672379</v>
      </c>
      <c r="AU112" s="106">
        <f t="shared" ca="1" si="82"/>
        <v>11.486616591275761</v>
      </c>
      <c r="AV112" s="106">
        <f t="shared" ca="1" si="83"/>
        <v>11.501083338102344</v>
      </c>
      <c r="AW112" s="106">
        <f t="shared" ca="1" si="84"/>
        <v>11.51011572493988</v>
      </c>
      <c r="AX112" s="106">
        <f t="shared" ca="1" si="85"/>
        <v>3.4885080168031415</v>
      </c>
      <c r="AY112" s="106">
        <f t="shared" ca="1" si="86"/>
        <v>4.7521821606648196</v>
      </c>
      <c r="AZ112" s="106">
        <f t="shared" ca="1" si="87"/>
        <v>5.9685788712672379</v>
      </c>
      <c r="BA112" s="145">
        <v>11.3</v>
      </c>
      <c r="BB112" s="13" cm="1">
        <f t="array" ref="BB112">INDEX(AO112:AQ112,$AI$39)</f>
        <v>11.486616591275761</v>
      </c>
      <c r="BC112" s="13" cm="1">
        <f t="array" ref="BC112">INDEX(AR112:AT112,$AI$39)</f>
        <v>3.4885080168031415</v>
      </c>
      <c r="BD112" s="145">
        <v>11.3</v>
      </c>
      <c r="BS112" s="106">
        <v>14.9</v>
      </c>
      <c r="BT112" s="12" t="s">
        <v>392</v>
      </c>
      <c r="BU112" s="7" t="str">
        <f t="shared" si="50"/>
        <v>---------</v>
      </c>
      <c r="BV112" s="290">
        <v>1.99000000000002</v>
      </c>
      <c r="BW112" s="59">
        <v>103</v>
      </c>
      <c r="BX112" s="168" t="str">
        <f t="shared" si="51"/>
        <v>---------</v>
      </c>
      <c r="BY112" s="182">
        <v>5.4899999999999997E-2</v>
      </c>
      <c r="BZ112" s="185">
        <v>103</v>
      </c>
      <c r="CA112" s="184">
        <f t="shared" si="52"/>
        <v>5.4899999999999997E-2</v>
      </c>
    </row>
    <row r="113" spans="21:86">
      <c r="U113" s="13">
        <f t="shared" si="57"/>
        <v>11.414848808864265</v>
      </c>
      <c r="V113" s="13">
        <f t="shared" si="58"/>
        <v>11.397172465373963</v>
      </c>
      <c r="W113" s="13">
        <f t="shared" si="59"/>
        <v>11.387190637119112</v>
      </c>
      <c r="X113" s="13">
        <f t="shared" si="60"/>
        <v>11.428752963988918</v>
      </c>
      <c r="Y113" s="13">
        <f t="shared" si="61"/>
        <v>11.413936011080333</v>
      </c>
      <c r="Z113" s="13">
        <f t="shared" si="62"/>
        <v>11.402113185595569</v>
      </c>
      <c r="AA113" s="13">
        <f t="shared" si="63"/>
        <v>11.435907257617728</v>
      </c>
      <c r="AB113" s="13">
        <f t="shared" si="64"/>
        <v>11.420977396121883</v>
      </c>
      <c r="AC113" s="13">
        <f t="shared" si="65"/>
        <v>11.41090326869806</v>
      </c>
      <c r="AD113" s="13">
        <f t="shared" si="66"/>
        <v>5.7881930747922414</v>
      </c>
      <c r="AE113" s="13">
        <f t="shared" si="67"/>
        <v>4.4392964542936291</v>
      </c>
      <c r="AF113" s="13">
        <f t="shared" si="68"/>
        <v>3.6371843213296406</v>
      </c>
      <c r="AG113" s="13">
        <f t="shared" si="69"/>
        <v>7.4289652631578935</v>
      </c>
      <c r="AH113" s="13">
        <f t="shared" si="70"/>
        <v>6.0174454293628816</v>
      </c>
      <c r="AI113" s="13">
        <f t="shared" si="71"/>
        <v>4.9379513019390586</v>
      </c>
      <c r="AJ113" s="13">
        <f t="shared" si="72"/>
        <v>8.4109720221606654</v>
      </c>
      <c r="AK113" s="13">
        <f t="shared" si="73"/>
        <v>7.2093823822714658</v>
      </c>
      <c r="AL113" s="13">
        <f t="shared" si="74"/>
        <v>6.1370576177285319</v>
      </c>
      <c r="AM113" s="13">
        <f t="shared" si="75"/>
        <v>11.400294289367144</v>
      </c>
      <c r="AN113" s="13">
        <f t="shared" si="76"/>
        <v>11.38565497123375</v>
      </c>
      <c r="AO113" s="322">
        <f t="shared" si="88"/>
        <v>11.38565497123375</v>
      </c>
      <c r="AP113" s="322">
        <f t="shared" si="77"/>
        <v>11.400294289367144</v>
      </c>
      <c r="AQ113" s="322">
        <f t="shared" si="78"/>
        <v>11.40935340294055</v>
      </c>
      <c r="AR113" s="324">
        <f t="shared" si="79"/>
        <v>3.513782454719796</v>
      </c>
      <c r="AS113" s="324">
        <f t="shared" si="80"/>
        <v>4.7718752823353938</v>
      </c>
      <c r="AT113" s="324">
        <f t="shared" si="81"/>
        <v>5.9720845770296194</v>
      </c>
      <c r="AU113" s="106">
        <f t="shared" ca="1" si="82"/>
        <v>11.38565497123375</v>
      </c>
      <c r="AV113" s="106">
        <f t="shared" ca="1" si="83"/>
        <v>11.400294289367144</v>
      </c>
      <c r="AW113" s="106">
        <f t="shared" ca="1" si="84"/>
        <v>11.40935340294055</v>
      </c>
      <c r="AX113" s="106">
        <f t="shared" ca="1" si="85"/>
        <v>3.513782454719796</v>
      </c>
      <c r="AY113" s="106">
        <f t="shared" ca="1" si="86"/>
        <v>4.7718752823353938</v>
      </c>
      <c r="AZ113" s="106">
        <f t="shared" ca="1" si="87"/>
        <v>5.9720845770296194</v>
      </c>
      <c r="BA113" s="145">
        <v>11.2</v>
      </c>
      <c r="BB113" s="13" cm="1">
        <f t="array" ref="BB113">INDEX(AO113:AQ113,$AI$39)</f>
        <v>11.38565497123375</v>
      </c>
      <c r="BC113" s="13" cm="1">
        <f t="array" ref="BC113">INDEX(AR113:AT113,$AI$39)</f>
        <v>3.513782454719796</v>
      </c>
      <c r="BD113" s="145">
        <v>11.2</v>
      </c>
      <c r="BS113" s="106">
        <v>14.8</v>
      </c>
      <c r="BT113" s="12" t="s">
        <v>393</v>
      </c>
      <c r="BU113" s="7" t="str">
        <f t="shared" si="50"/>
        <v>---------</v>
      </c>
      <c r="BV113" s="290">
        <v>1.98000000000002</v>
      </c>
      <c r="BW113" s="59">
        <v>104</v>
      </c>
      <c r="BX113" s="168" t="str">
        <f t="shared" si="51"/>
        <v>---------</v>
      </c>
      <c r="BY113" s="182">
        <v>5.4800000000000001E-2</v>
      </c>
      <c r="BZ113" s="185">
        <v>104</v>
      </c>
      <c r="CA113" s="184">
        <f t="shared" si="52"/>
        <v>5.4800000000000001E-2</v>
      </c>
    </row>
    <row r="114" spans="21:86">
      <c r="U114" s="13">
        <f t="shared" si="57"/>
        <v>11.304344566679857</v>
      </c>
      <c r="V114" s="13">
        <f t="shared" si="58"/>
        <v>11.293278773248913</v>
      </c>
      <c r="W114" s="13">
        <f t="shared" si="59"/>
        <v>11.285832797783932</v>
      </c>
      <c r="X114" s="13">
        <f t="shared" si="60"/>
        <v>11.321051776810446</v>
      </c>
      <c r="Y114" s="13">
        <f t="shared" si="61"/>
        <v>11.310927550455085</v>
      </c>
      <c r="Z114" s="13">
        <f t="shared" si="62"/>
        <v>11.301024440047488</v>
      </c>
      <c r="AA114" s="13">
        <f t="shared" si="63"/>
        <v>11.329597277404037</v>
      </c>
      <c r="AB114" s="13">
        <f t="shared" si="64"/>
        <v>11.318458725761772</v>
      </c>
      <c r="AC114" s="13">
        <f t="shared" si="65"/>
        <v>11.309904527107241</v>
      </c>
      <c r="AD114" s="13">
        <f t="shared" si="66"/>
        <v>5.8012569054214467</v>
      </c>
      <c r="AE114" s="13">
        <f t="shared" si="67"/>
        <v>4.4650465611396903</v>
      </c>
      <c r="AF114" s="13">
        <f t="shared" si="68"/>
        <v>3.6618037752275434</v>
      </c>
      <c r="AG114" s="13">
        <f t="shared" si="69"/>
        <v>7.4114193984962391</v>
      </c>
      <c r="AH114" s="13">
        <f t="shared" si="70"/>
        <v>6.0226337079540944</v>
      </c>
      <c r="AI114" s="13">
        <f t="shared" si="71"/>
        <v>4.9548280807281362</v>
      </c>
      <c r="AJ114" s="13">
        <f t="shared" si="72"/>
        <v>8.3730851760981384</v>
      </c>
      <c r="AK114" s="13">
        <f t="shared" si="73"/>
        <v>7.1931394380688536</v>
      </c>
      <c r="AL114" s="13">
        <f t="shared" si="74"/>
        <v>6.1370990581717457</v>
      </c>
      <c r="AM114" s="13">
        <f t="shared" si="75"/>
        <v>11.299500884600166</v>
      </c>
      <c r="AN114" s="13">
        <f t="shared" si="76"/>
        <v>11.284687263097013</v>
      </c>
      <c r="AO114" s="322">
        <f t="shared" si="88"/>
        <v>11.284687263097013</v>
      </c>
      <c r="AP114" s="322">
        <f t="shared" si="77"/>
        <v>11.299500884600166</v>
      </c>
      <c r="AQ114" s="322">
        <f t="shared" si="78"/>
        <v>11.308588496545005</v>
      </c>
      <c r="AR114" s="324">
        <f t="shared" si="79"/>
        <v>3.5382279620102901</v>
      </c>
      <c r="AS114" s="324">
        <f t="shared" si="80"/>
        <v>4.7905502919241423</v>
      </c>
      <c r="AT114" s="324">
        <f t="shared" si="81"/>
        <v>5.9746313074183446</v>
      </c>
      <c r="AU114" s="106">
        <f t="shared" ca="1" si="82"/>
        <v>11.284687263097013</v>
      </c>
      <c r="AV114" s="106">
        <f t="shared" ca="1" si="83"/>
        <v>11.299500884600166</v>
      </c>
      <c r="AW114" s="106">
        <f t="shared" ca="1" si="84"/>
        <v>11.308588496545005</v>
      </c>
      <c r="AX114" s="106">
        <f t="shared" ca="1" si="85"/>
        <v>3.5382279620102901</v>
      </c>
      <c r="AY114" s="106">
        <f t="shared" ca="1" si="86"/>
        <v>4.7905502919241423</v>
      </c>
      <c r="AZ114" s="106">
        <f t="shared" ca="1" si="87"/>
        <v>5.9746313074183446</v>
      </c>
      <c r="BA114" s="145">
        <v>11.1</v>
      </c>
      <c r="BB114" s="13" cm="1">
        <f t="array" ref="BB114">INDEX(AO114:AQ114,$AI$39)</f>
        <v>11.284687263097013</v>
      </c>
      <c r="BC114" s="13" cm="1">
        <f t="array" ref="BC114">INDEX(AR114:AT114,$AI$39)</f>
        <v>3.5382279620102901</v>
      </c>
      <c r="BD114" s="145">
        <v>11.1</v>
      </c>
      <c r="BS114" s="106">
        <v>14.7</v>
      </c>
      <c r="BT114" s="12" t="s">
        <v>394</v>
      </c>
      <c r="BU114" s="7" t="str">
        <f t="shared" si="50"/>
        <v>---------</v>
      </c>
      <c r="BV114" s="290">
        <v>1.97000000000002</v>
      </c>
      <c r="BW114" s="59">
        <v>105</v>
      </c>
      <c r="BX114" s="168" t="str">
        <f t="shared" si="51"/>
        <v>---------</v>
      </c>
      <c r="BY114" s="182">
        <v>5.4699999999999999E-2</v>
      </c>
      <c r="BZ114" s="185">
        <v>105</v>
      </c>
      <c r="CA114" s="184">
        <f t="shared" si="52"/>
        <v>5.4699999999999999E-2</v>
      </c>
    </row>
    <row r="115" spans="21:86">
      <c r="U115" s="13">
        <f t="shared" si="57"/>
        <v>11.193992520775625</v>
      </c>
      <c r="V115" s="13">
        <f t="shared" si="58"/>
        <v>11.189420498614959</v>
      </c>
      <c r="W115" s="13">
        <f t="shared" si="59"/>
        <v>11.184474404432134</v>
      </c>
      <c r="X115" s="13">
        <f t="shared" si="60"/>
        <v>11.213452686980608</v>
      </c>
      <c r="Y115" s="13">
        <f t="shared" si="61"/>
        <v>11.207943545706373</v>
      </c>
      <c r="Z115" s="13">
        <f t="shared" si="62"/>
        <v>11.199935180055403</v>
      </c>
      <c r="AA115" s="13">
        <f t="shared" si="63"/>
        <v>11.22336454293629</v>
      </c>
      <c r="AB115" s="13">
        <f t="shared" si="64"/>
        <v>11.215958337950138</v>
      </c>
      <c r="AC115" s="13">
        <f t="shared" si="65"/>
        <v>11.208905983379502</v>
      </c>
      <c r="AD115" s="13">
        <f t="shared" si="66"/>
        <v>5.8131155124653722</v>
      </c>
      <c r="AE115" s="13">
        <f t="shared" si="67"/>
        <v>4.4896843213296389</v>
      </c>
      <c r="AF115" s="13">
        <f t="shared" si="68"/>
        <v>3.6855565096952914</v>
      </c>
      <c r="AG115" s="13">
        <f t="shared" si="69"/>
        <v>7.3929547368421051</v>
      </c>
      <c r="AH115" s="13">
        <f t="shared" si="70"/>
        <v>6.0267752908587244</v>
      </c>
      <c r="AI115" s="13">
        <f t="shared" si="71"/>
        <v>4.9706829362880889</v>
      </c>
      <c r="AJ115" s="13">
        <f t="shared" si="72"/>
        <v>8.3344976177285321</v>
      </c>
      <c r="AK115" s="13">
        <f t="shared" si="73"/>
        <v>7.1760349584487528</v>
      </c>
      <c r="AL115" s="13">
        <f t="shared" si="74"/>
        <v>6.1361945152354576</v>
      </c>
      <c r="AM115" s="13">
        <f t="shared" si="75"/>
        <v>11.198703123801408</v>
      </c>
      <c r="AN115" s="13">
        <f t="shared" si="76"/>
        <v>11.183713466865544</v>
      </c>
      <c r="AO115" s="322">
        <f t="shared" si="88"/>
        <v>11.183713466865544</v>
      </c>
      <c r="AP115" s="322">
        <f t="shared" si="77"/>
        <v>11.198703123801408</v>
      </c>
      <c r="AQ115" s="322">
        <f t="shared" si="78"/>
        <v>11.207821005753249</v>
      </c>
      <c r="AR115" s="324">
        <f t="shared" si="79"/>
        <v>3.5618445386746225</v>
      </c>
      <c r="AS115" s="324">
        <f t="shared" si="80"/>
        <v>4.8082071894310676</v>
      </c>
      <c r="AT115" s="324">
        <f t="shared" si="81"/>
        <v>5.9762190624334117</v>
      </c>
      <c r="AU115" s="106">
        <f t="shared" ca="1" si="82"/>
        <v>11.183713466865544</v>
      </c>
      <c r="AV115" s="106">
        <f t="shared" ca="1" si="83"/>
        <v>11.198703123801408</v>
      </c>
      <c r="AW115" s="106">
        <f t="shared" ca="1" si="84"/>
        <v>11.207821005753249</v>
      </c>
      <c r="AX115" s="106">
        <f t="shared" ca="1" si="85"/>
        <v>3.5618445386746225</v>
      </c>
      <c r="AY115" s="106">
        <f t="shared" ca="1" si="86"/>
        <v>4.8082071894310676</v>
      </c>
      <c r="AZ115" s="106">
        <f t="shared" ca="1" si="87"/>
        <v>5.9762190624334117</v>
      </c>
      <c r="BA115" s="145">
        <v>11</v>
      </c>
      <c r="BB115" s="13" cm="1">
        <f t="array" ref="BB115">INDEX(AO115:AQ115,$AI$39)</f>
        <v>11.183713466865544</v>
      </c>
      <c r="BC115" s="13" cm="1">
        <f t="array" ref="BC115">INDEX(AR115:AT115,$AI$39)</f>
        <v>3.5618445386746225</v>
      </c>
      <c r="BD115" s="145">
        <v>11</v>
      </c>
      <c r="BS115" s="106">
        <v>14.6</v>
      </c>
      <c r="BT115" s="12" t="s">
        <v>395</v>
      </c>
      <c r="BU115" s="7" t="str">
        <f t="shared" si="50"/>
        <v>---------</v>
      </c>
      <c r="BV115" s="290">
        <v>1.9600000000000199</v>
      </c>
      <c r="BW115" s="59">
        <v>106</v>
      </c>
      <c r="BX115" s="168" t="str">
        <f t="shared" si="51"/>
        <v>---------</v>
      </c>
      <c r="BY115" s="182">
        <v>5.4600000000000003E-2</v>
      </c>
      <c r="BZ115" s="185">
        <v>106</v>
      </c>
      <c r="CA115" s="184">
        <f t="shared" si="52"/>
        <v>5.4600000000000003E-2</v>
      </c>
    </row>
    <row r="116" spans="21:86">
      <c r="U116" s="13">
        <f t="shared" si="57"/>
        <v>11.083792671151564</v>
      </c>
      <c r="V116" s="13">
        <f t="shared" si="58"/>
        <v>11.085597641472104</v>
      </c>
      <c r="W116" s="13">
        <f t="shared" si="59"/>
        <v>11.083115457063712</v>
      </c>
      <c r="X116" s="13">
        <f t="shared" si="60"/>
        <v>11.105955694499405</v>
      </c>
      <c r="Y116" s="13">
        <f t="shared" si="61"/>
        <v>11.104983996834193</v>
      </c>
      <c r="Z116" s="13">
        <f t="shared" si="62"/>
        <v>11.098845405619313</v>
      </c>
      <c r="AA116" s="13">
        <f t="shared" si="63"/>
        <v>11.117209054214484</v>
      </c>
      <c r="AB116" s="13">
        <f t="shared" si="64"/>
        <v>11.113476232686979</v>
      </c>
      <c r="AC116" s="13">
        <f t="shared" si="65"/>
        <v>11.10790763751484</v>
      </c>
      <c r="AD116" s="13">
        <f t="shared" si="66"/>
        <v>5.8237688959240188</v>
      </c>
      <c r="AE116" s="13">
        <f t="shared" si="67"/>
        <v>4.513209734863473</v>
      </c>
      <c r="AF116" s="13">
        <f t="shared" si="68"/>
        <v>3.7084425247328854</v>
      </c>
      <c r="AG116" s="13">
        <f t="shared" si="69"/>
        <v>7.3735712781954881</v>
      </c>
      <c r="AH116" s="13">
        <f t="shared" si="70"/>
        <v>6.0298701780767701</v>
      </c>
      <c r="AI116" s="13">
        <f t="shared" si="71"/>
        <v>4.9855158686189185</v>
      </c>
      <c r="AJ116" s="13">
        <f t="shared" si="72"/>
        <v>8.2952093470518395</v>
      </c>
      <c r="AK116" s="13">
        <f t="shared" si="73"/>
        <v>7.1580689434111582</v>
      </c>
      <c r="AL116" s="13">
        <f t="shared" si="74"/>
        <v>6.1343439889196674</v>
      </c>
      <c r="AM116" s="13">
        <f t="shared" si="75"/>
        <v>11.09790100697087</v>
      </c>
      <c r="AN116" s="13">
        <f t="shared" si="76"/>
        <v>11.082733582539344</v>
      </c>
      <c r="AO116" s="322">
        <f t="shared" si="88"/>
        <v>11.082733582539344</v>
      </c>
      <c r="AP116" s="322">
        <f t="shared" si="77"/>
        <v>11.09790100697087</v>
      </c>
      <c r="AQ116" s="322">
        <f t="shared" si="78"/>
        <v>11.107050930565281</v>
      </c>
      <c r="AR116" s="324">
        <f t="shared" si="79"/>
        <v>3.5846321847127949</v>
      </c>
      <c r="AS116" s="324">
        <f t="shared" si="80"/>
        <v>4.8248459748561725</v>
      </c>
      <c r="AT116" s="324">
        <f t="shared" si="81"/>
        <v>5.9768478420748226</v>
      </c>
      <c r="AU116" s="106">
        <f t="shared" ca="1" si="82"/>
        <v>11.082733582539344</v>
      </c>
      <c r="AV116" s="106">
        <f t="shared" ca="1" si="83"/>
        <v>11.09790100697087</v>
      </c>
      <c r="AW116" s="106">
        <f t="shared" ca="1" si="84"/>
        <v>11.107050930565281</v>
      </c>
      <c r="AX116" s="106">
        <f t="shared" ca="1" si="85"/>
        <v>3.5846321847127949</v>
      </c>
      <c r="AY116" s="106">
        <f t="shared" ca="1" si="86"/>
        <v>4.8248459748561725</v>
      </c>
      <c r="AZ116" s="106">
        <f t="shared" ca="1" si="87"/>
        <v>5.9768478420748226</v>
      </c>
      <c r="BA116" s="145">
        <v>10.9</v>
      </c>
      <c r="BB116" s="13" cm="1">
        <f t="array" ref="BB116">INDEX(AO116:AQ116,$AI$39)</f>
        <v>11.082733582539344</v>
      </c>
      <c r="BC116" s="13" cm="1">
        <f t="array" ref="BC116">INDEX(AR116:AT116,$AI$39)</f>
        <v>3.5846321847127949</v>
      </c>
      <c r="BD116" s="145">
        <v>10.9</v>
      </c>
      <c r="BS116" s="106">
        <v>14.5</v>
      </c>
      <c r="BT116" s="12" t="s">
        <v>396</v>
      </c>
      <c r="BU116" s="7" t="str">
        <f t="shared" si="50"/>
        <v>---------</v>
      </c>
      <c r="BV116" s="290">
        <v>1.9500000000000199</v>
      </c>
      <c r="BW116" s="59">
        <v>107</v>
      </c>
      <c r="BX116" s="168" t="str">
        <f t="shared" si="51"/>
        <v>---------</v>
      </c>
      <c r="BY116" s="182">
        <v>5.45E-2</v>
      </c>
      <c r="BZ116" s="185">
        <v>107</v>
      </c>
      <c r="CA116" s="184">
        <f t="shared" si="52"/>
        <v>5.45E-2</v>
      </c>
    </row>
    <row r="117" spans="21:86">
      <c r="U117" s="13">
        <f t="shared" si="57"/>
        <v>10.973745017807678</v>
      </c>
      <c r="V117" s="13">
        <f t="shared" si="58"/>
        <v>10.981810201820343</v>
      </c>
      <c r="W117" s="13">
        <f t="shared" si="59"/>
        <v>10.98175595567867</v>
      </c>
      <c r="X117" s="13">
        <f t="shared" si="60"/>
        <v>10.998560799366837</v>
      </c>
      <c r="Y117" s="13">
        <f t="shared" si="61"/>
        <v>11.002048903838546</v>
      </c>
      <c r="Z117" s="13">
        <f t="shared" si="62"/>
        <v>10.997755116739219</v>
      </c>
      <c r="AA117" s="13">
        <f t="shared" si="63"/>
        <v>11.011130811238623</v>
      </c>
      <c r="AB117" s="13">
        <f t="shared" si="64"/>
        <v>11.011012409972299</v>
      </c>
      <c r="AC117" s="13">
        <f t="shared" si="65"/>
        <v>11.006909489513257</v>
      </c>
      <c r="AD117" s="13">
        <f t="shared" si="66"/>
        <v>5.8332170557973857</v>
      </c>
      <c r="AE117" s="13">
        <f t="shared" si="67"/>
        <v>4.5356228017411961</v>
      </c>
      <c r="AF117" s="13">
        <f t="shared" si="68"/>
        <v>3.7304618203403246</v>
      </c>
      <c r="AG117" s="13">
        <f t="shared" si="69"/>
        <v>7.3532690225563897</v>
      </c>
      <c r="AH117" s="13">
        <f t="shared" si="70"/>
        <v>6.0319183696082295</v>
      </c>
      <c r="AI117" s="13">
        <f t="shared" si="71"/>
        <v>4.9993268777206197</v>
      </c>
      <c r="AJ117" s="13">
        <f t="shared" si="72"/>
        <v>8.2552203640680641</v>
      </c>
      <c r="AK117" s="13">
        <f t="shared" si="73"/>
        <v>7.1392413929560732</v>
      </c>
      <c r="AL117" s="13">
        <f t="shared" si="74"/>
        <v>6.1315474792243769</v>
      </c>
      <c r="AM117" s="13">
        <f t="shared" si="75"/>
        <v>10.997094534108554</v>
      </c>
      <c r="AN117" s="13">
        <f t="shared" si="76"/>
        <v>10.981747610118413</v>
      </c>
      <c r="AO117" s="322">
        <f t="shared" si="88"/>
        <v>10.981747610118413</v>
      </c>
      <c r="AP117" s="322">
        <f t="shared" si="77"/>
        <v>10.997094534108554</v>
      </c>
      <c r="AQ117" s="322">
        <f t="shared" si="78"/>
        <v>11.006278270981097</v>
      </c>
      <c r="AR117" s="324">
        <f t="shared" si="79"/>
        <v>3.6065909001248055</v>
      </c>
      <c r="AS117" s="324">
        <f t="shared" si="80"/>
        <v>4.8404666481994489</v>
      </c>
      <c r="AT117" s="324">
        <f t="shared" si="81"/>
        <v>5.9765176463425771</v>
      </c>
      <c r="AU117" s="106">
        <f t="shared" ca="1" si="82"/>
        <v>10.981747610118413</v>
      </c>
      <c r="AV117" s="106">
        <f t="shared" ca="1" si="83"/>
        <v>10.997094534108554</v>
      </c>
      <c r="AW117" s="106">
        <f t="shared" ca="1" si="84"/>
        <v>11.006278270981097</v>
      </c>
      <c r="AX117" s="106">
        <f t="shared" ca="1" si="85"/>
        <v>3.6065909001248055</v>
      </c>
      <c r="AY117" s="106">
        <f t="shared" ca="1" si="86"/>
        <v>4.8404666481994489</v>
      </c>
      <c r="AZ117" s="106">
        <f t="shared" ca="1" si="87"/>
        <v>5.9765176463425771</v>
      </c>
      <c r="BA117" s="145">
        <v>10.8</v>
      </c>
      <c r="BB117" s="13" cm="1">
        <f t="array" ref="BB117">INDEX(AO117:AQ117,$AI$39)</f>
        <v>10.981747610118413</v>
      </c>
      <c r="BC117" s="13" cm="1">
        <f t="array" ref="BC117">INDEX(AR117:AT117,$AI$39)</f>
        <v>3.6065909001248055</v>
      </c>
      <c r="BD117" s="145">
        <v>10.8</v>
      </c>
      <c r="BS117" s="106">
        <v>14.4</v>
      </c>
      <c r="BT117" s="12" t="s">
        <v>397</v>
      </c>
      <c r="BU117" s="7" t="str">
        <f t="shared" si="50"/>
        <v>---------</v>
      </c>
      <c r="BV117" s="290">
        <v>1.9400000000000199</v>
      </c>
      <c r="BW117" s="59">
        <v>108</v>
      </c>
      <c r="BX117" s="168" t="str">
        <f t="shared" si="51"/>
        <v>---------</v>
      </c>
      <c r="BY117" s="182">
        <v>5.4399999999999997E-2</v>
      </c>
      <c r="BZ117" s="185">
        <v>108</v>
      </c>
      <c r="CA117" s="184">
        <f t="shared" si="52"/>
        <v>5.4399999999999997E-2</v>
      </c>
    </row>
    <row r="118" spans="21:86">
      <c r="U118" s="13">
        <f t="shared" si="57"/>
        <v>10.863849560743965</v>
      </c>
      <c r="V118" s="13">
        <f t="shared" si="58"/>
        <v>10.878058179659677</v>
      </c>
      <c r="W118" s="13">
        <f t="shared" si="59"/>
        <v>10.880395900277007</v>
      </c>
      <c r="X118" s="13">
        <f t="shared" si="60"/>
        <v>10.891268001582903</v>
      </c>
      <c r="Y118" s="13">
        <f t="shared" si="61"/>
        <v>10.899138266719431</v>
      </c>
      <c r="Z118" s="13">
        <f t="shared" si="62"/>
        <v>10.896664313415117</v>
      </c>
      <c r="AA118" s="13">
        <f t="shared" si="63"/>
        <v>10.905129814008705</v>
      </c>
      <c r="AB118" s="13">
        <f t="shared" si="64"/>
        <v>10.908566869806092</v>
      </c>
      <c r="AC118" s="13">
        <f t="shared" si="65"/>
        <v>10.905911539374751</v>
      </c>
      <c r="AD118" s="13">
        <f t="shared" si="66"/>
        <v>5.8414599920854764</v>
      </c>
      <c r="AE118" s="13">
        <f t="shared" si="67"/>
        <v>4.556923521962803</v>
      </c>
      <c r="AF118" s="13">
        <f t="shared" si="68"/>
        <v>3.7516143965176107</v>
      </c>
      <c r="AG118" s="13">
        <f t="shared" si="69"/>
        <v>7.3320479699248118</v>
      </c>
      <c r="AH118" s="13">
        <f t="shared" si="70"/>
        <v>6.0329198654531062</v>
      </c>
      <c r="AI118" s="13">
        <f t="shared" si="71"/>
        <v>5.012115963593196</v>
      </c>
      <c r="AJ118" s="13">
        <f t="shared" si="72"/>
        <v>8.2145306687772059</v>
      </c>
      <c r="AK118" s="13">
        <f t="shared" si="73"/>
        <v>7.1195523070834961</v>
      </c>
      <c r="AL118" s="13">
        <f t="shared" si="74"/>
        <v>6.1278049861495845</v>
      </c>
      <c r="AM118" s="13">
        <f t="shared" si="75"/>
        <v>10.896283705214454</v>
      </c>
      <c r="AN118" s="13">
        <f t="shared" si="76"/>
        <v>10.88075554960275</v>
      </c>
      <c r="AO118" s="322">
        <f t="shared" si="88"/>
        <v>10.88075554960275</v>
      </c>
      <c r="AP118" s="322">
        <f t="shared" si="77"/>
        <v>10.896283705214454</v>
      </c>
      <c r="AQ118" s="322">
        <f t="shared" si="78"/>
        <v>10.905503027000698</v>
      </c>
      <c r="AR118" s="324">
        <f t="shared" si="79"/>
        <v>3.627720684910658</v>
      </c>
      <c r="AS118" s="324">
        <f t="shared" si="80"/>
        <v>4.8550692094609023</v>
      </c>
      <c r="AT118" s="324">
        <f t="shared" si="81"/>
        <v>5.9752284752366744</v>
      </c>
      <c r="AU118" s="106">
        <f t="shared" ca="1" si="82"/>
        <v>10.88075554960275</v>
      </c>
      <c r="AV118" s="106">
        <f t="shared" ca="1" si="83"/>
        <v>10.896283705214454</v>
      </c>
      <c r="AW118" s="106">
        <f t="shared" ca="1" si="84"/>
        <v>10.905503027000698</v>
      </c>
      <c r="AX118" s="106">
        <f t="shared" ca="1" si="85"/>
        <v>3.627720684910658</v>
      </c>
      <c r="AY118" s="106">
        <f t="shared" ca="1" si="86"/>
        <v>4.8550692094609023</v>
      </c>
      <c r="AZ118" s="106">
        <f t="shared" ca="1" si="87"/>
        <v>5.9752284752366744</v>
      </c>
      <c r="BA118" s="145">
        <v>10.7</v>
      </c>
      <c r="BB118" s="13" cm="1">
        <f t="array" ref="BB118">INDEX(AO118:AQ118,$AI$39)</f>
        <v>10.88075554960275</v>
      </c>
      <c r="BC118" s="13" cm="1">
        <f t="array" ref="BC118">INDEX(AR118:AT118,$AI$39)</f>
        <v>3.627720684910658</v>
      </c>
      <c r="BD118" s="145">
        <v>10.7</v>
      </c>
      <c r="BS118" s="106">
        <v>14.3</v>
      </c>
      <c r="BT118" s="12" t="s">
        <v>398</v>
      </c>
      <c r="BU118" s="7" t="str">
        <f t="shared" si="50"/>
        <v>---------</v>
      </c>
      <c r="BV118" s="290">
        <v>1.9300000000000199</v>
      </c>
      <c r="BW118" s="59">
        <v>109</v>
      </c>
      <c r="BX118" s="168" t="str">
        <f t="shared" si="51"/>
        <v>---------</v>
      </c>
      <c r="BY118" s="182">
        <v>5.4300000000000001E-2</v>
      </c>
      <c r="BZ118" s="185">
        <v>109</v>
      </c>
      <c r="CA118" s="184">
        <f t="shared" si="52"/>
        <v>5.4300000000000001E-2</v>
      </c>
    </row>
    <row r="119" spans="21:86">
      <c r="U119" s="13">
        <f t="shared" si="57"/>
        <v>10.754106299960426</v>
      </c>
      <c r="V119" s="13">
        <f t="shared" si="58"/>
        <v>10.774341574990107</v>
      </c>
      <c r="W119" s="13">
        <f t="shared" si="59"/>
        <v>10.779035290858724</v>
      </c>
      <c r="X119" s="13">
        <f t="shared" si="60"/>
        <v>10.784077301147605</v>
      </c>
      <c r="Y119" s="13">
        <f t="shared" si="61"/>
        <v>10.79625208547685</v>
      </c>
      <c r="Z119" s="13">
        <f t="shared" si="62"/>
        <v>10.795572995647014</v>
      </c>
      <c r="AA119" s="13">
        <f t="shared" si="63"/>
        <v>10.799206062524732</v>
      </c>
      <c r="AB119" s="13">
        <f t="shared" si="64"/>
        <v>10.806139612188364</v>
      </c>
      <c r="AC119" s="13">
        <f t="shared" si="65"/>
        <v>10.804913787099325</v>
      </c>
      <c r="AD119" s="13">
        <f t="shared" si="66"/>
        <v>5.8484977047882847</v>
      </c>
      <c r="AE119" s="13">
        <f t="shared" si="67"/>
        <v>4.5771118955282937</v>
      </c>
      <c r="AF119" s="13">
        <f t="shared" si="68"/>
        <v>3.7719002532647403</v>
      </c>
      <c r="AG119" s="13">
        <f t="shared" si="69"/>
        <v>7.3099081203007508</v>
      </c>
      <c r="AH119" s="13">
        <f t="shared" si="70"/>
        <v>6.0328746656113967</v>
      </c>
      <c r="AI119" s="13">
        <f t="shared" si="71"/>
        <v>5.0238831262366457</v>
      </c>
      <c r="AJ119" s="13">
        <f t="shared" si="72"/>
        <v>8.1731402611792614</v>
      </c>
      <c r="AK119" s="13">
        <f t="shared" si="73"/>
        <v>7.0990016857934286</v>
      </c>
      <c r="AL119" s="13">
        <f t="shared" si="74"/>
        <v>6.12311650969529</v>
      </c>
      <c r="AM119" s="13">
        <f t="shared" si="75"/>
        <v>10.795468520288578</v>
      </c>
      <c r="AN119" s="13">
        <f t="shared" si="76"/>
        <v>10.779757400992358</v>
      </c>
      <c r="AO119" s="322">
        <f t="shared" si="88"/>
        <v>10.779757400992358</v>
      </c>
      <c r="AP119" s="322">
        <f t="shared" si="77"/>
        <v>10.795468520288578</v>
      </c>
      <c r="AQ119" s="322">
        <f t="shared" si="78"/>
        <v>10.804725198624089</v>
      </c>
      <c r="AR119" s="324">
        <f t="shared" si="79"/>
        <v>3.6480215390703474</v>
      </c>
      <c r="AS119" s="324">
        <f t="shared" si="80"/>
        <v>4.8686536586405298</v>
      </c>
      <c r="AT119" s="324">
        <f t="shared" si="81"/>
        <v>5.9729803287571146</v>
      </c>
      <c r="AU119" s="106">
        <f t="shared" ca="1" si="82"/>
        <v>10.779757400992358</v>
      </c>
      <c r="AV119" s="106">
        <f t="shared" ca="1" si="83"/>
        <v>10.795468520288578</v>
      </c>
      <c r="AW119" s="106">
        <f t="shared" ca="1" si="84"/>
        <v>10.804725198624089</v>
      </c>
      <c r="AX119" s="106">
        <f t="shared" ca="1" si="85"/>
        <v>3.6480215390703474</v>
      </c>
      <c r="AY119" s="106">
        <f t="shared" ca="1" si="86"/>
        <v>4.8686536586405298</v>
      </c>
      <c r="AZ119" s="106">
        <f t="shared" ca="1" si="87"/>
        <v>5.9729803287571146</v>
      </c>
      <c r="BA119" s="145">
        <v>10.6</v>
      </c>
      <c r="BB119" s="13" cm="1">
        <f t="array" ref="BB119">INDEX(AO119:AQ119,$AI$39)</f>
        <v>10.779757400992358</v>
      </c>
      <c r="BC119" s="13" cm="1">
        <f t="array" ref="BC119">INDEX(AR119:AT119,$AI$39)</f>
        <v>3.6480215390703474</v>
      </c>
      <c r="BD119" s="145">
        <v>10.6</v>
      </c>
      <c r="BS119" s="106">
        <v>14.2</v>
      </c>
      <c r="BT119" s="12" t="s">
        <v>399</v>
      </c>
      <c r="BU119" s="7" t="str">
        <f t="shared" si="50"/>
        <v>---------</v>
      </c>
      <c r="BV119" s="290">
        <v>1.9200000000000199</v>
      </c>
      <c r="BW119" s="59">
        <v>110</v>
      </c>
      <c r="BX119" s="168" t="str">
        <f t="shared" si="51"/>
        <v>---------</v>
      </c>
      <c r="BY119" s="182">
        <v>5.4199999999999998E-2</v>
      </c>
      <c r="BZ119" s="185">
        <v>110</v>
      </c>
      <c r="CA119" s="184">
        <f t="shared" si="52"/>
        <v>5.4199999999999998E-2</v>
      </c>
    </row>
    <row r="120" spans="21:86">
      <c r="U120" s="13">
        <f t="shared" si="57"/>
        <v>10.644515235457064</v>
      </c>
      <c r="V120" s="13">
        <f t="shared" si="58"/>
        <v>10.670660387811635</v>
      </c>
      <c r="W120" s="13">
        <f t="shared" si="59"/>
        <v>10.677674127423824</v>
      </c>
      <c r="X120" s="13">
        <f t="shared" si="60"/>
        <v>10.67698869806094</v>
      </c>
      <c r="Y120" s="13">
        <f t="shared" si="61"/>
        <v>10.693390360110804</v>
      </c>
      <c r="Z120" s="13">
        <f t="shared" si="62"/>
        <v>10.694481163434904</v>
      </c>
      <c r="AA120" s="13">
        <f t="shared" si="63"/>
        <v>10.693359556786703</v>
      </c>
      <c r="AB120" s="13">
        <f t="shared" si="64"/>
        <v>10.703730637119113</v>
      </c>
      <c r="AC120" s="13">
        <f t="shared" si="65"/>
        <v>10.70391623268698</v>
      </c>
      <c r="AD120" s="13">
        <f t="shared" si="66"/>
        <v>5.854330193905815</v>
      </c>
      <c r="AE120" s="13">
        <f t="shared" si="67"/>
        <v>4.5961879224376734</v>
      </c>
      <c r="AF120" s="13">
        <f t="shared" si="68"/>
        <v>3.7913193905817177</v>
      </c>
      <c r="AG120" s="13">
        <f t="shared" si="69"/>
        <v>7.2868494736842102</v>
      </c>
      <c r="AH120" s="13">
        <f t="shared" si="70"/>
        <v>6.031782770083101</v>
      </c>
      <c r="AI120" s="13">
        <f t="shared" si="71"/>
        <v>5.0346283656509705</v>
      </c>
      <c r="AJ120" s="13">
        <f t="shared" si="72"/>
        <v>8.1310491412742376</v>
      </c>
      <c r="AK120" s="13">
        <f t="shared" si="73"/>
        <v>7.0775895290858717</v>
      </c>
      <c r="AL120" s="13">
        <f t="shared" si="74"/>
        <v>6.1174820498614952</v>
      </c>
      <c r="AM120" s="13">
        <f t="shared" si="75"/>
        <v>10.694648979330919</v>
      </c>
      <c r="AN120" s="13">
        <f t="shared" si="76"/>
        <v>10.678753164287238</v>
      </c>
      <c r="AO120" s="322">
        <f t="shared" si="88"/>
        <v>10.678753164287238</v>
      </c>
      <c r="AP120" s="322">
        <f t="shared" si="77"/>
        <v>10.694648979330919</v>
      </c>
      <c r="AQ120" s="322">
        <f t="shared" si="78"/>
        <v>10.703944785851268</v>
      </c>
      <c r="AR120" s="324">
        <f t="shared" si="79"/>
        <v>3.6674934626038782</v>
      </c>
      <c r="AS120" s="324">
        <f t="shared" si="80"/>
        <v>4.8812199957383351</v>
      </c>
      <c r="AT120" s="324">
        <f t="shared" si="81"/>
        <v>5.9697732069038985</v>
      </c>
      <c r="AU120" s="106">
        <f t="shared" ca="1" si="82"/>
        <v>10.678753164287238</v>
      </c>
      <c r="AV120" s="106">
        <f t="shared" ca="1" si="83"/>
        <v>10.694648979330919</v>
      </c>
      <c r="AW120" s="106">
        <f t="shared" ca="1" si="84"/>
        <v>10.703944785851268</v>
      </c>
      <c r="AX120" s="106">
        <f t="shared" ca="1" si="85"/>
        <v>3.6674934626038782</v>
      </c>
      <c r="AY120" s="106">
        <f t="shared" ca="1" si="86"/>
        <v>4.8812199957383351</v>
      </c>
      <c r="AZ120" s="106">
        <f t="shared" ca="1" si="87"/>
        <v>5.9697732069038985</v>
      </c>
      <c r="BA120" s="145">
        <v>10.5</v>
      </c>
      <c r="BB120" s="13" cm="1">
        <f t="array" ref="BB120">INDEX(AO120:AQ120,$AI$39)</f>
        <v>10.678753164287238</v>
      </c>
      <c r="BC120" s="13" cm="1">
        <f t="array" ref="BC120">INDEX(AR120:AT120,$AI$39)</f>
        <v>3.6674934626038782</v>
      </c>
      <c r="BD120" s="145">
        <v>10.5</v>
      </c>
      <c r="BS120" s="106">
        <v>14.1</v>
      </c>
      <c r="BT120" s="12" t="s">
        <v>400</v>
      </c>
      <c r="BU120" s="7" t="str">
        <f t="shared" si="50"/>
        <v>---------</v>
      </c>
      <c r="BV120" s="290">
        <v>1.9100000000000199</v>
      </c>
      <c r="BW120" s="59">
        <v>111</v>
      </c>
      <c r="BX120" s="168" t="str">
        <f t="shared" si="51"/>
        <v>---------</v>
      </c>
      <c r="BY120" s="182">
        <v>5.4100000000000002E-2</v>
      </c>
      <c r="BZ120" s="185">
        <v>111</v>
      </c>
      <c r="CA120" s="184">
        <f t="shared" si="52"/>
        <v>5.4100000000000002E-2</v>
      </c>
    </row>
    <row r="121" spans="21:86">
      <c r="U121" s="13">
        <f t="shared" si="57"/>
        <v>10.535076367233875</v>
      </c>
      <c r="V121" s="13">
        <f t="shared" si="58"/>
        <v>10.56701461812426</v>
      </c>
      <c r="W121" s="13">
        <f t="shared" si="59"/>
        <v>10.576312409972299</v>
      </c>
      <c r="X121" s="13">
        <f t="shared" si="60"/>
        <v>10.570002192322912</v>
      </c>
      <c r="Y121" s="13">
        <f t="shared" si="61"/>
        <v>10.590553090621292</v>
      </c>
      <c r="Z121" s="13">
        <f t="shared" si="62"/>
        <v>10.593388816778791</v>
      </c>
      <c r="AA121" s="13">
        <f t="shared" si="63"/>
        <v>10.58759029679462</v>
      </c>
      <c r="AB121" s="13">
        <f t="shared" si="64"/>
        <v>10.601339944598337</v>
      </c>
      <c r="AC121" s="13">
        <f t="shared" si="65"/>
        <v>10.602918876137712</v>
      </c>
      <c r="AD121" s="13">
        <f t="shared" si="66"/>
        <v>5.8589574594380665</v>
      </c>
      <c r="AE121" s="13">
        <f t="shared" si="67"/>
        <v>4.6141516026909368</v>
      </c>
      <c r="AF121" s="13">
        <f t="shared" si="68"/>
        <v>3.8098718084685395</v>
      </c>
      <c r="AG121" s="13">
        <f t="shared" si="69"/>
        <v>7.2628720300751883</v>
      </c>
      <c r="AH121" s="13">
        <f t="shared" si="70"/>
        <v>6.0296441788682227</v>
      </c>
      <c r="AI121" s="13">
        <f t="shared" si="71"/>
        <v>5.0443516818361704</v>
      </c>
      <c r="AJ121" s="13">
        <f t="shared" si="72"/>
        <v>8.0882573090621275</v>
      </c>
      <c r="AK121" s="13">
        <f t="shared" si="73"/>
        <v>7.0553158369608218</v>
      </c>
      <c r="AL121" s="13">
        <f t="shared" si="74"/>
        <v>6.1109016066482003</v>
      </c>
      <c r="AM121" s="13">
        <f t="shared" si="75"/>
        <v>10.593825082341484</v>
      </c>
      <c r="AN121" s="13">
        <f t="shared" si="76"/>
        <v>10.577742839487382</v>
      </c>
      <c r="AO121" s="322">
        <f t="shared" si="88"/>
        <v>10.577742839487382</v>
      </c>
      <c r="AP121" s="322">
        <f t="shared" si="77"/>
        <v>10.593825082341484</v>
      </c>
      <c r="AQ121" s="322">
        <f t="shared" si="78"/>
        <v>10.603161788682232</v>
      </c>
      <c r="AR121" s="324">
        <f t="shared" si="79"/>
        <v>3.6861364555112477</v>
      </c>
      <c r="AS121" s="324">
        <f t="shared" si="80"/>
        <v>4.8927682207543164</v>
      </c>
      <c r="AT121" s="324">
        <f t="shared" si="81"/>
        <v>5.9656071096770278</v>
      </c>
      <c r="AU121" s="106">
        <f t="shared" ca="1" si="82"/>
        <v>10.577742839487382</v>
      </c>
      <c r="AV121" s="106">
        <f t="shared" ca="1" si="83"/>
        <v>10.593825082341484</v>
      </c>
      <c r="AW121" s="106">
        <f t="shared" ca="1" si="84"/>
        <v>10.603161788682232</v>
      </c>
      <c r="AX121" s="106">
        <f t="shared" ca="1" si="85"/>
        <v>3.6861364555112477</v>
      </c>
      <c r="AY121" s="106">
        <f t="shared" ca="1" si="86"/>
        <v>4.8927682207543164</v>
      </c>
      <c r="AZ121" s="106">
        <f t="shared" ca="1" si="87"/>
        <v>5.9656071096770278</v>
      </c>
      <c r="BA121" s="145">
        <v>10.4</v>
      </c>
      <c r="BB121" s="13" cm="1">
        <f t="array" ref="BB121">INDEX(AO121:AQ121,$AI$39)</f>
        <v>10.577742839487382</v>
      </c>
      <c r="BC121" s="13" cm="1">
        <f t="array" ref="BC121">INDEX(AR121:AT121,$AI$39)</f>
        <v>3.6861364555112477</v>
      </c>
      <c r="BD121" s="145">
        <v>10.4</v>
      </c>
      <c r="BE121" s="12"/>
      <c r="BF121" s="12"/>
      <c r="BG121" s="12"/>
      <c r="BH121" s="12"/>
      <c r="BI121" s="12"/>
      <c r="BJ121" s="12"/>
      <c r="BK121" s="12"/>
      <c r="BL121" s="12"/>
      <c r="BM121" s="12"/>
      <c r="BN121" s="12"/>
      <c r="BO121" s="12"/>
      <c r="BS121" s="106">
        <v>14</v>
      </c>
      <c r="BT121" s="12" t="s">
        <v>401</v>
      </c>
      <c r="BU121" s="7" t="str">
        <f t="shared" si="50"/>
        <v>---------</v>
      </c>
      <c r="BV121" s="290">
        <v>1.9000000000000199</v>
      </c>
      <c r="BW121" s="59">
        <v>112</v>
      </c>
      <c r="BX121" s="168" t="str">
        <f t="shared" si="51"/>
        <v>---------</v>
      </c>
      <c r="BY121" s="182">
        <v>5.3999999999999999E-2</v>
      </c>
      <c r="BZ121" s="185">
        <v>112</v>
      </c>
      <c r="CA121" s="184">
        <f t="shared" si="52"/>
        <v>5.3999999999999999E-2</v>
      </c>
      <c r="CF121" s="12"/>
      <c r="CG121" s="12"/>
      <c r="CH121" s="12"/>
    </row>
    <row r="122" spans="21:86">
      <c r="U122" s="13">
        <f t="shared" si="57"/>
        <v>10.425789695290861</v>
      </c>
      <c r="V122" s="13">
        <f t="shared" si="58"/>
        <v>10.463404265927979</v>
      </c>
      <c r="W122" s="13">
        <f t="shared" si="59"/>
        <v>10.474950138504155</v>
      </c>
      <c r="X122" s="13">
        <f t="shared" si="60"/>
        <v>10.463117783933518</v>
      </c>
      <c r="Y122" s="13">
        <f t="shared" si="61"/>
        <v>10.487740277008312</v>
      </c>
      <c r="Z122" s="13">
        <f t="shared" si="62"/>
        <v>10.492295955678673</v>
      </c>
      <c r="AA122" s="13">
        <f t="shared" si="63"/>
        <v>10.481898282548478</v>
      </c>
      <c r="AB122" s="13">
        <f t="shared" si="64"/>
        <v>10.49896753462604</v>
      </c>
      <c r="AC122" s="13">
        <f t="shared" si="65"/>
        <v>10.501921717451523</v>
      </c>
      <c r="AD122" s="13">
        <f t="shared" si="66"/>
        <v>5.8623795013850408</v>
      </c>
      <c r="AE122" s="13">
        <f t="shared" si="67"/>
        <v>4.6310029362880876</v>
      </c>
      <c r="AF122" s="13">
        <f t="shared" si="68"/>
        <v>3.8275575069252081</v>
      </c>
      <c r="AG122" s="13">
        <f t="shared" si="69"/>
        <v>7.2379757894736834</v>
      </c>
      <c r="AH122" s="13">
        <f t="shared" si="70"/>
        <v>6.0264588919667581</v>
      </c>
      <c r="AI122" s="13">
        <f t="shared" si="71"/>
        <v>5.0530530747922455</v>
      </c>
      <c r="AJ122" s="13">
        <f t="shared" si="72"/>
        <v>8.0447647645429363</v>
      </c>
      <c r="AK122" s="13">
        <f t="shared" si="73"/>
        <v>7.0321806094182806</v>
      </c>
      <c r="AL122" s="13">
        <f t="shared" si="74"/>
        <v>6.1033751800554015</v>
      </c>
      <c r="AM122" s="13">
        <f t="shared" si="75"/>
        <v>10.492996829320267</v>
      </c>
      <c r="AN122" s="13">
        <f t="shared" si="76"/>
        <v>10.476726426592798</v>
      </c>
      <c r="AO122" s="322">
        <f t="shared" si="88"/>
        <v>10.476726426592798</v>
      </c>
      <c r="AP122" s="322">
        <f t="shared" si="77"/>
        <v>10.492996829320267</v>
      </c>
      <c r="AQ122" s="322">
        <f t="shared" si="78"/>
        <v>10.502376207116983</v>
      </c>
      <c r="AR122" s="324">
        <f t="shared" si="79"/>
        <v>3.7039505177924572</v>
      </c>
      <c r="AS122" s="324">
        <f t="shared" si="80"/>
        <v>4.9032983336884746</v>
      </c>
      <c r="AT122" s="324">
        <f t="shared" si="81"/>
        <v>5.9604820370764973</v>
      </c>
      <c r="AU122" s="106">
        <f t="shared" ca="1" si="82"/>
        <v>10.476726426592798</v>
      </c>
      <c r="AV122" s="106">
        <f t="shared" ca="1" si="83"/>
        <v>10.492996829320267</v>
      </c>
      <c r="AW122" s="106">
        <f t="shared" ca="1" si="84"/>
        <v>10.502376207116983</v>
      </c>
      <c r="AX122" s="106">
        <f t="shared" ca="1" si="85"/>
        <v>3.7039505177924572</v>
      </c>
      <c r="AY122" s="106">
        <f t="shared" ca="1" si="86"/>
        <v>4.9032983336884746</v>
      </c>
      <c r="AZ122" s="106">
        <f t="shared" ca="1" si="87"/>
        <v>5.9604820370764973</v>
      </c>
      <c r="BA122" s="145">
        <v>10.3</v>
      </c>
      <c r="BB122" s="13" cm="1">
        <f t="array" ref="BB122">INDEX(AO122:AQ122,$AI$39)</f>
        <v>10.476726426592798</v>
      </c>
      <c r="BC122" s="13" cm="1">
        <f t="array" ref="BC122">INDEX(AR122:AT122,$AI$39)</f>
        <v>3.7039505177924572</v>
      </c>
      <c r="BD122" s="145">
        <v>10.3</v>
      </c>
      <c r="BE122" s="12"/>
      <c r="BF122" s="12"/>
      <c r="BG122" s="12"/>
      <c r="BH122" s="12"/>
      <c r="BI122" s="12"/>
      <c r="BJ122" s="12"/>
      <c r="BK122" s="12"/>
      <c r="BL122" s="12"/>
      <c r="BM122" s="12"/>
      <c r="BN122" s="12"/>
      <c r="BO122" s="12"/>
      <c r="BS122" s="106">
        <v>13.9</v>
      </c>
      <c r="BT122" s="12" t="s">
        <v>402</v>
      </c>
      <c r="BU122" s="7" t="str">
        <f t="shared" si="50"/>
        <v>---------</v>
      </c>
      <c r="BV122" s="290">
        <v>1.8900000000000201</v>
      </c>
      <c r="BW122" s="59">
        <v>113</v>
      </c>
      <c r="BX122" s="168" t="str">
        <f t="shared" si="51"/>
        <v>---------</v>
      </c>
      <c r="BY122" s="182">
        <v>5.3900000000000003E-2</v>
      </c>
      <c r="BZ122" s="185">
        <v>113</v>
      </c>
      <c r="CA122" s="184">
        <f t="shared" si="52"/>
        <v>5.3900000000000003E-2</v>
      </c>
      <c r="CF122" s="12"/>
      <c r="CG122" s="12"/>
      <c r="CH122" s="12"/>
    </row>
    <row r="123" spans="21:86">
      <c r="U123" s="13">
        <f t="shared" si="57"/>
        <v>10.316655219628018</v>
      </c>
      <c r="V123" s="13">
        <f t="shared" si="58"/>
        <v>10.359829331222794</v>
      </c>
      <c r="W123" s="13">
        <f t="shared" si="59"/>
        <v>10.373587313019389</v>
      </c>
      <c r="X123" s="13">
        <f t="shared" si="60"/>
        <v>10.356335472892757</v>
      </c>
      <c r="Y123" s="13">
        <f t="shared" si="61"/>
        <v>10.384951919271865</v>
      </c>
      <c r="Z123" s="13">
        <f t="shared" si="62"/>
        <v>10.391202580134546</v>
      </c>
      <c r="AA123" s="13">
        <f t="shared" si="63"/>
        <v>10.376283514048279</v>
      </c>
      <c r="AB123" s="13">
        <f t="shared" si="64"/>
        <v>10.396613407202214</v>
      </c>
      <c r="AC123" s="13">
        <f t="shared" si="65"/>
        <v>10.400924756628411</v>
      </c>
      <c r="AD123" s="13">
        <f t="shared" si="66"/>
        <v>5.8645963197467337</v>
      </c>
      <c r="AE123" s="13">
        <f t="shared" si="67"/>
        <v>4.6467419232291256</v>
      </c>
      <c r="AF123" s="13">
        <f t="shared" si="68"/>
        <v>3.8443764859517211</v>
      </c>
      <c r="AG123" s="13">
        <f t="shared" si="69"/>
        <v>7.2121607518796989</v>
      </c>
      <c r="AH123" s="13">
        <f t="shared" si="70"/>
        <v>6.0222269093787091</v>
      </c>
      <c r="AI123" s="13">
        <f t="shared" si="71"/>
        <v>5.060732544519194</v>
      </c>
      <c r="AJ123" s="13">
        <f t="shared" si="72"/>
        <v>8.0005715077166588</v>
      </c>
      <c r="AK123" s="13">
        <f t="shared" si="73"/>
        <v>7.0081838464582491</v>
      </c>
      <c r="AL123" s="13">
        <f t="shared" si="74"/>
        <v>6.0949027700831024</v>
      </c>
      <c r="AM123" s="13">
        <f t="shared" si="75"/>
        <v>10.392164220267267</v>
      </c>
      <c r="AN123" s="13">
        <f t="shared" si="76"/>
        <v>10.37570392560348</v>
      </c>
      <c r="AO123" s="322">
        <f t="shared" si="88"/>
        <v>10.37570392560348</v>
      </c>
      <c r="AP123" s="322">
        <f t="shared" si="77"/>
        <v>10.392164220267267</v>
      </c>
      <c r="AQ123" s="322">
        <f t="shared" si="78"/>
        <v>10.401588041155518</v>
      </c>
      <c r="AR123" s="324">
        <f t="shared" si="79"/>
        <v>3.720935649447505</v>
      </c>
      <c r="AS123" s="324">
        <f t="shared" si="80"/>
        <v>4.912810334540807</v>
      </c>
      <c r="AT123" s="324">
        <f t="shared" si="81"/>
        <v>5.9543979891023104</v>
      </c>
      <c r="AU123" s="106">
        <f t="shared" ca="1" si="82"/>
        <v>10.37570392560348</v>
      </c>
      <c r="AV123" s="106">
        <f t="shared" ca="1" si="83"/>
        <v>10.392164220267267</v>
      </c>
      <c r="AW123" s="106">
        <f t="shared" ca="1" si="84"/>
        <v>10.401588041155518</v>
      </c>
      <c r="AX123" s="106">
        <f t="shared" ca="1" si="85"/>
        <v>3.720935649447505</v>
      </c>
      <c r="AY123" s="106">
        <f t="shared" ca="1" si="86"/>
        <v>4.912810334540807</v>
      </c>
      <c r="AZ123" s="106">
        <f t="shared" ca="1" si="87"/>
        <v>5.9543979891023104</v>
      </c>
      <c r="BA123" s="145">
        <v>10.199999999999999</v>
      </c>
      <c r="BB123" s="13" cm="1">
        <f t="array" ref="BB123">INDEX(AO123:AQ123,$AI$39)</f>
        <v>10.37570392560348</v>
      </c>
      <c r="BC123" s="13" cm="1">
        <f t="array" ref="BC123">INDEX(AR123:AT123,$AI$39)</f>
        <v>3.720935649447505</v>
      </c>
      <c r="BD123" s="145">
        <v>10.199999999999999</v>
      </c>
      <c r="BE123" s="12"/>
      <c r="BF123" s="12"/>
      <c r="BG123" s="12"/>
      <c r="BH123" s="12"/>
      <c r="BI123" s="12"/>
      <c r="BJ123" s="12"/>
      <c r="BK123" s="12"/>
      <c r="BL123" s="12"/>
      <c r="BM123" s="12"/>
      <c r="BN123" s="12"/>
      <c r="BO123" s="12"/>
      <c r="BS123" s="106">
        <v>13.8</v>
      </c>
      <c r="BT123" s="12" t="s">
        <v>403</v>
      </c>
      <c r="BU123" s="7" t="str">
        <f t="shared" si="50"/>
        <v>---------</v>
      </c>
      <c r="BV123" s="290">
        <v>1.8800000000000201</v>
      </c>
      <c r="BW123" s="59">
        <v>114</v>
      </c>
      <c r="BX123" s="168" t="str">
        <f t="shared" si="51"/>
        <v>---------</v>
      </c>
      <c r="BY123" s="182">
        <v>5.3800000000000001E-2</v>
      </c>
      <c r="BZ123" s="185">
        <v>114</v>
      </c>
      <c r="CA123" s="184">
        <f t="shared" si="52"/>
        <v>5.3800000000000001E-2</v>
      </c>
      <c r="CF123" s="12"/>
      <c r="CG123" s="12"/>
      <c r="CH123" s="12"/>
    </row>
    <row r="124" spans="21:86">
      <c r="U124" s="13">
        <f t="shared" si="57"/>
        <v>10.207672940245349</v>
      </c>
      <c r="V124" s="13">
        <f t="shared" si="58"/>
        <v>10.256289814008706</v>
      </c>
      <c r="W124" s="13">
        <f t="shared" si="59"/>
        <v>10.272223933518006</v>
      </c>
      <c r="X124" s="13">
        <f t="shared" si="60"/>
        <v>10.249655259200631</v>
      </c>
      <c r="Y124" s="13">
        <f t="shared" si="61"/>
        <v>10.282188017411952</v>
      </c>
      <c r="Z124" s="13">
        <f t="shared" si="62"/>
        <v>10.29010869014642</v>
      </c>
      <c r="AA124" s="13">
        <f t="shared" si="63"/>
        <v>10.270745991294024</v>
      </c>
      <c r="AB124" s="13">
        <f t="shared" si="64"/>
        <v>10.294277562326869</v>
      </c>
      <c r="AC124" s="13">
        <f t="shared" si="65"/>
        <v>10.29992799366838</v>
      </c>
      <c r="AD124" s="13">
        <f t="shared" si="66"/>
        <v>5.8656079145231486</v>
      </c>
      <c r="AE124" s="13">
        <f t="shared" si="67"/>
        <v>4.6613685635140474</v>
      </c>
      <c r="AF124" s="13">
        <f t="shared" si="68"/>
        <v>3.860328745548081</v>
      </c>
      <c r="AG124" s="13">
        <f t="shared" si="69"/>
        <v>7.185426917293233</v>
      </c>
      <c r="AH124" s="13">
        <f t="shared" si="70"/>
        <v>6.0169482311040756</v>
      </c>
      <c r="AI124" s="13">
        <f t="shared" si="71"/>
        <v>5.0673900910170175</v>
      </c>
      <c r="AJ124" s="13">
        <f t="shared" si="72"/>
        <v>7.9556775385832994</v>
      </c>
      <c r="AK124" s="13">
        <f t="shared" si="73"/>
        <v>6.9833255480807281</v>
      </c>
      <c r="AL124" s="13">
        <f t="shared" si="74"/>
        <v>6.0854843767313014</v>
      </c>
      <c r="AM124" s="13">
        <f t="shared" si="75"/>
        <v>10.291327255182493</v>
      </c>
      <c r="AN124" s="13">
        <f t="shared" si="76"/>
        <v>10.274675336519437</v>
      </c>
      <c r="AO124" s="322">
        <f t="shared" si="88"/>
        <v>10.274675336519437</v>
      </c>
      <c r="AP124" s="322">
        <f t="shared" si="77"/>
        <v>10.291327255182493</v>
      </c>
      <c r="AQ124" s="322">
        <f t="shared" si="78"/>
        <v>10.300797290797844</v>
      </c>
      <c r="AR124" s="324">
        <f t="shared" si="79"/>
        <v>3.7370918504763937</v>
      </c>
      <c r="AS124" s="324">
        <f t="shared" si="80"/>
        <v>4.9213042233113162</v>
      </c>
      <c r="AT124" s="324">
        <f t="shared" si="81"/>
        <v>5.9473549657544664</v>
      </c>
      <c r="AU124" s="106">
        <f t="shared" ca="1" si="82"/>
        <v>10.274675336519437</v>
      </c>
      <c r="AV124" s="106">
        <f t="shared" ca="1" si="83"/>
        <v>10.291327255182493</v>
      </c>
      <c r="AW124" s="106">
        <f t="shared" ca="1" si="84"/>
        <v>10.300797290797844</v>
      </c>
      <c r="AX124" s="106">
        <f t="shared" ca="1" si="85"/>
        <v>3.7370918504763937</v>
      </c>
      <c r="AY124" s="106">
        <f t="shared" ca="1" si="86"/>
        <v>4.9213042233113162</v>
      </c>
      <c r="AZ124" s="106">
        <f t="shared" ca="1" si="87"/>
        <v>5.9473549657544664</v>
      </c>
      <c r="BA124" s="145">
        <v>10.1</v>
      </c>
      <c r="BB124" s="13" cm="1">
        <f t="array" ref="BB124">INDEX(AO124:AQ124,$AI$39)</f>
        <v>10.274675336519437</v>
      </c>
      <c r="BC124" s="13" cm="1">
        <f t="array" ref="BC124">INDEX(AR124:AT124,$AI$39)</f>
        <v>3.7370918504763937</v>
      </c>
      <c r="BD124" s="145">
        <v>10.1</v>
      </c>
      <c r="BE124" s="12"/>
      <c r="BF124" s="12"/>
      <c r="BG124" s="12"/>
      <c r="BH124" s="12"/>
      <c r="BI124" s="12"/>
      <c r="BJ124" s="12"/>
      <c r="BK124" s="12"/>
      <c r="BL124" s="12"/>
      <c r="BM124" s="12"/>
      <c r="BN124" s="12"/>
      <c r="BO124" s="12"/>
      <c r="BS124" s="106">
        <v>13.7</v>
      </c>
      <c r="BT124" s="12" t="s">
        <v>404</v>
      </c>
      <c r="BU124" s="7" t="str">
        <f t="shared" si="50"/>
        <v>---------</v>
      </c>
      <c r="BV124" s="290">
        <v>1.8700000000000201</v>
      </c>
      <c r="BW124" s="59">
        <v>115</v>
      </c>
      <c r="BX124" s="168" t="str">
        <f t="shared" si="51"/>
        <v>---------</v>
      </c>
      <c r="BY124" s="182">
        <v>5.3699999999999998E-2</v>
      </c>
      <c r="BZ124" s="185">
        <v>115</v>
      </c>
      <c r="CA124" s="184">
        <f t="shared" si="52"/>
        <v>5.3699999999999998E-2</v>
      </c>
      <c r="CF124" s="12"/>
      <c r="CG124" s="12"/>
      <c r="CH124" s="12"/>
    </row>
    <row r="125" spans="21:86">
      <c r="U125" s="13">
        <f t="shared" si="57"/>
        <v>10.098842857142857</v>
      </c>
      <c r="V125" s="13">
        <f t="shared" si="58"/>
        <v>10.152785714285717</v>
      </c>
      <c r="W125" s="13">
        <f t="shared" si="59"/>
        <v>10.170860000000001</v>
      </c>
      <c r="X125" s="13">
        <f t="shared" si="60"/>
        <v>10.143077142857141</v>
      </c>
      <c r="Y125" s="13">
        <f t="shared" si="61"/>
        <v>10.179448571428573</v>
      </c>
      <c r="Z125" s="13">
        <f t="shared" si="62"/>
        <v>10.189014285714286</v>
      </c>
      <c r="AA125" s="13">
        <f t="shared" si="63"/>
        <v>10.165285714285714</v>
      </c>
      <c r="AB125" s="13">
        <f t="shared" si="64"/>
        <v>10.191959999999998</v>
      </c>
      <c r="AC125" s="13">
        <f t="shared" si="65"/>
        <v>10.198931428571427</v>
      </c>
      <c r="AD125" s="13">
        <f t="shared" si="66"/>
        <v>5.8654142857142837</v>
      </c>
      <c r="AE125" s="13">
        <f t="shared" si="67"/>
        <v>4.6748828571428565</v>
      </c>
      <c r="AF125" s="13">
        <f t="shared" si="68"/>
        <v>3.8754142857142861</v>
      </c>
      <c r="AG125" s="13">
        <f t="shared" si="69"/>
        <v>7.1577742857142859</v>
      </c>
      <c r="AH125" s="13">
        <f t="shared" si="70"/>
        <v>6.0106228571428559</v>
      </c>
      <c r="AI125" s="13">
        <f t="shared" si="71"/>
        <v>5.0730257142857145</v>
      </c>
      <c r="AJ125" s="13">
        <f t="shared" si="72"/>
        <v>7.9100828571428581</v>
      </c>
      <c r="AK125" s="13">
        <f t="shared" si="73"/>
        <v>6.9576057142857133</v>
      </c>
      <c r="AL125" s="13">
        <f t="shared" si="74"/>
        <v>6.0751200000000001</v>
      </c>
      <c r="AM125" s="13">
        <f t="shared" si="75"/>
        <v>10.190485934065935</v>
      </c>
      <c r="AN125" s="13">
        <f t="shared" si="76"/>
        <v>10.173640659340661</v>
      </c>
      <c r="AO125" s="322">
        <f t="shared" si="88"/>
        <v>10.173640659340661</v>
      </c>
      <c r="AP125" s="322">
        <f t="shared" si="77"/>
        <v>10.190485934065935</v>
      </c>
      <c r="AQ125" s="322">
        <f t="shared" si="78"/>
        <v>10.200003956043954</v>
      </c>
      <c r="AR125" s="324">
        <f t="shared" si="79"/>
        <v>3.7524191208791216</v>
      </c>
      <c r="AS125" s="324">
        <f t="shared" si="80"/>
        <v>4.9287800000000006</v>
      </c>
      <c r="AT125" s="324">
        <f t="shared" si="81"/>
        <v>5.939352967032967</v>
      </c>
      <c r="AU125" s="106">
        <f t="shared" ca="1" si="82"/>
        <v>10.173640659340661</v>
      </c>
      <c r="AV125" s="106">
        <f t="shared" ca="1" si="83"/>
        <v>10.190485934065935</v>
      </c>
      <c r="AW125" s="106">
        <f t="shared" ca="1" si="84"/>
        <v>10.200003956043954</v>
      </c>
      <c r="AX125" s="106">
        <f t="shared" ca="1" si="85"/>
        <v>3.7524191208791216</v>
      </c>
      <c r="AY125" s="106">
        <f t="shared" ca="1" si="86"/>
        <v>4.9287800000000006</v>
      </c>
      <c r="AZ125" s="106">
        <f t="shared" ca="1" si="87"/>
        <v>5.939352967032967</v>
      </c>
      <c r="BA125" s="145">
        <v>10</v>
      </c>
      <c r="BB125" s="13" cm="1">
        <f t="array" ref="BB125">INDEX(AO125:AQ125,$AI$39)</f>
        <v>10.173640659340661</v>
      </c>
      <c r="BC125" s="13" cm="1">
        <f t="array" ref="BC125">INDEX(AR125:AT125,$AI$39)</f>
        <v>3.7524191208791216</v>
      </c>
      <c r="BD125" s="145">
        <v>10</v>
      </c>
      <c r="BE125" s="12"/>
      <c r="BF125" s="12"/>
      <c r="BG125" s="12"/>
      <c r="BH125" s="12"/>
      <c r="BI125" s="12"/>
      <c r="BJ125" s="12"/>
      <c r="BK125" s="12"/>
      <c r="BL125" s="12"/>
      <c r="BM125" s="12"/>
      <c r="BN125" s="12"/>
      <c r="BO125" s="12"/>
      <c r="BS125" s="106">
        <v>13.6</v>
      </c>
      <c r="BT125" s="12" t="s">
        <v>405</v>
      </c>
      <c r="BU125" s="7" t="str">
        <f t="shared" si="50"/>
        <v>---------</v>
      </c>
      <c r="BV125" s="290">
        <v>1.8600000000000201</v>
      </c>
      <c r="BW125" s="59">
        <v>116</v>
      </c>
      <c r="BX125" s="168" t="str">
        <f t="shared" si="51"/>
        <v>---------</v>
      </c>
      <c r="BY125" s="182">
        <v>5.3600000000000002E-2</v>
      </c>
      <c r="BZ125" s="185">
        <v>116</v>
      </c>
      <c r="CA125" s="184">
        <f t="shared" si="52"/>
        <v>5.3600000000000002E-2</v>
      </c>
      <c r="CF125" s="12"/>
      <c r="CG125" s="12"/>
      <c r="CH125" s="12"/>
    </row>
    <row r="126" spans="21:86">
      <c r="U126" s="13">
        <f t="shared" si="57"/>
        <v>9.9901649703205386</v>
      </c>
      <c r="V126" s="13">
        <f t="shared" si="58"/>
        <v>10.049317032053821</v>
      </c>
      <c r="W126" s="13">
        <f t="shared" si="59"/>
        <v>10.069495512465375</v>
      </c>
      <c r="X126" s="13">
        <f t="shared" si="60"/>
        <v>10.036601123862287</v>
      </c>
      <c r="Y126" s="13">
        <f t="shared" si="61"/>
        <v>10.076733581321728</v>
      </c>
      <c r="Z126" s="13">
        <f t="shared" si="62"/>
        <v>10.087919366838149</v>
      </c>
      <c r="AA126" s="13">
        <f t="shared" si="63"/>
        <v>10.059902683023347</v>
      </c>
      <c r="AB126" s="13">
        <f t="shared" si="64"/>
        <v>10.089660720221607</v>
      </c>
      <c r="AC126" s="13">
        <f t="shared" si="65"/>
        <v>10.097935061337553</v>
      </c>
      <c r="AD126" s="13">
        <f t="shared" si="66"/>
        <v>5.8640154333201417</v>
      </c>
      <c r="AE126" s="13">
        <f t="shared" si="67"/>
        <v>4.687284804115551</v>
      </c>
      <c r="AF126" s="13">
        <f t="shared" si="68"/>
        <v>3.8896331064503364</v>
      </c>
      <c r="AG126" s="13">
        <f t="shared" si="69"/>
        <v>7.1292028571428574</v>
      </c>
      <c r="AH126" s="13">
        <f t="shared" si="70"/>
        <v>6.0032507874950518</v>
      </c>
      <c r="AI126" s="13">
        <f t="shared" si="71"/>
        <v>5.0776394143252883</v>
      </c>
      <c r="AJ126" s="13">
        <f t="shared" si="72"/>
        <v>7.8637874633953304</v>
      </c>
      <c r="AK126" s="13">
        <f t="shared" si="73"/>
        <v>6.9310243450732081</v>
      </c>
      <c r="AL126" s="13">
        <f t="shared" si="74"/>
        <v>6.0638096398891967</v>
      </c>
      <c r="AM126" s="13">
        <f t="shared" si="75"/>
        <v>10.089640256917598</v>
      </c>
      <c r="AN126" s="13">
        <f t="shared" si="76"/>
        <v>10.072599894067153</v>
      </c>
      <c r="AO126" s="322">
        <f t="shared" si="88"/>
        <v>10.072599894067153</v>
      </c>
      <c r="AP126" s="322">
        <f t="shared" si="77"/>
        <v>10.089640256917598</v>
      </c>
      <c r="AQ126" s="322">
        <f t="shared" si="78"/>
        <v>10.099208036893852</v>
      </c>
      <c r="AR126" s="324">
        <f t="shared" si="79"/>
        <v>3.7669174606556881</v>
      </c>
      <c r="AS126" s="324">
        <f t="shared" si="80"/>
        <v>4.9352376646068628</v>
      </c>
      <c r="AT126" s="324">
        <f t="shared" si="81"/>
        <v>5.9303919929378104</v>
      </c>
      <c r="AU126" s="106">
        <f t="shared" ca="1" si="82"/>
        <v>10.072599894067153</v>
      </c>
      <c r="AV126" s="106">
        <f t="shared" ca="1" si="83"/>
        <v>10.089640256917598</v>
      </c>
      <c r="AW126" s="106">
        <f t="shared" ca="1" si="84"/>
        <v>10.099208036893852</v>
      </c>
      <c r="AX126" s="106">
        <f t="shared" ca="1" si="85"/>
        <v>3.7669174606556881</v>
      </c>
      <c r="AY126" s="106">
        <f t="shared" ca="1" si="86"/>
        <v>4.9352376646068628</v>
      </c>
      <c r="AZ126" s="106">
        <f t="shared" ca="1" si="87"/>
        <v>5.9303919929378104</v>
      </c>
      <c r="BA126" s="145">
        <v>9.9</v>
      </c>
      <c r="BB126" s="13" cm="1">
        <f t="array" ref="BB126">INDEX(AO126:AQ126,$AI$39)</f>
        <v>10.072599894067153</v>
      </c>
      <c r="BC126" s="13" cm="1">
        <f t="array" ref="BC126">INDEX(AR126:AT126,$AI$39)</f>
        <v>3.7669174606556881</v>
      </c>
      <c r="BD126" s="145">
        <v>9.9</v>
      </c>
      <c r="BE126" s="12"/>
      <c r="BF126" s="12"/>
      <c r="BG126" s="12"/>
      <c r="BH126" s="12"/>
      <c r="BI126" s="12"/>
      <c r="BJ126" s="12"/>
      <c r="BK126" s="12"/>
      <c r="BL126" s="12"/>
      <c r="BM126" s="12"/>
      <c r="BN126" s="12"/>
      <c r="BO126" s="12"/>
      <c r="BS126" s="106">
        <v>13.5</v>
      </c>
      <c r="BT126" s="12" t="s">
        <v>406</v>
      </c>
      <c r="BU126" s="7" t="str">
        <f t="shared" si="50"/>
        <v>---------</v>
      </c>
      <c r="BV126" s="290">
        <v>1.8500000000000201</v>
      </c>
      <c r="BW126" s="59">
        <v>117</v>
      </c>
      <c r="BX126" s="168" t="str">
        <f t="shared" si="51"/>
        <v>---------</v>
      </c>
      <c r="BY126" s="182">
        <v>5.3499999999999999E-2</v>
      </c>
      <c r="BZ126" s="185">
        <v>117</v>
      </c>
      <c r="CA126" s="184">
        <f t="shared" si="52"/>
        <v>5.3499999999999999E-2</v>
      </c>
      <c r="CF126" s="12"/>
      <c r="CG126" s="12"/>
      <c r="CH126" s="12"/>
    </row>
    <row r="127" spans="21:86">
      <c r="U127" s="13">
        <f t="shared" si="57"/>
        <v>9.8816392797783958</v>
      </c>
      <c r="V127" s="13">
        <f t="shared" si="58"/>
        <v>9.9458837673130223</v>
      </c>
      <c r="W127" s="13">
        <f t="shared" si="59"/>
        <v>9.9681304709141276</v>
      </c>
      <c r="X127" s="13">
        <f t="shared" si="60"/>
        <v>9.9302272022160647</v>
      </c>
      <c r="Y127" s="13">
        <f t="shared" si="61"/>
        <v>9.9740430470914152</v>
      </c>
      <c r="Z127" s="13">
        <f t="shared" si="62"/>
        <v>9.9868239335180071</v>
      </c>
      <c r="AA127" s="13">
        <f t="shared" si="63"/>
        <v>9.9545968975069261</v>
      </c>
      <c r="AB127" s="13">
        <f t="shared" si="64"/>
        <v>9.9873797229916903</v>
      </c>
      <c r="AC127" s="13">
        <f t="shared" si="65"/>
        <v>9.9969388919667601</v>
      </c>
      <c r="AD127" s="13">
        <f t="shared" si="66"/>
        <v>5.8614113573407192</v>
      </c>
      <c r="AE127" s="13">
        <f t="shared" si="67"/>
        <v>4.6985744044321329</v>
      </c>
      <c r="AF127" s="13">
        <f t="shared" si="68"/>
        <v>3.9029852077562328</v>
      </c>
      <c r="AG127" s="13">
        <f t="shared" si="69"/>
        <v>7.0997126315789458</v>
      </c>
      <c r="AH127" s="13">
        <f t="shared" si="70"/>
        <v>5.9948320221606632</v>
      </c>
      <c r="AI127" s="13">
        <f t="shared" si="71"/>
        <v>5.0812311911357337</v>
      </c>
      <c r="AJ127" s="13">
        <f t="shared" si="72"/>
        <v>7.8167913573407217</v>
      </c>
      <c r="AK127" s="13">
        <f t="shared" si="73"/>
        <v>6.9035814404432116</v>
      </c>
      <c r="AL127" s="13">
        <f t="shared" si="74"/>
        <v>6.0515532963988914</v>
      </c>
      <c r="AM127" s="13">
        <f t="shared" si="75"/>
        <v>9.9887902237374835</v>
      </c>
      <c r="AN127" s="13">
        <f t="shared" si="76"/>
        <v>9.9715530406989128</v>
      </c>
      <c r="AO127" s="322">
        <f t="shared" si="88"/>
        <v>9.9715530406989128</v>
      </c>
      <c r="AP127" s="322">
        <f t="shared" si="77"/>
        <v>9.9887902237374835</v>
      </c>
      <c r="AQ127" s="322">
        <f t="shared" si="78"/>
        <v>9.9984095333475409</v>
      </c>
      <c r="AR127" s="324">
        <f t="shared" si="79"/>
        <v>3.7805868698060943</v>
      </c>
      <c r="AS127" s="324">
        <f t="shared" si="80"/>
        <v>4.9406772171318982</v>
      </c>
      <c r="AT127" s="324">
        <f t="shared" si="81"/>
        <v>5.9204720434689957</v>
      </c>
      <c r="AU127" s="106">
        <f t="shared" ca="1" si="82"/>
        <v>9.9715530406989128</v>
      </c>
      <c r="AV127" s="106">
        <f t="shared" ca="1" si="83"/>
        <v>9.9887902237374835</v>
      </c>
      <c r="AW127" s="106">
        <f t="shared" ca="1" si="84"/>
        <v>9.9984095333475409</v>
      </c>
      <c r="AX127" s="106">
        <f t="shared" ca="1" si="85"/>
        <v>3.7805868698060943</v>
      </c>
      <c r="AY127" s="106">
        <f t="shared" ca="1" si="86"/>
        <v>4.9406772171318982</v>
      </c>
      <c r="AZ127" s="106">
        <f t="shared" ca="1" si="87"/>
        <v>5.9204720434689957</v>
      </c>
      <c r="BA127" s="145">
        <v>9.8000000000000007</v>
      </c>
      <c r="BB127" s="13" cm="1">
        <f t="array" ref="BB127">INDEX(AO127:AQ127,$AI$39)</f>
        <v>9.9715530406989128</v>
      </c>
      <c r="BC127" s="13" cm="1">
        <f t="array" ref="BC127">INDEX(AR127:AT127,$AI$39)</f>
        <v>3.7805868698060943</v>
      </c>
      <c r="BD127" s="145">
        <v>9.8000000000000007</v>
      </c>
      <c r="BE127" s="12"/>
      <c r="BF127" s="12"/>
      <c r="BG127" s="12"/>
      <c r="BH127" s="12"/>
      <c r="BI127" s="12"/>
      <c r="BJ127" s="12"/>
      <c r="BK127" s="12"/>
      <c r="BL127" s="12"/>
      <c r="BM127" s="12"/>
      <c r="BN127" s="12"/>
      <c r="BO127" s="12"/>
      <c r="BS127" s="106">
        <v>13.4</v>
      </c>
      <c r="BT127" s="12" t="s">
        <v>407</v>
      </c>
      <c r="BU127" s="7" t="str">
        <f t="shared" si="50"/>
        <v>---------</v>
      </c>
      <c r="BV127" s="290">
        <v>1.8400000000000201</v>
      </c>
      <c r="BW127" s="59">
        <v>118</v>
      </c>
      <c r="BX127" s="168" t="str">
        <f t="shared" si="51"/>
        <v>---------</v>
      </c>
      <c r="BY127" s="182">
        <v>5.3400000000000003E-2</v>
      </c>
      <c r="BZ127" s="185">
        <v>118</v>
      </c>
      <c r="CA127" s="184">
        <f t="shared" si="52"/>
        <v>5.3400000000000003E-2</v>
      </c>
      <c r="CF127" s="12"/>
      <c r="CG127" s="12"/>
      <c r="CH127" s="12"/>
    </row>
    <row r="128" spans="21:86">
      <c r="U128" s="13">
        <f t="shared" si="57"/>
        <v>9.773265785516422</v>
      </c>
      <c r="V128" s="13">
        <f t="shared" si="58"/>
        <v>9.8424859200633179</v>
      </c>
      <c r="W128" s="13">
        <f t="shared" si="59"/>
        <v>9.8667648753462593</v>
      </c>
      <c r="X128" s="13">
        <f t="shared" si="60"/>
        <v>9.8239553779184785</v>
      </c>
      <c r="Y128" s="13">
        <f t="shared" si="61"/>
        <v>9.8713769687376356</v>
      </c>
      <c r="Z128" s="13">
        <f t="shared" si="62"/>
        <v>9.8857279857538582</v>
      </c>
      <c r="AA128" s="13">
        <f t="shared" si="63"/>
        <v>9.849368357736445</v>
      </c>
      <c r="AB128" s="13">
        <f t="shared" si="64"/>
        <v>9.8851170083102478</v>
      </c>
      <c r="AC128" s="13">
        <f t="shared" si="65"/>
        <v>9.8959429204590421</v>
      </c>
      <c r="AD128" s="13">
        <f t="shared" si="66"/>
        <v>5.8576020577760177</v>
      </c>
      <c r="AE128" s="13">
        <f t="shared" si="67"/>
        <v>4.7087516580926003</v>
      </c>
      <c r="AF128" s="13">
        <f t="shared" si="68"/>
        <v>3.9154705896319753</v>
      </c>
      <c r="AG128" s="13">
        <f t="shared" si="69"/>
        <v>7.0693036090225547</v>
      </c>
      <c r="AH128" s="13">
        <f t="shared" si="70"/>
        <v>5.985366561139692</v>
      </c>
      <c r="AI128" s="13">
        <f t="shared" si="71"/>
        <v>5.0838010447170561</v>
      </c>
      <c r="AJ128" s="13">
        <f t="shared" si="72"/>
        <v>7.7690945389790267</v>
      </c>
      <c r="AK128" s="13">
        <f t="shared" si="73"/>
        <v>6.875277000395724</v>
      </c>
      <c r="AL128" s="13">
        <f t="shared" si="74"/>
        <v>6.0383509695290858</v>
      </c>
      <c r="AM128" s="13">
        <f t="shared" si="75"/>
        <v>9.8879358345255852</v>
      </c>
      <c r="AN128" s="13">
        <f t="shared" si="76"/>
        <v>9.870500099235942</v>
      </c>
      <c r="AO128" s="322">
        <f t="shared" si="88"/>
        <v>9.870500099235942</v>
      </c>
      <c r="AP128" s="322">
        <f t="shared" si="77"/>
        <v>9.8879358345255852</v>
      </c>
      <c r="AQ128" s="322">
        <f t="shared" si="78"/>
        <v>9.8976084454050106</v>
      </c>
      <c r="AR128" s="324">
        <f t="shared" si="79"/>
        <v>3.7934273483303405</v>
      </c>
      <c r="AS128" s="324">
        <f t="shared" si="80"/>
        <v>4.9450986575751124</v>
      </c>
      <c r="AT128" s="324">
        <f t="shared" si="81"/>
        <v>5.9095931186265256</v>
      </c>
      <c r="AU128" s="106">
        <f t="shared" ca="1" si="82"/>
        <v>9.870500099235942</v>
      </c>
      <c r="AV128" s="106">
        <f t="shared" ca="1" si="83"/>
        <v>9.8879358345255852</v>
      </c>
      <c r="AW128" s="106">
        <f t="shared" ca="1" si="84"/>
        <v>9.8976084454050106</v>
      </c>
      <c r="AX128" s="106">
        <f t="shared" ca="1" si="85"/>
        <v>3.7934273483303405</v>
      </c>
      <c r="AY128" s="106">
        <f t="shared" ca="1" si="86"/>
        <v>4.9450986575751124</v>
      </c>
      <c r="AZ128" s="106">
        <f t="shared" ca="1" si="87"/>
        <v>5.9095931186265256</v>
      </c>
      <c r="BA128" s="145">
        <v>9.6999999999999993</v>
      </c>
      <c r="BB128" s="13" cm="1">
        <f t="array" ref="BB128">INDEX(AO128:AQ128,$AI$39)</f>
        <v>9.870500099235942</v>
      </c>
      <c r="BC128" s="13" cm="1">
        <f t="array" ref="BC128">INDEX(AR128:AT128,$AI$39)</f>
        <v>3.7934273483303405</v>
      </c>
      <c r="BD128" s="145">
        <v>9.6999999999999993</v>
      </c>
      <c r="BE128" s="12"/>
      <c r="BF128" s="12"/>
      <c r="BG128" s="12"/>
      <c r="BH128" s="12"/>
      <c r="BI128" s="12"/>
      <c r="BJ128" s="12"/>
      <c r="BK128" s="12"/>
      <c r="BL128" s="12"/>
      <c r="BM128" s="12"/>
      <c r="BN128" s="12"/>
      <c r="BO128" s="12"/>
      <c r="BP128" s="12"/>
      <c r="BQ128" s="12"/>
      <c r="BR128" s="12"/>
      <c r="BS128" s="106">
        <v>13.3</v>
      </c>
      <c r="BT128" s="12" t="s">
        <v>408</v>
      </c>
      <c r="BU128" s="7" t="str">
        <f t="shared" si="50"/>
        <v>---------</v>
      </c>
      <c r="BV128" s="290">
        <v>1.8300000000000201</v>
      </c>
      <c r="BW128" s="59">
        <v>119</v>
      </c>
      <c r="BX128" s="168" t="str">
        <f t="shared" si="51"/>
        <v>---------</v>
      </c>
      <c r="BY128" s="182">
        <v>5.33E-2</v>
      </c>
      <c r="BZ128" s="185">
        <v>119</v>
      </c>
      <c r="CA128" s="184">
        <f t="shared" si="52"/>
        <v>5.33E-2</v>
      </c>
      <c r="CF128" s="12"/>
      <c r="CG128" s="12"/>
      <c r="CH128" s="12"/>
    </row>
    <row r="129" spans="21:86">
      <c r="U129" s="13">
        <f t="shared" si="57"/>
        <v>9.665044487534626</v>
      </c>
      <c r="V129" s="13">
        <f t="shared" si="58"/>
        <v>9.7391234903047117</v>
      </c>
      <c r="W129" s="13">
        <f t="shared" si="59"/>
        <v>9.7653987257617736</v>
      </c>
      <c r="X129" s="13">
        <f t="shared" si="60"/>
        <v>9.7177856509695282</v>
      </c>
      <c r="Y129" s="13">
        <f t="shared" si="61"/>
        <v>9.7687353462603888</v>
      </c>
      <c r="Z129" s="13">
        <f t="shared" si="62"/>
        <v>9.7846315235457055</v>
      </c>
      <c r="AA129" s="13">
        <f t="shared" si="63"/>
        <v>9.7442170637119112</v>
      </c>
      <c r="AB129" s="13">
        <f t="shared" si="64"/>
        <v>9.7828725761772848</v>
      </c>
      <c r="AC129" s="13">
        <f t="shared" si="65"/>
        <v>9.7949471468144029</v>
      </c>
      <c r="AD129" s="13">
        <f t="shared" si="66"/>
        <v>5.8525875346260365</v>
      </c>
      <c r="AE129" s="13">
        <f t="shared" si="67"/>
        <v>4.7178165650969532</v>
      </c>
      <c r="AF129" s="13">
        <f t="shared" si="68"/>
        <v>3.9270892520775629</v>
      </c>
      <c r="AG129" s="13">
        <f t="shared" si="69"/>
        <v>7.0379757894736823</v>
      </c>
      <c r="AH129" s="13">
        <f t="shared" si="70"/>
        <v>5.9748544044321328</v>
      </c>
      <c r="AI129" s="13">
        <f t="shared" si="71"/>
        <v>5.0853489750692518</v>
      </c>
      <c r="AJ129" s="13">
        <f t="shared" si="72"/>
        <v>7.7206970083102489</v>
      </c>
      <c r="AK129" s="13">
        <f t="shared" si="73"/>
        <v>6.8461110249307477</v>
      </c>
      <c r="AL129" s="13">
        <f t="shared" si="74"/>
        <v>6.0242026592797782</v>
      </c>
      <c r="AM129" s="13">
        <f t="shared" si="75"/>
        <v>9.7870770892819081</v>
      </c>
      <c r="AN129" s="13">
        <f t="shared" si="76"/>
        <v>9.7694410696782441</v>
      </c>
      <c r="AO129" s="322">
        <f t="shared" si="88"/>
        <v>9.7694410696782441</v>
      </c>
      <c r="AP129" s="322">
        <f t="shared" si="77"/>
        <v>9.7870770892819081</v>
      </c>
      <c r="AQ129" s="322">
        <f t="shared" si="78"/>
        <v>9.7968047730662668</v>
      </c>
      <c r="AR129" s="324">
        <f t="shared" si="79"/>
        <v>3.8054388962284258</v>
      </c>
      <c r="AS129" s="324">
        <f t="shared" si="80"/>
        <v>4.9485019859365007</v>
      </c>
      <c r="AT129" s="324">
        <f t="shared" si="81"/>
        <v>5.8977552184103983</v>
      </c>
      <c r="AU129" s="106">
        <f t="shared" ca="1" si="82"/>
        <v>9.7694410696782441</v>
      </c>
      <c r="AV129" s="106">
        <f t="shared" ca="1" si="83"/>
        <v>9.7870770892819081</v>
      </c>
      <c r="AW129" s="106">
        <f t="shared" ca="1" si="84"/>
        <v>9.7968047730662668</v>
      </c>
      <c r="AX129" s="106">
        <f t="shared" ca="1" si="85"/>
        <v>3.8054388962284258</v>
      </c>
      <c r="AY129" s="106">
        <f t="shared" ca="1" si="86"/>
        <v>4.9485019859365007</v>
      </c>
      <c r="AZ129" s="106">
        <f t="shared" ca="1" si="87"/>
        <v>5.8977552184103983</v>
      </c>
      <c r="BA129" s="145">
        <v>9.6</v>
      </c>
      <c r="BB129" s="13" cm="1">
        <f t="array" ref="BB129">INDEX(AO129:AQ129,$AI$39)</f>
        <v>9.7694410696782441</v>
      </c>
      <c r="BC129" s="13" cm="1">
        <f t="array" ref="BC129">INDEX(AR129:AT129,$AI$39)</f>
        <v>3.8054388962284258</v>
      </c>
      <c r="BD129" s="145">
        <v>9.6</v>
      </c>
      <c r="BE129" s="12"/>
      <c r="BF129" s="12"/>
      <c r="BG129" s="12"/>
      <c r="BH129" s="12"/>
      <c r="BI129" s="12"/>
      <c r="BJ129" s="12"/>
      <c r="BK129" s="12"/>
      <c r="BL129" s="12"/>
      <c r="BM129" s="12"/>
      <c r="BN129" s="12"/>
      <c r="BO129" s="12"/>
      <c r="BP129" s="12"/>
      <c r="BQ129" s="12"/>
      <c r="BR129" s="12"/>
      <c r="BS129" s="106">
        <v>13.2</v>
      </c>
      <c r="BT129" s="12" t="s">
        <v>409</v>
      </c>
      <c r="BU129" s="7" t="str">
        <f t="shared" si="50"/>
        <v>---------</v>
      </c>
      <c r="BV129" s="290">
        <v>1.82000000000003</v>
      </c>
      <c r="BW129" s="59">
        <v>120</v>
      </c>
      <c r="BX129" s="168" t="str">
        <f t="shared" si="51"/>
        <v>---------</v>
      </c>
      <c r="BY129" s="182">
        <v>5.3199999999999997E-2</v>
      </c>
      <c r="BZ129" s="185">
        <v>120</v>
      </c>
      <c r="CA129" s="184">
        <f t="shared" si="52"/>
        <v>5.3199999999999997E-2</v>
      </c>
      <c r="CF129" s="12"/>
      <c r="CG129" s="12"/>
      <c r="CH129" s="12"/>
    </row>
    <row r="130" spans="21:86">
      <c r="U130" s="13">
        <f t="shared" si="57"/>
        <v>9.5569753858330042</v>
      </c>
      <c r="V130" s="13">
        <f t="shared" si="58"/>
        <v>9.6357964780372001</v>
      </c>
      <c r="W130" s="13">
        <f t="shared" si="59"/>
        <v>9.664032022160665</v>
      </c>
      <c r="X130" s="13">
        <f t="shared" si="60"/>
        <v>9.6117180213692102</v>
      </c>
      <c r="Y130" s="13">
        <f t="shared" si="61"/>
        <v>9.6661181796596765</v>
      </c>
      <c r="Z130" s="13">
        <f t="shared" si="62"/>
        <v>9.6835345468935508</v>
      </c>
      <c r="AA130" s="13">
        <f t="shared" si="63"/>
        <v>9.6391430154333211</v>
      </c>
      <c r="AB130" s="13">
        <f t="shared" si="64"/>
        <v>9.6806464265927961</v>
      </c>
      <c r="AC130" s="13">
        <f t="shared" si="65"/>
        <v>9.6939515710328443</v>
      </c>
      <c r="AD130" s="13">
        <f t="shared" si="66"/>
        <v>5.8463677878907774</v>
      </c>
      <c r="AE130" s="13">
        <f t="shared" si="67"/>
        <v>4.7257691254451917</v>
      </c>
      <c r="AF130" s="13">
        <f t="shared" si="68"/>
        <v>3.9378411950929966</v>
      </c>
      <c r="AG130" s="13">
        <f t="shared" si="69"/>
        <v>7.0057291729323303</v>
      </c>
      <c r="AH130" s="13">
        <f t="shared" si="70"/>
        <v>5.9632955520379891</v>
      </c>
      <c r="AI130" s="13">
        <f t="shared" si="71"/>
        <v>5.0858749821923226</v>
      </c>
      <c r="AJ130" s="13">
        <f t="shared" si="72"/>
        <v>7.6715987653343891</v>
      </c>
      <c r="AK130" s="13">
        <f t="shared" si="73"/>
        <v>6.8160835140482785</v>
      </c>
      <c r="AL130" s="13">
        <f t="shared" si="74"/>
        <v>6.0091083656509703</v>
      </c>
      <c r="AM130" s="13">
        <f t="shared" si="75"/>
        <v>9.6862139880064539</v>
      </c>
      <c r="AN130" s="13">
        <f t="shared" si="76"/>
        <v>9.6683759520258139</v>
      </c>
      <c r="AO130" s="322">
        <f t="shared" si="88"/>
        <v>9.6683759520258139</v>
      </c>
      <c r="AP130" s="322">
        <f t="shared" si="77"/>
        <v>9.6862139880064539</v>
      </c>
      <c r="AQ130" s="322">
        <f t="shared" si="78"/>
        <v>9.6959985163313132</v>
      </c>
      <c r="AR130" s="324">
        <f t="shared" si="79"/>
        <v>3.8166215135003512</v>
      </c>
      <c r="AS130" s="324">
        <f t="shared" si="80"/>
        <v>4.9508872022160659</v>
      </c>
      <c r="AT130" s="324">
        <f t="shared" si="81"/>
        <v>5.8849583428206147</v>
      </c>
      <c r="AU130" s="106">
        <f t="shared" ca="1" si="82"/>
        <v>9.6683759520258139</v>
      </c>
      <c r="AV130" s="106">
        <f t="shared" ca="1" si="83"/>
        <v>9.6862139880064539</v>
      </c>
      <c r="AW130" s="106">
        <f t="shared" ca="1" si="84"/>
        <v>9.6959985163313132</v>
      </c>
      <c r="AX130" s="106">
        <f t="shared" ca="1" si="85"/>
        <v>3.8166215135003512</v>
      </c>
      <c r="AY130" s="106">
        <f t="shared" ca="1" si="86"/>
        <v>4.9508872022160659</v>
      </c>
      <c r="AZ130" s="106">
        <f t="shared" ca="1" si="87"/>
        <v>5.8849583428206147</v>
      </c>
      <c r="BA130" s="145">
        <v>9.5</v>
      </c>
      <c r="BB130" s="13" cm="1">
        <f t="array" ref="BB130">INDEX(AO130:AQ130,$AI$39)</f>
        <v>9.6683759520258139</v>
      </c>
      <c r="BC130" s="13" cm="1">
        <f t="array" ref="BC130">INDEX(AR130:AT130,$AI$39)</f>
        <v>3.8166215135003512</v>
      </c>
      <c r="BD130" s="145">
        <v>9.5</v>
      </c>
      <c r="BE130" s="12"/>
      <c r="BF130" s="12"/>
      <c r="BG130" s="12"/>
      <c r="BH130" s="12"/>
      <c r="BI130" s="12"/>
      <c r="BJ130" s="12"/>
      <c r="BK130" s="12"/>
      <c r="BL130" s="12"/>
      <c r="BM130" s="12"/>
      <c r="BN130" s="12"/>
      <c r="BO130" s="12"/>
      <c r="BP130" s="12"/>
      <c r="BQ130" s="12"/>
      <c r="BR130" s="12"/>
      <c r="BS130" s="106">
        <v>13.1</v>
      </c>
      <c r="BT130" s="12" t="s">
        <v>410</v>
      </c>
      <c r="BU130" s="7" t="str">
        <f t="shared" si="50"/>
        <v>---------</v>
      </c>
      <c r="BV130" s="290">
        <v>1.81000000000003</v>
      </c>
      <c r="BW130" s="59">
        <v>121</v>
      </c>
      <c r="BX130" s="168" t="str">
        <f t="shared" si="51"/>
        <v>---------</v>
      </c>
      <c r="BY130" s="182">
        <v>5.3100000000000001E-2</v>
      </c>
      <c r="BZ130" s="185">
        <v>121</v>
      </c>
      <c r="CA130" s="184">
        <f t="shared" si="52"/>
        <v>5.3100000000000001E-2</v>
      </c>
      <c r="CF130" s="12"/>
      <c r="CG130" s="12"/>
      <c r="CH130" s="12"/>
    </row>
    <row r="131" spans="21:86">
      <c r="U131" s="13">
        <f t="shared" si="57"/>
        <v>9.4490584804115549</v>
      </c>
      <c r="V131" s="13">
        <f t="shared" si="58"/>
        <v>9.5325048832607866</v>
      </c>
      <c r="W131" s="13">
        <f t="shared" si="59"/>
        <v>9.5626647645429372</v>
      </c>
      <c r="X131" s="13">
        <f t="shared" si="60"/>
        <v>9.5057524891175298</v>
      </c>
      <c r="Y131" s="13">
        <f t="shared" si="61"/>
        <v>9.5635254689354987</v>
      </c>
      <c r="Z131" s="13">
        <f t="shared" si="62"/>
        <v>9.5824370557973886</v>
      </c>
      <c r="AA131" s="13">
        <f t="shared" si="63"/>
        <v>9.5341462129006729</v>
      </c>
      <c r="AB131" s="13">
        <f t="shared" si="64"/>
        <v>9.5784385595567869</v>
      </c>
      <c r="AC131" s="13">
        <f t="shared" si="65"/>
        <v>9.5929561931143645</v>
      </c>
      <c r="AD131" s="13">
        <f t="shared" si="66"/>
        <v>5.8389428175702403</v>
      </c>
      <c r="AE131" s="13">
        <f t="shared" si="67"/>
        <v>4.7326093391373174</v>
      </c>
      <c r="AF131" s="13">
        <f t="shared" si="68"/>
        <v>3.9477264186782755</v>
      </c>
      <c r="AG131" s="13">
        <f t="shared" si="69"/>
        <v>6.972563759398497</v>
      </c>
      <c r="AH131" s="13">
        <f t="shared" si="70"/>
        <v>5.950690003957261</v>
      </c>
      <c r="AI131" s="13">
        <f t="shared" si="71"/>
        <v>5.0853790660862686</v>
      </c>
      <c r="AJ131" s="13">
        <f t="shared" si="72"/>
        <v>7.6217998100514439</v>
      </c>
      <c r="AK131" s="13">
        <f t="shared" si="73"/>
        <v>6.7851944677483171</v>
      </c>
      <c r="AL131" s="13">
        <f t="shared" si="74"/>
        <v>5.9930680886426586</v>
      </c>
      <c r="AM131" s="13">
        <f t="shared" si="75"/>
        <v>9.5853465306992174</v>
      </c>
      <c r="AN131" s="13">
        <f t="shared" si="76"/>
        <v>9.5673047462786531</v>
      </c>
      <c r="AO131" s="322">
        <f t="shared" si="88"/>
        <v>9.5673047462786531</v>
      </c>
      <c r="AP131" s="322">
        <f t="shared" si="77"/>
        <v>9.5853465306992174</v>
      </c>
      <c r="AQ131" s="322">
        <f t="shared" si="78"/>
        <v>9.595189675200146</v>
      </c>
      <c r="AR131" s="324">
        <f t="shared" si="79"/>
        <v>3.8269752001461148</v>
      </c>
      <c r="AS131" s="324">
        <f t="shared" si="80"/>
        <v>4.952254306413808</v>
      </c>
      <c r="AT131" s="324">
        <f t="shared" si="81"/>
        <v>5.8712024918571721</v>
      </c>
      <c r="AU131" s="106">
        <f t="shared" ca="1" si="82"/>
        <v>9.5673047462786531</v>
      </c>
      <c r="AV131" s="106">
        <f t="shared" ca="1" si="83"/>
        <v>9.5853465306992174</v>
      </c>
      <c r="AW131" s="106">
        <f t="shared" ca="1" si="84"/>
        <v>9.595189675200146</v>
      </c>
      <c r="AX131" s="106">
        <f t="shared" ca="1" si="85"/>
        <v>3.8269752001461148</v>
      </c>
      <c r="AY131" s="106">
        <f t="shared" ca="1" si="86"/>
        <v>4.952254306413808</v>
      </c>
      <c r="AZ131" s="106">
        <f t="shared" ca="1" si="87"/>
        <v>5.8712024918571721</v>
      </c>
      <c r="BA131" s="145">
        <v>9.4</v>
      </c>
      <c r="BB131" s="13" cm="1">
        <f t="array" ref="BB131">INDEX(AO131:AQ131,$AI$39)</f>
        <v>9.5673047462786531</v>
      </c>
      <c r="BC131" s="13" cm="1">
        <f t="array" ref="BC131">INDEX(AR131:AT131,$AI$39)</f>
        <v>3.8269752001461148</v>
      </c>
      <c r="BD131" s="145">
        <v>9.4</v>
      </c>
      <c r="BE131" s="12"/>
      <c r="BF131" s="12"/>
      <c r="BG131" s="12"/>
      <c r="BH131" s="12"/>
      <c r="BI131" s="12"/>
      <c r="BJ131" s="12"/>
      <c r="BK131" s="12"/>
      <c r="BL131" s="12"/>
      <c r="BM131" s="12"/>
      <c r="BN131" s="12"/>
      <c r="BO131" s="12"/>
      <c r="BP131" s="12"/>
      <c r="BQ131" s="12"/>
      <c r="BR131" s="12"/>
      <c r="BS131" s="106">
        <v>13</v>
      </c>
      <c r="BT131" s="12" t="s">
        <v>411</v>
      </c>
      <c r="BU131" s="7" t="str">
        <f t="shared" si="50"/>
        <v>---------</v>
      </c>
      <c r="BV131" s="290">
        <v>1.80000000000003</v>
      </c>
      <c r="BW131" s="59">
        <v>122</v>
      </c>
      <c r="BX131" s="168" t="str">
        <f t="shared" si="51"/>
        <v>---------</v>
      </c>
      <c r="BY131" s="182">
        <v>5.2999999999999999E-2</v>
      </c>
      <c r="BZ131" s="185">
        <v>122</v>
      </c>
      <c r="CA131" s="184">
        <f t="shared" si="52"/>
        <v>5.2999999999999999E-2</v>
      </c>
      <c r="CF131" s="12"/>
      <c r="CG131" s="12"/>
      <c r="CH131" s="12"/>
    </row>
    <row r="132" spans="21:86">
      <c r="U132" s="13">
        <f t="shared" si="57"/>
        <v>9.3412937712702817</v>
      </c>
      <c r="V132" s="13">
        <f t="shared" si="58"/>
        <v>9.4292487059754677</v>
      </c>
      <c r="W132" s="13">
        <f t="shared" si="59"/>
        <v>9.4612969529085884</v>
      </c>
      <c r="X132" s="13">
        <f t="shared" si="60"/>
        <v>9.3998890542144835</v>
      </c>
      <c r="Y132" s="13">
        <f t="shared" si="61"/>
        <v>9.460957214087852</v>
      </c>
      <c r="Z132" s="13">
        <f t="shared" si="62"/>
        <v>9.4813390502572226</v>
      </c>
      <c r="AA132" s="13">
        <f t="shared" si="63"/>
        <v>9.4292266561139702</v>
      </c>
      <c r="AB132" s="13">
        <f t="shared" si="64"/>
        <v>9.4762489750692538</v>
      </c>
      <c r="AC132" s="13">
        <f t="shared" si="65"/>
        <v>9.4919610130589618</v>
      </c>
      <c r="AD132" s="13">
        <f t="shared" si="66"/>
        <v>5.8303126236644234</v>
      </c>
      <c r="AE132" s="13">
        <f t="shared" si="67"/>
        <v>4.7383372061733287</v>
      </c>
      <c r="AF132" s="13">
        <f t="shared" si="68"/>
        <v>3.9567449228333995</v>
      </c>
      <c r="AG132" s="13">
        <f t="shared" si="69"/>
        <v>6.9384795488721807</v>
      </c>
      <c r="AH132" s="13">
        <f t="shared" si="70"/>
        <v>5.9370377601899484</v>
      </c>
      <c r="AI132" s="13">
        <f t="shared" si="71"/>
        <v>5.0838612267510879</v>
      </c>
      <c r="AJ132" s="13">
        <f t="shared" si="72"/>
        <v>7.5713001424614186</v>
      </c>
      <c r="AK132" s="13">
        <f t="shared" si="73"/>
        <v>6.7534438860308654</v>
      </c>
      <c r="AL132" s="13">
        <f t="shared" si="74"/>
        <v>5.9760818282548485</v>
      </c>
      <c r="AM132" s="13">
        <f t="shared" si="75"/>
        <v>9.484474717360202</v>
      </c>
      <c r="AN132" s="13">
        <f t="shared" si="76"/>
        <v>9.46622745243676</v>
      </c>
      <c r="AO132" s="322">
        <f t="shared" si="88"/>
        <v>9.46622745243676</v>
      </c>
      <c r="AP132" s="322">
        <f t="shared" si="77"/>
        <v>9.484474717360202</v>
      </c>
      <c r="AQ132" s="322">
        <f t="shared" si="78"/>
        <v>9.4943782496727636</v>
      </c>
      <c r="AR132" s="324">
        <f t="shared" si="79"/>
        <v>3.836499956165718</v>
      </c>
      <c r="AS132" s="324">
        <f t="shared" si="80"/>
        <v>4.9526032985297244</v>
      </c>
      <c r="AT132" s="324">
        <f t="shared" si="81"/>
        <v>5.8564876655200768</v>
      </c>
      <c r="AU132" s="106">
        <f t="shared" ca="1" si="82"/>
        <v>9.46622745243676</v>
      </c>
      <c r="AV132" s="106">
        <f t="shared" ca="1" si="83"/>
        <v>9.484474717360202</v>
      </c>
      <c r="AW132" s="106">
        <f t="shared" ca="1" si="84"/>
        <v>9.4943782496727636</v>
      </c>
      <c r="AX132" s="106">
        <f t="shared" ca="1" si="85"/>
        <v>3.836499956165718</v>
      </c>
      <c r="AY132" s="106">
        <f t="shared" ca="1" si="86"/>
        <v>4.9526032985297244</v>
      </c>
      <c r="AZ132" s="106">
        <f t="shared" ca="1" si="87"/>
        <v>5.8564876655200768</v>
      </c>
      <c r="BA132" s="145">
        <v>9.3000000000000007</v>
      </c>
      <c r="BB132" s="13" cm="1">
        <f t="array" ref="BB132">INDEX(AO132:AQ132,$AI$39)</f>
        <v>9.46622745243676</v>
      </c>
      <c r="BC132" s="13" cm="1">
        <f t="array" ref="BC132">INDEX(AR132:AT132,$AI$39)</f>
        <v>3.836499956165718</v>
      </c>
      <c r="BD132" s="145">
        <v>9.3000000000000007</v>
      </c>
      <c r="BE132" s="12"/>
      <c r="BF132" s="12"/>
      <c r="BG132" s="12"/>
      <c r="BH132" s="12"/>
      <c r="BI132" s="12"/>
      <c r="BJ132" s="12"/>
      <c r="BK132" s="12"/>
      <c r="BL132" s="12"/>
      <c r="BM132" s="12"/>
      <c r="BN132" s="12"/>
      <c r="BO132" s="12"/>
      <c r="BP132" s="12"/>
      <c r="BQ132" s="12"/>
      <c r="BR132" s="12"/>
      <c r="BS132" s="106">
        <v>12.9</v>
      </c>
      <c r="BT132" s="12" t="s">
        <v>412</v>
      </c>
      <c r="BU132" s="7" t="str">
        <f t="shared" si="50"/>
        <v>---------</v>
      </c>
      <c r="BV132" s="290">
        <v>1.79000000000003</v>
      </c>
      <c r="BW132" s="59">
        <v>123</v>
      </c>
      <c r="BX132" s="168" t="str">
        <f t="shared" si="51"/>
        <v>---------</v>
      </c>
      <c r="BY132" s="182">
        <v>5.2900000000000003E-2</v>
      </c>
      <c r="BZ132" s="185">
        <v>123</v>
      </c>
      <c r="CA132" s="184">
        <f t="shared" si="52"/>
        <v>5.2900000000000003E-2</v>
      </c>
      <c r="CF132" s="12"/>
      <c r="CG132" s="12"/>
      <c r="CH132" s="12"/>
    </row>
    <row r="133" spans="21:86">
      <c r="U133" s="13">
        <f t="shared" si="57"/>
        <v>9.2336812584091792</v>
      </c>
      <c r="V133" s="13">
        <f t="shared" si="58"/>
        <v>9.3260279461812434</v>
      </c>
      <c r="W133" s="13">
        <f t="shared" si="59"/>
        <v>9.3599285872576168</v>
      </c>
      <c r="X133" s="13">
        <f t="shared" si="60"/>
        <v>9.2941277166600695</v>
      </c>
      <c r="Y133" s="13">
        <f t="shared" si="61"/>
        <v>9.3584134151167397</v>
      </c>
      <c r="Z133" s="13">
        <f t="shared" si="62"/>
        <v>9.3802405302730509</v>
      </c>
      <c r="AA133" s="13">
        <f t="shared" si="63"/>
        <v>9.3243843450732093</v>
      </c>
      <c r="AB133" s="13">
        <f t="shared" si="64"/>
        <v>9.3740776731301931</v>
      </c>
      <c r="AC133" s="13">
        <f t="shared" si="65"/>
        <v>9.3909660308666378</v>
      </c>
      <c r="AD133" s="13">
        <f t="shared" si="66"/>
        <v>5.8204772061733268</v>
      </c>
      <c r="AE133" s="13">
        <f t="shared" si="67"/>
        <v>4.7429527265532254</v>
      </c>
      <c r="AF133" s="13">
        <f t="shared" si="68"/>
        <v>3.9648967075583705</v>
      </c>
      <c r="AG133" s="13">
        <f t="shared" si="69"/>
        <v>6.903476541353383</v>
      </c>
      <c r="AH133" s="13">
        <f t="shared" si="70"/>
        <v>5.9223388207360514</v>
      </c>
      <c r="AI133" s="13">
        <f t="shared" si="71"/>
        <v>5.0813214641867823</v>
      </c>
      <c r="AJ133" s="13">
        <f t="shared" si="72"/>
        <v>7.520099762564306</v>
      </c>
      <c r="AK133" s="13">
        <f t="shared" si="73"/>
        <v>6.7208317688959216</v>
      </c>
      <c r="AL133" s="13">
        <f t="shared" si="74"/>
        <v>5.9581495844875345</v>
      </c>
      <c r="AM133" s="13">
        <f t="shared" si="75"/>
        <v>9.383598547989406</v>
      </c>
      <c r="AN133" s="13">
        <f t="shared" si="76"/>
        <v>9.3651440705001363</v>
      </c>
      <c r="AO133" s="322">
        <f t="shared" si="88"/>
        <v>9.3651440705001363</v>
      </c>
      <c r="AP133" s="322">
        <f t="shared" si="77"/>
        <v>9.383598547989406</v>
      </c>
      <c r="AQ133" s="322">
        <f t="shared" si="78"/>
        <v>9.3935642397491677</v>
      </c>
      <c r="AR133" s="324">
        <f t="shared" si="79"/>
        <v>3.8451957815591618</v>
      </c>
      <c r="AS133" s="324">
        <f t="shared" si="80"/>
        <v>4.9519341785638176</v>
      </c>
      <c r="AT133" s="324">
        <f t="shared" si="81"/>
        <v>5.8408138638093208</v>
      </c>
      <c r="AU133" s="106">
        <f t="shared" ca="1" si="82"/>
        <v>9.3651440705001363</v>
      </c>
      <c r="AV133" s="106">
        <f t="shared" ca="1" si="83"/>
        <v>9.383598547989406</v>
      </c>
      <c r="AW133" s="106">
        <f t="shared" ca="1" si="84"/>
        <v>9.3935642397491677</v>
      </c>
      <c r="AX133" s="106">
        <f t="shared" ca="1" si="85"/>
        <v>3.8451957815591618</v>
      </c>
      <c r="AY133" s="106">
        <f t="shared" ca="1" si="86"/>
        <v>4.9519341785638176</v>
      </c>
      <c r="AZ133" s="106">
        <f t="shared" ca="1" si="87"/>
        <v>5.8408138638093208</v>
      </c>
      <c r="BA133" s="145">
        <v>9.1999999999999993</v>
      </c>
      <c r="BB133" s="13" cm="1">
        <f t="array" ref="BB133">INDEX(AO133:AQ133,$AI$39)</f>
        <v>9.3651440705001363</v>
      </c>
      <c r="BC133" s="13" cm="1">
        <f t="array" ref="BC133">INDEX(AR133:AT133,$AI$39)</f>
        <v>3.8451957815591618</v>
      </c>
      <c r="BD133" s="145">
        <v>9.1999999999999993</v>
      </c>
      <c r="BE133" s="12"/>
      <c r="BF133" s="12"/>
      <c r="BG133" s="12"/>
      <c r="BH133" s="12"/>
      <c r="BI133" s="12"/>
      <c r="BJ133" s="12"/>
      <c r="BK133" s="12"/>
      <c r="BL133" s="12"/>
      <c r="BM133" s="12"/>
      <c r="BN133" s="12"/>
      <c r="BO133" s="12"/>
      <c r="BP133" s="12"/>
      <c r="BQ133" s="12"/>
      <c r="BR133" s="12"/>
      <c r="BS133" s="106">
        <v>12.8</v>
      </c>
      <c r="BT133" s="12" t="s">
        <v>413</v>
      </c>
      <c r="BU133" s="7" t="str">
        <f t="shared" si="50"/>
        <v>---------</v>
      </c>
      <c r="BV133" s="290">
        <v>1.78000000000003</v>
      </c>
      <c r="BW133" s="59">
        <v>124</v>
      </c>
      <c r="BX133" s="168" t="str">
        <f t="shared" si="51"/>
        <v>---------</v>
      </c>
      <c r="BY133" s="182">
        <v>5.28E-2</v>
      </c>
      <c r="BZ133" s="185">
        <v>124</v>
      </c>
      <c r="CA133" s="184">
        <f t="shared" si="52"/>
        <v>5.28E-2</v>
      </c>
      <c r="CF133" s="12"/>
      <c r="CG133" s="12"/>
      <c r="CH133" s="12"/>
    </row>
    <row r="134" spans="21:86">
      <c r="U134" s="13">
        <f t="shared" si="57"/>
        <v>9.1262209418282545</v>
      </c>
      <c r="V134" s="13">
        <f t="shared" si="58"/>
        <v>9.2228426038781173</v>
      </c>
      <c r="W134" s="13">
        <f t="shared" si="59"/>
        <v>9.2585596675900277</v>
      </c>
      <c r="X134" s="13">
        <f t="shared" si="60"/>
        <v>9.1884684764542914</v>
      </c>
      <c r="Y134" s="13">
        <f t="shared" si="61"/>
        <v>9.2558940720221621</v>
      </c>
      <c r="Z134" s="13">
        <f t="shared" si="62"/>
        <v>9.2791414958448755</v>
      </c>
      <c r="AA134" s="13">
        <f t="shared" si="63"/>
        <v>9.2196192797783922</v>
      </c>
      <c r="AB134" s="13">
        <f t="shared" si="64"/>
        <v>9.2719246537396121</v>
      </c>
      <c r="AC134" s="13">
        <f t="shared" si="65"/>
        <v>9.2899712465373945</v>
      </c>
      <c r="AD134" s="13">
        <f t="shared" si="66"/>
        <v>5.8094365650969513</v>
      </c>
      <c r="AE134" s="13">
        <f t="shared" si="67"/>
        <v>4.7464559002770077</v>
      </c>
      <c r="AF134" s="13">
        <f t="shared" si="68"/>
        <v>3.9721817728531867</v>
      </c>
      <c r="AG134" s="13">
        <f t="shared" si="69"/>
        <v>6.8675547368421057</v>
      </c>
      <c r="AH134" s="13">
        <f t="shared" si="70"/>
        <v>5.9065931855955682</v>
      </c>
      <c r="AI134" s="13">
        <f t="shared" si="71"/>
        <v>5.0777597783933519</v>
      </c>
      <c r="AJ134" s="13">
        <f t="shared" si="72"/>
        <v>7.4681986703601106</v>
      </c>
      <c r="AK134" s="13">
        <f t="shared" si="73"/>
        <v>6.6873581163434901</v>
      </c>
      <c r="AL134" s="13">
        <f t="shared" si="74"/>
        <v>5.9392713573407203</v>
      </c>
      <c r="AM134" s="13">
        <f t="shared" si="75"/>
        <v>9.2827180225868311</v>
      </c>
      <c r="AN134" s="13">
        <f t="shared" si="76"/>
        <v>9.2640546004687838</v>
      </c>
      <c r="AO134" s="322">
        <f t="shared" si="88"/>
        <v>9.2640546004687838</v>
      </c>
      <c r="AP134" s="322">
        <f t="shared" si="77"/>
        <v>9.2827180225868311</v>
      </c>
      <c r="AQ134" s="322">
        <f t="shared" si="78"/>
        <v>9.2927476454293618</v>
      </c>
      <c r="AR134" s="324">
        <f t="shared" si="79"/>
        <v>3.8530626763264451</v>
      </c>
      <c r="AS134" s="324">
        <f t="shared" si="80"/>
        <v>4.9502469465160877</v>
      </c>
      <c r="AT134" s="324">
        <f t="shared" si="81"/>
        <v>5.8241810867249093</v>
      </c>
      <c r="AU134" s="106">
        <f t="shared" ca="1" si="82"/>
        <v>9.2640546004687838</v>
      </c>
      <c r="AV134" s="106">
        <f t="shared" ca="1" si="83"/>
        <v>9.2827180225868311</v>
      </c>
      <c r="AW134" s="106">
        <f t="shared" ca="1" si="84"/>
        <v>9.2927476454293618</v>
      </c>
      <c r="AX134" s="106">
        <f t="shared" ca="1" si="85"/>
        <v>3.8530626763264451</v>
      </c>
      <c r="AY134" s="106">
        <f t="shared" ca="1" si="86"/>
        <v>4.9502469465160877</v>
      </c>
      <c r="AZ134" s="106">
        <f t="shared" ca="1" si="87"/>
        <v>5.8241810867249093</v>
      </c>
      <c r="BA134" s="145">
        <v>9.1</v>
      </c>
      <c r="BB134" s="13" cm="1">
        <f t="array" ref="BB134">INDEX(AO134:AQ134,$AI$39)</f>
        <v>9.2640546004687838</v>
      </c>
      <c r="BC134" s="13" cm="1">
        <f t="array" ref="BC134">INDEX(AR134:AT134,$AI$39)</f>
        <v>3.8530626763264451</v>
      </c>
      <c r="BD134" s="145">
        <v>9.1</v>
      </c>
      <c r="BE134" s="12"/>
      <c r="BF134" s="12"/>
      <c r="BG134" s="12"/>
      <c r="BH134" s="12"/>
      <c r="BI134" s="12"/>
      <c r="BJ134" s="12"/>
      <c r="BK134" s="12"/>
      <c r="BL134" s="12"/>
      <c r="BM134" s="12"/>
      <c r="BN134" s="12"/>
      <c r="BO134" s="12"/>
      <c r="BP134" s="12"/>
      <c r="BQ134" s="12"/>
      <c r="BR134" s="12"/>
      <c r="BS134" s="106">
        <v>12.7</v>
      </c>
      <c r="BT134" s="12" t="s">
        <v>414</v>
      </c>
      <c r="BU134" s="7" t="str">
        <f t="shared" si="50"/>
        <v>---------</v>
      </c>
      <c r="BV134" s="290">
        <v>1.77000000000003</v>
      </c>
      <c r="BW134" s="59">
        <v>125</v>
      </c>
      <c r="BX134" s="168" t="str">
        <f t="shared" si="51"/>
        <v>---------</v>
      </c>
      <c r="BY134" s="182">
        <v>5.2699999999999997E-2</v>
      </c>
      <c r="BZ134" s="185">
        <v>125</v>
      </c>
      <c r="CA134" s="184">
        <f t="shared" si="52"/>
        <v>5.2699999999999997E-2</v>
      </c>
      <c r="CF134" s="12"/>
      <c r="CG134" s="12"/>
      <c r="CH134" s="12"/>
    </row>
    <row r="135" spans="21:86">
      <c r="U135" s="13">
        <f t="shared" si="57"/>
        <v>9.0189128215275023</v>
      </c>
      <c r="V135" s="13">
        <f t="shared" si="58"/>
        <v>9.1196926790660875</v>
      </c>
      <c r="W135" s="13">
        <f t="shared" si="59"/>
        <v>9.1571901939058176</v>
      </c>
      <c r="X135" s="13">
        <f t="shared" si="60"/>
        <v>9.082911333597151</v>
      </c>
      <c r="Y135" s="13">
        <f t="shared" si="61"/>
        <v>9.1533991848041154</v>
      </c>
      <c r="Z135" s="13">
        <f t="shared" si="62"/>
        <v>9.1780419469726944</v>
      </c>
      <c r="AA135" s="13">
        <f t="shared" si="63"/>
        <v>9.1149314602295206</v>
      </c>
      <c r="AB135" s="13">
        <f t="shared" si="64"/>
        <v>9.1697899168975052</v>
      </c>
      <c r="AC135" s="13">
        <f t="shared" si="65"/>
        <v>9.1889766600712299</v>
      </c>
      <c r="AD135" s="13">
        <f t="shared" si="66"/>
        <v>5.7971907004352987</v>
      </c>
      <c r="AE135" s="13">
        <f t="shared" si="67"/>
        <v>4.7488467273446773</v>
      </c>
      <c r="AF135" s="13">
        <f t="shared" si="68"/>
        <v>3.9786001187178472</v>
      </c>
      <c r="AG135" s="13">
        <f t="shared" si="69"/>
        <v>6.8307141353383454</v>
      </c>
      <c r="AH135" s="13">
        <f t="shared" si="70"/>
        <v>5.8898008547685006</v>
      </c>
      <c r="AI135" s="13">
        <f t="shared" si="71"/>
        <v>5.0731761693707966</v>
      </c>
      <c r="AJ135" s="13">
        <f t="shared" si="72"/>
        <v>7.4155968658488325</v>
      </c>
      <c r="AK135" s="13">
        <f t="shared" si="73"/>
        <v>6.6530229283735647</v>
      </c>
      <c r="AL135" s="13">
        <f t="shared" si="74"/>
        <v>5.9194471468144041</v>
      </c>
      <c r="AM135" s="13">
        <f t="shared" si="75"/>
        <v>9.1818331411524756</v>
      </c>
      <c r="AN135" s="13">
        <f t="shared" si="76"/>
        <v>9.162959042342699</v>
      </c>
      <c r="AO135" s="322">
        <f t="shared" si="88"/>
        <v>9.162959042342699</v>
      </c>
      <c r="AP135" s="322">
        <f t="shared" si="77"/>
        <v>9.1818331411524756</v>
      </c>
      <c r="AQ135" s="322">
        <f t="shared" si="78"/>
        <v>9.1919284667133407</v>
      </c>
      <c r="AR135" s="324">
        <f t="shared" si="79"/>
        <v>3.8601006404675657</v>
      </c>
      <c r="AS135" s="324">
        <f t="shared" si="80"/>
        <v>4.9475416023865346</v>
      </c>
      <c r="AT135" s="324">
        <f t="shared" si="81"/>
        <v>5.8065893342668407</v>
      </c>
      <c r="AU135" s="106">
        <f t="shared" ca="1" si="82"/>
        <v>9.162959042342699</v>
      </c>
      <c r="AV135" s="106">
        <f t="shared" ca="1" si="83"/>
        <v>9.1818331411524756</v>
      </c>
      <c r="AW135" s="106">
        <f t="shared" ca="1" si="84"/>
        <v>9.1919284667133407</v>
      </c>
      <c r="AX135" s="106">
        <f t="shared" ca="1" si="85"/>
        <v>3.8601006404675657</v>
      </c>
      <c r="AY135" s="106">
        <f t="shared" ca="1" si="86"/>
        <v>4.9475416023865346</v>
      </c>
      <c r="AZ135" s="106">
        <f t="shared" ca="1" si="87"/>
        <v>5.8065893342668407</v>
      </c>
      <c r="BA135" s="145">
        <v>9</v>
      </c>
      <c r="BB135" s="13" cm="1">
        <f t="array" ref="BB135">INDEX(AO135:AQ135,$AI$39)</f>
        <v>9.162959042342699</v>
      </c>
      <c r="BC135" s="13" cm="1">
        <f t="array" ref="BC135">INDEX(AR135:AT135,$AI$39)</f>
        <v>3.8601006404675657</v>
      </c>
      <c r="BD135" s="145">
        <v>9</v>
      </c>
      <c r="BE135" s="12"/>
      <c r="BF135" s="12"/>
      <c r="BG135" s="12"/>
      <c r="BH135" s="12"/>
      <c r="BI135" s="12"/>
      <c r="BJ135" s="12"/>
      <c r="BK135" s="12"/>
      <c r="BL135" s="12"/>
      <c r="BM135" s="12"/>
      <c r="BN135" s="12"/>
      <c r="BO135" s="12"/>
      <c r="BP135" s="12"/>
      <c r="BQ135" s="12"/>
      <c r="BR135" s="12"/>
      <c r="BS135" s="106">
        <v>12.6</v>
      </c>
      <c r="BT135" s="12" t="s">
        <v>415</v>
      </c>
      <c r="BU135" s="7" t="str">
        <f t="shared" si="50"/>
        <v>---------</v>
      </c>
      <c r="BV135" s="290">
        <v>1.76000000000003</v>
      </c>
      <c r="BW135" s="59">
        <v>126</v>
      </c>
      <c r="BX135" s="168" t="str">
        <f t="shared" si="51"/>
        <v>---------</v>
      </c>
      <c r="BY135" s="182">
        <v>5.2600000000000001E-2</v>
      </c>
      <c r="BZ135" s="185">
        <v>126</v>
      </c>
      <c r="CA135" s="184">
        <f t="shared" si="52"/>
        <v>5.2600000000000001E-2</v>
      </c>
      <c r="CF135" s="12"/>
      <c r="CG135" s="12"/>
      <c r="CH135" s="12"/>
    </row>
    <row r="136" spans="21:86">
      <c r="U136" s="13">
        <f t="shared" si="57"/>
        <v>8.9117568975069261</v>
      </c>
      <c r="V136" s="13">
        <f t="shared" si="58"/>
        <v>9.0165781717451541</v>
      </c>
      <c r="W136" s="13">
        <f t="shared" si="59"/>
        <v>9.0558201662049864</v>
      </c>
      <c r="X136" s="13">
        <f t="shared" si="60"/>
        <v>8.9774562880886428</v>
      </c>
      <c r="Y136" s="13">
        <f t="shared" si="61"/>
        <v>9.0509287534626051</v>
      </c>
      <c r="Z136" s="13">
        <f t="shared" si="62"/>
        <v>9.0769418836565112</v>
      </c>
      <c r="AA136" s="13">
        <f t="shared" si="63"/>
        <v>9.0103208864265927</v>
      </c>
      <c r="AB136" s="13">
        <f t="shared" si="64"/>
        <v>9.067673462603878</v>
      </c>
      <c r="AC136" s="13">
        <f t="shared" si="65"/>
        <v>9.0879822714681442</v>
      </c>
      <c r="AD136" s="13">
        <f t="shared" si="66"/>
        <v>5.7837396121883646</v>
      </c>
      <c r="AE136" s="13">
        <f t="shared" si="67"/>
        <v>4.7501252077562341</v>
      </c>
      <c r="AF136" s="13">
        <f t="shared" si="68"/>
        <v>3.9841517451523547</v>
      </c>
      <c r="AG136" s="13">
        <f t="shared" si="69"/>
        <v>6.7929547368421055</v>
      </c>
      <c r="AH136" s="13">
        <f t="shared" si="70"/>
        <v>5.8719618282548467</v>
      </c>
      <c r="AI136" s="13">
        <f t="shared" si="71"/>
        <v>5.0675706371191147</v>
      </c>
      <c r="AJ136" s="13">
        <f t="shared" si="72"/>
        <v>7.3622943490304706</v>
      </c>
      <c r="AK136" s="13">
        <f t="shared" si="73"/>
        <v>6.617826204986148</v>
      </c>
      <c r="AL136" s="13">
        <f t="shared" si="74"/>
        <v>5.8986769529085876</v>
      </c>
      <c r="AM136" s="13">
        <f t="shared" si="75"/>
        <v>9.0809439036863431</v>
      </c>
      <c r="AN136" s="13">
        <f t="shared" si="76"/>
        <v>9.0618573961218836</v>
      </c>
      <c r="AO136" s="322">
        <f t="shared" ref="AO136:AO199" si="89">IF(AN136&gt;AQ136,AQ136-0.02,AN136)</f>
        <v>9.0618573961218836</v>
      </c>
      <c r="AP136" s="322">
        <f t="shared" ref="AP136:AP167" si="90">IF(AM136&lt;AO136,AQ136-0.01,AM136)</f>
        <v>9.0809439036863431</v>
      </c>
      <c r="AQ136" s="322">
        <f t="shared" si="78"/>
        <v>9.091106703601108</v>
      </c>
      <c r="AR136" s="324">
        <f t="shared" si="79"/>
        <v>3.8663096739825269</v>
      </c>
      <c r="AS136" s="324">
        <f t="shared" si="80"/>
        <v>4.9438181461751558</v>
      </c>
      <c r="AT136" s="324">
        <f t="shared" si="81"/>
        <v>5.7880386064351166</v>
      </c>
      <c r="AU136" s="106">
        <f t="shared" ca="1" si="82"/>
        <v>9.0618573961218836</v>
      </c>
      <c r="AV136" s="106">
        <f t="shared" ca="1" si="83"/>
        <v>9.0809439036863431</v>
      </c>
      <c r="AW136" s="106">
        <f t="shared" ca="1" si="84"/>
        <v>9.091106703601108</v>
      </c>
      <c r="AX136" s="106">
        <f t="shared" ca="1" si="85"/>
        <v>3.8663096739825269</v>
      </c>
      <c r="AY136" s="106">
        <f t="shared" ca="1" si="86"/>
        <v>4.9438181461751558</v>
      </c>
      <c r="AZ136" s="106">
        <f t="shared" ca="1" si="87"/>
        <v>5.7880386064351166</v>
      </c>
      <c r="BA136" s="145">
        <v>8.9</v>
      </c>
      <c r="BB136" s="13" cm="1">
        <f t="array" ref="BB136">INDEX(AO136:AQ136,$AI$39)</f>
        <v>9.0618573961218836</v>
      </c>
      <c r="BC136" s="13" cm="1">
        <f t="array" ref="BC136">INDEX(AR136:AT136,$AI$39)</f>
        <v>3.8663096739825269</v>
      </c>
      <c r="BD136" s="145">
        <v>8.9</v>
      </c>
      <c r="BE136" s="12"/>
      <c r="BF136" s="12"/>
      <c r="BG136" s="12"/>
      <c r="BH136" s="12"/>
      <c r="BI136" s="12"/>
      <c r="BJ136" s="12"/>
      <c r="BK136" s="12"/>
      <c r="BL136" s="12"/>
      <c r="BM136" s="12"/>
      <c r="BN136" s="12"/>
      <c r="BO136" s="12"/>
      <c r="BP136" s="12"/>
      <c r="BQ136" s="12"/>
      <c r="BR136" s="12"/>
      <c r="BS136" s="106">
        <v>12.5</v>
      </c>
      <c r="BT136" s="12" t="s">
        <v>416</v>
      </c>
      <c r="BU136" s="7" t="str">
        <f t="shared" si="50"/>
        <v>---------</v>
      </c>
      <c r="BV136" s="290">
        <v>1.75000000000003</v>
      </c>
      <c r="BW136" s="59">
        <v>127</v>
      </c>
      <c r="BX136" s="168" t="str">
        <f t="shared" si="51"/>
        <v>---------</v>
      </c>
      <c r="BY136" s="182">
        <v>5.2499999999999998E-2</v>
      </c>
      <c r="BZ136" s="185">
        <v>127</v>
      </c>
      <c r="CA136" s="184">
        <f t="shared" si="52"/>
        <v>5.2499999999999998E-2</v>
      </c>
      <c r="CF136" s="12"/>
      <c r="CG136" s="12"/>
      <c r="CH136" s="12"/>
    </row>
    <row r="137" spans="21:86">
      <c r="U137" s="13">
        <f t="shared" ref="U137:U168" si="91">$AL$47*$BA137^2+$AL$48*$BA137+$AL$49</f>
        <v>8.8047531697665224</v>
      </c>
      <c r="V137" s="13">
        <f t="shared" ref="V137:V168" si="92">$AL$50*$BA137^2+$AL$51*$BA137+$AL$52</f>
        <v>8.913499081915317</v>
      </c>
      <c r="W137" s="13">
        <f t="shared" ref="W137:W168" si="93">$AL$53*$BA137^2+$AL$54*$BA137+$AL$55</f>
        <v>8.954449584487536</v>
      </c>
      <c r="X137" s="13">
        <f t="shared" ref="X137:X168" si="94">$AM$47*$BA137^2+$AM$48*$BA137+$AM$49</f>
        <v>8.8721033399287688</v>
      </c>
      <c r="Y137" s="13">
        <f t="shared" ref="Y137:Y168" si="95">$AM$50*$BA137^2+$AM$51*$BA137+$AM$52</f>
        <v>8.9484827779976275</v>
      </c>
      <c r="Z137" s="13">
        <f t="shared" ref="Z137:Z168" si="96">$AM$53*$BA137^2+$AM$54*$BA137+$AM$55</f>
        <v>8.9758413058963207</v>
      </c>
      <c r="AA137" s="13">
        <f t="shared" ref="AA137:AA168" si="97">$AN$47*$BA137^2+$AN$48*$BA137+$AN$49</f>
        <v>8.9057875583696084</v>
      </c>
      <c r="AB137" s="13">
        <f t="shared" ref="AB137:AB168" si="98">$AN$50*$BA137^2+$AN$51*$BA137+$AN$52</f>
        <v>8.965575290858725</v>
      </c>
      <c r="AC137" s="13">
        <f t="shared" ref="AC137:AC168" si="99">$AN$53*$BA137^2+$AN$54*$BA137+$AN$55</f>
        <v>8.9869880807281355</v>
      </c>
      <c r="AD137" s="13">
        <f t="shared" ref="AD137:AD168" si="100">$AL$74*$BA137^2+$AL$75*$BA137+$AL$76</f>
        <v>5.7690833003561526</v>
      </c>
      <c r="AE137" s="13">
        <f t="shared" ref="AE137:AE168" si="101">$AL$77*$BA137^2+$AL$78*$BA137+$AL$79</f>
        <v>4.7502913415116748</v>
      </c>
      <c r="AF137" s="13">
        <f t="shared" ref="AF137:AF168" si="102">$AL$80*$BA137^2+$AL$81*$BA137+$AL$82</f>
        <v>3.9888366521567074</v>
      </c>
      <c r="AG137" s="13">
        <f t="shared" ref="AG137:AG168" si="103">$AM$74*$BA137^2+$AM$75*$BA137+$AM$76</f>
        <v>6.7542765413533825</v>
      </c>
      <c r="AH137" s="13">
        <f t="shared" ref="AH137:AH168" si="104">$AM$77*$BA137^2+$AM$78*$BA137+$AM$79</f>
        <v>5.8530761060546102</v>
      </c>
      <c r="AI137" s="13">
        <f t="shared" ref="AI137:AI168" si="105">$AM$80*$BA137^2+$AM$81*$BA137+$AM$82</f>
        <v>5.0609431816383079</v>
      </c>
      <c r="AJ137" s="13">
        <f t="shared" ref="AJ137:AJ168" si="106">$AN$74*$BA137^2+$AN$75*$BA137+$AN$76</f>
        <v>7.3082911199050269</v>
      </c>
      <c r="AK137" s="13">
        <f t="shared" ref="AK137:AK168" si="107">$AN$77*$BA137^2+$AN$78*$BA137+$AN$79</f>
        <v>6.5817679461812411</v>
      </c>
      <c r="AL137" s="13">
        <f t="shared" ref="AL137:AL168" si="108">$AN$80*$BA137^2+$AN$81*$BA137+$AN$82</f>
        <v>5.8769607756232691</v>
      </c>
      <c r="AM137" s="13">
        <f t="shared" ref="AM137:AM168" si="109">IF($AP$104&lt;=0.05,X137+($AP$104-0.05)/0.013*(Y137-X137),Y137+($AP$104-0.05)/0.013*(Z137-Y137))</f>
        <v>8.9800503101884281</v>
      </c>
      <c r="AN137" s="13">
        <f t="shared" ref="AN137:AN168" si="110">IF($AO$104&lt;=0.05,V137+($AO$104-0.05)/0.013*(V137-U137),V137+($AO$104-0.05)/0.013*(W137-V137))</f>
        <v>8.9607496618063394</v>
      </c>
      <c r="AO137" s="322">
        <f t="shared" si="89"/>
        <v>8.9607496618063394</v>
      </c>
      <c r="AP137" s="322">
        <f t="shared" si="90"/>
        <v>8.9800503101884281</v>
      </c>
      <c r="AQ137" s="322">
        <f t="shared" ref="AQ137:AQ168" si="111">IF($AQ$104&lt;=0.05,AA137+($AQ$104-0.05)/0.013*(AB137-AA137),AB137+($AQ$104-0.05)/0.013*(AC137-AB137))</f>
        <v>8.9902823560926599</v>
      </c>
      <c r="AR137" s="324">
        <f t="shared" ref="AR137:AR168" si="112">IF($AR$104&lt;=0.05,AD137+($AR$104-0.05)/0.013*(AE137-AD137),AE137+($AR$104-0.05)/0.013*(AF137-AE137))</f>
        <v>3.8716897768713276</v>
      </c>
      <c r="AS137" s="324">
        <f t="shared" ref="AS137:AS168" si="113">IF($AS$104&lt;=0.05,AG137+($AS$104-0.05)/0.013*(AH137-AG137),AH137+($AS$104-0.05)/0.013*(AI137-AH137))</f>
        <v>4.9390765778819539</v>
      </c>
      <c r="AT137" s="324">
        <f t="shared" ref="AT137:AT168" si="114">IF($AS$104&lt;=0.05,AJ137+($AS$104-0.05)/0.013*(AK137-AJ137),AK137+($AS$104-0.05)/0.013*(AL137-AK137))</f>
        <v>5.7685289032297344</v>
      </c>
      <c r="AU137" s="106">
        <f t="shared" ref="AU137:AU168" ca="1" si="115">IF((ROW(AO137)-$BG$7)&gt;105,OFFSET(AO137,-$BG$7,0),$AO$105)</f>
        <v>8.9607496618063394</v>
      </c>
      <c r="AV137" s="106">
        <f t="shared" ref="AV137:AV168" ca="1" si="116">IF((ROW(AP137)-$BG$7)&gt;105,OFFSET(AP137,-$BG$7,0),$AP$105)</f>
        <v>8.9800503101884281</v>
      </c>
      <c r="AW137" s="106">
        <f t="shared" ref="AW137:AW168" ca="1" si="117">IF((ROW(AQ137)-$BG$7)&gt;105,OFFSET(AQ137,-$BG$7,0),$AQ$105)</f>
        <v>8.9902823560926599</v>
      </c>
      <c r="AX137" s="106">
        <f t="shared" ref="AX137:AX168" ca="1" si="118">IF((ROW(AR137)-$BG$7)&gt;105,OFFSET(AR137,-$BG$7,0),$AR$105)</f>
        <v>3.8716897768713276</v>
      </c>
      <c r="AY137" s="106">
        <f t="shared" ref="AY137:AY168" ca="1" si="119">IF((ROW(AS137)-$BG$7)&gt;105,OFFSET(AS137,-$BG$7,0),$AS$105)</f>
        <v>4.9390765778819539</v>
      </c>
      <c r="AZ137" s="106">
        <f t="shared" ref="AZ137:AZ168" ca="1" si="120">IF((ROW(AT137)-$BG$7)&gt;105,OFFSET(AT137,-$BG$7,0),$AT$105)</f>
        <v>5.7685289032297344</v>
      </c>
      <c r="BA137" s="145">
        <v>8.8000000000000007</v>
      </c>
      <c r="BB137" s="13" cm="1">
        <f t="array" ref="BB137">INDEX(AO137:AQ137,$AI$39)</f>
        <v>8.9607496618063394</v>
      </c>
      <c r="BC137" s="13" cm="1">
        <f t="array" ref="BC137">INDEX(AR137:AT137,$AI$39)</f>
        <v>3.8716897768713276</v>
      </c>
      <c r="BD137" s="145">
        <v>8.8000000000000007</v>
      </c>
      <c r="BE137" s="12"/>
      <c r="BF137" s="12"/>
      <c r="BG137" s="12"/>
      <c r="BH137" s="12"/>
      <c r="BI137" s="12"/>
      <c r="BJ137" s="12"/>
      <c r="BK137" s="12"/>
      <c r="BL137" s="12"/>
      <c r="BM137" s="12"/>
      <c r="BN137" s="12"/>
      <c r="BO137" s="12"/>
      <c r="BP137" s="12"/>
      <c r="BQ137" s="12"/>
      <c r="BR137" s="12"/>
      <c r="BS137" s="106">
        <v>12.4</v>
      </c>
      <c r="BT137" s="12" t="s">
        <v>417</v>
      </c>
      <c r="BU137" s="7" t="str">
        <f t="shared" si="50"/>
        <v>---------</v>
      </c>
      <c r="BV137" s="290">
        <v>1.74000000000003</v>
      </c>
      <c r="BW137" s="59">
        <v>128</v>
      </c>
      <c r="BX137" s="168" t="str">
        <f t="shared" si="51"/>
        <v>---------</v>
      </c>
      <c r="BY137" s="182">
        <v>5.2400000000000002E-2</v>
      </c>
      <c r="BZ137" s="185">
        <v>128</v>
      </c>
      <c r="CA137" s="184">
        <f t="shared" si="52"/>
        <v>5.2400000000000002E-2</v>
      </c>
      <c r="CF137" s="12"/>
      <c r="CG137" s="12"/>
      <c r="CH137" s="12"/>
    </row>
    <row r="138" spans="21:86">
      <c r="U138" s="13">
        <f t="shared" si="91"/>
        <v>8.697901638306293</v>
      </c>
      <c r="V138" s="13">
        <f t="shared" si="92"/>
        <v>8.8104554095765746</v>
      </c>
      <c r="W138" s="13">
        <f t="shared" si="93"/>
        <v>8.8530784487534628</v>
      </c>
      <c r="X138" s="13">
        <f t="shared" si="94"/>
        <v>8.7668524891175288</v>
      </c>
      <c r="Y138" s="13">
        <f t="shared" si="95"/>
        <v>8.8460612584091809</v>
      </c>
      <c r="Z138" s="13">
        <f t="shared" si="96"/>
        <v>8.8747402136921263</v>
      </c>
      <c r="AA138" s="13">
        <f t="shared" si="97"/>
        <v>8.8013314760585661</v>
      </c>
      <c r="AB138" s="13">
        <f t="shared" si="98"/>
        <v>8.863495401662048</v>
      </c>
      <c r="AC138" s="13">
        <f t="shared" si="99"/>
        <v>8.8859940878512056</v>
      </c>
      <c r="AD138" s="13">
        <f t="shared" si="100"/>
        <v>5.7532217649386608</v>
      </c>
      <c r="AE138" s="13">
        <f t="shared" si="101"/>
        <v>4.7493451286110027</v>
      </c>
      <c r="AF138" s="13">
        <f t="shared" si="102"/>
        <v>3.992654839730907</v>
      </c>
      <c r="AG138" s="13">
        <f t="shared" si="103"/>
        <v>6.71467954887218</v>
      </c>
      <c r="AH138" s="13">
        <f t="shared" si="104"/>
        <v>5.8331436881677892</v>
      </c>
      <c r="AI138" s="13">
        <f t="shared" si="105"/>
        <v>5.0532938029283745</v>
      </c>
      <c r="AJ138" s="13">
        <f t="shared" si="106"/>
        <v>7.2535871784724968</v>
      </c>
      <c r="AK138" s="13">
        <f t="shared" si="107"/>
        <v>6.5448481519588428</v>
      </c>
      <c r="AL138" s="13">
        <f t="shared" si="108"/>
        <v>5.8542986149584486</v>
      </c>
      <c r="AM138" s="13">
        <f t="shared" si="109"/>
        <v>8.8791523606587326</v>
      </c>
      <c r="AN138" s="13">
        <f t="shared" si="110"/>
        <v>8.859635839396061</v>
      </c>
      <c r="AO138" s="322">
        <f t="shared" si="89"/>
        <v>8.859635839396061</v>
      </c>
      <c r="AP138" s="322">
        <f t="shared" si="90"/>
        <v>8.8791523606587326</v>
      </c>
      <c r="AQ138" s="322">
        <f t="shared" si="111"/>
        <v>8.8894554241879984</v>
      </c>
      <c r="AR138" s="324">
        <f t="shared" si="112"/>
        <v>3.8762409491339689</v>
      </c>
      <c r="AS138" s="324">
        <f t="shared" si="113"/>
        <v>4.9333168975069261</v>
      </c>
      <c r="AT138" s="324">
        <f t="shared" si="114"/>
        <v>5.7480602246506951</v>
      </c>
      <c r="AU138" s="106">
        <f t="shared" ca="1" si="115"/>
        <v>8.859635839396061</v>
      </c>
      <c r="AV138" s="106">
        <f t="shared" ca="1" si="116"/>
        <v>8.8791523606587326</v>
      </c>
      <c r="AW138" s="106">
        <f t="shared" ca="1" si="117"/>
        <v>8.8894554241879984</v>
      </c>
      <c r="AX138" s="106">
        <f t="shared" ca="1" si="118"/>
        <v>3.8762409491339689</v>
      </c>
      <c r="AY138" s="106">
        <f t="shared" ca="1" si="119"/>
        <v>4.9333168975069261</v>
      </c>
      <c r="AZ138" s="106">
        <f t="shared" ca="1" si="120"/>
        <v>5.7480602246506951</v>
      </c>
      <c r="BA138" s="145">
        <v>8.6999999999999993</v>
      </c>
      <c r="BB138" s="13" cm="1">
        <f t="array" ref="BB138">INDEX(AO138:AQ138,$AI$39)</f>
        <v>8.859635839396061</v>
      </c>
      <c r="BC138" s="13" cm="1">
        <f t="array" ref="BC138">INDEX(AR138:AT138,$AI$39)</f>
        <v>3.8762409491339689</v>
      </c>
      <c r="BD138" s="145">
        <v>8.6999999999999993</v>
      </c>
      <c r="BE138" s="12"/>
      <c r="BF138" s="12"/>
      <c r="BG138" s="12"/>
      <c r="BH138" s="12"/>
      <c r="BI138" s="12"/>
      <c r="BJ138" s="12"/>
      <c r="BK138" s="12"/>
      <c r="BL138" s="12"/>
      <c r="BM138" s="12"/>
      <c r="BN138" s="12"/>
      <c r="BO138" s="12"/>
      <c r="BP138" s="12"/>
      <c r="BQ138" s="12"/>
      <c r="BR138" s="12"/>
      <c r="BS138" s="106">
        <v>12.3</v>
      </c>
      <c r="BT138" s="12" t="s">
        <v>418</v>
      </c>
      <c r="BU138" s="7" t="str">
        <f t="shared" si="50"/>
        <v>---------</v>
      </c>
      <c r="BV138" s="290">
        <v>1.73000000000003</v>
      </c>
      <c r="BW138" s="59">
        <v>129</v>
      </c>
      <c r="BX138" s="168" t="str">
        <f t="shared" si="51"/>
        <v>---------</v>
      </c>
      <c r="BY138" s="182">
        <v>5.2299999999999999E-2</v>
      </c>
      <c r="BZ138" s="185">
        <v>129</v>
      </c>
      <c r="CA138" s="184">
        <f t="shared" si="52"/>
        <v>5.2299999999999999E-2</v>
      </c>
      <c r="CF138" s="12"/>
      <c r="CG138" s="12"/>
      <c r="CH138" s="12"/>
    </row>
    <row r="139" spans="21:86">
      <c r="U139" s="13">
        <f t="shared" si="91"/>
        <v>8.5912023031262361</v>
      </c>
      <c r="V139" s="13">
        <f t="shared" si="92"/>
        <v>8.7074471547289285</v>
      </c>
      <c r="W139" s="13">
        <f t="shared" si="93"/>
        <v>8.7517067590027704</v>
      </c>
      <c r="X139" s="13">
        <f t="shared" si="94"/>
        <v>8.6617037356549265</v>
      </c>
      <c r="Y139" s="13">
        <f t="shared" si="95"/>
        <v>8.7436641946972706</v>
      </c>
      <c r="Z139" s="13">
        <f t="shared" si="96"/>
        <v>8.7736386070439263</v>
      </c>
      <c r="AA139" s="13">
        <f t="shared" si="97"/>
        <v>8.6969526394934711</v>
      </c>
      <c r="AB139" s="13">
        <f t="shared" si="98"/>
        <v>8.7614337950138506</v>
      </c>
      <c r="AC139" s="13">
        <f t="shared" si="99"/>
        <v>8.7850002928373545</v>
      </c>
      <c r="AD139" s="13">
        <f t="shared" si="100"/>
        <v>5.7361550059358919</v>
      </c>
      <c r="AE139" s="13">
        <f t="shared" si="101"/>
        <v>4.7472865690542143</v>
      </c>
      <c r="AF139" s="13">
        <f t="shared" si="102"/>
        <v>3.9956063078749509</v>
      </c>
      <c r="AG139" s="13">
        <f t="shared" si="103"/>
        <v>6.6741637593984962</v>
      </c>
      <c r="AH139" s="13">
        <f t="shared" si="104"/>
        <v>5.8121645745943802</v>
      </c>
      <c r="AI139" s="13">
        <f t="shared" si="105"/>
        <v>5.0446225009893162</v>
      </c>
      <c r="AJ139" s="13">
        <f t="shared" si="106"/>
        <v>7.1981825247328839</v>
      </c>
      <c r="AK139" s="13">
        <f t="shared" si="107"/>
        <v>6.5070668223189552</v>
      </c>
      <c r="AL139" s="13">
        <f t="shared" si="108"/>
        <v>5.8306904709141278</v>
      </c>
      <c r="AM139" s="13">
        <f t="shared" si="109"/>
        <v>8.7782500550972582</v>
      </c>
      <c r="AN139" s="13">
        <f t="shared" si="110"/>
        <v>8.7585159288910539</v>
      </c>
      <c r="AO139" s="322">
        <f t="shared" si="89"/>
        <v>8.7585159288910539</v>
      </c>
      <c r="AP139" s="322">
        <f t="shared" si="90"/>
        <v>8.7782500550972582</v>
      </c>
      <c r="AQ139" s="322">
        <f t="shared" si="111"/>
        <v>8.7886259078871252</v>
      </c>
      <c r="AR139" s="324">
        <f t="shared" si="112"/>
        <v>3.8799631907704488</v>
      </c>
      <c r="AS139" s="324">
        <f t="shared" si="113"/>
        <v>4.9265391050500753</v>
      </c>
      <c r="AT139" s="324">
        <f t="shared" si="114"/>
        <v>5.7266325706980004</v>
      </c>
      <c r="AU139" s="106">
        <f t="shared" ca="1" si="115"/>
        <v>8.7585159288910539</v>
      </c>
      <c r="AV139" s="106">
        <f t="shared" ca="1" si="116"/>
        <v>8.7782500550972582</v>
      </c>
      <c r="AW139" s="106">
        <f t="shared" ca="1" si="117"/>
        <v>8.7886259078871252</v>
      </c>
      <c r="AX139" s="106">
        <f t="shared" ca="1" si="118"/>
        <v>3.8799631907704488</v>
      </c>
      <c r="AY139" s="106">
        <f t="shared" ca="1" si="119"/>
        <v>4.9265391050500753</v>
      </c>
      <c r="AZ139" s="106">
        <f t="shared" ca="1" si="120"/>
        <v>5.7266325706980004</v>
      </c>
      <c r="BA139" s="145">
        <v>8.6</v>
      </c>
      <c r="BB139" s="13" cm="1">
        <f t="array" ref="BB139">INDEX(AO139:AQ139,$AI$39)</f>
        <v>8.7585159288910539</v>
      </c>
      <c r="BC139" s="13" cm="1">
        <f t="array" ref="BC139">INDEX(AR139:AT139,$AI$39)</f>
        <v>3.8799631907704488</v>
      </c>
      <c r="BD139" s="145">
        <v>8.6</v>
      </c>
      <c r="BE139" s="12"/>
      <c r="BF139" s="12"/>
      <c r="BG139" s="12"/>
      <c r="BH139" s="12"/>
      <c r="BI139" s="12"/>
      <c r="BJ139" s="12"/>
      <c r="BK139" s="12"/>
      <c r="BL139" s="12"/>
      <c r="BM139" s="12"/>
      <c r="BN139" s="12"/>
      <c r="BO139" s="12"/>
      <c r="BP139" s="12"/>
      <c r="BQ139" s="12"/>
      <c r="BR139" s="12"/>
      <c r="BS139" s="106">
        <v>12.2</v>
      </c>
      <c r="BT139" s="12" t="s">
        <v>419</v>
      </c>
      <c r="BU139" s="7" t="str">
        <f t="shared" ref="BU139:BU202" si="121">IF(Cntrl1&lt;=3,"---------",TEXT(BS139,"0.0"))</f>
        <v>---------</v>
      </c>
      <c r="BV139" s="290">
        <v>1.7200000000000299</v>
      </c>
      <c r="BW139" s="59">
        <v>130</v>
      </c>
      <c r="BX139" s="168" t="str">
        <f t="shared" ref="BX139:BX202" si="122">IF(Cntrl1&lt;=2,"---------",TEXT(BV139,"0.00"))</f>
        <v>---------</v>
      </c>
      <c r="BY139" s="182">
        <v>5.2200000000000003E-2</v>
      </c>
      <c r="BZ139" s="185">
        <v>130</v>
      </c>
      <c r="CA139" s="184">
        <f t="shared" ref="CA139:CA202" si="123">BY139</f>
        <v>5.2200000000000003E-2</v>
      </c>
      <c r="CF139" s="12"/>
      <c r="CG139" s="12"/>
      <c r="CH139" s="12"/>
    </row>
    <row r="140" spans="21:86">
      <c r="U140" s="13">
        <f t="shared" si="91"/>
        <v>8.484655164226357</v>
      </c>
      <c r="V140" s="13">
        <f t="shared" si="92"/>
        <v>8.6044743173723806</v>
      </c>
      <c r="W140" s="13">
        <f t="shared" si="93"/>
        <v>8.6503345152354569</v>
      </c>
      <c r="X140" s="13">
        <f t="shared" si="94"/>
        <v>8.5566570795409564</v>
      </c>
      <c r="Y140" s="13">
        <f t="shared" si="95"/>
        <v>8.6412915868618931</v>
      </c>
      <c r="Z140" s="13">
        <f t="shared" si="96"/>
        <v>8.6725364859517207</v>
      </c>
      <c r="AA140" s="13">
        <f t="shared" si="97"/>
        <v>8.5926510486743179</v>
      </c>
      <c r="AB140" s="13">
        <f t="shared" si="98"/>
        <v>8.6593904709141256</v>
      </c>
      <c r="AC140" s="13">
        <f t="shared" si="99"/>
        <v>8.684006695686584</v>
      </c>
      <c r="AD140" s="13">
        <f t="shared" si="100"/>
        <v>5.7178830233478424</v>
      </c>
      <c r="AE140" s="13">
        <f t="shared" si="101"/>
        <v>4.7441156628413133</v>
      </c>
      <c r="AF140" s="13">
        <f t="shared" si="102"/>
        <v>3.9976910565888408</v>
      </c>
      <c r="AG140" s="13">
        <f t="shared" si="103"/>
        <v>6.632729172932331</v>
      </c>
      <c r="AH140" s="13">
        <f t="shared" si="104"/>
        <v>5.7901387653343885</v>
      </c>
      <c r="AI140" s="13">
        <f t="shared" si="105"/>
        <v>5.034929275821133</v>
      </c>
      <c r="AJ140" s="13">
        <f t="shared" si="106"/>
        <v>7.1420771586861891</v>
      </c>
      <c r="AK140" s="13">
        <f t="shared" si="107"/>
        <v>6.4684239572615745</v>
      </c>
      <c r="AL140" s="13">
        <f t="shared" si="108"/>
        <v>5.8061363434903051</v>
      </c>
      <c r="AM140" s="13">
        <f t="shared" si="109"/>
        <v>8.6773433935040014</v>
      </c>
      <c r="AN140" s="13">
        <f t="shared" si="110"/>
        <v>8.6573899302913144</v>
      </c>
      <c r="AO140" s="322">
        <f t="shared" si="89"/>
        <v>8.6573899302913144</v>
      </c>
      <c r="AP140" s="322">
        <f t="shared" si="90"/>
        <v>8.6773433935040014</v>
      </c>
      <c r="AQ140" s="322">
        <f t="shared" si="111"/>
        <v>8.6877938071900385</v>
      </c>
      <c r="AR140" s="324">
        <f t="shared" si="112"/>
        <v>3.8828565017807679</v>
      </c>
      <c r="AS140" s="324">
        <f t="shared" si="113"/>
        <v>4.9187432005114013</v>
      </c>
      <c r="AT140" s="324">
        <f t="shared" si="114"/>
        <v>5.7042459413716484</v>
      </c>
      <c r="AU140" s="106">
        <f t="shared" ca="1" si="115"/>
        <v>8.6573899302913144</v>
      </c>
      <c r="AV140" s="106">
        <f t="shared" ca="1" si="116"/>
        <v>8.6773433935040014</v>
      </c>
      <c r="AW140" s="106">
        <f t="shared" ca="1" si="117"/>
        <v>8.6877938071900385</v>
      </c>
      <c r="AX140" s="106">
        <f t="shared" ca="1" si="118"/>
        <v>3.8828565017807679</v>
      </c>
      <c r="AY140" s="106">
        <f t="shared" ca="1" si="119"/>
        <v>4.9187432005114013</v>
      </c>
      <c r="AZ140" s="106">
        <f t="shared" ca="1" si="120"/>
        <v>5.7042459413716484</v>
      </c>
      <c r="BA140" s="145">
        <v>8.5</v>
      </c>
      <c r="BB140" s="13" cm="1">
        <f t="array" ref="BB140">INDEX(AO140:AQ140,$AI$39)</f>
        <v>8.6573899302913144</v>
      </c>
      <c r="BC140" s="13" cm="1">
        <f t="array" ref="BC140">INDEX(AR140:AT140,$AI$39)</f>
        <v>3.8828565017807679</v>
      </c>
      <c r="BD140" s="145">
        <v>8.5</v>
      </c>
      <c r="BE140" s="12"/>
      <c r="BF140" s="12"/>
      <c r="BG140" s="12"/>
      <c r="BH140" s="12"/>
      <c r="BI140" s="12"/>
      <c r="BJ140" s="12"/>
      <c r="BK140" s="12"/>
      <c r="BL140" s="12"/>
      <c r="BM140" s="12"/>
      <c r="BN140" s="12"/>
      <c r="BO140" s="12"/>
      <c r="BP140" s="12"/>
      <c r="BQ140" s="12"/>
      <c r="BR140" s="12"/>
      <c r="BS140" s="106">
        <v>12.1</v>
      </c>
      <c r="BT140" s="12" t="s">
        <v>420</v>
      </c>
      <c r="BU140" s="7" t="str">
        <f t="shared" si="121"/>
        <v>---------</v>
      </c>
      <c r="BV140" s="290">
        <v>1.7100000000000299</v>
      </c>
      <c r="BW140" s="59">
        <v>131</v>
      </c>
      <c r="BX140" s="168" t="str">
        <f t="shared" si="122"/>
        <v>---------</v>
      </c>
      <c r="BY140" s="182">
        <v>5.21E-2</v>
      </c>
      <c r="BZ140" s="185">
        <v>131</v>
      </c>
      <c r="CA140" s="184">
        <f t="shared" si="123"/>
        <v>5.21E-2</v>
      </c>
      <c r="CF140" s="12"/>
      <c r="CG140" s="12"/>
      <c r="CH140" s="12"/>
    </row>
    <row r="141" spans="21:86">
      <c r="U141" s="13">
        <f t="shared" si="91"/>
        <v>8.3782602216066486</v>
      </c>
      <c r="V141" s="13">
        <f t="shared" si="92"/>
        <v>8.5015368975069272</v>
      </c>
      <c r="W141" s="13">
        <f t="shared" si="93"/>
        <v>8.5489617174515242</v>
      </c>
      <c r="X141" s="13">
        <f t="shared" si="94"/>
        <v>8.4517125207756223</v>
      </c>
      <c r="Y141" s="13">
        <f t="shared" si="95"/>
        <v>8.5389434349030484</v>
      </c>
      <c r="Z141" s="13">
        <f t="shared" si="96"/>
        <v>8.571433850415513</v>
      </c>
      <c r="AA141" s="13">
        <f t="shared" si="97"/>
        <v>8.4884267036011067</v>
      </c>
      <c r="AB141" s="13">
        <f t="shared" si="98"/>
        <v>8.5573654293628802</v>
      </c>
      <c r="AC141" s="13">
        <f t="shared" si="99"/>
        <v>8.5830132963988905</v>
      </c>
      <c r="AD141" s="13">
        <f t="shared" si="100"/>
        <v>5.6984058171745149</v>
      </c>
      <c r="AE141" s="13">
        <f t="shared" si="101"/>
        <v>4.7398324099722995</v>
      </c>
      <c r="AF141" s="13">
        <f t="shared" si="102"/>
        <v>3.9989090858725769</v>
      </c>
      <c r="AG141" s="13">
        <f t="shared" si="103"/>
        <v>6.5903757894736845</v>
      </c>
      <c r="AH141" s="13">
        <f t="shared" si="104"/>
        <v>5.7670662603878107</v>
      </c>
      <c r="AI141" s="13">
        <f t="shared" si="105"/>
        <v>5.0242141274238232</v>
      </c>
      <c r="AJ141" s="13">
        <f t="shared" si="106"/>
        <v>7.0852710803324097</v>
      </c>
      <c r="AK141" s="13">
        <f t="shared" si="107"/>
        <v>6.4289195567867026</v>
      </c>
      <c r="AL141" s="13">
        <f t="shared" si="108"/>
        <v>5.7806362326869802</v>
      </c>
      <c r="AM141" s="13">
        <f t="shared" si="109"/>
        <v>8.5764323758789693</v>
      </c>
      <c r="AN141" s="13">
        <f t="shared" si="110"/>
        <v>8.5562578435968462</v>
      </c>
      <c r="AO141" s="322">
        <f t="shared" si="89"/>
        <v>8.5562578435968462</v>
      </c>
      <c r="AP141" s="322">
        <f t="shared" si="90"/>
        <v>8.5764323758789693</v>
      </c>
      <c r="AQ141" s="322">
        <f t="shared" si="111"/>
        <v>8.5869591220967383</v>
      </c>
      <c r="AR141" s="324">
        <f t="shared" si="112"/>
        <v>3.884920882164927</v>
      </c>
      <c r="AS141" s="324">
        <f t="shared" si="113"/>
        <v>4.9099291838909025</v>
      </c>
      <c r="AT141" s="324">
        <f t="shared" si="114"/>
        <v>5.6809003366716384</v>
      </c>
      <c r="AU141" s="106">
        <f t="shared" ca="1" si="115"/>
        <v>8.5562578435968462</v>
      </c>
      <c r="AV141" s="106">
        <f t="shared" ca="1" si="116"/>
        <v>8.5764323758789693</v>
      </c>
      <c r="AW141" s="106">
        <f t="shared" ca="1" si="117"/>
        <v>8.5869591220967383</v>
      </c>
      <c r="AX141" s="106">
        <f t="shared" ca="1" si="118"/>
        <v>3.884920882164927</v>
      </c>
      <c r="AY141" s="106">
        <f t="shared" ca="1" si="119"/>
        <v>4.9099291838909025</v>
      </c>
      <c r="AZ141" s="106">
        <f t="shared" ca="1" si="120"/>
        <v>5.6809003366716384</v>
      </c>
      <c r="BA141" s="145">
        <v>8.4</v>
      </c>
      <c r="BB141" s="13" cm="1">
        <f t="array" ref="BB141">INDEX(AO141:AQ141,$AI$39)</f>
        <v>8.5562578435968462</v>
      </c>
      <c r="BC141" s="13" cm="1">
        <f t="array" ref="BC141">INDEX(AR141:AT141,$AI$39)</f>
        <v>3.884920882164927</v>
      </c>
      <c r="BD141" s="145">
        <v>8.4</v>
      </c>
      <c r="BE141" s="12"/>
      <c r="BF141" s="12"/>
      <c r="BG141" s="12"/>
      <c r="BH141" s="12"/>
      <c r="BI141" s="12"/>
      <c r="BJ141" s="12"/>
      <c r="BK141" s="12"/>
      <c r="BL141" s="12"/>
      <c r="BM141" s="12"/>
      <c r="BN141" s="12"/>
      <c r="BO141" s="12"/>
      <c r="BP141" s="12"/>
      <c r="BQ141" s="12"/>
      <c r="BR141" s="12"/>
      <c r="BS141" s="106">
        <v>12</v>
      </c>
      <c r="BT141" s="12" t="s">
        <v>421</v>
      </c>
      <c r="BU141" s="7" t="str">
        <f t="shared" si="121"/>
        <v>---------</v>
      </c>
      <c r="BV141" s="290">
        <v>1.7000000000000299</v>
      </c>
      <c r="BW141" s="59">
        <v>132</v>
      </c>
      <c r="BX141" s="168" t="str">
        <f t="shared" si="122"/>
        <v>---------</v>
      </c>
      <c r="BY141" s="182">
        <v>5.1999999999999998E-2</v>
      </c>
      <c r="BZ141" s="185">
        <v>132</v>
      </c>
      <c r="CA141" s="184">
        <f t="shared" si="123"/>
        <v>5.1999999999999998E-2</v>
      </c>
      <c r="CF141" s="12"/>
      <c r="CG141" s="12"/>
      <c r="CH141" s="12"/>
    </row>
    <row r="142" spans="21:86">
      <c r="U142" s="13">
        <f t="shared" si="91"/>
        <v>8.2720174752671163</v>
      </c>
      <c r="V142" s="13">
        <f t="shared" si="92"/>
        <v>8.3986348951325702</v>
      </c>
      <c r="W142" s="13">
        <f t="shared" si="93"/>
        <v>8.4475883656509705</v>
      </c>
      <c r="X142" s="13">
        <f t="shared" si="94"/>
        <v>8.3468700593589222</v>
      </c>
      <c r="Y142" s="13">
        <f t="shared" si="95"/>
        <v>8.4366197388207382</v>
      </c>
      <c r="Z142" s="13">
        <f t="shared" si="96"/>
        <v>8.4703307004352997</v>
      </c>
      <c r="AA142" s="13">
        <f t="shared" si="97"/>
        <v>8.3842796042738428</v>
      </c>
      <c r="AB142" s="13">
        <f t="shared" si="98"/>
        <v>8.4553586703601109</v>
      </c>
      <c r="AC142" s="13">
        <f t="shared" si="99"/>
        <v>8.4820200949742777</v>
      </c>
      <c r="AD142" s="13">
        <f t="shared" si="100"/>
        <v>5.6777233874159068</v>
      </c>
      <c r="AE142" s="13">
        <f t="shared" si="101"/>
        <v>4.7344368104471695</v>
      </c>
      <c r="AF142" s="13">
        <f t="shared" si="102"/>
        <v>3.9992603957261581</v>
      </c>
      <c r="AG142" s="13">
        <f t="shared" si="103"/>
        <v>6.5471036090225567</v>
      </c>
      <c r="AH142" s="13">
        <f t="shared" si="104"/>
        <v>5.7429470597546484</v>
      </c>
      <c r="AI142" s="13">
        <f t="shared" si="105"/>
        <v>5.0124770557973886</v>
      </c>
      <c r="AJ142" s="13">
        <f t="shared" si="106"/>
        <v>7.0277642896715475</v>
      </c>
      <c r="AK142" s="13">
        <f t="shared" si="107"/>
        <v>6.3885536208943403</v>
      </c>
      <c r="AL142" s="13">
        <f t="shared" si="108"/>
        <v>5.7541901385041552</v>
      </c>
      <c r="AM142" s="13">
        <f t="shared" si="109"/>
        <v>8.4755170022221549</v>
      </c>
      <c r="AN142" s="13">
        <f t="shared" si="110"/>
        <v>8.4551196688076473</v>
      </c>
      <c r="AO142" s="322">
        <f t="shared" si="89"/>
        <v>8.4551196688076473</v>
      </c>
      <c r="AP142" s="322">
        <f t="shared" si="90"/>
        <v>8.4755170022221549</v>
      </c>
      <c r="AQ142" s="322">
        <f t="shared" si="111"/>
        <v>8.4861218526072264</v>
      </c>
      <c r="AR142" s="324">
        <f t="shared" si="112"/>
        <v>3.8861563319229253</v>
      </c>
      <c r="AS142" s="324">
        <f t="shared" si="113"/>
        <v>4.9000970551885796</v>
      </c>
      <c r="AT142" s="324">
        <f t="shared" si="114"/>
        <v>5.656595756597973</v>
      </c>
      <c r="AU142" s="106">
        <f t="shared" ca="1" si="115"/>
        <v>8.4551196688076473</v>
      </c>
      <c r="AV142" s="106">
        <f t="shared" ca="1" si="116"/>
        <v>8.4755170022221549</v>
      </c>
      <c r="AW142" s="106">
        <f t="shared" ca="1" si="117"/>
        <v>8.4861218526072264</v>
      </c>
      <c r="AX142" s="106">
        <f t="shared" ca="1" si="118"/>
        <v>3.8861563319229253</v>
      </c>
      <c r="AY142" s="106">
        <f t="shared" ca="1" si="119"/>
        <v>4.9000970551885796</v>
      </c>
      <c r="AZ142" s="106">
        <f t="shared" ca="1" si="120"/>
        <v>5.656595756597973</v>
      </c>
      <c r="BA142" s="145">
        <v>8.3000000000000007</v>
      </c>
      <c r="BB142" s="13" cm="1">
        <f t="array" ref="BB142">INDEX(AO142:AQ142,$AI$39)</f>
        <v>8.4551196688076473</v>
      </c>
      <c r="BC142" s="13" cm="1">
        <f t="array" ref="BC142">INDEX(AR142:AT142,$AI$39)</f>
        <v>3.8861563319229253</v>
      </c>
      <c r="BD142" s="145">
        <v>8.3000000000000007</v>
      </c>
      <c r="BE142" s="12"/>
      <c r="BF142" s="12"/>
      <c r="BG142" s="12"/>
      <c r="BH142" s="12"/>
      <c r="BI142" s="12"/>
      <c r="BJ142" s="12"/>
      <c r="BK142" s="12"/>
      <c r="BL142" s="12"/>
      <c r="BM142" s="12"/>
      <c r="BN142" s="12"/>
      <c r="BO142" s="12"/>
      <c r="BP142" s="12"/>
      <c r="BQ142" s="12"/>
      <c r="BR142" s="12"/>
      <c r="BS142" s="106">
        <v>11.9</v>
      </c>
      <c r="BT142" s="12" t="s">
        <v>422</v>
      </c>
      <c r="BU142" s="7" t="str">
        <f t="shared" si="121"/>
        <v>---------</v>
      </c>
      <c r="BV142" s="290">
        <v>1.6900000000000299</v>
      </c>
      <c r="BW142" s="59">
        <v>133</v>
      </c>
      <c r="BX142" s="168" t="str">
        <f t="shared" si="122"/>
        <v>---------</v>
      </c>
      <c r="BY142" s="182">
        <v>5.1900000000000002E-2</v>
      </c>
      <c r="BZ142" s="185">
        <v>133</v>
      </c>
      <c r="CA142" s="184">
        <f t="shared" si="123"/>
        <v>5.1900000000000002E-2</v>
      </c>
      <c r="CF142" s="12"/>
      <c r="CG142" s="12"/>
      <c r="CH142" s="12"/>
    </row>
    <row r="143" spans="21:86">
      <c r="U143" s="13">
        <f t="shared" si="91"/>
        <v>8.1659269252077564</v>
      </c>
      <c r="V143" s="13">
        <f t="shared" si="92"/>
        <v>8.2957683102493078</v>
      </c>
      <c r="W143" s="13">
        <f t="shared" si="93"/>
        <v>8.3462144598337957</v>
      </c>
      <c r="X143" s="13">
        <f t="shared" si="94"/>
        <v>8.2421296952908563</v>
      </c>
      <c r="Y143" s="13">
        <f t="shared" si="95"/>
        <v>8.334320498614959</v>
      </c>
      <c r="Z143" s="13">
        <f t="shared" si="96"/>
        <v>8.369227036011079</v>
      </c>
      <c r="AA143" s="13">
        <f t="shared" si="97"/>
        <v>8.280209750692519</v>
      </c>
      <c r="AB143" s="13">
        <f t="shared" si="98"/>
        <v>8.3533701939058158</v>
      </c>
      <c r="AC143" s="13">
        <f t="shared" si="99"/>
        <v>8.38102709141274</v>
      </c>
      <c r="AD143" s="13">
        <f t="shared" si="100"/>
        <v>5.6558357340720198</v>
      </c>
      <c r="AE143" s="13">
        <f t="shared" si="101"/>
        <v>4.7279288642659267</v>
      </c>
      <c r="AF143" s="13">
        <f t="shared" si="102"/>
        <v>3.9987449861495845</v>
      </c>
      <c r="AG143" s="13">
        <f t="shared" si="103"/>
        <v>6.5029126315789476</v>
      </c>
      <c r="AH143" s="13">
        <f t="shared" si="104"/>
        <v>5.7177811634349034</v>
      </c>
      <c r="AI143" s="13">
        <f t="shared" si="105"/>
        <v>4.999718060941829</v>
      </c>
      <c r="AJ143" s="13">
        <f t="shared" si="106"/>
        <v>6.9695567867035999</v>
      </c>
      <c r="AK143" s="13">
        <f t="shared" si="107"/>
        <v>6.3473261495844877</v>
      </c>
      <c r="AL143" s="13">
        <f t="shared" si="108"/>
        <v>5.7267980609418281</v>
      </c>
      <c r="AM143" s="13">
        <f t="shared" si="109"/>
        <v>8.3745972725335598</v>
      </c>
      <c r="AN143" s="13">
        <f t="shared" si="110"/>
        <v>8.3539754059237161</v>
      </c>
      <c r="AO143" s="322">
        <f t="shared" si="89"/>
        <v>8.3539754059237161</v>
      </c>
      <c r="AP143" s="322">
        <f t="shared" si="90"/>
        <v>8.3745972725335598</v>
      </c>
      <c r="AQ143" s="322">
        <f t="shared" si="111"/>
        <v>8.3852819987214975</v>
      </c>
      <c r="AR143" s="324">
        <f t="shared" si="112"/>
        <v>3.8865628510547623</v>
      </c>
      <c r="AS143" s="324">
        <f t="shared" si="113"/>
        <v>4.8892468144044328</v>
      </c>
      <c r="AT143" s="324">
        <f t="shared" si="114"/>
        <v>5.6313322011506495</v>
      </c>
      <c r="AU143" s="106">
        <f t="shared" ca="1" si="115"/>
        <v>8.3539754059237161</v>
      </c>
      <c r="AV143" s="106">
        <f t="shared" ca="1" si="116"/>
        <v>8.3745972725335598</v>
      </c>
      <c r="AW143" s="106">
        <f t="shared" ca="1" si="117"/>
        <v>8.3852819987214975</v>
      </c>
      <c r="AX143" s="106">
        <f t="shared" ca="1" si="118"/>
        <v>3.8865628510547623</v>
      </c>
      <c r="AY143" s="106">
        <f t="shared" ca="1" si="119"/>
        <v>4.8892468144044328</v>
      </c>
      <c r="AZ143" s="106">
        <f t="shared" ca="1" si="120"/>
        <v>5.6313322011506495</v>
      </c>
      <c r="BA143" s="145">
        <v>8.1999999999999993</v>
      </c>
      <c r="BB143" s="13" cm="1">
        <f t="array" ref="BB143">INDEX(AO143:AQ143,$AI$39)</f>
        <v>8.3539754059237161</v>
      </c>
      <c r="BC143" s="13" cm="1">
        <f t="array" ref="BC143">INDEX(AR143:AT143,$AI$39)</f>
        <v>3.8865628510547623</v>
      </c>
      <c r="BD143" s="145">
        <v>8.1999999999999993</v>
      </c>
      <c r="BE143" s="12"/>
      <c r="BF143" s="12"/>
      <c r="BG143" s="12"/>
      <c r="BH143" s="12"/>
      <c r="BI143" s="12"/>
      <c r="BJ143" s="12"/>
      <c r="BK143" s="12"/>
      <c r="BL143" s="12"/>
      <c r="BM143" s="12"/>
      <c r="BN143" s="12"/>
      <c r="BO143" s="12"/>
      <c r="BP143" s="12"/>
      <c r="BQ143" s="12"/>
      <c r="BR143" s="12"/>
      <c r="BS143" s="106">
        <v>11.8</v>
      </c>
      <c r="BT143" s="12" t="s">
        <v>423</v>
      </c>
      <c r="BU143" s="7" t="str">
        <f t="shared" si="121"/>
        <v>---------</v>
      </c>
      <c r="BV143" s="290">
        <v>1.6800000000000299</v>
      </c>
      <c r="BW143" s="59">
        <v>134</v>
      </c>
      <c r="BX143" s="168" t="str">
        <f t="shared" si="122"/>
        <v>---------</v>
      </c>
      <c r="BY143" s="182">
        <v>5.1799999999999999E-2</v>
      </c>
      <c r="BZ143" s="185">
        <v>134</v>
      </c>
      <c r="CA143" s="184">
        <f t="shared" si="123"/>
        <v>5.1799999999999999E-2</v>
      </c>
      <c r="CF143" s="12"/>
      <c r="CG143" s="12"/>
      <c r="CH143" s="12"/>
    </row>
    <row r="144" spans="21:86">
      <c r="U144" s="13">
        <f t="shared" si="91"/>
        <v>8.0599885714285708</v>
      </c>
      <c r="V144" s="13">
        <f t="shared" si="92"/>
        <v>8.1929371428571436</v>
      </c>
      <c r="W144" s="13">
        <f t="shared" si="93"/>
        <v>8.2448399999999999</v>
      </c>
      <c r="X144" s="13">
        <f t="shared" si="94"/>
        <v>8.1374914285714279</v>
      </c>
      <c r="Y144" s="13">
        <f t="shared" si="95"/>
        <v>8.2320457142857144</v>
      </c>
      <c r="Z144" s="13">
        <f t="shared" si="96"/>
        <v>8.268122857142858</v>
      </c>
      <c r="AA144" s="13">
        <f t="shared" si="97"/>
        <v>8.1762171428571424</v>
      </c>
      <c r="AB144" s="13">
        <f t="shared" si="98"/>
        <v>8.2513999999999985</v>
      </c>
      <c r="AC144" s="13">
        <f t="shared" si="99"/>
        <v>8.2800342857142848</v>
      </c>
      <c r="AD144" s="13">
        <f t="shared" si="100"/>
        <v>5.6327428571428566</v>
      </c>
      <c r="AE144" s="13">
        <f t="shared" si="101"/>
        <v>4.7203085714285713</v>
      </c>
      <c r="AF144" s="13">
        <f t="shared" si="102"/>
        <v>3.997362857142857</v>
      </c>
      <c r="AG144" s="13">
        <f t="shared" si="103"/>
        <v>6.4578028571428572</v>
      </c>
      <c r="AH144" s="13">
        <f t="shared" si="104"/>
        <v>5.6915685714285722</v>
      </c>
      <c r="AI144" s="13">
        <f t="shared" si="105"/>
        <v>4.9859371428571428</v>
      </c>
      <c r="AJ144" s="13">
        <f t="shared" si="106"/>
        <v>6.9106485714285721</v>
      </c>
      <c r="AK144" s="13">
        <f t="shared" si="107"/>
        <v>6.305237142857143</v>
      </c>
      <c r="AL144" s="13">
        <f t="shared" si="108"/>
        <v>5.698459999999999</v>
      </c>
      <c r="AM144" s="13">
        <f t="shared" si="109"/>
        <v>8.2736731868131876</v>
      </c>
      <c r="AN144" s="13">
        <f t="shared" si="110"/>
        <v>8.2528250549450544</v>
      </c>
      <c r="AO144" s="322">
        <f t="shared" si="89"/>
        <v>8.2528250549450544</v>
      </c>
      <c r="AP144" s="322">
        <f t="shared" si="90"/>
        <v>8.2736731868131876</v>
      </c>
      <c r="AQ144" s="322">
        <f t="shared" si="111"/>
        <v>8.2844395604395604</v>
      </c>
      <c r="AR144" s="324">
        <f t="shared" si="112"/>
        <v>3.8861404395604393</v>
      </c>
      <c r="AS144" s="324">
        <f t="shared" si="113"/>
        <v>4.877378461538461</v>
      </c>
      <c r="AT144" s="324">
        <f t="shared" si="114"/>
        <v>5.6051096703296688</v>
      </c>
      <c r="AU144" s="106">
        <f t="shared" ca="1" si="115"/>
        <v>8.2528250549450544</v>
      </c>
      <c r="AV144" s="106">
        <f t="shared" ca="1" si="116"/>
        <v>8.2736731868131876</v>
      </c>
      <c r="AW144" s="106">
        <f t="shared" ca="1" si="117"/>
        <v>8.2844395604395604</v>
      </c>
      <c r="AX144" s="106">
        <f t="shared" ca="1" si="118"/>
        <v>3.8861404395604393</v>
      </c>
      <c r="AY144" s="106">
        <f t="shared" ca="1" si="119"/>
        <v>4.877378461538461</v>
      </c>
      <c r="AZ144" s="106">
        <f t="shared" ca="1" si="120"/>
        <v>5.6051096703296688</v>
      </c>
      <c r="BA144" s="145">
        <v>8.1</v>
      </c>
      <c r="BB144" s="13" cm="1">
        <f t="array" ref="BB144">INDEX(AO144:AQ144,$AI$39)</f>
        <v>8.2528250549450544</v>
      </c>
      <c r="BC144" s="13" cm="1">
        <f t="array" ref="BC144">INDEX(AR144:AT144,$AI$39)</f>
        <v>3.8861404395604393</v>
      </c>
      <c r="BD144" s="145">
        <v>8.1</v>
      </c>
      <c r="BE144" s="12"/>
      <c r="BF144" s="12"/>
      <c r="BG144" s="12"/>
      <c r="BH144" s="12"/>
      <c r="BI144" s="12"/>
      <c r="BJ144" s="12"/>
      <c r="BK144" s="12"/>
      <c r="BL144" s="12"/>
      <c r="BM144" s="12"/>
      <c r="BN144" s="12"/>
      <c r="BO144" s="12"/>
      <c r="BP144" s="12"/>
      <c r="BQ144" s="12"/>
      <c r="BR144" s="12"/>
      <c r="BS144" s="106">
        <v>11.7</v>
      </c>
      <c r="BT144" s="12" t="s">
        <v>424</v>
      </c>
      <c r="BU144" s="7" t="str">
        <f t="shared" si="121"/>
        <v>---------</v>
      </c>
      <c r="BV144" s="290">
        <v>1.6700000000000299</v>
      </c>
      <c r="BW144" s="59">
        <v>135</v>
      </c>
      <c r="BX144" s="168" t="str">
        <f t="shared" si="122"/>
        <v>---------</v>
      </c>
      <c r="BY144" s="182">
        <v>5.1700000000000003E-2</v>
      </c>
      <c r="BZ144" s="185">
        <v>135</v>
      </c>
      <c r="CA144" s="184">
        <f t="shared" si="123"/>
        <v>5.1700000000000003E-2</v>
      </c>
      <c r="CF144" s="12"/>
      <c r="CG144" s="12"/>
      <c r="CH144" s="12"/>
    </row>
    <row r="145" spans="21:86">
      <c r="U145" s="13">
        <f t="shared" si="91"/>
        <v>7.9542024139295613</v>
      </c>
      <c r="V145" s="13">
        <f t="shared" si="92"/>
        <v>8.0901413929560757</v>
      </c>
      <c r="W145" s="13">
        <f t="shared" si="93"/>
        <v>8.1434649861495849</v>
      </c>
      <c r="X145" s="13">
        <f t="shared" si="94"/>
        <v>8.0329552592006319</v>
      </c>
      <c r="Y145" s="13">
        <f t="shared" si="95"/>
        <v>8.1297953858330043</v>
      </c>
      <c r="Z145" s="13">
        <f t="shared" si="96"/>
        <v>8.1670181638306296</v>
      </c>
      <c r="AA145" s="13">
        <f t="shared" si="97"/>
        <v>8.0723017807677078</v>
      </c>
      <c r="AB145" s="13">
        <f t="shared" si="98"/>
        <v>8.149448088642659</v>
      </c>
      <c r="AC145" s="13">
        <f t="shared" si="99"/>
        <v>8.1790416778789066</v>
      </c>
      <c r="AD145" s="13">
        <f t="shared" si="100"/>
        <v>5.6084447566284128</v>
      </c>
      <c r="AE145" s="13">
        <f t="shared" si="101"/>
        <v>4.7115759319351014</v>
      </c>
      <c r="AF145" s="13">
        <f t="shared" si="102"/>
        <v>3.9951140087059756</v>
      </c>
      <c r="AG145" s="13">
        <f t="shared" si="103"/>
        <v>6.4117742857142854</v>
      </c>
      <c r="AH145" s="13">
        <f t="shared" si="104"/>
        <v>5.6643092837356548</v>
      </c>
      <c r="AI145" s="13">
        <f t="shared" si="105"/>
        <v>4.9711343015433318</v>
      </c>
      <c r="AJ145" s="13">
        <f t="shared" si="106"/>
        <v>6.851039643846458</v>
      </c>
      <c r="AK145" s="13">
        <f t="shared" si="107"/>
        <v>6.2622866007123061</v>
      </c>
      <c r="AL145" s="13">
        <f t="shared" si="108"/>
        <v>5.6691759556786696</v>
      </c>
      <c r="AM145" s="13">
        <f t="shared" si="109"/>
        <v>8.1727447450610331</v>
      </c>
      <c r="AN145" s="13">
        <f t="shared" si="110"/>
        <v>8.1516686158716638</v>
      </c>
      <c r="AO145" s="322">
        <f t="shared" si="89"/>
        <v>8.1516686158716638</v>
      </c>
      <c r="AP145" s="322">
        <f t="shared" si="90"/>
        <v>8.1727447450610331</v>
      </c>
      <c r="AQ145" s="322">
        <f t="shared" si="111"/>
        <v>8.1835945377614063</v>
      </c>
      <c r="AR145" s="324">
        <f t="shared" si="112"/>
        <v>3.8848890974399559</v>
      </c>
      <c r="AS145" s="324">
        <f t="shared" si="113"/>
        <v>4.864491996590667</v>
      </c>
      <c r="AT145" s="324">
        <f t="shared" si="114"/>
        <v>5.5779281641350327</v>
      </c>
      <c r="AU145" s="106">
        <f t="shared" ca="1" si="115"/>
        <v>8.1516686158716638</v>
      </c>
      <c r="AV145" s="106">
        <f t="shared" ca="1" si="116"/>
        <v>8.1727447450610331</v>
      </c>
      <c r="AW145" s="106">
        <f t="shared" ca="1" si="117"/>
        <v>8.1835945377614063</v>
      </c>
      <c r="AX145" s="106">
        <f t="shared" ca="1" si="118"/>
        <v>3.8848890974399559</v>
      </c>
      <c r="AY145" s="106">
        <f t="shared" ca="1" si="119"/>
        <v>4.864491996590667</v>
      </c>
      <c r="AZ145" s="106">
        <f t="shared" ca="1" si="120"/>
        <v>5.5779281641350327</v>
      </c>
      <c r="BA145" s="324">
        <v>8</v>
      </c>
      <c r="BB145" s="13" cm="1">
        <f t="array" ref="BB145">INDEX(AO145:AQ145,$AI$39)</f>
        <v>8.1516686158716638</v>
      </c>
      <c r="BC145" s="13" cm="1">
        <f t="array" ref="BC145">INDEX(AR145:AT145,$AI$39)</f>
        <v>3.8848890974399559</v>
      </c>
      <c r="BD145" s="324">
        <v>8</v>
      </c>
      <c r="BE145" s="12"/>
      <c r="BF145" s="12"/>
      <c r="BG145" s="12"/>
      <c r="BH145" s="12"/>
      <c r="BI145" s="12"/>
      <c r="BJ145" s="12"/>
      <c r="BK145" s="12"/>
      <c r="BL145" s="12"/>
      <c r="BM145" s="12"/>
      <c r="BN145" s="12"/>
      <c r="BO145" s="12"/>
      <c r="BP145" s="12"/>
      <c r="BQ145" s="12"/>
      <c r="BR145" s="12"/>
      <c r="BS145" s="106">
        <v>11.6</v>
      </c>
      <c r="BT145" s="12" t="s">
        <v>425</v>
      </c>
      <c r="BU145" s="7" t="str">
        <f t="shared" si="121"/>
        <v>---------</v>
      </c>
      <c r="BV145" s="290">
        <v>1.6600000000000299</v>
      </c>
      <c r="BW145" s="59">
        <v>136</v>
      </c>
      <c r="BX145" s="168" t="str">
        <f t="shared" si="122"/>
        <v>---------</v>
      </c>
      <c r="BY145" s="182">
        <v>5.16E-2</v>
      </c>
      <c r="BZ145" s="185">
        <v>136</v>
      </c>
      <c r="CA145" s="184">
        <f t="shared" si="123"/>
        <v>5.16E-2</v>
      </c>
      <c r="CF145" s="12"/>
      <c r="CG145" s="12"/>
      <c r="CH145" s="12"/>
    </row>
    <row r="146" spans="21:86">
      <c r="U146" s="13">
        <f t="shared" si="91"/>
        <v>7.8485684527107251</v>
      </c>
      <c r="V146" s="13">
        <f t="shared" si="92"/>
        <v>7.9873810605461042</v>
      </c>
      <c r="W146" s="13">
        <f t="shared" si="93"/>
        <v>8.0420894182825489</v>
      </c>
      <c r="X146" s="13">
        <f t="shared" si="94"/>
        <v>7.9285211871784709</v>
      </c>
      <c r="Y146" s="13">
        <f t="shared" si="95"/>
        <v>8.027569513256827</v>
      </c>
      <c r="Z146" s="13">
        <f t="shared" si="96"/>
        <v>8.0659129560743974</v>
      </c>
      <c r="AA146" s="13">
        <f t="shared" si="97"/>
        <v>7.9684636644242195</v>
      </c>
      <c r="AB146" s="13">
        <f t="shared" si="98"/>
        <v>8.0475144598337938</v>
      </c>
      <c r="AC146" s="13">
        <f t="shared" si="99"/>
        <v>8.0780492679066072</v>
      </c>
      <c r="AD146" s="13">
        <f t="shared" si="100"/>
        <v>5.5829414325286892</v>
      </c>
      <c r="AE146" s="13">
        <f t="shared" si="101"/>
        <v>4.701730945785517</v>
      </c>
      <c r="AF146" s="13">
        <f t="shared" si="102"/>
        <v>3.9919984408389402</v>
      </c>
      <c r="AG146" s="13">
        <f t="shared" si="103"/>
        <v>6.3648269172932324</v>
      </c>
      <c r="AH146" s="13">
        <f t="shared" si="104"/>
        <v>5.6360033003561529</v>
      </c>
      <c r="AI146" s="13">
        <f t="shared" si="105"/>
        <v>4.9553095370003959</v>
      </c>
      <c r="AJ146" s="13">
        <f t="shared" si="106"/>
        <v>6.7907300039572611</v>
      </c>
      <c r="AK146" s="13">
        <f t="shared" si="107"/>
        <v>6.2184745231499789</v>
      </c>
      <c r="AL146" s="13">
        <f t="shared" si="108"/>
        <v>5.63894592797784</v>
      </c>
      <c r="AM146" s="13">
        <f t="shared" si="109"/>
        <v>8.0718119472770997</v>
      </c>
      <c r="AN146" s="13">
        <f t="shared" si="110"/>
        <v>8.0505060887035409</v>
      </c>
      <c r="AO146" s="322">
        <f t="shared" si="89"/>
        <v>8.0505060887035409</v>
      </c>
      <c r="AP146" s="322">
        <f t="shared" si="90"/>
        <v>8.0718119472770997</v>
      </c>
      <c r="AQ146" s="322">
        <f t="shared" si="111"/>
        <v>8.0827469306870405</v>
      </c>
      <c r="AR146" s="324">
        <f t="shared" si="112"/>
        <v>3.882808824693313</v>
      </c>
      <c r="AS146" s="324">
        <f t="shared" si="113"/>
        <v>4.8505874195610481</v>
      </c>
      <c r="AT146" s="324">
        <f t="shared" si="114"/>
        <v>5.5497876825667412</v>
      </c>
      <c r="AU146" s="106">
        <f t="shared" ca="1" si="115"/>
        <v>8.0505060887035409</v>
      </c>
      <c r="AV146" s="106">
        <f t="shared" ca="1" si="116"/>
        <v>8.0718119472770997</v>
      </c>
      <c r="AW146" s="106">
        <f t="shared" ca="1" si="117"/>
        <v>8.0827469306870405</v>
      </c>
      <c r="AX146" s="106">
        <f t="shared" ca="1" si="118"/>
        <v>3.882808824693313</v>
      </c>
      <c r="AY146" s="106">
        <f t="shared" ca="1" si="119"/>
        <v>4.8505874195610481</v>
      </c>
      <c r="AZ146" s="106">
        <f t="shared" ca="1" si="120"/>
        <v>5.5497876825667412</v>
      </c>
      <c r="BA146" s="324">
        <v>7.9</v>
      </c>
      <c r="BB146" s="13" cm="1">
        <f t="array" ref="BB146">INDEX(AO146:AQ146,$AI$39)</f>
        <v>8.0505060887035409</v>
      </c>
      <c r="BC146" s="13" cm="1">
        <f t="array" ref="BC146">INDEX(AR146:AT146,$AI$39)</f>
        <v>3.882808824693313</v>
      </c>
      <c r="BD146" s="324">
        <v>7.9</v>
      </c>
      <c r="BE146" s="12"/>
      <c r="BF146" s="12"/>
      <c r="BG146" s="12"/>
      <c r="BH146" s="12"/>
      <c r="BI146" s="12"/>
      <c r="BJ146" s="12"/>
      <c r="BK146" s="12"/>
      <c r="BL146" s="12"/>
      <c r="BM146" s="12"/>
      <c r="BN146" s="12"/>
      <c r="BO146" s="12"/>
      <c r="BP146" s="12"/>
      <c r="BQ146" s="12"/>
      <c r="BR146" s="12"/>
      <c r="BS146" s="106">
        <v>11.5</v>
      </c>
      <c r="BT146" s="12" t="s">
        <v>426</v>
      </c>
      <c r="BU146" s="7" t="str">
        <f t="shared" si="121"/>
        <v>---------</v>
      </c>
      <c r="BV146" s="290">
        <v>1.6500000000000301</v>
      </c>
      <c r="BW146" s="59">
        <v>137</v>
      </c>
      <c r="BX146" s="168" t="str">
        <f t="shared" si="122"/>
        <v>---------</v>
      </c>
      <c r="BY146" s="182">
        <v>5.1499999999999997E-2</v>
      </c>
      <c r="BZ146" s="185">
        <v>137</v>
      </c>
      <c r="CA146" s="184">
        <f t="shared" si="123"/>
        <v>5.1499999999999997E-2</v>
      </c>
      <c r="CF146" s="12"/>
      <c r="CG146" s="12"/>
      <c r="CH146" s="12"/>
    </row>
    <row r="147" spans="21:86">
      <c r="U147" s="13">
        <f t="shared" si="91"/>
        <v>7.7430866877720623</v>
      </c>
      <c r="V147" s="13">
        <f t="shared" si="92"/>
        <v>7.8846561456272264</v>
      </c>
      <c r="W147" s="13">
        <f t="shared" si="93"/>
        <v>7.9407132963988927</v>
      </c>
      <c r="X147" s="13">
        <f t="shared" si="94"/>
        <v>7.8241892125049448</v>
      </c>
      <c r="Y147" s="13">
        <f t="shared" si="95"/>
        <v>7.9253680965571833</v>
      </c>
      <c r="Z147" s="13">
        <f t="shared" si="96"/>
        <v>7.9648072338741578</v>
      </c>
      <c r="AA147" s="13">
        <f t="shared" si="97"/>
        <v>7.8647027938266731</v>
      </c>
      <c r="AB147" s="13">
        <f t="shared" si="98"/>
        <v>7.9455991135734054</v>
      </c>
      <c r="AC147" s="13">
        <f t="shared" si="99"/>
        <v>7.9770570557973874</v>
      </c>
      <c r="AD147" s="13">
        <f t="shared" si="100"/>
        <v>5.5562328848436877</v>
      </c>
      <c r="AE147" s="13">
        <f t="shared" si="101"/>
        <v>4.6907736129798181</v>
      </c>
      <c r="AF147" s="13">
        <f t="shared" si="102"/>
        <v>3.9880161535417491</v>
      </c>
      <c r="AG147" s="13">
        <f t="shared" si="103"/>
        <v>6.3169607518796997</v>
      </c>
      <c r="AH147" s="13">
        <f t="shared" si="104"/>
        <v>5.6066506212900684</v>
      </c>
      <c r="AI147" s="13">
        <f t="shared" si="105"/>
        <v>4.9384628492283351</v>
      </c>
      <c r="AJ147" s="13">
        <f t="shared" si="106"/>
        <v>6.7297196517609814</v>
      </c>
      <c r="AK147" s="13">
        <f t="shared" si="107"/>
        <v>6.1738009101701614</v>
      </c>
      <c r="AL147" s="13">
        <f t="shared" si="108"/>
        <v>5.6077699168975066</v>
      </c>
      <c r="AM147" s="13">
        <f t="shared" si="109"/>
        <v>7.9708747934613848</v>
      </c>
      <c r="AN147" s="13">
        <f t="shared" si="110"/>
        <v>7.9493374734406874</v>
      </c>
      <c r="AO147" s="322">
        <f t="shared" si="89"/>
        <v>7.9493374734406874</v>
      </c>
      <c r="AP147" s="322">
        <f t="shared" si="90"/>
        <v>7.9708747934613848</v>
      </c>
      <c r="AQ147" s="322">
        <f t="shared" si="111"/>
        <v>7.9818967392164613</v>
      </c>
      <c r="AR147" s="324">
        <f t="shared" si="112"/>
        <v>3.8798996213205075</v>
      </c>
      <c r="AS147" s="324">
        <f t="shared" si="113"/>
        <v>4.835664730449607</v>
      </c>
      <c r="AT147" s="324">
        <f t="shared" si="114"/>
        <v>5.5206882256247907</v>
      </c>
      <c r="AU147" s="106">
        <f t="shared" ca="1" si="115"/>
        <v>7.9493374734406874</v>
      </c>
      <c r="AV147" s="106">
        <f t="shared" ca="1" si="116"/>
        <v>7.9708747934613848</v>
      </c>
      <c r="AW147" s="106">
        <f t="shared" ca="1" si="117"/>
        <v>7.9818967392164613</v>
      </c>
      <c r="AX147" s="106">
        <f t="shared" ca="1" si="118"/>
        <v>3.8798996213205075</v>
      </c>
      <c r="AY147" s="106">
        <f t="shared" ca="1" si="119"/>
        <v>4.835664730449607</v>
      </c>
      <c r="AZ147" s="106">
        <f t="shared" ca="1" si="120"/>
        <v>5.5206882256247907</v>
      </c>
      <c r="BA147" s="324">
        <v>7.8</v>
      </c>
      <c r="BB147" s="13" cm="1">
        <f t="array" ref="BB147">INDEX(AO147:AQ147,$AI$39)</f>
        <v>7.9493374734406874</v>
      </c>
      <c r="BC147" s="13" cm="1">
        <f t="array" ref="BC147">INDEX(AR147:AT147,$AI$39)</f>
        <v>3.8798996213205075</v>
      </c>
      <c r="BD147" s="324">
        <v>7.8</v>
      </c>
      <c r="BE147" s="12"/>
      <c r="BF147" s="12"/>
      <c r="BG147" s="12"/>
      <c r="BH147" s="12"/>
      <c r="BI147" s="12"/>
      <c r="BJ147" s="12"/>
      <c r="BK147" s="12"/>
      <c r="BL147" s="12"/>
      <c r="BM147" s="12"/>
      <c r="BN147" s="12"/>
      <c r="BO147" s="12"/>
      <c r="BP147" s="12"/>
      <c r="BQ147" s="12"/>
      <c r="BR147" s="12"/>
      <c r="BS147" s="106">
        <v>11.4</v>
      </c>
      <c r="BT147" s="12" t="s">
        <v>427</v>
      </c>
      <c r="BU147" s="7" t="str">
        <f t="shared" si="121"/>
        <v>---------</v>
      </c>
      <c r="BV147" s="290">
        <v>1.6400000000000301</v>
      </c>
      <c r="BW147" s="59">
        <v>138</v>
      </c>
      <c r="BX147" s="168" t="str">
        <f t="shared" si="122"/>
        <v>---------</v>
      </c>
      <c r="BY147" s="182">
        <v>5.1400000000000001E-2</v>
      </c>
      <c r="BZ147" s="185">
        <v>138</v>
      </c>
      <c r="CA147" s="184">
        <f t="shared" si="123"/>
        <v>5.1400000000000001E-2</v>
      </c>
      <c r="CF147" s="12"/>
      <c r="CG147" s="12"/>
      <c r="CH147" s="12"/>
    </row>
    <row r="148" spans="21:86">
      <c r="U148" s="13">
        <f t="shared" si="91"/>
        <v>7.6377571191135747</v>
      </c>
      <c r="V148" s="13">
        <f t="shared" si="92"/>
        <v>7.7819666481994467</v>
      </c>
      <c r="W148" s="13">
        <f t="shared" si="93"/>
        <v>7.8393366204986155</v>
      </c>
      <c r="X148" s="13">
        <f t="shared" si="94"/>
        <v>7.7199593351800537</v>
      </c>
      <c r="Y148" s="13">
        <f t="shared" si="95"/>
        <v>7.8231911357340733</v>
      </c>
      <c r="Z148" s="13">
        <f t="shared" si="96"/>
        <v>7.8637009972299161</v>
      </c>
      <c r="AA148" s="13">
        <f t="shared" si="97"/>
        <v>7.7610191689750696</v>
      </c>
      <c r="AB148" s="13">
        <f t="shared" si="98"/>
        <v>7.843702049861494</v>
      </c>
      <c r="AC148" s="13">
        <f t="shared" si="99"/>
        <v>7.8760650415512456</v>
      </c>
      <c r="AD148" s="13">
        <f t="shared" si="100"/>
        <v>5.5283191135734056</v>
      </c>
      <c r="AE148" s="13">
        <f t="shared" si="101"/>
        <v>4.6787039335180047</v>
      </c>
      <c r="AF148" s="13">
        <f t="shared" si="102"/>
        <v>3.983167146814405</v>
      </c>
      <c r="AG148" s="13">
        <f t="shared" si="103"/>
        <v>6.268175789473684</v>
      </c>
      <c r="AH148" s="13">
        <f t="shared" si="104"/>
        <v>5.5762512465373959</v>
      </c>
      <c r="AI148" s="13">
        <f t="shared" si="105"/>
        <v>4.9205942382271477</v>
      </c>
      <c r="AJ148" s="13">
        <f t="shared" si="106"/>
        <v>6.668008587257618</v>
      </c>
      <c r="AK148" s="13">
        <f t="shared" si="107"/>
        <v>6.1282657617728518</v>
      </c>
      <c r="AL148" s="13">
        <f t="shared" si="108"/>
        <v>5.5756479224376729</v>
      </c>
      <c r="AM148" s="13">
        <f t="shared" si="109"/>
        <v>7.869933283613892</v>
      </c>
      <c r="AN148" s="13">
        <f t="shared" si="110"/>
        <v>7.8481627700831034</v>
      </c>
      <c r="AO148" s="322">
        <f t="shared" si="89"/>
        <v>7.8481627700831034</v>
      </c>
      <c r="AP148" s="322">
        <f t="shared" si="90"/>
        <v>7.869933283613892</v>
      </c>
      <c r="AQ148" s="322">
        <f t="shared" si="111"/>
        <v>7.8810439633496694</v>
      </c>
      <c r="AR148" s="324">
        <f t="shared" si="112"/>
        <v>3.8761614873215433</v>
      </c>
      <c r="AS148" s="324">
        <f t="shared" si="113"/>
        <v>4.8197239292563401</v>
      </c>
      <c r="AT148" s="324">
        <f t="shared" si="114"/>
        <v>5.4906297933091839</v>
      </c>
      <c r="AU148" s="106">
        <f t="shared" ca="1" si="115"/>
        <v>7.8481627700831034</v>
      </c>
      <c r="AV148" s="106">
        <f t="shared" ca="1" si="116"/>
        <v>7.869933283613892</v>
      </c>
      <c r="AW148" s="106">
        <f t="shared" ca="1" si="117"/>
        <v>7.8810439633496694</v>
      </c>
      <c r="AX148" s="106">
        <f t="shared" ca="1" si="118"/>
        <v>3.8761614873215433</v>
      </c>
      <c r="AY148" s="106">
        <f t="shared" ca="1" si="119"/>
        <v>4.8197239292563401</v>
      </c>
      <c r="AZ148" s="106">
        <f t="shared" ca="1" si="120"/>
        <v>5.4906297933091839</v>
      </c>
      <c r="BA148" s="324">
        <v>7.7</v>
      </c>
      <c r="BB148" s="13" cm="1">
        <f t="array" ref="BB148">INDEX(AO148:AQ148,$AI$39)</f>
        <v>7.8481627700831034</v>
      </c>
      <c r="BC148" s="13" cm="1">
        <f t="array" ref="BC148">INDEX(AR148:AT148,$AI$39)</f>
        <v>3.8761614873215433</v>
      </c>
      <c r="BD148" s="324">
        <v>7.7</v>
      </c>
      <c r="BE148" s="12"/>
      <c r="BF148" s="12"/>
      <c r="BG148" s="12"/>
      <c r="BH148" s="12"/>
      <c r="BI148" s="12"/>
      <c r="BJ148" s="12"/>
      <c r="BK148" s="12"/>
      <c r="BL148" s="12"/>
      <c r="BM148" s="12"/>
      <c r="BN148" s="12"/>
      <c r="BO148" s="12"/>
      <c r="BP148" s="12"/>
      <c r="BQ148" s="12"/>
      <c r="BR148" s="12"/>
      <c r="BS148" s="106">
        <v>11.3</v>
      </c>
      <c r="BT148" s="12" t="s">
        <v>428</v>
      </c>
      <c r="BU148" s="7" t="str">
        <f t="shared" si="121"/>
        <v>---------</v>
      </c>
      <c r="BV148" s="290">
        <v>1.6300000000000301</v>
      </c>
      <c r="BW148" s="59">
        <v>139</v>
      </c>
      <c r="BX148" s="168" t="str">
        <f t="shared" si="122"/>
        <v>---------</v>
      </c>
      <c r="BY148" s="182">
        <v>5.1299999999999998E-2</v>
      </c>
      <c r="BZ148" s="185">
        <v>139</v>
      </c>
      <c r="CA148" s="184">
        <f t="shared" si="123"/>
        <v>5.1299999999999998E-2</v>
      </c>
      <c r="CF148" s="12"/>
      <c r="CG148" s="12"/>
      <c r="CH148" s="12"/>
    </row>
    <row r="149" spans="21:86">
      <c r="U149" s="13">
        <f t="shared" si="91"/>
        <v>7.5325797467352587</v>
      </c>
      <c r="V149" s="13">
        <f t="shared" si="92"/>
        <v>7.6793125682627625</v>
      </c>
      <c r="W149" s="13">
        <f t="shared" si="93"/>
        <v>7.7379593905817181</v>
      </c>
      <c r="X149" s="13">
        <f t="shared" si="94"/>
        <v>7.6158315552037976</v>
      </c>
      <c r="Y149" s="13">
        <f t="shared" si="95"/>
        <v>7.7210386307874952</v>
      </c>
      <c r="Z149" s="13">
        <f t="shared" si="96"/>
        <v>7.7625942461416688</v>
      </c>
      <c r="AA149" s="13">
        <f t="shared" si="97"/>
        <v>7.6574127898694107</v>
      </c>
      <c r="AB149" s="13">
        <f t="shared" si="98"/>
        <v>7.7418232686980595</v>
      </c>
      <c r="AC149" s="13">
        <f t="shared" si="99"/>
        <v>7.7750732251681818</v>
      </c>
      <c r="AD149" s="13">
        <f t="shared" si="100"/>
        <v>5.4992001187178463</v>
      </c>
      <c r="AE149" s="13">
        <f t="shared" si="101"/>
        <v>4.6655219074000787</v>
      </c>
      <c r="AF149" s="13">
        <f t="shared" si="102"/>
        <v>3.977451420656906</v>
      </c>
      <c r="AG149" s="13">
        <f t="shared" si="103"/>
        <v>6.218472030075187</v>
      </c>
      <c r="AH149" s="13">
        <f t="shared" si="104"/>
        <v>5.5448051760981407</v>
      </c>
      <c r="AI149" s="13">
        <f t="shared" si="105"/>
        <v>4.9017037039968336</v>
      </c>
      <c r="AJ149" s="13">
        <f t="shared" si="106"/>
        <v>6.605596810447171</v>
      </c>
      <c r="AK149" s="13">
        <f t="shared" si="107"/>
        <v>6.0818690779580526</v>
      </c>
      <c r="AL149" s="13">
        <f t="shared" si="108"/>
        <v>5.5425799445983372</v>
      </c>
      <c r="AM149" s="13">
        <f t="shared" si="109"/>
        <v>7.7689874177346185</v>
      </c>
      <c r="AN149" s="13">
        <f t="shared" si="110"/>
        <v>7.7469819786307879</v>
      </c>
      <c r="AO149" s="322">
        <f t="shared" si="89"/>
        <v>7.7469819786307879</v>
      </c>
      <c r="AP149" s="322">
        <f t="shared" si="90"/>
        <v>7.7689874177346185</v>
      </c>
      <c r="AQ149" s="322">
        <f t="shared" si="111"/>
        <v>7.7801886030866623</v>
      </c>
      <c r="AR149" s="324">
        <f t="shared" si="112"/>
        <v>3.8715944226964178</v>
      </c>
      <c r="AS149" s="324">
        <f t="shared" si="113"/>
        <v>4.8027650159812474</v>
      </c>
      <c r="AT149" s="324">
        <f t="shared" si="114"/>
        <v>5.4596123856199199</v>
      </c>
      <c r="AU149" s="106">
        <f t="shared" ca="1" si="115"/>
        <v>7.7469819786307879</v>
      </c>
      <c r="AV149" s="106">
        <f t="shared" ca="1" si="116"/>
        <v>7.7689874177346185</v>
      </c>
      <c r="AW149" s="106">
        <f t="shared" ca="1" si="117"/>
        <v>7.7801886030866623</v>
      </c>
      <c r="AX149" s="106">
        <f t="shared" ca="1" si="118"/>
        <v>3.8715944226964178</v>
      </c>
      <c r="AY149" s="106">
        <f t="shared" ca="1" si="119"/>
        <v>4.8027650159812474</v>
      </c>
      <c r="AZ149" s="106">
        <f t="shared" ca="1" si="120"/>
        <v>5.4596123856199199</v>
      </c>
      <c r="BA149" s="324">
        <v>7.6</v>
      </c>
      <c r="BB149" s="13" cm="1">
        <f t="array" ref="BB149">INDEX(AO149:AQ149,$AI$39)</f>
        <v>7.7469819786307879</v>
      </c>
      <c r="BC149" s="13" cm="1">
        <f t="array" ref="BC149">INDEX(AR149:AT149,$AI$39)</f>
        <v>3.8715944226964178</v>
      </c>
      <c r="BD149" s="324">
        <v>7.6</v>
      </c>
      <c r="BE149" s="12"/>
      <c r="BF149" s="12"/>
      <c r="BG149" s="12"/>
      <c r="BH149" s="12"/>
      <c r="BI149" s="12"/>
      <c r="BJ149" s="12"/>
      <c r="BK149" s="12"/>
      <c r="BL149" s="12"/>
      <c r="BM149" s="12"/>
      <c r="BN149" s="12"/>
      <c r="BO149" s="12"/>
      <c r="BP149" s="12"/>
      <c r="BQ149" s="12"/>
      <c r="BR149" s="12"/>
      <c r="BS149" s="106">
        <v>11.2</v>
      </c>
      <c r="BT149" s="12" t="s">
        <v>429</v>
      </c>
      <c r="BU149" s="7" t="str">
        <f t="shared" si="121"/>
        <v>---------</v>
      </c>
      <c r="BV149" s="290">
        <v>1.6200000000000301</v>
      </c>
      <c r="BW149" s="59">
        <v>140</v>
      </c>
      <c r="BX149" s="168" t="str">
        <f t="shared" si="122"/>
        <v>---------</v>
      </c>
      <c r="BY149" s="182">
        <v>5.1200000000000002E-2</v>
      </c>
      <c r="BZ149" s="185">
        <v>140</v>
      </c>
      <c r="CA149" s="184">
        <f t="shared" si="123"/>
        <v>5.1200000000000002E-2</v>
      </c>
      <c r="CF149" s="12"/>
      <c r="CG149" s="12"/>
      <c r="CH149" s="12"/>
    </row>
    <row r="150" spans="21:86">
      <c r="U150" s="13">
        <f t="shared" si="91"/>
        <v>7.4275545706371195</v>
      </c>
      <c r="V150" s="13">
        <f t="shared" si="92"/>
        <v>7.5766939058171756</v>
      </c>
      <c r="W150" s="13">
        <f t="shared" si="93"/>
        <v>7.6365816066481997</v>
      </c>
      <c r="X150" s="13">
        <f t="shared" si="94"/>
        <v>7.5118058725761756</v>
      </c>
      <c r="Y150" s="13">
        <f t="shared" si="95"/>
        <v>7.6189105817174525</v>
      </c>
      <c r="Z150" s="13">
        <f t="shared" si="96"/>
        <v>7.6614869806094177</v>
      </c>
      <c r="AA150" s="13">
        <f t="shared" si="97"/>
        <v>7.5538836565096963</v>
      </c>
      <c r="AB150" s="13">
        <f t="shared" si="98"/>
        <v>7.639962770083101</v>
      </c>
      <c r="AC150" s="13">
        <f t="shared" si="99"/>
        <v>7.6740816066481976</v>
      </c>
      <c r="AD150" s="13">
        <f t="shared" si="100"/>
        <v>5.4688759002770073</v>
      </c>
      <c r="AE150" s="13">
        <f t="shared" si="101"/>
        <v>4.6512275346260381</v>
      </c>
      <c r="AF150" s="13">
        <f t="shared" si="102"/>
        <v>3.9708689750692523</v>
      </c>
      <c r="AG150" s="13">
        <f t="shared" si="103"/>
        <v>6.1678494736842104</v>
      </c>
      <c r="AH150" s="13">
        <f t="shared" si="104"/>
        <v>5.5123124099722993</v>
      </c>
      <c r="AI150" s="13">
        <f t="shared" si="105"/>
        <v>4.8817912465373965</v>
      </c>
      <c r="AJ150" s="13">
        <f t="shared" si="106"/>
        <v>6.5424843213296402</v>
      </c>
      <c r="AK150" s="13">
        <f t="shared" si="107"/>
        <v>6.0346108587257614</v>
      </c>
      <c r="AL150" s="13">
        <f t="shared" si="108"/>
        <v>5.5085659833795013</v>
      </c>
      <c r="AM150" s="13">
        <f t="shared" si="109"/>
        <v>7.6680371958235662</v>
      </c>
      <c r="AN150" s="13">
        <f t="shared" si="110"/>
        <v>7.6457950990837418</v>
      </c>
      <c r="AO150" s="322">
        <f t="shared" si="89"/>
        <v>7.6457950990837418</v>
      </c>
      <c r="AP150" s="322">
        <f t="shared" si="90"/>
        <v>7.6680371958235662</v>
      </c>
      <c r="AQ150" s="322">
        <f t="shared" si="111"/>
        <v>7.6793306584274434</v>
      </c>
      <c r="AR150" s="324">
        <f t="shared" si="112"/>
        <v>3.8661984274451315</v>
      </c>
      <c r="AS150" s="324">
        <f t="shared" si="113"/>
        <v>4.7847879906243342</v>
      </c>
      <c r="AT150" s="324">
        <f t="shared" si="114"/>
        <v>5.4276360025569996</v>
      </c>
      <c r="AU150" s="106">
        <f t="shared" ca="1" si="115"/>
        <v>7.6457950990837418</v>
      </c>
      <c r="AV150" s="106">
        <f t="shared" ca="1" si="116"/>
        <v>7.6680371958235662</v>
      </c>
      <c r="AW150" s="106">
        <f t="shared" ca="1" si="117"/>
        <v>7.6793306584274434</v>
      </c>
      <c r="AX150" s="106">
        <f t="shared" ca="1" si="118"/>
        <v>3.8661984274451315</v>
      </c>
      <c r="AY150" s="106">
        <f t="shared" ca="1" si="119"/>
        <v>4.7847879906243342</v>
      </c>
      <c r="AZ150" s="106">
        <f t="shared" ca="1" si="120"/>
        <v>5.4276360025569996</v>
      </c>
      <c r="BA150" s="324">
        <v>7.5</v>
      </c>
      <c r="BB150" s="13" cm="1">
        <f t="array" ref="BB150">INDEX(AO150:AQ150,$AI$39)</f>
        <v>7.6457950990837418</v>
      </c>
      <c r="BC150" s="13" cm="1">
        <f t="array" ref="BC150">INDEX(AR150:AT150,$AI$39)</f>
        <v>3.8661984274451315</v>
      </c>
      <c r="BD150" s="324">
        <v>7.5</v>
      </c>
      <c r="BE150" s="12"/>
      <c r="BF150" s="12"/>
      <c r="BG150" s="12"/>
      <c r="BH150" s="12"/>
      <c r="BI150" s="12"/>
      <c r="BJ150" s="12"/>
      <c r="BK150" s="12"/>
      <c r="BL150" s="12"/>
      <c r="BM150" s="12"/>
      <c r="BN150" s="12"/>
      <c r="BO150" s="12"/>
      <c r="BP150" s="12"/>
      <c r="BQ150" s="12"/>
      <c r="BR150" s="12"/>
      <c r="BS150" s="106">
        <v>11.1</v>
      </c>
      <c r="BT150" s="12" t="s">
        <v>430</v>
      </c>
      <c r="BU150" s="7" t="str">
        <f t="shared" si="121"/>
        <v>---------</v>
      </c>
      <c r="BV150" s="290">
        <v>1.6100000000000301</v>
      </c>
      <c r="BW150" s="59">
        <v>141</v>
      </c>
      <c r="BX150" s="168" t="str">
        <f t="shared" si="122"/>
        <v>---------</v>
      </c>
      <c r="BY150" s="182">
        <v>5.11E-2</v>
      </c>
      <c r="BZ150" s="185">
        <v>141</v>
      </c>
      <c r="CA150" s="184">
        <f t="shared" si="123"/>
        <v>5.11E-2</v>
      </c>
      <c r="CF150" s="12"/>
      <c r="CG150" s="12"/>
      <c r="CH150" s="12"/>
    </row>
    <row r="151" spans="21:86">
      <c r="U151" s="13">
        <f t="shared" si="91"/>
        <v>7.3226815908191538</v>
      </c>
      <c r="V151" s="13">
        <f t="shared" si="92"/>
        <v>7.4741106608626842</v>
      </c>
      <c r="W151" s="13">
        <f t="shared" si="93"/>
        <v>7.5352032686980621</v>
      </c>
      <c r="X151" s="13">
        <f t="shared" si="94"/>
        <v>7.4078822872971894</v>
      </c>
      <c r="Y151" s="13">
        <f t="shared" si="95"/>
        <v>7.5168069885239426</v>
      </c>
      <c r="Z151" s="13">
        <f t="shared" si="96"/>
        <v>7.5603792006331609</v>
      </c>
      <c r="AA151" s="13">
        <f t="shared" si="97"/>
        <v>7.4504317688959247</v>
      </c>
      <c r="AB151" s="13">
        <f t="shared" si="98"/>
        <v>7.5381205540166194</v>
      </c>
      <c r="AC151" s="13">
        <f t="shared" si="99"/>
        <v>7.5730901859912931</v>
      </c>
      <c r="AD151" s="13">
        <f t="shared" si="100"/>
        <v>5.4373464582508886</v>
      </c>
      <c r="AE151" s="13">
        <f t="shared" si="101"/>
        <v>4.6358208151958848</v>
      </c>
      <c r="AF151" s="13">
        <f t="shared" si="102"/>
        <v>3.9634198100514446</v>
      </c>
      <c r="AG151" s="13">
        <f t="shared" si="103"/>
        <v>6.1163081203007525</v>
      </c>
      <c r="AH151" s="13">
        <f t="shared" si="104"/>
        <v>5.4787729481598735</v>
      </c>
      <c r="AI151" s="13">
        <f t="shared" si="105"/>
        <v>4.8608568658488327</v>
      </c>
      <c r="AJ151" s="13">
        <f t="shared" si="106"/>
        <v>6.4786711199050275</v>
      </c>
      <c r="AK151" s="13">
        <f t="shared" si="107"/>
        <v>5.986491104075979</v>
      </c>
      <c r="AL151" s="13">
        <f t="shared" si="108"/>
        <v>5.4736060387811634</v>
      </c>
      <c r="AM151" s="13">
        <f t="shared" si="109"/>
        <v>7.5670826178807333</v>
      </c>
      <c r="AN151" s="13">
        <f t="shared" si="110"/>
        <v>7.544602131441966</v>
      </c>
      <c r="AO151" s="322">
        <f t="shared" si="89"/>
        <v>7.544602131441966</v>
      </c>
      <c r="AP151" s="322">
        <f t="shared" si="90"/>
        <v>7.5670826178807333</v>
      </c>
      <c r="AQ151" s="322">
        <f t="shared" si="111"/>
        <v>7.578470129372012</v>
      </c>
      <c r="AR151" s="324">
        <f t="shared" si="112"/>
        <v>3.8599735015676844</v>
      </c>
      <c r="AS151" s="324">
        <f t="shared" si="113"/>
        <v>4.7657928531855953</v>
      </c>
      <c r="AT151" s="324">
        <f t="shared" si="114"/>
        <v>5.3947006441204222</v>
      </c>
      <c r="AU151" s="106">
        <f t="shared" ca="1" si="115"/>
        <v>7.544602131441966</v>
      </c>
      <c r="AV151" s="106">
        <f t="shared" ca="1" si="116"/>
        <v>7.5670826178807333</v>
      </c>
      <c r="AW151" s="106">
        <f t="shared" ca="1" si="117"/>
        <v>7.578470129372012</v>
      </c>
      <c r="AX151" s="106">
        <f t="shared" ca="1" si="118"/>
        <v>3.8599735015676844</v>
      </c>
      <c r="AY151" s="106">
        <f t="shared" ca="1" si="119"/>
        <v>4.7657928531855953</v>
      </c>
      <c r="AZ151" s="106">
        <f t="shared" ca="1" si="120"/>
        <v>5.3947006441204222</v>
      </c>
      <c r="BA151" s="324">
        <v>7.4</v>
      </c>
      <c r="BB151" s="13" cm="1">
        <f t="array" ref="BB151">INDEX(AO151:AQ151,$AI$39)</f>
        <v>7.544602131441966</v>
      </c>
      <c r="BC151" s="13" cm="1">
        <f t="array" ref="BC151">INDEX(AR151:AT151,$AI$39)</f>
        <v>3.8599735015676844</v>
      </c>
      <c r="BD151" s="324">
        <v>7.4</v>
      </c>
      <c r="BE151" s="12"/>
      <c r="BF151" s="12"/>
      <c r="BG151" s="12"/>
      <c r="BH151" s="12"/>
      <c r="BI151" s="12"/>
      <c r="BJ151" s="12"/>
      <c r="BK151" s="12"/>
      <c r="BL151" s="12"/>
      <c r="BM151" s="12"/>
      <c r="BN151" s="12"/>
      <c r="BO151" s="12"/>
      <c r="BP151" s="12"/>
      <c r="BQ151" s="12"/>
      <c r="BR151" s="12"/>
      <c r="BS151" s="106">
        <v>11</v>
      </c>
      <c r="BT151" s="12" t="s">
        <v>431</v>
      </c>
      <c r="BU151" s="7" t="str">
        <f t="shared" si="121"/>
        <v>---------</v>
      </c>
      <c r="BV151" s="290">
        <v>1.6000000000000301</v>
      </c>
      <c r="BW151" s="59">
        <v>142</v>
      </c>
      <c r="BX151" s="168" t="str">
        <f t="shared" si="122"/>
        <v>---------</v>
      </c>
      <c r="BY151" s="182">
        <v>5.0999999999999997E-2</v>
      </c>
      <c r="BZ151" s="185">
        <v>142</v>
      </c>
      <c r="CA151" s="184">
        <f t="shared" si="123"/>
        <v>5.0999999999999997E-2</v>
      </c>
      <c r="CF151" s="12"/>
      <c r="CG151" s="12"/>
      <c r="CH151" s="12"/>
    </row>
    <row r="152" spans="21:86">
      <c r="U152" s="13">
        <f t="shared" si="91"/>
        <v>7.2179608072813615</v>
      </c>
      <c r="V152" s="13">
        <f t="shared" si="92"/>
        <v>7.3715628333992882</v>
      </c>
      <c r="W152" s="13">
        <f t="shared" si="93"/>
        <v>7.4338243767313026</v>
      </c>
      <c r="X152" s="13">
        <f t="shared" si="94"/>
        <v>7.3040607993668374</v>
      </c>
      <c r="Y152" s="13">
        <f t="shared" si="95"/>
        <v>7.4147278512069654</v>
      </c>
      <c r="Z152" s="13">
        <f t="shared" si="96"/>
        <v>7.4592709062128995</v>
      </c>
      <c r="AA152" s="13">
        <f t="shared" si="97"/>
        <v>7.3470571270280969</v>
      </c>
      <c r="AB152" s="13">
        <f t="shared" si="98"/>
        <v>7.436296620498613</v>
      </c>
      <c r="AC152" s="13">
        <f t="shared" si="99"/>
        <v>7.4720989631974657</v>
      </c>
      <c r="AD152" s="13">
        <f t="shared" si="100"/>
        <v>5.4046117926394919</v>
      </c>
      <c r="AE152" s="13">
        <f t="shared" si="101"/>
        <v>4.6193017491096153</v>
      </c>
      <c r="AF152" s="13">
        <f t="shared" si="102"/>
        <v>3.955103925603483</v>
      </c>
      <c r="AG152" s="13">
        <f t="shared" si="103"/>
        <v>6.0638479699248116</v>
      </c>
      <c r="AH152" s="13">
        <f t="shared" si="104"/>
        <v>5.4441867906608632</v>
      </c>
      <c r="AI152" s="13">
        <f t="shared" si="105"/>
        <v>4.838900561931144</v>
      </c>
      <c r="AJ152" s="13">
        <f t="shared" si="106"/>
        <v>6.4141572061733276</v>
      </c>
      <c r="AK152" s="13">
        <f t="shared" si="107"/>
        <v>5.9375098140087061</v>
      </c>
      <c r="AL152" s="13">
        <f t="shared" si="108"/>
        <v>5.4377001108033234</v>
      </c>
      <c r="AM152" s="13">
        <f t="shared" si="109"/>
        <v>7.4661236839061198</v>
      </c>
      <c r="AN152" s="13">
        <f t="shared" si="110"/>
        <v>7.4434030757054588</v>
      </c>
      <c r="AO152" s="322">
        <f t="shared" si="89"/>
        <v>7.4434030757054588</v>
      </c>
      <c r="AP152" s="322">
        <f t="shared" si="90"/>
        <v>7.4661236839061198</v>
      </c>
      <c r="AQ152" s="322">
        <f t="shared" si="111"/>
        <v>7.4776070159203663</v>
      </c>
      <c r="AR152" s="324">
        <f t="shared" si="112"/>
        <v>3.8529196450640777</v>
      </c>
      <c r="AS152" s="324">
        <f t="shared" si="113"/>
        <v>4.7457796036650333</v>
      </c>
      <c r="AT152" s="324">
        <f t="shared" si="114"/>
        <v>5.3608063103101875</v>
      </c>
      <c r="AU152" s="106">
        <f t="shared" ca="1" si="115"/>
        <v>7.4434030757054588</v>
      </c>
      <c r="AV152" s="106">
        <f t="shared" ca="1" si="116"/>
        <v>7.4661236839061198</v>
      </c>
      <c r="AW152" s="106">
        <f t="shared" ca="1" si="117"/>
        <v>7.4776070159203663</v>
      </c>
      <c r="AX152" s="106">
        <f t="shared" ca="1" si="118"/>
        <v>3.8529196450640777</v>
      </c>
      <c r="AY152" s="106">
        <f t="shared" ca="1" si="119"/>
        <v>4.7457796036650333</v>
      </c>
      <c r="AZ152" s="106">
        <f t="shared" ca="1" si="120"/>
        <v>5.3608063103101875</v>
      </c>
      <c r="BA152" s="324">
        <v>7.3</v>
      </c>
      <c r="BB152" s="13" cm="1">
        <f t="array" ref="BB152">INDEX(AO152:AQ152,$AI$39)</f>
        <v>7.4434030757054588</v>
      </c>
      <c r="BC152" s="13" cm="1">
        <f t="array" ref="BC152">INDEX(AR152:AT152,$AI$39)</f>
        <v>3.8529196450640777</v>
      </c>
      <c r="BD152" s="324">
        <v>7.3</v>
      </c>
      <c r="BE152" s="12"/>
      <c r="BF152" s="12"/>
      <c r="BG152" s="12"/>
      <c r="BH152" s="12"/>
      <c r="BI152" s="12"/>
      <c r="BJ152" s="12"/>
      <c r="BK152" s="12"/>
      <c r="BL152" s="12"/>
      <c r="BM152" s="12"/>
      <c r="BN152" s="12"/>
      <c r="BO152" s="12"/>
      <c r="BP152" s="12"/>
      <c r="BQ152" s="12"/>
      <c r="BR152" s="12"/>
      <c r="BS152" s="106">
        <v>10.9</v>
      </c>
      <c r="BT152" s="12" t="s">
        <v>432</v>
      </c>
      <c r="BU152" s="7" t="str">
        <f t="shared" si="121"/>
        <v>---------</v>
      </c>
      <c r="BV152" s="290">
        <v>1.5900000000000301</v>
      </c>
      <c r="BW152" s="59">
        <v>143</v>
      </c>
      <c r="BX152" s="168" t="str">
        <f t="shared" si="122"/>
        <v>---------</v>
      </c>
      <c r="BY152" s="182">
        <v>5.0900000000000001E-2</v>
      </c>
      <c r="BZ152" s="185">
        <v>143</v>
      </c>
      <c r="CA152" s="184">
        <f t="shared" si="123"/>
        <v>5.0900000000000001E-2</v>
      </c>
      <c r="CF152" s="12"/>
      <c r="CG152" s="12"/>
      <c r="CH152" s="12"/>
    </row>
    <row r="153" spans="21:86">
      <c r="U153" s="13">
        <f t="shared" si="91"/>
        <v>7.1133922200237443</v>
      </c>
      <c r="V153" s="13">
        <f t="shared" si="92"/>
        <v>7.2690504234269895</v>
      </c>
      <c r="W153" s="13">
        <f t="shared" si="93"/>
        <v>7.3324449307479229</v>
      </c>
      <c r="X153" s="13">
        <f t="shared" si="94"/>
        <v>7.2003414087851194</v>
      </c>
      <c r="Y153" s="13">
        <f t="shared" si="95"/>
        <v>7.3126731697665228</v>
      </c>
      <c r="Z153" s="13">
        <f t="shared" si="96"/>
        <v>7.3581620973486341</v>
      </c>
      <c r="AA153" s="13">
        <f t="shared" si="97"/>
        <v>7.2437597309062136</v>
      </c>
      <c r="AB153" s="13">
        <f t="shared" si="98"/>
        <v>7.3344909695290843</v>
      </c>
      <c r="AC153" s="13">
        <f t="shared" si="99"/>
        <v>7.371107938266718</v>
      </c>
      <c r="AD153" s="13">
        <f t="shared" si="100"/>
        <v>5.3706719034428163</v>
      </c>
      <c r="AE153" s="13">
        <f t="shared" si="101"/>
        <v>4.6016703363672331</v>
      </c>
      <c r="AF153" s="13">
        <f t="shared" si="102"/>
        <v>3.9459213217253666</v>
      </c>
      <c r="AG153" s="13">
        <f t="shared" si="103"/>
        <v>6.010469022556391</v>
      </c>
      <c r="AH153" s="13">
        <f t="shared" si="104"/>
        <v>5.4085539374752667</v>
      </c>
      <c r="AI153" s="13">
        <f t="shared" si="105"/>
        <v>4.8159223347843305</v>
      </c>
      <c r="AJ153" s="13">
        <f t="shared" si="106"/>
        <v>6.3489425801345476</v>
      </c>
      <c r="AK153" s="13">
        <f t="shared" si="107"/>
        <v>5.8876669885239412</v>
      </c>
      <c r="AL153" s="13">
        <f t="shared" si="108"/>
        <v>5.4008481994459832</v>
      </c>
      <c r="AM153" s="13">
        <f t="shared" si="109"/>
        <v>7.3651603938997283</v>
      </c>
      <c r="AN153" s="13">
        <f t="shared" si="110"/>
        <v>7.3421979318742201</v>
      </c>
      <c r="AO153" s="322">
        <f t="shared" si="89"/>
        <v>7.3421979318742201</v>
      </c>
      <c r="AP153" s="322">
        <f t="shared" si="90"/>
        <v>7.3651603938997283</v>
      </c>
      <c r="AQ153" s="322">
        <f t="shared" si="111"/>
        <v>7.3767413180725079</v>
      </c>
      <c r="AR153" s="324">
        <f t="shared" si="112"/>
        <v>3.8450368579343102</v>
      </c>
      <c r="AS153" s="324">
        <f t="shared" si="113"/>
        <v>4.7247482420626481</v>
      </c>
      <c r="AT153" s="324">
        <f t="shared" si="114"/>
        <v>5.3259530011262974</v>
      </c>
      <c r="AU153" s="106">
        <f t="shared" ca="1" si="115"/>
        <v>7.3421979318742201</v>
      </c>
      <c r="AV153" s="106">
        <f t="shared" ca="1" si="116"/>
        <v>7.3651603938997283</v>
      </c>
      <c r="AW153" s="106">
        <f t="shared" ca="1" si="117"/>
        <v>7.3767413180725079</v>
      </c>
      <c r="AX153" s="106">
        <f t="shared" ca="1" si="118"/>
        <v>3.8450368579343102</v>
      </c>
      <c r="AY153" s="106">
        <f t="shared" ca="1" si="119"/>
        <v>4.7247482420626481</v>
      </c>
      <c r="AZ153" s="106">
        <f t="shared" ca="1" si="120"/>
        <v>5.3259530011262974</v>
      </c>
      <c r="BA153" s="324">
        <v>7.2</v>
      </c>
      <c r="BB153" s="13" cm="1">
        <f t="array" ref="BB153">INDEX(AO153:AQ153,$AI$39)</f>
        <v>7.3421979318742201</v>
      </c>
      <c r="BC153" s="13" cm="1">
        <f t="array" ref="BC153">INDEX(AR153:AT153,$AI$39)</f>
        <v>3.8450368579343102</v>
      </c>
      <c r="BD153" s="324">
        <v>7.2</v>
      </c>
      <c r="BE153" s="12"/>
      <c r="BF153" s="12"/>
      <c r="BG153" s="12"/>
      <c r="BH153" s="12"/>
      <c r="BI153" s="12"/>
      <c r="BJ153" s="12"/>
      <c r="BK153" s="12"/>
      <c r="BL153" s="12"/>
      <c r="BM153" s="12"/>
      <c r="BN153" s="12"/>
      <c r="BO153" s="12"/>
      <c r="BP153" s="12"/>
      <c r="BQ153" s="12"/>
      <c r="BR153" s="12"/>
      <c r="BS153" s="106">
        <v>10.8</v>
      </c>
      <c r="BT153" s="12" t="s">
        <v>433</v>
      </c>
      <c r="BU153" s="7" t="str">
        <f t="shared" si="121"/>
        <v>---------</v>
      </c>
      <c r="BV153" s="290">
        <v>1.58000000000003</v>
      </c>
      <c r="BW153" s="59">
        <v>144</v>
      </c>
      <c r="BX153" s="168" t="str">
        <f t="shared" si="122"/>
        <v>---------</v>
      </c>
      <c r="BY153" s="182">
        <v>5.0799999999999998E-2</v>
      </c>
      <c r="BZ153" s="185">
        <v>144</v>
      </c>
      <c r="CA153" s="184">
        <f t="shared" si="123"/>
        <v>5.0799999999999998E-2</v>
      </c>
      <c r="CF153" s="12"/>
      <c r="CG153" s="12"/>
      <c r="CH153" s="12"/>
    </row>
    <row r="154" spans="21:86">
      <c r="U154" s="13">
        <f t="shared" si="91"/>
        <v>7.0089758290463005</v>
      </c>
      <c r="V154" s="13">
        <f t="shared" si="92"/>
        <v>7.1665734309457854</v>
      </c>
      <c r="W154" s="13">
        <f t="shared" si="93"/>
        <v>7.2310649307479231</v>
      </c>
      <c r="X154" s="13">
        <f t="shared" si="94"/>
        <v>7.0967241155520364</v>
      </c>
      <c r="Y154" s="13">
        <f t="shared" si="95"/>
        <v>7.2106429442026121</v>
      </c>
      <c r="Z154" s="13">
        <f t="shared" si="96"/>
        <v>7.2570527740403623</v>
      </c>
      <c r="AA154" s="13">
        <f t="shared" si="97"/>
        <v>7.1405395805302732</v>
      </c>
      <c r="AB154" s="13">
        <f t="shared" si="98"/>
        <v>7.2327036011080308</v>
      </c>
      <c r="AC154" s="13">
        <f t="shared" si="99"/>
        <v>7.2701171111990481</v>
      </c>
      <c r="AD154" s="13">
        <f t="shared" si="100"/>
        <v>5.3355267906608619</v>
      </c>
      <c r="AE154" s="13">
        <f t="shared" si="101"/>
        <v>4.5829265769687382</v>
      </c>
      <c r="AF154" s="13">
        <f t="shared" si="102"/>
        <v>3.9358719984170962</v>
      </c>
      <c r="AG154" s="13">
        <f t="shared" si="103"/>
        <v>5.9561712781954892</v>
      </c>
      <c r="AH154" s="13">
        <f t="shared" si="104"/>
        <v>5.3718743886030875</v>
      </c>
      <c r="AI154" s="13">
        <f t="shared" si="105"/>
        <v>4.7919221844083904</v>
      </c>
      <c r="AJ154" s="13">
        <f t="shared" si="106"/>
        <v>6.283027241788683</v>
      </c>
      <c r="AK154" s="13">
        <f t="shared" si="107"/>
        <v>5.8369626276216859</v>
      </c>
      <c r="AL154" s="13">
        <f t="shared" si="108"/>
        <v>5.3630503047091409</v>
      </c>
      <c r="AM154" s="13">
        <f t="shared" si="109"/>
        <v>7.2641927478615544</v>
      </c>
      <c r="AN154" s="13">
        <f t="shared" si="110"/>
        <v>7.2409866999482517</v>
      </c>
      <c r="AO154" s="322">
        <f t="shared" si="89"/>
        <v>7.2409866999482517</v>
      </c>
      <c r="AP154" s="322">
        <f t="shared" si="90"/>
        <v>7.2641927478615544</v>
      </c>
      <c r="AQ154" s="322">
        <f t="shared" si="111"/>
        <v>7.2758730358284351</v>
      </c>
      <c r="AR154" s="324">
        <f t="shared" si="112"/>
        <v>3.8363251401783822</v>
      </c>
      <c r="AS154" s="324">
        <f t="shared" si="113"/>
        <v>4.7026987683784371</v>
      </c>
      <c r="AT154" s="324">
        <f t="shared" si="114"/>
        <v>5.2901407165687493</v>
      </c>
      <c r="AU154" s="106">
        <f t="shared" ca="1" si="115"/>
        <v>7.2409866999482517</v>
      </c>
      <c r="AV154" s="106">
        <f t="shared" ca="1" si="116"/>
        <v>7.2641927478615544</v>
      </c>
      <c r="AW154" s="106">
        <f t="shared" ca="1" si="117"/>
        <v>7.2758730358284351</v>
      </c>
      <c r="AX154" s="106">
        <f t="shared" ca="1" si="118"/>
        <v>3.8363251401783822</v>
      </c>
      <c r="AY154" s="106">
        <f t="shared" ca="1" si="119"/>
        <v>4.7026987683784371</v>
      </c>
      <c r="AZ154" s="106">
        <f t="shared" ca="1" si="120"/>
        <v>5.2901407165687493</v>
      </c>
      <c r="BA154" s="324">
        <v>7.1</v>
      </c>
      <c r="BB154" s="13" cm="1">
        <f t="array" ref="BB154">INDEX(AO154:AQ154,$AI$39)</f>
        <v>7.2409866999482517</v>
      </c>
      <c r="BC154" s="13" cm="1">
        <f t="array" ref="BC154">INDEX(AR154:AT154,$AI$39)</f>
        <v>3.8363251401783822</v>
      </c>
      <c r="BD154" s="324">
        <v>7.1</v>
      </c>
      <c r="BE154" s="12"/>
      <c r="BF154" s="12"/>
      <c r="BG154" s="12"/>
      <c r="BH154" s="12"/>
      <c r="BI154" s="12"/>
      <c r="BJ154" s="12"/>
      <c r="BK154" s="12"/>
      <c r="BL154" s="12"/>
      <c r="BM154" s="12"/>
      <c r="BN154" s="12"/>
      <c r="BO154" s="12"/>
      <c r="BP154" s="12"/>
      <c r="BQ154" s="12"/>
      <c r="BR154" s="12"/>
      <c r="BS154" s="106">
        <v>10.7</v>
      </c>
      <c r="BT154" s="12" t="s">
        <v>434</v>
      </c>
      <c r="BU154" s="7" t="str">
        <f t="shared" si="121"/>
        <v>---------</v>
      </c>
      <c r="BV154" s="290">
        <v>1.57000000000003</v>
      </c>
      <c r="BW154" s="59">
        <v>145</v>
      </c>
      <c r="BX154" s="168" t="str">
        <f t="shared" si="122"/>
        <v>---------</v>
      </c>
      <c r="BY154" s="182">
        <v>5.0700000000000002E-2</v>
      </c>
      <c r="BZ154" s="185">
        <v>145</v>
      </c>
      <c r="CA154" s="184">
        <f t="shared" si="123"/>
        <v>5.0700000000000002E-2</v>
      </c>
      <c r="CF154" s="12"/>
      <c r="CG154" s="12"/>
      <c r="CH154" s="12"/>
    </row>
    <row r="155" spans="21:86">
      <c r="U155" s="13">
        <f t="shared" si="91"/>
        <v>6.9047116343490309</v>
      </c>
      <c r="V155" s="13">
        <f t="shared" si="92"/>
        <v>7.0641318559556794</v>
      </c>
      <c r="W155" s="13">
        <f t="shared" si="93"/>
        <v>7.1296843767313023</v>
      </c>
      <c r="X155" s="13">
        <f t="shared" si="94"/>
        <v>6.9932089196675884</v>
      </c>
      <c r="Y155" s="13">
        <f t="shared" si="95"/>
        <v>7.1086371745152368</v>
      </c>
      <c r="Z155" s="13">
        <f t="shared" si="96"/>
        <v>7.1559429362880875</v>
      </c>
      <c r="AA155" s="13">
        <f t="shared" si="97"/>
        <v>7.0373966759002782</v>
      </c>
      <c r="AB155" s="13">
        <f t="shared" si="98"/>
        <v>7.130934515235456</v>
      </c>
      <c r="AC155" s="13">
        <f t="shared" si="99"/>
        <v>7.1691264819944589</v>
      </c>
      <c r="AD155" s="13">
        <f t="shared" si="100"/>
        <v>5.2991764542936277</v>
      </c>
      <c r="AE155" s="13">
        <f t="shared" si="101"/>
        <v>4.563070470914127</v>
      </c>
      <c r="AF155" s="13">
        <f t="shared" si="102"/>
        <v>3.9249559556786711</v>
      </c>
      <c r="AG155" s="13">
        <f t="shared" si="103"/>
        <v>5.900954736842106</v>
      </c>
      <c r="AH155" s="13">
        <f t="shared" si="104"/>
        <v>5.3341481440443221</v>
      </c>
      <c r="AI155" s="13">
        <f t="shared" si="105"/>
        <v>4.7669001108033253</v>
      </c>
      <c r="AJ155" s="13">
        <f t="shared" si="106"/>
        <v>6.2164111911357338</v>
      </c>
      <c r="AK155" s="13">
        <f t="shared" si="107"/>
        <v>5.7853967313019385</v>
      </c>
      <c r="AL155" s="13">
        <f t="shared" si="108"/>
        <v>5.3243064265927984</v>
      </c>
      <c r="AM155" s="13">
        <f t="shared" si="109"/>
        <v>7.1632207457916026</v>
      </c>
      <c r="AN155" s="13">
        <f t="shared" si="110"/>
        <v>7.1397693799275519</v>
      </c>
      <c r="AO155" s="322">
        <f t="shared" si="89"/>
        <v>7.1397693799275519</v>
      </c>
      <c r="AP155" s="322">
        <f t="shared" si="90"/>
        <v>7.1632207457916026</v>
      </c>
      <c r="AQ155" s="322">
        <f t="shared" si="111"/>
        <v>7.1750021691881516</v>
      </c>
      <c r="AR155" s="324">
        <f t="shared" si="112"/>
        <v>3.826784491796293</v>
      </c>
      <c r="AS155" s="324">
        <f t="shared" si="113"/>
        <v>4.6796311826124022</v>
      </c>
      <c r="AT155" s="324">
        <f t="shared" si="114"/>
        <v>5.2533694566375457</v>
      </c>
      <c r="AU155" s="106">
        <f t="shared" ca="1" si="115"/>
        <v>7.1397693799275519</v>
      </c>
      <c r="AV155" s="106">
        <f t="shared" ca="1" si="116"/>
        <v>7.1632207457916026</v>
      </c>
      <c r="AW155" s="106">
        <f t="shared" ca="1" si="117"/>
        <v>7.1750021691881516</v>
      </c>
      <c r="AX155" s="106">
        <f t="shared" ca="1" si="118"/>
        <v>3.826784491796293</v>
      </c>
      <c r="AY155" s="106">
        <f t="shared" ca="1" si="119"/>
        <v>4.6796311826124022</v>
      </c>
      <c r="AZ155" s="106">
        <f t="shared" ca="1" si="120"/>
        <v>5.2533694566375457</v>
      </c>
      <c r="BA155" s="324">
        <v>7</v>
      </c>
      <c r="BB155" s="13" cm="1">
        <f t="array" ref="BB155">INDEX(AO155:AQ155,$AI$39)</f>
        <v>7.1397693799275519</v>
      </c>
      <c r="BC155" s="13" cm="1">
        <f t="array" ref="BC155">INDEX(AR155:AT155,$AI$39)</f>
        <v>3.826784491796293</v>
      </c>
      <c r="BD155" s="324">
        <v>7</v>
      </c>
      <c r="BE155" s="12"/>
      <c r="BF155" s="12"/>
      <c r="BG155" s="12"/>
      <c r="BH155" s="12"/>
      <c r="BI155" s="12"/>
      <c r="BJ155" s="12"/>
      <c r="BK155" s="12"/>
      <c r="BL155" s="12"/>
      <c r="BM155" s="12"/>
      <c r="BN155" s="12"/>
      <c r="BO155" s="12"/>
      <c r="BP155" s="12"/>
      <c r="BQ155" s="12"/>
      <c r="BR155" s="12"/>
      <c r="BS155" s="106">
        <v>10.6</v>
      </c>
      <c r="BT155" s="12" t="s">
        <v>435</v>
      </c>
      <c r="BU155" s="7" t="str">
        <f t="shared" si="121"/>
        <v>---------</v>
      </c>
      <c r="BV155" s="290">
        <v>1.56000000000003</v>
      </c>
      <c r="BW155" s="59">
        <v>146</v>
      </c>
      <c r="BX155" s="168" t="str">
        <f t="shared" si="122"/>
        <v>---------</v>
      </c>
      <c r="BY155" s="182">
        <v>5.0599999999999999E-2</v>
      </c>
      <c r="BZ155" s="185">
        <v>146</v>
      </c>
      <c r="CA155" s="184">
        <f t="shared" si="123"/>
        <v>5.0599999999999999E-2</v>
      </c>
      <c r="CF155" s="12"/>
      <c r="CG155" s="12"/>
      <c r="CH155" s="12"/>
    </row>
    <row r="156" spans="21:86">
      <c r="U156" s="13">
        <f t="shared" si="91"/>
        <v>6.8005996359319356</v>
      </c>
      <c r="V156" s="13">
        <f t="shared" si="92"/>
        <v>6.9617256984566698</v>
      </c>
      <c r="W156" s="13">
        <f t="shared" si="93"/>
        <v>7.0283032686980622</v>
      </c>
      <c r="X156" s="13">
        <f t="shared" si="94"/>
        <v>6.8897958211317754</v>
      </c>
      <c r="Y156" s="13">
        <f t="shared" si="95"/>
        <v>7.0066558607043934</v>
      </c>
      <c r="Z156" s="13">
        <f t="shared" si="96"/>
        <v>7.054832584091808</v>
      </c>
      <c r="AA156" s="13">
        <f t="shared" si="97"/>
        <v>6.9343310170162251</v>
      </c>
      <c r="AB156" s="13">
        <f t="shared" si="98"/>
        <v>7.0291837119113563</v>
      </c>
      <c r="AC156" s="13">
        <f t="shared" si="99"/>
        <v>7.0681360506529467</v>
      </c>
      <c r="AD156" s="13">
        <f t="shared" si="100"/>
        <v>5.2616208943411165</v>
      </c>
      <c r="AE156" s="13">
        <f t="shared" si="101"/>
        <v>4.5421020182034031</v>
      </c>
      <c r="AF156" s="13">
        <f t="shared" si="102"/>
        <v>3.9131731935100911</v>
      </c>
      <c r="AG156" s="13">
        <f t="shared" si="103"/>
        <v>5.8448193984962398</v>
      </c>
      <c r="AH156" s="13">
        <f t="shared" si="104"/>
        <v>5.2953752037989705</v>
      </c>
      <c r="AI156" s="13">
        <f t="shared" si="105"/>
        <v>4.7408561139691336</v>
      </c>
      <c r="AJ156" s="13">
        <f t="shared" si="106"/>
        <v>6.1490944281757036</v>
      </c>
      <c r="AK156" s="13">
        <f t="shared" si="107"/>
        <v>5.7329692995647008</v>
      </c>
      <c r="AL156" s="13">
        <f t="shared" si="108"/>
        <v>5.2846165650969521</v>
      </c>
      <c r="AM156" s="13">
        <f t="shared" si="109"/>
        <v>7.0622443876898719</v>
      </c>
      <c r="AN156" s="13">
        <f t="shared" si="110"/>
        <v>7.0385459718121224</v>
      </c>
      <c r="AO156" s="322">
        <f t="shared" si="89"/>
        <v>7.0385459718121224</v>
      </c>
      <c r="AP156" s="322">
        <f t="shared" si="90"/>
        <v>7.0622443876898719</v>
      </c>
      <c r="AQ156" s="322">
        <f t="shared" si="111"/>
        <v>7.0741287181516528</v>
      </c>
      <c r="AR156" s="324">
        <f t="shared" si="112"/>
        <v>3.8164149127880429</v>
      </c>
      <c r="AS156" s="324">
        <f t="shared" si="113"/>
        <v>4.6555454847645432</v>
      </c>
      <c r="AT156" s="324">
        <f t="shared" si="114"/>
        <v>5.2156392213326832</v>
      </c>
      <c r="AU156" s="106">
        <f t="shared" ca="1" si="115"/>
        <v>7.0385459718121224</v>
      </c>
      <c r="AV156" s="106">
        <f t="shared" ca="1" si="116"/>
        <v>7.0622443876898719</v>
      </c>
      <c r="AW156" s="106">
        <f t="shared" ca="1" si="117"/>
        <v>7.0741287181516528</v>
      </c>
      <c r="AX156" s="106">
        <f t="shared" ca="1" si="118"/>
        <v>3.8164149127880429</v>
      </c>
      <c r="AY156" s="106">
        <f t="shared" ca="1" si="119"/>
        <v>4.6555454847645432</v>
      </c>
      <c r="AZ156" s="106">
        <f t="shared" ca="1" si="120"/>
        <v>5.2156392213326832</v>
      </c>
      <c r="BA156" s="324">
        <v>6.9</v>
      </c>
      <c r="BB156" s="13" cm="1">
        <f t="array" ref="BB156">INDEX(AO156:AQ156,$AI$39)</f>
        <v>7.0385459718121224</v>
      </c>
      <c r="BC156" s="13" cm="1">
        <f t="array" ref="BC156">INDEX(AR156:AT156,$AI$39)</f>
        <v>3.8164149127880429</v>
      </c>
      <c r="BD156" s="324">
        <v>6.9</v>
      </c>
      <c r="BE156" s="12"/>
      <c r="BF156" s="12"/>
      <c r="BG156" s="12"/>
      <c r="BH156" s="12"/>
      <c r="BI156" s="12"/>
      <c r="BJ156" s="12"/>
      <c r="BK156" s="12"/>
      <c r="BL156" s="12"/>
      <c r="BM156" s="12"/>
      <c r="BN156" s="12"/>
      <c r="BO156" s="12"/>
      <c r="BP156" s="12"/>
      <c r="BQ156" s="12"/>
      <c r="BR156" s="12"/>
      <c r="BS156" s="106">
        <v>10.5</v>
      </c>
      <c r="BT156" s="12" t="s">
        <v>436</v>
      </c>
      <c r="BU156" s="7" t="str">
        <f t="shared" si="121"/>
        <v>---------</v>
      </c>
      <c r="BV156" s="290">
        <v>1.55000000000003</v>
      </c>
      <c r="BW156" s="59">
        <v>147</v>
      </c>
      <c r="BX156" s="168" t="str">
        <f t="shared" si="122"/>
        <v>---------</v>
      </c>
      <c r="BY156" s="182">
        <v>5.0500000000000003E-2</v>
      </c>
      <c r="BZ156" s="185">
        <v>147</v>
      </c>
      <c r="CA156" s="184">
        <f t="shared" si="123"/>
        <v>5.0500000000000003E-2</v>
      </c>
      <c r="CF156" s="12"/>
      <c r="CG156" s="12"/>
      <c r="CH156" s="12"/>
    </row>
    <row r="157" spans="21:86">
      <c r="U157" s="13">
        <f t="shared" si="91"/>
        <v>6.6966398337950137</v>
      </c>
      <c r="V157" s="13">
        <f t="shared" si="92"/>
        <v>6.8593549584487548</v>
      </c>
      <c r="W157" s="13">
        <f t="shared" si="93"/>
        <v>6.9269216066482002</v>
      </c>
      <c r="X157" s="13">
        <f t="shared" si="94"/>
        <v>6.7864848199445973</v>
      </c>
      <c r="Y157" s="13">
        <f t="shared" si="95"/>
        <v>6.9046990027700836</v>
      </c>
      <c r="Z157" s="13">
        <f t="shared" si="96"/>
        <v>6.953721717451522</v>
      </c>
      <c r="AA157" s="13">
        <f t="shared" si="97"/>
        <v>6.8313426038781166</v>
      </c>
      <c r="AB157" s="13">
        <f t="shared" si="98"/>
        <v>6.9274511911357326</v>
      </c>
      <c r="AC157" s="13">
        <f t="shared" si="99"/>
        <v>6.9671458171745133</v>
      </c>
      <c r="AD157" s="13">
        <f t="shared" si="100"/>
        <v>5.2228601108033237</v>
      </c>
      <c r="AE157" s="13">
        <f t="shared" si="101"/>
        <v>4.5200212188365647</v>
      </c>
      <c r="AF157" s="13">
        <f t="shared" si="102"/>
        <v>3.9005237119113572</v>
      </c>
      <c r="AG157" s="13">
        <f t="shared" si="103"/>
        <v>5.7877652631578957</v>
      </c>
      <c r="AH157" s="13">
        <f t="shared" si="104"/>
        <v>5.2555555678670363</v>
      </c>
      <c r="AI157" s="13">
        <f t="shared" si="105"/>
        <v>4.7137901939058171</v>
      </c>
      <c r="AJ157" s="13">
        <f t="shared" si="106"/>
        <v>6.081076952908588</v>
      </c>
      <c r="AK157" s="13">
        <f t="shared" si="107"/>
        <v>5.6796803324099718</v>
      </c>
      <c r="AL157" s="13">
        <f t="shared" si="108"/>
        <v>5.2439807202216073</v>
      </c>
      <c r="AM157" s="13">
        <f t="shared" si="109"/>
        <v>6.9612636735563589</v>
      </c>
      <c r="AN157" s="13">
        <f t="shared" si="110"/>
        <v>6.9373164756019614</v>
      </c>
      <c r="AO157" s="322">
        <f t="shared" si="89"/>
        <v>6.9373164756019614</v>
      </c>
      <c r="AP157" s="322">
        <f t="shared" si="90"/>
        <v>6.9612636735563589</v>
      </c>
      <c r="AQ157" s="322">
        <f t="shared" si="111"/>
        <v>6.9732526827189414</v>
      </c>
      <c r="AR157" s="324">
        <f t="shared" si="112"/>
        <v>3.8052164031536329</v>
      </c>
      <c r="AS157" s="324">
        <f t="shared" si="113"/>
        <v>4.6304416748348602</v>
      </c>
      <c r="AT157" s="324">
        <f t="shared" si="114"/>
        <v>5.176950010654167</v>
      </c>
      <c r="AU157" s="106">
        <f t="shared" ca="1" si="115"/>
        <v>6.9373164756019614</v>
      </c>
      <c r="AV157" s="106">
        <f t="shared" ca="1" si="116"/>
        <v>6.9612636735563589</v>
      </c>
      <c r="AW157" s="106">
        <f t="shared" ca="1" si="117"/>
        <v>6.9732526827189414</v>
      </c>
      <c r="AX157" s="106">
        <f t="shared" ca="1" si="118"/>
        <v>3.8052164031536329</v>
      </c>
      <c r="AY157" s="106">
        <f t="shared" ca="1" si="119"/>
        <v>4.6304416748348602</v>
      </c>
      <c r="AZ157" s="106">
        <f t="shared" ca="1" si="120"/>
        <v>5.176950010654167</v>
      </c>
      <c r="BA157" s="324">
        <v>6.8</v>
      </c>
      <c r="BB157" s="13" cm="1">
        <f t="array" ref="BB157">INDEX(AO157:AQ157,$AI$39)</f>
        <v>6.9373164756019614</v>
      </c>
      <c r="BC157" s="13" cm="1">
        <f t="array" ref="BC157">INDEX(AR157:AT157,$AI$39)</f>
        <v>3.8052164031536329</v>
      </c>
      <c r="BD157" s="324">
        <v>6.8</v>
      </c>
      <c r="BE157" s="12"/>
      <c r="BF157" s="12"/>
      <c r="BG157" s="12"/>
      <c r="BH157" s="12"/>
      <c r="BI157" s="12"/>
      <c r="BJ157" s="12"/>
      <c r="BK157" s="12"/>
      <c r="BL157" s="12"/>
      <c r="BM157" s="12"/>
      <c r="BN157" s="12"/>
      <c r="BO157" s="12"/>
      <c r="BP157" s="12"/>
      <c r="BQ157" s="12"/>
      <c r="BR157" s="12"/>
      <c r="BS157" s="106">
        <v>10.4</v>
      </c>
      <c r="BT157" s="12" t="s">
        <v>437</v>
      </c>
      <c r="BU157" s="7" t="str">
        <f t="shared" si="121"/>
        <v>---------</v>
      </c>
      <c r="BV157" s="290">
        <v>1.54000000000003</v>
      </c>
      <c r="BW157" s="59">
        <v>148</v>
      </c>
      <c r="BX157" s="168" t="str">
        <f t="shared" si="122"/>
        <v>---------</v>
      </c>
      <c r="BY157" s="182">
        <v>5.04E-2</v>
      </c>
      <c r="BZ157" s="185">
        <v>148</v>
      </c>
      <c r="CA157" s="184">
        <f t="shared" si="123"/>
        <v>5.04E-2</v>
      </c>
      <c r="CF157" s="12"/>
      <c r="CG157" s="12"/>
      <c r="CH157" s="12"/>
    </row>
    <row r="158" spans="21:86">
      <c r="U158" s="13">
        <f t="shared" si="91"/>
        <v>6.592832227938267</v>
      </c>
      <c r="V158" s="13">
        <f t="shared" si="92"/>
        <v>6.7570196359319361</v>
      </c>
      <c r="W158" s="13">
        <f t="shared" si="93"/>
        <v>6.825539390581719</v>
      </c>
      <c r="X158" s="13">
        <f t="shared" si="94"/>
        <v>6.6832759161060533</v>
      </c>
      <c r="Y158" s="13">
        <f t="shared" si="95"/>
        <v>6.8027666007123084</v>
      </c>
      <c r="Z158" s="13">
        <f t="shared" si="96"/>
        <v>6.852610336367233</v>
      </c>
      <c r="AA158" s="13">
        <f t="shared" si="97"/>
        <v>6.7284314364859528</v>
      </c>
      <c r="AB158" s="13">
        <f t="shared" si="98"/>
        <v>6.8257369529085858</v>
      </c>
      <c r="AC158" s="13">
        <f t="shared" si="99"/>
        <v>6.8661557815591596</v>
      </c>
      <c r="AD158" s="13">
        <f t="shared" si="100"/>
        <v>5.1828941036802538</v>
      </c>
      <c r="AE158" s="13">
        <f t="shared" si="101"/>
        <v>4.4968280728136136</v>
      </c>
      <c r="AF158" s="13">
        <f t="shared" si="102"/>
        <v>3.8870075108824693</v>
      </c>
      <c r="AG158" s="13">
        <f t="shared" si="103"/>
        <v>5.7297923308270686</v>
      </c>
      <c r="AH158" s="13">
        <f t="shared" si="104"/>
        <v>5.2146892362485158</v>
      </c>
      <c r="AI158" s="13">
        <f t="shared" si="105"/>
        <v>4.6857023506133757</v>
      </c>
      <c r="AJ158" s="13">
        <f t="shared" si="106"/>
        <v>6.0123587653343895</v>
      </c>
      <c r="AK158" s="13">
        <f t="shared" si="107"/>
        <v>5.6255298298377525</v>
      </c>
      <c r="AL158" s="13">
        <f t="shared" si="108"/>
        <v>5.2023988919667588</v>
      </c>
      <c r="AM158" s="13">
        <f t="shared" si="109"/>
        <v>6.8602786033910679</v>
      </c>
      <c r="AN158" s="13">
        <f t="shared" si="110"/>
        <v>6.8360808912970699</v>
      </c>
      <c r="AO158" s="322">
        <f t="shared" si="89"/>
        <v>6.8360808912970699</v>
      </c>
      <c r="AP158" s="322">
        <f t="shared" si="90"/>
        <v>6.8602786033910679</v>
      </c>
      <c r="AQ158" s="322">
        <f t="shared" si="111"/>
        <v>6.8723740628900174</v>
      </c>
      <c r="AR158" s="324">
        <f t="shared" si="112"/>
        <v>3.7931889628930624</v>
      </c>
      <c r="AS158" s="324">
        <f t="shared" si="113"/>
        <v>4.6043197528233542</v>
      </c>
      <c r="AT158" s="324">
        <f t="shared" si="114"/>
        <v>5.1373018246019901</v>
      </c>
      <c r="AU158" s="106">
        <f t="shared" ca="1" si="115"/>
        <v>6.8360808912970699</v>
      </c>
      <c r="AV158" s="106">
        <f t="shared" ca="1" si="116"/>
        <v>6.8602786033910679</v>
      </c>
      <c r="AW158" s="106">
        <f t="shared" ca="1" si="117"/>
        <v>6.8723740628900174</v>
      </c>
      <c r="AX158" s="106">
        <f t="shared" ca="1" si="118"/>
        <v>3.7931889628930624</v>
      </c>
      <c r="AY158" s="106">
        <f t="shared" ca="1" si="119"/>
        <v>4.6043197528233542</v>
      </c>
      <c r="AZ158" s="106">
        <f t="shared" ca="1" si="120"/>
        <v>5.1373018246019901</v>
      </c>
      <c r="BA158" s="324">
        <v>6.7</v>
      </c>
      <c r="BB158" s="13" cm="1">
        <f t="array" ref="BB158">INDEX(AO158:AQ158,$AI$39)</f>
        <v>6.8360808912970699</v>
      </c>
      <c r="BC158" s="13" cm="1">
        <f t="array" ref="BC158">INDEX(AR158:AT158,$AI$39)</f>
        <v>3.7931889628930624</v>
      </c>
      <c r="BD158" s="324">
        <v>6.7</v>
      </c>
      <c r="BE158" s="12"/>
      <c r="BF158" s="12"/>
      <c r="BG158" s="12"/>
      <c r="BH158" s="12"/>
      <c r="BI158" s="12"/>
      <c r="BJ158" s="12"/>
      <c r="BK158" s="12"/>
      <c r="BL158" s="12"/>
      <c r="BM158" s="12"/>
      <c r="BN158" s="12"/>
      <c r="BO158" s="12"/>
      <c r="BP158" s="12"/>
      <c r="BQ158" s="12"/>
      <c r="BR158" s="12"/>
      <c r="BS158" s="106">
        <v>10.3</v>
      </c>
      <c r="BT158" s="12" t="s">
        <v>438</v>
      </c>
      <c r="BU158" s="7" t="str">
        <f t="shared" si="121"/>
        <v>---------</v>
      </c>
      <c r="BV158" s="290">
        <v>1.53000000000003</v>
      </c>
      <c r="BW158" s="59">
        <v>149</v>
      </c>
      <c r="BX158" s="168" t="str">
        <f t="shared" si="122"/>
        <v>---------</v>
      </c>
      <c r="BY158" s="182">
        <v>5.0299999999999997E-2</v>
      </c>
      <c r="BZ158" s="185">
        <v>149</v>
      </c>
      <c r="CA158" s="184">
        <f t="shared" si="123"/>
        <v>5.0299999999999997E-2</v>
      </c>
      <c r="CF158" s="12"/>
      <c r="CG158" s="12"/>
      <c r="CH158" s="12"/>
    </row>
    <row r="159" spans="21:86">
      <c r="U159" s="13">
        <f t="shared" si="91"/>
        <v>6.4891768183616936</v>
      </c>
      <c r="V159" s="13">
        <f t="shared" si="92"/>
        <v>6.6547197309062138</v>
      </c>
      <c r="W159" s="13">
        <f t="shared" si="93"/>
        <v>6.724156620498615</v>
      </c>
      <c r="X159" s="13">
        <f t="shared" si="94"/>
        <v>6.5801691096161443</v>
      </c>
      <c r="Y159" s="13">
        <f t="shared" si="95"/>
        <v>6.7008586545310651</v>
      </c>
      <c r="Z159" s="13">
        <f t="shared" si="96"/>
        <v>6.7514984408389385</v>
      </c>
      <c r="AA159" s="13">
        <f t="shared" si="97"/>
        <v>6.6255975148397317</v>
      </c>
      <c r="AB159" s="13">
        <f t="shared" si="98"/>
        <v>6.7240409972299151</v>
      </c>
      <c r="AC159" s="13">
        <f t="shared" si="99"/>
        <v>6.7651659438068839</v>
      </c>
      <c r="AD159" s="13">
        <f t="shared" si="100"/>
        <v>5.1417228729719024</v>
      </c>
      <c r="AE159" s="13">
        <f t="shared" si="101"/>
        <v>4.4725225801345463</v>
      </c>
      <c r="AF159" s="13">
        <f t="shared" si="102"/>
        <v>3.8726245904234267</v>
      </c>
      <c r="AG159" s="13">
        <f t="shared" si="103"/>
        <v>5.6709006015037602</v>
      </c>
      <c r="AH159" s="13">
        <f t="shared" si="104"/>
        <v>5.1727762089434108</v>
      </c>
      <c r="AI159" s="13">
        <f t="shared" si="105"/>
        <v>4.6565925840918077</v>
      </c>
      <c r="AJ159" s="13">
        <f t="shared" si="106"/>
        <v>5.9429398654531065</v>
      </c>
      <c r="AK159" s="13">
        <f t="shared" si="107"/>
        <v>5.5705177918480411</v>
      </c>
      <c r="AL159" s="13">
        <f t="shared" si="108"/>
        <v>5.1598710803324099</v>
      </c>
      <c r="AM159" s="13">
        <f t="shared" si="109"/>
        <v>6.7592891771939962</v>
      </c>
      <c r="AN159" s="13">
        <f t="shared" si="110"/>
        <v>6.734839218897446</v>
      </c>
      <c r="AO159" s="322">
        <f t="shared" si="89"/>
        <v>6.734839218897446</v>
      </c>
      <c r="AP159" s="322">
        <f t="shared" si="90"/>
        <v>6.7592891771939962</v>
      </c>
      <c r="AQ159" s="322">
        <f t="shared" si="111"/>
        <v>6.771492858664879</v>
      </c>
      <c r="AR159" s="324">
        <f t="shared" si="112"/>
        <v>3.7803325920063315</v>
      </c>
      <c r="AS159" s="324">
        <f t="shared" si="113"/>
        <v>4.5771797187300223</v>
      </c>
      <c r="AT159" s="324">
        <f t="shared" si="114"/>
        <v>5.0966946631761587</v>
      </c>
      <c r="AU159" s="106">
        <f t="shared" ca="1" si="115"/>
        <v>6.734839218897446</v>
      </c>
      <c r="AV159" s="106">
        <f t="shared" ca="1" si="116"/>
        <v>6.7592891771939962</v>
      </c>
      <c r="AW159" s="106">
        <f t="shared" ca="1" si="117"/>
        <v>6.771492858664879</v>
      </c>
      <c r="AX159" s="106">
        <f t="shared" ca="1" si="118"/>
        <v>3.7803325920063315</v>
      </c>
      <c r="AY159" s="106">
        <f t="shared" ca="1" si="119"/>
        <v>4.5771797187300223</v>
      </c>
      <c r="AZ159" s="106">
        <f t="shared" ca="1" si="120"/>
        <v>5.0966946631761587</v>
      </c>
      <c r="BA159" s="324">
        <v>6.6</v>
      </c>
      <c r="BB159" s="13" cm="1">
        <f t="array" ref="BB159">INDEX(AO159:AQ159,$AI$39)</f>
        <v>6.734839218897446</v>
      </c>
      <c r="BC159" s="13" cm="1">
        <f t="array" ref="BC159">INDEX(AR159:AT159,$AI$39)</f>
        <v>3.7803325920063315</v>
      </c>
      <c r="BD159" s="324">
        <v>6.6</v>
      </c>
      <c r="BE159" s="12"/>
      <c r="BF159" s="12"/>
      <c r="BG159" s="12"/>
      <c r="BH159" s="12"/>
      <c r="BI159" s="12"/>
      <c r="BJ159" s="12"/>
      <c r="BK159" s="12"/>
      <c r="BL159" s="12"/>
      <c r="BM159" s="12"/>
      <c r="BN159" s="12"/>
      <c r="BO159" s="12"/>
      <c r="BP159" s="12"/>
      <c r="BQ159" s="12"/>
      <c r="BR159" s="12"/>
      <c r="BS159" s="106">
        <v>10.199999999999999</v>
      </c>
      <c r="BT159" s="12" t="s">
        <v>439</v>
      </c>
      <c r="BU159" s="7" t="str">
        <f t="shared" si="121"/>
        <v>---------</v>
      </c>
      <c r="BV159" s="290">
        <v>1.52000000000003</v>
      </c>
      <c r="BW159" s="59">
        <v>150</v>
      </c>
      <c r="BX159" s="168" t="str">
        <f t="shared" si="122"/>
        <v>---------</v>
      </c>
      <c r="BY159" s="182">
        <v>5.0200000000000002E-2</v>
      </c>
      <c r="BZ159" s="185">
        <v>150</v>
      </c>
      <c r="CA159" s="184">
        <f t="shared" si="123"/>
        <v>5.0200000000000002E-2</v>
      </c>
      <c r="CF159" s="12"/>
      <c r="CG159" s="12"/>
      <c r="CH159" s="12"/>
    </row>
    <row r="160" spans="21:86">
      <c r="U160" s="13">
        <f t="shared" si="91"/>
        <v>6.3856736050652954</v>
      </c>
      <c r="V160" s="13">
        <f t="shared" si="92"/>
        <v>6.5524552433715879</v>
      </c>
      <c r="W160" s="13">
        <f t="shared" si="93"/>
        <v>6.6227732963988926</v>
      </c>
      <c r="X160" s="13">
        <f t="shared" si="94"/>
        <v>6.4771644004748703</v>
      </c>
      <c r="Y160" s="13">
        <f t="shared" si="95"/>
        <v>6.5989751642263554</v>
      </c>
      <c r="Z160" s="13">
        <f t="shared" si="96"/>
        <v>6.6503860308666392</v>
      </c>
      <c r="AA160" s="13">
        <f t="shared" si="97"/>
        <v>6.5228408389394543</v>
      </c>
      <c r="AB160" s="13">
        <f t="shared" si="98"/>
        <v>6.6223633240997213</v>
      </c>
      <c r="AC160" s="13">
        <f t="shared" si="99"/>
        <v>6.6641763039176869</v>
      </c>
      <c r="AD160" s="13">
        <f t="shared" si="100"/>
        <v>5.099346418678274</v>
      </c>
      <c r="AE160" s="13">
        <f t="shared" si="101"/>
        <v>4.4471047407993662</v>
      </c>
      <c r="AF160" s="13">
        <f t="shared" si="102"/>
        <v>3.8573749505342301</v>
      </c>
      <c r="AG160" s="13">
        <f t="shared" si="103"/>
        <v>5.6110900751879704</v>
      </c>
      <c r="AH160" s="13">
        <f t="shared" si="104"/>
        <v>5.1298164859517215</v>
      </c>
      <c r="AI160" s="13">
        <f t="shared" si="105"/>
        <v>4.6264608943411165</v>
      </c>
      <c r="AJ160" s="13">
        <f t="shared" si="106"/>
        <v>5.8728202532647407</v>
      </c>
      <c r="AK160" s="13">
        <f t="shared" si="107"/>
        <v>5.5146442184408384</v>
      </c>
      <c r="AL160" s="13">
        <f t="shared" si="108"/>
        <v>5.1163972853185591</v>
      </c>
      <c r="AM160" s="13">
        <f t="shared" si="109"/>
        <v>6.658295394965144</v>
      </c>
      <c r="AN160" s="13">
        <f t="shared" si="110"/>
        <v>6.6335914584030933</v>
      </c>
      <c r="AO160" s="322">
        <f t="shared" si="89"/>
        <v>6.6335914584030933</v>
      </c>
      <c r="AP160" s="322">
        <f t="shared" si="90"/>
        <v>6.658295394965144</v>
      </c>
      <c r="AQ160" s="322">
        <f t="shared" si="111"/>
        <v>6.6706090700435281</v>
      </c>
      <c r="AR160" s="324">
        <f t="shared" si="112"/>
        <v>3.7666472904934398</v>
      </c>
      <c r="AS160" s="324">
        <f t="shared" si="113"/>
        <v>4.5490215725548691</v>
      </c>
      <c r="AT160" s="324">
        <f t="shared" si="114"/>
        <v>5.0551285263766701</v>
      </c>
      <c r="AU160" s="106">
        <f t="shared" ca="1" si="115"/>
        <v>6.6335914584030933</v>
      </c>
      <c r="AV160" s="106">
        <f t="shared" ca="1" si="116"/>
        <v>6.658295394965144</v>
      </c>
      <c r="AW160" s="106">
        <f t="shared" ca="1" si="117"/>
        <v>6.6706090700435281</v>
      </c>
      <c r="AX160" s="106">
        <f t="shared" ca="1" si="118"/>
        <v>3.7666472904934398</v>
      </c>
      <c r="AY160" s="106">
        <f t="shared" ca="1" si="119"/>
        <v>4.5490215725548691</v>
      </c>
      <c r="AZ160" s="106">
        <f t="shared" ca="1" si="120"/>
        <v>5.0551285263766701</v>
      </c>
      <c r="BA160" s="324">
        <v>6.5</v>
      </c>
      <c r="BB160" s="13" cm="1">
        <f t="array" ref="BB160">INDEX(AO160:AQ160,$AI$39)</f>
        <v>6.6335914584030933</v>
      </c>
      <c r="BC160" s="13" cm="1">
        <f t="array" ref="BC160">INDEX(AR160:AT160,$AI$39)</f>
        <v>3.7666472904934398</v>
      </c>
      <c r="BD160" s="324">
        <v>6.5</v>
      </c>
      <c r="BE160" s="12"/>
      <c r="BF160" s="12"/>
      <c r="BG160" s="12"/>
      <c r="BH160" s="12"/>
      <c r="BI160" s="12"/>
      <c r="BJ160" s="12"/>
      <c r="BK160" s="12"/>
      <c r="BL160" s="12"/>
      <c r="BM160" s="12"/>
      <c r="BN160" s="12"/>
      <c r="BO160" s="12"/>
      <c r="BP160" s="12"/>
      <c r="BQ160" s="12"/>
      <c r="BR160" s="12"/>
      <c r="BS160" s="106">
        <v>10.1</v>
      </c>
      <c r="BT160" s="12" t="s">
        <v>440</v>
      </c>
      <c r="BU160" s="7" t="str">
        <f t="shared" si="121"/>
        <v>---------</v>
      </c>
      <c r="BV160" s="290">
        <v>1.51000000000003</v>
      </c>
      <c r="BW160" s="59">
        <v>151</v>
      </c>
      <c r="BX160" s="168" t="str">
        <f t="shared" si="122"/>
        <v>---------</v>
      </c>
      <c r="BY160" s="182">
        <v>5.0099999999999999E-2</v>
      </c>
      <c r="BZ160" s="185">
        <v>151</v>
      </c>
      <c r="CA160" s="184">
        <f t="shared" si="123"/>
        <v>5.0099999999999999E-2</v>
      </c>
      <c r="CF160" s="12"/>
      <c r="CG160" s="12"/>
      <c r="CH160" s="12"/>
    </row>
    <row r="161" spans="21:86">
      <c r="U161" s="13">
        <f t="shared" si="91"/>
        <v>6.2823225880490714</v>
      </c>
      <c r="V161" s="13">
        <f t="shared" si="92"/>
        <v>6.4502261733280584</v>
      </c>
      <c r="W161" s="13">
        <f t="shared" si="93"/>
        <v>6.52138941828255</v>
      </c>
      <c r="X161" s="13">
        <f t="shared" si="94"/>
        <v>6.3742617886822313</v>
      </c>
      <c r="Y161" s="13">
        <f t="shared" si="95"/>
        <v>6.4971161297981812</v>
      </c>
      <c r="Z161" s="13">
        <f t="shared" si="96"/>
        <v>6.549273106450336</v>
      </c>
      <c r="AA161" s="13">
        <f t="shared" si="97"/>
        <v>6.4201614087851215</v>
      </c>
      <c r="AB161" s="13">
        <f t="shared" si="98"/>
        <v>6.5207039335180044</v>
      </c>
      <c r="AC161" s="13">
        <f t="shared" si="99"/>
        <v>6.5631868618915696</v>
      </c>
      <c r="AD161" s="13">
        <f t="shared" si="100"/>
        <v>5.0557647407993667</v>
      </c>
      <c r="AE161" s="13">
        <f t="shared" si="101"/>
        <v>4.4205745548080717</v>
      </c>
      <c r="AF161" s="13">
        <f t="shared" si="102"/>
        <v>3.8412585912148796</v>
      </c>
      <c r="AG161" s="13">
        <f t="shared" si="103"/>
        <v>5.5503607518796994</v>
      </c>
      <c r="AH161" s="13">
        <f t="shared" si="104"/>
        <v>5.0858100672734459</v>
      </c>
      <c r="AI161" s="13">
        <f t="shared" si="105"/>
        <v>4.5953072813612987</v>
      </c>
      <c r="AJ161" s="13">
        <f t="shared" si="106"/>
        <v>5.801999928769292</v>
      </c>
      <c r="AK161" s="13">
        <f t="shared" si="107"/>
        <v>5.4579091096161454</v>
      </c>
      <c r="AL161" s="13">
        <f t="shared" si="108"/>
        <v>5.071977506925208</v>
      </c>
      <c r="AM161" s="13">
        <f t="shared" si="109"/>
        <v>6.5572972567045138</v>
      </c>
      <c r="AN161" s="13">
        <f t="shared" si="110"/>
        <v>6.53233760981401</v>
      </c>
      <c r="AO161" s="322">
        <f t="shared" si="89"/>
        <v>6.53233760981401</v>
      </c>
      <c r="AP161" s="322">
        <f t="shared" si="90"/>
        <v>6.5572972567045138</v>
      </c>
      <c r="AQ161" s="322">
        <f t="shared" si="111"/>
        <v>6.5697226970259646</v>
      </c>
      <c r="AR161" s="324">
        <f t="shared" si="112"/>
        <v>3.7521330583543886</v>
      </c>
      <c r="AS161" s="324">
        <f t="shared" si="113"/>
        <v>4.5198453142978909</v>
      </c>
      <c r="AT161" s="324">
        <f t="shared" si="114"/>
        <v>5.0126034142035252</v>
      </c>
      <c r="AU161" s="106">
        <f t="shared" ca="1" si="115"/>
        <v>6.53233760981401</v>
      </c>
      <c r="AV161" s="106">
        <f t="shared" ca="1" si="116"/>
        <v>6.5572972567045138</v>
      </c>
      <c r="AW161" s="106">
        <f t="shared" ca="1" si="117"/>
        <v>6.5697226970259646</v>
      </c>
      <c r="AX161" s="106">
        <f t="shared" ca="1" si="118"/>
        <v>3.7521330583543886</v>
      </c>
      <c r="AY161" s="106">
        <f t="shared" ca="1" si="119"/>
        <v>4.5198453142978909</v>
      </c>
      <c r="AZ161" s="106">
        <f t="shared" ca="1" si="120"/>
        <v>5.0126034142035252</v>
      </c>
      <c r="BA161" s="324">
        <v>6.4</v>
      </c>
      <c r="BB161" s="13" cm="1">
        <f t="array" ref="BB161">INDEX(AO161:AQ161,$AI$39)</f>
        <v>6.53233760981401</v>
      </c>
      <c r="BC161" s="13" cm="1">
        <f t="array" ref="BC161">INDEX(AR161:AT161,$AI$39)</f>
        <v>3.7521330583543886</v>
      </c>
      <c r="BD161" s="324">
        <v>6.4</v>
      </c>
      <c r="BE161" s="12"/>
      <c r="BF161" s="12"/>
      <c r="BG161" s="12"/>
      <c r="BH161" s="12"/>
      <c r="BI161" s="12"/>
      <c r="BJ161" s="12"/>
      <c r="BK161" s="12"/>
      <c r="BL161" s="12"/>
      <c r="BM161" s="12"/>
      <c r="BN161" s="12"/>
      <c r="BO161" s="12"/>
      <c r="BP161" s="12"/>
      <c r="BQ161" s="12"/>
      <c r="BR161" s="12"/>
      <c r="BS161" s="106">
        <v>10</v>
      </c>
      <c r="BT161" s="12" t="s">
        <v>441</v>
      </c>
      <c r="BU161" s="7" t="str">
        <f t="shared" si="121"/>
        <v>---------</v>
      </c>
      <c r="BV161" s="290">
        <v>1.50000000000003</v>
      </c>
      <c r="BW161" s="59">
        <v>152</v>
      </c>
      <c r="BX161" s="168" t="str">
        <f t="shared" si="122"/>
        <v>---------</v>
      </c>
      <c r="BY161" s="182">
        <v>0.05</v>
      </c>
      <c r="BZ161" s="185">
        <v>152</v>
      </c>
      <c r="CA161" s="184">
        <f t="shared" si="123"/>
        <v>0.05</v>
      </c>
      <c r="CF161" s="12"/>
      <c r="CG161" s="12"/>
      <c r="CH161" s="12"/>
    </row>
    <row r="162" spans="21:86">
      <c r="U162" s="13">
        <f t="shared" si="91"/>
        <v>6.1791237673130199</v>
      </c>
      <c r="V162" s="13">
        <f t="shared" si="92"/>
        <v>6.3480325207756243</v>
      </c>
      <c r="W162" s="13">
        <f t="shared" si="93"/>
        <v>6.4200049861495847</v>
      </c>
      <c r="X162" s="13">
        <f t="shared" si="94"/>
        <v>6.2714612742382263</v>
      </c>
      <c r="Y162" s="13">
        <f t="shared" si="95"/>
        <v>6.395281551246538</v>
      </c>
      <c r="Z162" s="13">
        <f t="shared" si="96"/>
        <v>6.4481596675900263</v>
      </c>
      <c r="AA162" s="13">
        <f t="shared" si="97"/>
        <v>6.3175592243767316</v>
      </c>
      <c r="AB162" s="13">
        <f t="shared" si="98"/>
        <v>6.4190628254847635</v>
      </c>
      <c r="AC162" s="13">
        <f t="shared" si="99"/>
        <v>6.4621976177285303</v>
      </c>
      <c r="AD162" s="13">
        <f t="shared" si="100"/>
        <v>5.0109778393351796</v>
      </c>
      <c r="AE162" s="13">
        <f t="shared" si="101"/>
        <v>4.3929320221606645</v>
      </c>
      <c r="AF162" s="13">
        <f t="shared" si="102"/>
        <v>3.8242755124653742</v>
      </c>
      <c r="AG162" s="13">
        <f t="shared" si="103"/>
        <v>5.488712631578947</v>
      </c>
      <c r="AH162" s="13">
        <f t="shared" si="104"/>
        <v>5.0407569529085876</v>
      </c>
      <c r="AI162" s="13">
        <f t="shared" si="105"/>
        <v>4.5631317451523543</v>
      </c>
      <c r="AJ162" s="13">
        <f t="shared" si="106"/>
        <v>5.7304788919667589</v>
      </c>
      <c r="AK162" s="13">
        <f t="shared" si="107"/>
        <v>5.4003124653739611</v>
      </c>
      <c r="AL162" s="13">
        <f t="shared" si="108"/>
        <v>5.0266117451523549</v>
      </c>
      <c r="AM162" s="13">
        <f t="shared" si="109"/>
        <v>6.4562947624121012</v>
      </c>
      <c r="AN162" s="13">
        <f t="shared" si="110"/>
        <v>6.4310776731301944</v>
      </c>
      <c r="AO162" s="322">
        <f t="shared" si="89"/>
        <v>6.4310776731301944</v>
      </c>
      <c r="AP162" s="322">
        <f t="shared" si="90"/>
        <v>6.4562947624121012</v>
      </c>
      <c r="AQ162" s="322">
        <f t="shared" si="111"/>
        <v>6.4688337396121867</v>
      </c>
      <c r="AR162" s="324">
        <f t="shared" si="112"/>
        <v>3.7367898955891756</v>
      </c>
      <c r="AS162" s="324">
        <f t="shared" si="113"/>
        <v>4.4896509439590879</v>
      </c>
      <c r="AT162" s="324">
        <f t="shared" si="114"/>
        <v>4.9691193266567231</v>
      </c>
      <c r="AU162" s="106">
        <f t="shared" ca="1" si="115"/>
        <v>6.4310776731301944</v>
      </c>
      <c r="AV162" s="106">
        <f t="shared" ca="1" si="116"/>
        <v>6.4562947624121012</v>
      </c>
      <c r="AW162" s="106">
        <f t="shared" ca="1" si="117"/>
        <v>6.4688337396121867</v>
      </c>
      <c r="AX162" s="106">
        <f t="shared" ca="1" si="118"/>
        <v>3.7367898955891756</v>
      </c>
      <c r="AY162" s="106">
        <f t="shared" ca="1" si="119"/>
        <v>4.4896509439590879</v>
      </c>
      <c r="AZ162" s="106">
        <f t="shared" ca="1" si="120"/>
        <v>4.9691193266567231</v>
      </c>
      <c r="BA162" s="324">
        <v>6.3</v>
      </c>
      <c r="BB162" s="13" cm="1">
        <f t="array" ref="BB162">INDEX(AO162:AQ162,$AI$39)</f>
        <v>6.4310776731301944</v>
      </c>
      <c r="BC162" s="13" cm="1">
        <f t="array" ref="BC162">INDEX(AR162:AT162,$AI$39)</f>
        <v>3.7367898955891756</v>
      </c>
      <c r="BD162" s="324">
        <v>6.3</v>
      </c>
      <c r="BE162" s="12"/>
      <c r="BF162" s="12"/>
      <c r="BG162" s="12"/>
      <c r="BH162" s="12"/>
      <c r="BI162" s="12"/>
      <c r="BJ162" s="12"/>
      <c r="BK162" s="12"/>
      <c r="BL162" s="12"/>
      <c r="BM162" s="12"/>
      <c r="BN162" s="12"/>
      <c r="BO162" s="12"/>
      <c r="BP162" s="12"/>
      <c r="BQ162" s="12"/>
      <c r="BR162" s="12"/>
      <c r="BS162" s="106">
        <v>9.9</v>
      </c>
      <c r="BT162" s="12" t="s">
        <v>442</v>
      </c>
      <c r="BU162" s="7" t="str">
        <f t="shared" si="121"/>
        <v>---------</v>
      </c>
      <c r="BV162" s="290">
        <v>1.49000000000003</v>
      </c>
      <c r="BW162" s="59">
        <v>153</v>
      </c>
      <c r="BX162" s="168" t="str">
        <f t="shared" si="122"/>
        <v>---------</v>
      </c>
      <c r="BY162" s="182">
        <v>4.99E-2</v>
      </c>
      <c r="BZ162" s="185">
        <v>153</v>
      </c>
      <c r="CA162" s="184">
        <f t="shared" si="123"/>
        <v>4.99E-2</v>
      </c>
      <c r="CD162" s="12"/>
      <c r="CF162" s="12"/>
      <c r="CG162" s="12"/>
      <c r="CH162" s="12"/>
    </row>
    <row r="163" spans="21:86">
      <c r="U163" s="13">
        <f t="shared" si="91"/>
        <v>6.0760771428571445</v>
      </c>
      <c r="V163" s="13">
        <f t="shared" si="92"/>
        <v>6.2458742857142866</v>
      </c>
      <c r="W163" s="13">
        <f t="shared" si="93"/>
        <v>6.318620000000001</v>
      </c>
      <c r="X163" s="13">
        <f t="shared" si="94"/>
        <v>6.1687628571428563</v>
      </c>
      <c r="Y163" s="13">
        <f t="shared" si="95"/>
        <v>6.2934714285714293</v>
      </c>
      <c r="Z163" s="13">
        <f t="shared" si="96"/>
        <v>6.3470457142857137</v>
      </c>
      <c r="AA163" s="13">
        <f t="shared" si="97"/>
        <v>6.2150342857142862</v>
      </c>
      <c r="AB163" s="13">
        <f t="shared" si="98"/>
        <v>6.3174399999999986</v>
      </c>
      <c r="AC163" s="13">
        <f t="shared" si="99"/>
        <v>6.3612085714285698</v>
      </c>
      <c r="AD163" s="13">
        <f t="shared" si="100"/>
        <v>4.9649857142857146</v>
      </c>
      <c r="AE163" s="13">
        <f t="shared" si="101"/>
        <v>4.3641771428571428</v>
      </c>
      <c r="AF163" s="13">
        <f t="shared" si="102"/>
        <v>3.8064257142857141</v>
      </c>
      <c r="AG163" s="13">
        <f t="shared" si="103"/>
        <v>5.426145714285715</v>
      </c>
      <c r="AH163" s="13">
        <f t="shared" si="104"/>
        <v>4.9946571428571431</v>
      </c>
      <c r="AI163" s="13">
        <f t="shared" si="105"/>
        <v>4.5299342857142868</v>
      </c>
      <c r="AJ163" s="13">
        <f t="shared" si="106"/>
        <v>5.6582571428571429</v>
      </c>
      <c r="AK163" s="13">
        <f t="shared" si="107"/>
        <v>5.3418542857142857</v>
      </c>
      <c r="AL163" s="13">
        <f t="shared" si="108"/>
        <v>4.9802999999999997</v>
      </c>
      <c r="AM163" s="13">
        <f t="shared" si="109"/>
        <v>6.3552879120879116</v>
      </c>
      <c r="AN163" s="13">
        <f t="shared" si="110"/>
        <v>6.3298116483516491</v>
      </c>
      <c r="AO163" s="322">
        <f t="shared" si="89"/>
        <v>6.3298116483516491</v>
      </c>
      <c r="AP163" s="322">
        <f t="shared" si="90"/>
        <v>6.3552879120879116</v>
      </c>
      <c r="AQ163" s="322">
        <f t="shared" si="111"/>
        <v>6.3679421978021962</v>
      </c>
      <c r="AR163" s="324">
        <f t="shared" si="112"/>
        <v>3.7206178021978018</v>
      </c>
      <c r="AS163" s="324">
        <f t="shared" si="113"/>
        <v>4.4584384615384627</v>
      </c>
      <c r="AT163" s="324">
        <f t="shared" si="114"/>
        <v>4.9246762637362638</v>
      </c>
      <c r="AU163" s="106">
        <f t="shared" ca="1" si="115"/>
        <v>6.3298116483516491</v>
      </c>
      <c r="AV163" s="106">
        <f t="shared" ca="1" si="116"/>
        <v>6.3552879120879116</v>
      </c>
      <c r="AW163" s="106">
        <f t="shared" ca="1" si="117"/>
        <v>6.3679421978021962</v>
      </c>
      <c r="AX163" s="106">
        <f t="shared" ca="1" si="118"/>
        <v>3.7206178021978018</v>
      </c>
      <c r="AY163" s="106">
        <f t="shared" ca="1" si="119"/>
        <v>4.4584384615384627</v>
      </c>
      <c r="AZ163" s="106">
        <f t="shared" ca="1" si="120"/>
        <v>4.9246762637362638</v>
      </c>
      <c r="BA163" s="324">
        <v>6.2</v>
      </c>
      <c r="BB163" s="13" cm="1">
        <f t="array" ref="BB163">INDEX(AO163:AQ163,$AI$39)</f>
        <v>6.3298116483516491</v>
      </c>
      <c r="BC163" s="13" cm="1">
        <f t="array" ref="BC163">INDEX(AR163:AT163,$AI$39)</f>
        <v>3.7206178021978018</v>
      </c>
      <c r="BD163" s="324">
        <v>6.2</v>
      </c>
      <c r="BE163" s="12"/>
      <c r="BF163" s="12"/>
      <c r="BG163" s="12"/>
      <c r="BH163" s="12"/>
      <c r="BI163" s="12"/>
      <c r="BJ163" s="12"/>
      <c r="BK163" s="12"/>
      <c r="BL163" s="12"/>
      <c r="BM163" s="12"/>
      <c r="BN163" s="12"/>
      <c r="BO163" s="12"/>
      <c r="BP163" s="12"/>
      <c r="BQ163" s="12"/>
      <c r="BR163" s="12"/>
      <c r="BS163" s="106">
        <v>9.8000000000000007</v>
      </c>
      <c r="BT163" s="12" t="s">
        <v>443</v>
      </c>
      <c r="BU163" s="7" t="str">
        <f t="shared" si="121"/>
        <v>---------</v>
      </c>
      <c r="BV163" s="290">
        <v>1.48000000000003</v>
      </c>
      <c r="BW163" s="59">
        <v>154</v>
      </c>
      <c r="BX163" s="168" t="str">
        <f t="shared" si="122"/>
        <v>---------</v>
      </c>
      <c r="BY163" s="182">
        <v>4.9799999999999997E-2</v>
      </c>
      <c r="BZ163" s="185">
        <v>154</v>
      </c>
      <c r="CA163" s="184">
        <f t="shared" si="123"/>
        <v>4.9799999999999997E-2</v>
      </c>
      <c r="CD163" s="12"/>
      <c r="CF163" s="12"/>
      <c r="CG163" s="12"/>
      <c r="CH163" s="12"/>
    </row>
    <row r="164" spans="21:86">
      <c r="U164" s="13">
        <f t="shared" si="91"/>
        <v>5.9731827146814407</v>
      </c>
      <c r="V164" s="13">
        <f t="shared" si="92"/>
        <v>6.1437514681440444</v>
      </c>
      <c r="W164" s="13">
        <f t="shared" si="93"/>
        <v>6.2172344598337954</v>
      </c>
      <c r="X164" s="13">
        <f t="shared" si="94"/>
        <v>6.0661665373961204</v>
      </c>
      <c r="Y164" s="13">
        <f t="shared" si="95"/>
        <v>6.1916857617728533</v>
      </c>
      <c r="Z164" s="13">
        <f t="shared" si="96"/>
        <v>6.2459312465373946</v>
      </c>
      <c r="AA164" s="13">
        <f t="shared" si="97"/>
        <v>6.1125865927977836</v>
      </c>
      <c r="AB164" s="13">
        <f t="shared" si="98"/>
        <v>6.2158354570637098</v>
      </c>
      <c r="AC164" s="13">
        <f t="shared" si="99"/>
        <v>6.2602197229916872</v>
      </c>
      <c r="AD164" s="13">
        <f t="shared" si="100"/>
        <v>4.9177883656509689</v>
      </c>
      <c r="AE164" s="13">
        <f t="shared" si="101"/>
        <v>4.3343099168975066</v>
      </c>
      <c r="AF164" s="13">
        <f t="shared" si="102"/>
        <v>3.7877091966759</v>
      </c>
      <c r="AG164" s="13">
        <f t="shared" si="103"/>
        <v>5.36266</v>
      </c>
      <c r="AH164" s="13">
        <f t="shared" si="104"/>
        <v>4.9475106371191142</v>
      </c>
      <c r="AI164" s="13">
        <f t="shared" si="105"/>
        <v>4.4957149030470926</v>
      </c>
      <c r="AJ164" s="13">
        <f t="shared" si="106"/>
        <v>5.5853346814404441</v>
      </c>
      <c r="AK164" s="13">
        <f t="shared" si="107"/>
        <v>5.282534570637119</v>
      </c>
      <c r="AL164" s="13">
        <f t="shared" si="108"/>
        <v>4.9330422714681443</v>
      </c>
      <c r="AM164" s="13">
        <f t="shared" si="109"/>
        <v>6.2542767057319395</v>
      </c>
      <c r="AN164" s="13">
        <f t="shared" si="110"/>
        <v>6.2285395354783724</v>
      </c>
      <c r="AO164" s="322">
        <f t="shared" si="89"/>
        <v>6.2285395354783724</v>
      </c>
      <c r="AP164" s="322">
        <f t="shared" si="90"/>
        <v>6.2542767057319395</v>
      </c>
      <c r="AQ164" s="322">
        <f t="shared" si="111"/>
        <v>6.2670480715959913</v>
      </c>
      <c r="AR164" s="324">
        <f t="shared" si="112"/>
        <v>3.703616778180268</v>
      </c>
      <c r="AS164" s="324">
        <f t="shared" si="113"/>
        <v>4.4262078670360125</v>
      </c>
      <c r="AT164" s="324">
        <f t="shared" si="114"/>
        <v>4.8792742254421482</v>
      </c>
      <c r="AU164" s="106">
        <f t="shared" ca="1" si="115"/>
        <v>6.2285395354783724</v>
      </c>
      <c r="AV164" s="106">
        <f t="shared" ca="1" si="116"/>
        <v>6.2542767057319395</v>
      </c>
      <c r="AW164" s="106">
        <f t="shared" ca="1" si="117"/>
        <v>6.2670480715959913</v>
      </c>
      <c r="AX164" s="106">
        <f t="shared" ca="1" si="118"/>
        <v>3.703616778180268</v>
      </c>
      <c r="AY164" s="106">
        <f t="shared" ca="1" si="119"/>
        <v>4.4262078670360125</v>
      </c>
      <c r="AZ164" s="106">
        <f t="shared" ca="1" si="120"/>
        <v>4.8792742254421482</v>
      </c>
      <c r="BA164" s="324">
        <v>6.1</v>
      </c>
      <c r="BB164" s="13" cm="1">
        <f t="array" ref="BB164">INDEX(AO164:AQ164,$AI$39)</f>
        <v>6.2285395354783724</v>
      </c>
      <c r="BC164" s="13" cm="1">
        <f t="array" ref="BC164">INDEX(AR164:AT164,$AI$39)</f>
        <v>3.703616778180268</v>
      </c>
      <c r="BD164" s="324">
        <v>6.1</v>
      </c>
      <c r="BE164" s="12"/>
      <c r="BF164" s="12"/>
      <c r="BG164" s="12"/>
      <c r="BH164" s="12"/>
      <c r="BI164" s="12"/>
      <c r="BJ164" s="12"/>
      <c r="BK164" s="12"/>
      <c r="BL164" s="12"/>
      <c r="BM164" s="12"/>
      <c r="BN164" s="12"/>
      <c r="BO164" s="12"/>
      <c r="BP164" s="12"/>
      <c r="BQ164" s="12"/>
      <c r="BR164" s="12"/>
      <c r="BS164" s="106">
        <v>9.6999999999999993</v>
      </c>
      <c r="BT164" s="12" t="s">
        <v>444</v>
      </c>
      <c r="BU164" s="7" t="str">
        <f t="shared" si="121"/>
        <v>---------</v>
      </c>
      <c r="BV164" s="290">
        <v>1.4700000000000299</v>
      </c>
      <c r="BW164" s="59">
        <v>155</v>
      </c>
      <c r="BX164" s="168" t="str">
        <f t="shared" si="122"/>
        <v>---------</v>
      </c>
      <c r="BY164" s="182">
        <v>4.9700000000000001E-2</v>
      </c>
      <c r="BZ164" s="185">
        <v>155</v>
      </c>
      <c r="CA164" s="184">
        <f t="shared" si="123"/>
        <v>4.9700000000000001E-2</v>
      </c>
      <c r="CD164" s="12"/>
      <c r="CF164" s="12"/>
      <c r="CG164" s="12"/>
      <c r="CH164" s="12"/>
    </row>
    <row r="165" spans="21:86">
      <c r="U165" s="13">
        <f t="shared" si="91"/>
        <v>5.8704404827859129</v>
      </c>
      <c r="V165" s="13">
        <f t="shared" si="92"/>
        <v>6.0416640680649003</v>
      </c>
      <c r="W165" s="13">
        <f t="shared" si="93"/>
        <v>6.1158483656509697</v>
      </c>
      <c r="X165" s="13">
        <f t="shared" si="94"/>
        <v>5.9636723149980204</v>
      </c>
      <c r="Y165" s="13">
        <f t="shared" si="95"/>
        <v>6.089924550850812</v>
      </c>
      <c r="Z165" s="13">
        <f t="shared" si="96"/>
        <v>6.1448162643450726</v>
      </c>
      <c r="AA165" s="13">
        <f t="shared" si="97"/>
        <v>6.0102161456272265</v>
      </c>
      <c r="AB165" s="13">
        <f t="shared" si="98"/>
        <v>6.1142491966758987</v>
      </c>
      <c r="AC165" s="13">
        <f t="shared" si="99"/>
        <v>6.1592310724178851</v>
      </c>
      <c r="AD165" s="13">
        <f t="shared" si="100"/>
        <v>4.8693857934309461</v>
      </c>
      <c r="AE165" s="13">
        <f t="shared" si="101"/>
        <v>4.3033303442817568</v>
      </c>
      <c r="AF165" s="13">
        <f t="shared" si="102"/>
        <v>3.768125959635932</v>
      </c>
      <c r="AG165" s="13">
        <f t="shared" si="103"/>
        <v>5.2982554887218036</v>
      </c>
      <c r="AH165" s="13">
        <f t="shared" si="104"/>
        <v>4.8993174356944991</v>
      </c>
      <c r="AI165" s="13">
        <f t="shared" si="105"/>
        <v>4.4604735971507719</v>
      </c>
      <c r="AJ165" s="13">
        <f t="shared" si="106"/>
        <v>5.5117115077166599</v>
      </c>
      <c r="AK165" s="13">
        <f t="shared" si="107"/>
        <v>5.222353320142461</v>
      </c>
      <c r="AL165" s="13">
        <f t="shared" si="108"/>
        <v>4.8848385595567869</v>
      </c>
      <c r="AM165" s="13">
        <f t="shared" si="109"/>
        <v>6.1532611433441895</v>
      </c>
      <c r="AN165" s="13">
        <f t="shared" si="110"/>
        <v>6.127261334510365</v>
      </c>
      <c r="AO165" s="322">
        <f t="shared" si="89"/>
        <v>6.127261334510365</v>
      </c>
      <c r="AP165" s="322">
        <f t="shared" si="90"/>
        <v>6.1532611433441895</v>
      </c>
      <c r="AQ165" s="322">
        <f t="shared" si="111"/>
        <v>6.1661513609935756</v>
      </c>
      <c r="AR165" s="324">
        <f t="shared" si="112"/>
        <v>3.6857868235365743</v>
      </c>
      <c r="AS165" s="324">
        <f t="shared" si="113"/>
        <v>4.3929591604517366</v>
      </c>
      <c r="AT165" s="324">
        <f t="shared" si="114"/>
        <v>4.8329132117743754</v>
      </c>
      <c r="AU165" s="106">
        <f t="shared" ca="1" si="115"/>
        <v>6.127261334510365</v>
      </c>
      <c r="AV165" s="106">
        <f t="shared" ca="1" si="116"/>
        <v>6.1532611433441895</v>
      </c>
      <c r="AW165" s="106">
        <f t="shared" ca="1" si="117"/>
        <v>6.1661513609935756</v>
      </c>
      <c r="AX165" s="106">
        <f t="shared" ca="1" si="118"/>
        <v>3.6857868235365743</v>
      </c>
      <c r="AY165" s="106">
        <f t="shared" ca="1" si="119"/>
        <v>4.3929591604517366</v>
      </c>
      <c r="AZ165" s="106">
        <f t="shared" ca="1" si="120"/>
        <v>4.8329132117743754</v>
      </c>
      <c r="BA165" s="324">
        <v>6</v>
      </c>
      <c r="BB165" s="13" cm="1">
        <f t="array" ref="BB165">INDEX(AO165:AQ165,$AI$39)</f>
        <v>6.127261334510365</v>
      </c>
      <c r="BC165" s="13" cm="1">
        <f t="array" ref="BC165">INDEX(AR165:AT165,$AI$39)</f>
        <v>3.6857868235365743</v>
      </c>
      <c r="BD165" s="324">
        <v>6</v>
      </c>
      <c r="BE165" s="12"/>
      <c r="BF165" s="12"/>
      <c r="BG165" s="12"/>
      <c r="BH165" s="12"/>
      <c r="BI165" s="12"/>
      <c r="BJ165" s="12"/>
      <c r="BK165" s="12"/>
      <c r="BL165" s="12"/>
      <c r="BM165" s="12"/>
      <c r="BN165" s="12"/>
      <c r="BO165" s="12"/>
      <c r="BP165" s="12"/>
      <c r="BQ165" s="12"/>
      <c r="BR165" s="12"/>
      <c r="BS165" s="106">
        <v>9.6</v>
      </c>
      <c r="BT165" s="12" t="s">
        <v>445</v>
      </c>
      <c r="BU165" s="7" t="str">
        <f t="shared" si="121"/>
        <v>---------</v>
      </c>
      <c r="BV165" s="290">
        <v>1.4600000000000299</v>
      </c>
      <c r="BW165" s="59">
        <v>156</v>
      </c>
      <c r="BX165" s="168" t="str">
        <f t="shared" si="122"/>
        <v>---------</v>
      </c>
      <c r="BY165" s="182">
        <v>4.9599999999999998E-2</v>
      </c>
      <c r="BZ165" s="185">
        <v>156</v>
      </c>
      <c r="CA165" s="184">
        <f t="shared" si="123"/>
        <v>4.9599999999999998E-2</v>
      </c>
      <c r="CD165" s="12"/>
      <c r="CF165" s="12"/>
      <c r="CG165" s="12"/>
      <c r="CH165" s="12"/>
    </row>
    <row r="166" spans="21:86">
      <c r="U166" s="13">
        <f t="shared" si="91"/>
        <v>5.7678504471705585</v>
      </c>
      <c r="V166" s="13">
        <f t="shared" si="92"/>
        <v>5.9396120854768508</v>
      </c>
      <c r="W166" s="13">
        <f t="shared" si="93"/>
        <v>6.0144617174515247</v>
      </c>
      <c r="X166" s="13">
        <f t="shared" si="94"/>
        <v>5.8612801899485545</v>
      </c>
      <c r="Y166" s="13">
        <f t="shared" si="95"/>
        <v>5.9881877958053034</v>
      </c>
      <c r="Z166" s="13">
        <f t="shared" si="96"/>
        <v>6.0437007677087449</v>
      </c>
      <c r="AA166" s="13">
        <f t="shared" si="97"/>
        <v>5.9079229442026122</v>
      </c>
      <c r="AB166" s="13">
        <f t="shared" si="98"/>
        <v>6.0126812188365637</v>
      </c>
      <c r="AC166" s="13">
        <f t="shared" si="99"/>
        <v>6.058242619707161</v>
      </c>
      <c r="AD166" s="13">
        <f t="shared" si="100"/>
        <v>4.8197779976256427</v>
      </c>
      <c r="AE166" s="13">
        <f t="shared" si="101"/>
        <v>4.2712384250098925</v>
      </c>
      <c r="AF166" s="13">
        <f t="shared" si="102"/>
        <v>3.7476760031658092</v>
      </c>
      <c r="AG166" s="13">
        <f t="shared" si="103"/>
        <v>5.2329321804511277</v>
      </c>
      <c r="AH166" s="13">
        <f t="shared" si="104"/>
        <v>4.8500775385832995</v>
      </c>
      <c r="AI166" s="13">
        <f t="shared" si="105"/>
        <v>4.4242103680253271</v>
      </c>
      <c r="AJ166" s="13">
        <f t="shared" si="106"/>
        <v>5.4373876216857937</v>
      </c>
      <c r="AK166" s="13">
        <f t="shared" si="107"/>
        <v>5.1613105342303127</v>
      </c>
      <c r="AL166" s="13">
        <f t="shared" si="108"/>
        <v>4.8356888642659275</v>
      </c>
      <c r="AM166" s="13">
        <f t="shared" si="109"/>
        <v>6.0522412249246589</v>
      </c>
      <c r="AN166" s="13">
        <f t="shared" si="110"/>
        <v>6.025977045447628</v>
      </c>
      <c r="AO166" s="322">
        <f t="shared" si="89"/>
        <v>6.025977045447628</v>
      </c>
      <c r="AP166" s="322">
        <f t="shared" si="90"/>
        <v>6.0522412249246589</v>
      </c>
      <c r="AQ166" s="322">
        <f t="shared" si="111"/>
        <v>6.0652520659949456</v>
      </c>
      <c r="AR166" s="324">
        <f t="shared" si="112"/>
        <v>3.6671279382667192</v>
      </c>
      <c r="AS166" s="324">
        <f t="shared" si="113"/>
        <v>4.3586923417856394</v>
      </c>
      <c r="AT166" s="324">
        <f t="shared" si="114"/>
        <v>4.7855932227329454</v>
      </c>
      <c r="AU166" s="106">
        <f t="shared" ca="1" si="115"/>
        <v>6.025977045447628</v>
      </c>
      <c r="AV166" s="106">
        <f t="shared" ca="1" si="116"/>
        <v>6.0522412249246589</v>
      </c>
      <c r="AW166" s="106">
        <f t="shared" ca="1" si="117"/>
        <v>6.0652520659949456</v>
      </c>
      <c r="AX166" s="106">
        <f t="shared" ca="1" si="118"/>
        <v>3.6671279382667192</v>
      </c>
      <c r="AY166" s="106">
        <f t="shared" ca="1" si="119"/>
        <v>4.3586923417856394</v>
      </c>
      <c r="AZ166" s="106">
        <f t="shared" ca="1" si="120"/>
        <v>4.7855932227329454</v>
      </c>
      <c r="BA166" s="324">
        <v>5.9</v>
      </c>
      <c r="BB166" s="13" cm="1">
        <f t="array" ref="BB166">INDEX(AO166:AQ166,$AI$39)</f>
        <v>6.025977045447628</v>
      </c>
      <c r="BC166" s="13" cm="1">
        <f t="array" ref="BC166">INDEX(AR166:AT166,$AI$39)</f>
        <v>3.6671279382667192</v>
      </c>
      <c r="BD166" s="324">
        <v>5.9</v>
      </c>
      <c r="BE166" s="12"/>
      <c r="BF166" s="12"/>
      <c r="BG166" s="12"/>
      <c r="BH166" s="12"/>
      <c r="BI166" s="12"/>
      <c r="BJ166" s="12"/>
      <c r="BK166" s="12"/>
      <c r="BL166" s="12"/>
      <c r="BM166" s="12"/>
      <c r="BN166" s="12"/>
      <c r="BO166" s="12"/>
      <c r="BP166" s="12"/>
      <c r="BQ166" s="12"/>
      <c r="BR166" s="12"/>
      <c r="BS166" s="106">
        <v>9.5</v>
      </c>
      <c r="BT166" s="12" t="s">
        <v>446</v>
      </c>
      <c r="BU166" s="7" t="str">
        <f t="shared" si="121"/>
        <v>---------</v>
      </c>
      <c r="BV166" s="290">
        <v>1.4500000000000299</v>
      </c>
      <c r="BW166" s="59">
        <v>157</v>
      </c>
      <c r="BX166" s="168" t="str">
        <f t="shared" si="122"/>
        <v>---------</v>
      </c>
      <c r="BY166" s="182">
        <v>4.9500000000000002E-2</v>
      </c>
      <c r="BZ166" s="185">
        <v>157</v>
      </c>
      <c r="CA166" s="184">
        <f t="shared" si="123"/>
        <v>4.9500000000000002E-2</v>
      </c>
      <c r="CD166" s="12"/>
      <c r="CF166" s="12"/>
      <c r="CG166" s="12"/>
      <c r="CH166" s="12"/>
    </row>
    <row r="167" spans="21:86">
      <c r="U167" s="13">
        <f t="shared" si="91"/>
        <v>5.6654126078353784</v>
      </c>
      <c r="V167" s="13">
        <f t="shared" si="92"/>
        <v>5.8375955203798977</v>
      </c>
      <c r="W167" s="13">
        <f t="shared" si="93"/>
        <v>5.9130745152354578</v>
      </c>
      <c r="X167" s="13">
        <f t="shared" si="94"/>
        <v>5.7589901622477235</v>
      </c>
      <c r="Y167" s="13">
        <f t="shared" si="95"/>
        <v>5.8864754966363284</v>
      </c>
      <c r="Z167" s="13">
        <f t="shared" si="96"/>
        <v>5.9425847566284116</v>
      </c>
      <c r="AA167" s="13">
        <f t="shared" si="97"/>
        <v>5.8057069885239416</v>
      </c>
      <c r="AB167" s="13">
        <f t="shared" si="98"/>
        <v>5.9111315235457047</v>
      </c>
      <c r="AC167" s="13">
        <f t="shared" si="99"/>
        <v>5.9572543648595149</v>
      </c>
      <c r="AD167" s="13">
        <f t="shared" si="100"/>
        <v>4.7689649782350605</v>
      </c>
      <c r="AE167" s="13">
        <f t="shared" si="101"/>
        <v>4.2380341590819146</v>
      </c>
      <c r="AF167" s="13">
        <f t="shared" si="102"/>
        <v>3.7263593272655324</v>
      </c>
      <c r="AG167" s="13">
        <f t="shared" si="103"/>
        <v>5.1666900751879687</v>
      </c>
      <c r="AH167" s="13">
        <f t="shared" si="104"/>
        <v>4.7997909457855172</v>
      </c>
      <c r="AI167" s="13">
        <f t="shared" si="105"/>
        <v>4.3869252156707557</v>
      </c>
      <c r="AJ167" s="13">
        <f t="shared" si="106"/>
        <v>5.3623630233478439</v>
      </c>
      <c r="AK167" s="13">
        <f t="shared" si="107"/>
        <v>5.0994062129006723</v>
      </c>
      <c r="AL167" s="13">
        <f t="shared" si="108"/>
        <v>4.7855931855955678</v>
      </c>
      <c r="AM167" s="13">
        <f t="shared" si="109"/>
        <v>5.9512169504733476</v>
      </c>
      <c r="AN167" s="13">
        <f t="shared" si="110"/>
        <v>5.9246866682901596</v>
      </c>
      <c r="AO167" s="322">
        <f t="shared" si="89"/>
        <v>5.9246866682901596</v>
      </c>
      <c r="AP167" s="322">
        <f t="shared" si="90"/>
        <v>5.9512169504733476</v>
      </c>
      <c r="AQ167" s="322">
        <f t="shared" si="111"/>
        <v>5.9643501866001012</v>
      </c>
      <c r="AR167" s="324">
        <f t="shared" si="112"/>
        <v>3.6476401223707042</v>
      </c>
      <c r="AS167" s="324">
        <f t="shared" si="113"/>
        <v>4.3234074110377154</v>
      </c>
      <c r="AT167" s="324">
        <f t="shared" si="114"/>
        <v>4.7373142583178591</v>
      </c>
      <c r="AU167" s="106">
        <f t="shared" ca="1" si="115"/>
        <v>5.9246866682901596</v>
      </c>
      <c r="AV167" s="106">
        <f t="shared" ca="1" si="116"/>
        <v>5.9512169504733476</v>
      </c>
      <c r="AW167" s="106">
        <f t="shared" ca="1" si="117"/>
        <v>5.9643501866001012</v>
      </c>
      <c r="AX167" s="106">
        <f t="shared" ca="1" si="118"/>
        <v>3.6476401223707042</v>
      </c>
      <c r="AY167" s="106">
        <f t="shared" ca="1" si="119"/>
        <v>4.3234074110377154</v>
      </c>
      <c r="AZ167" s="106">
        <f t="shared" ca="1" si="120"/>
        <v>4.7373142583178591</v>
      </c>
      <c r="BA167" s="324">
        <v>5.8</v>
      </c>
      <c r="BB167" s="13" cm="1">
        <f t="array" ref="BB167">INDEX(AO167:AQ167,$AI$39)</f>
        <v>5.9246866682901596</v>
      </c>
      <c r="BC167" s="13" cm="1">
        <f t="array" ref="BC167">INDEX(AR167:AT167,$AI$39)</f>
        <v>3.6476401223707042</v>
      </c>
      <c r="BD167" s="324">
        <v>5.8</v>
      </c>
      <c r="BE167" s="12"/>
      <c r="BF167" s="12"/>
      <c r="BG167" s="12"/>
      <c r="BH167" s="12"/>
      <c r="BI167" s="12"/>
      <c r="BJ167" s="12"/>
      <c r="BK167" s="12"/>
      <c r="BL167" s="12"/>
      <c r="BM167" s="12"/>
      <c r="BN167" s="12"/>
      <c r="BO167" s="12"/>
      <c r="BP167" s="12"/>
      <c r="BQ167" s="12"/>
      <c r="BR167" s="12"/>
      <c r="BS167" s="106">
        <v>9.4</v>
      </c>
      <c r="BT167" s="12" t="s">
        <v>447</v>
      </c>
      <c r="BU167" s="7" t="str">
        <f t="shared" si="121"/>
        <v>---------</v>
      </c>
      <c r="BV167" s="290">
        <v>1.4400000000000299</v>
      </c>
      <c r="BW167" s="59">
        <v>158</v>
      </c>
      <c r="BX167" s="168" t="str">
        <f t="shared" si="122"/>
        <v>---------</v>
      </c>
      <c r="BY167" s="182">
        <v>4.9399999999999999E-2</v>
      </c>
      <c r="BZ167" s="185">
        <v>158</v>
      </c>
      <c r="CA167" s="184">
        <f t="shared" si="123"/>
        <v>4.9399999999999999E-2</v>
      </c>
      <c r="CD167" s="12"/>
      <c r="CF167" s="12"/>
      <c r="CG167" s="12"/>
      <c r="CH167" s="12"/>
    </row>
    <row r="168" spans="21:86">
      <c r="U168" s="13">
        <f t="shared" si="91"/>
        <v>5.5631269647803725</v>
      </c>
      <c r="V168" s="13">
        <f t="shared" si="92"/>
        <v>5.735614372774041</v>
      </c>
      <c r="W168" s="13">
        <f t="shared" si="93"/>
        <v>5.8116867590027717</v>
      </c>
      <c r="X168" s="13">
        <f t="shared" si="94"/>
        <v>5.6568022318955267</v>
      </c>
      <c r="Y168" s="13">
        <f t="shared" si="95"/>
        <v>5.7847876533438871</v>
      </c>
      <c r="Z168" s="13">
        <f t="shared" si="96"/>
        <v>5.8414682311040753</v>
      </c>
      <c r="AA168" s="13">
        <f t="shared" si="97"/>
        <v>5.7035682785912147</v>
      </c>
      <c r="AB168" s="13">
        <f t="shared" si="98"/>
        <v>5.8096001108033226</v>
      </c>
      <c r="AC168" s="13">
        <f t="shared" si="99"/>
        <v>5.8562663078749484</v>
      </c>
      <c r="AD168" s="13">
        <f t="shared" si="100"/>
        <v>4.7169467352592003</v>
      </c>
      <c r="AE168" s="13">
        <f t="shared" si="101"/>
        <v>4.203717546497824</v>
      </c>
      <c r="AF168" s="13">
        <f t="shared" si="102"/>
        <v>3.7041759319351009</v>
      </c>
      <c r="AG168" s="13">
        <f t="shared" si="103"/>
        <v>5.0995291729323302</v>
      </c>
      <c r="AH168" s="13">
        <f t="shared" si="104"/>
        <v>4.748457657301147</v>
      </c>
      <c r="AI168" s="13">
        <f t="shared" si="105"/>
        <v>4.3486181400870603</v>
      </c>
      <c r="AJ168" s="13">
        <f t="shared" si="106"/>
        <v>5.2866377127028104</v>
      </c>
      <c r="AK168" s="13">
        <f t="shared" si="107"/>
        <v>5.0366403561535424</v>
      </c>
      <c r="AL168" s="13">
        <f t="shared" si="108"/>
        <v>4.7345515235457061</v>
      </c>
      <c r="AM168" s="13">
        <f t="shared" si="109"/>
        <v>5.8501883199902585</v>
      </c>
      <c r="AN168" s="13">
        <f t="shared" si="110"/>
        <v>5.8233902030379614</v>
      </c>
      <c r="AO168" s="322">
        <f t="shared" si="89"/>
        <v>5.8233902030379614</v>
      </c>
      <c r="AP168" s="322">
        <f t="shared" ref="AP168:AP198" si="124">IF(AM168&lt;AO168,AQ168-0.01,AM168)</f>
        <v>5.8501883199902585</v>
      </c>
      <c r="AQ168" s="322">
        <f t="shared" si="111"/>
        <v>5.8634457228090451</v>
      </c>
      <c r="AR168" s="324">
        <f t="shared" si="112"/>
        <v>3.6273233758485279</v>
      </c>
      <c r="AS168" s="324">
        <f t="shared" si="113"/>
        <v>4.2871043682079701</v>
      </c>
      <c r="AT168" s="324">
        <f t="shared" si="114"/>
        <v>4.6880763185291157</v>
      </c>
      <c r="AU168" s="106">
        <f t="shared" ca="1" si="115"/>
        <v>5.8233902030379614</v>
      </c>
      <c r="AV168" s="106">
        <f t="shared" ca="1" si="116"/>
        <v>5.8501883199902585</v>
      </c>
      <c r="AW168" s="106">
        <f t="shared" ca="1" si="117"/>
        <v>5.8634457228090451</v>
      </c>
      <c r="AX168" s="106">
        <f t="shared" ca="1" si="118"/>
        <v>3.6273233758485279</v>
      </c>
      <c r="AY168" s="106">
        <f t="shared" ca="1" si="119"/>
        <v>4.2871043682079701</v>
      </c>
      <c r="AZ168" s="106">
        <f t="shared" ca="1" si="120"/>
        <v>4.6880763185291157</v>
      </c>
      <c r="BA168" s="324">
        <v>5.7</v>
      </c>
      <c r="BB168" s="13" cm="1">
        <f t="array" ref="BB168">INDEX(AO168:AQ168,$AI$39)</f>
        <v>5.8233902030379614</v>
      </c>
      <c r="BC168" s="13" cm="1">
        <f t="array" ref="BC168">INDEX(AR168:AT168,$AI$39)</f>
        <v>3.6273233758485279</v>
      </c>
      <c r="BD168" s="324">
        <v>5.7</v>
      </c>
      <c r="BE168" s="12"/>
      <c r="BF168" s="12"/>
      <c r="BG168" s="12"/>
      <c r="BH168" s="12"/>
      <c r="BI168" s="12"/>
      <c r="BJ168" s="12"/>
      <c r="BK168" s="12"/>
      <c r="BL168" s="12"/>
      <c r="BM168" s="12"/>
      <c r="BN168" s="12"/>
      <c r="BO168" s="12"/>
      <c r="BP168" s="12"/>
      <c r="BQ168" s="12"/>
      <c r="BR168" s="12"/>
      <c r="BS168" s="106">
        <v>9.3000000000000007</v>
      </c>
      <c r="BT168" s="12" t="s">
        <v>448</v>
      </c>
      <c r="BU168" s="7" t="str">
        <f t="shared" si="121"/>
        <v>---------</v>
      </c>
      <c r="BV168" s="290">
        <v>1.4300000000000299</v>
      </c>
      <c r="BW168" s="59">
        <v>159</v>
      </c>
      <c r="BX168" s="168" t="str">
        <f t="shared" si="122"/>
        <v>---------</v>
      </c>
      <c r="BY168" s="182">
        <v>4.9299999999999997E-2</v>
      </c>
      <c r="BZ168" s="185">
        <v>159</v>
      </c>
      <c r="CA168" s="184">
        <f t="shared" si="123"/>
        <v>4.9299999999999997E-2</v>
      </c>
      <c r="CD168" s="12"/>
      <c r="CF168" s="12"/>
      <c r="CG168" s="12"/>
      <c r="CH168" s="12"/>
    </row>
    <row r="169" spans="21:86">
      <c r="U169" s="13">
        <f t="shared" ref="U169:U200" si="125">$AL$47*$BA169^2+$AL$48*$BA169+$AL$49</f>
        <v>5.4609935180055409</v>
      </c>
      <c r="V169" s="13">
        <f t="shared" ref="V169:V200" si="126">$AL$50*$BA169^2+$AL$51*$BA169+$AL$52</f>
        <v>5.6336686426592797</v>
      </c>
      <c r="W169" s="13">
        <f t="shared" ref="W169:W200" si="127">$AL$53*$BA169^2+$AL$54*$BA169+$AL$55</f>
        <v>5.7102984487534627</v>
      </c>
      <c r="X169" s="13">
        <f t="shared" ref="X169:X200" si="128">$AM$47*$BA169^2+$AM$48*$BA169+$AM$49</f>
        <v>5.5547163988919648</v>
      </c>
      <c r="Y169" s="13">
        <f t="shared" ref="Y169:Y200" si="129">$AM$50*$BA169^2+$AM$51*$BA169+$AM$52</f>
        <v>5.6831242659279777</v>
      </c>
      <c r="Z169" s="13">
        <f t="shared" ref="Z169:Z200" si="130">$AM$53*$BA169^2+$AM$54*$BA169+$AM$55</f>
        <v>5.7403511911357334</v>
      </c>
      <c r="AA169" s="13">
        <f t="shared" ref="AA169:AA200" si="131">$AN$47*$BA169^2+$AN$48*$BA169+$AN$49</f>
        <v>5.6015068144044315</v>
      </c>
      <c r="AB169" s="13">
        <f t="shared" ref="AB169:AB200" si="132">$AN$50*$BA169^2+$AN$51*$BA169+$AN$52</f>
        <v>5.7080869806094165</v>
      </c>
      <c r="AC169" s="13">
        <f t="shared" ref="AC169:AC200" si="133">$AN$53*$BA169^2+$AN$54*$BA169+$AN$55</f>
        <v>5.7552784487534607</v>
      </c>
      <c r="AD169" s="13">
        <f t="shared" ref="AD169:AD200" si="134">$AL$74*$BA169^2+$AL$75*$BA169+$AL$76</f>
        <v>4.6637232686980603</v>
      </c>
      <c r="AE169" s="13">
        <f t="shared" ref="AE169:AE200" si="135">$AL$77*$BA169^2+$AL$78*$BA169+$AL$79</f>
        <v>4.1682885872576172</v>
      </c>
      <c r="AF169" s="13">
        <f t="shared" ref="AF169:AF200" si="136">$AL$80*$BA169^2+$AL$81*$BA169+$AL$82</f>
        <v>3.6811258171745154</v>
      </c>
      <c r="AG169" s="13">
        <f t="shared" ref="AG169:AG200" si="137">$AM$74*$BA169^2+$AM$75*$BA169+$AM$76</f>
        <v>5.0314494736842104</v>
      </c>
      <c r="AH169" s="13">
        <f t="shared" ref="AH169:AH200" si="138">$AM$77*$BA169^2+$AM$78*$BA169+$AM$79</f>
        <v>4.6960776731301941</v>
      </c>
      <c r="AI169" s="13">
        <f t="shared" ref="AI169:AI200" si="139">$AM$80*$BA169^2+$AM$81*$BA169+$AM$82</f>
        <v>4.3092891412742382</v>
      </c>
      <c r="AJ169" s="13">
        <f t="shared" ref="AJ169:AJ200" si="140">$AN$74*$BA169^2+$AN$75*$BA169+$AN$76</f>
        <v>5.2102116897506932</v>
      </c>
      <c r="AK169" s="13">
        <f t="shared" ref="AK169:AK200" si="141">$AN$77*$BA169^2+$AN$78*$BA169+$AN$79</f>
        <v>4.9730129639889196</v>
      </c>
      <c r="AL169" s="13">
        <f t="shared" ref="AL169:AL200" si="142">$AN$80*$BA169^2+$AN$81*$BA169+$AN$82</f>
        <v>4.6825638781163423</v>
      </c>
      <c r="AM169" s="13">
        <f t="shared" ref="AM169:AM200" si="143">IF($AP$104&lt;=0.05,X169+($AP$104-0.05)/0.013*(Y169-X169),Y169+($AP$104-0.05)/0.013*(Z169-Y169))</f>
        <v>5.7491553334753878</v>
      </c>
      <c r="AN169" s="13">
        <f t="shared" ref="AN169:AN200" si="144">IF($AO$104&lt;=0.05,V169+($AO$104-0.05)/0.013*(V169-U169),V169+($AO$104-0.05)/0.013*(W169-V169))</f>
        <v>5.7220876496910291</v>
      </c>
      <c r="AO169" s="322">
        <f t="shared" si="89"/>
        <v>5.7220876496910291</v>
      </c>
      <c r="AP169" s="322">
        <f t="shared" si="124"/>
        <v>5.7491553334753878</v>
      </c>
      <c r="AQ169" s="322">
        <f t="shared" ref="AQ169:AQ200" si="145">IF($AQ$104&lt;=0.05,AA169+($AQ$104-0.05)/0.013*(AB169-AA169),AB169+($AQ$104-0.05)/0.013*(AC169-AB169))</f>
        <v>5.7625386746217755</v>
      </c>
      <c r="AR169" s="324">
        <f t="shared" ref="AR169:AR200" si="146">IF($AR$104&lt;=0.05,AD169+($AR$104-0.05)/0.013*(AE169-AD169),AE169+($AR$104-0.05)/0.013*(AF169-AE169))</f>
        <v>3.6061776987001921</v>
      </c>
      <c r="AS169" s="324">
        <f t="shared" ref="AS169:AS200" si="147">IF($AS$104&lt;=0.05,AG169+($AS$104-0.05)/0.013*(AH169-AG169),AH169+($AS$104-0.05)/0.013*(AI169-AH169))</f>
        <v>4.2497832132963991</v>
      </c>
      <c r="AT169" s="324">
        <f t="shared" ref="AT169:AT200" si="148">IF($AS$104&lt;=0.05,AJ169+($AS$104-0.05)/0.013*(AK169-AJ169),AK169+($AS$104-0.05)/0.013*(AL169-AK169))</f>
        <v>4.637879403366715</v>
      </c>
      <c r="AU169" s="106">
        <f t="shared" ref="AU169:AU200" ca="1" si="149">IF((ROW(AO169)-$BG$7)&gt;105,OFFSET(AO169,-$BG$7,0),$AO$105)</f>
        <v>5.7220876496910291</v>
      </c>
      <c r="AV169" s="106">
        <f t="shared" ref="AV169:AV200" ca="1" si="150">IF((ROW(AP169)-$BG$7)&gt;105,OFFSET(AP169,-$BG$7,0),$AP$105)</f>
        <v>5.7491553334753878</v>
      </c>
      <c r="AW169" s="106">
        <f t="shared" ref="AW169:AW200" ca="1" si="151">IF((ROW(AQ169)-$BG$7)&gt;105,OFFSET(AQ169,-$BG$7,0),$AQ$105)</f>
        <v>5.7625386746217755</v>
      </c>
      <c r="AX169" s="106">
        <f t="shared" ref="AX169:AX200" ca="1" si="152">IF((ROW(AR169)-$BG$7)&gt;105,OFFSET(AR169,-$BG$7,0),$AR$105)</f>
        <v>3.6061776987001921</v>
      </c>
      <c r="AY169" s="106">
        <f t="shared" ref="AY169:AY200" ca="1" si="153">IF((ROW(AS169)-$BG$7)&gt;105,OFFSET(AS169,-$BG$7,0),$AS$105)</f>
        <v>4.2497832132963991</v>
      </c>
      <c r="AZ169" s="106">
        <f t="shared" ref="AZ169:AZ200" ca="1" si="154">IF((ROW(AT169)-$BG$7)&gt;105,OFFSET(AT169,-$BG$7,0),$AT$105)</f>
        <v>4.637879403366715</v>
      </c>
      <c r="BA169" s="324">
        <v>5.6</v>
      </c>
      <c r="BB169" s="13" cm="1">
        <f t="array" ref="BB169">INDEX(AO169:AQ169,$AI$39)</f>
        <v>5.7220876496910291</v>
      </c>
      <c r="BC169" s="13" cm="1">
        <f t="array" ref="BC169">INDEX(AR169:AT169,$AI$39)</f>
        <v>3.6061776987001921</v>
      </c>
      <c r="BD169" s="324">
        <v>5.6</v>
      </c>
      <c r="BE169" s="12"/>
      <c r="BF169" s="12"/>
      <c r="BG169" s="12"/>
      <c r="BH169" s="12"/>
      <c r="BI169" s="12"/>
      <c r="BJ169" s="12"/>
      <c r="BK169" s="12"/>
      <c r="BL169" s="12"/>
      <c r="BM169" s="12"/>
      <c r="BN169" s="12"/>
      <c r="BO169" s="12"/>
      <c r="BP169" s="12"/>
      <c r="BQ169" s="12"/>
      <c r="BR169" s="12"/>
      <c r="BS169" s="106">
        <v>9.1999999999999993</v>
      </c>
      <c r="BT169" s="12" t="s">
        <v>449</v>
      </c>
      <c r="BU169" s="7" t="str">
        <f t="shared" si="121"/>
        <v>---------</v>
      </c>
      <c r="BV169" s="290">
        <v>1.4200000000000299</v>
      </c>
      <c r="BW169" s="59">
        <v>160</v>
      </c>
      <c r="BX169" s="168" t="str">
        <f t="shared" si="122"/>
        <v>---------</v>
      </c>
      <c r="BY169" s="182">
        <v>4.9200000000000001E-2</v>
      </c>
      <c r="BZ169" s="185">
        <v>160</v>
      </c>
      <c r="CA169" s="184">
        <f t="shared" si="123"/>
        <v>4.9200000000000001E-2</v>
      </c>
      <c r="CD169" s="12"/>
      <c r="CF169" s="12"/>
      <c r="CG169" s="12"/>
      <c r="CH169" s="12"/>
    </row>
    <row r="170" spans="21:86">
      <c r="U170" s="13">
        <f t="shared" si="125"/>
        <v>5.3590122675108836</v>
      </c>
      <c r="V170" s="13">
        <f t="shared" si="126"/>
        <v>5.5317583300356157</v>
      </c>
      <c r="W170" s="13">
        <f t="shared" si="127"/>
        <v>5.6089095844875354</v>
      </c>
      <c r="X170" s="13">
        <f t="shared" si="128"/>
        <v>5.4527326632370379</v>
      </c>
      <c r="Y170" s="13">
        <f t="shared" si="129"/>
        <v>5.5814853343886037</v>
      </c>
      <c r="Z170" s="13">
        <f t="shared" si="130"/>
        <v>5.6392336367233868</v>
      </c>
      <c r="AA170" s="13">
        <f t="shared" si="131"/>
        <v>5.4995225959635938</v>
      </c>
      <c r="AB170" s="13">
        <f t="shared" si="132"/>
        <v>5.6065921329639874</v>
      </c>
      <c r="AC170" s="13">
        <f t="shared" si="133"/>
        <v>5.6542907874950519</v>
      </c>
      <c r="AD170" s="13">
        <f t="shared" si="134"/>
        <v>4.6092945785516415</v>
      </c>
      <c r="AE170" s="13">
        <f t="shared" si="135"/>
        <v>4.1317472813612977</v>
      </c>
      <c r="AF170" s="13">
        <f t="shared" si="136"/>
        <v>3.6572089829837751</v>
      </c>
      <c r="AG170" s="13">
        <f t="shared" si="137"/>
        <v>4.9624509774436092</v>
      </c>
      <c r="AH170" s="13">
        <f t="shared" si="138"/>
        <v>4.642650993272655</v>
      </c>
      <c r="AI170" s="13">
        <f t="shared" si="139"/>
        <v>4.2689382192322913</v>
      </c>
      <c r="AJ170" s="13">
        <f t="shared" si="140"/>
        <v>5.1330849544914932</v>
      </c>
      <c r="AK170" s="13">
        <f t="shared" si="141"/>
        <v>4.9085240364068063</v>
      </c>
      <c r="AL170" s="13">
        <f t="shared" si="142"/>
        <v>4.6296302493074784</v>
      </c>
      <c r="AM170" s="13">
        <f t="shared" si="143"/>
        <v>5.6481179909287382</v>
      </c>
      <c r="AN170" s="13">
        <f t="shared" si="144"/>
        <v>5.6207790082493689</v>
      </c>
      <c r="AO170" s="322">
        <f t="shared" si="89"/>
        <v>5.6207790082493689</v>
      </c>
      <c r="AP170" s="322">
        <f t="shared" si="124"/>
        <v>5.6481179909287382</v>
      </c>
      <c r="AQ170" s="322">
        <f t="shared" si="145"/>
        <v>5.6616290420382924</v>
      </c>
      <c r="AR170" s="324">
        <f t="shared" si="146"/>
        <v>3.5842030909256946</v>
      </c>
      <c r="AS170" s="324">
        <f t="shared" si="147"/>
        <v>4.2114439463030049</v>
      </c>
      <c r="AT170" s="324">
        <f t="shared" si="148"/>
        <v>4.5867235128306589</v>
      </c>
      <c r="AU170" s="106">
        <f t="shared" ca="1" si="149"/>
        <v>5.6207790082493689</v>
      </c>
      <c r="AV170" s="106">
        <f t="shared" ca="1" si="150"/>
        <v>5.6481179909287382</v>
      </c>
      <c r="AW170" s="106">
        <f t="shared" ca="1" si="151"/>
        <v>5.6616290420382924</v>
      </c>
      <c r="AX170" s="106">
        <f t="shared" ca="1" si="152"/>
        <v>3.5842030909256946</v>
      </c>
      <c r="AY170" s="106">
        <f t="shared" ca="1" si="153"/>
        <v>4.2114439463030049</v>
      </c>
      <c r="AZ170" s="106">
        <f t="shared" ca="1" si="154"/>
        <v>4.5867235128306589</v>
      </c>
      <c r="BA170" s="324">
        <v>5.5</v>
      </c>
      <c r="BB170" s="13" cm="1">
        <f t="array" ref="BB170">INDEX(AO170:AQ170,$AI$39)</f>
        <v>5.6207790082493689</v>
      </c>
      <c r="BC170" s="13" cm="1">
        <f t="array" ref="BC170">INDEX(AR170:AT170,$AI$39)</f>
        <v>3.5842030909256946</v>
      </c>
      <c r="BD170" s="324">
        <v>5.5</v>
      </c>
      <c r="BE170" s="12"/>
      <c r="BF170" s="12"/>
      <c r="BG170" s="12"/>
      <c r="BH170" s="12"/>
      <c r="BI170" s="12"/>
      <c r="BJ170" s="12"/>
      <c r="BK170" s="12"/>
      <c r="BL170" s="12"/>
      <c r="BM170" s="12"/>
      <c r="BN170" s="12"/>
      <c r="BO170" s="12"/>
      <c r="BP170" s="12"/>
      <c r="BQ170" s="12"/>
      <c r="BR170" s="12"/>
      <c r="BS170" s="106">
        <v>9.1</v>
      </c>
      <c r="BT170" s="12" t="s">
        <v>450</v>
      </c>
      <c r="BU170" s="7" t="str">
        <f t="shared" si="121"/>
        <v>---------</v>
      </c>
      <c r="BV170" s="290">
        <v>1.4100000000000299</v>
      </c>
      <c r="BW170" s="59">
        <v>161</v>
      </c>
      <c r="BX170" s="168" t="str">
        <f t="shared" si="122"/>
        <v>---------</v>
      </c>
      <c r="BY170" s="182">
        <v>4.9099999999999998E-2</v>
      </c>
      <c r="BZ170" s="185">
        <v>161</v>
      </c>
      <c r="CA170" s="184">
        <f t="shared" si="123"/>
        <v>4.9099999999999998E-2</v>
      </c>
      <c r="CD170" s="12"/>
      <c r="CF170" s="12"/>
      <c r="CG170" s="12"/>
      <c r="CH170" s="12"/>
    </row>
    <row r="171" spans="21:86">
      <c r="U171" s="13">
        <f t="shared" si="125"/>
        <v>5.2571832132963996</v>
      </c>
      <c r="V171" s="13">
        <f t="shared" si="126"/>
        <v>5.429883434903048</v>
      </c>
      <c r="W171" s="13">
        <f t="shared" si="127"/>
        <v>5.5075201662049871</v>
      </c>
      <c r="X171" s="13">
        <f t="shared" si="128"/>
        <v>5.3508510249307468</v>
      </c>
      <c r="Y171" s="13">
        <f t="shared" si="129"/>
        <v>5.4798708587257625</v>
      </c>
      <c r="Z171" s="13">
        <f t="shared" si="130"/>
        <v>5.5381155678670355</v>
      </c>
      <c r="AA171" s="13">
        <f t="shared" si="131"/>
        <v>5.397615623268698</v>
      </c>
      <c r="AB171" s="13">
        <f t="shared" si="132"/>
        <v>5.5051155678670352</v>
      </c>
      <c r="AC171" s="13">
        <f t="shared" si="133"/>
        <v>5.5533033240997218</v>
      </c>
      <c r="AD171" s="13">
        <f t="shared" si="134"/>
        <v>4.5536606648199438</v>
      </c>
      <c r="AE171" s="13">
        <f t="shared" si="135"/>
        <v>4.0940936288088654</v>
      </c>
      <c r="AF171" s="13">
        <f t="shared" si="136"/>
        <v>3.6324254293628808</v>
      </c>
      <c r="AG171" s="13">
        <f t="shared" si="137"/>
        <v>4.8925336842105267</v>
      </c>
      <c r="AH171" s="13">
        <f t="shared" si="138"/>
        <v>4.5881776177285314</v>
      </c>
      <c r="AI171" s="13">
        <f t="shared" si="139"/>
        <v>4.2275653739612196</v>
      </c>
      <c r="AJ171" s="13">
        <f t="shared" si="140"/>
        <v>5.0552575069252086</v>
      </c>
      <c r="AK171" s="13">
        <f t="shared" si="141"/>
        <v>4.8431735734072028</v>
      </c>
      <c r="AL171" s="13">
        <f t="shared" si="142"/>
        <v>4.5757506371191141</v>
      </c>
      <c r="AM171" s="13">
        <f t="shared" si="143"/>
        <v>5.5470762923503081</v>
      </c>
      <c r="AN171" s="13">
        <f t="shared" si="144"/>
        <v>5.5194642787129773</v>
      </c>
      <c r="AO171" s="322">
        <f t="shared" si="89"/>
        <v>5.5194642787129773</v>
      </c>
      <c r="AP171" s="322">
        <f t="shared" si="124"/>
        <v>5.5470762923503081</v>
      </c>
      <c r="AQ171" s="322">
        <f t="shared" si="145"/>
        <v>5.5607168250585968</v>
      </c>
      <c r="AR171" s="324">
        <f t="shared" si="146"/>
        <v>3.561399552525037</v>
      </c>
      <c r="AS171" s="324">
        <f t="shared" si="147"/>
        <v>4.1720865672277867</v>
      </c>
      <c r="AT171" s="324">
        <f t="shared" si="148"/>
        <v>4.5346086469209466</v>
      </c>
      <c r="AU171" s="106">
        <f t="shared" ca="1" si="149"/>
        <v>5.5194642787129773</v>
      </c>
      <c r="AV171" s="106">
        <f t="shared" ca="1" si="150"/>
        <v>5.5470762923503081</v>
      </c>
      <c r="AW171" s="106">
        <f t="shared" ca="1" si="151"/>
        <v>5.5607168250585968</v>
      </c>
      <c r="AX171" s="106">
        <f t="shared" ca="1" si="152"/>
        <v>3.561399552525037</v>
      </c>
      <c r="AY171" s="106">
        <f t="shared" ca="1" si="153"/>
        <v>4.1720865672277867</v>
      </c>
      <c r="AZ171" s="106">
        <f t="shared" ca="1" si="154"/>
        <v>4.5346086469209466</v>
      </c>
      <c r="BA171" s="324">
        <v>5.4</v>
      </c>
      <c r="BB171" s="13" cm="1">
        <f t="array" ref="BB171">INDEX(AO171:AQ171,$AI$39)</f>
        <v>5.5194642787129773</v>
      </c>
      <c r="BC171" s="13" cm="1">
        <f t="array" ref="BC171">INDEX(AR171:AT171,$AI$39)</f>
        <v>3.561399552525037</v>
      </c>
      <c r="BD171" s="324">
        <v>5.4</v>
      </c>
      <c r="BE171" s="12"/>
      <c r="BF171" s="12"/>
      <c r="BG171" s="12"/>
      <c r="BH171" s="12"/>
      <c r="BI171" s="12"/>
      <c r="BJ171" s="12"/>
      <c r="BK171" s="12"/>
      <c r="BL171" s="12"/>
      <c r="BM171" s="12"/>
      <c r="BN171" s="12"/>
      <c r="BO171" s="12"/>
      <c r="BP171" s="12"/>
      <c r="BQ171" s="12"/>
      <c r="BR171" s="12"/>
      <c r="BS171" s="106">
        <v>9</v>
      </c>
      <c r="BT171" s="12" t="s">
        <v>451</v>
      </c>
      <c r="BU171" s="7" t="str">
        <f t="shared" si="121"/>
        <v>---------</v>
      </c>
      <c r="BV171" s="290">
        <v>1.4000000000000301</v>
      </c>
      <c r="BW171" s="59">
        <v>162</v>
      </c>
      <c r="BX171" s="168" t="str">
        <f t="shared" si="122"/>
        <v>---------</v>
      </c>
      <c r="BY171" s="182">
        <v>4.9000000000000002E-2</v>
      </c>
      <c r="BZ171" s="185">
        <v>162</v>
      </c>
      <c r="CA171" s="184">
        <f t="shared" si="123"/>
        <v>4.9000000000000002E-2</v>
      </c>
      <c r="CD171" s="12"/>
      <c r="CF171" s="12"/>
      <c r="CG171" s="12"/>
      <c r="CH171" s="12"/>
    </row>
    <row r="172" spans="21:86">
      <c r="U172" s="13">
        <f t="shared" si="125"/>
        <v>5.1555063553620899</v>
      </c>
      <c r="V172" s="13">
        <f t="shared" si="126"/>
        <v>5.328043957261575</v>
      </c>
      <c r="W172" s="13">
        <f t="shared" si="127"/>
        <v>5.4061301939058177</v>
      </c>
      <c r="X172" s="13">
        <f t="shared" si="128"/>
        <v>5.2490714839730899</v>
      </c>
      <c r="Y172" s="13">
        <f t="shared" si="129"/>
        <v>5.3782808389394541</v>
      </c>
      <c r="Z172" s="13">
        <f t="shared" si="130"/>
        <v>5.4369969845666786</v>
      </c>
      <c r="AA172" s="13">
        <f t="shared" si="131"/>
        <v>5.2957858963197468</v>
      </c>
      <c r="AB172" s="13">
        <f t="shared" si="132"/>
        <v>5.403657285318558</v>
      </c>
      <c r="AC172" s="13">
        <f t="shared" si="133"/>
        <v>5.4523160585674688</v>
      </c>
      <c r="AD172" s="13">
        <f t="shared" si="134"/>
        <v>4.4968215275029673</v>
      </c>
      <c r="AE172" s="13">
        <f t="shared" si="135"/>
        <v>4.0553276296003169</v>
      </c>
      <c r="AF172" s="13">
        <f t="shared" si="136"/>
        <v>3.6067751563118318</v>
      </c>
      <c r="AG172" s="13">
        <f t="shared" si="137"/>
        <v>4.8216975939849611</v>
      </c>
      <c r="AH172" s="13">
        <f t="shared" si="138"/>
        <v>4.5326575464978234</v>
      </c>
      <c r="AI172" s="13">
        <f t="shared" si="139"/>
        <v>4.1851706054610212</v>
      </c>
      <c r="AJ172" s="13">
        <f t="shared" si="140"/>
        <v>4.9767293470518403</v>
      </c>
      <c r="AK172" s="13">
        <f t="shared" si="141"/>
        <v>4.7769615749901062</v>
      </c>
      <c r="AL172" s="13">
        <f t="shared" si="142"/>
        <v>4.5209250415512461</v>
      </c>
      <c r="AM172" s="13">
        <f t="shared" si="143"/>
        <v>5.4460302377400973</v>
      </c>
      <c r="AN172" s="13">
        <f t="shared" si="144"/>
        <v>5.4181434610818551</v>
      </c>
      <c r="AO172" s="322">
        <f t="shared" si="89"/>
        <v>5.4181434610818551</v>
      </c>
      <c r="AP172" s="322">
        <f t="shared" si="124"/>
        <v>5.4460302377400973</v>
      </c>
      <c r="AQ172" s="322">
        <f t="shared" si="145"/>
        <v>5.4598020236826859</v>
      </c>
      <c r="AR172" s="324">
        <f t="shared" si="146"/>
        <v>3.5377670834982187</v>
      </c>
      <c r="AS172" s="324">
        <f t="shared" si="147"/>
        <v>4.1317110760707436</v>
      </c>
      <c r="AT172" s="324">
        <f t="shared" si="148"/>
        <v>4.4815348056375752</v>
      </c>
      <c r="AU172" s="106">
        <f t="shared" ca="1" si="149"/>
        <v>5.4181434610818551</v>
      </c>
      <c r="AV172" s="106">
        <f t="shared" ca="1" si="150"/>
        <v>5.4460302377400973</v>
      </c>
      <c r="AW172" s="106">
        <f t="shared" ca="1" si="151"/>
        <v>5.4598020236826859</v>
      </c>
      <c r="AX172" s="106">
        <f t="shared" ca="1" si="152"/>
        <v>3.5377670834982187</v>
      </c>
      <c r="AY172" s="106">
        <f t="shared" ca="1" si="153"/>
        <v>4.1317110760707436</v>
      </c>
      <c r="AZ172" s="106">
        <f t="shared" ca="1" si="154"/>
        <v>4.4815348056375752</v>
      </c>
      <c r="BA172" s="324">
        <v>5.3</v>
      </c>
      <c r="BB172" s="13" cm="1">
        <f t="array" ref="BB172">INDEX(AO172:AQ172,$AI$39)</f>
        <v>5.4181434610818551</v>
      </c>
      <c r="BC172" s="13" cm="1">
        <f t="array" ref="BC172">INDEX(AR172:AT172,$AI$39)</f>
        <v>3.5377670834982187</v>
      </c>
      <c r="BD172" s="324">
        <v>5.3</v>
      </c>
      <c r="BE172" s="12"/>
      <c r="BF172" s="12"/>
      <c r="BG172" s="12"/>
      <c r="BH172" s="12"/>
      <c r="BI172" s="12"/>
      <c r="BJ172" s="12"/>
      <c r="BK172" s="12"/>
      <c r="BL172" s="12"/>
      <c r="BM172" s="12"/>
      <c r="BN172" s="12"/>
      <c r="BO172" s="12"/>
      <c r="BP172" s="12"/>
      <c r="BQ172" s="12"/>
      <c r="BR172" s="12"/>
      <c r="BS172" s="106">
        <v>8.9</v>
      </c>
      <c r="BT172" s="12" t="s">
        <v>452</v>
      </c>
      <c r="BU172" s="7" t="str">
        <f t="shared" si="121"/>
        <v>---------</v>
      </c>
      <c r="BV172" s="290">
        <v>1.3900000000000301</v>
      </c>
      <c r="BW172" s="59">
        <v>163</v>
      </c>
      <c r="BX172" s="168" t="str">
        <f t="shared" si="122"/>
        <v>---------</v>
      </c>
      <c r="BY172" s="182">
        <v>4.8899999999999999E-2</v>
      </c>
      <c r="BZ172" s="185">
        <v>163</v>
      </c>
      <c r="CA172" s="184">
        <f t="shared" si="123"/>
        <v>4.8899999999999999E-2</v>
      </c>
      <c r="CB172" s="12"/>
      <c r="CF172" s="12"/>
      <c r="CG172" s="12"/>
      <c r="CH172" s="12"/>
    </row>
    <row r="173" spans="21:86">
      <c r="U173" s="13">
        <f t="shared" si="125"/>
        <v>5.0539816937079545</v>
      </c>
      <c r="V173" s="13">
        <f t="shared" si="126"/>
        <v>5.2262398971111992</v>
      </c>
      <c r="W173" s="13">
        <f t="shared" si="127"/>
        <v>5.3047396675900291</v>
      </c>
      <c r="X173" s="13">
        <f t="shared" si="128"/>
        <v>5.147394040364067</v>
      </c>
      <c r="Y173" s="13">
        <f t="shared" si="129"/>
        <v>5.2767152750296802</v>
      </c>
      <c r="Z173" s="13">
        <f t="shared" si="130"/>
        <v>5.3358778868223187</v>
      </c>
      <c r="AA173" s="13">
        <f t="shared" si="131"/>
        <v>5.1940334151167393</v>
      </c>
      <c r="AB173" s="13">
        <f t="shared" si="132"/>
        <v>5.3022172853185578</v>
      </c>
      <c r="AC173" s="13">
        <f t="shared" si="133"/>
        <v>5.3513289908982973</v>
      </c>
      <c r="AD173" s="13">
        <f t="shared" si="134"/>
        <v>4.4387771666007119</v>
      </c>
      <c r="AE173" s="13">
        <f t="shared" si="135"/>
        <v>4.0154492837356548</v>
      </c>
      <c r="AF173" s="13">
        <f t="shared" si="136"/>
        <v>3.5802581638306288</v>
      </c>
      <c r="AG173" s="13">
        <f t="shared" si="137"/>
        <v>4.7499427067669178</v>
      </c>
      <c r="AH173" s="13">
        <f t="shared" si="138"/>
        <v>4.4760907795805309</v>
      </c>
      <c r="AI173" s="13">
        <f t="shared" si="139"/>
        <v>4.1417539137316979</v>
      </c>
      <c r="AJ173" s="13">
        <f t="shared" si="140"/>
        <v>4.8975004748713893</v>
      </c>
      <c r="AK173" s="13">
        <f t="shared" si="141"/>
        <v>4.7098880411555202</v>
      </c>
      <c r="AL173" s="13">
        <f t="shared" si="142"/>
        <v>4.4651534626038778</v>
      </c>
      <c r="AM173" s="13">
        <f t="shared" si="143"/>
        <v>5.3449798270981095</v>
      </c>
      <c r="AN173" s="13">
        <f t="shared" si="144"/>
        <v>5.3168165553560032</v>
      </c>
      <c r="AO173" s="322">
        <f t="shared" si="89"/>
        <v>5.3168165553560032</v>
      </c>
      <c r="AP173" s="322">
        <f t="shared" si="124"/>
        <v>5.3449798270981095</v>
      </c>
      <c r="AQ173" s="322">
        <f t="shared" si="145"/>
        <v>5.358884637910565</v>
      </c>
      <c r="AR173" s="324">
        <f t="shared" si="146"/>
        <v>3.5133056838452399</v>
      </c>
      <c r="AS173" s="324">
        <f t="shared" si="147"/>
        <v>4.0903174728318774</v>
      </c>
      <c r="AT173" s="324">
        <f t="shared" si="148"/>
        <v>4.4275019889805485</v>
      </c>
      <c r="AU173" s="106">
        <f t="shared" ca="1" si="149"/>
        <v>5.3168165553560032</v>
      </c>
      <c r="AV173" s="106">
        <f t="shared" ca="1" si="150"/>
        <v>5.3449798270981095</v>
      </c>
      <c r="AW173" s="106">
        <f t="shared" ca="1" si="151"/>
        <v>5.358884637910565</v>
      </c>
      <c r="AX173" s="106">
        <f t="shared" ca="1" si="152"/>
        <v>3.5133056838452399</v>
      </c>
      <c r="AY173" s="106">
        <f t="shared" ca="1" si="153"/>
        <v>4.0903174728318774</v>
      </c>
      <c r="AZ173" s="106">
        <f t="shared" ca="1" si="154"/>
        <v>4.4275019889805485</v>
      </c>
      <c r="BA173" s="324">
        <v>5.2</v>
      </c>
      <c r="BB173" s="13" cm="1">
        <f t="array" ref="BB173">INDEX(AO173:AQ173,$AI$39)</f>
        <v>5.3168165553560032</v>
      </c>
      <c r="BC173" s="13" cm="1">
        <f t="array" ref="BC173">INDEX(AR173:AT173,$AI$39)</f>
        <v>3.5133056838452399</v>
      </c>
      <c r="BD173" s="324">
        <v>5.2</v>
      </c>
      <c r="BE173" s="12"/>
      <c r="BF173" s="12"/>
      <c r="BG173" s="12"/>
      <c r="BH173" s="12"/>
      <c r="BI173" s="12"/>
      <c r="BJ173" s="12"/>
      <c r="BK173" s="12"/>
      <c r="BL173" s="12"/>
      <c r="BM173" s="12"/>
      <c r="BN173" s="12"/>
      <c r="BO173" s="12"/>
      <c r="BP173" s="12"/>
      <c r="BQ173" s="12"/>
      <c r="BR173" s="12"/>
      <c r="BS173" s="106">
        <v>8.8000000000000007</v>
      </c>
      <c r="BT173" s="12" t="s">
        <v>453</v>
      </c>
      <c r="BU173" s="7" t="str">
        <f t="shared" si="121"/>
        <v>---------</v>
      </c>
      <c r="BV173" s="290">
        <v>1.3800000000000301</v>
      </c>
      <c r="BW173" s="59">
        <v>164</v>
      </c>
      <c r="BX173" s="168" t="str">
        <f t="shared" si="122"/>
        <v>---------</v>
      </c>
      <c r="BY173" s="182">
        <v>4.8800000000000003E-2</v>
      </c>
      <c r="BZ173" s="185">
        <v>164</v>
      </c>
      <c r="CA173" s="184">
        <f t="shared" si="123"/>
        <v>4.8800000000000003E-2</v>
      </c>
      <c r="CB173" s="12"/>
      <c r="CF173" s="12"/>
      <c r="CG173" s="12"/>
      <c r="CH173" s="12"/>
    </row>
    <row r="174" spans="21:86">
      <c r="U174" s="13">
        <f t="shared" si="125"/>
        <v>4.9526092283339933</v>
      </c>
      <c r="V174" s="13">
        <f t="shared" si="126"/>
        <v>5.1244712544519189</v>
      </c>
      <c r="W174" s="13">
        <f t="shared" si="127"/>
        <v>5.2033485872576177</v>
      </c>
      <c r="X174" s="13">
        <f t="shared" si="128"/>
        <v>5.0458186941036791</v>
      </c>
      <c r="Y174" s="13">
        <f t="shared" si="129"/>
        <v>5.1751741669964382</v>
      </c>
      <c r="Z174" s="13">
        <f t="shared" si="130"/>
        <v>5.2347582746339523</v>
      </c>
      <c r="AA174" s="13">
        <f t="shared" si="131"/>
        <v>5.0923581796596755</v>
      </c>
      <c r="AB174" s="13">
        <f t="shared" si="132"/>
        <v>5.2007955678670337</v>
      </c>
      <c r="AC174" s="13">
        <f t="shared" si="133"/>
        <v>5.2503421210922019</v>
      </c>
      <c r="AD174" s="13">
        <f t="shared" si="134"/>
        <v>4.3795275821131776</v>
      </c>
      <c r="AE174" s="13">
        <f t="shared" si="135"/>
        <v>3.9744585912148787</v>
      </c>
      <c r="AF174" s="13">
        <f t="shared" si="136"/>
        <v>3.5528744519192719</v>
      </c>
      <c r="AG174" s="13">
        <f t="shared" si="137"/>
        <v>4.6772690225563913</v>
      </c>
      <c r="AH174" s="13">
        <f t="shared" si="138"/>
        <v>4.4184773169766522</v>
      </c>
      <c r="AI174" s="13">
        <f t="shared" si="139"/>
        <v>4.0973152987732497</v>
      </c>
      <c r="AJ174" s="13">
        <f t="shared" si="140"/>
        <v>4.8175708903838546</v>
      </c>
      <c r="AK174" s="13">
        <f t="shared" si="141"/>
        <v>4.641952971903442</v>
      </c>
      <c r="AL174" s="13">
        <f t="shared" si="142"/>
        <v>4.4084359002770075</v>
      </c>
      <c r="AM174" s="13">
        <f t="shared" si="143"/>
        <v>5.2439250604243393</v>
      </c>
      <c r="AN174" s="13">
        <f t="shared" si="144"/>
        <v>5.2154835615354171</v>
      </c>
      <c r="AO174" s="322">
        <f t="shared" si="89"/>
        <v>5.2154835615354171</v>
      </c>
      <c r="AP174" s="322">
        <f t="shared" si="124"/>
        <v>5.2439250604243393</v>
      </c>
      <c r="AQ174" s="322">
        <f t="shared" si="145"/>
        <v>5.257964667742228</v>
      </c>
      <c r="AR174" s="324">
        <f t="shared" si="146"/>
        <v>3.4880153535661016</v>
      </c>
      <c r="AS174" s="324">
        <f t="shared" si="147"/>
        <v>4.0479057575111881</v>
      </c>
      <c r="AT174" s="324">
        <f t="shared" si="148"/>
        <v>4.3725101969498636</v>
      </c>
      <c r="AU174" s="106">
        <f t="shared" ca="1" si="149"/>
        <v>5.2154835615354171</v>
      </c>
      <c r="AV174" s="106">
        <f t="shared" ca="1" si="150"/>
        <v>5.2439250604243393</v>
      </c>
      <c r="AW174" s="106">
        <f t="shared" ca="1" si="151"/>
        <v>5.257964667742228</v>
      </c>
      <c r="AX174" s="106">
        <f t="shared" ca="1" si="152"/>
        <v>3.4880153535661016</v>
      </c>
      <c r="AY174" s="106">
        <f t="shared" ca="1" si="153"/>
        <v>4.0479057575111881</v>
      </c>
      <c r="AZ174" s="106">
        <f t="shared" ca="1" si="154"/>
        <v>4.3725101969498636</v>
      </c>
      <c r="BA174" s="324">
        <v>5.0999999999999996</v>
      </c>
      <c r="BB174" s="13" cm="1">
        <f t="array" ref="BB174">INDEX(AO174:AQ174,$AI$39)</f>
        <v>5.2154835615354171</v>
      </c>
      <c r="BC174" s="13" cm="1">
        <f t="array" ref="BC174">INDEX(AR174:AT174,$AI$39)</f>
        <v>3.4880153535661016</v>
      </c>
      <c r="BD174" s="324">
        <v>5.0999999999999996</v>
      </c>
      <c r="BE174" s="12"/>
      <c r="BF174" s="12"/>
      <c r="BG174" s="12"/>
      <c r="BH174" s="12"/>
      <c r="BI174" s="12"/>
      <c r="BJ174" s="12"/>
      <c r="BK174" s="12"/>
      <c r="BL174" s="12"/>
      <c r="BM174" s="12"/>
      <c r="BN174" s="12"/>
      <c r="BO174" s="12"/>
      <c r="BP174" s="12"/>
      <c r="BQ174" s="12"/>
      <c r="BR174" s="12"/>
      <c r="BS174" s="106">
        <v>8.6999999999999993</v>
      </c>
      <c r="BT174" s="12" t="s">
        <v>454</v>
      </c>
      <c r="BU174" s="7" t="str">
        <f t="shared" si="121"/>
        <v>---------</v>
      </c>
      <c r="BV174" s="290">
        <v>1.3700000000000301</v>
      </c>
      <c r="BW174" s="59">
        <v>165</v>
      </c>
      <c r="BX174" s="168" t="str">
        <f t="shared" si="122"/>
        <v>---------</v>
      </c>
      <c r="BY174" s="182">
        <v>4.87E-2</v>
      </c>
      <c r="BZ174" s="185">
        <v>165</v>
      </c>
      <c r="CA174" s="184">
        <f t="shared" si="123"/>
        <v>4.87E-2</v>
      </c>
      <c r="CB174" s="12"/>
      <c r="CF174" s="12"/>
      <c r="CG174" s="12"/>
      <c r="CH174" s="12"/>
    </row>
    <row r="175" spans="21:86">
      <c r="U175" s="13">
        <f t="shared" si="125"/>
        <v>4.8513889592402064</v>
      </c>
      <c r="V175" s="13">
        <f t="shared" si="126"/>
        <v>5.0227380292837367</v>
      </c>
      <c r="W175" s="13">
        <f t="shared" si="127"/>
        <v>5.101956952908588</v>
      </c>
      <c r="X175" s="13">
        <f t="shared" si="128"/>
        <v>4.9443454451919262</v>
      </c>
      <c r="Y175" s="13">
        <f t="shared" si="129"/>
        <v>5.0736575148397307</v>
      </c>
      <c r="Z175" s="13">
        <f t="shared" si="130"/>
        <v>5.133638148001582</v>
      </c>
      <c r="AA175" s="13">
        <f t="shared" si="131"/>
        <v>4.9907601899485554</v>
      </c>
      <c r="AB175" s="13">
        <f t="shared" si="132"/>
        <v>5.0993921329639873</v>
      </c>
      <c r="AC175" s="13">
        <f t="shared" si="133"/>
        <v>5.1493554491491871</v>
      </c>
      <c r="AD175" s="13">
        <f t="shared" si="134"/>
        <v>4.3190727740403636</v>
      </c>
      <c r="AE175" s="13">
        <f t="shared" si="135"/>
        <v>3.9323555520379894</v>
      </c>
      <c r="AF175" s="13">
        <f t="shared" si="136"/>
        <v>3.5246240205777601</v>
      </c>
      <c r="AG175" s="13">
        <f t="shared" si="137"/>
        <v>4.6036765413533836</v>
      </c>
      <c r="AH175" s="13">
        <f t="shared" si="138"/>
        <v>4.3598171586861891</v>
      </c>
      <c r="AI175" s="13">
        <f t="shared" si="139"/>
        <v>4.051854760585675</v>
      </c>
      <c r="AJ175" s="13">
        <f t="shared" si="140"/>
        <v>4.736940593589237</v>
      </c>
      <c r="AK175" s="13">
        <f t="shared" si="141"/>
        <v>4.5731563672338744</v>
      </c>
      <c r="AL175" s="13">
        <f t="shared" si="142"/>
        <v>4.3507723545706369</v>
      </c>
      <c r="AM175" s="13">
        <f t="shared" si="143"/>
        <v>5.1428659377187902</v>
      </c>
      <c r="AN175" s="13">
        <f t="shared" si="144"/>
        <v>5.1141444796201032</v>
      </c>
      <c r="AO175" s="322">
        <f t="shared" si="89"/>
        <v>5.1141444796201032</v>
      </c>
      <c r="AP175" s="322">
        <f t="shared" si="124"/>
        <v>5.1428659377187902</v>
      </c>
      <c r="AQ175" s="322">
        <f t="shared" si="145"/>
        <v>5.1570421131776794</v>
      </c>
      <c r="AR175" s="324">
        <f t="shared" si="146"/>
        <v>3.4618960926608016</v>
      </c>
      <c r="AS175" s="324">
        <f t="shared" si="147"/>
        <v>4.004475930108673</v>
      </c>
      <c r="AT175" s="324">
        <f t="shared" si="148"/>
        <v>4.3165594295455234</v>
      </c>
      <c r="AU175" s="106">
        <f t="shared" ca="1" si="149"/>
        <v>5.1141444796201032</v>
      </c>
      <c r="AV175" s="106">
        <f t="shared" ca="1" si="150"/>
        <v>5.1428659377187902</v>
      </c>
      <c r="AW175" s="106">
        <f t="shared" ca="1" si="151"/>
        <v>5.1570421131776794</v>
      </c>
      <c r="AX175" s="106">
        <f t="shared" ca="1" si="152"/>
        <v>3.4618960926608016</v>
      </c>
      <c r="AY175" s="106">
        <f t="shared" ca="1" si="153"/>
        <v>4.004475930108673</v>
      </c>
      <c r="AZ175" s="106">
        <f t="shared" ca="1" si="154"/>
        <v>4.3165594295455234</v>
      </c>
      <c r="BA175" s="324">
        <v>5</v>
      </c>
      <c r="BB175" s="13" cm="1">
        <f t="array" ref="BB175">INDEX(AO175:AQ175,$AI$39)</f>
        <v>5.1141444796201032</v>
      </c>
      <c r="BC175" s="13" cm="1">
        <f t="array" ref="BC175">INDEX(AR175:AT175,$AI$39)</f>
        <v>3.4618960926608016</v>
      </c>
      <c r="BD175" s="324">
        <v>5</v>
      </c>
      <c r="BE175" s="12"/>
      <c r="BF175" s="12"/>
      <c r="BG175" s="12"/>
      <c r="BH175" s="12"/>
      <c r="BI175" s="12"/>
      <c r="BJ175" s="12"/>
      <c r="BK175" s="12"/>
      <c r="BL175" s="12"/>
      <c r="BM175" s="12"/>
      <c r="BN175" s="12"/>
      <c r="BO175" s="12"/>
      <c r="BP175" s="12"/>
      <c r="BQ175" s="12"/>
      <c r="BR175" s="12"/>
      <c r="BS175" s="106">
        <v>8.6</v>
      </c>
      <c r="BT175" s="12" t="s">
        <v>455</v>
      </c>
      <c r="BU175" s="7" t="str">
        <f t="shared" si="121"/>
        <v>---------</v>
      </c>
      <c r="BV175" s="290">
        <v>1.3600000000000301</v>
      </c>
      <c r="BW175" s="59">
        <v>166</v>
      </c>
      <c r="BX175" s="168" t="str">
        <f t="shared" si="122"/>
        <v>---------</v>
      </c>
      <c r="BY175" s="182">
        <v>4.8599999999999997E-2</v>
      </c>
      <c r="BZ175" s="185">
        <v>166</v>
      </c>
      <c r="CA175" s="184">
        <f t="shared" si="123"/>
        <v>4.8599999999999997E-2</v>
      </c>
      <c r="CB175" s="12"/>
      <c r="CF175" s="12"/>
      <c r="CG175" s="12"/>
      <c r="CH175" s="12"/>
    </row>
    <row r="176" spans="21:86">
      <c r="U176" s="13">
        <f t="shared" si="125"/>
        <v>4.7503208864265938</v>
      </c>
      <c r="V176" s="13">
        <f t="shared" si="126"/>
        <v>4.92104022160665</v>
      </c>
      <c r="W176" s="13">
        <f t="shared" si="127"/>
        <v>5.0005647645429372</v>
      </c>
      <c r="X176" s="13">
        <f t="shared" si="128"/>
        <v>4.8429742936288074</v>
      </c>
      <c r="Y176" s="13">
        <f t="shared" si="129"/>
        <v>4.9721653185595578</v>
      </c>
      <c r="Z176" s="13">
        <f t="shared" si="130"/>
        <v>5.0325175069252079</v>
      </c>
      <c r="AA176" s="13">
        <f t="shared" si="131"/>
        <v>4.8892394459833799</v>
      </c>
      <c r="AB176" s="13">
        <f t="shared" si="132"/>
        <v>4.9980069806094178</v>
      </c>
      <c r="AC176" s="13">
        <f t="shared" si="133"/>
        <v>5.0483689750692511</v>
      </c>
      <c r="AD176" s="13">
        <f t="shared" si="134"/>
        <v>4.2574127423822716</v>
      </c>
      <c r="AE176" s="13">
        <f t="shared" si="135"/>
        <v>3.8891401662049865</v>
      </c>
      <c r="AF176" s="13">
        <f t="shared" si="136"/>
        <v>3.4955068698060945</v>
      </c>
      <c r="AG176" s="13">
        <f t="shared" si="137"/>
        <v>4.5291652631578945</v>
      </c>
      <c r="AH176" s="13">
        <f t="shared" si="138"/>
        <v>4.3001103047091416</v>
      </c>
      <c r="AI176" s="13">
        <f t="shared" si="139"/>
        <v>4.0053722991689753</v>
      </c>
      <c r="AJ176" s="13">
        <f t="shared" si="140"/>
        <v>4.6556095844875358</v>
      </c>
      <c r="AK176" s="13">
        <f t="shared" si="141"/>
        <v>4.5034982271468138</v>
      </c>
      <c r="AL176" s="13">
        <f t="shared" si="142"/>
        <v>4.2921628254847644</v>
      </c>
      <c r="AM176" s="13">
        <f t="shared" si="143"/>
        <v>5.0418024589814614</v>
      </c>
      <c r="AN176" s="13">
        <f t="shared" si="144"/>
        <v>5.0127993096100587</v>
      </c>
      <c r="AO176" s="322">
        <f t="shared" si="89"/>
        <v>5.0127993096100587</v>
      </c>
      <c r="AP176" s="322">
        <f t="shared" si="124"/>
        <v>5.0418024589814614</v>
      </c>
      <c r="AQ176" s="322">
        <f t="shared" si="145"/>
        <v>5.0561169742169181</v>
      </c>
      <c r="AR176" s="324">
        <f t="shared" si="146"/>
        <v>3.434947901129342</v>
      </c>
      <c r="AS176" s="324">
        <f t="shared" si="147"/>
        <v>3.9600279906243343</v>
      </c>
      <c r="AT176" s="324">
        <f t="shared" si="148"/>
        <v>4.259649686767526</v>
      </c>
      <c r="AU176" s="106">
        <f t="shared" ca="1" si="149"/>
        <v>5.0127993096100587</v>
      </c>
      <c r="AV176" s="106">
        <f t="shared" ca="1" si="150"/>
        <v>5.0418024589814614</v>
      </c>
      <c r="AW176" s="106">
        <f t="shared" ca="1" si="151"/>
        <v>5.0561169742169181</v>
      </c>
      <c r="AX176" s="106">
        <f t="shared" ca="1" si="152"/>
        <v>3.434947901129342</v>
      </c>
      <c r="AY176" s="106">
        <f t="shared" ca="1" si="153"/>
        <v>3.9600279906243343</v>
      </c>
      <c r="AZ176" s="106">
        <f t="shared" ca="1" si="154"/>
        <v>4.259649686767526</v>
      </c>
      <c r="BA176" s="324">
        <v>4.9000000000000004</v>
      </c>
      <c r="BB176" s="13" cm="1">
        <f t="array" ref="BB176">INDEX(AO176:AQ176,$AI$39)</f>
        <v>5.0127993096100587</v>
      </c>
      <c r="BC176" s="13" cm="1">
        <f t="array" ref="BC176">INDEX(AR176:AT176,$AI$39)</f>
        <v>3.434947901129342</v>
      </c>
      <c r="BD176" s="324">
        <v>4.9000000000000004</v>
      </c>
      <c r="BE176" s="12"/>
      <c r="BF176" s="12"/>
      <c r="BG176" s="12"/>
      <c r="BH176" s="12"/>
      <c r="BI176" s="12"/>
      <c r="BJ176" s="12"/>
      <c r="BK176" s="12"/>
      <c r="BL176" s="12"/>
      <c r="BM176" s="12"/>
      <c r="BN176" s="12"/>
      <c r="BO176" s="12"/>
      <c r="BP176" s="12"/>
      <c r="BQ176" s="12"/>
      <c r="BR176" s="12"/>
      <c r="BS176" s="106">
        <v>8.5</v>
      </c>
      <c r="BT176" s="12" t="s">
        <v>456</v>
      </c>
      <c r="BU176" s="7" t="str">
        <f t="shared" si="121"/>
        <v>---------</v>
      </c>
      <c r="BV176" s="290">
        <v>1.3500000000000401</v>
      </c>
      <c r="BW176" s="59">
        <v>167</v>
      </c>
      <c r="BX176" s="168" t="str">
        <f t="shared" si="122"/>
        <v>---------</v>
      </c>
      <c r="BY176" s="182">
        <v>4.8500000000000001E-2</v>
      </c>
      <c r="BZ176" s="185">
        <v>167</v>
      </c>
      <c r="CA176" s="184">
        <f t="shared" si="123"/>
        <v>4.8500000000000001E-2</v>
      </c>
      <c r="CF176" s="12"/>
      <c r="CG176" s="12"/>
      <c r="CH176" s="12"/>
    </row>
    <row r="177" spans="21:86">
      <c r="U177" s="13">
        <f t="shared" si="125"/>
        <v>4.6494050098931545</v>
      </c>
      <c r="V177" s="13">
        <f t="shared" si="126"/>
        <v>4.8193778314206579</v>
      </c>
      <c r="W177" s="13">
        <f t="shared" si="127"/>
        <v>4.8991720221606654</v>
      </c>
      <c r="X177" s="13">
        <f t="shared" si="128"/>
        <v>4.7417052394143235</v>
      </c>
      <c r="Y177" s="13">
        <f t="shared" si="129"/>
        <v>4.8706975781559159</v>
      </c>
      <c r="Z177" s="13">
        <f t="shared" si="130"/>
        <v>4.9313963514048265</v>
      </c>
      <c r="AA177" s="13">
        <f t="shared" si="131"/>
        <v>4.7877959477641472</v>
      </c>
      <c r="AB177" s="13">
        <f t="shared" si="132"/>
        <v>4.8966401108033226</v>
      </c>
      <c r="AC177" s="13">
        <f t="shared" si="133"/>
        <v>4.9473826988523921</v>
      </c>
      <c r="AD177" s="13">
        <f t="shared" si="134"/>
        <v>4.194547487138899</v>
      </c>
      <c r="AE177" s="13">
        <f t="shared" si="135"/>
        <v>3.8448124337158682</v>
      </c>
      <c r="AF177" s="13">
        <f t="shared" si="136"/>
        <v>3.465522999604274</v>
      </c>
      <c r="AG177" s="13">
        <f t="shared" si="137"/>
        <v>4.4537351879699241</v>
      </c>
      <c r="AH177" s="13">
        <f t="shared" si="138"/>
        <v>4.2393567550455078</v>
      </c>
      <c r="AI177" s="13">
        <f t="shared" si="139"/>
        <v>3.9578679145231499</v>
      </c>
      <c r="AJ177" s="13">
        <f t="shared" si="140"/>
        <v>4.5735778630787491</v>
      </c>
      <c r="AK177" s="13">
        <f t="shared" si="141"/>
        <v>4.4329785516422637</v>
      </c>
      <c r="AL177" s="13">
        <f t="shared" si="142"/>
        <v>4.2326073130193897</v>
      </c>
      <c r="AM177" s="13">
        <f t="shared" si="143"/>
        <v>4.9407346242123511</v>
      </c>
      <c r="AN177" s="13">
        <f t="shared" si="144"/>
        <v>4.9114480515052819</v>
      </c>
      <c r="AO177" s="322">
        <f t="shared" si="89"/>
        <v>4.9114480515052819</v>
      </c>
      <c r="AP177" s="322">
        <f t="shared" si="124"/>
        <v>4.9407346242123511</v>
      </c>
      <c r="AQ177" s="322">
        <f t="shared" si="145"/>
        <v>4.9551892508599416</v>
      </c>
      <c r="AR177" s="324">
        <f t="shared" si="146"/>
        <v>3.4071707789717212</v>
      </c>
      <c r="AS177" s="324">
        <f t="shared" si="147"/>
        <v>3.9145619390581716</v>
      </c>
      <c r="AT177" s="324">
        <f t="shared" si="148"/>
        <v>4.2017809686158705</v>
      </c>
      <c r="AU177" s="106">
        <f t="shared" ca="1" si="149"/>
        <v>4.9114480515052819</v>
      </c>
      <c r="AV177" s="106">
        <f t="shared" ca="1" si="150"/>
        <v>4.9407346242123511</v>
      </c>
      <c r="AW177" s="106">
        <f t="shared" ca="1" si="151"/>
        <v>4.9551892508599416</v>
      </c>
      <c r="AX177" s="106">
        <f t="shared" ca="1" si="152"/>
        <v>3.4071707789717212</v>
      </c>
      <c r="AY177" s="106">
        <f t="shared" ca="1" si="153"/>
        <v>3.9145619390581716</v>
      </c>
      <c r="AZ177" s="106">
        <f t="shared" ca="1" si="154"/>
        <v>4.2017809686158705</v>
      </c>
      <c r="BA177" s="324">
        <v>4.8</v>
      </c>
      <c r="BB177" s="13" cm="1">
        <f t="array" ref="BB177">INDEX(AO177:AQ177,$AI$39)</f>
        <v>4.9114480515052819</v>
      </c>
      <c r="BC177" s="13" cm="1">
        <f t="array" ref="BC177">INDEX(AR177:AT177,$AI$39)</f>
        <v>3.4071707789717212</v>
      </c>
      <c r="BD177" s="324">
        <v>4.8</v>
      </c>
      <c r="BE177" s="12"/>
      <c r="BF177" s="12"/>
      <c r="BG177" s="12"/>
      <c r="BH177" s="12"/>
      <c r="BI177" s="12"/>
      <c r="BJ177" s="12"/>
      <c r="BK177" s="12"/>
      <c r="BL177" s="12"/>
      <c r="BM177" s="12"/>
      <c r="BN177" s="12"/>
      <c r="BO177" s="12"/>
      <c r="BP177" s="12"/>
      <c r="BQ177" s="12"/>
      <c r="BR177" s="12"/>
      <c r="BS177" s="106">
        <v>8.4</v>
      </c>
      <c r="BT177" s="12" t="s">
        <v>457</v>
      </c>
      <c r="BU177" s="7" t="str">
        <f t="shared" si="121"/>
        <v>---------</v>
      </c>
      <c r="BV177" s="290">
        <v>1.34000000000004</v>
      </c>
      <c r="BW177" s="59">
        <v>168</v>
      </c>
      <c r="BX177" s="168" t="str">
        <f t="shared" si="122"/>
        <v>---------</v>
      </c>
      <c r="BY177" s="182">
        <v>4.8399999999999999E-2</v>
      </c>
      <c r="BZ177" s="185">
        <v>168</v>
      </c>
      <c r="CA177" s="184">
        <f t="shared" si="123"/>
        <v>4.8399999999999999E-2</v>
      </c>
      <c r="CB177" s="106"/>
      <c r="CF177" s="12"/>
      <c r="CG177" s="12"/>
      <c r="CH177" s="12"/>
    </row>
    <row r="178" spans="21:86">
      <c r="U178" s="13">
        <f t="shared" si="125"/>
        <v>4.5486413296398895</v>
      </c>
      <c r="V178" s="13">
        <f t="shared" si="126"/>
        <v>4.7177508587257631</v>
      </c>
      <c r="W178" s="13">
        <f t="shared" si="127"/>
        <v>4.7977787257617734</v>
      </c>
      <c r="X178" s="13">
        <f t="shared" si="128"/>
        <v>4.6405382825484747</v>
      </c>
      <c r="Y178" s="13">
        <f t="shared" si="129"/>
        <v>4.7692542936288103</v>
      </c>
      <c r="Z178" s="13">
        <f t="shared" si="130"/>
        <v>4.8302746814404429</v>
      </c>
      <c r="AA178" s="13">
        <f t="shared" si="131"/>
        <v>4.6864296952908591</v>
      </c>
      <c r="AB178" s="13">
        <f t="shared" si="132"/>
        <v>4.7952915235457052</v>
      </c>
      <c r="AC178" s="13">
        <f t="shared" si="133"/>
        <v>4.8463966204986129</v>
      </c>
      <c r="AD178" s="13">
        <f t="shared" si="134"/>
        <v>4.1304770083102493</v>
      </c>
      <c r="AE178" s="13">
        <f t="shared" si="135"/>
        <v>3.7993723545706373</v>
      </c>
      <c r="AF178" s="13">
        <f t="shared" si="136"/>
        <v>3.4346724099722996</v>
      </c>
      <c r="AG178" s="13">
        <f t="shared" si="137"/>
        <v>4.3773863157894741</v>
      </c>
      <c r="AH178" s="13">
        <f t="shared" si="138"/>
        <v>4.1775565096952914</v>
      </c>
      <c r="AI178" s="13">
        <f t="shared" si="139"/>
        <v>3.9093416066481992</v>
      </c>
      <c r="AJ178" s="13">
        <f t="shared" si="140"/>
        <v>4.4908454293628814</v>
      </c>
      <c r="AK178" s="13">
        <f t="shared" si="141"/>
        <v>4.3615973407202215</v>
      </c>
      <c r="AL178" s="13">
        <f t="shared" si="142"/>
        <v>4.1721058171745149</v>
      </c>
      <c r="AM178" s="13">
        <f t="shared" si="143"/>
        <v>4.8396624334114637</v>
      </c>
      <c r="AN178" s="13">
        <f t="shared" si="144"/>
        <v>4.8100907053057753</v>
      </c>
      <c r="AO178" s="322">
        <f t="shared" si="89"/>
        <v>4.8100907053057753</v>
      </c>
      <c r="AP178" s="322">
        <f t="shared" si="124"/>
        <v>4.8396624334114637</v>
      </c>
      <c r="AQ178" s="322">
        <f t="shared" si="145"/>
        <v>4.8542589431067524</v>
      </c>
      <c r="AR178" s="324">
        <f t="shared" si="146"/>
        <v>3.3785647261879399</v>
      </c>
      <c r="AS178" s="324">
        <f t="shared" si="147"/>
        <v>3.8680777754101849</v>
      </c>
      <c r="AT178" s="324">
        <f t="shared" si="148"/>
        <v>4.1429532750905604</v>
      </c>
      <c r="AU178" s="106">
        <f t="shared" ca="1" si="149"/>
        <v>4.8100907053057753</v>
      </c>
      <c r="AV178" s="106">
        <f t="shared" ca="1" si="150"/>
        <v>4.8396624334114637</v>
      </c>
      <c r="AW178" s="106">
        <f t="shared" ca="1" si="151"/>
        <v>4.8542589431067524</v>
      </c>
      <c r="AX178" s="106">
        <f t="shared" ca="1" si="152"/>
        <v>3.3785647261879399</v>
      </c>
      <c r="AY178" s="106">
        <f t="shared" ca="1" si="153"/>
        <v>3.8680777754101849</v>
      </c>
      <c r="AZ178" s="106">
        <f t="shared" ca="1" si="154"/>
        <v>4.1429532750905604</v>
      </c>
      <c r="BA178" s="324">
        <v>4.7</v>
      </c>
      <c r="BB178" s="13" cm="1">
        <f t="array" ref="BB178">INDEX(AO178:AQ178,$AI$39)</f>
        <v>4.8100907053057753</v>
      </c>
      <c r="BC178" s="13" cm="1">
        <f t="array" ref="BC178">INDEX(AR178:AT178,$AI$39)</f>
        <v>3.3785647261879399</v>
      </c>
      <c r="BD178" s="324">
        <v>4.7</v>
      </c>
      <c r="BE178" s="12"/>
      <c r="BF178" s="12"/>
      <c r="BG178" s="12"/>
      <c r="BH178" s="12"/>
      <c r="BI178" s="12"/>
      <c r="BJ178" s="12"/>
      <c r="BK178" s="12"/>
      <c r="BL178" s="12"/>
      <c r="BM178" s="12"/>
      <c r="BN178" s="12"/>
      <c r="BO178" s="12"/>
      <c r="BP178" s="12"/>
      <c r="BQ178" s="12"/>
      <c r="BR178" s="12"/>
      <c r="BS178" s="106">
        <v>8.3000000000000007</v>
      </c>
      <c r="BT178" s="12" t="s">
        <v>458</v>
      </c>
      <c r="BU178" s="7" t="str">
        <f t="shared" si="121"/>
        <v>---------</v>
      </c>
      <c r="BV178" s="290">
        <v>1.33000000000004</v>
      </c>
      <c r="BW178" s="59">
        <v>169</v>
      </c>
      <c r="BX178" s="168" t="str">
        <f t="shared" si="122"/>
        <v>---------</v>
      </c>
      <c r="BY178" s="182">
        <v>4.8300000000000003E-2</v>
      </c>
      <c r="BZ178" s="185">
        <v>169</v>
      </c>
      <c r="CA178" s="184">
        <f t="shared" si="123"/>
        <v>4.8300000000000003E-2</v>
      </c>
      <c r="CB178" s="106"/>
      <c r="CF178" s="12"/>
      <c r="CG178" s="12"/>
      <c r="CH178" s="12"/>
    </row>
    <row r="179" spans="21:86">
      <c r="U179" s="13">
        <f t="shared" si="125"/>
        <v>4.4480298456667988</v>
      </c>
      <c r="V179" s="13">
        <f t="shared" si="126"/>
        <v>4.6161593035219637</v>
      </c>
      <c r="W179" s="13">
        <f t="shared" si="127"/>
        <v>4.6963848753462605</v>
      </c>
      <c r="X179" s="13">
        <f t="shared" si="128"/>
        <v>4.5394734230312608</v>
      </c>
      <c r="Y179" s="13">
        <f t="shared" si="129"/>
        <v>4.6678354649782356</v>
      </c>
      <c r="Z179" s="13">
        <f t="shared" si="130"/>
        <v>4.7291524970320529</v>
      </c>
      <c r="AA179" s="13">
        <f t="shared" si="131"/>
        <v>4.5851406885635146</v>
      </c>
      <c r="AB179" s="13">
        <f t="shared" si="132"/>
        <v>4.6939612188365629</v>
      </c>
      <c r="AC179" s="13">
        <f t="shared" si="133"/>
        <v>4.7454107400079124</v>
      </c>
      <c r="AD179" s="13">
        <f t="shared" si="134"/>
        <v>4.065201305896319</v>
      </c>
      <c r="AE179" s="13">
        <f t="shared" si="135"/>
        <v>3.7528199287692909</v>
      </c>
      <c r="AF179" s="13">
        <f t="shared" si="136"/>
        <v>3.4029551009101704</v>
      </c>
      <c r="AG179" s="13">
        <f t="shared" si="137"/>
        <v>4.3001186466165411</v>
      </c>
      <c r="AH179" s="13">
        <f t="shared" si="138"/>
        <v>4.1147095686584887</v>
      </c>
      <c r="AI179" s="13">
        <f t="shared" si="139"/>
        <v>3.8597933755441232</v>
      </c>
      <c r="AJ179" s="13">
        <f t="shared" si="140"/>
        <v>4.4074122833399292</v>
      </c>
      <c r="AK179" s="13">
        <f t="shared" si="141"/>
        <v>4.2893545943806881</v>
      </c>
      <c r="AL179" s="13">
        <f t="shared" si="142"/>
        <v>4.110658337950138</v>
      </c>
      <c r="AM179" s="13">
        <f t="shared" si="143"/>
        <v>4.738585886578794</v>
      </c>
      <c r="AN179" s="13">
        <f t="shared" si="144"/>
        <v>4.7087272710115373</v>
      </c>
      <c r="AO179" s="322">
        <f t="shared" si="89"/>
        <v>4.7087272710115373</v>
      </c>
      <c r="AP179" s="322">
        <f t="shared" si="124"/>
        <v>4.738585886578794</v>
      </c>
      <c r="AQ179" s="322">
        <f t="shared" si="145"/>
        <v>4.7533260509573507</v>
      </c>
      <c r="AR179" s="324">
        <f t="shared" si="146"/>
        <v>3.3491297427779978</v>
      </c>
      <c r="AS179" s="324">
        <f t="shared" si="147"/>
        <v>3.8205754996803747</v>
      </c>
      <c r="AT179" s="324">
        <f t="shared" si="148"/>
        <v>4.0831666061915914</v>
      </c>
      <c r="AU179" s="106">
        <f t="shared" ca="1" si="149"/>
        <v>4.7087272710115373</v>
      </c>
      <c r="AV179" s="106">
        <f t="shared" ca="1" si="150"/>
        <v>4.738585886578794</v>
      </c>
      <c r="AW179" s="106">
        <f t="shared" ca="1" si="151"/>
        <v>4.7533260509573507</v>
      </c>
      <c r="AX179" s="106">
        <f t="shared" ca="1" si="152"/>
        <v>3.3491297427779978</v>
      </c>
      <c r="AY179" s="106">
        <f t="shared" ca="1" si="153"/>
        <v>3.8205754996803747</v>
      </c>
      <c r="AZ179" s="106">
        <f t="shared" ca="1" si="154"/>
        <v>4.0831666061915914</v>
      </c>
      <c r="BA179" s="324">
        <v>4.5999999999999996</v>
      </c>
      <c r="BB179" s="13" cm="1">
        <f t="array" ref="BB179">INDEX(AO179:AQ179,$AI$39)</f>
        <v>4.7087272710115373</v>
      </c>
      <c r="BC179" s="13" cm="1">
        <f t="array" ref="BC179">INDEX(AR179:AT179,$AI$39)</f>
        <v>3.3491297427779978</v>
      </c>
      <c r="BD179" s="324">
        <v>4.5999999999999996</v>
      </c>
      <c r="BE179" s="12"/>
      <c r="BF179" s="12"/>
      <c r="BG179" s="12"/>
      <c r="BH179" s="12"/>
      <c r="BI179" s="12"/>
      <c r="BJ179" s="12"/>
      <c r="BK179" s="12"/>
      <c r="BL179" s="12"/>
      <c r="BM179" s="12"/>
      <c r="BN179" s="12"/>
      <c r="BO179" s="12"/>
      <c r="BP179" s="12"/>
      <c r="BQ179" s="12"/>
      <c r="BR179" s="12"/>
      <c r="BS179" s="106">
        <v>8.1999999999999993</v>
      </c>
      <c r="BT179" s="12" t="s">
        <v>459</v>
      </c>
      <c r="BU179" s="7" t="str">
        <f t="shared" si="121"/>
        <v>---------</v>
      </c>
      <c r="BV179" s="290">
        <v>1.32000000000004</v>
      </c>
      <c r="BW179" s="59">
        <v>170</v>
      </c>
      <c r="BX179" s="168" t="str">
        <f t="shared" si="122"/>
        <v>---------</v>
      </c>
      <c r="BY179" s="182">
        <v>4.82E-2</v>
      </c>
      <c r="BZ179" s="185">
        <v>170</v>
      </c>
      <c r="CA179" s="184">
        <f t="shared" si="123"/>
        <v>4.82E-2</v>
      </c>
      <c r="CB179" s="106"/>
      <c r="CF179" s="12"/>
      <c r="CG179" s="12"/>
      <c r="CH179" s="12"/>
    </row>
    <row r="180" spans="21:86">
      <c r="U180" s="13">
        <f t="shared" si="125"/>
        <v>4.3475705579738824</v>
      </c>
      <c r="V180" s="13">
        <f t="shared" si="126"/>
        <v>4.5146031658092607</v>
      </c>
      <c r="W180" s="13">
        <f t="shared" si="127"/>
        <v>4.5949904709141283</v>
      </c>
      <c r="X180" s="13">
        <f t="shared" si="128"/>
        <v>4.4385106608626819</v>
      </c>
      <c r="Y180" s="13">
        <f t="shared" si="129"/>
        <v>4.5664410922041947</v>
      </c>
      <c r="Z180" s="13">
        <f t="shared" si="130"/>
        <v>4.628029798179659</v>
      </c>
      <c r="AA180" s="13">
        <f t="shared" si="131"/>
        <v>4.483928927582113</v>
      </c>
      <c r="AB180" s="13">
        <f t="shared" si="132"/>
        <v>4.5926491966758984</v>
      </c>
      <c r="AC180" s="13">
        <f t="shared" si="133"/>
        <v>4.6444250573802917</v>
      </c>
      <c r="AD180" s="13">
        <f t="shared" si="134"/>
        <v>3.9987203798971107</v>
      </c>
      <c r="AE180" s="13">
        <f t="shared" si="135"/>
        <v>3.7051551563118319</v>
      </c>
      <c r="AF180" s="13">
        <f t="shared" si="136"/>
        <v>3.3703710724178864</v>
      </c>
      <c r="AG180" s="13">
        <f t="shared" si="137"/>
        <v>4.2219321804511267</v>
      </c>
      <c r="AH180" s="13">
        <f t="shared" si="138"/>
        <v>4.0508159319351007</v>
      </c>
      <c r="AI180" s="13">
        <f t="shared" si="139"/>
        <v>3.8092232212109227</v>
      </c>
      <c r="AJ180" s="13">
        <f t="shared" si="140"/>
        <v>4.3232784250098941</v>
      </c>
      <c r="AK180" s="13">
        <f t="shared" si="141"/>
        <v>4.2162503126236643</v>
      </c>
      <c r="AL180" s="13">
        <f t="shared" si="142"/>
        <v>4.04826487534626</v>
      </c>
      <c r="AM180" s="13">
        <f t="shared" si="143"/>
        <v>4.6375049837143454</v>
      </c>
      <c r="AN180" s="13">
        <f t="shared" si="144"/>
        <v>4.6073577486225696</v>
      </c>
      <c r="AO180" s="322">
        <f t="shared" si="89"/>
        <v>4.6073577486225696</v>
      </c>
      <c r="AP180" s="322">
        <f t="shared" si="124"/>
        <v>4.6375049837143454</v>
      </c>
      <c r="AQ180" s="322">
        <f t="shared" si="145"/>
        <v>4.6523905744117364</v>
      </c>
      <c r="AR180" s="324">
        <f t="shared" si="146"/>
        <v>3.3188658287418948</v>
      </c>
      <c r="AS180" s="324">
        <f t="shared" si="147"/>
        <v>3.7720551118687413</v>
      </c>
      <c r="AT180" s="324">
        <f t="shared" si="148"/>
        <v>4.022420961918967</v>
      </c>
      <c r="AU180" s="106">
        <f t="shared" ca="1" si="149"/>
        <v>4.6073577486225696</v>
      </c>
      <c r="AV180" s="106">
        <f t="shared" ca="1" si="150"/>
        <v>4.6375049837143454</v>
      </c>
      <c r="AW180" s="106">
        <f t="shared" ca="1" si="151"/>
        <v>4.6523905744117364</v>
      </c>
      <c r="AX180" s="106">
        <f t="shared" ca="1" si="152"/>
        <v>3.3188658287418948</v>
      </c>
      <c r="AY180" s="106">
        <f t="shared" ca="1" si="153"/>
        <v>3.7720551118687413</v>
      </c>
      <c r="AZ180" s="106">
        <f t="shared" ca="1" si="154"/>
        <v>4.022420961918967</v>
      </c>
      <c r="BA180" s="324">
        <v>4.5</v>
      </c>
      <c r="BB180" s="13" cm="1">
        <f t="array" ref="BB180">INDEX(AO180:AQ180,$AI$39)</f>
        <v>4.6073577486225696</v>
      </c>
      <c r="BC180" s="13" cm="1">
        <f t="array" ref="BC180">INDEX(AR180:AT180,$AI$39)</f>
        <v>3.3188658287418948</v>
      </c>
      <c r="BD180" s="324">
        <v>4.5</v>
      </c>
      <c r="BE180" s="12"/>
      <c r="BF180" s="12"/>
      <c r="BG180" s="12"/>
      <c r="BH180" s="12"/>
      <c r="BI180" s="12"/>
      <c r="BJ180" s="12"/>
      <c r="BK180" s="12"/>
      <c r="BL180" s="12"/>
      <c r="BM180" s="12"/>
      <c r="BN180" s="12"/>
      <c r="BO180" s="12"/>
      <c r="BP180" s="12"/>
      <c r="BQ180" s="12"/>
      <c r="BR180" s="12"/>
      <c r="BS180" s="106">
        <v>8.1</v>
      </c>
      <c r="BT180" s="12" t="s">
        <v>460</v>
      </c>
      <c r="BU180" s="7" t="str">
        <f t="shared" si="121"/>
        <v>---------</v>
      </c>
      <c r="BV180" s="290">
        <v>1.31000000000004</v>
      </c>
      <c r="BW180" s="59">
        <v>171</v>
      </c>
      <c r="BX180" s="168" t="str">
        <f t="shared" si="122"/>
        <v>---------</v>
      </c>
      <c r="BY180" s="182">
        <v>4.8099999999999997E-2</v>
      </c>
      <c r="BZ180" s="185">
        <v>171</v>
      </c>
      <c r="CA180" s="184">
        <f t="shared" si="123"/>
        <v>4.8099999999999997E-2</v>
      </c>
      <c r="CB180" s="106"/>
      <c r="CF180" s="12"/>
      <c r="CG180" s="12"/>
      <c r="CH180" s="12"/>
    </row>
    <row r="181" spans="21:86">
      <c r="U181" s="13">
        <f t="shared" si="125"/>
        <v>4.2472634665611411</v>
      </c>
      <c r="V181" s="13">
        <f t="shared" si="126"/>
        <v>4.4130824455876541</v>
      </c>
      <c r="W181" s="13">
        <f t="shared" si="127"/>
        <v>4.493595512465375</v>
      </c>
      <c r="X181" s="13">
        <f t="shared" si="128"/>
        <v>4.3376499960427379</v>
      </c>
      <c r="Y181" s="13">
        <f t="shared" si="129"/>
        <v>4.4650711753066892</v>
      </c>
      <c r="Z181" s="13">
        <f t="shared" si="130"/>
        <v>4.5269065848832604</v>
      </c>
      <c r="AA181" s="13">
        <f t="shared" si="131"/>
        <v>4.3827944123466569</v>
      </c>
      <c r="AB181" s="13">
        <f t="shared" si="132"/>
        <v>4.4913554570637109</v>
      </c>
      <c r="AC181" s="13">
        <f t="shared" si="133"/>
        <v>4.5434395726157488</v>
      </c>
      <c r="AD181" s="13">
        <f t="shared" si="134"/>
        <v>3.9310342303126236</v>
      </c>
      <c r="AE181" s="13">
        <f t="shared" si="135"/>
        <v>3.6563780371982593</v>
      </c>
      <c r="AF181" s="13">
        <f t="shared" si="136"/>
        <v>3.3369203244954493</v>
      </c>
      <c r="AG181" s="13">
        <f t="shared" si="137"/>
        <v>4.1428269172932328</v>
      </c>
      <c r="AH181" s="13">
        <f t="shared" si="138"/>
        <v>3.9858755995251283</v>
      </c>
      <c r="AI181" s="13">
        <f t="shared" si="139"/>
        <v>3.7576311436485961</v>
      </c>
      <c r="AJ181" s="13">
        <f t="shared" si="140"/>
        <v>4.2384438543727754</v>
      </c>
      <c r="AK181" s="13">
        <f t="shared" si="141"/>
        <v>4.1422844954491493</v>
      </c>
      <c r="AL181" s="13">
        <f t="shared" si="142"/>
        <v>3.9849254293628809</v>
      </c>
      <c r="AM181" s="13">
        <f t="shared" si="143"/>
        <v>4.5364197248181171</v>
      </c>
      <c r="AN181" s="13">
        <f t="shared" si="144"/>
        <v>4.5059821381388705</v>
      </c>
      <c r="AO181" s="322">
        <f t="shared" si="89"/>
        <v>4.5059821381388705</v>
      </c>
      <c r="AP181" s="322">
        <f t="shared" si="124"/>
        <v>4.5364197248181171</v>
      </c>
      <c r="AQ181" s="322">
        <f t="shared" si="145"/>
        <v>4.5514525134699086</v>
      </c>
      <c r="AR181" s="324">
        <f t="shared" si="146"/>
        <v>3.2877729840796324</v>
      </c>
      <c r="AS181" s="324">
        <f t="shared" si="147"/>
        <v>3.7225166119752835</v>
      </c>
      <c r="AT181" s="324">
        <f t="shared" si="148"/>
        <v>3.9607163422726859</v>
      </c>
      <c r="AU181" s="106">
        <f t="shared" ca="1" si="149"/>
        <v>4.5059821381388705</v>
      </c>
      <c r="AV181" s="106">
        <f t="shared" ca="1" si="150"/>
        <v>4.5364197248181171</v>
      </c>
      <c r="AW181" s="106">
        <f t="shared" ca="1" si="151"/>
        <v>4.5514525134699086</v>
      </c>
      <c r="AX181" s="106">
        <f t="shared" ca="1" si="152"/>
        <v>3.2877729840796324</v>
      </c>
      <c r="AY181" s="106">
        <f t="shared" ca="1" si="153"/>
        <v>3.7225166119752835</v>
      </c>
      <c r="AZ181" s="106">
        <f t="shared" ca="1" si="154"/>
        <v>3.9607163422726859</v>
      </c>
      <c r="BA181" s="324">
        <v>4.4000000000000004</v>
      </c>
      <c r="BB181" s="13" cm="1">
        <f t="array" ref="BB181">INDEX(AO181:AQ181,$AI$39)</f>
        <v>4.5059821381388705</v>
      </c>
      <c r="BC181" s="13" cm="1">
        <f t="array" ref="BC181">INDEX(AR181:AT181,$AI$39)</f>
        <v>3.2877729840796324</v>
      </c>
      <c r="BD181" s="324">
        <v>4.4000000000000004</v>
      </c>
      <c r="BE181" s="12"/>
      <c r="BF181" s="12"/>
      <c r="BG181" s="12"/>
      <c r="BH181" s="12"/>
      <c r="BI181" s="12"/>
      <c r="BJ181" s="12"/>
      <c r="BK181" s="12"/>
      <c r="BL181" s="12"/>
      <c r="BM181" s="12"/>
      <c r="BN181" s="12"/>
      <c r="BO181" s="12"/>
      <c r="BP181" s="12"/>
      <c r="BQ181" s="12"/>
      <c r="BR181" s="12"/>
      <c r="BS181" s="106">
        <v>8</v>
      </c>
      <c r="BT181" s="12" t="s">
        <v>461</v>
      </c>
      <c r="BU181" s="7" t="str">
        <f t="shared" si="121"/>
        <v>---------</v>
      </c>
      <c r="BV181" s="290">
        <v>1.30000000000004</v>
      </c>
      <c r="BW181" s="59">
        <v>172</v>
      </c>
      <c r="BX181" s="168" t="str">
        <f t="shared" si="122"/>
        <v>---------</v>
      </c>
      <c r="BY181" s="182">
        <v>4.8000000000000001E-2</v>
      </c>
      <c r="BZ181" s="185">
        <v>172</v>
      </c>
      <c r="CA181" s="184">
        <f t="shared" si="123"/>
        <v>4.8000000000000001E-2</v>
      </c>
      <c r="CB181" s="106"/>
      <c r="CF181" s="12"/>
      <c r="CG181" s="12"/>
      <c r="CH181" s="12"/>
    </row>
    <row r="182" spans="21:86">
      <c r="U182" s="13">
        <f t="shared" si="125"/>
        <v>4.1471085714285723</v>
      </c>
      <c r="V182" s="13">
        <f t="shared" si="126"/>
        <v>4.3115971428571438</v>
      </c>
      <c r="W182" s="13">
        <f t="shared" si="127"/>
        <v>4.3922000000000008</v>
      </c>
      <c r="X182" s="13">
        <f t="shared" si="128"/>
        <v>4.2368914285714272</v>
      </c>
      <c r="Y182" s="13">
        <f t="shared" si="129"/>
        <v>4.3637257142857147</v>
      </c>
      <c r="Z182" s="13">
        <f t="shared" si="130"/>
        <v>4.4257828571428561</v>
      </c>
      <c r="AA182" s="13">
        <f t="shared" si="131"/>
        <v>4.2817371428571427</v>
      </c>
      <c r="AB182" s="13">
        <f t="shared" si="132"/>
        <v>4.3900799999999984</v>
      </c>
      <c r="AC182" s="13">
        <f t="shared" si="133"/>
        <v>4.4424542857142839</v>
      </c>
      <c r="AD182" s="13">
        <f t="shared" si="134"/>
        <v>3.8621428571428567</v>
      </c>
      <c r="AE182" s="13">
        <f t="shared" si="135"/>
        <v>3.6064885714285713</v>
      </c>
      <c r="AF182" s="13">
        <f t="shared" si="136"/>
        <v>3.3026028571428574</v>
      </c>
      <c r="AG182" s="13">
        <f t="shared" si="137"/>
        <v>4.0628028571428558</v>
      </c>
      <c r="AH182" s="13">
        <f t="shared" si="138"/>
        <v>3.9198885714285709</v>
      </c>
      <c r="AI182" s="13">
        <f t="shared" si="139"/>
        <v>3.7050171428571432</v>
      </c>
      <c r="AJ182" s="13">
        <f t="shared" si="140"/>
        <v>4.1529085714285712</v>
      </c>
      <c r="AK182" s="13">
        <f t="shared" si="141"/>
        <v>4.0674571428571431</v>
      </c>
      <c r="AL182" s="13">
        <f t="shared" si="142"/>
        <v>3.9206399999999992</v>
      </c>
      <c r="AM182" s="13">
        <f t="shared" si="143"/>
        <v>4.435330109890109</v>
      </c>
      <c r="AN182" s="13">
        <f t="shared" si="144"/>
        <v>4.4046004395604399</v>
      </c>
      <c r="AO182" s="322">
        <f t="shared" si="89"/>
        <v>4.4046004395604399</v>
      </c>
      <c r="AP182" s="322">
        <f t="shared" si="124"/>
        <v>4.435330109890109</v>
      </c>
      <c r="AQ182" s="322">
        <f t="shared" si="145"/>
        <v>4.4505118681318665</v>
      </c>
      <c r="AR182" s="324">
        <f t="shared" si="146"/>
        <v>3.255851208791209</v>
      </c>
      <c r="AS182" s="324">
        <f t="shared" si="147"/>
        <v>3.6719600000000003</v>
      </c>
      <c r="AT182" s="324">
        <f t="shared" si="148"/>
        <v>3.8980527472527462</v>
      </c>
      <c r="AU182" s="106">
        <f t="shared" ca="1" si="149"/>
        <v>4.4046004395604399</v>
      </c>
      <c r="AV182" s="106">
        <f t="shared" ca="1" si="150"/>
        <v>4.435330109890109</v>
      </c>
      <c r="AW182" s="106">
        <f t="shared" ca="1" si="151"/>
        <v>4.4505118681318665</v>
      </c>
      <c r="AX182" s="106">
        <f t="shared" ca="1" si="152"/>
        <v>3.255851208791209</v>
      </c>
      <c r="AY182" s="106">
        <f t="shared" ca="1" si="153"/>
        <v>3.6719600000000003</v>
      </c>
      <c r="AZ182" s="106">
        <f t="shared" ca="1" si="154"/>
        <v>3.8980527472527462</v>
      </c>
      <c r="BA182" s="324">
        <v>4.3</v>
      </c>
      <c r="BB182" s="13" cm="1">
        <f t="array" ref="BB182">INDEX(AO182:AQ182,$AI$39)</f>
        <v>4.4046004395604399</v>
      </c>
      <c r="BC182" s="13" cm="1">
        <f t="array" ref="BC182">INDEX(AR182:AT182,$AI$39)</f>
        <v>3.255851208791209</v>
      </c>
      <c r="BD182" s="324">
        <v>4.3</v>
      </c>
      <c r="BE182" s="12"/>
      <c r="BF182" s="12"/>
      <c r="BG182" s="12"/>
      <c r="BH182" s="12"/>
      <c r="BI182" s="12"/>
      <c r="BJ182" s="12"/>
      <c r="BK182" s="12"/>
      <c r="BL182" s="12"/>
      <c r="BM182" s="12"/>
      <c r="BN182" s="12"/>
      <c r="BO182" s="12"/>
      <c r="BP182" s="12"/>
      <c r="BQ182" s="12"/>
      <c r="BR182" s="12"/>
      <c r="BS182" s="106">
        <v>7.9</v>
      </c>
      <c r="BT182" s="12" t="s">
        <v>462</v>
      </c>
      <c r="BU182" s="7" t="str">
        <f t="shared" si="121"/>
        <v>---------</v>
      </c>
      <c r="BV182" s="290">
        <v>1.29000000000004</v>
      </c>
      <c r="BW182" s="59">
        <v>173</v>
      </c>
      <c r="BX182" s="168" t="str">
        <f t="shared" si="122"/>
        <v>---------</v>
      </c>
      <c r="BY182" s="182">
        <v>4.7899999999999998E-2</v>
      </c>
      <c r="BZ182" s="185">
        <v>173</v>
      </c>
      <c r="CA182" s="184">
        <f t="shared" si="123"/>
        <v>4.7899999999999998E-2</v>
      </c>
      <c r="CB182" s="106"/>
      <c r="CF182" s="12"/>
      <c r="CG182" s="12"/>
      <c r="CH182" s="12"/>
    </row>
    <row r="183" spans="21:86">
      <c r="U183" s="13">
        <f t="shared" si="125"/>
        <v>4.0471058725761786</v>
      </c>
      <c r="V183" s="13">
        <f t="shared" si="126"/>
        <v>4.210147257617729</v>
      </c>
      <c r="W183" s="13">
        <f t="shared" si="127"/>
        <v>4.2908039335180064</v>
      </c>
      <c r="X183" s="13">
        <f t="shared" si="128"/>
        <v>4.1362349584487523</v>
      </c>
      <c r="Y183" s="13">
        <f t="shared" si="129"/>
        <v>4.2624047091412747</v>
      </c>
      <c r="Z183" s="13">
        <f t="shared" si="130"/>
        <v>4.3246586149584489</v>
      </c>
      <c r="AA183" s="13">
        <f t="shared" si="131"/>
        <v>4.1807571191135731</v>
      </c>
      <c r="AB183" s="13">
        <f t="shared" si="132"/>
        <v>4.2888228254847638</v>
      </c>
      <c r="AC183" s="13">
        <f t="shared" si="133"/>
        <v>4.3414691966758978</v>
      </c>
      <c r="AD183" s="13">
        <f t="shared" si="134"/>
        <v>3.7920462603878109</v>
      </c>
      <c r="AE183" s="13">
        <f t="shared" si="135"/>
        <v>3.5554867590027701</v>
      </c>
      <c r="AF183" s="13">
        <f t="shared" si="136"/>
        <v>3.2674186703601107</v>
      </c>
      <c r="AG183" s="13">
        <f t="shared" si="137"/>
        <v>3.9818599999999997</v>
      </c>
      <c r="AH183" s="13">
        <f t="shared" si="138"/>
        <v>3.8528548476454287</v>
      </c>
      <c r="AI183" s="13">
        <f t="shared" si="139"/>
        <v>3.6513812188365655</v>
      </c>
      <c r="AJ183" s="13">
        <f t="shared" si="140"/>
        <v>4.0666725761772859</v>
      </c>
      <c r="AK183" s="13">
        <f t="shared" si="141"/>
        <v>3.9917682548476447</v>
      </c>
      <c r="AL183" s="13">
        <f t="shared" si="142"/>
        <v>3.8554085872576174</v>
      </c>
      <c r="AM183" s="13">
        <f t="shared" si="143"/>
        <v>4.3342361389303221</v>
      </c>
      <c r="AN183" s="13">
        <f t="shared" si="144"/>
        <v>4.3032126528872796</v>
      </c>
      <c r="AO183" s="322">
        <f t="shared" si="89"/>
        <v>4.3032126528872796</v>
      </c>
      <c r="AP183" s="322">
        <f t="shared" si="124"/>
        <v>4.3342361389303221</v>
      </c>
      <c r="AQ183" s="322">
        <f t="shared" si="145"/>
        <v>4.3495686383976109</v>
      </c>
      <c r="AR183" s="324">
        <f t="shared" si="146"/>
        <v>3.2231005028766244</v>
      </c>
      <c r="AS183" s="324">
        <f t="shared" si="147"/>
        <v>3.6203852759428941</v>
      </c>
      <c r="AT183" s="324">
        <f t="shared" si="148"/>
        <v>3.8344301768591516</v>
      </c>
      <c r="AU183" s="106">
        <f t="shared" ca="1" si="149"/>
        <v>4.3032126528872796</v>
      </c>
      <c r="AV183" s="106">
        <f t="shared" ca="1" si="150"/>
        <v>4.3342361389303221</v>
      </c>
      <c r="AW183" s="106">
        <f t="shared" ca="1" si="151"/>
        <v>4.3495686383976109</v>
      </c>
      <c r="AX183" s="106">
        <f t="shared" ca="1" si="152"/>
        <v>3.2231005028766244</v>
      </c>
      <c r="AY183" s="106">
        <f t="shared" ca="1" si="153"/>
        <v>3.6203852759428941</v>
      </c>
      <c r="AZ183" s="106">
        <f t="shared" ca="1" si="154"/>
        <v>3.8344301768591516</v>
      </c>
      <c r="BA183" s="324">
        <v>4.2</v>
      </c>
      <c r="BB183" s="13" cm="1">
        <f t="array" ref="BB183">INDEX(AO183:AQ183,$AI$39)</f>
        <v>4.3032126528872796</v>
      </c>
      <c r="BC183" s="13" cm="1">
        <f t="array" ref="BC183">INDEX(AR183:AT183,$AI$39)</f>
        <v>3.2231005028766244</v>
      </c>
      <c r="BD183" s="324">
        <v>4.2</v>
      </c>
      <c r="BE183" s="12"/>
      <c r="BF183" s="12"/>
      <c r="BG183" s="12"/>
      <c r="BH183" s="12"/>
      <c r="BI183" s="12"/>
      <c r="BJ183" s="12"/>
      <c r="BK183" s="12"/>
      <c r="BL183" s="12"/>
      <c r="BM183" s="12"/>
      <c r="BN183" s="12"/>
      <c r="BO183" s="12"/>
      <c r="BP183" s="12"/>
      <c r="BQ183" s="12"/>
      <c r="BR183" s="12"/>
      <c r="BS183" s="106">
        <v>7.8</v>
      </c>
      <c r="BT183" s="12" t="s">
        <v>463</v>
      </c>
      <c r="BU183" s="7" t="str">
        <f t="shared" si="121"/>
        <v>---------</v>
      </c>
      <c r="BV183" s="290">
        <v>1.28000000000004</v>
      </c>
      <c r="BW183" s="59">
        <v>174</v>
      </c>
      <c r="BX183" s="168" t="str">
        <f t="shared" si="122"/>
        <v>---------</v>
      </c>
      <c r="BY183" s="182">
        <v>4.7800000000000002E-2</v>
      </c>
      <c r="BZ183" s="185">
        <v>174</v>
      </c>
      <c r="CA183" s="184">
        <f t="shared" si="123"/>
        <v>4.7800000000000002E-2</v>
      </c>
      <c r="CB183" s="106"/>
      <c r="CF183" s="12"/>
      <c r="CG183" s="12"/>
      <c r="CH183" s="12"/>
    </row>
    <row r="184" spans="21:86">
      <c r="U184" s="13">
        <f t="shared" si="125"/>
        <v>3.9472553700039574</v>
      </c>
      <c r="V184" s="13">
        <f t="shared" si="126"/>
        <v>4.1087327898694106</v>
      </c>
      <c r="W184" s="13">
        <f t="shared" si="127"/>
        <v>4.189407313019391</v>
      </c>
      <c r="X184" s="13">
        <f t="shared" si="128"/>
        <v>4.0356805856747116</v>
      </c>
      <c r="Y184" s="13">
        <f t="shared" si="129"/>
        <v>4.1611081598733684</v>
      </c>
      <c r="Z184" s="13">
        <f t="shared" si="130"/>
        <v>4.2235338583300344</v>
      </c>
      <c r="AA184" s="13">
        <f t="shared" si="131"/>
        <v>4.0798543411159471</v>
      </c>
      <c r="AB184" s="13">
        <f t="shared" si="132"/>
        <v>4.1875839335180043</v>
      </c>
      <c r="AC184" s="13">
        <f t="shared" si="133"/>
        <v>4.2404843055005914</v>
      </c>
      <c r="AD184" s="13">
        <f t="shared" si="134"/>
        <v>3.7207444400474858</v>
      </c>
      <c r="AE184" s="13">
        <f t="shared" si="135"/>
        <v>3.503372599920854</v>
      </c>
      <c r="AF184" s="13">
        <f t="shared" si="136"/>
        <v>3.2313677641472101</v>
      </c>
      <c r="AG184" s="13">
        <f t="shared" si="137"/>
        <v>3.899998345864661</v>
      </c>
      <c r="AH184" s="13">
        <f t="shared" si="138"/>
        <v>3.7847744281757021</v>
      </c>
      <c r="AI184" s="13">
        <f t="shared" si="139"/>
        <v>3.5967233715868621</v>
      </c>
      <c r="AJ184" s="13">
        <f t="shared" si="140"/>
        <v>3.9797358686189162</v>
      </c>
      <c r="AK184" s="13">
        <f t="shared" si="141"/>
        <v>3.9152178314206569</v>
      </c>
      <c r="AL184" s="13">
        <f t="shared" si="142"/>
        <v>3.7892311911357335</v>
      </c>
      <c r="AM184" s="13">
        <f t="shared" si="143"/>
        <v>4.2331378119387519</v>
      </c>
      <c r="AN184" s="13">
        <f t="shared" si="144"/>
        <v>4.2018187781193879</v>
      </c>
      <c r="AO184" s="322">
        <f t="shared" si="89"/>
        <v>4.2018187781193879</v>
      </c>
      <c r="AP184" s="322">
        <f t="shared" si="124"/>
        <v>4.2331378119387519</v>
      </c>
      <c r="AQ184" s="322">
        <f t="shared" si="145"/>
        <v>4.2486228242671435</v>
      </c>
      <c r="AR184" s="324">
        <f t="shared" si="146"/>
        <v>3.1895208663358803</v>
      </c>
      <c r="AS184" s="324">
        <f t="shared" si="147"/>
        <v>3.5677924398039638</v>
      </c>
      <c r="AT184" s="324">
        <f t="shared" si="148"/>
        <v>3.7698486310918993</v>
      </c>
      <c r="AU184" s="106">
        <f t="shared" ca="1" si="149"/>
        <v>4.2018187781193879</v>
      </c>
      <c r="AV184" s="106">
        <f t="shared" ca="1" si="150"/>
        <v>4.2331378119387519</v>
      </c>
      <c r="AW184" s="106">
        <f t="shared" ca="1" si="151"/>
        <v>4.2486228242671435</v>
      </c>
      <c r="AX184" s="106">
        <f t="shared" ca="1" si="152"/>
        <v>3.1895208663358803</v>
      </c>
      <c r="AY184" s="106">
        <f t="shared" ca="1" si="153"/>
        <v>3.5677924398039638</v>
      </c>
      <c r="AZ184" s="106">
        <f t="shared" ca="1" si="154"/>
        <v>3.7698486310918993</v>
      </c>
      <c r="BA184" s="324">
        <v>4.0999999999999996</v>
      </c>
      <c r="BB184" s="13" cm="1">
        <f t="array" ref="BB184">INDEX(AO184:AQ184,$AI$39)</f>
        <v>4.2018187781193879</v>
      </c>
      <c r="BC184" s="13" cm="1">
        <f t="array" ref="BC184">INDEX(AR184:AT184,$AI$39)</f>
        <v>3.1895208663358803</v>
      </c>
      <c r="BD184" s="324">
        <v>4.0999999999999996</v>
      </c>
      <c r="BE184" s="12"/>
      <c r="BF184" s="12"/>
      <c r="BG184" s="12"/>
      <c r="BH184" s="12"/>
      <c r="BI184" s="12"/>
      <c r="BJ184" s="12"/>
      <c r="BK184" s="12"/>
      <c r="BL184" s="12"/>
      <c r="BM184" s="12"/>
      <c r="BN184" s="12"/>
      <c r="BO184" s="12"/>
      <c r="BP184" s="12"/>
      <c r="BQ184" s="12"/>
      <c r="BR184" s="12"/>
      <c r="BS184" s="106">
        <v>7.7</v>
      </c>
      <c r="BT184" s="12" t="s">
        <v>464</v>
      </c>
      <c r="BU184" s="7" t="str">
        <f t="shared" si="121"/>
        <v>---------</v>
      </c>
      <c r="BV184" s="290">
        <v>1.27000000000004</v>
      </c>
      <c r="BW184" s="59">
        <v>175</v>
      </c>
      <c r="BX184" s="168" t="str">
        <f t="shared" si="122"/>
        <v>---------</v>
      </c>
      <c r="BY184" s="182">
        <v>4.7699999999999999E-2</v>
      </c>
      <c r="BZ184" s="185">
        <v>175</v>
      </c>
      <c r="CA184" s="184">
        <f t="shared" si="123"/>
        <v>4.7699999999999999E-2</v>
      </c>
      <c r="CB184" s="106"/>
      <c r="CF184" s="12"/>
      <c r="CG184" s="12"/>
      <c r="CH184" s="12"/>
    </row>
    <row r="185" spans="21:86">
      <c r="U185" s="13">
        <f t="shared" si="125"/>
        <v>3.8475570637119119</v>
      </c>
      <c r="V185" s="13">
        <f t="shared" si="126"/>
        <v>4.0073537396121885</v>
      </c>
      <c r="W185" s="13">
        <f t="shared" si="127"/>
        <v>4.0880101385041563</v>
      </c>
      <c r="X185" s="13">
        <f t="shared" si="128"/>
        <v>3.9352283102493062</v>
      </c>
      <c r="Y185" s="13">
        <f t="shared" si="129"/>
        <v>4.0598360664819948</v>
      </c>
      <c r="Z185" s="13">
        <f t="shared" si="130"/>
        <v>4.1224085872576168</v>
      </c>
      <c r="AA185" s="13">
        <f t="shared" si="131"/>
        <v>3.9790288088642654</v>
      </c>
      <c r="AB185" s="13">
        <f t="shared" si="132"/>
        <v>4.0863633240997217</v>
      </c>
      <c r="AC185" s="13">
        <f t="shared" si="133"/>
        <v>4.1394996121883638</v>
      </c>
      <c r="AD185" s="13">
        <f t="shared" si="134"/>
        <v>3.6482373961218832</v>
      </c>
      <c r="AE185" s="13">
        <f t="shared" si="135"/>
        <v>3.4501460941828253</v>
      </c>
      <c r="AF185" s="13">
        <f t="shared" si="136"/>
        <v>3.1944501385041555</v>
      </c>
      <c r="AG185" s="13">
        <f t="shared" si="137"/>
        <v>3.8172178947368418</v>
      </c>
      <c r="AH185" s="13">
        <f t="shared" si="138"/>
        <v>3.7156473130193901</v>
      </c>
      <c r="AI185" s="13">
        <f t="shared" si="139"/>
        <v>3.5410436011080333</v>
      </c>
      <c r="AJ185" s="13">
        <f t="shared" si="140"/>
        <v>3.8920984487534636</v>
      </c>
      <c r="AK185" s="13">
        <f t="shared" si="141"/>
        <v>3.837805872576177</v>
      </c>
      <c r="AL185" s="13">
        <f t="shared" si="142"/>
        <v>3.7221078116343485</v>
      </c>
      <c r="AM185" s="13">
        <f t="shared" si="143"/>
        <v>4.1320351289154047</v>
      </c>
      <c r="AN185" s="13">
        <f t="shared" si="144"/>
        <v>4.1004188152567664</v>
      </c>
      <c r="AO185" s="322">
        <f t="shared" si="89"/>
        <v>4.1004188152567664</v>
      </c>
      <c r="AP185" s="322">
        <f t="shared" si="124"/>
        <v>4.1320351289154047</v>
      </c>
      <c r="AQ185" s="322">
        <f t="shared" si="145"/>
        <v>4.1476744257404627</v>
      </c>
      <c r="AR185" s="324">
        <f t="shared" si="146"/>
        <v>3.1551122991689757</v>
      </c>
      <c r="AS185" s="324">
        <f t="shared" si="147"/>
        <v>3.514181491583209</v>
      </c>
      <c r="AT185" s="324">
        <f t="shared" si="148"/>
        <v>3.7043081099509902</v>
      </c>
      <c r="AU185" s="106">
        <f t="shared" ca="1" si="149"/>
        <v>4.1004188152567664</v>
      </c>
      <c r="AV185" s="106">
        <f t="shared" ca="1" si="150"/>
        <v>4.1320351289154047</v>
      </c>
      <c r="AW185" s="106">
        <f t="shared" ca="1" si="151"/>
        <v>4.1476744257404627</v>
      </c>
      <c r="AX185" s="106">
        <f t="shared" ca="1" si="152"/>
        <v>3.1551122991689757</v>
      </c>
      <c r="AY185" s="106">
        <f t="shared" ca="1" si="153"/>
        <v>3.514181491583209</v>
      </c>
      <c r="AZ185" s="106">
        <f t="shared" ca="1" si="154"/>
        <v>3.7043081099509902</v>
      </c>
      <c r="BA185" s="324">
        <v>4</v>
      </c>
      <c r="BB185" s="13" cm="1">
        <f t="array" ref="BB185">INDEX(AO185:AQ185,$AI$39)</f>
        <v>4.1004188152567664</v>
      </c>
      <c r="BC185" s="13" cm="1">
        <f t="array" ref="BC185">INDEX(AR185:AT185,$AI$39)</f>
        <v>3.1551122991689757</v>
      </c>
      <c r="BD185" s="324">
        <v>4</v>
      </c>
      <c r="BE185" s="12"/>
      <c r="BF185" s="12"/>
      <c r="BG185" s="12"/>
      <c r="BH185" s="12"/>
      <c r="BI185" s="12"/>
      <c r="BJ185" s="12"/>
      <c r="BK185" s="12"/>
      <c r="BL185" s="12"/>
      <c r="BM185" s="12"/>
      <c r="BN185" s="12"/>
      <c r="BO185" s="12"/>
      <c r="BP185" s="12"/>
      <c r="BQ185" s="12"/>
      <c r="BR185" s="12"/>
      <c r="BS185" s="106">
        <v>7.6</v>
      </c>
      <c r="BT185" s="12" t="s">
        <v>465</v>
      </c>
      <c r="BU185" s="7" t="str">
        <f t="shared" si="121"/>
        <v>---------</v>
      </c>
      <c r="BV185" s="290">
        <v>1.26000000000004</v>
      </c>
      <c r="BW185" s="59">
        <v>176</v>
      </c>
      <c r="BX185" s="168" t="str">
        <f t="shared" si="122"/>
        <v>---------</v>
      </c>
      <c r="BY185" s="182">
        <v>4.7600000000000003E-2</v>
      </c>
      <c r="BZ185" s="185">
        <v>176</v>
      </c>
      <c r="CA185" s="184">
        <f t="shared" si="123"/>
        <v>4.7600000000000003E-2</v>
      </c>
      <c r="CB185" s="106"/>
      <c r="CF185" s="12"/>
      <c r="CG185" s="12"/>
      <c r="CH185" s="12"/>
    </row>
    <row r="186" spans="21:86">
      <c r="U186" s="13">
        <f t="shared" si="125"/>
        <v>3.7480109537000401</v>
      </c>
      <c r="V186" s="13">
        <f t="shared" si="126"/>
        <v>3.9060101068460624</v>
      </c>
      <c r="W186" s="13">
        <f t="shared" si="127"/>
        <v>3.9866124099722993</v>
      </c>
      <c r="X186" s="13">
        <f t="shared" si="128"/>
        <v>3.8348781321725354</v>
      </c>
      <c r="Y186" s="13">
        <f t="shared" si="129"/>
        <v>3.9585884289671553</v>
      </c>
      <c r="Z186" s="13">
        <f t="shared" si="130"/>
        <v>4.0212828017411946</v>
      </c>
      <c r="AA186" s="13">
        <f t="shared" si="131"/>
        <v>3.8782805223585277</v>
      </c>
      <c r="AB186" s="13">
        <f t="shared" si="132"/>
        <v>3.9851609972299156</v>
      </c>
      <c r="AC186" s="13">
        <f t="shared" si="133"/>
        <v>4.038515116739215</v>
      </c>
      <c r="AD186" s="13">
        <f t="shared" si="134"/>
        <v>3.5745251286110005</v>
      </c>
      <c r="AE186" s="13">
        <f t="shared" si="135"/>
        <v>3.3958072417886815</v>
      </c>
      <c r="AF186" s="13">
        <f t="shared" si="136"/>
        <v>3.1566657934309461</v>
      </c>
      <c r="AG186" s="13">
        <f t="shared" si="137"/>
        <v>3.7335186466165409</v>
      </c>
      <c r="AH186" s="13">
        <f t="shared" si="138"/>
        <v>3.6454735021764937</v>
      </c>
      <c r="AI186" s="13">
        <f t="shared" si="139"/>
        <v>3.4843419074000792</v>
      </c>
      <c r="AJ186" s="13">
        <f t="shared" si="140"/>
        <v>3.8037603165809264</v>
      </c>
      <c r="AK186" s="13">
        <f t="shared" si="141"/>
        <v>3.7595323783142058</v>
      </c>
      <c r="AL186" s="13">
        <f t="shared" si="142"/>
        <v>3.6540384487534614</v>
      </c>
      <c r="AM186" s="13">
        <f t="shared" si="143"/>
        <v>4.0309280898602777</v>
      </c>
      <c r="AN186" s="13">
        <f t="shared" si="144"/>
        <v>3.9990127642994127</v>
      </c>
      <c r="AO186" s="322">
        <f t="shared" si="89"/>
        <v>3.9990127642994127</v>
      </c>
      <c r="AP186" s="322">
        <f t="shared" si="124"/>
        <v>4.0309280898602777</v>
      </c>
      <c r="AQ186" s="322">
        <f t="shared" si="145"/>
        <v>4.0467234428175685</v>
      </c>
      <c r="AR186" s="324">
        <f t="shared" si="146"/>
        <v>3.1198748013759099</v>
      </c>
      <c r="AS186" s="324">
        <f t="shared" si="147"/>
        <v>3.4595524312806307</v>
      </c>
      <c r="AT186" s="324">
        <f t="shared" si="148"/>
        <v>3.6378086134364236</v>
      </c>
      <c r="AU186" s="106">
        <f t="shared" ca="1" si="149"/>
        <v>3.9990127642994127</v>
      </c>
      <c r="AV186" s="106">
        <f t="shared" ca="1" si="150"/>
        <v>4.0309280898602777</v>
      </c>
      <c r="AW186" s="106">
        <f t="shared" ca="1" si="151"/>
        <v>4.0467234428175685</v>
      </c>
      <c r="AX186" s="106">
        <f t="shared" ca="1" si="152"/>
        <v>3.1198748013759099</v>
      </c>
      <c r="AY186" s="106">
        <f t="shared" ca="1" si="153"/>
        <v>3.4595524312806307</v>
      </c>
      <c r="AZ186" s="106">
        <f t="shared" ca="1" si="154"/>
        <v>3.6378086134364236</v>
      </c>
      <c r="BA186" s="324">
        <v>3.9</v>
      </c>
      <c r="BB186" s="13" cm="1">
        <f t="array" ref="BB186">INDEX(AO186:AQ186,$AI$39)</f>
        <v>3.9990127642994127</v>
      </c>
      <c r="BC186" s="13" cm="1">
        <f t="array" ref="BC186">INDEX(AR186:AT186,$AI$39)</f>
        <v>3.1198748013759099</v>
      </c>
      <c r="BD186" s="324">
        <v>3.9</v>
      </c>
      <c r="BE186" s="12"/>
      <c r="BF186" s="12"/>
      <c r="BG186" s="12"/>
      <c r="BH186" s="12"/>
      <c r="BI186" s="12"/>
      <c r="BJ186" s="12"/>
      <c r="BK186" s="12"/>
      <c r="BL186" s="12"/>
      <c r="BM186" s="12"/>
      <c r="BN186" s="12"/>
      <c r="BO186" s="12"/>
      <c r="BP186" s="12"/>
      <c r="BQ186" s="12"/>
      <c r="BR186" s="12"/>
      <c r="BS186" s="106">
        <v>7.5</v>
      </c>
      <c r="BT186" s="12" t="s">
        <v>466</v>
      </c>
      <c r="BU186" s="7" t="str">
        <f t="shared" si="121"/>
        <v>---------</v>
      </c>
      <c r="BV186" s="290">
        <v>1.25000000000004</v>
      </c>
      <c r="BW186" s="59">
        <v>177</v>
      </c>
      <c r="BX186" s="168" t="str">
        <f t="shared" si="122"/>
        <v>---------</v>
      </c>
      <c r="BY186" s="182">
        <v>4.7500000000000001E-2</v>
      </c>
      <c r="BZ186" s="185">
        <v>177</v>
      </c>
      <c r="CA186" s="184">
        <f t="shared" si="123"/>
        <v>4.7500000000000001E-2</v>
      </c>
      <c r="CB186" s="106"/>
      <c r="CF186" s="12"/>
      <c r="CG186" s="12"/>
      <c r="CH186" s="12"/>
    </row>
    <row r="187" spans="21:86">
      <c r="U187" s="13">
        <f t="shared" si="125"/>
        <v>3.6486170399683422</v>
      </c>
      <c r="V187" s="13">
        <f t="shared" si="126"/>
        <v>3.8047018915710327</v>
      </c>
      <c r="W187" s="13">
        <f t="shared" si="127"/>
        <v>3.885214127423823</v>
      </c>
      <c r="X187" s="13">
        <f t="shared" si="128"/>
        <v>3.7346300514443991</v>
      </c>
      <c r="Y187" s="13">
        <f t="shared" si="129"/>
        <v>3.8573652473288487</v>
      </c>
      <c r="Z187" s="13">
        <f t="shared" si="130"/>
        <v>3.9201565017807676</v>
      </c>
      <c r="AA187" s="13">
        <f t="shared" si="131"/>
        <v>3.7776094815987329</v>
      </c>
      <c r="AB187" s="13">
        <f t="shared" si="132"/>
        <v>3.8839769529085864</v>
      </c>
      <c r="AC187" s="13">
        <f t="shared" si="133"/>
        <v>3.9375308191531437</v>
      </c>
      <c r="AD187" s="13">
        <f t="shared" si="134"/>
        <v>3.4996076375148393</v>
      </c>
      <c r="AE187" s="13">
        <f t="shared" si="135"/>
        <v>3.3403560427384247</v>
      </c>
      <c r="AF187" s="13">
        <f t="shared" si="136"/>
        <v>3.1180147289275819</v>
      </c>
      <c r="AG187" s="13">
        <f t="shared" si="137"/>
        <v>3.6489006015037582</v>
      </c>
      <c r="AH187" s="13">
        <f t="shared" si="138"/>
        <v>3.5742529956470119</v>
      </c>
      <c r="AI187" s="13">
        <f t="shared" si="139"/>
        <v>3.4266182904629994</v>
      </c>
      <c r="AJ187" s="13">
        <f t="shared" si="140"/>
        <v>3.7147214721013064</v>
      </c>
      <c r="AK187" s="13">
        <f t="shared" si="141"/>
        <v>3.6803973486347443</v>
      </c>
      <c r="AL187" s="13">
        <f t="shared" si="142"/>
        <v>3.5850231024930741</v>
      </c>
      <c r="AM187" s="13">
        <f t="shared" si="143"/>
        <v>3.9298166947733706</v>
      </c>
      <c r="AN187" s="13">
        <f t="shared" si="144"/>
        <v>3.8976006252473292</v>
      </c>
      <c r="AO187" s="322">
        <f t="shared" si="89"/>
        <v>3.8976006252473292</v>
      </c>
      <c r="AP187" s="322">
        <f t="shared" si="124"/>
        <v>3.9298166947733706</v>
      </c>
      <c r="AQ187" s="322">
        <f t="shared" si="145"/>
        <v>3.9457698754984603</v>
      </c>
      <c r="AR187" s="324">
        <f t="shared" si="146"/>
        <v>3.0838083729566828</v>
      </c>
      <c r="AS187" s="324">
        <f t="shared" si="147"/>
        <v>3.403905258896228</v>
      </c>
      <c r="AT187" s="324">
        <f t="shared" si="148"/>
        <v>3.570350141548202</v>
      </c>
      <c r="AU187" s="106">
        <f t="shared" ca="1" si="149"/>
        <v>3.8976006252473292</v>
      </c>
      <c r="AV187" s="106">
        <f t="shared" ca="1" si="150"/>
        <v>3.9298166947733706</v>
      </c>
      <c r="AW187" s="106">
        <f t="shared" ca="1" si="151"/>
        <v>3.9457698754984603</v>
      </c>
      <c r="AX187" s="106">
        <f t="shared" ca="1" si="152"/>
        <v>3.0838083729566828</v>
      </c>
      <c r="AY187" s="106">
        <f t="shared" ca="1" si="153"/>
        <v>3.403905258896228</v>
      </c>
      <c r="AZ187" s="106">
        <f t="shared" ca="1" si="154"/>
        <v>3.570350141548202</v>
      </c>
      <c r="BA187" s="324">
        <v>3.8</v>
      </c>
      <c r="BB187" s="13" cm="1">
        <f t="array" ref="BB187">INDEX(AO187:AQ187,$AI$39)</f>
        <v>3.8976006252473292</v>
      </c>
      <c r="BC187" s="13" cm="1">
        <f t="array" ref="BC187">INDEX(AR187:AT187,$AI$39)</f>
        <v>3.0838083729566828</v>
      </c>
      <c r="BD187" s="324">
        <v>3.8</v>
      </c>
      <c r="BE187" s="12"/>
      <c r="BF187" s="12"/>
      <c r="BG187" s="12"/>
      <c r="BH187" s="12"/>
      <c r="BI187" s="12"/>
      <c r="BJ187" s="12"/>
      <c r="BK187" s="12"/>
      <c r="BL187" s="12"/>
      <c r="BM187" s="12"/>
      <c r="BN187" s="12"/>
      <c r="BO187" s="12"/>
      <c r="BP187" s="12"/>
      <c r="BQ187" s="12"/>
      <c r="BR187" s="12"/>
      <c r="BS187" s="106">
        <v>7.4</v>
      </c>
      <c r="BT187" s="12" t="s">
        <v>467</v>
      </c>
      <c r="BU187" s="7" t="str">
        <f t="shared" si="121"/>
        <v>---------</v>
      </c>
      <c r="BV187" s="290">
        <v>1.24000000000004</v>
      </c>
      <c r="BW187" s="59">
        <v>178</v>
      </c>
      <c r="BX187" s="168" t="str">
        <f t="shared" si="122"/>
        <v>---------</v>
      </c>
      <c r="BY187" s="182">
        <v>4.7399999999999998E-2</v>
      </c>
      <c r="BZ187" s="185">
        <v>178</v>
      </c>
      <c r="CA187" s="184">
        <f t="shared" si="123"/>
        <v>4.7399999999999998E-2</v>
      </c>
      <c r="CB187" s="106"/>
      <c r="CF187" s="12"/>
      <c r="CG187" s="12"/>
      <c r="CH187" s="12"/>
    </row>
    <row r="188" spans="21:86">
      <c r="U188" s="13">
        <f t="shared" si="125"/>
        <v>3.5493753225168194</v>
      </c>
      <c r="V188" s="13">
        <f t="shared" si="126"/>
        <v>3.7034290937870993</v>
      </c>
      <c r="W188" s="13">
        <f t="shared" si="127"/>
        <v>3.7838152908587266</v>
      </c>
      <c r="X188" s="13">
        <f t="shared" si="128"/>
        <v>3.6344840680648982</v>
      </c>
      <c r="Y188" s="13">
        <f t="shared" si="129"/>
        <v>3.7561665215670761</v>
      </c>
      <c r="Z188" s="13">
        <f t="shared" si="130"/>
        <v>3.8190296873763359</v>
      </c>
      <c r="AA188" s="13">
        <f t="shared" si="131"/>
        <v>3.6770156865848826</v>
      </c>
      <c r="AB188" s="13">
        <f t="shared" si="132"/>
        <v>3.7828111911357332</v>
      </c>
      <c r="AC188" s="13">
        <f t="shared" si="133"/>
        <v>3.836546719430153</v>
      </c>
      <c r="AD188" s="13">
        <f t="shared" si="134"/>
        <v>3.4234849228333983</v>
      </c>
      <c r="AE188" s="13">
        <f t="shared" si="135"/>
        <v>3.2837924970320533</v>
      </c>
      <c r="AF188" s="13">
        <f t="shared" si="136"/>
        <v>3.0784969449940647</v>
      </c>
      <c r="AG188" s="13">
        <f t="shared" si="137"/>
        <v>3.5633637593984959</v>
      </c>
      <c r="AH188" s="13">
        <f t="shared" si="138"/>
        <v>3.5019857934309453</v>
      </c>
      <c r="AI188" s="13">
        <f t="shared" si="139"/>
        <v>3.3678727502967951</v>
      </c>
      <c r="AJ188" s="13">
        <f t="shared" si="140"/>
        <v>3.6249819153146037</v>
      </c>
      <c r="AK188" s="13">
        <f t="shared" si="141"/>
        <v>3.6004007835377916</v>
      </c>
      <c r="AL188" s="13">
        <f t="shared" si="142"/>
        <v>3.5150617728531852</v>
      </c>
      <c r="AM188" s="13">
        <f t="shared" si="143"/>
        <v>3.8287009436546837</v>
      </c>
      <c r="AN188" s="13">
        <f t="shared" si="144"/>
        <v>3.7961823981005156</v>
      </c>
      <c r="AO188" s="322">
        <f t="shared" si="89"/>
        <v>3.7961823981005156</v>
      </c>
      <c r="AP188" s="322">
        <f t="shared" si="124"/>
        <v>3.8287009436546837</v>
      </c>
      <c r="AQ188" s="322">
        <f t="shared" si="145"/>
        <v>3.8448137237831408</v>
      </c>
      <c r="AR188" s="324">
        <f t="shared" si="146"/>
        <v>3.046913013911297</v>
      </c>
      <c r="AS188" s="324">
        <f t="shared" si="147"/>
        <v>3.3472399744300025</v>
      </c>
      <c r="AT188" s="324">
        <f t="shared" si="148"/>
        <v>3.5019326942863227</v>
      </c>
      <c r="AU188" s="106">
        <f t="shared" ca="1" si="149"/>
        <v>3.7961823981005156</v>
      </c>
      <c r="AV188" s="106">
        <f t="shared" ca="1" si="150"/>
        <v>3.8287009436546837</v>
      </c>
      <c r="AW188" s="106">
        <f t="shared" ca="1" si="151"/>
        <v>3.8448137237831408</v>
      </c>
      <c r="AX188" s="106">
        <f t="shared" ca="1" si="152"/>
        <v>3.046913013911297</v>
      </c>
      <c r="AY188" s="106">
        <f t="shared" ca="1" si="153"/>
        <v>3.3472399744300025</v>
      </c>
      <c r="AZ188" s="106">
        <f t="shared" ca="1" si="154"/>
        <v>3.5019326942863227</v>
      </c>
      <c r="BA188" s="324">
        <v>3.7</v>
      </c>
      <c r="BB188" s="13" cm="1">
        <f t="array" ref="BB188">INDEX(AO188:AQ188,$AI$39)</f>
        <v>3.7961823981005156</v>
      </c>
      <c r="BC188" s="13" cm="1">
        <f t="array" ref="BC188">INDEX(AR188:AT188,$AI$39)</f>
        <v>3.046913013911297</v>
      </c>
      <c r="BD188" s="324">
        <v>3.7</v>
      </c>
      <c r="BE188" s="12"/>
      <c r="BF188" s="12"/>
      <c r="BG188" s="12"/>
      <c r="BH188" s="12"/>
      <c r="BI188" s="12"/>
      <c r="BJ188" s="12"/>
      <c r="BK188" s="12"/>
      <c r="BL188" s="12"/>
      <c r="BM188" s="12"/>
      <c r="BN188" s="12"/>
      <c r="BO188" s="12"/>
      <c r="BP188" s="12"/>
      <c r="BQ188" s="12"/>
      <c r="BR188" s="12"/>
      <c r="BS188" s="106">
        <v>7.3</v>
      </c>
      <c r="BT188" s="12" t="s">
        <v>468</v>
      </c>
      <c r="BU188" s="7" t="str">
        <f t="shared" si="121"/>
        <v>---------</v>
      </c>
      <c r="BV188" s="290">
        <v>1.23000000000004</v>
      </c>
      <c r="BW188" s="59">
        <v>179</v>
      </c>
      <c r="BX188" s="168" t="str">
        <f t="shared" si="122"/>
        <v>---------</v>
      </c>
      <c r="BY188" s="182">
        <v>4.7300000000000002E-2</v>
      </c>
      <c r="BZ188" s="185">
        <v>179</v>
      </c>
      <c r="CA188" s="184">
        <f t="shared" si="123"/>
        <v>4.7300000000000002E-2</v>
      </c>
      <c r="CB188" s="106"/>
      <c r="CF188" s="12"/>
      <c r="CG188" s="12"/>
      <c r="CH188" s="12"/>
    </row>
    <row r="189" spans="21:86">
      <c r="U189" s="13">
        <f t="shared" si="125"/>
        <v>3.45028580134547</v>
      </c>
      <c r="V189" s="13">
        <f t="shared" si="126"/>
        <v>3.6021917134942618</v>
      </c>
      <c r="W189" s="13">
        <f t="shared" si="127"/>
        <v>3.6824159002770087</v>
      </c>
      <c r="X189" s="13">
        <f t="shared" si="128"/>
        <v>3.5344401820340314</v>
      </c>
      <c r="Y189" s="13">
        <f t="shared" si="129"/>
        <v>3.6549922516818367</v>
      </c>
      <c r="Z189" s="13">
        <f t="shared" si="130"/>
        <v>3.717902358527899</v>
      </c>
      <c r="AA189" s="13">
        <f t="shared" si="131"/>
        <v>3.5764991373169761</v>
      </c>
      <c r="AB189" s="13">
        <f t="shared" si="132"/>
        <v>3.6816637119113564</v>
      </c>
      <c r="AC189" s="13">
        <f t="shared" si="133"/>
        <v>3.7355628175702393</v>
      </c>
      <c r="AD189" s="13">
        <f t="shared" si="134"/>
        <v>3.346156984566679</v>
      </c>
      <c r="AE189" s="13">
        <f t="shared" si="135"/>
        <v>3.2261166046695684</v>
      </c>
      <c r="AF189" s="13">
        <f t="shared" si="136"/>
        <v>3.0381124416303917</v>
      </c>
      <c r="AG189" s="13">
        <f t="shared" si="137"/>
        <v>3.476908120300751</v>
      </c>
      <c r="AH189" s="13">
        <f t="shared" si="138"/>
        <v>3.4286718955282938</v>
      </c>
      <c r="AI189" s="13">
        <f t="shared" si="139"/>
        <v>3.3081052869014642</v>
      </c>
      <c r="AJ189" s="13">
        <f t="shared" si="140"/>
        <v>3.5345416462208163</v>
      </c>
      <c r="AK189" s="13">
        <f t="shared" si="141"/>
        <v>3.5195426830233476</v>
      </c>
      <c r="AL189" s="13">
        <f t="shared" si="142"/>
        <v>3.4441544598337948</v>
      </c>
      <c r="AM189" s="13">
        <f t="shared" si="143"/>
        <v>3.7275808365042162</v>
      </c>
      <c r="AN189" s="13">
        <f t="shared" si="144"/>
        <v>3.6947580828589697</v>
      </c>
      <c r="AO189" s="322">
        <f t="shared" si="89"/>
        <v>3.6947580828589697</v>
      </c>
      <c r="AP189" s="322">
        <f t="shared" si="124"/>
        <v>3.7275808365042162</v>
      </c>
      <c r="AQ189" s="322">
        <f t="shared" si="145"/>
        <v>3.7438549876716061</v>
      </c>
      <c r="AR189" s="324">
        <f t="shared" si="146"/>
        <v>3.009188724239749</v>
      </c>
      <c r="AS189" s="324">
        <f t="shared" si="147"/>
        <v>3.2895565778819518</v>
      </c>
      <c r="AT189" s="324">
        <f t="shared" si="148"/>
        <v>3.4325562716507867</v>
      </c>
      <c r="AU189" s="106">
        <f t="shared" ca="1" si="149"/>
        <v>3.6947580828589697</v>
      </c>
      <c r="AV189" s="106">
        <f t="shared" ca="1" si="150"/>
        <v>3.7275808365042162</v>
      </c>
      <c r="AW189" s="106">
        <f t="shared" ca="1" si="151"/>
        <v>3.7438549876716061</v>
      </c>
      <c r="AX189" s="106">
        <f t="shared" ca="1" si="152"/>
        <v>3.009188724239749</v>
      </c>
      <c r="AY189" s="106">
        <f t="shared" ca="1" si="153"/>
        <v>3.2895565778819518</v>
      </c>
      <c r="AZ189" s="106">
        <f t="shared" ca="1" si="154"/>
        <v>3.4325562716507867</v>
      </c>
      <c r="BA189" s="324">
        <v>3.6</v>
      </c>
      <c r="BB189" s="13" cm="1">
        <f t="array" ref="BB189">INDEX(AO189:AQ189,$AI$39)</f>
        <v>3.6947580828589697</v>
      </c>
      <c r="BC189" s="13" cm="1">
        <f t="array" ref="BC189">INDEX(AR189:AT189,$AI$39)</f>
        <v>3.009188724239749</v>
      </c>
      <c r="BD189" s="324">
        <v>3.6</v>
      </c>
      <c r="BE189" s="12"/>
      <c r="BF189" s="12"/>
      <c r="BG189" s="12"/>
      <c r="BH189" s="12"/>
      <c r="BI189" s="12"/>
      <c r="BJ189" s="12"/>
      <c r="BK189" s="12"/>
      <c r="BL189" s="12"/>
      <c r="BM189" s="12"/>
      <c r="BN189" s="12"/>
      <c r="BO189" s="12"/>
      <c r="BP189" s="12"/>
      <c r="BQ189" s="12"/>
      <c r="BR189" s="12"/>
      <c r="BS189" s="106">
        <v>7.2</v>
      </c>
      <c r="BT189" s="12" t="s">
        <v>469</v>
      </c>
      <c r="BU189" s="7" t="str">
        <f t="shared" si="121"/>
        <v>---------</v>
      </c>
      <c r="BV189" s="290">
        <v>1.2200000000000399</v>
      </c>
      <c r="BW189" s="59">
        <v>180</v>
      </c>
      <c r="BX189" s="168" t="str">
        <f t="shared" si="122"/>
        <v>---------</v>
      </c>
      <c r="BY189" s="182">
        <v>4.7199999999999999E-2</v>
      </c>
      <c r="BZ189" s="185">
        <v>180</v>
      </c>
      <c r="CA189" s="184">
        <f t="shared" si="123"/>
        <v>4.7199999999999999E-2</v>
      </c>
      <c r="CB189" s="106"/>
      <c r="CF189" s="12"/>
      <c r="CG189" s="12"/>
      <c r="CH189" s="12"/>
    </row>
    <row r="190" spans="21:86">
      <c r="U190" s="13">
        <f t="shared" si="125"/>
        <v>3.3513484764542945</v>
      </c>
      <c r="V190" s="13">
        <f t="shared" si="126"/>
        <v>3.5009897506925207</v>
      </c>
      <c r="W190" s="13">
        <f t="shared" si="127"/>
        <v>3.5810159556786707</v>
      </c>
      <c r="X190" s="13">
        <f t="shared" si="128"/>
        <v>3.4344983933517992</v>
      </c>
      <c r="Y190" s="13">
        <f t="shared" si="129"/>
        <v>3.5538424376731306</v>
      </c>
      <c r="Z190" s="13">
        <f t="shared" si="130"/>
        <v>3.6167745152354573</v>
      </c>
      <c r="AA190" s="13">
        <f t="shared" si="131"/>
        <v>3.4760598337950137</v>
      </c>
      <c r="AB190" s="13">
        <f t="shared" si="132"/>
        <v>3.5805345152354562</v>
      </c>
      <c r="AC190" s="13">
        <f t="shared" si="133"/>
        <v>3.6345791135734054</v>
      </c>
      <c r="AD190" s="13">
        <f t="shared" si="134"/>
        <v>3.2676238227146808</v>
      </c>
      <c r="AE190" s="13">
        <f t="shared" si="135"/>
        <v>3.167328365650969</v>
      </c>
      <c r="AF190" s="13">
        <f t="shared" si="136"/>
        <v>2.9968612188365658</v>
      </c>
      <c r="AG190" s="13">
        <f t="shared" si="137"/>
        <v>3.3895336842105257</v>
      </c>
      <c r="AH190" s="13">
        <f t="shared" si="138"/>
        <v>3.3543113019390578</v>
      </c>
      <c r="AI190" s="13">
        <f t="shared" si="139"/>
        <v>3.2473159002770084</v>
      </c>
      <c r="AJ190" s="13">
        <f t="shared" si="140"/>
        <v>3.4434006648199453</v>
      </c>
      <c r="AK190" s="13">
        <f t="shared" si="141"/>
        <v>3.4378230470914124</v>
      </c>
      <c r="AL190" s="13">
        <f t="shared" si="142"/>
        <v>3.3723011634349027</v>
      </c>
      <c r="AM190" s="13">
        <f t="shared" si="143"/>
        <v>3.626456373321969</v>
      </c>
      <c r="AN190" s="13">
        <f t="shared" si="144"/>
        <v>3.5933276795226936</v>
      </c>
      <c r="AO190" s="322">
        <f t="shared" si="89"/>
        <v>3.5933276795226936</v>
      </c>
      <c r="AP190" s="322">
        <f t="shared" si="124"/>
        <v>3.626456373321969</v>
      </c>
      <c r="AQ190" s="322">
        <f t="shared" si="145"/>
        <v>3.6428936671638592</v>
      </c>
      <c r="AR190" s="324">
        <f t="shared" si="146"/>
        <v>2.970635503942042</v>
      </c>
      <c r="AS190" s="324">
        <f t="shared" si="147"/>
        <v>3.2308550692520779</v>
      </c>
      <c r="AT190" s="324">
        <f t="shared" si="148"/>
        <v>3.3622208736415935</v>
      </c>
      <c r="AU190" s="106">
        <f t="shared" ca="1" si="149"/>
        <v>3.5933276795226936</v>
      </c>
      <c r="AV190" s="106">
        <f t="shared" ca="1" si="150"/>
        <v>3.626456373321969</v>
      </c>
      <c r="AW190" s="106">
        <f t="shared" ca="1" si="151"/>
        <v>3.6428936671638592</v>
      </c>
      <c r="AX190" s="106">
        <f t="shared" ca="1" si="152"/>
        <v>2.970635503942042</v>
      </c>
      <c r="AY190" s="106">
        <f t="shared" ca="1" si="153"/>
        <v>3.2308550692520779</v>
      </c>
      <c r="AZ190" s="106">
        <f t="shared" ca="1" si="154"/>
        <v>3.3622208736415935</v>
      </c>
      <c r="BA190" s="324">
        <v>3.5</v>
      </c>
      <c r="BB190" s="13" cm="1">
        <f t="array" ref="BB190">INDEX(AO190:AQ190,$AI$39)</f>
        <v>3.5933276795226936</v>
      </c>
      <c r="BC190" s="13" cm="1">
        <f t="array" ref="BC190">INDEX(AR190:AT190,$AI$39)</f>
        <v>2.970635503942042</v>
      </c>
      <c r="BD190" s="324">
        <v>3.5</v>
      </c>
      <c r="BE190" s="12"/>
      <c r="BF190" s="12"/>
      <c r="BG190" s="12"/>
      <c r="BH190" s="12"/>
      <c r="BI190" s="12"/>
      <c r="BJ190" s="12"/>
      <c r="BK190" s="12"/>
      <c r="BL190" s="12"/>
      <c r="BM190" s="12"/>
      <c r="BN190" s="12"/>
      <c r="BO190" s="12"/>
      <c r="BP190" s="12"/>
      <c r="BQ190" s="12"/>
      <c r="BR190" s="12"/>
      <c r="BS190" s="106">
        <v>7.1</v>
      </c>
      <c r="BT190" s="12" t="s">
        <v>470</v>
      </c>
      <c r="BU190" s="7" t="str">
        <f t="shared" si="121"/>
        <v>---------</v>
      </c>
      <c r="BV190" s="290">
        <v>1.2100000000000399</v>
      </c>
      <c r="BW190" s="59">
        <v>181</v>
      </c>
      <c r="BX190" s="168" t="str">
        <f t="shared" si="122"/>
        <v>---------</v>
      </c>
      <c r="BY190" s="182">
        <v>4.7100000000000003E-2</v>
      </c>
      <c r="BZ190" s="185">
        <v>181</v>
      </c>
      <c r="CA190" s="184">
        <f t="shared" si="123"/>
        <v>4.7100000000000003E-2</v>
      </c>
      <c r="CB190" s="106"/>
      <c r="CF190" s="12"/>
      <c r="CG190" s="12"/>
      <c r="CH190" s="12"/>
    </row>
    <row r="191" spans="21:86">
      <c r="U191" s="13">
        <f t="shared" si="125"/>
        <v>3.2525633478432932</v>
      </c>
      <c r="V191" s="13">
        <f t="shared" si="126"/>
        <v>3.399823205381876</v>
      </c>
      <c r="W191" s="13">
        <f t="shared" si="127"/>
        <v>3.4796154570637121</v>
      </c>
      <c r="X191" s="13">
        <f t="shared" si="128"/>
        <v>3.3346587020182019</v>
      </c>
      <c r="Y191" s="13">
        <f t="shared" si="129"/>
        <v>3.4527170795409576</v>
      </c>
      <c r="Z191" s="13">
        <f t="shared" si="130"/>
        <v>3.5156461574990105</v>
      </c>
      <c r="AA191" s="13">
        <f t="shared" si="131"/>
        <v>3.3756977760189941</v>
      </c>
      <c r="AB191" s="13">
        <f t="shared" si="132"/>
        <v>3.4794236011080324</v>
      </c>
      <c r="AC191" s="13">
        <f t="shared" si="133"/>
        <v>3.5335956074396497</v>
      </c>
      <c r="AD191" s="13">
        <f t="shared" si="134"/>
        <v>3.1878854372774033</v>
      </c>
      <c r="AE191" s="13">
        <f t="shared" si="135"/>
        <v>3.1074277799762564</v>
      </c>
      <c r="AF191" s="13">
        <f t="shared" si="136"/>
        <v>2.9547432766125841</v>
      </c>
      <c r="AG191" s="13">
        <f t="shared" si="137"/>
        <v>3.3012404511278191</v>
      </c>
      <c r="AH191" s="13">
        <f t="shared" si="138"/>
        <v>3.2789040126632365</v>
      </c>
      <c r="AI191" s="13">
        <f t="shared" si="139"/>
        <v>3.1855045904234269</v>
      </c>
      <c r="AJ191" s="13">
        <f t="shared" si="140"/>
        <v>3.3515589711119906</v>
      </c>
      <c r="AK191" s="13">
        <f t="shared" si="141"/>
        <v>3.355241875741986</v>
      </c>
      <c r="AL191" s="13">
        <f t="shared" si="142"/>
        <v>3.2995018836565091</v>
      </c>
      <c r="AM191" s="13">
        <f t="shared" si="143"/>
        <v>3.5253275541079416</v>
      </c>
      <c r="AN191" s="13">
        <f t="shared" si="144"/>
        <v>3.491891188091687</v>
      </c>
      <c r="AO191" s="322">
        <f t="shared" si="89"/>
        <v>3.491891188091687</v>
      </c>
      <c r="AP191" s="322">
        <f t="shared" si="124"/>
        <v>3.5253275541079416</v>
      </c>
      <c r="AQ191" s="322">
        <f t="shared" si="145"/>
        <v>3.5419297622598984</v>
      </c>
      <c r="AR191" s="324">
        <f t="shared" si="146"/>
        <v>2.9312533530181728</v>
      </c>
      <c r="AS191" s="324">
        <f t="shared" si="147"/>
        <v>3.1711354485403791</v>
      </c>
      <c r="AT191" s="324">
        <f t="shared" si="148"/>
        <v>3.2909265002587436</v>
      </c>
      <c r="AU191" s="106">
        <f t="shared" ca="1" si="149"/>
        <v>3.491891188091687</v>
      </c>
      <c r="AV191" s="106">
        <f t="shared" ca="1" si="150"/>
        <v>3.5253275541079416</v>
      </c>
      <c r="AW191" s="106">
        <f t="shared" ca="1" si="151"/>
        <v>3.5419297622598984</v>
      </c>
      <c r="AX191" s="106">
        <f t="shared" ca="1" si="152"/>
        <v>2.9312533530181728</v>
      </c>
      <c r="AY191" s="106">
        <f t="shared" ca="1" si="153"/>
        <v>3.1711354485403791</v>
      </c>
      <c r="AZ191" s="106">
        <f t="shared" ca="1" si="154"/>
        <v>3.2909265002587436</v>
      </c>
      <c r="BA191" s="324">
        <v>3.4</v>
      </c>
      <c r="BB191" s="13" cm="1">
        <f t="array" ref="BB191">INDEX(AO191:AQ191,$AI$39)</f>
        <v>3.491891188091687</v>
      </c>
      <c r="BC191" s="13" cm="1">
        <f t="array" ref="BC191">INDEX(AR191:AT191,$AI$39)</f>
        <v>2.9312533530181728</v>
      </c>
      <c r="BD191" s="324">
        <v>3.4</v>
      </c>
      <c r="BE191" s="12"/>
      <c r="BF191" s="12"/>
      <c r="BG191" s="12"/>
      <c r="BH191" s="12"/>
      <c r="BI191" s="12"/>
      <c r="BJ191" s="12"/>
      <c r="BK191" s="12"/>
      <c r="BL191" s="12"/>
      <c r="BM191" s="12"/>
      <c r="BN191" s="12"/>
      <c r="BO191" s="12"/>
      <c r="BP191" s="12"/>
      <c r="BQ191" s="12"/>
      <c r="BR191" s="12"/>
      <c r="BS191" s="106">
        <v>7</v>
      </c>
      <c r="BT191" s="12" t="s">
        <v>471</v>
      </c>
      <c r="BU191" s="7" t="str">
        <f t="shared" si="121"/>
        <v>---------</v>
      </c>
      <c r="BV191" s="290">
        <v>1.2000000000000399</v>
      </c>
      <c r="BW191" s="59">
        <v>182</v>
      </c>
      <c r="BX191" s="168" t="str">
        <f t="shared" si="122"/>
        <v>---------</v>
      </c>
      <c r="BY191" s="182">
        <v>4.7E-2</v>
      </c>
      <c r="BZ191" s="185">
        <v>182</v>
      </c>
      <c r="CA191" s="184">
        <f t="shared" si="123"/>
        <v>4.7E-2</v>
      </c>
      <c r="CB191" s="106"/>
      <c r="CF191" s="12"/>
      <c r="CG191" s="12"/>
      <c r="CH191" s="12"/>
    </row>
    <row r="192" spans="21:86">
      <c r="U192" s="13">
        <f t="shared" si="125"/>
        <v>3.1539304155124661</v>
      </c>
      <c r="V192" s="13">
        <f t="shared" si="126"/>
        <v>3.2986920775623267</v>
      </c>
      <c r="W192" s="13">
        <f t="shared" si="127"/>
        <v>3.3782144044321329</v>
      </c>
      <c r="X192" s="13">
        <f t="shared" si="128"/>
        <v>3.2349211080332396</v>
      </c>
      <c r="Y192" s="13">
        <f t="shared" si="129"/>
        <v>3.3516161772853188</v>
      </c>
      <c r="Z192" s="13">
        <f t="shared" si="130"/>
        <v>3.4145172853185595</v>
      </c>
      <c r="AA192" s="13">
        <f t="shared" si="131"/>
        <v>3.2754129639889191</v>
      </c>
      <c r="AB192" s="13">
        <f t="shared" si="132"/>
        <v>3.3783309695290846</v>
      </c>
      <c r="AC192" s="13">
        <f t="shared" si="133"/>
        <v>3.4326122991689729</v>
      </c>
      <c r="AD192" s="13">
        <f t="shared" si="134"/>
        <v>3.1069418282548469</v>
      </c>
      <c r="AE192" s="13">
        <f t="shared" si="135"/>
        <v>3.0464148476454289</v>
      </c>
      <c r="AF192" s="13">
        <f t="shared" si="136"/>
        <v>2.9117586149584485</v>
      </c>
      <c r="AG192" s="13">
        <f t="shared" si="137"/>
        <v>3.2120284210526306</v>
      </c>
      <c r="AH192" s="13">
        <f t="shared" si="138"/>
        <v>3.2024500277008303</v>
      </c>
      <c r="AI192" s="13">
        <f t="shared" si="139"/>
        <v>3.1226713573407201</v>
      </c>
      <c r="AJ192" s="13">
        <f t="shared" si="140"/>
        <v>3.2590165650969531</v>
      </c>
      <c r="AK192" s="13">
        <f t="shared" si="141"/>
        <v>3.2717991689750683</v>
      </c>
      <c r="AL192" s="13">
        <f t="shared" si="142"/>
        <v>3.2257566204986143</v>
      </c>
      <c r="AM192" s="13">
        <f t="shared" si="143"/>
        <v>3.424194378862135</v>
      </c>
      <c r="AN192" s="13">
        <f t="shared" si="144"/>
        <v>3.3904486085659493</v>
      </c>
      <c r="AO192" s="322">
        <f t="shared" si="89"/>
        <v>3.3904486085659493</v>
      </c>
      <c r="AP192" s="322">
        <f t="shared" si="124"/>
        <v>3.424194378862135</v>
      </c>
      <c r="AQ192" s="322">
        <f t="shared" si="145"/>
        <v>3.440963272959725</v>
      </c>
      <c r="AR192" s="324">
        <f t="shared" si="146"/>
        <v>2.8910422714681436</v>
      </c>
      <c r="AS192" s="324">
        <f t="shared" si="147"/>
        <v>3.1103977157468572</v>
      </c>
      <c r="AT192" s="324">
        <f t="shared" si="148"/>
        <v>3.2186731515022369</v>
      </c>
      <c r="AU192" s="106">
        <f t="shared" ca="1" si="149"/>
        <v>3.3904486085659493</v>
      </c>
      <c r="AV192" s="106">
        <f t="shared" ca="1" si="150"/>
        <v>3.424194378862135</v>
      </c>
      <c r="AW192" s="106">
        <f t="shared" ca="1" si="151"/>
        <v>3.440963272959725</v>
      </c>
      <c r="AX192" s="106">
        <f t="shared" ca="1" si="152"/>
        <v>2.8910422714681436</v>
      </c>
      <c r="AY192" s="106">
        <f t="shared" ca="1" si="153"/>
        <v>3.1103977157468572</v>
      </c>
      <c r="AZ192" s="106">
        <f t="shared" ca="1" si="154"/>
        <v>3.2186731515022369</v>
      </c>
      <c r="BA192" s="324">
        <v>3.3</v>
      </c>
      <c r="BB192" s="13" cm="1">
        <f t="array" ref="BB192">INDEX(AO192:AQ192,$AI$39)</f>
        <v>3.3904486085659493</v>
      </c>
      <c r="BC192" s="13" cm="1">
        <f t="array" ref="BC192">INDEX(AR192:AT192,$AI$39)</f>
        <v>2.8910422714681436</v>
      </c>
      <c r="BD192" s="324">
        <v>3.3</v>
      </c>
      <c r="BE192" s="12"/>
      <c r="BF192" s="12"/>
      <c r="BG192" s="12"/>
      <c r="BH192" s="12"/>
      <c r="BI192" s="12"/>
      <c r="BJ192" s="12"/>
      <c r="BK192" s="12"/>
      <c r="BL192" s="12"/>
      <c r="BM192" s="12"/>
      <c r="BN192" s="12"/>
      <c r="BO192" s="12"/>
      <c r="BP192" s="12"/>
      <c r="BQ192" s="12"/>
      <c r="BR192" s="12"/>
      <c r="BS192" s="106">
        <v>6.9</v>
      </c>
      <c r="BT192" s="12" t="s">
        <v>472</v>
      </c>
      <c r="BU192" s="7" t="str">
        <f t="shared" si="121"/>
        <v>---------</v>
      </c>
      <c r="BV192" s="290">
        <v>1.1900000000000399</v>
      </c>
      <c r="BW192" s="59">
        <v>183</v>
      </c>
      <c r="BX192" s="168" t="str">
        <f t="shared" si="122"/>
        <v>---------</v>
      </c>
      <c r="BY192" s="182">
        <v>4.6899999999999997E-2</v>
      </c>
      <c r="BZ192" s="185">
        <v>183</v>
      </c>
      <c r="CA192" s="184">
        <f t="shared" si="123"/>
        <v>4.6899999999999997E-2</v>
      </c>
      <c r="CB192" s="106"/>
      <c r="CF192" s="12"/>
      <c r="CG192" s="12"/>
      <c r="CH192" s="12"/>
    </row>
    <row r="193" spans="21:86">
      <c r="U193" s="13">
        <f t="shared" si="125"/>
        <v>3.0554496794618133</v>
      </c>
      <c r="V193" s="13">
        <f t="shared" si="126"/>
        <v>3.1975963672338747</v>
      </c>
      <c r="W193" s="13">
        <f t="shared" si="127"/>
        <v>3.2768127977839341</v>
      </c>
      <c r="X193" s="13">
        <f t="shared" si="128"/>
        <v>3.1352856113969123</v>
      </c>
      <c r="Y193" s="13">
        <f t="shared" si="129"/>
        <v>3.2505397309062136</v>
      </c>
      <c r="Z193" s="13">
        <f t="shared" si="130"/>
        <v>3.3133878986941041</v>
      </c>
      <c r="AA193" s="13">
        <f t="shared" si="131"/>
        <v>3.1752053977047878</v>
      </c>
      <c r="AB193" s="13">
        <f t="shared" si="132"/>
        <v>3.2772566204986142</v>
      </c>
      <c r="AC193" s="13">
        <f t="shared" si="133"/>
        <v>3.3316291887613754</v>
      </c>
      <c r="AD193" s="13">
        <f t="shared" si="134"/>
        <v>3.0247929956470117</v>
      </c>
      <c r="AE193" s="13">
        <f t="shared" si="135"/>
        <v>2.9842895686584878</v>
      </c>
      <c r="AF193" s="13">
        <f t="shared" si="136"/>
        <v>2.8679072338741589</v>
      </c>
      <c r="AG193" s="13">
        <f t="shared" si="137"/>
        <v>3.1218975939849614</v>
      </c>
      <c r="AH193" s="13">
        <f t="shared" si="138"/>
        <v>3.1249493470518392</v>
      </c>
      <c r="AI193" s="13">
        <f t="shared" si="139"/>
        <v>3.0588162010288884</v>
      </c>
      <c r="AJ193" s="13">
        <f t="shared" si="140"/>
        <v>3.165773446774832</v>
      </c>
      <c r="AK193" s="13">
        <f t="shared" si="141"/>
        <v>3.1874949267906603</v>
      </c>
      <c r="AL193" s="13">
        <f t="shared" si="142"/>
        <v>3.1510653739612184</v>
      </c>
      <c r="AM193" s="13">
        <f t="shared" si="143"/>
        <v>3.323056847584549</v>
      </c>
      <c r="AN193" s="13">
        <f t="shared" si="144"/>
        <v>3.2889999409454815</v>
      </c>
      <c r="AO193" s="322">
        <f t="shared" si="89"/>
        <v>3.2889999409454815</v>
      </c>
      <c r="AP193" s="322">
        <f t="shared" si="124"/>
        <v>3.323056847584549</v>
      </c>
      <c r="AQ193" s="322">
        <f t="shared" si="145"/>
        <v>3.3399941992633386</v>
      </c>
      <c r="AR193" s="324">
        <f t="shared" si="146"/>
        <v>2.8500022592919545</v>
      </c>
      <c r="AS193" s="324">
        <f t="shared" si="147"/>
        <v>3.0486418708715113</v>
      </c>
      <c r="AT193" s="324">
        <f t="shared" si="148"/>
        <v>3.1454608273720734</v>
      </c>
      <c r="AU193" s="106">
        <f t="shared" ca="1" si="149"/>
        <v>3.2889999409454815</v>
      </c>
      <c r="AV193" s="106">
        <f t="shared" ca="1" si="150"/>
        <v>3.323056847584549</v>
      </c>
      <c r="AW193" s="106">
        <f t="shared" ca="1" si="151"/>
        <v>3.3399941992633386</v>
      </c>
      <c r="AX193" s="106">
        <f t="shared" ca="1" si="152"/>
        <v>2.8500022592919545</v>
      </c>
      <c r="AY193" s="106">
        <f t="shared" ca="1" si="153"/>
        <v>3.0486418708715113</v>
      </c>
      <c r="AZ193" s="106">
        <f t="shared" ca="1" si="154"/>
        <v>3.1454608273720734</v>
      </c>
      <c r="BA193" s="324">
        <v>3.2</v>
      </c>
      <c r="BB193" s="13" cm="1">
        <f t="array" ref="BB193">INDEX(AO193:AQ193,$AI$39)</f>
        <v>3.2889999409454815</v>
      </c>
      <c r="BC193" s="13" cm="1">
        <f t="array" ref="BC193">INDEX(AR193:AT193,$AI$39)</f>
        <v>2.8500022592919545</v>
      </c>
      <c r="BD193" s="324">
        <v>3.2</v>
      </c>
      <c r="BE193" s="12"/>
      <c r="BF193" s="12"/>
      <c r="BG193" s="12"/>
      <c r="BH193" s="12"/>
      <c r="BI193" s="12"/>
      <c r="BJ193" s="12"/>
      <c r="BK193" s="12"/>
      <c r="BL193" s="12"/>
      <c r="BM193" s="12"/>
      <c r="BN193" s="12"/>
      <c r="BO193" s="12"/>
      <c r="BP193" s="12"/>
      <c r="BQ193" s="12"/>
      <c r="BR193" s="12"/>
      <c r="BS193" s="106">
        <v>6.8</v>
      </c>
      <c r="BT193" s="12" t="s">
        <v>473</v>
      </c>
      <c r="BU193" s="7" t="str">
        <f t="shared" si="121"/>
        <v>---------</v>
      </c>
      <c r="BV193" s="290">
        <v>1.1800000000000399</v>
      </c>
      <c r="BW193" s="59">
        <v>184</v>
      </c>
      <c r="BX193" s="168" t="str">
        <f t="shared" si="122"/>
        <v>---------</v>
      </c>
      <c r="BY193" s="182">
        <v>4.6800000000000001E-2</v>
      </c>
      <c r="BZ193" s="185">
        <v>184</v>
      </c>
      <c r="CA193" s="184">
        <f t="shared" si="123"/>
        <v>4.6800000000000001E-2</v>
      </c>
      <c r="CB193" s="106"/>
      <c r="CF193" s="12"/>
      <c r="CG193" s="12"/>
      <c r="CH193" s="12"/>
    </row>
    <row r="194" spans="21:86">
      <c r="U194" s="13">
        <f t="shared" si="125"/>
        <v>2.9571211396913348</v>
      </c>
      <c r="V194" s="13">
        <f t="shared" si="126"/>
        <v>3.0965360743965178</v>
      </c>
      <c r="W194" s="13">
        <f t="shared" si="127"/>
        <v>3.1754106371191142</v>
      </c>
      <c r="X194" s="13">
        <f t="shared" si="128"/>
        <v>3.0357522121092191</v>
      </c>
      <c r="Y194" s="13">
        <f t="shared" si="129"/>
        <v>3.1494877404036408</v>
      </c>
      <c r="Z194" s="13">
        <f t="shared" si="130"/>
        <v>3.2122579976256436</v>
      </c>
      <c r="AA194" s="13">
        <f t="shared" si="131"/>
        <v>3.0750750771666002</v>
      </c>
      <c r="AB194" s="13">
        <f t="shared" si="132"/>
        <v>3.1762005540166198</v>
      </c>
      <c r="AC194" s="13">
        <f t="shared" si="133"/>
        <v>3.2306462762168562</v>
      </c>
      <c r="AD194" s="13">
        <f t="shared" si="134"/>
        <v>2.9414389394538976</v>
      </c>
      <c r="AE194" s="13">
        <f t="shared" si="135"/>
        <v>2.9210519430154331</v>
      </c>
      <c r="AF194" s="13">
        <f t="shared" si="136"/>
        <v>2.8231891333597154</v>
      </c>
      <c r="AG194" s="13">
        <f t="shared" si="137"/>
        <v>3.0308479699248112</v>
      </c>
      <c r="AH194" s="13">
        <f t="shared" si="138"/>
        <v>3.0464019707162637</v>
      </c>
      <c r="AI194" s="13">
        <f t="shared" si="139"/>
        <v>2.9939391214879305</v>
      </c>
      <c r="AJ194" s="13">
        <f t="shared" si="140"/>
        <v>3.071829616145628</v>
      </c>
      <c r="AK194" s="13">
        <f t="shared" si="141"/>
        <v>3.102329149188761</v>
      </c>
      <c r="AL194" s="13">
        <f t="shared" si="142"/>
        <v>3.0754281440443205</v>
      </c>
      <c r="AM194" s="13">
        <f t="shared" si="143"/>
        <v>3.2219149602751824</v>
      </c>
      <c r="AN194" s="13">
        <f t="shared" si="144"/>
        <v>3.1875451852302827</v>
      </c>
      <c r="AO194" s="322">
        <f t="shared" si="89"/>
        <v>3.1875451852302827</v>
      </c>
      <c r="AP194" s="322">
        <f t="shared" si="124"/>
        <v>3.2219149602751824</v>
      </c>
      <c r="AQ194" s="322">
        <f t="shared" si="145"/>
        <v>3.2390225411707387</v>
      </c>
      <c r="AR194" s="324">
        <f t="shared" si="146"/>
        <v>2.808133316489605</v>
      </c>
      <c r="AS194" s="324">
        <f t="shared" si="147"/>
        <v>2.9858679139143409</v>
      </c>
      <c r="AT194" s="324">
        <f t="shared" si="148"/>
        <v>3.0712895278682528</v>
      </c>
      <c r="AU194" s="106">
        <f t="shared" ca="1" si="149"/>
        <v>3.1875451852302827</v>
      </c>
      <c r="AV194" s="106">
        <f t="shared" ca="1" si="150"/>
        <v>3.2219149602751824</v>
      </c>
      <c r="AW194" s="106">
        <f t="shared" ca="1" si="151"/>
        <v>3.2390225411707387</v>
      </c>
      <c r="AX194" s="106">
        <f t="shared" ca="1" si="152"/>
        <v>2.808133316489605</v>
      </c>
      <c r="AY194" s="106">
        <f t="shared" ca="1" si="153"/>
        <v>2.9858679139143409</v>
      </c>
      <c r="AZ194" s="106">
        <f t="shared" ca="1" si="154"/>
        <v>3.0712895278682528</v>
      </c>
      <c r="BA194" s="324">
        <v>3.1</v>
      </c>
      <c r="BB194" s="13" cm="1">
        <f t="array" ref="BB194">INDEX(AO194:AQ194,$AI$39)</f>
        <v>3.1875451852302827</v>
      </c>
      <c r="BC194" s="13" cm="1">
        <f t="array" ref="BC194">INDEX(AR194:AT194,$AI$39)</f>
        <v>2.808133316489605</v>
      </c>
      <c r="BD194" s="324">
        <v>3.1</v>
      </c>
      <c r="BE194" s="12"/>
      <c r="BF194" s="12"/>
      <c r="BG194" s="12"/>
      <c r="BH194" s="12"/>
      <c r="BI194" s="12"/>
      <c r="BJ194" s="12"/>
      <c r="BK194" s="12"/>
      <c r="BL194" s="12"/>
      <c r="BM194" s="12"/>
      <c r="BN194" s="12"/>
      <c r="BO194" s="12"/>
      <c r="BP194" s="12"/>
      <c r="BQ194" s="12"/>
      <c r="BR194" s="12"/>
      <c r="BS194" s="106">
        <v>6.7</v>
      </c>
      <c r="BT194" s="12" t="s">
        <v>474</v>
      </c>
      <c r="BU194" s="7" t="str">
        <f t="shared" si="121"/>
        <v>---------</v>
      </c>
      <c r="BV194" s="290">
        <v>1.1700000000000399</v>
      </c>
      <c r="BW194" s="59">
        <v>185</v>
      </c>
      <c r="BX194" s="168" t="str">
        <f t="shared" si="122"/>
        <v>---------</v>
      </c>
      <c r="BY194" s="182">
        <v>4.6699999999999998E-2</v>
      </c>
      <c r="BZ194" s="185">
        <v>185</v>
      </c>
      <c r="CA194" s="184">
        <f t="shared" si="123"/>
        <v>4.6699999999999998E-2</v>
      </c>
      <c r="CB194" s="106"/>
      <c r="CF194" s="12"/>
      <c r="CG194" s="12"/>
      <c r="CH194" s="12"/>
    </row>
    <row r="195" spans="21:86">
      <c r="U195" s="13">
        <f t="shared" si="125"/>
        <v>2.8589447962010297</v>
      </c>
      <c r="V195" s="13">
        <f t="shared" si="126"/>
        <v>2.9955111990502572</v>
      </c>
      <c r="W195" s="13">
        <f t="shared" si="127"/>
        <v>3.0740079224376733</v>
      </c>
      <c r="X195" s="13">
        <f t="shared" si="128"/>
        <v>2.9363209101701608</v>
      </c>
      <c r="Y195" s="13">
        <f t="shared" si="129"/>
        <v>3.048460205777602</v>
      </c>
      <c r="Z195" s="13">
        <f t="shared" si="130"/>
        <v>3.1111275821131779</v>
      </c>
      <c r="AA195" s="13">
        <f t="shared" si="131"/>
        <v>2.9750220023743563</v>
      </c>
      <c r="AB195" s="13">
        <f t="shared" si="132"/>
        <v>3.0751627700831015</v>
      </c>
      <c r="AC195" s="13">
        <f t="shared" si="133"/>
        <v>3.1296635615354158</v>
      </c>
      <c r="AD195" s="13">
        <f t="shared" si="134"/>
        <v>2.8568796596755042</v>
      </c>
      <c r="AE195" s="13">
        <f t="shared" si="135"/>
        <v>2.856701970716264</v>
      </c>
      <c r="AF195" s="13">
        <f t="shared" si="136"/>
        <v>2.7776043134151172</v>
      </c>
      <c r="AG195" s="13">
        <f t="shared" si="137"/>
        <v>2.9388795488721797</v>
      </c>
      <c r="AH195" s="13">
        <f t="shared" si="138"/>
        <v>2.9668078986941029</v>
      </c>
      <c r="AI195" s="13">
        <f t="shared" si="139"/>
        <v>2.9280401187178473</v>
      </c>
      <c r="AJ195" s="13">
        <f t="shared" si="140"/>
        <v>2.9771850732093394</v>
      </c>
      <c r="AK195" s="13">
        <f t="shared" si="141"/>
        <v>3.0163018361693696</v>
      </c>
      <c r="AL195" s="13">
        <f t="shared" si="142"/>
        <v>2.9988449307479219</v>
      </c>
      <c r="AM195" s="13">
        <f t="shared" si="143"/>
        <v>3.1207687169340357</v>
      </c>
      <c r="AN195" s="13">
        <f t="shared" si="144"/>
        <v>3.0860843414203525</v>
      </c>
      <c r="AO195" s="322">
        <f t="shared" si="89"/>
        <v>3.0860843414203525</v>
      </c>
      <c r="AP195" s="322">
        <f t="shared" si="124"/>
        <v>3.1207687169340357</v>
      </c>
      <c r="AQ195" s="322">
        <f t="shared" si="145"/>
        <v>3.1380482986819258</v>
      </c>
      <c r="AR195" s="324">
        <f t="shared" si="146"/>
        <v>2.7654354430610946</v>
      </c>
      <c r="AS195" s="324">
        <f t="shared" si="147"/>
        <v>2.9220758448753466</v>
      </c>
      <c r="AT195" s="324">
        <f t="shared" si="148"/>
        <v>2.9961592529907759</v>
      </c>
      <c r="AU195" s="106">
        <f t="shared" ca="1" si="149"/>
        <v>3.0860843414203525</v>
      </c>
      <c r="AV195" s="106">
        <f t="shared" ca="1" si="150"/>
        <v>3.1207687169340357</v>
      </c>
      <c r="AW195" s="106">
        <f t="shared" ca="1" si="151"/>
        <v>3.1380482986819258</v>
      </c>
      <c r="AX195" s="106">
        <f t="shared" ca="1" si="152"/>
        <v>2.7654354430610946</v>
      </c>
      <c r="AY195" s="106">
        <f t="shared" ca="1" si="153"/>
        <v>2.9220758448753466</v>
      </c>
      <c r="AZ195" s="106">
        <f t="shared" ca="1" si="154"/>
        <v>2.9961592529907759</v>
      </c>
      <c r="BA195" s="324">
        <v>3</v>
      </c>
      <c r="BB195" s="13" cm="1">
        <f t="array" ref="BB195">INDEX(AO195:AQ195,$AI$39)</f>
        <v>3.0860843414203525</v>
      </c>
      <c r="BC195" s="13" cm="1">
        <f t="array" ref="BC195">INDEX(AR195:AT195,$AI$39)</f>
        <v>2.7654354430610946</v>
      </c>
      <c r="BD195" s="324">
        <v>3</v>
      </c>
      <c r="BE195" s="12"/>
      <c r="BF195" s="12"/>
      <c r="BG195" s="12"/>
      <c r="BH195" s="12"/>
      <c r="BI195" s="12"/>
      <c r="BJ195" s="12"/>
      <c r="BK195" s="12"/>
      <c r="BL195" s="12"/>
      <c r="BM195" s="12"/>
      <c r="BN195" s="12"/>
      <c r="BO195" s="12"/>
      <c r="BP195" s="12"/>
      <c r="BQ195" s="12"/>
      <c r="BR195" s="12"/>
      <c r="BS195" s="106">
        <v>6.6</v>
      </c>
      <c r="BT195" s="12" t="s">
        <v>475</v>
      </c>
      <c r="BU195" s="7" t="str">
        <f t="shared" si="121"/>
        <v>---------</v>
      </c>
      <c r="BV195" s="290">
        <v>1.1600000000000401</v>
      </c>
      <c r="BW195" s="59">
        <v>186</v>
      </c>
      <c r="BX195" s="168" t="str">
        <f t="shared" si="122"/>
        <v>---------</v>
      </c>
      <c r="BY195" s="182">
        <v>4.6600000000000003E-2</v>
      </c>
      <c r="BZ195" s="185">
        <v>186</v>
      </c>
      <c r="CA195" s="184">
        <f t="shared" si="123"/>
        <v>4.6600000000000003E-2</v>
      </c>
      <c r="CB195" s="106"/>
      <c r="CF195" s="12"/>
      <c r="CG195" s="12"/>
      <c r="CH195" s="12"/>
    </row>
    <row r="196" spans="21:86">
      <c r="U196" s="13">
        <f t="shared" si="125"/>
        <v>2.7609206489908988</v>
      </c>
      <c r="V196" s="13">
        <f t="shared" si="126"/>
        <v>2.894521741195093</v>
      </c>
      <c r="W196" s="13">
        <f t="shared" si="127"/>
        <v>2.9726046537396122</v>
      </c>
      <c r="X196" s="13">
        <f t="shared" si="128"/>
        <v>2.8369917055797376</v>
      </c>
      <c r="Y196" s="13">
        <f t="shared" si="129"/>
        <v>2.9474571270280969</v>
      </c>
      <c r="Z196" s="13">
        <f t="shared" si="130"/>
        <v>3.0099966521567079</v>
      </c>
      <c r="AA196" s="13">
        <f t="shared" si="131"/>
        <v>2.8750461733280566</v>
      </c>
      <c r="AB196" s="13">
        <f t="shared" si="132"/>
        <v>2.97414326869806</v>
      </c>
      <c r="AC196" s="13">
        <f t="shared" si="133"/>
        <v>3.0286810447170538</v>
      </c>
      <c r="AD196" s="13">
        <f t="shared" si="134"/>
        <v>2.771115156311831</v>
      </c>
      <c r="AE196" s="13">
        <f t="shared" si="135"/>
        <v>2.7912396517609812</v>
      </c>
      <c r="AF196" s="13">
        <f t="shared" si="136"/>
        <v>2.7311527740403641</v>
      </c>
      <c r="AG196" s="13">
        <f t="shared" si="137"/>
        <v>2.8459923308270665</v>
      </c>
      <c r="AH196" s="13">
        <f t="shared" si="138"/>
        <v>2.8861671309853576</v>
      </c>
      <c r="AI196" s="13">
        <f t="shared" si="139"/>
        <v>2.8611191927186383</v>
      </c>
      <c r="AJ196" s="13">
        <f t="shared" si="140"/>
        <v>2.8818398179659681</v>
      </c>
      <c r="AK196" s="13">
        <f t="shared" si="141"/>
        <v>2.9294129877324879</v>
      </c>
      <c r="AL196" s="13">
        <f t="shared" si="142"/>
        <v>2.9213157340720213</v>
      </c>
      <c r="AM196" s="13">
        <f t="shared" si="143"/>
        <v>3.0196181175611096</v>
      </c>
      <c r="AN196" s="13">
        <f t="shared" si="144"/>
        <v>2.9846174095156921</v>
      </c>
      <c r="AO196" s="322">
        <f t="shared" si="89"/>
        <v>2.9846174095156921</v>
      </c>
      <c r="AP196" s="322">
        <f t="shared" si="124"/>
        <v>3.0196181175611096</v>
      </c>
      <c r="AQ196" s="322">
        <f t="shared" si="145"/>
        <v>3.037071471796899</v>
      </c>
      <c r="AR196" s="324">
        <f t="shared" si="146"/>
        <v>2.7219086390064229</v>
      </c>
      <c r="AS196" s="324">
        <f t="shared" si="147"/>
        <v>2.8572656637545277</v>
      </c>
      <c r="AT196" s="324">
        <f t="shared" si="148"/>
        <v>2.9200700027396418</v>
      </c>
      <c r="AU196" s="106">
        <f t="shared" ca="1" si="149"/>
        <v>2.9846174095156921</v>
      </c>
      <c r="AV196" s="106">
        <f t="shared" ca="1" si="150"/>
        <v>3.0196181175611096</v>
      </c>
      <c r="AW196" s="106">
        <f t="shared" ca="1" si="151"/>
        <v>3.037071471796899</v>
      </c>
      <c r="AX196" s="106">
        <f t="shared" ca="1" si="152"/>
        <v>2.7219086390064229</v>
      </c>
      <c r="AY196" s="106">
        <f t="shared" ca="1" si="153"/>
        <v>2.8572656637545277</v>
      </c>
      <c r="AZ196" s="106">
        <f t="shared" ca="1" si="154"/>
        <v>2.9200700027396418</v>
      </c>
      <c r="BA196" s="324">
        <v>2.9</v>
      </c>
      <c r="BB196" s="13" cm="1">
        <f t="array" ref="BB196">INDEX(AO196:AQ196,$AI$39)</f>
        <v>2.9846174095156921</v>
      </c>
      <c r="BC196" s="13" cm="1">
        <f t="array" ref="BC196">INDEX(AR196:AT196,$AI$39)</f>
        <v>2.7219086390064229</v>
      </c>
      <c r="BD196" s="324">
        <v>2.9</v>
      </c>
      <c r="BE196" s="12"/>
      <c r="BF196" s="12"/>
      <c r="BG196" s="12"/>
      <c r="BH196" s="12"/>
      <c r="BI196" s="12"/>
      <c r="BJ196" s="12"/>
      <c r="BK196" s="12"/>
      <c r="BL196" s="12"/>
      <c r="BM196" s="12"/>
      <c r="BN196" s="12"/>
      <c r="BO196" s="12"/>
      <c r="BP196" s="12"/>
      <c r="BQ196" s="12"/>
      <c r="BR196" s="12"/>
      <c r="BS196" s="106">
        <v>6.5</v>
      </c>
      <c r="BT196" s="12" t="s">
        <v>476</v>
      </c>
      <c r="BU196" s="7" t="str">
        <f t="shared" si="121"/>
        <v>---------</v>
      </c>
      <c r="BV196" s="290">
        <v>1.1500000000000401</v>
      </c>
      <c r="BW196" s="59">
        <v>187</v>
      </c>
      <c r="BX196" s="168" t="str">
        <f t="shared" si="122"/>
        <v>---------</v>
      </c>
      <c r="BY196" s="182">
        <v>4.65E-2</v>
      </c>
      <c r="BZ196" s="185">
        <v>187</v>
      </c>
      <c r="CA196" s="184">
        <f t="shared" si="123"/>
        <v>4.65E-2</v>
      </c>
      <c r="CB196" s="106"/>
      <c r="CF196" s="12"/>
      <c r="CG196" s="12"/>
      <c r="CH196" s="12"/>
    </row>
    <row r="197" spans="21:86">
      <c r="U197" s="13">
        <f t="shared" si="125"/>
        <v>2.6630486980609427</v>
      </c>
      <c r="V197" s="13">
        <f t="shared" si="126"/>
        <v>2.7935677008310247</v>
      </c>
      <c r="W197" s="13">
        <f t="shared" si="127"/>
        <v>2.8712008310249306</v>
      </c>
      <c r="X197" s="13">
        <f t="shared" si="128"/>
        <v>2.7377645983379488</v>
      </c>
      <c r="Y197" s="13">
        <f t="shared" si="129"/>
        <v>2.8464785041551246</v>
      </c>
      <c r="Z197" s="13">
        <f t="shared" si="130"/>
        <v>2.9088652077562331</v>
      </c>
      <c r="AA197" s="13">
        <f t="shared" si="131"/>
        <v>2.7751475900277001</v>
      </c>
      <c r="AB197" s="13">
        <f t="shared" si="132"/>
        <v>2.873142049861495</v>
      </c>
      <c r="AC197" s="13">
        <f t="shared" si="133"/>
        <v>2.927698725761771</v>
      </c>
      <c r="AD197" s="13">
        <f t="shared" si="134"/>
        <v>2.6841454293628799</v>
      </c>
      <c r="AE197" s="13">
        <f t="shared" si="135"/>
        <v>2.724664986149584</v>
      </c>
      <c r="AF197" s="13">
        <f t="shared" si="136"/>
        <v>2.683834515235457</v>
      </c>
      <c r="AG197" s="13">
        <f t="shared" si="137"/>
        <v>2.7521863157894728</v>
      </c>
      <c r="AH197" s="13">
        <f t="shared" si="138"/>
        <v>2.804479667590027</v>
      </c>
      <c r="AI197" s="13">
        <f t="shared" si="139"/>
        <v>2.7931763434903045</v>
      </c>
      <c r="AJ197" s="13">
        <f t="shared" si="140"/>
        <v>2.7857938504155131</v>
      </c>
      <c r="AK197" s="13">
        <f t="shared" si="141"/>
        <v>2.8416626038781159</v>
      </c>
      <c r="AL197" s="13">
        <f t="shared" si="142"/>
        <v>2.8428405540166195</v>
      </c>
      <c r="AM197" s="13">
        <f t="shared" si="143"/>
        <v>2.9184631621564039</v>
      </c>
      <c r="AN197" s="13">
        <f t="shared" si="144"/>
        <v>2.8831443895163007</v>
      </c>
      <c r="AO197" s="322">
        <f t="shared" si="89"/>
        <v>2.8831443895163007</v>
      </c>
      <c r="AP197" s="322">
        <f t="shared" si="124"/>
        <v>2.9184631621564039</v>
      </c>
      <c r="AQ197" s="322">
        <f t="shared" si="145"/>
        <v>2.9360920605156595</v>
      </c>
      <c r="AR197" s="324">
        <f t="shared" si="146"/>
        <v>2.6775529043255912</v>
      </c>
      <c r="AS197" s="324">
        <f t="shared" si="147"/>
        <v>2.7914373705518858</v>
      </c>
      <c r="AT197" s="324">
        <f t="shared" si="148"/>
        <v>2.8430217771148509</v>
      </c>
      <c r="AU197" s="106">
        <f t="shared" ca="1" si="149"/>
        <v>2.8831443895163007</v>
      </c>
      <c r="AV197" s="106">
        <f t="shared" ca="1" si="150"/>
        <v>2.9184631621564039</v>
      </c>
      <c r="AW197" s="106">
        <f t="shared" ca="1" si="151"/>
        <v>2.9360920605156595</v>
      </c>
      <c r="AX197" s="106">
        <f t="shared" ca="1" si="152"/>
        <v>2.6775529043255912</v>
      </c>
      <c r="AY197" s="106">
        <f t="shared" ca="1" si="153"/>
        <v>2.7914373705518858</v>
      </c>
      <c r="AZ197" s="106">
        <f t="shared" ca="1" si="154"/>
        <v>2.8430217771148509</v>
      </c>
      <c r="BA197" s="324">
        <v>2.8</v>
      </c>
      <c r="BB197" s="13" cm="1">
        <f t="array" ref="BB197">INDEX(AO197:AQ197,$AI$39)</f>
        <v>2.8831443895163007</v>
      </c>
      <c r="BC197" s="13" cm="1">
        <f t="array" ref="BC197">INDEX(AR197:AT197,$AI$39)</f>
        <v>2.6775529043255912</v>
      </c>
      <c r="BD197" s="324">
        <v>2.8</v>
      </c>
      <c r="BP197" s="12"/>
      <c r="BQ197" s="12"/>
      <c r="BR197" s="12"/>
      <c r="BS197" s="106">
        <v>6.4</v>
      </c>
      <c r="BT197" s="12" t="s">
        <v>477</v>
      </c>
      <c r="BU197" s="7" t="str">
        <f t="shared" si="121"/>
        <v>---------</v>
      </c>
      <c r="BV197" s="290">
        <v>1.1400000000000401</v>
      </c>
      <c r="BW197" s="59">
        <v>188</v>
      </c>
      <c r="BX197" s="168" t="str">
        <f t="shared" si="122"/>
        <v>---------</v>
      </c>
      <c r="BY197" s="182">
        <v>4.6399999999999997E-2</v>
      </c>
      <c r="BZ197" s="185">
        <v>188</v>
      </c>
      <c r="CA197" s="184">
        <f t="shared" si="123"/>
        <v>4.6399999999999997E-2</v>
      </c>
      <c r="CB197" s="106"/>
    </row>
    <row r="198" spans="21:86">
      <c r="U198" s="13">
        <f t="shared" si="125"/>
        <v>2.5653289434111604</v>
      </c>
      <c r="V198" s="13">
        <f t="shared" si="126"/>
        <v>2.6926490779580532</v>
      </c>
      <c r="W198" s="13">
        <f t="shared" si="127"/>
        <v>2.7697964542936293</v>
      </c>
      <c r="X198" s="13">
        <f t="shared" si="128"/>
        <v>2.6386395884447951</v>
      </c>
      <c r="Y198" s="13">
        <f t="shared" si="129"/>
        <v>2.7455243371586868</v>
      </c>
      <c r="Z198" s="13">
        <f t="shared" si="130"/>
        <v>2.8077332489117537</v>
      </c>
      <c r="AA198" s="13">
        <f t="shared" si="131"/>
        <v>2.6753262524732881</v>
      </c>
      <c r="AB198" s="13">
        <f t="shared" si="132"/>
        <v>2.7721591135734065</v>
      </c>
      <c r="AC198" s="13">
        <f t="shared" si="133"/>
        <v>2.8267166046695671</v>
      </c>
      <c r="AD198" s="13">
        <f t="shared" si="134"/>
        <v>2.59597047882865</v>
      </c>
      <c r="AE198" s="13">
        <f t="shared" si="135"/>
        <v>2.6569779738820736</v>
      </c>
      <c r="AF198" s="13">
        <f t="shared" si="136"/>
        <v>2.6356495370003961</v>
      </c>
      <c r="AG198" s="13">
        <f t="shared" si="137"/>
        <v>2.6574615037593974</v>
      </c>
      <c r="AH198" s="13">
        <f t="shared" si="138"/>
        <v>2.7217455085081115</v>
      </c>
      <c r="AI198" s="13">
        <f t="shared" si="139"/>
        <v>2.7242115710328454</v>
      </c>
      <c r="AJ198" s="13">
        <f t="shared" si="140"/>
        <v>2.6890471705579753</v>
      </c>
      <c r="AK198" s="13">
        <f t="shared" si="141"/>
        <v>2.7530506846062517</v>
      </c>
      <c r="AL198" s="13">
        <f t="shared" si="142"/>
        <v>2.7634193905817166</v>
      </c>
      <c r="AM198" s="13">
        <f t="shared" si="143"/>
        <v>2.817303850719918</v>
      </c>
      <c r="AN198" s="13">
        <f t="shared" si="144"/>
        <v>2.7816652814221796</v>
      </c>
      <c r="AO198" s="322">
        <f t="shared" si="89"/>
        <v>2.7816652814221796</v>
      </c>
      <c r="AP198" s="322">
        <f t="shared" si="124"/>
        <v>2.817303850719918</v>
      </c>
      <c r="AQ198" s="322">
        <f t="shared" si="145"/>
        <v>2.835110064838207</v>
      </c>
      <c r="AR198" s="324">
        <f t="shared" si="146"/>
        <v>2.6323682390185996</v>
      </c>
      <c r="AS198" s="324">
        <f t="shared" si="147"/>
        <v>2.7245909652674198</v>
      </c>
      <c r="AT198" s="324">
        <f t="shared" si="148"/>
        <v>2.7650145761164033</v>
      </c>
      <c r="AU198" s="106">
        <f t="shared" ca="1" si="149"/>
        <v>2.7816652814221796</v>
      </c>
      <c r="AV198" s="106">
        <f t="shared" ca="1" si="150"/>
        <v>2.817303850719918</v>
      </c>
      <c r="AW198" s="106">
        <f t="shared" ca="1" si="151"/>
        <v>2.835110064838207</v>
      </c>
      <c r="AX198" s="106">
        <f t="shared" ca="1" si="152"/>
        <v>2.6323682390185996</v>
      </c>
      <c r="AY198" s="106">
        <f t="shared" ca="1" si="153"/>
        <v>2.7245909652674198</v>
      </c>
      <c r="AZ198" s="106">
        <f t="shared" ca="1" si="154"/>
        <v>2.7650145761164033</v>
      </c>
      <c r="BA198" s="324">
        <v>2.7</v>
      </c>
      <c r="BB198" s="13" cm="1">
        <f t="array" ref="BB198">INDEX(AO198:AQ198,$AI$39)</f>
        <v>2.7816652814221796</v>
      </c>
      <c r="BC198" s="13" cm="1">
        <f t="array" ref="BC198">INDEX(AR198:AT198,$AI$39)</f>
        <v>2.6323682390185996</v>
      </c>
      <c r="BD198" s="324">
        <v>2.7</v>
      </c>
      <c r="BP198" s="12"/>
      <c r="BQ198" s="12"/>
      <c r="BR198" s="12"/>
      <c r="BS198" s="106">
        <v>6.3</v>
      </c>
      <c r="BT198" s="12" t="s">
        <v>478</v>
      </c>
      <c r="BU198" s="7" t="str">
        <f t="shared" si="121"/>
        <v>---------</v>
      </c>
      <c r="BV198" s="290">
        <v>1.1300000000000401</v>
      </c>
      <c r="BW198" s="59">
        <v>189</v>
      </c>
      <c r="BX198" s="168" t="str">
        <f t="shared" si="122"/>
        <v>---------</v>
      </c>
      <c r="BY198" s="182">
        <v>4.6300000000000001E-2</v>
      </c>
      <c r="BZ198" s="185">
        <v>189</v>
      </c>
      <c r="CA198" s="184">
        <f t="shared" si="123"/>
        <v>4.6300000000000001E-2</v>
      </c>
      <c r="CB198" s="106"/>
    </row>
    <row r="199" spans="21:86">
      <c r="U199" s="13">
        <f t="shared" si="125"/>
        <v>2.4677613850415523</v>
      </c>
      <c r="V199" s="13">
        <f t="shared" si="126"/>
        <v>2.5917658725761772</v>
      </c>
      <c r="W199" s="13">
        <f t="shared" si="127"/>
        <v>2.6683915235457065</v>
      </c>
      <c r="X199" s="13">
        <f t="shared" si="128"/>
        <v>2.5396166759002758</v>
      </c>
      <c r="Y199" s="13">
        <f t="shared" si="129"/>
        <v>2.6445946260387818</v>
      </c>
      <c r="Z199" s="13">
        <f t="shared" si="130"/>
        <v>2.7066007756232695</v>
      </c>
      <c r="AA199" s="13">
        <f t="shared" si="131"/>
        <v>2.5755821606648195</v>
      </c>
      <c r="AB199" s="13">
        <f t="shared" si="132"/>
        <v>2.6711944598337944</v>
      </c>
      <c r="AC199" s="13">
        <f t="shared" si="133"/>
        <v>2.7257346814404415</v>
      </c>
      <c r="AD199" s="13">
        <f t="shared" si="134"/>
        <v>2.5065903047091402</v>
      </c>
      <c r="AE199" s="13">
        <f t="shared" si="135"/>
        <v>2.5881786149584483</v>
      </c>
      <c r="AF199" s="13">
        <f t="shared" si="136"/>
        <v>2.5865978393351803</v>
      </c>
      <c r="AG199" s="13">
        <f t="shared" si="137"/>
        <v>2.5618178947368411</v>
      </c>
      <c r="AH199" s="13">
        <f t="shared" si="138"/>
        <v>2.6379646537396115</v>
      </c>
      <c r="AI199" s="13">
        <f t="shared" si="139"/>
        <v>2.6542248753462605</v>
      </c>
      <c r="AJ199" s="13">
        <f t="shared" si="140"/>
        <v>2.5915997783933529</v>
      </c>
      <c r="AK199" s="13">
        <f t="shared" si="141"/>
        <v>2.6635772299168972</v>
      </c>
      <c r="AL199" s="13">
        <f t="shared" si="142"/>
        <v>2.6830522437673121</v>
      </c>
      <c r="AM199" s="13">
        <f t="shared" si="143"/>
        <v>2.7161401832516523</v>
      </c>
      <c r="AN199" s="13">
        <f t="shared" si="144"/>
        <v>2.6801800852333266</v>
      </c>
      <c r="AO199" s="322">
        <f t="shared" si="89"/>
        <v>2.6801800852333266</v>
      </c>
      <c r="AP199" s="322">
        <f t="shared" ref="AP199:AP210" si="155">IF(AM199&lt;AO199,AQ199-0.01,AM199)</f>
        <v>2.7161401832516523</v>
      </c>
      <c r="AQ199" s="322">
        <f t="shared" si="145"/>
        <v>2.7341254847645411</v>
      </c>
      <c r="AR199" s="324">
        <f t="shared" si="146"/>
        <v>2.5863546430854467</v>
      </c>
      <c r="AS199" s="324">
        <f t="shared" si="147"/>
        <v>2.6567264479011294</v>
      </c>
      <c r="AT199" s="324">
        <f t="shared" si="148"/>
        <v>2.686048399744299</v>
      </c>
      <c r="AU199" s="106">
        <f t="shared" ca="1" si="149"/>
        <v>2.6801800852333266</v>
      </c>
      <c r="AV199" s="106">
        <f t="shared" ca="1" si="150"/>
        <v>2.7161401832516523</v>
      </c>
      <c r="AW199" s="106">
        <f t="shared" ca="1" si="151"/>
        <v>2.7341254847645411</v>
      </c>
      <c r="AX199" s="106">
        <f t="shared" ca="1" si="152"/>
        <v>2.5863546430854467</v>
      </c>
      <c r="AY199" s="106">
        <f t="shared" ca="1" si="153"/>
        <v>2.6567264479011294</v>
      </c>
      <c r="AZ199" s="106">
        <f t="shared" ca="1" si="154"/>
        <v>2.686048399744299</v>
      </c>
      <c r="BA199" s="324">
        <v>2.6</v>
      </c>
      <c r="BB199" s="13" cm="1">
        <f t="array" ref="BB199">INDEX(AO199:AQ199,$AI$39)</f>
        <v>2.6801800852333266</v>
      </c>
      <c r="BC199" s="13" cm="1">
        <f t="array" ref="BC199">INDEX(AR199:AT199,$AI$39)</f>
        <v>2.5863546430854467</v>
      </c>
      <c r="BD199" s="324">
        <v>2.6</v>
      </c>
      <c r="BP199" s="12"/>
      <c r="BQ199" s="12"/>
      <c r="BR199" s="12"/>
      <c r="BS199" s="106">
        <v>6.2</v>
      </c>
      <c r="BT199" s="12" t="s">
        <v>479</v>
      </c>
      <c r="BU199" s="7" t="str">
        <f t="shared" si="121"/>
        <v>---------</v>
      </c>
      <c r="BV199" s="290">
        <v>1.1200000000000401</v>
      </c>
      <c r="BW199" s="59">
        <v>190</v>
      </c>
      <c r="BX199" s="168" t="str">
        <f t="shared" si="122"/>
        <v>---------</v>
      </c>
      <c r="BY199" s="182">
        <v>4.6199999999999998E-2</v>
      </c>
      <c r="BZ199" s="185">
        <v>190</v>
      </c>
      <c r="CA199" s="184">
        <f t="shared" si="123"/>
        <v>4.6199999999999998E-2</v>
      </c>
      <c r="CB199" s="106"/>
    </row>
    <row r="200" spans="21:86">
      <c r="U200" s="13">
        <f t="shared" si="125"/>
        <v>2.370346022952118</v>
      </c>
      <c r="V200" s="13">
        <f t="shared" si="126"/>
        <v>2.490918084685398</v>
      </c>
      <c r="W200" s="13">
        <f t="shared" si="127"/>
        <v>2.5669860387811636</v>
      </c>
      <c r="X200" s="13">
        <f t="shared" si="128"/>
        <v>2.4406958607043912</v>
      </c>
      <c r="Y200" s="13">
        <f t="shared" si="129"/>
        <v>2.5436893707954096</v>
      </c>
      <c r="Z200" s="13">
        <f t="shared" si="130"/>
        <v>2.6054677878907802</v>
      </c>
      <c r="AA200" s="13">
        <f t="shared" si="131"/>
        <v>2.4759153146022945</v>
      </c>
      <c r="AB200" s="13">
        <f t="shared" si="132"/>
        <v>2.5702480886426584</v>
      </c>
      <c r="AC200" s="13">
        <f t="shared" si="133"/>
        <v>2.6247529560743947</v>
      </c>
      <c r="AD200" s="13">
        <f t="shared" si="134"/>
        <v>2.4160049070043521</v>
      </c>
      <c r="AE200" s="13">
        <f t="shared" si="135"/>
        <v>2.5182669093787093</v>
      </c>
      <c r="AF200" s="13">
        <f t="shared" si="136"/>
        <v>2.5366794222398106</v>
      </c>
      <c r="AG200" s="13">
        <f t="shared" si="137"/>
        <v>2.4652554887218034</v>
      </c>
      <c r="AH200" s="13">
        <f t="shared" si="138"/>
        <v>2.5531371032845263</v>
      </c>
      <c r="AI200" s="13">
        <f t="shared" si="139"/>
        <v>2.5832162564305499</v>
      </c>
      <c r="AJ200" s="13">
        <f t="shared" si="140"/>
        <v>2.4934516739216468</v>
      </c>
      <c r="AK200" s="13">
        <f t="shared" si="141"/>
        <v>2.5732422398100505</v>
      </c>
      <c r="AL200" s="13">
        <f t="shared" si="142"/>
        <v>2.6017391135734065</v>
      </c>
      <c r="AM200" s="13">
        <f t="shared" si="143"/>
        <v>2.6149721597516065</v>
      </c>
      <c r="AN200" s="13">
        <f t="shared" si="144"/>
        <v>2.5786888009497431</v>
      </c>
      <c r="AO200" s="322">
        <f t="shared" ref="AO200:AO210" si="156">IF(AN200&gt;AQ200,AQ200-0.02,AN200)</f>
        <v>2.5786888009497431</v>
      </c>
      <c r="AP200" s="322">
        <f t="shared" si="155"/>
        <v>2.6149721597516065</v>
      </c>
      <c r="AQ200" s="322">
        <f t="shared" si="145"/>
        <v>2.6331383202946617</v>
      </c>
      <c r="AR200" s="324">
        <f t="shared" si="146"/>
        <v>2.5395121165261338</v>
      </c>
      <c r="AS200" s="324">
        <f t="shared" si="147"/>
        <v>2.587843818453015</v>
      </c>
      <c r="AT200" s="324">
        <f t="shared" si="148"/>
        <v>2.6061232479985383</v>
      </c>
      <c r="AU200" s="106">
        <f t="shared" ca="1" si="149"/>
        <v>2.5786888009497431</v>
      </c>
      <c r="AV200" s="106">
        <f t="shared" ca="1" si="150"/>
        <v>2.6149721597516065</v>
      </c>
      <c r="AW200" s="106">
        <f t="shared" ca="1" si="151"/>
        <v>2.6331383202946617</v>
      </c>
      <c r="AX200" s="106">
        <f t="shared" ca="1" si="152"/>
        <v>2.5395121165261338</v>
      </c>
      <c r="AY200" s="106">
        <f t="shared" ca="1" si="153"/>
        <v>2.587843818453015</v>
      </c>
      <c r="AZ200" s="106">
        <f t="shared" ca="1" si="154"/>
        <v>2.6061232479985383</v>
      </c>
      <c r="BA200" s="324">
        <v>2.5</v>
      </c>
      <c r="BB200" s="13" cm="1">
        <f t="array" ref="BB200">INDEX(AO200:AQ200,$AI$39)</f>
        <v>2.5786888009497431</v>
      </c>
      <c r="BC200" s="13" cm="1">
        <f t="array" ref="BC200">INDEX(AR200:AT200,$AI$39)</f>
        <v>2.5395121165261338</v>
      </c>
      <c r="BD200" s="324">
        <v>2.5</v>
      </c>
      <c r="BP200" s="12"/>
      <c r="BQ200" s="12"/>
      <c r="BR200" s="12"/>
      <c r="BS200" s="106">
        <v>6.1</v>
      </c>
      <c r="BT200" s="12" t="s">
        <v>480</v>
      </c>
      <c r="BU200" s="7" t="str">
        <f t="shared" si="121"/>
        <v>---------</v>
      </c>
      <c r="BV200" s="290">
        <v>1.1100000000000401</v>
      </c>
      <c r="BW200" s="59">
        <v>191</v>
      </c>
      <c r="BX200" s="168" t="str">
        <f t="shared" si="122"/>
        <v>---------</v>
      </c>
      <c r="BY200" s="182">
        <v>4.6100000000000002E-2</v>
      </c>
      <c r="BZ200" s="185">
        <v>191</v>
      </c>
      <c r="CA200" s="184">
        <f t="shared" si="123"/>
        <v>4.6100000000000002E-2</v>
      </c>
      <c r="CB200" s="106"/>
    </row>
    <row r="201" spans="21:86">
      <c r="U201" s="13">
        <f t="shared" ref="U201:U210" si="157">$AL$47*$BA201^2+$AL$48*$BA201+$AL$49</f>
        <v>2.2730828571428581</v>
      </c>
      <c r="V201" s="13">
        <f t="shared" ref="V201:V210" si="158">$AL$50*$BA201^2+$AL$51*$BA201+$AL$52</f>
        <v>2.3901057142857143</v>
      </c>
      <c r="W201" s="13">
        <f t="shared" ref="W201:W210" si="159">$AL$53*$BA201^2+$AL$54*$BA201+$AL$55</f>
        <v>2.4655800000000001</v>
      </c>
      <c r="X201" s="13">
        <f t="shared" ref="X201:X210" si="160">$AM$47*$BA201^2+$AM$48*$BA201+$AM$49</f>
        <v>2.3418771428571414</v>
      </c>
      <c r="Y201" s="13">
        <f t="shared" ref="Y201:Y210" si="161">$AM$50*$BA201^2+$AM$51*$BA201+$AM$52</f>
        <v>2.4428085714285714</v>
      </c>
      <c r="Z201" s="13">
        <f t="shared" ref="Z201:Z210" si="162">$AM$53*$BA201^2+$AM$54*$BA201+$AM$55</f>
        <v>2.5043342857142861</v>
      </c>
      <c r="AA201" s="13">
        <f t="shared" ref="AA201:AA210" si="163">$AN$47*$BA201^2+$AN$48*$BA201+$AN$49</f>
        <v>2.3763257142857137</v>
      </c>
      <c r="AB201" s="13">
        <f t="shared" ref="AB201:AB210" si="164">$AN$50*$BA201^2+$AN$51*$BA201+$AN$52</f>
        <v>2.4693199999999993</v>
      </c>
      <c r="AC201" s="13">
        <f t="shared" ref="AC201:AC210" si="165">$AN$53*$BA201^2+$AN$54*$BA201+$AN$55</f>
        <v>2.5237714285714268</v>
      </c>
      <c r="AD201" s="13">
        <f t="shared" ref="AD201:AD210" si="166">$AL$74*$BA201^2+$AL$75*$BA201+$AL$76</f>
        <v>2.3242142857142847</v>
      </c>
      <c r="AE201" s="13">
        <f t="shared" ref="AE201:AE210" si="167">$AL$77*$BA201^2+$AL$78*$BA201+$AL$79</f>
        <v>2.4472428571428568</v>
      </c>
      <c r="AF201" s="13">
        <f t="shared" ref="AF201:AF210" si="168">$AL$80*$BA201^2+$AL$81*$BA201+$AL$82</f>
        <v>2.4858942857142861</v>
      </c>
      <c r="AG201" s="13">
        <f t="shared" ref="AG201:AG210" si="169">$AM$74*$BA201^2+$AM$75*$BA201+$AM$76</f>
        <v>2.3677742857142845</v>
      </c>
      <c r="AH201" s="13">
        <f t="shared" ref="AH201:AH210" si="170">$AM$77*$BA201^2+$AM$78*$BA201+$AM$79</f>
        <v>2.4672628571428565</v>
      </c>
      <c r="AI201" s="13">
        <f t="shared" ref="AI201:AI210" si="171">$AM$80*$BA201^2+$AM$81*$BA201+$AM$82</f>
        <v>2.5111857142857139</v>
      </c>
      <c r="AJ201" s="13">
        <f t="shared" ref="AJ201:AJ210" si="172">$AN$74*$BA201^2+$AN$75*$BA201+$AN$76</f>
        <v>2.3946028571428579</v>
      </c>
      <c r="AK201" s="13">
        <f t="shared" ref="AK201:AK210" si="173">$AN$77*$BA201^2+$AN$78*$BA201+$AN$79</f>
        <v>2.4820457142857135</v>
      </c>
      <c r="AL201" s="13">
        <f t="shared" ref="AL201:AL210" si="174">$AN$80*$BA201^2+$AN$81*$BA201+$AN$82</f>
        <v>2.5194799999999993</v>
      </c>
      <c r="AM201" s="13">
        <f t="shared" ref="AM201:AM210" si="175">IF($AP$104&lt;=0.05,X201+($AP$104-0.05)/0.013*(Y201-X201),Y201+($AP$104-0.05)/0.013*(Z201-Y201))</f>
        <v>2.5137997802197805</v>
      </c>
      <c r="AN201" s="13">
        <f t="shared" ref="AN201:AN210" si="176">IF($AO$104&lt;=0.05,V201+($AO$104-0.05)/0.013*(V201-U201),V201+($AO$104-0.05)/0.013*(W201-V201))</f>
        <v>2.4771914285714285</v>
      </c>
      <c r="AO201" s="322">
        <f t="shared" si="156"/>
        <v>2.4771914285714285</v>
      </c>
      <c r="AP201" s="322">
        <f t="shared" si="155"/>
        <v>2.5137997802197805</v>
      </c>
      <c r="AQ201" s="322">
        <f t="shared" ref="AQ201:AQ210" si="177">IF($AQ$104&lt;=0.05,AA201+($AQ$104-0.05)/0.013*(AB201-AA201),AB201+($AQ$104-0.05)/0.013*(AC201-AB201))</f>
        <v>2.5321485714285696</v>
      </c>
      <c r="AR201" s="324">
        <f t="shared" ref="AR201:AR210" si="178">IF($AR$104&lt;=0.05,AD201+($AR$104-0.05)/0.013*(AE201-AD201),AE201+($AR$104-0.05)/0.013*(AF201-AE201))</f>
        <v>2.4918406593406597</v>
      </c>
      <c r="AS201" s="324">
        <f t="shared" ref="AS201:AS210" si="179">IF($AS$104&lt;=0.05,AG201+($AS$104-0.05)/0.013*(AH201-AG201),AH201+($AS$104-0.05)/0.013*(AI201-AH201))</f>
        <v>2.5179430769230766</v>
      </c>
      <c r="AT201" s="324">
        <f t="shared" ref="AT201:AT210" si="180">IF($AS$104&lt;=0.05,AJ201+($AS$104-0.05)/0.013*(AK201-AJ201),AK201+($AS$104-0.05)/0.013*(AL201-AK201))</f>
        <v>2.5252391208791201</v>
      </c>
      <c r="AU201" s="106">
        <f t="shared" ref="AU201:AU210" ca="1" si="181">IF((ROW(AO201)-$BG$7)&gt;105,OFFSET(AO201,-$BG$7,0),$AO$105)</f>
        <v>2.4771914285714285</v>
      </c>
      <c r="AV201" s="106">
        <f t="shared" ref="AV201:AV210" ca="1" si="182">IF((ROW(AP201)-$BG$7)&gt;105,OFFSET(AP201,-$BG$7,0),$AP$105)</f>
        <v>2.5137997802197805</v>
      </c>
      <c r="AW201" s="106">
        <f t="shared" ref="AW201:AW210" ca="1" si="183">IF((ROW(AQ201)-$BG$7)&gt;105,OFFSET(AQ201,-$BG$7,0),$AQ$105)</f>
        <v>2.5321485714285696</v>
      </c>
      <c r="AX201" s="106">
        <f t="shared" ref="AX201:AX210" ca="1" si="184">IF((ROW(AR201)-$BG$7)&gt;105,OFFSET(AR201,-$BG$7,0),$AR$105)</f>
        <v>2.4918406593406597</v>
      </c>
      <c r="AY201" s="106">
        <f t="shared" ref="AY201:AY210" ca="1" si="185">IF((ROW(AS201)-$BG$7)&gt;105,OFFSET(AS201,-$BG$7,0),$AS$105)</f>
        <v>2.5179430769230766</v>
      </c>
      <c r="AZ201" s="106">
        <f t="shared" ref="AZ201:AZ210" ca="1" si="186">IF((ROW(AT201)-$BG$7)&gt;105,OFFSET(AT201,-$BG$7,0),$AT$105)</f>
        <v>2.5252391208791201</v>
      </c>
      <c r="BA201" s="324">
        <v>2.4</v>
      </c>
      <c r="BB201" s="13" cm="1">
        <f t="array" ref="BB201">INDEX(AO201:AQ201,$AI$39)</f>
        <v>2.4771914285714285</v>
      </c>
      <c r="BC201" s="13" cm="1">
        <f t="array" ref="BC201">INDEX(AR201:AT201,$AI$39)</f>
        <v>2.4918406593406597</v>
      </c>
      <c r="BD201" s="324">
        <v>2.4</v>
      </c>
      <c r="BP201" s="12"/>
      <c r="BQ201" s="12"/>
      <c r="BR201" s="12"/>
      <c r="BS201" s="106">
        <v>6</v>
      </c>
      <c r="BT201" s="12" t="s">
        <v>481</v>
      </c>
      <c r="BU201" s="7" t="str">
        <f t="shared" si="121"/>
        <v>---------</v>
      </c>
      <c r="BV201" s="290">
        <v>1.1000000000000401</v>
      </c>
      <c r="BW201" s="59">
        <v>192</v>
      </c>
      <c r="BX201" s="168" t="str">
        <f t="shared" si="122"/>
        <v>---------</v>
      </c>
      <c r="BY201" s="182">
        <v>4.5999999999999999E-2</v>
      </c>
      <c r="BZ201" s="185">
        <v>192</v>
      </c>
      <c r="CA201" s="184">
        <f t="shared" si="123"/>
        <v>4.5999999999999999E-2</v>
      </c>
      <c r="CB201" s="106"/>
    </row>
    <row r="202" spans="21:86">
      <c r="U202" s="13">
        <f t="shared" si="157"/>
        <v>2.1759718876137719</v>
      </c>
      <c r="V202" s="13">
        <f t="shared" si="158"/>
        <v>2.2893287613771269</v>
      </c>
      <c r="W202" s="13">
        <f t="shared" si="159"/>
        <v>2.3641734072022156</v>
      </c>
      <c r="X202" s="13">
        <f t="shared" si="160"/>
        <v>2.2431605223585263</v>
      </c>
      <c r="Y202" s="13">
        <f t="shared" si="161"/>
        <v>2.341952227938267</v>
      </c>
      <c r="Z202" s="13">
        <f t="shared" si="162"/>
        <v>2.4032002690937877</v>
      </c>
      <c r="AA202" s="13">
        <f t="shared" si="163"/>
        <v>2.2768133597150766</v>
      </c>
      <c r="AB202" s="13">
        <f t="shared" si="164"/>
        <v>2.3684101939058162</v>
      </c>
      <c r="AC202" s="13">
        <f t="shared" si="165"/>
        <v>2.4227900989315372</v>
      </c>
      <c r="AD202" s="13">
        <f t="shared" si="166"/>
        <v>2.2312184408389384</v>
      </c>
      <c r="AE202" s="13">
        <f t="shared" si="167"/>
        <v>2.3751064582508894</v>
      </c>
      <c r="AF202" s="13">
        <f t="shared" si="168"/>
        <v>2.4342424297586072</v>
      </c>
      <c r="AG202" s="13">
        <f t="shared" si="169"/>
        <v>2.2693742857142847</v>
      </c>
      <c r="AH202" s="13">
        <f t="shared" si="170"/>
        <v>2.3803419153146015</v>
      </c>
      <c r="AI202" s="13">
        <f t="shared" si="171"/>
        <v>2.4381332489117526</v>
      </c>
      <c r="AJ202" s="13">
        <f t="shared" si="172"/>
        <v>2.2950533280569854</v>
      </c>
      <c r="AK202" s="13">
        <f t="shared" si="173"/>
        <v>2.3899876533438853</v>
      </c>
      <c r="AL202" s="13">
        <f t="shared" si="174"/>
        <v>2.4362749030470905</v>
      </c>
      <c r="AM202" s="13">
        <f t="shared" si="175"/>
        <v>2.4126230446561756</v>
      </c>
      <c r="AN202" s="13">
        <f t="shared" si="176"/>
        <v>2.3756879680983829</v>
      </c>
      <c r="AO202" s="322">
        <f t="shared" si="156"/>
        <v>2.3756879680983829</v>
      </c>
      <c r="AP202" s="322">
        <f t="shared" si="155"/>
        <v>2.4126230446561756</v>
      </c>
      <c r="AQ202" s="322">
        <f t="shared" si="177"/>
        <v>2.4311562381662637</v>
      </c>
      <c r="AR202" s="324">
        <f t="shared" si="178"/>
        <v>2.4433402715290251</v>
      </c>
      <c r="AS202" s="324">
        <f t="shared" si="179"/>
        <v>2.4470242233113142</v>
      </c>
      <c r="AT202" s="324">
        <f t="shared" si="180"/>
        <v>2.443396018386045</v>
      </c>
      <c r="AU202" s="106">
        <f t="shared" ca="1" si="181"/>
        <v>2.3756879680983829</v>
      </c>
      <c r="AV202" s="106">
        <f t="shared" ca="1" si="182"/>
        <v>2.4126230446561756</v>
      </c>
      <c r="AW202" s="106">
        <f t="shared" ca="1" si="183"/>
        <v>2.4311562381662637</v>
      </c>
      <c r="AX202" s="106">
        <f t="shared" ca="1" si="184"/>
        <v>2.4433402715290251</v>
      </c>
      <c r="AY202" s="106">
        <f t="shared" ca="1" si="185"/>
        <v>2.4470242233113142</v>
      </c>
      <c r="AZ202" s="106">
        <f t="shared" ca="1" si="186"/>
        <v>2.443396018386045</v>
      </c>
      <c r="BA202" s="324">
        <v>2.2999999999999998</v>
      </c>
      <c r="BB202" s="13" cm="1">
        <f t="array" ref="BB202">INDEX(AO202:AQ202,$AI$39)</f>
        <v>2.3756879680983829</v>
      </c>
      <c r="BC202" s="13" cm="1">
        <f t="array" ref="BC202">INDEX(AR202:AT202,$AI$39)</f>
        <v>2.4433402715290251</v>
      </c>
      <c r="BD202" s="324">
        <v>2.2999999999999998</v>
      </c>
      <c r="BP202" s="12"/>
      <c r="BQ202" s="12"/>
      <c r="BR202" s="12"/>
      <c r="BS202" s="106">
        <v>5.9</v>
      </c>
      <c r="BT202" s="12" t="s">
        <v>482</v>
      </c>
      <c r="BU202" s="7" t="str">
        <f t="shared" si="121"/>
        <v>---------</v>
      </c>
      <c r="BV202" s="290">
        <v>1.09000000000004</v>
      </c>
      <c r="BW202" s="59">
        <v>193</v>
      </c>
      <c r="BX202" s="168" t="str">
        <f t="shared" si="122"/>
        <v>---------</v>
      </c>
      <c r="BY202" s="182">
        <v>4.5900000000000003E-2</v>
      </c>
      <c r="BZ202" s="185">
        <v>193</v>
      </c>
      <c r="CA202" s="184">
        <f t="shared" si="123"/>
        <v>4.5900000000000003E-2</v>
      </c>
      <c r="CB202" s="106"/>
    </row>
    <row r="203" spans="21:86">
      <c r="U203" s="13">
        <f t="shared" si="157"/>
        <v>2.0790131143648605</v>
      </c>
      <c r="V203" s="13">
        <f t="shared" si="158"/>
        <v>2.1885872259596364</v>
      </c>
      <c r="W203" s="13">
        <f t="shared" si="159"/>
        <v>2.2627662603878118</v>
      </c>
      <c r="X203" s="13">
        <f t="shared" si="160"/>
        <v>2.1445459992085465</v>
      </c>
      <c r="Y203" s="13">
        <f t="shared" si="161"/>
        <v>2.2411203403244961</v>
      </c>
      <c r="Z203" s="13">
        <f t="shared" si="162"/>
        <v>2.3020657380292846</v>
      </c>
      <c r="AA203" s="13">
        <f t="shared" si="163"/>
        <v>2.1773782508903836</v>
      </c>
      <c r="AB203" s="13">
        <f t="shared" si="164"/>
        <v>2.26751867036011</v>
      </c>
      <c r="AC203" s="13">
        <f t="shared" si="165"/>
        <v>2.3218089671547273</v>
      </c>
      <c r="AD203" s="13">
        <f t="shared" si="166"/>
        <v>2.1370173723783132</v>
      </c>
      <c r="AE203" s="13">
        <f t="shared" si="167"/>
        <v>2.3018577127028097</v>
      </c>
      <c r="AF203" s="13">
        <f t="shared" si="168"/>
        <v>2.3817238543727743</v>
      </c>
      <c r="AG203" s="13">
        <f t="shared" si="169"/>
        <v>2.1700554887218035</v>
      </c>
      <c r="AH203" s="13">
        <f t="shared" si="170"/>
        <v>2.2923742777997616</v>
      </c>
      <c r="AI203" s="13">
        <f t="shared" si="171"/>
        <v>2.3640588603086665</v>
      </c>
      <c r="AJ203" s="13">
        <f t="shared" si="172"/>
        <v>2.1948030866640291</v>
      </c>
      <c r="AK203" s="13">
        <f t="shared" si="173"/>
        <v>2.2970680569845658</v>
      </c>
      <c r="AL203" s="13">
        <f t="shared" si="174"/>
        <v>2.3521238227146806</v>
      </c>
      <c r="AM203" s="13">
        <f t="shared" si="175"/>
        <v>2.3114419530607906</v>
      </c>
      <c r="AN203" s="13">
        <f t="shared" si="176"/>
        <v>2.2741784195306081</v>
      </c>
      <c r="AO203" s="322">
        <f t="shared" si="156"/>
        <v>2.2741784195306081</v>
      </c>
      <c r="AP203" s="322">
        <f t="shared" si="155"/>
        <v>2.3114419530607906</v>
      </c>
      <c r="AQ203" s="322">
        <f t="shared" si="177"/>
        <v>2.3301613205077452</v>
      </c>
      <c r="AR203" s="324">
        <f t="shared" si="178"/>
        <v>2.3940109530912306</v>
      </c>
      <c r="AS203" s="324">
        <f t="shared" si="179"/>
        <v>2.3750872576177287</v>
      </c>
      <c r="AT203" s="324">
        <f t="shared" si="180"/>
        <v>2.3605939405193137</v>
      </c>
      <c r="AU203" s="106">
        <f t="shared" ca="1" si="181"/>
        <v>2.2741784195306081</v>
      </c>
      <c r="AV203" s="106">
        <f t="shared" ca="1" si="182"/>
        <v>2.3114419530607906</v>
      </c>
      <c r="AW203" s="106">
        <f t="shared" ca="1" si="183"/>
        <v>2.3301613205077452</v>
      </c>
      <c r="AX203" s="106">
        <f t="shared" ca="1" si="184"/>
        <v>2.3940109530912306</v>
      </c>
      <c r="AY203" s="106">
        <f t="shared" ca="1" si="185"/>
        <v>2.3750872576177287</v>
      </c>
      <c r="AZ203" s="106">
        <f t="shared" ca="1" si="186"/>
        <v>2.3605939405193137</v>
      </c>
      <c r="BA203" s="324">
        <v>2.2000000000000002</v>
      </c>
      <c r="BB203" s="13" cm="1">
        <f t="array" ref="BB203">INDEX(AO203:AQ203,$AI$39)</f>
        <v>2.2741784195306081</v>
      </c>
      <c r="BC203" s="13" cm="1">
        <f t="array" ref="BC203">INDEX(AR203:AT203,$AI$39)</f>
        <v>2.3940109530912306</v>
      </c>
      <c r="BD203" s="324">
        <v>2.2000000000000002</v>
      </c>
      <c r="BP203" s="12"/>
      <c r="BQ203" s="12"/>
      <c r="BR203" s="12"/>
      <c r="BS203" s="106">
        <v>5.8</v>
      </c>
      <c r="BT203" s="12" t="s">
        <v>483</v>
      </c>
      <c r="BU203" s="7" t="str">
        <f t="shared" ref="BU203:BU251" si="187">IF(Cntrl1&lt;=3,"---------",TEXT(BS203,"0.0"))</f>
        <v>---------</v>
      </c>
      <c r="BV203" s="290">
        <v>1.08000000000004</v>
      </c>
      <c r="BW203" s="59">
        <v>194</v>
      </c>
      <c r="BX203" s="168" t="str">
        <f t="shared" ref="BX203:BX266" si="188">IF(Cntrl1&lt;=2,"---------",TEXT(BV203,"0.00"))</f>
        <v>---------</v>
      </c>
      <c r="BY203" s="182">
        <v>4.58E-2</v>
      </c>
      <c r="BZ203" s="185">
        <v>194</v>
      </c>
      <c r="CA203" s="184">
        <f t="shared" ref="CA203:CA266" si="189">BY203</f>
        <v>4.58E-2</v>
      </c>
      <c r="CB203" s="106"/>
    </row>
    <row r="204" spans="21:86">
      <c r="U204" s="13">
        <f t="shared" si="157"/>
        <v>1.9822065373961231</v>
      </c>
      <c r="V204" s="13">
        <f t="shared" si="158"/>
        <v>2.0878811080332413</v>
      </c>
      <c r="W204" s="13">
        <f t="shared" si="159"/>
        <v>2.1613585595567866</v>
      </c>
      <c r="X204" s="13">
        <f t="shared" si="160"/>
        <v>2.0460335734072013</v>
      </c>
      <c r="Y204" s="13">
        <f t="shared" si="161"/>
        <v>2.1403129085872576</v>
      </c>
      <c r="Z204" s="13">
        <f t="shared" si="162"/>
        <v>2.2009306925207768</v>
      </c>
      <c r="AA204" s="13">
        <f t="shared" si="163"/>
        <v>2.0780203878116339</v>
      </c>
      <c r="AB204" s="13">
        <f t="shared" si="164"/>
        <v>2.1666454293628803</v>
      </c>
      <c r="AC204" s="13">
        <f t="shared" si="165"/>
        <v>2.2208280332409953</v>
      </c>
      <c r="AD204" s="13">
        <f t="shared" si="166"/>
        <v>2.0416110803324092</v>
      </c>
      <c r="AE204" s="13">
        <f t="shared" si="167"/>
        <v>2.2274966204986146</v>
      </c>
      <c r="AF204" s="13">
        <f t="shared" si="168"/>
        <v>2.3283385595567871</v>
      </c>
      <c r="AG204" s="13">
        <f t="shared" si="169"/>
        <v>2.0698178947368411</v>
      </c>
      <c r="AH204" s="13">
        <f t="shared" si="170"/>
        <v>2.2033599445983372</v>
      </c>
      <c r="AI204" s="13">
        <f t="shared" si="171"/>
        <v>2.2889625484764542</v>
      </c>
      <c r="AJ204" s="13">
        <f t="shared" si="172"/>
        <v>2.0938521329639892</v>
      </c>
      <c r="AK204" s="13">
        <f t="shared" si="173"/>
        <v>2.2032869252077552</v>
      </c>
      <c r="AL204" s="13">
        <f t="shared" si="174"/>
        <v>2.2670267590027691</v>
      </c>
      <c r="AM204" s="13">
        <f t="shared" si="175"/>
        <v>2.2102565054336258</v>
      </c>
      <c r="AN204" s="13">
        <f t="shared" si="176"/>
        <v>2.1726627828681013</v>
      </c>
      <c r="AO204" s="322">
        <f t="shared" si="156"/>
        <v>2.1726627828681013</v>
      </c>
      <c r="AP204" s="322">
        <f t="shared" si="155"/>
        <v>2.2102565054336258</v>
      </c>
      <c r="AQ204" s="322">
        <f t="shared" si="177"/>
        <v>2.2291638184530131</v>
      </c>
      <c r="AR204" s="324">
        <f t="shared" si="178"/>
        <v>2.3438527040272752</v>
      </c>
      <c r="AS204" s="324">
        <f t="shared" si="179"/>
        <v>2.3021321798423182</v>
      </c>
      <c r="AT204" s="324">
        <f t="shared" si="180"/>
        <v>2.2768328872789252</v>
      </c>
      <c r="AU204" s="106">
        <f t="shared" ca="1" si="181"/>
        <v>2.1726627828681013</v>
      </c>
      <c r="AV204" s="106">
        <f t="shared" ca="1" si="182"/>
        <v>2.2102565054336258</v>
      </c>
      <c r="AW204" s="106">
        <f t="shared" ca="1" si="183"/>
        <v>2.2291638184530131</v>
      </c>
      <c r="AX204" s="106">
        <f t="shared" ca="1" si="184"/>
        <v>2.3438527040272752</v>
      </c>
      <c r="AY204" s="106">
        <f t="shared" ca="1" si="185"/>
        <v>2.3021321798423182</v>
      </c>
      <c r="AZ204" s="106">
        <f t="shared" ca="1" si="186"/>
        <v>2.2768328872789252</v>
      </c>
      <c r="BA204" s="324">
        <v>2.1</v>
      </c>
      <c r="BB204" s="13" cm="1">
        <f t="array" ref="BB204">INDEX(AO204:AQ204,$AI$39)</f>
        <v>2.1726627828681013</v>
      </c>
      <c r="BC204" s="13" cm="1">
        <f t="array" ref="BC204">INDEX(AR204:AT204,$AI$39)</f>
        <v>2.3438527040272752</v>
      </c>
      <c r="BD204" s="324">
        <v>2.1</v>
      </c>
      <c r="BS204" s="106">
        <v>5.7</v>
      </c>
      <c r="BT204" s="12" t="s">
        <v>484</v>
      </c>
      <c r="BU204" s="7" t="str">
        <f t="shared" si="187"/>
        <v>---------</v>
      </c>
      <c r="BV204" s="290">
        <v>1.07000000000004</v>
      </c>
      <c r="BW204" s="59">
        <v>195</v>
      </c>
      <c r="BX204" s="168" t="str">
        <f t="shared" si="188"/>
        <v>---------</v>
      </c>
      <c r="BY204" s="182">
        <v>4.5699999999999998E-2</v>
      </c>
      <c r="BZ204" s="185">
        <v>195</v>
      </c>
      <c r="CA204" s="184">
        <f t="shared" si="189"/>
        <v>4.5699999999999998E-2</v>
      </c>
      <c r="CB204" s="106"/>
    </row>
    <row r="205" spans="21:86">
      <c r="U205" s="13">
        <f t="shared" si="157"/>
        <v>1.8855521567075593</v>
      </c>
      <c r="V205" s="13">
        <f t="shared" si="158"/>
        <v>1.9872104075979422</v>
      </c>
      <c r="W205" s="13">
        <f t="shared" si="159"/>
        <v>2.0599503047091412</v>
      </c>
      <c r="X205" s="13">
        <f t="shared" si="160"/>
        <v>1.9476232449544899</v>
      </c>
      <c r="Y205" s="13">
        <f t="shared" si="161"/>
        <v>2.0395299327265537</v>
      </c>
      <c r="Z205" s="13">
        <f t="shared" si="162"/>
        <v>2.0997951325682638</v>
      </c>
      <c r="AA205" s="13">
        <f t="shared" si="163"/>
        <v>1.9787397704788283</v>
      </c>
      <c r="AB205" s="13">
        <f t="shared" si="164"/>
        <v>2.0657904709141266</v>
      </c>
      <c r="AC205" s="13">
        <f t="shared" si="165"/>
        <v>2.1198472971903426</v>
      </c>
      <c r="AD205" s="13">
        <f t="shared" si="166"/>
        <v>1.9449995647012259</v>
      </c>
      <c r="AE205" s="13">
        <f t="shared" si="167"/>
        <v>2.152023181638306</v>
      </c>
      <c r="AF205" s="13">
        <f t="shared" si="168"/>
        <v>2.2740865453106451</v>
      </c>
      <c r="AG205" s="13">
        <f t="shared" si="169"/>
        <v>1.9686615037593973</v>
      </c>
      <c r="AH205" s="13">
        <f t="shared" si="170"/>
        <v>2.1132989157103275</v>
      </c>
      <c r="AI205" s="13">
        <f t="shared" si="171"/>
        <v>2.2128443134151166</v>
      </c>
      <c r="AJ205" s="13">
        <f t="shared" si="172"/>
        <v>1.9922004669568667</v>
      </c>
      <c r="AK205" s="13">
        <f t="shared" si="173"/>
        <v>2.1086442580134541</v>
      </c>
      <c r="AL205" s="13">
        <f t="shared" si="174"/>
        <v>2.1809837119113564</v>
      </c>
      <c r="AM205" s="13">
        <f t="shared" si="175"/>
        <v>2.1090667017746809</v>
      </c>
      <c r="AN205" s="13">
        <f t="shared" si="176"/>
        <v>2.071141058110864</v>
      </c>
      <c r="AO205" s="322">
        <f t="shared" si="156"/>
        <v>2.071141058110864</v>
      </c>
      <c r="AP205" s="322">
        <f t="shared" si="155"/>
        <v>2.1090667017746809</v>
      </c>
      <c r="AQ205" s="322">
        <f t="shared" si="177"/>
        <v>2.1281637320020681</v>
      </c>
      <c r="AR205" s="324">
        <f t="shared" si="178"/>
        <v>2.292865524337159</v>
      </c>
      <c r="AS205" s="324">
        <f t="shared" si="179"/>
        <v>2.2281589899850842</v>
      </c>
      <c r="AT205" s="324">
        <f t="shared" si="180"/>
        <v>2.1921128586648799</v>
      </c>
      <c r="AU205" s="106">
        <f t="shared" ca="1" si="181"/>
        <v>2.071141058110864</v>
      </c>
      <c r="AV205" s="106">
        <f t="shared" ca="1" si="182"/>
        <v>2.1090667017746809</v>
      </c>
      <c r="AW205" s="106">
        <f t="shared" ca="1" si="183"/>
        <v>2.1281637320020681</v>
      </c>
      <c r="AX205" s="106">
        <f t="shared" ca="1" si="184"/>
        <v>2.292865524337159</v>
      </c>
      <c r="AY205" s="106">
        <f t="shared" ca="1" si="185"/>
        <v>2.2281589899850842</v>
      </c>
      <c r="AZ205" s="106">
        <f t="shared" ca="1" si="186"/>
        <v>2.1921128586648799</v>
      </c>
      <c r="BA205" s="324">
        <v>2</v>
      </c>
      <c r="BB205" s="13" cm="1">
        <f t="array" ref="BB205">INDEX(AO205:AQ205,$AI$39)</f>
        <v>2.071141058110864</v>
      </c>
      <c r="BC205" s="13" cm="1">
        <f t="array" ref="BC205">INDEX(AR205:AT205,$AI$39)</f>
        <v>2.292865524337159</v>
      </c>
      <c r="BD205" s="324">
        <v>2</v>
      </c>
      <c r="BS205" s="106">
        <v>5.6</v>
      </c>
      <c r="BT205" s="12" t="s">
        <v>485</v>
      </c>
      <c r="BU205" s="7" t="str">
        <f t="shared" si="187"/>
        <v>---------</v>
      </c>
      <c r="BV205" s="290">
        <v>1.06000000000004</v>
      </c>
      <c r="BW205" s="59">
        <v>196</v>
      </c>
      <c r="BX205" s="168" t="str">
        <f t="shared" si="188"/>
        <v>---------</v>
      </c>
      <c r="BY205" s="182">
        <v>4.5600000000000002E-2</v>
      </c>
      <c r="BZ205" s="185">
        <v>196</v>
      </c>
      <c r="CA205" s="184">
        <f t="shared" si="189"/>
        <v>4.5600000000000002E-2</v>
      </c>
      <c r="CB205" s="106"/>
    </row>
    <row r="206" spans="21:86">
      <c r="U206" s="13">
        <f t="shared" si="157"/>
        <v>1.7890499722991697</v>
      </c>
      <c r="V206" s="13">
        <f t="shared" si="158"/>
        <v>1.8865751246537397</v>
      </c>
      <c r="W206" s="13">
        <f t="shared" si="159"/>
        <v>1.9585414958448752</v>
      </c>
      <c r="X206" s="13">
        <f t="shared" si="160"/>
        <v>1.849315013850414</v>
      </c>
      <c r="Y206" s="13">
        <f t="shared" si="161"/>
        <v>1.9387714127423823</v>
      </c>
      <c r="Z206" s="13">
        <f t="shared" si="162"/>
        <v>1.9986590581717458</v>
      </c>
      <c r="AA206" s="13">
        <f t="shared" si="163"/>
        <v>1.8795363988919664</v>
      </c>
      <c r="AB206" s="13">
        <f t="shared" si="164"/>
        <v>1.9649537950138496</v>
      </c>
      <c r="AC206" s="13">
        <f t="shared" si="165"/>
        <v>2.0188667590027682</v>
      </c>
      <c r="AD206" s="13">
        <f t="shared" si="166"/>
        <v>1.8471828254847633</v>
      </c>
      <c r="AE206" s="13">
        <f t="shared" si="167"/>
        <v>2.0754373961218828</v>
      </c>
      <c r="AF206" s="13">
        <f t="shared" si="168"/>
        <v>2.2189678116343492</v>
      </c>
      <c r="AG206" s="13">
        <f t="shared" si="169"/>
        <v>1.8665863157894722</v>
      </c>
      <c r="AH206" s="13">
        <f t="shared" si="170"/>
        <v>2.0221911911357333</v>
      </c>
      <c r="AI206" s="13">
        <f t="shared" si="171"/>
        <v>2.1357041551246532</v>
      </c>
      <c r="AJ206" s="13">
        <f t="shared" si="172"/>
        <v>1.8898480886426603</v>
      </c>
      <c r="AK206" s="13">
        <f t="shared" si="173"/>
        <v>2.013140055401661</v>
      </c>
      <c r="AL206" s="13">
        <f t="shared" si="174"/>
        <v>2.0939946814404422</v>
      </c>
      <c r="AM206" s="13">
        <f t="shared" si="175"/>
        <v>2.0078725420839558</v>
      </c>
      <c r="AN206" s="13">
        <f t="shared" si="176"/>
        <v>1.9696132452588961</v>
      </c>
      <c r="AO206" s="322">
        <f t="shared" si="156"/>
        <v>1.9696132452588961</v>
      </c>
      <c r="AP206" s="322">
        <f t="shared" si="155"/>
        <v>2.0078725420839558</v>
      </c>
      <c r="AQ206" s="322">
        <f t="shared" si="177"/>
        <v>2.0271610611549096</v>
      </c>
      <c r="AR206" s="324">
        <f t="shared" si="178"/>
        <v>2.2410494140208823</v>
      </c>
      <c r="AS206" s="324">
        <f t="shared" si="179"/>
        <v>2.1531676880460253</v>
      </c>
      <c r="AT206" s="324">
        <f t="shared" si="180"/>
        <v>2.1064338546771779</v>
      </c>
      <c r="AU206" s="106">
        <f t="shared" ca="1" si="181"/>
        <v>1.9696132452588961</v>
      </c>
      <c r="AV206" s="106">
        <f t="shared" ca="1" si="182"/>
        <v>2.0078725420839558</v>
      </c>
      <c r="AW206" s="106">
        <f t="shared" ca="1" si="183"/>
        <v>2.0271610611549096</v>
      </c>
      <c r="AX206" s="106">
        <f t="shared" ca="1" si="184"/>
        <v>2.2410494140208823</v>
      </c>
      <c r="AY206" s="106">
        <f t="shared" ca="1" si="185"/>
        <v>2.1531676880460253</v>
      </c>
      <c r="AZ206" s="106">
        <f t="shared" ca="1" si="186"/>
        <v>2.1064338546771779</v>
      </c>
      <c r="BA206" s="324">
        <v>1.9</v>
      </c>
      <c r="BB206" s="13" cm="1">
        <f t="array" ref="BB206">INDEX(AO206:AQ206,$AI$39)</f>
        <v>1.9696132452588961</v>
      </c>
      <c r="BC206" s="13" cm="1">
        <f t="array" ref="BC206">INDEX(AR206:AT206,$AI$39)</f>
        <v>2.2410494140208823</v>
      </c>
      <c r="BD206" s="324">
        <v>1.9</v>
      </c>
      <c r="BS206" s="106">
        <v>5.5</v>
      </c>
      <c r="BT206" s="12" t="s">
        <v>486</v>
      </c>
      <c r="BU206" s="7" t="str">
        <f t="shared" si="187"/>
        <v>---------</v>
      </c>
      <c r="BV206" s="290">
        <v>1.05000000000004</v>
      </c>
      <c r="BW206" s="59">
        <v>197</v>
      </c>
      <c r="BX206" s="168" t="str">
        <f t="shared" si="188"/>
        <v>---------</v>
      </c>
      <c r="BY206" s="182">
        <v>4.5499999999999999E-2</v>
      </c>
      <c r="BZ206" s="185">
        <v>197</v>
      </c>
      <c r="CA206" s="184">
        <f t="shared" si="189"/>
        <v>4.5499999999999999E-2</v>
      </c>
      <c r="CB206" s="106"/>
    </row>
    <row r="207" spans="21:86">
      <c r="U207" s="13">
        <f t="shared" si="157"/>
        <v>1.6926999841709547</v>
      </c>
      <c r="V207" s="13">
        <f t="shared" si="158"/>
        <v>1.7859752592006333</v>
      </c>
      <c r="W207" s="13">
        <f t="shared" si="159"/>
        <v>1.8571321329639889</v>
      </c>
      <c r="X207" s="13">
        <f t="shared" si="160"/>
        <v>1.7511088800949728</v>
      </c>
      <c r="Y207" s="13">
        <f t="shared" si="161"/>
        <v>1.838037348634745</v>
      </c>
      <c r="Z207" s="13">
        <f t="shared" si="162"/>
        <v>1.8975224693312238</v>
      </c>
      <c r="AA207" s="13">
        <f t="shared" si="163"/>
        <v>1.7804102730510483</v>
      </c>
      <c r="AB207" s="13">
        <f t="shared" si="164"/>
        <v>1.8641354016620491</v>
      </c>
      <c r="AC207" s="13">
        <f t="shared" si="165"/>
        <v>1.9178864186782731</v>
      </c>
      <c r="AD207" s="13">
        <f t="shared" si="166"/>
        <v>1.7481608626830223</v>
      </c>
      <c r="AE207" s="13">
        <f t="shared" si="167"/>
        <v>1.9977392639493465</v>
      </c>
      <c r="AF207" s="13">
        <f t="shared" si="168"/>
        <v>2.1629823585278993</v>
      </c>
      <c r="AG207" s="13">
        <f t="shared" si="169"/>
        <v>1.7635923308270662</v>
      </c>
      <c r="AH207" s="13">
        <f t="shared" si="170"/>
        <v>1.9300367708745538</v>
      </c>
      <c r="AI207" s="13">
        <f t="shared" si="171"/>
        <v>2.0575420736050649</v>
      </c>
      <c r="AJ207" s="13">
        <f t="shared" si="172"/>
        <v>1.7867949980213702</v>
      </c>
      <c r="AK207" s="13">
        <f t="shared" si="173"/>
        <v>1.9167743173723775</v>
      </c>
      <c r="AL207" s="13">
        <f t="shared" si="174"/>
        <v>2.0060596675900264</v>
      </c>
      <c r="AM207" s="13">
        <f t="shared" si="175"/>
        <v>1.9066740263614514</v>
      </c>
      <c r="AN207" s="13">
        <f t="shared" si="176"/>
        <v>1.8680793443121975</v>
      </c>
      <c r="AO207" s="322">
        <f t="shared" si="156"/>
        <v>1.8680793443121975</v>
      </c>
      <c r="AP207" s="322">
        <f t="shared" si="155"/>
        <v>1.9066740263614514</v>
      </c>
      <c r="AQ207" s="322">
        <f t="shared" si="177"/>
        <v>1.9261558059115385</v>
      </c>
      <c r="AR207" s="324">
        <f t="shared" si="178"/>
        <v>2.1884043730784457</v>
      </c>
      <c r="AS207" s="324">
        <f t="shared" si="179"/>
        <v>2.0771582740251437</v>
      </c>
      <c r="AT207" s="324">
        <f t="shared" si="180"/>
        <v>2.0197958753158187</v>
      </c>
      <c r="AU207" s="106">
        <f t="shared" ca="1" si="181"/>
        <v>1.8680793443121975</v>
      </c>
      <c r="AV207" s="106">
        <f t="shared" ca="1" si="182"/>
        <v>1.9066740263614514</v>
      </c>
      <c r="AW207" s="106">
        <f t="shared" ca="1" si="183"/>
        <v>1.9261558059115385</v>
      </c>
      <c r="AX207" s="106">
        <f t="shared" ca="1" si="184"/>
        <v>2.1884043730784457</v>
      </c>
      <c r="AY207" s="106">
        <f t="shared" ca="1" si="185"/>
        <v>2.0771582740251437</v>
      </c>
      <c r="AZ207" s="106">
        <f t="shared" ca="1" si="186"/>
        <v>2.0197958753158187</v>
      </c>
      <c r="BA207" s="324">
        <v>1.8</v>
      </c>
      <c r="BB207" s="13" cm="1">
        <f t="array" ref="BB207">INDEX(AO207:AQ207,$AI$39)</f>
        <v>1.8680793443121975</v>
      </c>
      <c r="BC207" s="13" cm="1">
        <f t="array" ref="BC207">INDEX(AR207:AT207,$AI$39)</f>
        <v>2.1884043730784457</v>
      </c>
      <c r="BD207" s="324">
        <v>1.8</v>
      </c>
      <c r="BS207" s="106">
        <v>5.4</v>
      </c>
      <c r="BT207" s="12" t="s">
        <v>487</v>
      </c>
      <c r="BU207" s="7" t="str">
        <f t="shared" si="187"/>
        <v>---------</v>
      </c>
      <c r="BV207" s="290">
        <v>1.04000000000004</v>
      </c>
      <c r="BW207" s="59">
        <v>198</v>
      </c>
      <c r="BX207" s="168" t="str">
        <f t="shared" si="188"/>
        <v>---------</v>
      </c>
      <c r="BY207" s="182">
        <v>4.5400000000000003E-2</v>
      </c>
      <c r="BZ207" s="185">
        <v>198</v>
      </c>
      <c r="CA207" s="184">
        <f t="shared" si="189"/>
        <v>4.5400000000000003E-2</v>
      </c>
      <c r="CB207" s="106"/>
    </row>
    <row r="208" spans="21:86">
      <c r="U208" s="13">
        <f t="shared" si="157"/>
        <v>1.5965021923229135</v>
      </c>
      <c r="V208" s="13">
        <f t="shared" si="158"/>
        <v>1.685410811238623</v>
      </c>
      <c r="W208" s="13">
        <f t="shared" si="159"/>
        <v>1.7557222160664818</v>
      </c>
      <c r="X208" s="13">
        <f t="shared" si="160"/>
        <v>1.6530048436881664</v>
      </c>
      <c r="Y208" s="13">
        <f t="shared" si="161"/>
        <v>1.7373277404036409</v>
      </c>
      <c r="Z208" s="13">
        <f t="shared" si="162"/>
        <v>1.7963853660466964</v>
      </c>
      <c r="AA208" s="13">
        <f t="shared" si="163"/>
        <v>1.6813613929560738</v>
      </c>
      <c r="AB208" s="13">
        <f t="shared" si="164"/>
        <v>1.763335290858725</v>
      </c>
      <c r="AC208" s="13">
        <f t="shared" si="165"/>
        <v>1.8169062762168564</v>
      </c>
      <c r="AD208" s="13">
        <f t="shared" si="166"/>
        <v>1.647933676296002</v>
      </c>
      <c r="AE208" s="13">
        <f t="shared" si="167"/>
        <v>1.918928785120696</v>
      </c>
      <c r="AF208" s="13">
        <f t="shared" si="168"/>
        <v>2.1061301859912942</v>
      </c>
      <c r="AG208" s="13">
        <f t="shared" si="169"/>
        <v>1.6596795488721792</v>
      </c>
      <c r="AH208" s="13">
        <f t="shared" si="170"/>
        <v>1.8368356549267897</v>
      </c>
      <c r="AI208" s="13">
        <f t="shared" si="171"/>
        <v>1.9783580688563511</v>
      </c>
      <c r="AJ208" s="13">
        <f t="shared" si="172"/>
        <v>1.6830411950929964</v>
      </c>
      <c r="AK208" s="13">
        <f t="shared" si="173"/>
        <v>1.8195470439256025</v>
      </c>
      <c r="AL208" s="13">
        <f t="shared" si="174"/>
        <v>1.9171786703601097</v>
      </c>
      <c r="AM208" s="13">
        <f t="shared" si="175"/>
        <v>1.8054711546071665</v>
      </c>
      <c r="AN208" s="13">
        <f t="shared" si="176"/>
        <v>1.7665393552707678</v>
      </c>
      <c r="AO208" s="322">
        <f t="shared" si="156"/>
        <v>1.7665393552707678</v>
      </c>
      <c r="AP208" s="322">
        <f t="shared" si="155"/>
        <v>1.8054711546071665</v>
      </c>
      <c r="AQ208" s="322">
        <f t="shared" si="177"/>
        <v>1.8251479662719536</v>
      </c>
      <c r="AR208" s="324">
        <f t="shared" si="178"/>
        <v>2.1349304015098478</v>
      </c>
      <c r="AS208" s="324">
        <f t="shared" si="179"/>
        <v>2.0001307479224377</v>
      </c>
      <c r="AT208" s="324">
        <f t="shared" si="180"/>
        <v>1.9321989205808032</v>
      </c>
      <c r="AU208" s="106">
        <f t="shared" ca="1" si="181"/>
        <v>1.7665393552707678</v>
      </c>
      <c r="AV208" s="106">
        <f t="shared" ca="1" si="182"/>
        <v>1.8054711546071665</v>
      </c>
      <c r="AW208" s="106">
        <f t="shared" ca="1" si="183"/>
        <v>1.8251479662719536</v>
      </c>
      <c r="AX208" s="106">
        <f t="shared" ca="1" si="184"/>
        <v>2.1349304015098478</v>
      </c>
      <c r="AY208" s="106">
        <f t="shared" ca="1" si="185"/>
        <v>2.0001307479224377</v>
      </c>
      <c r="AZ208" s="106">
        <f t="shared" ca="1" si="186"/>
        <v>1.9321989205808032</v>
      </c>
      <c r="BA208" s="324">
        <v>1.7</v>
      </c>
      <c r="BB208" s="13" cm="1">
        <f t="array" ref="BB208">INDEX(AO208:AQ208,$AI$39)</f>
        <v>1.7665393552707678</v>
      </c>
      <c r="BC208" s="13" cm="1">
        <f t="array" ref="BC208">INDEX(AR208:AT208,$AI$39)</f>
        <v>2.1349304015098478</v>
      </c>
      <c r="BD208" s="324">
        <v>1.7</v>
      </c>
      <c r="BS208" s="106">
        <v>5.3</v>
      </c>
      <c r="BT208" s="12" t="s">
        <v>488</v>
      </c>
      <c r="BU208" s="7" t="str">
        <f t="shared" si="187"/>
        <v>---------</v>
      </c>
      <c r="BV208" s="290">
        <v>1.03000000000004</v>
      </c>
      <c r="BW208" s="59">
        <v>199</v>
      </c>
      <c r="BX208" s="168" t="str">
        <f t="shared" si="188"/>
        <v>---------</v>
      </c>
      <c r="BY208" s="182">
        <v>4.53E-2</v>
      </c>
      <c r="BZ208" s="185">
        <v>199</v>
      </c>
      <c r="CA208" s="184">
        <f t="shared" si="189"/>
        <v>4.53E-2</v>
      </c>
      <c r="CB208" s="106"/>
    </row>
    <row r="209" spans="21:80">
      <c r="U209" s="13">
        <f t="shared" si="157"/>
        <v>1.5004565967550467</v>
      </c>
      <c r="V209" s="13">
        <f t="shared" si="158"/>
        <v>1.5848817807677089</v>
      </c>
      <c r="W209" s="13">
        <f t="shared" si="159"/>
        <v>1.6543117451523546</v>
      </c>
      <c r="X209" s="13">
        <f t="shared" si="160"/>
        <v>1.5550029046299947</v>
      </c>
      <c r="Y209" s="13">
        <f t="shared" si="161"/>
        <v>1.6366425880490705</v>
      </c>
      <c r="Z209" s="13">
        <f t="shared" si="162"/>
        <v>1.6952477483181647</v>
      </c>
      <c r="AA209" s="13">
        <f t="shared" si="163"/>
        <v>1.5823897586070435</v>
      </c>
      <c r="AB209" s="13">
        <f t="shared" si="164"/>
        <v>1.6625534626038774</v>
      </c>
      <c r="AC209" s="13">
        <f t="shared" si="165"/>
        <v>1.7159263316185185</v>
      </c>
      <c r="AD209" s="13">
        <f t="shared" si="166"/>
        <v>1.546501266323703</v>
      </c>
      <c r="AE209" s="13">
        <f t="shared" si="167"/>
        <v>1.8390059596359314</v>
      </c>
      <c r="AF209" s="13">
        <f t="shared" si="168"/>
        <v>2.0484112940245351</v>
      </c>
      <c r="AG209" s="13">
        <f t="shared" si="169"/>
        <v>1.5548479699248106</v>
      </c>
      <c r="AH209" s="13">
        <f t="shared" si="170"/>
        <v>1.7425878432924404</v>
      </c>
      <c r="AI209" s="13">
        <f t="shared" si="171"/>
        <v>1.898152140878512</v>
      </c>
      <c r="AJ209" s="13">
        <f t="shared" si="172"/>
        <v>1.5785866798575394</v>
      </c>
      <c r="AK209" s="13">
        <f t="shared" si="173"/>
        <v>1.7214582350613368</v>
      </c>
      <c r="AL209" s="13">
        <f t="shared" si="174"/>
        <v>1.8273516897506914</v>
      </c>
      <c r="AM209" s="13">
        <f t="shared" si="175"/>
        <v>1.7042639268211024</v>
      </c>
      <c r="AN209" s="13">
        <f t="shared" si="176"/>
        <v>1.6649932781346077</v>
      </c>
      <c r="AO209" s="322">
        <f t="shared" si="156"/>
        <v>1.6649932781346077</v>
      </c>
      <c r="AP209" s="322">
        <f t="shared" si="155"/>
        <v>1.7042639268211024</v>
      </c>
      <c r="AQ209" s="322">
        <f t="shared" si="177"/>
        <v>1.7241375422361556</v>
      </c>
      <c r="AR209" s="324">
        <f t="shared" si="178"/>
        <v>2.0806274993150895</v>
      </c>
      <c r="AS209" s="324">
        <f t="shared" si="179"/>
        <v>1.9220851097379077</v>
      </c>
      <c r="AT209" s="324">
        <f t="shared" si="180"/>
        <v>1.8436429904721305</v>
      </c>
      <c r="AU209" s="106">
        <f t="shared" ca="1" si="181"/>
        <v>1.6649932781346077</v>
      </c>
      <c r="AV209" s="106">
        <f t="shared" ca="1" si="182"/>
        <v>1.7042639268211024</v>
      </c>
      <c r="AW209" s="106">
        <f t="shared" ca="1" si="183"/>
        <v>1.7241375422361556</v>
      </c>
      <c r="AX209" s="106">
        <f t="shared" ca="1" si="184"/>
        <v>2.0806274993150895</v>
      </c>
      <c r="AY209" s="106">
        <f t="shared" ca="1" si="185"/>
        <v>1.9220851097379077</v>
      </c>
      <c r="AZ209" s="106">
        <f t="shared" ca="1" si="186"/>
        <v>1.8436429904721305</v>
      </c>
      <c r="BA209" s="324">
        <v>1.6</v>
      </c>
      <c r="BB209" s="13" cm="1">
        <f t="array" ref="BB209">INDEX(AO209:AQ209,$AI$39)</f>
        <v>1.6649932781346077</v>
      </c>
      <c r="BC209" s="13" cm="1">
        <f t="array" ref="BC209">INDEX(AR209:AT209,$AI$39)</f>
        <v>2.0806274993150895</v>
      </c>
      <c r="BD209" s="324">
        <v>1.6</v>
      </c>
      <c r="BS209" s="106">
        <v>5.2</v>
      </c>
      <c r="BT209" s="12" t="s">
        <v>489</v>
      </c>
      <c r="BU209" s="7" t="str">
        <f t="shared" si="187"/>
        <v>---------</v>
      </c>
      <c r="BV209" s="290">
        <v>1.02000000000004</v>
      </c>
      <c r="BW209" s="59">
        <v>200</v>
      </c>
      <c r="BX209" s="168" t="str">
        <f t="shared" si="188"/>
        <v>---------</v>
      </c>
      <c r="BY209" s="182">
        <v>4.5199999999999997E-2</v>
      </c>
      <c r="BZ209" s="185">
        <v>200</v>
      </c>
      <c r="CA209" s="184">
        <f t="shared" si="189"/>
        <v>4.5199999999999997E-2</v>
      </c>
      <c r="CB209" s="106"/>
    </row>
    <row r="210" spans="21:80">
      <c r="U210" s="13">
        <f t="shared" si="157"/>
        <v>1.4045631974673536</v>
      </c>
      <c r="V210" s="13">
        <f t="shared" si="158"/>
        <v>1.484388167787891</v>
      </c>
      <c r="W210" s="13">
        <f t="shared" si="159"/>
        <v>1.5529007202216065</v>
      </c>
      <c r="X210" s="13">
        <f t="shared" si="160"/>
        <v>1.4571030629204575</v>
      </c>
      <c r="Y210" s="13">
        <f t="shared" si="161"/>
        <v>1.535981891571033</v>
      </c>
      <c r="Z210" s="13">
        <f t="shared" si="162"/>
        <v>1.5941096161456283</v>
      </c>
      <c r="AA210" s="13">
        <f t="shared" si="163"/>
        <v>1.4834953700039568</v>
      </c>
      <c r="AB210" s="13">
        <f t="shared" si="164"/>
        <v>1.5617899168975062</v>
      </c>
      <c r="AC210" s="13">
        <f t="shared" si="165"/>
        <v>1.6149465848832596</v>
      </c>
      <c r="AD210" s="13">
        <f t="shared" si="166"/>
        <v>1.4438636327661247</v>
      </c>
      <c r="AE210" s="13">
        <f t="shared" si="167"/>
        <v>1.7579707874950528</v>
      </c>
      <c r="AF210" s="13">
        <f t="shared" si="168"/>
        <v>1.9898256826276219</v>
      </c>
      <c r="AG210" s="13">
        <f t="shared" si="169"/>
        <v>1.4490975939849609</v>
      </c>
      <c r="AH210" s="13">
        <f t="shared" si="170"/>
        <v>1.6472933359715065</v>
      </c>
      <c r="AI210" s="13">
        <f t="shared" si="171"/>
        <v>1.816924289671547</v>
      </c>
      <c r="AJ210" s="13">
        <f t="shared" si="172"/>
        <v>1.4734314523149987</v>
      </c>
      <c r="AK210" s="13">
        <f t="shared" si="173"/>
        <v>1.6225078907795796</v>
      </c>
      <c r="AL210" s="13">
        <f t="shared" si="174"/>
        <v>1.7365787257617717</v>
      </c>
      <c r="AM210" s="13">
        <f t="shared" si="175"/>
        <v>1.6030523430032584</v>
      </c>
      <c r="AN210" s="13">
        <f t="shared" si="176"/>
        <v>1.5634411129037167</v>
      </c>
      <c r="AO210" s="322">
        <f t="shared" si="156"/>
        <v>1.5634411129037167</v>
      </c>
      <c r="AP210" s="322">
        <f t="shared" si="155"/>
        <v>1.6030523430032584</v>
      </c>
      <c r="AQ210" s="322">
        <f t="shared" si="177"/>
        <v>1.6231245338041447</v>
      </c>
      <c r="AR210" s="324">
        <f t="shared" si="178"/>
        <v>2.0254956664941712</v>
      </c>
      <c r="AS210" s="324">
        <f t="shared" si="179"/>
        <v>1.8430213594715532</v>
      </c>
      <c r="AT210" s="324">
        <f t="shared" si="180"/>
        <v>1.7541280849898013</v>
      </c>
      <c r="AU210" s="106">
        <f t="shared" ca="1" si="181"/>
        <v>1.5634411129037167</v>
      </c>
      <c r="AV210" s="106">
        <f t="shared" ca="1" si="182"/>
        <v>1.6030523430032584</v>
      </c>
      <c r="AW210" s="106">
        <f t="shared" ca="1" si="183"/>
        <v>1.6231245338041447</v>
      </c>
      <c r="AX210" s="106">
        <f t="shared" ca="1" si="184"/>
        <v>2.0254956664941712</v>
      </c>
      <c r="AY210" s="106">
        <f t="shared" ca="1" si="185"/>
        <v>1.8430213594715532</v>
      </c>
      <c r="AZ210" s="106">
        <f t="shared" ca="1" si="186"/>
        <v>1.7541280849898013</v>
      </c>
      <c r="BA210" s="324">
        <v>1.5</v>
      </c>
      <c r="BB210" s="13" cm="1">
        <f t="array" ref="BB210">INDEX(AO210:AQ210,$AI$39)</f>
        <v>1.5634411129037167</v>
      </c>
      <c r="BC210" s="13" cm="1">
        <f t="array" ref="BC210">INDEX(AR210:AT210,$AI$39)</f>
        <v>2.0254956664941712</v>
      </c>
      <c r="BD210" s="324">
        <v>1.5</v>
      </c>
      <c r="BS210" s="106">
        <v>5.0999999999999996</v>
      </c>
      <c r="BT210" s="12" t="s">
        <v>490</v>
      </c>
      <c r="BU210" s="7" t="str">
        <f t="shared" si="187"/>
        <v>---------</v>
      </c>
      <c r="BV210" s="290">
        <v>1.01000000000004</v>
      </c>
      <c r="BW210" s="59">
        <v>201</v>
      </c>
      <c r="BX210" s="168" t="str">
        <f t="shared" si="188"/>
        <v>---------</v>
      </c>
      <c r="BY210" s="182">
        <v>4.5100000000000001E-2</v>
      </c>
      <c r="BZ210" s="185">
        <v>201</v>
      </c>
      <c r="CA210" s="184">
        <f t="shared" si="189"/>
        <v>4.5100000000000001E-2</v>
      </c>
      <c r="CB210" s="106"/>
    </row>
    <row r="211" spans="21:80">
      <c r="BS211" s="106">
        <v>5</v>
      </c>
      <c r="BT211" s="12" t="s">
        <v>491</v>
      </c>
      <c r="BU211" s="7" t="str">
        <f t="shared" si="187"/>
        <v>---------</v>
      </c>
      <c r="BV211" s="290">
        <v>1.00000000000004</v>
      </c>
      <c r="BW211" s="59">
        <v>202</v>
      </c>
      <c r="BX211" s="168" t="str">
        <f t="shared" si="188"/>
        <v>---------</v>
      </c>
      <c r="BY211" s="182">
        <v>4.4999999999999998E-2</v>
      </c>
      <c r="BZ211" s="185">
        <v>202</v>
      </c>
      <c r="CA211" s="184">
        <f t="shared" si="189"/>
        <v>4.4999999999999998E-2</v>
      </c>
      <c r="CB211" s="106"/>
    </row>
    <row r="212" spans="21:80">
      <c r="BS212" s="106">
        <v>4.9000000000000004</v>
      </c>
      <c r="BT212" s="12" t="s">
        <v>492</v>
      </c>
      <c r="BU212" s="7" t="str">
        <f t="shared" si="187"/>
        <v>---------</v>
      </c>
      <c r="BV212" s="290">
        <v>0.99000000000003996</v>
      </c>
      <c r="BW212" s="59">
        <v>203</v>
      </c>
      <c r="BX212" s="168" t="str">
        <f t="shared" si="188"/>
        <v>---------</v>
      </c>
      <c r="BY212" s="182">
        <v>4.4900000000000002E-2</v>
      </c>
      <c r="BZ212" s="185">
        <v>203</v>
      </c>
      <c r="CA212" s="184">
        <f t="shared" si="189"/>
        <v>4.4900000000000002E-2</v>
      </c>
      <c r="CB212" s="106"/>
    </row>
    <row r="213" spans="21:80">
      <c r="BS213" s="106">
        <v>4.8</v>
      </c>
      <c r="BT213" s="12" t="s">
        <v>493</v>
      </c>
      <c r="BU213" s="7" t="str">
        <f t="shared" si="187"/>
        <v>---------</v>
      </c>
      <c r="BV213" s="290">
        <v>0.98000000000003995</v>
      </c>
      <c r="BW213" s="59">
        <v>204</v>
      </c>
      <c r="BX213" s="168" t="str">
        <f t="shared" si="188"/>
        <v>---------</v>
      </c>
      <c r="BY213" s="182">
        <v>4.48E-2</v>
      </c>
      <c r="BZ213" s="185">
        <v>204</v>
      </c>
      <c r="CA213" s="184">
        <f t="shared" si="189"/>
        <v>4.48E-2</v>
      </c>
      <c r="CB213" s="106"/>
    </row>
    <row r="214" spans="21:80">
      <c r="BS214" s="106">
        <v>4.7</v>
      </c>
      <c r="BT214" s="12" t="s">
        <v>494</v>
      </c>
      <c r="BU214" s="7" t="str">
        <f t="shared" si="187"/>
        <v>---------</v>
      </c>
      <c r="BV214" s="290">
        <v>0.97000000000004005</v>
      </c>
      <c r="BW214" s="59">
        <v>205</v>
      </c>
      <c r="BX214" s="168" t="str">
        <f t="shared" si="188"/>
        <v>---------</v>
      </c>
      <c r="BY214" s="182">
        <v>4.4699999999999997E-2</v>
      </c>
      <c r="BZ214" s="185">
        <v>205</v>
      </c>
      <c r="CA214" s="184">
        <f t="shared" si="189"/>
        <v>4.4699999999999997E-2</v>
      </c>
      <c r="CB214" s="106"/>
    </row>
    <row r="215" spans="21:80">
      <c r="BS215" s="106">
        <v>4.5999999999999996</v>
      </c>
      <c r="BT215" s="12" t="s">
        <v>495</v>
      </c>
      <c r="BU215" s="7" t="str">
        <f t="shared" si="187"/>
        <v>---------</v>
      </c>
      <c r="BV215" s="290">
        <v>0.96000000000004004</v>
      </c>
      <c r="BW215" s="59">
        <v>206</v>
      </c>
      <c r="BX215" s="168" t="str">
        <f t="shared" si="188"/>
        <v>---------</v>
      </c>
      <c r="BY215" s="182">
        <v>4.4600000000000001E-2</v>
      </c>
      <c r="BZ215" s="185">
        <v>206</v>
      </c>
      <c r="CA215" s="184">
        <f t="shared" si="189"/>
        <v>4.4600000000000001E-2</v>
      </c>
      <c r="CB215" s="106"/>
    </row>
    <row r="216" spans="21:80">
      <c r="BS216" s="106">
        <v>4.5</v>
      </c>
      <c r="BT216" s="12" t="s">
        <v>496</v>
      </c>
      <c r="BU216" s="7" t="str">
        <f t="shared" si="187"/>
        <v>---------</v>
      </c>
      <c r="BV216" s="290">
        <v>0.95000000000004003</v>
      </c>
      <c r="BW216" s="59">
        <v>207</v>
      </c>
      <c r="BX216" s="168" t="str">
        <f t="shared" si="188"/>
        <v>---------</v>
      </c>
      <c r="BY216" s="182">
        <v>4.4499999999999998E-2</v>
      </c>
      <c r="BZ216" s="185">
        <v>207</v>
      </c>
      <c r="CA216" s="184">
        <f t="shared" si="189"/>
        <v>4.4499999999999998E-2</v>
      </c>
      <c r="CB216" s="106"/>
    </row>
    <row r="217" spans="21:80">
      <c r="BS217" s="106">
        <v>4.4000000000000004</v>
      </c>
      <c r="BT217" s="12" t="s">
        <v>497</v>
      </c>
      <c r="BU217" s="7" t="str">
        <f t="shared" si="187"/>
        <v>---------</v>
      </c>
      <c r="BV217" s="290">
        <v>0.94000000000004003</v>
      </c>
      <c r="BW217" s="59">
        <v>208</v>
      </c>
      <c r="BX217" s="168" t="str">
        <f t="shared" si="188"/>
        <v>---------</v>
      </c>
      <c r="BY217" s="182">
        <v>4.4400000000000002E-2</v>
      </c>
      <c r="BZ217" s="185">
        <v>208</v>
      </c>
      <c r="CA217" s="184">
        <f t="shared" si="189"/>
        <v>4.4400000000000002E-2</v>
      </c>
      <c r="CB217" s="106"/>
    </row>
    <row r="218" spans="21:80">
      <c r="BS218" s="106">
        <v>4.3</v>
      </c>
      <c r="BT218" s="12" t="s">
        <v>498</v>
      </c>
      <c r="BU218" s="7" t="str">
        <f t="shared" si="187"/>
        <v>---------</v>
      </c>
      <c r="BV218" s="290">
        <v>0.93000000000004002</v>
      </c>
      <c r="BW218" s="59">
        <v>209</v>
      </c>
      <c r="BX218" s="168" t="str">
        <f t="shared" si="188"/>
        <v>---------</v>
      </c>
      <c r="BY218" s="182">
        <v>4.4299999999999999E-2</v>
      </c>
      <c r="BZ218" s="185">
        <v>209</v>
      </c>
      <c r="CA218" s="184">
        <f t="shared" si="189"/>
        <v>4.4299999999999999E-2</v>
      </c>
      <c r="CB218" s="106"/>
    </row>
    <row r="219" spans="21:80">
      <c r="BS219" s="106">
        <v>4.2</v>
      </c>
      <c r="BT219" s="12" t="s">
        <v>499</v>
      </c>
      <c r="BU219" s="7" t="str">
        <f t="shared" si="187"/>
        <v>---------</v>
      </c>
      <c r="BV219" s="290">
        <v>0.92000000000004001</v>
      </c>
      <c r="BW219" s="59">
        <v>210</v>
      </c>
      <c r="BX219" s="168" t="str">
        <f t="shared" si="188"/>
        <v>---------</v>
      </c>
      <c r="BY219" s="182">
        <v>4.4200000000000003E-2</v>
      </c>
      <c r="BZ219" s="185">
        <v>210</v>
      </c>
      <c r="CA219" s="184">
        <f t="shared" si="189"/>
        <v>4.4200000000000003E-2</v>
      </c>
      <c r="CB219" s="106"/>
    </row>
    <row r="220" spans="21:80">
      <c r="BS220" s="106">
        <v>4.0999999999999996</v>
      </c>
      <c r="BT220" s="12" t="s">
        <v>500</v>
      </c>
      <c r="BU220" s="7" t="str">
        <f t="shared" si="187"/>
        <v>---------</v>
      </c>
      <c r="BV220" s="290">
        <v>0.91000000000004</v>
      </c>
      <c r="BW220" s="59">
        <v>211</v>
      </c>
      <c r="BX220" s="168" t="str">
        <f t="shared" si="188"/>
        <v>---------</v>
      </c>
      <c r="BY220" s="182">
        <v>4.41E-2</v>
      </c>
      <c r="BZ220" s="185">
        <v>211</v>
      </c>
      <c r="CA220" s="184">
        <f t="shared" si="189"/>
        <v>4.41E-2</v>
      </c>
      <c r="CB220" s="106"/>
    </row>
    <row r="221" spans="21:80">
      <c r="BS221" s="106">
        <v>4</v>
      </c>
      <c r="BT221" s="12" t="s">
        <v>501</v>
      </c>
      <c r="BU221" s="7" t="str">
        <f t="shared" si="187"/>
        <v>---------</v>
      </c>
      <c r="BV221" s="290">
        <v>0.90000000000003999</v>
      </c>
      <c r="BW221" s="59">
        <v>212</v>
      </c>
      <c r="BX221" s="168" t="str">
        <f t="shared" si="188"/>
        <v>---------</v>
      </c>
      <c r="BY221" s="182">
        <v>4.3999999999999997E-2</v>
      </c>
      <c r="BZ221" s="185">
        <v>212</v>
      </c>
      <c r="CA221" s="184">
        <f t="shared" si="189"/>
        <v>4.3999999999999997E-2</v>
      </c>
      <c r="CB221" s="106"/>
    </row>
    <row r="222" spans="21:80">
      <c r="BS222" s="106">
        <v>3.9</v>
      </c>
      <c r="BT222" s="12" t="s">
        <v>502</v>
      </c>
      <c r="BU222" s="7" t="str">
        <f t="shared" si="187"/>
        <v>---------</v>
      </c>
      <c r="BV222" s="290">
        <v>0.89000000000003998</v>
      </c>
      <c r="BW222" s="59">
        <v>213</v>
      </c>
      <c r="BX222" s="168" t="str">
        <f t="shared" si="188"/>
        <v>---------</v>
      </c>
      <c r="BY222" s="182">
        <v>4.3900000000000002E-2</v>
      </c>
      <c r="BZ222" s="185">
        <v>213</v>
      </c>
      <c r="CA222" s="184">
        <f t="shared" si="189"/>
        <v>4.3900000000000002E-2</v>
      </c>
      <c r="CB222" s="106"/>
    </row>
    <row r="223" spans="21:80">
      <c r="BS223" s="106">
        <v>3.8</v>
      </c>
      <c r="BT223" s="12" t="s">
        <v>503</v>
      </c>
      <c r="BU223" s="7" t="str">
        <f t="shared" si="187"/>
        <v>---------</v>
      </c>
      <c r="BV223" s="290">
        <v>0.88000000000003997</v>
      </c>
      <c r="BW223" s="59">
        <v>214</v>
      </c>
      <c r="BX223" s="168" t="str">
        <f t="shared" si="188"/>
        <v>---------</v>
      </c>
      <c r="BY223" s="182">
        <v>4.3799999999999999E-2</v>
      </c>
      <c r="BZ223" s="185">
        <v>214</v>
      </c>
      <c r="CA223" s="184">
        <f t="shared" si="189"/>
        <v>4.3799999999999999E-2</v>
      </c>
      <c r="CB223" s="106"/>
    </row>
    <row r="224" spans="21:80">
      <c r="BS224" s="106">
        <v>3.7</v>
      </c>
      <c r="BT224" s="12" t="s">
        <v>504</v>
      </c>
      <c r="BU224" s="7" t="str">
        <f t="shared" si="187"/>
        <v>---------</v>
      </c>
      <c r="BV224" s="290">
        <v>0.87000000000003996</v>
      </c>
      <c r="BW224" s="59">
        <v>215</v>
      </c>
      <c r="BX224" s="168" t="str">
        <f t="shared" si="188"/>
        <v>---------</v>
      </c>
      <c r="BY224" s="182">
        <v>4.3700000000000003E-2</v>
      </c>
      <c r="BZ224" s="185">
        <v>215</v>
      </c>
      <c r="CA224" s="184">
        <f t="shared" si="189"/>
        <v>4.3700000000000003E-2</v>
      </c>
      <c r="CB224" s="106"/>
    </row>
    <row r="225" spans="71:80">
      <c r="BS225" s="106">
        <v>3.6</v>
      </c>
      <c r="BT225" s="12" t="s">
        <v>505</v>
      </c>
      <c r="BU225" s="7" t="str">
        <f t="shared" si="187"/>
        <v>---------</v>
      </c>
      <c r="BV225" s="290">
        <v>0.86000000000003995</v>
      </c>
      <c r="BW225" s="59">
        <v>216</v>
      </c>
      <c r="BX225" s="168" t="str">
        <f t="shared" si="188"/>
        <v>---------</v>
      </c>
      <c r="BY225" s="182">
        <v>4.36E-2</v>
      </c>
      <c r="BZ225" s="185">
        <v>216</v>
      </c>
      <c r="CA225" s="184">
        <f t="shared" si="189"/>
        <v>4.36E-2</v>
      </c>
      <c r="CB225" s="106"/>
    </row>
    <row r="226" spans="71:80">
      <c r="BS226" s="106">
        <v>3.5</v>
      </c>
      <c r="BT226" s="12" t="s">
        <v>506</v>
      </c>
      <c r="BU226" s="7" t="str">
        <f t="shared" si="187"/>
        <v>---------</v>
      </c>
      <c r="BV226" s="290">
        <v>0.85000000000003995</v>
      </c>
      <c r="BW226" s="59">
        <v>217</v>
      </c>
      <c r="BX226" s="168" t="str">
        <f t="shared" si="188"/>
        <v>---------</v>
      </c>
      <c r="BY226" s="182">
        <v>4.3499999999999997E-2</v>
      </c>
      <c r="BZ226" s="185">
        <v>217</v>
      </c>
      <c r="CA226" s="184">
        <f t="shared" si="189"/>
        <v>4.3499999999999997E-2</v>
      </c>
      <c r="CB226" s="106"/>
    </row>
    <row r="227" spans="71:80">
      <c r="BS227" s="106">
        <v>3.4</v>
      </c>
      <c r="BT227" s="12" t="s">
        <v>507</v>
      </c>
      <c r="BU227" s="7" t="str">
        <f t="shared" si="187"/>
        <v>---------</v>
      </c>
      <c r="BV227" s="290">
        <v>0.84000000000004005</v>
      </c>
      <c r="BW227" s="59">
        <v>218</v>
      </c>
      <c r="BX227" s="168" t="str">
        <f t="shared" si="188"/>
        <v>---------</v>
      </c>
      <c r="BY227" s="182">
        <v>4.3400000000000001E-2</v>
      </c>
      <c r="BZ227" s="185">
        <v>218</v>
      </c>
      <c r="CA227" s="184">
        <f t="shared" si="189"/>
        <v>4.3400000000000001E-2</v>
      </c>
      <c r="CB227" s="106"/>
    </row>
    <row r="228" spans="71:80">
      <c r="BS228" s="106">
        <v>3.3</v>
      </c>
      <c r="BT228" s="12" t="s">
        <v>508</v>
      </c>
      <c r="BU228" s="7" t="str">
        <f t="shared" si="187"/>
        <v>---------</v>
      </c>
      <c r="BV228" s="290">
        <v>0.83000000000004004</v>
      </c>
      <c r="BW228" s="59">
        <v>219</v>
      </c>
      <c r="BX228" s="168" t="str">
        <f t="shared" si="188"/>
        <v>---------</v>
      </c>
      <c r="BY228" s="182">
        <v>4.3299999999999998E-2</v>
      </c>
      <c r="BZ228" s="185">
        <v>219</v>
      </c>
      <c r="CA228" s="184">
        <f t="shared" si="189"/>
        <v>4.3299999999999998E-2</v>
      </c>
      <c r="CB228" s="106"/>
    </row>
    <row r="229" spans="71:80">
      <c r="BS229" s="106">
        <v>3.2</v>
      </c>
      <c r="BT229" s="12" t="s">
        <v>509</v>
      </c>
      <c r="BU229" s="7" t="str">
        <f t="shared" si="187"/>
        <v>---------</v>
      </c>
      <c r="BV229" s="290">
        <v>0.82000000000004003</v>
      </c>
      <c r="BW229" s="59">
        <v>220</v>
      </c>
      <c r="BX229" s="168" t="str">
        <f t="shared" si="188"/>
        <v>---------</v>
      </c>
      <c r="BY229" s="182">
        <v>4.3200000000000002E-2</v>
      </c>
      <c r="BZ229" s="185">
        <v>220</v>
      </c>
      <c r="CA229" s="184">
        <f t="shared" si="189"/>
        <v>4.3200000000000002E-2</v>
      </c>
      <c r="CB229" s="106"/>
    </row>
    <row r="230" spans="71:80">
      <c r="BS230" s="106">
        <v>3.1</v>
      </c>
      <c r="BT230" s="12" t="s">
        <v>510</v>
      </c>
      <c r="BU230" s="7" t="str">
        <f t="shared" si="187"/>
        <v>---------</v>
      </c>
      <c r="BV230" s="290">
        <v>0.81000000000004002</v>
      </c>
      <c r="BW230" s="59">
        <v>221</v>
      </c>
      <c r="BX230" s="168" t="str">
        <f t="shared" si="188"/>
        <v>---------</v>
      </c>
      <c r="BY230" s="182">
        <v>4.3099999999999999E-2</v>
      </c>
      <c r="BZ230" s="185">
        <v>221</v>
      </c>
      <c r="CA230" s="184">
        <f t="shared" si="189"/>
        <v>4.3099999999999999E-2</v>
      </c>
      <c r="CB230" s="106"/>
    </row>
    <row r="231" spans="71:80">
      <c r="BS231" s="106">
        <v>3</v>
      </c>
      <c r="BT231" s="12" t="s">
        <v>511</v>
      </c>
      <c r="BU231" s="7" t="str">
        <f t="shared" si="187"/>
        <v>---------</v>
      </c>
      <c r="BV231" s="290">
        <v>0.80000000000004001</v>
      </c>
      <c r="BW231" s="59">
        <v>222</v>
      </c>
      <c r="BX231" s="168" t="str">
        <f t="shared" si="188"/>
        <v>---------</v>
      </c>
      <c r="BY231" s="182">
        <v>4.2999999999999997E-2</v>
      </c>
      <c r="BZ231" s="185">
        <v>222</v>
      </c>
      <c r="CA231" s="184">
        <f t="shared" si="189"/>
        <v>4.2999999999999997E-2</v>
      </c>
      <c r="CB231" s="106"/>
    </row>
    <row r="232" spans="71:80">
      <c r="BS232" s="106">
        <v>2.9</v>
      </c>
      <c r="BT232" s="12" t="s">
        <v>512</v>
      </c>
      <c r="BU232" s="7" t="str">
        <f t="shared" si="187"/>
        <v>---------</v>
      </c>
      <c r="BV232" s="290">
        <v>0.79000000000004</v>
      </c>
      <c r="BW232" s="59">
        <v>223</v>
      </c>
      <c r="BX232" s="168" t="str">
        <f t="shared" si="188"/>
        <v>---------</v>
      </c>
      <c r="BY232" s="182">
        <v>4.2900000000000001E-2</v>
      </c>
      <c r="BZ232" s="185">
        <v>223</v>
      </c>
      <c r="CA232" s="184">
        <f t="shared" si="189"/>
        <v>4.2900000000000001E-2</v>
      </c>
      <c r="CB232" s="106"/>
    </row>
    <row r="233" spans="71:80">
      <c r="BS233" s="106">
        <v>2.8</v>
      </c>
      <c r="BT233" s="12" t="s">
        <v>513</v>
      </c>
      <c r="BU233" s="7" t="str">
        <f t="shared" si="187"/>
        <v>---------</v>
      </c>
      <c r="BV233" s="290">
        <v>0.78000000000003999</v>
      </c>
      <c r="BW233" s="59">
        <v>224</v>
      </c>
      <c r="BX233" s="168" t="str">
        <f t="shared" si="188"/>
        <v>---------</v>
      </c>
      <c r="BY233" s="182">
        <v>4.2799999999999998E-2</v>
      </c>
      <c r="BZ233" s="185">
        <v>224</v>
      </c>
      <c r="CA233" s="184">
        <f t="shared" si="189"/>
        <v>4.2799999999999998E-2</v>
      </c>
      <c r="CB233" s="106"/>
    </row>
    <row r="234" spans="71:80">
      <c r="BS234" s="106">
        <v>2.7</v>
      </c>
      <c r="BT234" s="12" t="s">
        <v>514</v>
      </c>
      <c r="BU234" s="7" t="str">
        <f t="shared" si="187"/>
        <v>---------</v>
      </c>
      <c r="BV234" s="290">
        <v>0.77000000000003999</v>
      </c>
      <c r="BW234" s="59">
        <v>225</v>
      </c>
      <c r="BX234" s="168" t="str">
        <f t="shared" si="188"/>
        <v>---------</v>
      </c>
      <c r="BY234" s="182">
        <v>4.2700000000000002E-2</v>
      </c>
      <c r="BZ234" s="185">
        <v>225</v>
      </c>
      <c r="CA234" s="184">
        <f t="shared" si="189"/>
        <v>4.2700000000000002E-2</v>
      </c>
      <c r="CB234" s="106"/>
    </row>
    <row r="235" spans="71:80">
      <c r="BS235" s="106">
        <v>2.6</v>
      </c>
      <c r="BT235" s="12" t="s">
        <v>515</v>
      </c>
      <c r="BU235" s="7" t="str">
        <f t="shared" si="187"/>
        <v>---------</v>
      </c>
      <c r="BV235" s="290">
        <v>0.76000000000003998</v>
      </c>
      <c r="BW235" s="59">
        <v>226</v>
      </c>
      <c r="BX235" s="168" t="str">
        <f t="shared" si="188"/>
        <v>---------</v>
      </c>
      <c r="BY235" s="182">
        <v>4.2599999999999999E-2</v>
      </c>
      <c r="BZ235" s="185">
        <v>226</v>
      </c>
      <c r="CA235" s="184">
        <f t="shared" si="189"/>
        <v>4.2599999999999999E-2</v>
      </c>
      <c r="CB235" s="106"/>
    </row>
    <row r="236" spans="71:80">
      <c r="BS236" s="106">
        <v>2.5</v>
      </c>
      <c r="BT236" s="12" t="s">
        <v>516</v>
      </c>
      <c r="BU236" s="7" t="str">
        <f t="shared" si="187"/>
        <v>---------</v>
      </c>
      <c r="BV236" s="290">
        <v>0.75000000000003997</v>
      </c>
      <c r="BW236" s="59">
        <v>227</v>
      </c>
      <c r="BX236" s="168" t="str">
        <f t="shared" si="188"/>
        <v>---------</v>
      </c>
      <c r="BY236" s="182">
        <v>4.2500000000000003E-2</v>
      </c>
      <c r="BZ236" s="185">
        <v>227</v>
      </c>
      <c r="CA236" s="184">
        <f t="shared" si="189"/>
        <v>4.2500000000000003E-2</v>
      </c>
      <c r="CB236" s="106"/>
    </row>
    <row r="237" spans="71:80">
      <c r="BS237" s="106">
        <v>2.4</v>
      </c>
      <c r="BT237" s="12" t="s">
        <v>517</v>
      </c>
      <c r="BU237" s="7" t="str">
        <f t="shared" si="187"/>
        <v>---------</v>
      </c>
      <c r="BV237" s="290">
        <v>0.74000000000003996</v>
      </c>
      <c r="BW237" s="59">
        <v>228</v>
      </c>
      <c r="BX237" s="168" t="str">
        <f t="shared" si="188"/>
        <v>---------</v>
      </c>
      <c r="BY237" s="182">
        <v>4.24E-2</v>
      </c>
      <c r="BZ237" s="185">
        <v>228</v>
      </c>
      <c r="CA237" s="184">
        <f t="shared" si="189"/>
        <v>4.24E-2</v>
      </c>
      <c r="CB237" s="106"/>
    </row>
    <row r="238" spans="71:80">
      <c r="BS238" s="106">
        <v>2.2999999999999998</v>
      </c>
      <c r="BT238" s="12" t="s">
        <v>518</v>
      </c>
      <c r="BU238" s="7" t="str">
        <f t="shared" si="187"/>
        <v>---------</v>
      </c>
      <c r="BV238" s="290">
        <v>0.73000000000003995</v>
      </c>
      <c r="BW238" s="59">
        <v>229</v>
      </c>
      <c r="BX238" s="168" t="str">
        <f t="shared" si="188"/>
        <v>---------</v>
      </c>
      <c r="BY238" s="182">
        <v>4.2299999999999997E-2</v>
      </c>
      <c r="BZ238" s="185">
        <v>229</v>
      </c>
      <c r="CA238" s="184">
        <f t="shared" si="189"/>
        <v>4.2299999999999997E-2</v>
      </c>
      <c r="CB238" s="106"/>
    </row>
    <row r="239" spans="71:80">
      <c r="BS239" s="106">
        <v>2.2000000000000002</v>
      </c>
      <c r="BT239" s="12" t="s">
        <v>519</v>
      </c>
      <c r="BU239" s="7" t="str">
        <f t="shared" si="187"/>
        <v>---------</v>
      </c>
      <c r="BV239" s="290">
        <v>0.72000000000004005</v>
      </c>
      <c r="BW239" s="59">
        <v>230</v>
      </c>
      <c r="BX239" s="168" t="str">
        <f t="shared" si="188"/>
        <v>---------</v>
      </c>
      <c r="BY239" s="182">
        <v>4.2200000000000001E-2</v>
      </c>
      <c r="BZ239" s="185">
        <v>230</v>
      </c>
      <c r="CA239" s="184">
        <f t="shared" si="189"/>
        <v>4.2200000000000001E-2</v>
      </c>
      <c r="CB239" s="106"/>
    </row>
    <row r="240" spans="71:80">
      <c r="BS240" s="106">
        <v>2.1</v>
      </c>
      <c r="BT240" s="12" t="s">
        <v>520</v>
      </c>
      <c r="BU240" s="7" t="str">
        <f t="shared" si="187"/>
        <v>---------</v>
      </c>
      <c r="BV240" s="290">
        <v>0.71000000000004004</v>
      </c>
      <c r="BW240" s="59">
        <v>231</v>
      </c>
      <c r="BX240" s="168" t="str">
        <f t="shared" si="188"/>
        <v>---------</v>
      </c>
      <c r="BY240" s="182">
        <v>4.2099999999999999E-2</v>
      </c>
      <c r="BZ240" s="185">
        <v>231</v>
      </c>
      <c r="CA240" s="184">
        <f t="shared" si="189"/>
        <v>4.2099999999999999E-2</v>
      </c>
      <c r="CB240" s="106"/>
    </row>
    <row r="241" spans="71:80">
      <c r="BS241" s="106">
        <v>2</v>
      </c>
      <c r="BT241" s="12" t="s">
        <v>521</v>
      </c>
      <c r="BU241" s="7" t="str">
        <f t="shared" si="187"/>
        <v>---------</v>
      </c>
      <c r="BV241" s="290">
        <v>0.70000000000004003</v>
      </c>
      <c r="BW241" s="59">
        <v>232</v>
      </c>
      <c r="BX241" s="168" t="str">
        <f t="shared" si="188"/>
        <v>---------</v>
      </c>
      <c r="BY241" s="182">
        <v>4.2000000000000003E-2</v>
      </c>
      <c r="BZ241" s="185">
        <v>232</v>
      </c>
      <c r="CA241" s="184">
        <f t="shared" si="189"/>
        <v>4.2000000000000003E-2</v>
      </c>
      <c r="CB241" s="106"/>
    </row>
    <row r="242" spans="71:80">
      <c r="BS242" s="106">
        <v>1.9</v>
      </c>
      <c r="BT242" s="12" t="s">
        <v>522</v>
      </c>
      <c r="BU242" s="7" t="str">
        <f t="shared" si="187"/>
        <v>---------</v>
      </c>
      <c r="BV242" s="290">
        <v>0.69000000000004003</v>
      </c>
      <c r="BW242" s="59">
        <v>233</v>
      </c>
      <c r="BX242" s="168" t="str">
        <f t="shared" si="188"/>
        <v>---------</v>
      </c>
      <c r="BY242" s="182">
        <v>4.19E-2</v>
      </c>
      <c r="BZ242" s="185">
        <v>233</v>
      </c>
      <c r="CA242" s="184">
        <f t="shared" si="189"/>
        <v>4.19E-2</v>
      </c>
      <c r="CB242" s="106"/>
    </row>
    <row r="243" spans="71:80">
      <c r="BS243" s="106">
        <v>1.8</v>
      </c>
      <c r="BT243" s="12" t="s">
        <v>523</v>
      </c>
      <c r="BU243" s="7" t="str">
        <f t="shared" si="187"/>
        <v>---------</v>
      </c>
      <c r="BV243" s="290">
        <v>0.68000000000004002</v>
      </c>
      <c r="BW243" s="59">
        <v>234</v>
      </c>
      <c r="BX243" s="168" t="str">
        <f t="shared" si="188"/>
        <v>---------</v>
      </c>
      <c r="BY243" s="182">
        <v>4.1799999999999997E-2</v>
      </c>
      <c r="BZ243" s="185">
        <v>234</v>
      </c>
      <c r="CA243" s="184">
        <f t="shared" si="189"/>
        <v>4.1799999999999997E-2</v>
      </c>
      <c r="CB243" s="106"/>
    </row>
    <row r="244" spans="71:80">
      <c r="BS244" s="106">
        <v>1.7</v>
      </c>
      <c r="BT244" s="12" t="s">
        <v>524</v>
      </c>
      <c r="BU244" s="7" t="str">
        <f t="shared" si="187"/>
        <v>---------</v>
      </c>
      <c r="BV244" s="290">
        <v>0.67000000000004001</v>
      </c>
      <c r="BW244" s="59">
        <v>235</v>
      </c>
      <c r="BX244" s="168" t="str">
        <f t="shared" si="188"/>
        <v>---------</v>
      </c>
      <c r="BY244" s="182">
        <v>4.1700000000000001E-2</v>
      </c>
      <c r="BZ244" s="185">
        <v>235</v>
      </c>
      <c r="CA244" s="184">
        <f t="shared" si="189"/>
        <v>4.1700000000000001E-2</v>
      </c>
      <c r="CB244" s="106"/>
    </row>
    <row r="245" spans="71:80">
      <c r="BS245" s="106">
        <v>1.6</v>
      </c>
      <c r="BT245" s="12" t="s">
        <v>525</v>
      </c>
      <c r="BU245" s="7" t="str">
        <f t="shared" si="187"/>
        <v>---------</v>
      </c>
      <c r="BV245" s="290">
        <v>0.66000000000004</v>
      </c>
      <c r="BW245" s="59">
        <v>236</v>
      </c>
      <c r="BX245" s="168" t="str">
        <f t="shared" si="188"/>
        <v>---------</v>
      </c>
      <c r="BY245" s="182">
        <v>4.1599999999999998E-2</v>
      </c>
      <c r="BZ245" s="185">
        <v>236</v>
      </c>
      <c r="CA245" s="184">
        <f t="shared" si="189"/>
        <v>4.1599999999999998E-2</v>
      </c>
      <c r="CB245" s="106"/>
    </row>
    <row r="246" spans="71:80">
      <c r="BS246" s="106">
        <v>1.5</v>
      </c>
      <c r="BT246" s="12" t="s">
        <v>526</v>
      </c>
      <c r="BU246" s="7" t="str">
        <f t="shared" si="187"/>
        <v>---------</v>
      </c>
      <c r="BV246" s="290">
        <v>0.65000000000003999</v>
      </c>
      <c r="BW246" s="59">
        <v>237</v>
      </c>
      <c r="BX246" s="168" t="str">
        <f t="shared" si="188"/>
        <v>---------</v>
      </c>
      <c r="BY246" s="182">
        <v>4.1500000000000002E-2</v>
      </c>
      <c r="BZ246" s="185">
        <v>237</v>
      </c>
      <c r="CA246" s="184">
        <f t="shared" si="189"/>
        <v>4.1500000000000002E-2</v>
      </c>
      <c r="CB246" s="106"/>
    </row>
    <row r="247" spans="71:80">
      <c r="BS247" s="106">
        <v>1.4</v>
      </c>
      <c r="BT247" s="12" t="s">
        <v>527</v>
      </c>
      <c r="BU247" s="7" t="str">
        <f t="shared" si="187"/>
        <v>---------</v>
      </c>
      <c r="BV247" s="290">
        <v>0.64000000000003998</v>
      </c>
      <c r="BW247" s="59">
        <v>238</v>
      </c>
      <c r="BX247" s="168" t="str">
        <f t="shared" si="188"/>
        <v>---------</v>
      </c>
      <c r="BY247" s="182">
        <v>4.1399999999999999E-2</v>
      </c>
      <c r="BZ247" s="185">
        <v>238</v>
      </c>
      <c r="CA247" s="184">
        <f t="shared" si="189"/>
        <v>4.1399999999999999E-2</v>
      </c>
      <c r="CB247" s="106"/>
    </row>
    <row r="248" spans="71:80">
      <c r="BS248" s="106">
        <v>1.3</v>
      </c>
      <c r="BT248" s="12" t="s">
        <v>528</v>
      </c>
      <c r="BU248" s="7" t="str">
        <f t="shared" si="187"/>
        <v>---------</v>
      </c>
      <c r="BV248" s="290">
        <v>0.63000000000003997</v>
      </c>
      <c r="BW248" s="59">
        <v>239</v>
      </c>
      <c r="BX248" s="168" t="str">
        <f t="shared" si="188"/>
        <v>---------</v>
      </c>
      <c r="BY248" s="182">
        <v>4.1300000000000003E-2</v>
      </c>
      <c r="BZ248" s="185">
        <v>239</v>
      </c>
      <c r="CA248" s="184">
        <f t="shared" si="189"/>
        <v>4.1300000000000003E-2</v>
      </c>
      <c r="CB248" s="106"/>
    </row>
    <row r="249" spans="71:80">
      <c r="BS249" s="106">
        <v>1.2</v>
      </c>
      <c r="BT249" s="12" t="s">
        <v>529</v>
      </c>
      <c r="BU249" s="7" t="str">
        <f t="shared" si="187"/>
        <v>---------</v>
      </c>
      <c r="BV249" s="290">
        <v>0.62000000000003996</v>
      </c>
      <c r="BW249" s="59">
        <v>240</v>
      </c>
      <c r="BX249" s="168" t="str">
        <f t="shared" si="188"/>
        <v>---------</v>
      </c>
      <c r="BY249" s="182">
        <v>4.1200000000000001E-2</v>
      </c>
      <c r="BZ249" s="185">
        <v>240</v>
      </c>
      <c r="CA249" s="184">
        <f t="shared" si="189"/>
        <v>4.1200000000000001E-2</v>
      </c>
      <c r="CB249" s="106"/>
    </row>
    <row r="250" spans="71:80">
      <c r="BS250" s="106">
        <v>1.1000000000000001</v>
      </c>
      <c r="BT250" s="12" t="s">
        <v>530</v>
      </c>
      <c r="BU250" s="7" t="str">
        <f t="shared" si="187"/>
        <v>---------</v>
      </c>
      <c r="BV250" s="290">
        <v>0.61000000000003995</v>
      </c>
      <c r="BW250" s="59">
        <v>241</v>
      </c>
      <c r="BX250" s="168" t="str">
        <f t="shared" si="188"/>
        <v>---------</v>
      </c>
      <c r="BY250" s="182">
        <v>4.1099999999999998E-2</v>
      </c>
      <c r="BZ250" s="185">
        <v>241</v>
      </c>
      <c r="CA250" s="184">
        <f t="shared" si="189"/>
        <v>4.1099999999999998E-2</v>
      </c>
      <c r="CB250" s="106"/>
    </row>
    <row r="251" spans="71:80">
      <c r="BS251" s="106">
        <v>1</v>
      </c>
      <c r="BT251" s="12" t="s">
        <v>531</v>
      </c>
      <c r="BU251" s="7" t="str">
        <f t="shared" si="187"/>
        <v>---------</v>
      </c>
      <c r="BV251" s="290">
        <v>0.60000000000003995</v>
      </c>
      <c r="BW251" s="59">
        <v>242</v>
      </c>
      <c r="BX251" s="168" t="str">
        <f t="shared" si="188"/>
        <v>---------</v>
      </c>
      <c r="BY251" s="182">
        <v>4.1000000000000002E-2</v>
      </c>
      <c r="BZ251" s="185">
        <v>242</v>
      </c>
      <c r="CA251" s="184">
        <f t="shared" si="189"/>
        <v>4.1000000000000002E-2</v>
      </c>
      <c r="CB251" s="106"/>
    </row>
    <row r="252" spans="71:80">
      <c r="BV252" s="290">
        <v>0.59000000000004005</v>
      </c>
      <c r="BW252" s="59">
        <v>243</v>
      </c>
      <c r="BX252" s="168" t="str">
        <f t="shared" si="188"/>
        <v>---------</v>
      </c>
      <c r="BY252" s="182">
        <v>4.0899999999999999E-2</v>
      </c>
      <c r="BZ252" s="185">
        <v>243</v>
      </c>
      <c r="CA252" s="184">
        <f t="shared" si="189"/>
        <v>4.0899999999999999E-2</v>
      </c>
      <c r="CB252" s="106"/>
    </row>
    <row r="253" spans="71:80">
      <c r="BV253" s="290">
        <v>0.58000000000004004</v>
      </c>
      <c r="BW253" s="59">
        <v>244</v>
      </c>
      <c r="BX253" s="168" t="str">
        <f t="shared" si="188"/>
        <v>---------</v>
      </c>
      <c r="BY253" s="182">
        <v>4.0800000000000003E-2</v>
      </c>
      <c r="BZ253" s="185">
        <v>244</v>
      </c>
      <c r="CA253" s="184">
        <f t="shared" si="189"/>
        <v>4.0800000000000003E-2</v>
      </c>
    </row>
    <row r="254" spans="71:80">
      <c r="BV254" s="290">
        <v>0.57000000000004003</v>
      </c>
      <c r="BW254" s="59">
        <v>245</v>
      </c>
      <c r="BX254" s="168" t="str">
        <f t="shared" si="188"/>
        <v>---------</v>
      </c>
      <c r="BY254" s="182">
        <v>4.07E-2</v>
      </c>
      <c r="BZ254" s="185">
        <v>245</v>
      </c>
      <c r="CA254" s="184">
        <f t="shared" si="189"/>
        <v>4.07E-2</v>
      </c>
    </row>
    <row r="255" spans="71:80">
      <c r="BV255" s="290">
        <v>0.56000000000004002</v>
      </c>
      <c r="BW255" s="59">
        <v>246</v>
      </c>
      <c r="BX255" s="168" t="str">
        <f t="shared" si="188"/>
        <v>---------</v>
      </c>
      <c r="BY255" s="182">
        <v>4.0599999999999997E-2</v>
      </c>
      <c r="BZ255" s="185">
        <v>246</v>
      </c>
      <c r="CA255" s="184">
        <f t="shared" si="189"/>
        <v>4.0599999999999997E-2</v>
      </c>
    </row>
    <row r="256" spans="71:80">
      <c r="BV256" s="290">
        <v>0.55000000000004001</v>
      </c>
      <c r="BW256" s="59">
        <v>247</v>
      </c>
      <c r="BX256" s="168" t="str">
        <f t="shared" si="188"/>
        <v>---------</v>
      </c>
      <c r="BY256" s="182">
        <v>4.0500000000000001E-2</v>
      </c>
      <c r="BZ256" s="185">
        <v>247</v>
      </c>
      <c r="CA256" s="184">
        <f t="shared" si="189"/>
        <v>4.0500000000000001E-2</v>
      </c>
    </row>
    <row r="257" spans="74:79">
      <c r="BV257" s="290">
        <v>0.54000000000004</v>
      </c>
      <c r="BW257" s="59">
        <v>248</v>
      </c>
      <c r="BX257" s="168" t="str">
        <f t="shared" si="188"/>
        <v>---------</v>
      </c>
      <c r="BY257" s="182">
        <v>4.0399999999999998E-2</v>
      </c>
      <c r="BZ257" s="185">
        <v>248</v>
      </c>
      <c r="CA257" s="184">
        <f t="shared" si="189"/>
        <v>4.0399999999999998E-2</v>
      </c>
    </row>
    <row r="258" spans="74:79">
      <c r="BV258" s="290">
        <v>0.53000000000003999</v>
      </c>
      <c r="BW258" s="59">
        <v>249</v>
      </c>
      <c r="BX258" s="168" t="str">
        <f t="shared" si="188"/>
        <v>---------</v>
      </c>
      <c r="BY258" s="182">
        <v>4.0300000000000002E-2</v>
      </c>
      <c r="BZ258" s="185">
        <v>249</v>
      </c>
      <c r="CA258" s="184">
        <f t="shared" si="189"/>
        <v>4.0300000000000002E-2</v>
      </c>
    </row>
    <row r="259" spans="74:79">
      <c r="BV259" s="290">
        <v>0.52000000000003999</v>
      </c>
      <c r="BW259" s="59">
        <v>250</v>
      </c>
      <c r="BX259" s="168" t="str">
        <f t="shared" si="188"/>
        <v>---------</v>
      </c>
      <c r="BY259" s="182">
        <v>4.02E-2</v>
      </c>
      <c r="BZ259" s="185">
        <v>250</v>
      </c>
      <c r="CA259" s="184">
        <f t="shared" si="189"/>
        <v>4.02E-2</v>
      </c>
    </row>
    <row r="260" spans="74:79">
      <c r="BV260" s="290">
        <v>0.51000000000003998</v>
      </c>
      <c r="BW260" s="59">
        <v>251</v>
      </c>
      <c r="BX260" s="168" t="str">
        <f t="shared" si="188"/>
        <v>---------</v>
      </c>
      <c r="BY260" s="182">
        <v>4.0099999999999997E-2</v>
      </c>
      <c r="BZ260" s="185">
        <v>251</v>
      </c>
      <c r="CA260" s="184">
        <f t="shared" si="189"/>
        <v>4.0099999999999997E-2</v>
      </c>
    </row>
    <row r="261" spans="74:79">
      <c r="BV261" s="290">
        <v>0.50000000000003997</v>
      </c>
      <c r="BW261" s="59">
        <v>252</v>
      </c>
      <c r="BX261" s="168" t="str">
        <f t="shared" si="188"/>
        <v>---------</v>
      </c>
      <c r="BY261" s="182">
        <v>0.04</v>
      </c>
      <c r="BZ261" s="185">
        <v>252</v>
      </c>
      <c r="CA261" s="184">
        <f t="shared" si="189"/>
        <v>0.04</v>
      </c>
    </row>
    <row r="262" spans="74:79">
      <c r="BV262" s="290">
        <v>0.49000000000004001</v>
      </c>
      <c r="BW262" s="59">
        <v>253</v>
      </c>
      <c r="BX262" s="168" t="str">
        <f t="shared" si="188"/>
        <v>---------</v>
      </c>
      <c r="BY262" s="182">
        <v>3.9899999999999998E-2</v>
      </c>
      <c r="BZ262" s="185">
        <v>253</v>
      </c>
      <c r="CA262" s="184">
        <f t="shared" si="189"/>
        <v>3.9899999999999998E-2</v>
      </c>
    </row>
    <row r="263" spans="74:79">
      <c r="BV263" s="290">
        <v>0.48000000000004001</v>
      </c>
      <c r="BW263" s="59">
        <v>254</v>
      </c>
      <c r="BX263" s="168" t="str">
        <f t="shared" si="188"/>
        <v>---------</v>
      </c>
      <c r="BY263" s="182">
        <v>3.9800000000000002E-2</v>
      </c>
      <c r="BZ263" s="185">
        <v>254</v>
      </c>
      <c r="CA263" s="184">
        <f t="shared" si="189"/>
        <v>3.9800000000000002E-2</v>
      </c>
    </row>
    <row r="264" spans="74:79">
      <c r="BV264" s="290">
        <v>0.47000000000004</v>
      </c>
      <c r="BW264" s="59">
        <v>255</v>
      </c>
      <c r="BX264" s="168" t="str">
        <f t="shared" si="188"/>
        <v>---------</v>
      </c>
      <c r="BY264" s="182">
        <v>3.9699999999999999E-2</v>
      </c>
      <c r="BZ264" s="185">
        <v>255</v>
      </c>
      <c r="CA264" s="184">
        <f t="shared" si="189"/>
        <v>3.9699999999999999E-2</v>
      </c>
    </row>
    <row r="265" spans="74:79">
      <c r="BV265" s="290">
        <v>0.46000000000003899</v>
      </c>
      <c r="BW265" s="59">
        <v>256</v>
      </c>
      <c r="BX265" s="168" t="str">
        <f t="shared" si="188"/>
        <v>---------</v>
      </c>
      <c r="BY265" s="182">
        <v>3.9600000000000003E-2</v>
      </c>
      <c r="BZ265" s="185">
        <v>256</v>
      </c>
      <c r="CA265" s="184">
        <f t="shared" si="189"/>
        <v>3.9600000000000003E-2</v>
      </c>
    </row>
    <row r="266" spans="74:79">
      <c r="BV266" s="290">
        <v>0.45000000000003898</v>
      </c>
      <c r="BW266" s="59">
        <v>257</v>
      </c>
      <c r="BX266" s="168" t="str">
        <f t="shared" si="188"/>
        <v>---------</v>
      </c>
      <c r="BY266" s="182">
        <v>3.95E-2</v>
      </c>
      <c r="BZ266" s="185">
        <v>257</v>
      </c>
      <c r="CA266" s="184">
        <f t="shared" si="189"/>
        <v>3.95E-2</v>
      </c>
    </row>
    <row r="267" spans="74:79">
      <c r="BV267" s="290">
        <v>0.44000000000003903</v>
      </c>
      <c r="BW267" s="59">
        <v>258</v>
      </c>
      <c r="BX267" s="168" t="str">
        <f t="shared" ref="BX267:BX310" si="190">IF(Cntrl1&lt;=2,"---------",TEXT(BV267,"0.00"))</f>
        <v>---------</v>
      </c>
      <c r="BY267" s="182">
        <v>3.9399999999999998E-2</v>
      </c>
      <c r="BZ267" s="185">
        <v>258</v>
      </c>
      <c r="CA267" s="184">
        <f t="shared" ref="CA267:CA330" si="191">BY267</f>
        <v>3.9399999999999998E-2</v>
      </c>
    </row>
    <row r="268" spans="74:79">
      <c r="BV268" s="290">
        <v>0.43000000000003902</v>
      </c>
      <c r="BW268" s="59">
        <v>259</v>
      </c>
      <c r="BX268" s="168" t="str">
        <f t="shared" si="190"/>
        <v>---------</v>
      </c>
      <c r="BY268" s="182">
        <v>3.9300000000000002E-2</v>
      </c>
      <c r="BZ268" s="185">
        <v>259</v>
      </c>
      <c r="CA268" s="184">
        <f t="shared" si="191"/>
        <v>3.9300000000000002E-2</v>
      </c>
    </row>
    <row r="269" spans="74:79">
      <c r="BV269" s="290">
        <v>0.42000000000003901</v>
      </c>
      <c r="BW269" s="59">
        <v>260</v>
      </c>
      <c r="BX269" s="168" t="str">
        <f t="shared" si="190"/>
        <v>---------</v>
      </c>
      <c r="BY269" s="182">
        <v>3.9199999999999999E-2</v>
      </c>
      <c r="BZ269" s="185">
        <v>260</v>
      </c>
      <c r="CA269" s="184">
        <f t="shared" si="191"/>
        <v>3.9199999999999999E-2</v>
      </c>
    </row>
    <row r="270" spans="74:79">
      <c r="BV270" s="290">
        <v>0.410000000000039</v>
      </c>
      <c r="BW270" s="59">
        <v>261</v>
      </c>
      <c r="BX270" s="168" t="str">
        <f t="shared" si="190"/>
        <v>---------</v>
      </c>
      <c r="BY270" s="182">
        <v>3.9100000000000003E-2</v>
      </c>
      <c r="BZ270" s="185">
        <v>261</v>
      </c>
      <c r="CA270" s="184">
        <f t="shared" si="191"/>
        <v>3.9100000000000003E-2</v>
      </c>
    </row>
    <row r="271" spans="74:79">
      <c r="BV271" s="290">
        <v>0.40000000000003899</v>
      </c>
      <c r="BW271" s="59">
        <v>262</v>
      </c>
      <c r="BX271" s="168" t="str">
        <f t="shared" si="190"/>
        <v>---------</v>
      </c>
      <c r="BY271" s="182">
        <v>3.9E-2</v>
      </c>
      <c r="BZ271" s="185">
        <v>262</v>
      </c>
      <c r="CA271" s="184">
        <f t="shared" si="191"/>
        <v>3.9E-2</v>
      </c>
    </row>
    <row r="272" spans="74:79">
      <c r="BV272" s="290">
        <v>0.39000000000003898</v>
      </c>
      <c r="BW272" s="59">
        <v>263</v>
      </c>
      <c r="BX272" s="168" t="str">
        <f t="shared" si="190"/>
        <v>---------</v>
      </c>
      <c r="BY272" s="182">
        <v>3.8899999999999997E-2</v>
      </c>
      <c r="BZ272" s="185">
        <v>263</v>
      </c>
      <c r="CA272" s="184">
        <f t="shared" si="191"/>
        <v>3.8899999999999997E-2</v>
      </c>
    </row>
    <row r="273" spans="74:79">
      <c r="BV273" s="290">
        <v>0.38000000000003897</v>
      </c>
      <c r="BW273" s="59">
        <v>264</v>
      </c>
      <c r="BX273" s="168" t="str">
        <f t="shared" si="190"/>
        <v>---------</v>
      </c>
      <c r="BY273" s="182">
        <v>3.8800000000000001E-2</v>
      </c>
      <c r="BZ273" s="185">
        <v>264</v>
      </c>
      <c r="CA273" s="184">
        <f t="shared" si="191"/>
        <v>3.8800000000000001E-2</v>
      </c>
    </row>
    <row r="274" spans="74:79">
      <c r="BV274" s="290">
        <v>0.37000000000003902</v>
      </c>
      <c r="BW274" s="59">
        <v>265</v>
      </c>
      <c r="BX274" s="168" t="str">
        <f t="shared" si="190"/>
        <v>---------</v>
      </c>
      <c r="BY274" s="182">
        <v>3.8699999999999998E-2</v>
      </c>
      <c r="BZ274" s="185">
        <v>265</v>
      </c>
      <c r="CA274" s="184">
        <f t="shared" si="191"/>
        <v>3.8699999999999998E-2</v>
      </c>
    </row>
    <row r="275" spans="74:79">
      <c r="BV275" s="290">
        <v>0.36000000000003901</v>
      </c>
      <c r="BW275" s="59">
        <v>266</v>
      </c>
      <c r="BX275" s="168" t="str">
        <f t="shared" si="190"/>
        <v>---------</v>
      </c>
      <c r="BY275" s="182">
        <v>3.8600000000000002E-2</v>
      </c>
      <c r="BZ275" s="185">
        <v>266</v>
      </c>
      <c r="CA275" s="184">
        <f t="shared" si="191"/>
        <v>3.8600000000000002E-2</v>
      </c>
    </row>
    <row r="276" spans="74:79">
      <c r="BV276" s="290">
        <v>0.350000000000039</v>
      </c>
      <c r="BW276" s="59">
        <v>267</v>
      </c>
      <c r="BX276" s="168" t="str">
        <f t="shared" si="190"/>
        <v>---------</v>
      </c>
      <c r="BY276" s="182">
        <v>3.85E-2</v>
      </c>
      <c r="BZ276" s="185">
        <v>267</v>
      </c>
      <c r="CA276" s="184">
        <f t="shared" si="191"/>
        <v>3.85E-2</v>
      </c>
    </row>
    <row r="277" spans="74:79">
      <c r="BV277" s="290">
        <v>0.34000000000003899</v>
      </c>
      <c r="BW277" s="59">
        <v>268</v>
      </c>
      <c r="BX277" s="168" t="str">
        <f t="shared" si="190"/>
        <v>---------</v>
      </c>
      <c r="BY277" s="182">
        <v>3.8399999999999997E-2</v>
      </c>
      <c r="BZ277" s="185">
        <v>268</v>
      </c>
      <c r="CA277" s="184">
        <f t="shared" si="191"/>
        <v>3.8399999999999997E-2</v>
      </c>
    </row>
    <row r="278" spans="74:79">
      <c r="BV278" s="290">
        <v>0.33000000000003898</v>
      </c>
      <c r="BW278" s="59">
        <v>269</v>
      </c>
      <c r="BX278" s="168" t="str">
        <f t="shared" si="190"/>
        <v>---------</v>
      </c>
      <c r="BY278" s="182">
        <v>3.8300000000000001E-2</v>
      </c>
      <c r="BZ278" s="185">
        <v>269</v>
      </c>
      <c r="CA278" s="184">
        <f t="shared" si="191"/>
        <v>3.8300000000000001E-2</v>
      </c>
    </row>
    <row r="279" spans="74:79">
      <c r="BV279" s="290">
        <v>0.32000000000003898</v>
      </c>
      <c r="BW279" s="59">
        <v>270</v>
      </c>
      <c r="BX279" s="168" t="str">
        <f t="shared" si="190"/>
        <v>---------</v>
      </c>
      <c r="BY279" s="182">
        <v>3.8199999999999998E-2</v>
      </c>
      <c r="BZ279" s="185">
        <v>270</v>
      </c>
      <c r="CA279" s="184">
        <f t="shared" si="191"/>
        <v>3.8199999999999998E-2</v>
      </c>
    </row>
    <row r="280" spans="74:79">
      <c r="BV280" s="290">
        <v>0.31000000000003902</v>
      </c>
      <c r="BW280" s="59">
        <v>271</v>
      </c>
      <c r="BX280" s="168" t="str">
        <f t="shared" si="190"/>
        <v>---------</v>
      </c>
      <c r="BY280" s="182">
        <v>3.8100000000000002E-2</v>
      </c>
      <c r="BZ280" s="185">
        <v>271</v>
      </c>
      <c r="CA280" s="184">
        <f t="shared" si="191"/>
        <v>3.8100000000000002E-2</v>
      </c>
    </row>
    <row r="281" spans="74:79">
      <c r="BV281" s="290">
        <v>0.30000000000003901</v>
      </c>
      <c r="BW281" s="59">
        <v>272</v>
      </c>
      <c r="BX281" s="168" t="str">
        <f t="shared" si="190"/>
        <v>---------</v>
      </c>
      <c r="BY281" s="182">
        <v>3.7999999999999999E-2</v>
      </c>
      <c r="BZ281" s="185">
        <v>272</v>
      </c>
      <c r="CA281" s="184">
        <f t="shared" si="191"/>
        <v>3.7999999999999999E-2</v>
      </c>
    </row>
    <row r="282" spans="74:79">
      <c r="BV282" s="290">
        <v>0.290000000000039</v>
      </c>
      <c r="BW282" s="59">
        <v>273</v>
      </c>
      <c r="BX282" s="168" t="str">
        <f t="shared" si="190"/>
        <v>---------</v>
      </c>
      <c r="BY282" s="182">
        <v>3.7900000000000003E-2</v>
      </c>
      <c r="BZ282" s="185">
        <v>273</v>
      </c>
      <c r="CA282" s="184">
        <f t="shared" si="191"/>
        <v>3.7900000000000003E-2</v>
      </c>
    </row>
    <row r="283" spans="74:79">
      <c r="BV283" s="290">
        <v>0.280000000000039</v>
      </c>
      <c r="BW283" s="59">
        <v>274</v>
      </c>
      <c r="BX283" s="168" t="str">
        <f t="shared" si="190"/>
        <v>---------</v>
      </c>
      <c r="BY283" s="182">
        <v>3.78E-2</v>
      </c>
      <c r="BZ283" s="185">
        <v>274</v>
      </c>
      <c r="CA283" s="184">
        <f t="shared" si="191"/>
        <v>3.78E-2</v>
      </c>
    </row>
    <row r="284" spans="74:79">
      <c r="BV284" s="290">
        <v>0.27000000000003899</v>
      </c>
      <c r="BW284" s="59">
        <v>275</v>
      </c>
      <c r="BX284" s="168" t="str">
        <f t="shared" si="190"/>
        <v>---------</v>
      </c>
      <c r="BY284" s="182">
        <v>3.7699999999999997E-2</v>
      </c>
      <c r="BZ284" s="185">
        <v>275</v>
      </c>
      <c r="CA284" s="184">
        <f t="shared" si="191"/>
        <v>3.7699999999999997E-2</v>
      </c>
    </row>
    <row r="285" spans="74:79">
      <c r="BV285" s="290">
        <v>0.26000000000003898</v>
      </c>
      <c r="BW285" s="59">
        <v>276</v>
      </c>
      <c r="BX285" s="168" t="str">
        <f t="shared" si="190"/>
        <v>---------</v>
      </c>
      <c r="BY285" s="182">
        <v>3.7600000000000001E-2</v>
      </c>
      <c r="BZ285" s="185">
        <v>276</v>
      </c>
      <c r="CA285" s="184">
        <f t="shared" si="191"/>
        <v>3.7600000000000001E-2</v>
      </c>
    </row>
    <row r="286" spans="74:79">
      <c r="BV286" s="290">
        <v>0.25000000000003902</v>
      </c>
      <c r="BW286" s="59">
        <v>277</v>
      </c>
      <c r="BX286" s="168" t="str">
        <f t="shared" si="190"/>
        <v>---------</v>
      </c>
      <c r="BY286" s="182">
        <v>3.7499999999999999E-2</v>
      </c>
      <c r="BZ286" s="185">
        <v>277</v>
      </c>
      <c r="CA286" s="184">
        <f t="shared" si="191"/>
        <v>3.7499999999999999E-2</v>
      </c>
    </row>
    <row r="287" spans="74:79">
      <c r="BV287" s="290">
        <v>0.24000000000003899</v>
      </c>
      <c r="BW287" s="59">
        <v>278</v>
      </c>
      <c r="BX287" s="168" t="str">
        <f t="shared" si="190"/>
        <v>---------</v>
      </c>
      <c r="BY287" s="182">
        <v>3.7400000000000003E-2</v>
      </c>
      <c r="BZ287" s="185">
        <v>278</v>
      </c>
      <c r="CA287" s="184">
        <f t="shared" si="191"/>
        <v>3.7400000000000003E-2</v>
      </c>
    </row>
    <row r="288" spans="74:79">
      <c r="BV288" s="290">
        <v>0.23000000000003901</v>
      </c>
      <c r="BW288" s="59">
        <v>279</v>
      </c>
      <c r="BX288" s="168" t="str">
        <f t="shared" si="190"/>
        <v>---------</v>
      </c>
      <c r="BY288" s="182">
        <v>3.73E-2</v>
      </c>
      <c r="BZ288" s="185">
        <v>279</v>
      </c>
      <c r="CA288" s="184">
        <f t="shared" si="191"/>
        <v>3.73E-2</v>
      </c>
    </row>
    <row r="289" spans="74:79">
      <c r="BV289" s="290">
        <v>0.220000000000039</v>
      </c>
      <c r="BW289" s="59">
        <v>280</v>
      </c>
      <c r="BX289" s="168" t="str">
        <f t="shared" si="190"/>
        <v>---------</v>
      </c>
      <c r="BY289" s="182">
        <v>3.7199999999999997E-2</v>
      </c>
      <c r="BZ289" s="185">
        <v>280</v>
      </c>
      <c r="CA289" s="184">
        <f t="shared" si="191"/>
        <v>3.7199999999999997E-2</v>
      </c>
    </row>
    <row r="290" spans="74:79">
      <c r="BV290" s="290">
        <v>0.21000000000003899</v>
      </c>
      <c r="BW290" s="59">
        <v>281</v>
      </c>
      <c r="BX290" s="168" t="str">
        <f t="shared" si="190"/>
        <v>---------</v>
      </c>
      <c r="BY290" s="182">
        <v>3.7100000000000001E-2</v>
      </c>
      <c r="BZ290" s="185">
        <v>281</v>
      </c>
      <c r="CA290" s="184">
        <f t="shared" si="191"/>
        <v>3.7100000000000001E-2</v>
      </c>
    </row>
    <row r="291" spans="74:79">
      <c r="BV291" s="290">
        <v>0.20000000000003901</v>
      </c>
      <c r="BW291" s="59">
        <v>282</v>
      </c>
      <c r="BX291" s="168" t="str">
        <f t="shared" si="190"/>
        <v>---------</v>
      </c>
      <c r="BY291" s="182">
        <v>3.6999999999999998E-2</v>
      </c>
      <c r="BZ291" s="185">
        <v>282</v>
      </c>
      <c r="CA291" s="184">
        <f t="shared" si="191"/>
        <v>3.6999999999999998E-2</v>
      </c>
    </row>
    <row r="292" spans="74:79">
      <c r="BV292" s="290">
        <v>0.190000000000039</v>
      </c>
      <c r="BW292" s="59">
        <v>283</v>
      </c>
      <c r="BX292" s="168" t="str">
        <f t="shared" si="190"/>
        <v>---------</v>
      </c>
      <c r="BY292" s="182">
        <v>3.6900000000000002E-2</v>
      </c>
      <c r="BZ292" s="185">
        <v>283</v>
      </c>
      <c r="CA292" s="184">
        <f t="shared" si="191"/>
        <v>3.6900000000000002E-2</v>
      </c>
    </row>
    <row r="293" spans="74:79">
      <c r="BV293" s="290">
        <v>0.18000000000003899</v>
      </c>
      <c r="BW293" s="59">
        <v>284</v>
      </c>
      <c r="BX293" s="168" t="str">
        <f t="shared" si="190"/>
        <v>---------</v>
      </c>
      <c r="BY293" s="182">
        <v>3.6799999999999999E-2</v>
      </c>
      <c r="BZ293" s="185">
        <v>284</v>
      </c>
      <c r="CA293" s="184">
        <f t="shared" si="191"/>
        <v>3.6799999999999999E-2</v>
      </c>
    </row>
    <row r="294" spans="74:79">
      <c r="BV294" s="290">
        <v>0.17000000000003901</v>
      </c>
      <c r="BW294" s="59">
        <v>285</v>
      </c>
      <c r="BX294" s="168" t="str">
        <f t="shared" si="190"/>
        <v>---------</v>
      </c>
      <c r="BY294" s="182">
        <v>3.6700000000000003E-2</v>
      </c>
      <c r="BZ294" s="185">
        <v>285</v>
      </c>
      <c r="CA294" s="184">
        <f t="shared" si="191"/>
        <v>3.6700000000000003E-2</v>
      </c>
    </row>
    <row r="295" spans="74:79">
      <c r="BV295" s="290">
        <v>0.160000000000039</v>
      </c>
      <c r="BW295" s="59">
        <v>286</v>
      </c>
      <c r="BX295" s="168" t="str">
        <f t="shared" si="190"/>
        <v>---------</v>
      </c>
      <c r="BY295" s="182">
        <v>3.6600000000000001E-2</v>
      </c>
      <c r="BZ295" s="185">
        <v>286</v>
      </c>
      <c r="CA295" s="184">
        <f t="shared" si="191"/>
        <v>3.6600000000000001E-2</v>
      </c>
    </row>
    <row r="296" spans="74:79">
      <c r="BV296" s="290">
        <v>0.15000000000003899</v>
      </c>
      <c r="BW296" s="59">
        <v>287</v>
      </c>
      <c r="BX296" s="168" t="str">
        <f t="shared" si="190"/>
        <v>---------</v>
      </c>
      <c r="BY296" s="182">
        <v>3.6499999999999998E-2</v>
      </c>
      <c r="BZ296" s="185">
        <v>287</v>
      </c>
      <c r="CA296" s="184">
        <f t="shared" si="191"/>
        <v>3.6499999999999998E-2</v>
      </c>
    </row>
    <row r="297" spans="74:79">
      <c r="BV297" s="290">
        <v>0.14000000000003901</v>
      </c>
      <c r="BW297" s="59">
        <v>288</v>
      </c>
      <c r="BX297" s="168" t="str">
        <f t="shared" si="190"/>
        <v>---------</v>
      </c>
      <c r="BY297" s="182">
        <v>3.6400000000000002E-2</v>
      </c>
      <c r="BZ297" s="185">
        <v>288</v>
      </c>
      <c r="CA297" s="184">
        <f t="shared" si="191"/>
        <v>3.6400000000000002E-2</v>
      </c>
    </row>
    <row r="298" spans="74:79">
      <c r="BV298" s="290">
        <v>0.130000000000039</v>
      </c>
      <c r="BW298" s="59">
        <v>289</v>
      </c>
      <c r="BX298" s="168" t="str">
        <f t="shared" si="190"/>
        <v>---------</v>
      </c>
      <c r="BY298" s="182">
        <v>3.6299999999999999E-2</v>
      </c>
      <c r="BZ298" s="185">
        <v>289</v>
      </c>
      <c r="CA298" s="184">
        <f t="shared" si="191"/>
        <v>3.6299999999999999E-2</v>
      </c>
    </row>
    <row r="299" spans="74:79">
      <c r="BV299" s="290">
        <v>0.12000000000003901</v>
      </c>
      <c r="BW299" s="59">
        <v>290</v>
      </c>
      <c r="BX299" s="168" t="str">
        <f t="shared" si="190"/>
        <v>---------</v>
      </c>
      <c r="BY299" s="182">
        <v>3.6200000000000003E-2</v>
      </c>
      <c r="BZ299" s="185">
        <v>290</v>
      </c>
      <c r="CA299" s="184">
        <f t="shared" si="191"/>
        <v>3.6200000000000003E-2</v>
      </c>
    </row>
    <row r="300" spans="74:79">
      <c r="BV300" s="290">
        <v>0.110000000000039</v>
      </c>
      <c r="BW300" s="59">
        <v>291</v>
      </c>
      <c r="BX300" s="168" t="str">
        <f t="shared" si="190"/>
        <v>---------</v>
      </c>
      <c r="BY300" s="182">
        <v>3.61E-2</v>
      </c>
      <c r="BZ300" s="185">
        <v>291</v>
      </c>
      <c r="CA300" s="184">
        <f t="shared" si="191"/>
        <v>3.61E-2</v>
      </c>
    </row>
    <row r="301" spans="74:79">
      <c r="BV301" s="290">
        <v>0.100000000000039</v>
      </c>
      <c r="BW301" s="59">
        <v>292</v>
      </c>
      <c r="BX301" s="168" t="str">
        <f t="shared" si="190"/>
        <v>---------</v>
      </c>
      <c r="BY301" s="182">
        <v>3.5999999999999997E-2</v>
      </c>
      <c r="BZ301" s="185">
        <v>292</v>
      </c>
      <c r="CA301" s="184">
        <f t="shared" si="191"/>
        <v>3.5999999999999997E-2</v>
      </c>
    </row>
    <row r="302" spans="74:79">
      <c r="BV302" s="290">
        <v>9.0000000000038993E-2</v>
      </c>
      <c r="BW302" s="59">
        <v>293</v>
      </c>
      <c r="BX302" s="168" t="str">
        <f t="shared" si="190"/>
        <v>---------</v>
      </c>
      <c r="BY302" s="182">
        <v>3.5900000000000001E-2</v>
      </c>
      <c r="BZ302" s="185">
        <v>293</v>
      </c>
      <c r="CA302" s="184">
        <f t="shared" si="191"/>
        <v>3.5900000000000001E-2</v>
      </c>
    </row>
    <row r="303" spans="74:79">
      <c r="BV303" s="290">
        <v>8.0000000000038998E-2</v>
      </c>
      <c r="BW303" s="59">
        <v>294</v>
      </c>
      <c r="BX303" s="168" t="str">
        <f t="shared" si="190"/>
        <v>---------</v>
      </c>
      <c r="BY303" s="182">
        <v>3.5799999999999998E-2</v>
      </c>
      <c r="BZ303" s="185">
        <v>294</v>
      </c>
      <c r="CA303" s="184">
        <f t="shared" si="191"/>
        <v>3.5799999999999998E-2</v>
      </c>
    </row>
    <row r="304" spans="74:79">
      <c r="BV304" s="290">
        <v>7.0000000000039003E-2</v>
      </c>
      <c r="BW304" s="59">
        <v>295</v>
      </c>
      <c r="BX304" s="168" t="str">
        <f t="shared" si="190"/>
        <v>---------</v>
      </c>
      <c r="BY304" s="182">
        <v>3.5700000000000003E-2</v>
      </c>
      <c r="BZ304" s="185">
        <v>295</v>
      </c>
      <c r="CA304" s="184">
        <f t="shared" si="191"/>
        <v>3.5700000000000003E-2</v>
      </c>
    </row>
    <row r="305" spans="74:79">
      <c r="BV305" s="290">
        <v>6.0000000000039001E-2</v>
      </c>
      <c r="BW305" s="59">
        <v>296</v>
      </c>
      <c r="BX305" s="168" t="str">
        <f t="shared" si="190"/>
        <v>---------</v>
      </c>
      <c r="BY305" s="182">
        <v>3.56E-2</v>
      </c>
      <c r="BZ305" s="185">
        <v>296</v>
      </c>
      <c r="CA305" s="184">
        <f t="shared" si="191"/>
        <v>3.56E-2</v>
      </c>
    </row>
    <row r="306" spans="74:79">
      <c r="BV306" s="290">
        <v>5.0000000000038999E-2</v>
      </c>
      <c r="BW306" s="59">
        <v>297</v>
      </c>
      <c r="BX306" s="168" t="str">
        <f t="shared" si="190"/>
        <v>---------</v>
      </c>
      <c r="BY306" s="182">
        <v>3.5499999999999997E-2</v>
      </c>
      <c r="BZ306" s="185">
        <v>297</v>
      </c>
      <c r="CA306" s="184">
        <f t="shared" si="191"/>
        <v>3.5499999999999997E-2</v>
      </c>
    </row>
    <row r="307" spans="74:79">
      <c r="BV307" s="290">
        <v>4.0000000000038997E-2</v>
      </c>
      <c r="BW307" s="59">
        <v>298</v>
      </c>
      <c r="BX307" s="168" t="str">
        <f t="shared" si="190"/>
        <v>---------</v>
      </c>
      <c r="BY307" s="182">
        <v>3.5400000000000001E-2</v>
      </c>
      <c r="BZ307" s="185">
        <v>298</v>
      </c>
      <c r="CA307" s="184">
        <f t="shared" si="191"/>
        <v>3.5400000000000001E-2</v>
      </c>
    </row>
    <row r="308" spans="74:79">
      <c r="BV308" s="290">
        <v>3.0000000000040002E-2</v>
      </c>
      <c r="BW308" s="59">
        <v>299</v>
      </c>
      <c r="BX308" s="168" t="str">
        <f t="shared" si="190"/>
        <v>---------</v>
      </c>
      <c r="BY308" s="182">
        <v>3.5299999999999998E-2</v>
      </c>
      <c r="BZ308" s="185">
        <v>299</v>
      </c>
      <c r="CA308" s="184">
        <f t="shared" si="191"/>
        <v>3.5299999999999998E-2</v>
      </c>
    </row>
    <row r="309" spans="74:79">
      <c r="BV309" s="290">
        <v>2.000000000004E-2</v>
      </c>
      <c r="BW309" s="59">
        <v>300</v>
      </c>
      <c r="BX309" s="168" t="str">
        <f t="shared" si="190"/>
        <v>---------</v>
      </c>
      <c r="BY309" s="182">
        <v>3.5200000000000002E-2</v>
      </c>
      <c r="BZ309" s="185">
        <v>300</v>
      </c>
      <c r="CA309" s="184">
        <f t="shared" si="191"/>
        <v>3.5200000000000002E-2</v>
      </c>
    </row>
    <row r="310" spans="74:79">
      <c r="BV310" s="290">
        <v>1.0000000000039999E-2</v>
      </c>
      <c r="BW310" s="59">
        <v>301</v>
      </c>
      <c r="BX310" s="168" t="str">
        <f t="shared" si="190"/>
        <v>---------</v>
      </c>
      <c r="BY310" s="182">
        <v>3.5099999999999999E-2</v>
      </c>
      <c r="BZ310" s="185">
        <v>301</v>
      </c>
      <c r="CA310" s="184">
        <f t="shared" si="191"/>
        <v>3.5099999999999999E-2</v>
      </c>
    </row>
    <row r="311" spans="74:79">
      <c r="BW311" s="59"/>
      <c r="BX311" s="168"/>
      <c r="BY311" s="182">
        <v>3.5000000000000003E-2</v>
      </c>
      <c r="BZ311" s="185">
        <v>302</v>
      </c>
      <c r="CA311" s="184">
        <f t="shared" si="191"/>
        <v>3.5000000000000003E-2</v>
      </c>
    </row>
    <row r="312" spans="74:79">
      <c r="BW312" s="59"/>
      <c r="BX312" s="168"/>
      <c r="BY312" s="182">
        <v>3.49E-2</v>
      </c>
      <c r="BZ312" s="185">
        <v>303</v>
      </c>
      <c r="CA312" s="184">
        <f t="shared" si="191"/>
        <v>3.49E-2</v>
      </c>
    </row>
    <row r="313" spans="74:79">
      <c r="BW313" s="59"/>
      <c r="BX313" s="168"/>
      <c r="BY313" s="182">
        <v>3.4799999999999998E-2</v>
      </c>
      <c r="BZ313" s="185">
        <v>304</v>
      </c>
      <c r="CA313" s="184">
        <f t="shared" si="191"/>
        <v>3.4799999999999998E-2</v>
      </c>
    </row>
    <row r="314" spans="74:79">
      <c r="BW314" s="59"/>
      <c r="BX314" s="168"/>
      <c r="BY314" s="182">
        <v>3.4700000000000002E-2</v>
      </c>
      <c r="BZ314" s="185">
        <v>305</v>
      </c>
      <c r="CA314" s="184">
        <f t="shared" si="191"/>
        <v>3.4700000000000002E-2</v>
      </c>
    </row>
    <row r="315" spans="74:79">
      <c r="BW315" s="59"/>
      <c r="BX315" s="168"/>
      <c r="BY315" s="182">
        <v>3.4599999999999999E-2</v>
      </c>
      <c r="BZ315" s="185">
        <v>306</v>
      </c>
      <c r="CA315" s="184">
        <f t="shared" si="191"/>
        <v>3.4599999999999999E-2</v>
      </c>
    </row>
    <row r="316" spans="74:79">
      <c r="BW316" s="59"/>
      <c r="BX316" s="168"/>
      <c r="BY316" s="182">
        <v>3.4500000000000003E-2</v>
      </c>
      <c r="BZ316" s="185">
        <v>307</v>
      </c>
      <c r="CA316" s="184">
        <f t="shared" si="191"/>
        <v>3.4500000000000003E-2</v>
      </c>
    </row>
    <row r="317" spans="74:79">
      <c r="BW317" s="59"/>
      <c r="BX317" s="168"/>
      <c r="BY317" s="182">
        <v>3.44E-2</v>
      </c>
      <c r="BZ317" s="185">
        <v>308</v>
      </c>
      <c r="CA317" s="184">
        <f t="shared" si="191"/>
        <v>3.44E-2</v>
      </c>
    </row>
    <row r="318" spans="74:79">
      <c r="BW318" s="59"/>
      <c r="BX318" s="168"/>
      <c r="BY318" s="182">
        <v>3.4299999999999997E-2</v>
      </c>
      <c r="BZ318" s="185">
        <v>309</v>
      </c>
      <c r="CA318" s="184">
        <f t="shared" si="191"/>
        <v>3.4299999999999997E-2</v>
      </c>
    </row>
    <row r="319" spans="74:79">
      <c r="BW319" s="59"/>
      <c r="BX319" s="168"/>
      <c r="BY319" s="182">
        <v>3.4200000000000001E-2</v>
      </c>
      <c r="BZ319" s="185">
        <v>310</v>
      </c>
      <c r="CA319" s="184">
        <f t="shared" si="191"/>
        <v>3.4200000000000001E-2</v>
      </c>
    </row>
    <row r="320" spans="74:79">
      <c r="BW320" s="59"/>
      <c r="BX320" s="168"/>
      <c r="BY320" s="182">
        <v>3.4099999999999998E-2</v>
      </c>
      <c r="BZ320" s="185">
        <v>311</v>
      </c>
      <c r="CA320" s="184">
        <f t="shared" si="191"/>
        <v>3.4099999999999998E-2</v>
      </c>
    </row>
    <row r="321" spans="75:79">
      <c r="BW321" s="59"/>
      <c r="BX321" s="168"/>
      <c r="BY321" s="182">
        <v>3.4000000000000002E-2</v>
      </c>
      <c r="BZ321" s="185">
        <v>312</v>
      </c>
      <c r="CA321" s="184">
        <f t="shared" si="191"/>
        <v>3.4000000000000002E-2</v>
      </c>
    </row>
    <row r="322" spans="75:79">
      <c r="BW322" s="59"/>
      <c r="BX322" s="168"/>
      <c r="BY322" s="182">
        <v>3.39E-2</v>
      </c>
      <c r="BZ322" s="185">
        <v>313</v>
      </c>
      <c r="CA322" s="184">
        <f t="shared" si="191"/>
        <v>3.39E-2</v>
      </c>
    </row>
    <row r="323" spans="75:79">
      <c r="BW323" s="59"/>
      <c r="BX323" s="168"/>
      <c r="BY323" s="182">
        <v>3.3799999999999997E-2</v>
      </c>
      <c r="BZ323" s="185">
        <v>314</v>
      </c>
      <c r="CA323" s="184">
        <f t="shared" si="191"/>
        <v>3.3799999999999997E-2</v>
      </c>
    </row>
    <row r="324" spans="75:79">
      <c r="BW324" s="59"/>
      <c r="BX324" s="168"/>
      <c r="BY324" s="182">
        <v>3.3700000000000001E-2</v>
      </c>
      <c r="BZ324" s="185">
        <v>315</v>
      </c>
      <c r="CA324" s="184">
        <f t="shared" si="191"/>
        <v>3.3700000000000001E-2</v>
      </c>
    </row>
    <row r="325" spans="75:79">
      <c r="BW325" s="59"/>
      <c r="BX325" s="168"/>
      <c r="BY325" s="182">
        <v>3.3599999999999998E-2</v>
      </c>
      <c r="BZ325" s="185">
        <v>316</v>
      </c>
      <c r="CA325" s="184">
        <f t="shared" si="191"/>
        <v>3.3599999999999998E-2</v>
      </c>
    </row>
    <row r="326" spans="75:79">
      <c r="BW326" s="59"/>
      <c r="BX326" s="168"/>
      <c r="BY326" s="182">
        <v>3.3500000000000002E-2</v>
      </c>
      <c r="BZ326" s="185">
        <v>317</v>
      </c>
      <c r="CA326" s="184">
        <f t="shared" si="191"/>
        <v>3.3500000000000002E-2</v>
      </c>
    </row>
    <row r="327" spans="75:79">
      <c r="BW327" s="59"/>
      <c r="BX327" s="168"/>
      <c r="BY327" s="182">
        <v>3.3399999999999999E-2</v>
      </c>
      <c r="BZ327" s="185">
        <v>318</v>
      </c>
      <c r="CA327" s="184">
        <f t="shared" si="191"/>
        <v>3.3399999999999999E-2</v>
      </c>
    </row>
    <row r="328" spans="75:79">
      <c r="BW328" s="59"/>
      <c r="BX328" s="168"/>
      <c r="BY328" s="182">
        <v>3.3300000000000003E-2</v>
      </c>
      <c r="BZ328" s="185">
        <v>319</v>
      </c>
      <c r="CA328" s="184">
        <f t="shared" si="191"/>
        <v>3.3300000000000003E-2</v>
      </c>
    </row>
    <row r="329" spans="75:79">
      <c r="BW329" s="59"/>
      <c r="BX329" s="168"/>
      <c r="BY329" s="182">
        <v>3.32E-2</v>
      </c>
      <c r="BZ329" s="185">
        <v>320</v>
      </c>
      <c r="CA329" s="184">
        <f t="shared" si="191"/>
        <v>3.32E-2</v>
      </c>
    </row>
    <row r="330" spans="75:79">
      <c r="BW330" s="59"/>
      <c r="BX330" s="168"/>
      <c r="BY330" s="182">
        <v>3.3099999999999997E-2</v>
      </c>
      <c r="BZ330" s="185">
        <v>321</v>
      </c>
      <c r="CA330" s="184">
        <f t="shared" si="191"/>
        <v>3.3099999999999997E-2</v>
      </c>
    </row>
    <row r="331" spans="75:79">
      <c r="BW331" s="59"/>
      <c r="BX331" s="168"/>
      <c r="BY331" s="182">
        <v>3.3000000000000002E-2</v>
      </c>
      <c r="BZ331" s="185">
        <v>322</v>
      </c>
      <c r="CA331" s="184">
        <f t="shared" ref="CA331:CA394" si="192">BY331</f>
        <v>3.3000000000000002E-2</v>
      </c>
    </row>
    <row r="332" spans="75:79">
      <c r="BW332" s="59"/>
      <c r="BX332" s="168"/>
      <c r="BY332" s="182">
        <v>3.2899999999999999E-2</v>
      </c>
      <c r="BZ332" s="185">
        <v>323</v>
      </c>
      <c r="CA332" s="184">
        <f t="shared" si="192"/>
        <v>3.2899999999999999E-2</v>
      </c>
    </row>
    <row r="333" spans="75:79">
      <c r="BW333" s="59"/>
      <c r="BX333" s="168"/>
      <c r="BY333" s="182">
        <v>3.2800000000000003E-2</v>
      </c>
      <c r="BZ333" s="185">
        <v>324</v>
      </c>
      <c r="CA333" s="184">
        <f t="shared" si="192"/>
        <v>3.2800000000000003E-2</v>
      </c>
    </row>
    <row r="334" spans="75:79">
      <c r="BW334" s="59"/>
      <c r="BX334" s="168"/>
      <c r="BY334" s="182">
        <v>3.27E-2</v>
      </c>
      <c r="BZ334" s="185">
        <v>325</v>
      </c>
      <c r="CA334" s="184">
        <f t="shared" si="192"/>
        <v>3.27E-2</v>
      </c>
    </row>
    <row r="335" spans="75:79">
      <c r="BW335" s="59"/>
      <c r="BX335" s="168"/>
      <c r="BY335" s="182">
        <v>3.2599999999999997E-2</v>
      </c>
      <c r="BZ335" s="185">
        <v>326</v>
      </c>
      <c r="CA335" s="184">
        <f t="shared" si="192"/>
        <v>3.2599999999999997E-2</v>
      </c>
    </row>
    <row r="336" spans="75:79">
      <c r="BW336" s="59"/>
      <c r="BX336" s="168"/>
      <c r="BY336" s="182">
        <v>3.2500000000000001E-2</v>
      </c>
      <c r="BZ336" s="185">
        <v>327</v>
      </c>
      <c r="CA336" s="184">
        <f t="shared" si="192"/>
        <v>3.2500000000000001E-2</v>
      </c>
    </row>
    <row r="337" spans="75:79">
      <c r="BW337" s="59"/>
      <c r="BX337" s="168"/>
      <c r="BY337" s="182">
        <v>3.2399999999999998E-2</v>
      </c>
      <c r="BZ337" s="185">
        <v>328</v>
      </c>
      <c r="CA337" s="184">
        <f t="shared" si="192"/>
        <v>3.2399999999999998E-2</v>
      </c>
    </row>
    <row r="338" spans="75:79">
      <c r="BW338" s="59"/>
      <c r="BX338" s="168"/>
      <c r="BY338" s="182">
        <v>3.2300000000000002E-2</v>
      </c>
      <c r="BZ338" s="185">
        <v>329</v>
      </c>
      <c r="CA338" s="184">
        <f t="shared" si="192"/>
        <v>3.2300000000000002E-2</v>
      </c>
    </row>
    <row r="339" spans="75:79">
      <c r="BW339" s="59"/>
      <c r="BX339" s="168"/>
      <c r="BY339" s="182">
        <v>3.2199999999999999E-2</v>
      </c>
      <c r="BZ339" s="185">
        <v>330</v>
      </c>
      <c r="CA339" s="184">
        <f t="shared" si="192"/>
        <v>3.2199999999999999E-2</v>
      </c>
    </row>
    <row r="340" spans="75:79">
      <c r="BW340" s="59"/>
      <c r="BX340" s="168"/>
      <c r="BY340" s="182">
        <v>3.2099999999999997E-2</v>
      </c>
      <c r="BZ340" s="185">
        <v>331</v>
      </c>
      <c r="CA340" s="184">
        <f t="shared" si="192"/>
        <v>3.2099999999999997E-2</v>
      </c>
    </row>
    <row r="341" spans="75:79">
      <c r="BW341" s="59"/>
      <c r="BX341" s="168"/>
      <c r="BY341" s="182">
        <v>3.2000000000000001E-2</v>
      </c>
      <c r="BZ341" s="185">
        <v>332</v>
      </c>
      <c r="CA341" s="184">
        <f t="shared" si="192"/>
        <v>3.2000000000000001E-2</v>
      </c>
    </row>
    <row r="342" spans="75:79">
      <c r="BW342" s="59"/>
      <c r="BX342" s="168"/>
      <c r="BY342" s="182">
        <v>3.1899999999999998E-2</v>
      </c>
      <c r="BZ342" s="185">
        <v>333</v>
      </c>
      <c r="CA342" s="184">
        <f t="shared" si="192"/>
        <v>3.1899999999999998E-2</v>
      </c>
    </row>
    <row r="343" spans="75:79">
      <c r="BW343" s="59"/>
      <c r="BX343" s="168"/>
      <c r="BY343" s="182">
        <v>3.1800000000000002E-2</v>
      </c>
      <c r="BZ343" s="185">
        <v>334</v>
      </c>
      <c r="CA343" s="184">
        <f t="shared" si="192"/>
        <v>3.1800000000000002E-2</v>
      </c>
    </row>
    <row r="344" spans="75:79">
      <c r="BW344" s="59"/>
      <c r="BX344" s="168"/>
      <c r="BY344" s="182">
        <v>3.1699999999999999E-2</v>
      </c>
      <c r="BZ344" s="185">
        <v>335</v>
      </c>
      <c r="CA344" s="184">
        <f t="shared" si="192"/>
        <v>3.1699999999999999E-2</v>
      </c>
    </row>
    <row r="345" spans="75:79">
      <c r="BW345" s="59"/>
      <c r="BX345" s="168"/>
      <c r="BY345" s="182">
        <v>3.1600000000000003E-2</v>
      </c>
      <c r="BZ345" s="185">
        <v>336</v>
      </c>
      <c r="CA345" s="184">
        <f t="shared" si="192"/>
        <v>3.1600000000000003E-2</v>
      </c>
    </row>
    <row r="346" spans="75:79">
      <c r="BW346" s="59"/>
      <c r="BX346" s="168"/>
      <c r="BY346" s="182">
        <v>3.15E-2</v>
      </c>
      <c r="BZ346" s="185">
        <v>337</v>
      </c>
      <c r="CA346" s="184">
        <f t="shared" si="192"/>
        <v>3.15E-2</v>
      </c>
    </row>
    <row r="347" spans="75:79">
      <c r="BW347" s="59"/>
      <c r="BX347" s="168"/>
      <c r="BY347" s="182">
        <v>3.1399999999999997E-2</v>
      </c>
      <c r="BZ347" s="185">
        <v>338</v>
      </c>
      <c r="CA347" s="184">
        <f t="shared" si="192"/>
        <v>3.1399999999999997E-2</v>
      </c>
    </row>
    <row r="348" spans="75:79">
      <c r="BW348" s="59"/>
      <c r="BX348" s="168"/>
      <c r="BY348" s="182">
        <v>3.1300000000000001E-2</v>
      </c>
      <c r="BZ348" s="185">
        <v>339</v>
      </c>
      <c r="CA348" s="184">
        <f t="shared" si="192"/>
        <v>3.1300000000000001E-2</v>
      </c>
    </row>
    <row r="349" spans="75:79">
      <c r="BW349" s="59"/>
      <c r="BX349" s="168"/>
      <c r="BY349" s="182">
        <v>3.1199999999999999E-2</v>
      </c>
      <c r="BZ349" s="185">
        <v>340</v>
      </c>
      <c r="CA349" s="184">
        <f t="shared" si="192"/>
        <v>3.1199999999999999E-2</v>
      </c>
    </row>
    <row r="350" spans="75:79">
      <c r="BW350" s="59"/>
      <c r="BX350" s="168"/>
      <c r="BY350" s="182">
        <v>3.1099999999999999E-2</v>
      </c>
      <c r="BZ350" s="185">
        <v>341</v>
      </c>
      <c r="CA350" s="184">
        <f t="shared" si="192"/>
        <v>3.1099999999999999E-2</v>
      </c>
    </row>
    <row r="351" spans="75:79">
      <c r="BW351" s="59"/>
      <c r="BX351" s="168"/>
      <c r="BY351" s="182">
        <v>3.1E-2</v>
      </c>
      <c r="BZ351" s="185">
        <v>342</v>
      </c>
      <c r="CA351" s="184">
        <f t="shared" si="192"/>
        <v>3.1E-2</v>
      </c>
    </row>
    <row r="352" spans="75:79">
      <c r="BW352" s="59"/>
      <c r="BX352" s="168"/>
      <c r="BY352" s="182">
        <v>3.09E-2</v>
      </c>
      <c r="BZ352" s="185">
        <v>343</v>
      </c>
      <c r="CA352" s="184">
        <f t="shared" si="192"/>
        <v>3.09E-2</v>
      </c>
    </row>
    <row r="353" spans="75:79">
      <c r="BW353" s="59"/>
      <c r="BX353" s="168"/>
      <c r="BY353" s="182">
        <v>3.0800000000000001E-2</v>
      </c>
      <c r="BZ353" s="185">
        <v>344</v>
      </c>
      <c r="CA353" s="184">
        <f t="shared" si="192"/>
        <v>3.0800000000000001E-2</v>
      </c>
    </row>
    <row r="354" spans="75:79">
      <c r="BW354" s="59"/>
      <c r="BX354" s="168"/>
      <c r="BY354" s="182">
        <v>3.0700000000000002E-2</v>
      </c>
      <c r="BZ354" s="185">
        <v>345</v>
      </c>
      <c r="CA354" s="184">
        <f t="shared" si="192"/>
        <v>3.0700000000000002E-2</v>
      </c>
    </row>
    <row r="355" spans="75:79">
      <c r="BW355" s="59"/>
      <c r="BX355" s="168"/>
      <c r="BY355" s="182">
        <v>3.0599999999999999E-2</v>
      </c>
      <c r="BZ355" s="185">
        <v>346</v>
      </c>
      <c r="CA355" s="184">
        <f t="shared" si="192"/>
        <v>3.0599999999999999E-2</v>
      </c>
    </row>
    <row r="356" spans="75:79">
      <c r="BW356" s="59"/>
      <c r="BX356" s="168"/>
      <c r="BY356" s="182">
        <v>3.0499999999999999E-2</v>
      </c>
      <c r="BZ356" s="185">
        <v>347</v>
      </c>
      <c r="CA356" s="184">
        <f t="shared" si="192"/>
        <v>3.0499999999999999E-2</v>
      </c>
    </row>
    <row r="357" spans="75:79">
      <c r="BW357" s="59"/>
      <c r="BX357" s="168"/>
      <c r="BY357" s="182">
        <v>3.04E-2</v>
      </c>
      <c r="BZ357" s="185">
        <v>348</v>
      </c>
      <c r="CA357" s="184">
        <f t="shared" si="192"/>
        <v>3.04E-2</v>
      </c>
    </row>
    <row r="358" spans="75:79">
      <c r="BW358" s="59"/>
      <c r="BX358" s="168"/>
      <c r="BY358" s="182">
        <v>3.0300000000000001E-2</v>
      </c>
      <c r="BZ358" s="185">
        <v>349</v>
      </c>
      <c r="CA358" s="184">
        <f t="shared" si="192"/>
        <v>3.0300000000000001E-2</v>
      </c>
    </row>
    <row r="359" spans="75:79">
      <c r="BW359" s="59"/>
      <c r="BX359" s="168"/>
      <c r="BY359" s="182">
        <v>3.0200000000000001E-2</v>
      </c>
      <c r="BZ359" s="185">
        <v>350</v>
      </c>
      <c r="CA359" s="184">
        <f t="shared" si="192"/>
        <v>3.0200000000000001E-2</v>
      </c>
    </row>
    <row r="360" spans="75:79">
      <c r="BW360" s="59"/>
      <c r="BX360" s="168"/>
      <c r="BY360" s="182">
        <v>3.0099999999999998E-2</v>
      </c>
      <c r="BZ360" s="185">
        <v>351</v>
      </c>
      <c r="CA360" s="184">
        <f t="shared" si="192"/>
        <v>3.0099999999999998E-2</v>
      </c>
    </row>
    <row r="361" spans="75:79">
      <c r="BW361" s="59"/>
      <c r="BX361" s="168"/>
      <c r="BY361" s="182">
        <v>0.03</v>
      </c>
      <c r="BZ361" s="185">
        <v>352</v>
      </c>
      <c r="CA361" s="184">
        <f t="shared" si="192"/>
        <v>0.03</v>
      </c>
    </row>
    <row r="362" spans="75:79">
      <c r="BW362" s="59"/>
      <c r="BX362" s="168"/>
      <c r="BY362" s="182">
        <v>2.9899999999999999E-2</v>
      </c>
      <c r="BZ362" s="185">
        <v>353</v>
      </c>
      <c r="CA362" s="184">
        <f t="shared" si="192"/>
        <v>2.9899999999999999E-2</v>
      </c>
    </row>
    <row r="363" spans="75:79">
      <c r="BW363" s="59"/>
      <c r="BX363" s="168"/>
      <c r="BY363" s="182">
        <v>2.98E-2</v>
      </c>
      <c r="BZ363" s="185">
        <v>354</v>
      </c>
      <c r="CA363" s="184">
        <f t="shared" si="192"/>
        <v>2.98E-2</v>
      </c>
    </row>
    <row r="364" spans="75:79">
      <c r="BW364" s="59"/>
      <c r="BX364" s="168"/>
      <c r="BY364" s="182">
        <v>2.9700000000000001E-2</v>
      </c>
      <c r="BZ364" s="185">
        <v>355</v>
      </c>
      <c r="CA364" s="184">
        <f t="shared" si="192"/>
        <v>2.9700000000000001E-2</v>
      </c>
    </row>
    <row r="365" spans="75:79">
      <c r="BW365" s="59"/>
      <c r="BX365" s="168"/>
      <c r="BY365" s="182">
        <v>2.9600000000000001E-2</v>
      </c>
      <c r="BZ365" s="185">
        <v>356</v>
      </c>
      <c r="CA365" s="184">
        <f t="shared" si="192"/>
        <v>2.9600000000000001E-2</v>
      </c>
    </row>
    <row r="366" spans="75:79">
      <c r="BW366" s="59"/>
      <c r="BX366" s="168"/>
      <c r="BY366" s="182">
        <v>2.9499999999999998E-2</v>
      </c>
      <c r="BZ366" s="185">
        <v>357</v>
      </c>
      <c r="CA366" s="184">
        <f t="shared" si="192"/>
        <v>2.9499999999999998E-2</v>
      </c>
    </row>
    <row r="367" spans="75:79">
      <c r="BW367" s="59"/>
      <c r="BX367" s="168"/>
      <c r="BY367" s="182">
        <v>2.9399999999999999E-2</v>
      </c>
      <c r="BZ367" s="185">
        <v>358</v>
      </c>
      <c r="CA367" s="184">
        <f t="shared" si="192"/>
        <v>2.9399999999999999E-2</v>
      </c>
    </row>
    <row r="368" spans="75:79">
      <c r="BW368" s="59"/>
      <c r="BX368" s="168"/>
      <c r="BY368" s="182">
        <v>2.93E-2</v>
      </c>
      <c r="BZ368" s="185">
        <v>359</v>
      </c>
      <c r="CA368" s="184">
        <f t="shared" si="192"/>
        <v>2.93E-2</v>
      </c>
    </row>
    <row r="369" spans="75:79">
      <c r="BW369" s="59"/>
      <c r="BX369" s="168"/>
      <c r="BY369" s="182">
        <v>2.92E-2</v>
      </c>
      <c r="BZ369" s="185">
        <v>360</v>
      </c>
      <c r="CA369" s="184">
        <f t="shared" si="192"/>
        <v>2.92E-2</v>
      </c>
    </row>
    <row r="370" spans="75:79">
      <c r="BW370" s="59"/>
      <c r="BX370" s="168"/>
      <c r="BY370" s="182">
        <v>2.9100000000000001E-2</v>
      </c>
      <c r="BZ370" s="185">
        <v>361</v>
      </c>
      <c r="CA370" s="184">
        <f t="shared" si="192"/>
        <v>2.9100000000000001E-2</v>
      </c>
    </row>
    <row r="371" spans="75:79">
      <c r="BW371" s="59"/>
      <c r="BX371" s="168"/>
      <c r="BY371" s="182">
        <v>2.9000000000000001E-2</v>
      </c>
      <c r="BZ371" s="185">
        <v>362</v>
      </c>
      <c r="CA371" s="184">
        <f t="shared" si="192"/>
        <v>2.9000000000000001E-2</v>
      </c>
    </row>
    <row r="372" spans="75:79">
      <c r="BW372" s="59"/>
      <c r="BX372" s="168"/>
      <c r="BY372" s="182">
        <v>2.8899999999999999E-2</v>
      </c>
      <c r="BZ372" s="185">
        <v>363</v>
      </c>
      <c r="CA372" s="184">
        <f t="shared" si="192"/>
        <v>2.8899999999999999E-2</v>
      </c>
    </row>
    <row r="373" spans="75:79">
      <c r="BW373" s="59"/>
      <c r="BX373" s="168"/>
      <c r="BY373" s="182">
        <v>2.8799999999999999E-2</v>
      </c>
      <c r="BZ373" s="185">
        <v>364</v>
      </c>
      <c r="CA373" s="184">
        <f t="shared" si="192"/>
        <v>2.8799999999999999E-2</v>
      </c>
    </row>
    <row r="374" spans="75:79">
      <c r="BW374" s="59"/>
      <c r="BX374" s="168"/>
      <c r="BY374" s="182">
        <v>2.87E-2</v>
      </c>
      <c r="BZ374" s="185">
        <v>365</v>
      </c>
      <c r="CA374" s="184">
        <f t="shared" si="192"/>
        <v>2.87E-2</v>
      </c>
    </row>
    <row r="375" spans="75:79">
      <c r="BW375" s="59"/>
      <c r="BX375" s="168"/>
      <c r="BY375" s="182">
        <v>2.86E-2</v>
      </c>
      <c r="BZ375" s="185">
        <v>366</v>
      </c>
      <c r="CA375" s="184">
        <f t="shared" si="192"/>
        <v>2.86E-2</v>
      </c>
    </row>
    <row r="376" spans="75:79">
      <c r="BW376" s="59"/>
      <c r="BX376" s="168"/>
      <c r="BY376" s="182">
        <v>2.8500000000000001E-2</v>
      </c>
      <c r="BZ376" s="185">
        <v>367</v>
      </c>
      <c r="CA376" s="184">
        <f t="shared" si="192"/>
        <v>2.8500000000000001E-2</v>
      </c>
    </row>
    <row r="377" spans="75:79">
      <c r="BW377" s="59"/>
      <c r="BX377" s="168"/>
      <c r="BY377" s="182">
        <v>2.8400000000000002E-2</v>
      </c>
      <c r="BZ377" s="185">
        <v>368</v>
      </c>
      <c r="CA377" s="184">
        <f t="shared" si="192"/>
        <v>2.8400000000000002E-2</v>
      </c>
    </row>
    <row r="378" spans="75:79">
      <c r="BW378" s="59"/>
      <c r="BX378" s="168"/>
      <c r="BY378" s="182">
        <v>2.8299999999999999E-2</v>
      </c>
      <c r="BZ378" s="185">
        <v>369</v>
      </c>
      <c r="CA378" s="184">
        <f t="shared" si="192"/>
        <v>2.8299999999999999E-2</v>
      </c>
    </row>
    <row r="379" spans="75:79">
      <c r="BW379" s="59"/>
      <c r="BX379" s="168"/>
      <c r="BY379" s="182">
        <v>2.8199999999999999E-2</v>
      </c>
      <c r="BZ379" s="185">
        <v>370</v>
      </c>
      <c r="CA379" s="184">
        <f t="shared" si="192"/>
        <v>2.8199999999999999E-2</v>
      </c>
    </row>
    <row r="380" spans="75:79">
      <c r="BW380" s="59"/>
      <c r="BX380" s="168"/>
      <c r="BY380" s="182">
        <v>2.81E-2</v>
      </c>
      <c r="BZ380" s="185">
        <v>371</v>
      </c>
      <c r="CA380" s="184">
        <f t="shared" si="192"/>
        <v>2.81E-2</v>
      </c>
    </row>
    <row r="381" spans="75:79">
      <c r="BW381" s="59"/>
      <c r="BX381" s="168"/>
      <c r="BY381" s="182">
        <v>2.8000000000000001E-2</v>
      </c>
      <c r="BZ381" s="185">
        <v>372</v>
      </c>
      <c r="CA381" s="184">
        <f t="shared" si="192"/>
        <v>2.8000000000000001E-2</v>
      </c>
    </row>
    <row r="382" spans="75:79">
      <c r="BW382" s="59"/>
      <c r="BX382" s="168"/>
      <c r="BY382" s="182">
        <v>2.7900000000000001E-2</v>
      </c>
      <c r="BZ382" s="185">
        <v>373</v>
      </c>
      <c r="CA382" s="184">
        <f t="shared" si="192"/>
        <v>2.7900000000000001E-2</v>
      </c>
    </row>
    <row r="383" spans="75:79">
      <c r="BW383" s="59"/>
      <c r="BX383" s="168"/>
      <c r="BY383" s="182">
        <v>2.7799999999999998E-2</v>
      </c>
      <c r="BZ383" s="185">
        <v>374</v>
      </c>
      <c r="CA383" s="184">
        <f t="shared" si="192"/>
        <v>2.7799999999999998E-2</v>
      </c>
    </row>
    <row r="384" spans="75:79">
      <c r="BW384" s="59"/>
      <c r="BX384" s="168"/>
      <c r="BY384" s="182">
        <v>2.7699999999999999E-2</v>
      </c>
      <c r="BZ384" s="185">
        <v>375</v>
      </c>
      <c r="CA384" s="184">
        <f t="shared" si="192"/>
        <v>2.7699999999999999E-2</v>
      </c>
    </row>
    <row r="385" spans="75:79">
      <c r="BW385" s="59"/>
      <c r="BX385" s="168"/>
      <c r="BY385" s="182">
        <v>2.76E-2</v>
      </c>
      <c r="BZ385" s="185">
        <v>376</v>
      </c>
      <c r="CA385" s="184">
        <f t="shared" si="192"/>
        <v>2.76E-2</v>
      </c>
    </row>
    <row r="386" spans="75:79">
      <c r="BW386" s="59"/>
      <c r="BX386" s="168"/>
      <c r="BY386" s="182">
        <v>2.75E-2</v>
      </c>
      <c r="BZ386" s="185">
        <v>377</v>
      </c>
      <c r="CA386" s="184">
        <f t="shared" si="192"/>
        <v>2.75E-2</v>
      </c>
    </row>
    <row r="387" spans="75:79">
      <c r="BW387" s="59"/>
      <c r="BX387" s="168"/>
      <c r="BY387" s="182">
        <v>2.7400000000000001E-2</v>
      </c>
      <c r="BZ387" s="185">
        <v>378</v>
      </c>
      <c r="CA387" s="184">
        <f t="shared" si="192"/>
        <v>2.7400000000000001E-2</v>
      </c>
    </row>
    <row r="388" spans="75:79">
      <c r="BW388" s="59"/>
      <c r="BX388" s="168"/>
      <c r="BY388" s="182">
        <v>2.7300000000000001E-2</v>
      </c>
      <c r="BZ388" s="185">
        <v>379</v>
      </c>
      <c r="CA388" s="184">
        <f t="shared" si="192"/>
        <v>2.7300000000000001E-2</v>
      </c>
    </row>
    <row r="389" spans="75:79">
      <c r="BW389" s="59"/>
      <c r="BX389" s="168"/>
      <c r="BY389" s="182">
        <v>2.7199999999999998E-2</v>
      </c>
      <c r="BZ389" s="185">
        <v>380</v>
      </c>
      <c r="CA389" s="184">
        <f t="shared" si="192"/>
        <v>2.7199999999999998E-2</v>
      </c>
    </row>
    <row r="390" spans="75:79">
      <c r="BW390" s="59"/>
      <c r="BX390" s="168"/>
      <c r="BY390" s="182">
        <v>2.7099999999999999E-2</v>
      </c>
      <c r="BZ390" s="185">
        <v>381</v>
      </c>
      <c r="CA390" s="184">
        <f t="shared" si="192"/>
        <v>2.7099999999999999E-2</v>
      </c>
    </row>
    <row r="391" spans="75:79">
      <c r="BW391" s="59"/>
      <c r="BX391" s="168"/>
      <c r="BY391" s="182">
        <v>2.7E-2</v>
      </c>
      <c r="BZ391" s="185">
        <v>382</v>
      </c>
      <c r="CA391" s="184">
        <f t="shared" si="192"/>
        <v>2.7E-2</v>
      </c>
    </row>
    <row r="392" spans="75:79">
      <c r="BW392" s="59"/>
      <c r="BX392" s="168"/>
      <c r="BY392" s="182">
        <v>2.69E-2</v>
      </c>
      <c r="BZ392" s="185">
        <v>383</v>
      </c>
      <c r="CA392" s="184">
        <f t="shared" si="192"/>
        <v>2.69E-2</v>
      </c>
    </row>
    <row r="393" spans="75:79">
      <c r="BW393" s="59"/>
      <c r="BX393" s="168"/>
      <c r="BY393" s="182">
        <v>2.6800000000000001E-2</v>
      </c>
      <c r="BZ393" s="185">
        <v>384</v>
      </c>
      <c r="CA393" s="184">
        <f t="shared" si="192"/>
        <v>2.6800000000000001E-2</v>
      </c>
    </row>
    <row r="394" spans="75:79">
      <c r="BW394" s="59"/>
      <c r="BX394" s="168"/>
      <c r="BY394" s="182">
        <v>2.6700000000000002E-2</v>
      </c>
      <c r="BZ394" s="185">
        <v>385</v>
      </c>
      <c r="CA394" s="184">
        <f t="shared" si="192"/>
        <v>2.6700000000000002E-2</v>
      </c>
    </row>
    <row r="395" spans="75:79">
      <c r="BW395" s="59"/>
      <c r="BX395" s="168"/>
      <c r="BY395" s="182">
        <v>2.6599999999999999E-2</v>
      </c>
      <c r="BZ395" s="185">
        <v>386</v>
      </c>
      <c r="CA395" s="184">
        <f t="shared" ref="CA395:CA461" si="193">BY395</f>
        <v>2.6599999999999999E-2</v>
      </c>
    </row>
    <row r="396" spans="75:79">
      <c r="BW396" s="59"/>
      <c r="BX396" s="168"/>
      <c r="BY396" s="182">
        <v>2.6499999999999999E-2</v>
      </c>
      <c r="BZ396" s="185">
        <v>387</v>
      </c>
      <c r="CA396" s="184">
        <f t="shared" si="193"/>
        <v>2.6499999999999999E-2</v>
      </c>
    </row>
    <row r="397" spans="75:79">
      <c r="BW397" s="59"/>
      <c r="BX397" s="168"/>
      <c r="BY397" s="182">
        <v>2.64E-2</v>
      </c>
      <c r="BZ397" s="185">
        <v>388</v>
      </c>
      <c r="CA397" s="184">
        <f t="shared" si="193"/>
        <v>2.64E-2</v>
      </c>
    </row>
    <row r="398" spans="75:79">
      <c r="BW398" s="59"/>
      <c r="BX398" s="168"/>
      <c r="BY398" s="182">
        <v>2.63E-2</v>
      </c>
      <c r="BZ398" s="185">
        <v>389</v>
      </c>
      <c r="CA398" s="184">
        <f t="shared" si="193"/>
        <v>2.63E-2</v>
      </c>
    </row>
    <row r="399" spans="75:79">
      <c r="BW399" s="59"/>
      <c r="BX399" s="168"/>
      <c r="BY399" s="182">
        <v>2.6200000000000001E-2</v>
      </c>
      <c r="BZ399" s="185">
        <v>390</v>
      </c>
      <c r="CA399" s="184">
        <f t="shared" si="193"/>
        <v>2.6200000000000001E-2</v>
      </c>
    </row>
    <row r="400" spans="75:79">
      <c r="BW400" s="59"/>
      <c r="BX400" s="168"/>
      <c r="BY400" s="182">
        <v>2.6100000000000002E-2</v>
      </c>
      <c r="BZ400" s="185">
        <v>391</v>
      </c>
      <c r="CA400" s="184">
        <f t="shared" si="193"/>
        <v>2.6100000000000002E-2</v>
      </c>
    </row>
    <row r="401" spans="75:79">
      <c r="BW401" s="59"/>
      <c r="BX401" s="168"/>
      <c r="BY401" s="182">
        <v>2.5999999999999999E-2</v>
      </c>
      <c r="BZ401" s="185">
        <v>392</v>
      </c>
      <c r="CA401" s="184">
        <f t="shared" si="193"/>
        <v>2.5999999999999999E-2</v>
      </c>
    </row>
    <row r="402" spans="75:79">
      <c r="BW402" s="59"/>
      <c r="BX402" s="168"/>
      <c r="BY402" s="182">
        <v>2.5899999999999999E-2</v>
      </c>
      <c r="BZ402" s="185">
        <v>393</v>
      </c>
      <c r="CA402" s="184">
        <f t="shared" si="193"/>
        <v>2.5899999999999999E-2</v>
      </c>
    </row>
    <row r="403" spans="75:79">
      <c r="BW403" s="59"/>
      <c r="BX403" s="168"/>
      <c r="BY403" s="182">
        <v>2.58E-2</v>
      </c>
      <c r="BZ403" s="185">
        <v>394</v>
      </c>
      <c r="CA403" s="184">
        <f t="shared" si="193"/>
        <v>2.58E-2</v>
      </c>
    </row>
    <row r="404" spans="75:79">
      <c r="BW404" s="59"/>
      <c r="BX404" s="168"/>
      <c r="BY404" s="182">
        <v>2.5700000000000001E-2</v>
      </c>
      <c r="BZ404" s="185">
        <v>395</v>
      </c>
      <c r="CA404" s="184">
        <f t="shared" si="193"/>
        <v>2.5700000000000001E-2</v>
      </c>
    </row>
    <row r="405" spans="75:79">
      <c r="BW405" s="59"/>
      <c r="BX405" s="168"/>
      <c r="BY405" s="182">
        <v>2.5600000000000001E-2</v>
      </c>
      <c r="BZ405" s="185">
        <v>396</v>
      </c>
      <c r="CA405" s="184">
        <f t="shared" si="193"/>
        <v>2.5600000000000001E-2</v>
      </c>
    </row>
    <row r="406" spans="75:79">
      <c r="BW406" s="59"/>
      <c r="BX406" s="168"/>
      <c r="BY406" s="182">
        <v>2.5499999999999998E-2</v>
      </c>
      <c r="BZ406" s="185">
        <v>397</v>
      </c>
      <c r="CA406" s="184">
        <f t="shared" si="193"/>
        <v>2.5499999999999998E-2</v>
      </c>
    </row>
    <row r="407" spans="75:79">
      <c r="BW407" s="59"/>
      <c r="BX407" s="168"/>
      <c r="BY407" s="182">
        <v>2.5399999999999999E-2</v>
      </c>
      <c r="BZ407" s="185">
        <v>398</v>
      </c>
      <c r="CA407" s="184">
        <f t="shared" si="193"/>
        <v>2.5399999999999999E-2</v>
      </c>
    </row>
    <row r="408" spans="75:79">
      <c r="BW408" s="59"/>
      <c r="BX408" s="168"/>
      <c r="BY408" s="182">
        <v>2.53E-2</v>
      </c>
      <c r="BZ408" s="185">
        <v>399</v>
      </c>
      <c r="CA408" s="184">
        <f t="shared" si="193"/>
        <v>2.53E-2</v>
      </c>
    </row>
    <row r="409" spans="75:79">
      <c r="BW409" s="59"/>
      <c r="BX409" s="168"/>
      <c r="BY409" s="182">
        <v>2.52E-2</v>
      </c>
      <c r="BZ409" s="185">
        <v>400</v>
      </c>
      <c r="CA409" s="184">
        <f t="shared" si="193"/>
        <v>2.52E-2</v>
      </c>
    </row>
    <row r="410" spans="75:79">
      <c r="BW410" s="59"/>
      <c r="BX410" s="168"/>
      <c r="BY410" s="182">
        <v>2.5100000000000001E-2</v>
      </c>
      <c r="BZ410" s="185">
        <v>401</v>
      </c>
      <c r="CA410" s="184">
        <f t="shared" si="193"/>
        <v>2.5100000000000001E-2</v>
      </c>
    </row>
    <row r="411" spans="75:79">
      <c r="BW411" s="59"/>
      <c r="BX411" s="168"/>
      <c r="BY411" s="182">
        <v>2.5000000000000001E-2</v>
      </c>
      <c r="BZ411" s="185">
        <v>402</v>
      </c>
      <c r="CA411" s="184">
        <f t="shared" si="193"/>
        <v>2.5000000000000001E-2</v>
      </c>
    </row>
    <row r="412" spans="75:79">
      <c r="BW412" s="59"/>
      <c r="BX412" s="168"/>
      <c r="BY412" s="182">
        <v>2.4899999999999999E-2</v>
      </c>
      <c r="BZ412" s="185">
        <v>403</v>
      </c>
      <c r="CA412" s="184">
        <f t="shared" si="193"/>
        <v>2.4899999999999999E-2</v>
      </c>
    </row>
    <row r="413" spans="75:79">
      <c r="BW413" s="59"/>
      <c r="BX413" s="168"/>
      <c r="BY413" s="182">
        <v>2.4799999999999999E-2</v>
      </c>
      <c r="BZ413" s="185">
        <v>404</v>
      </c>
      <c r="CA413" s="184">
        <f t="shared" si="193"/>
        <v>2.4799999999999999E-2</v>
      </c>
    </row>
    <row r="414" spans="75:79">
      <c r="BW414" s="59"/>
      <c r="BX414" s="168"/>
      <c r="BY414" s="182">
        <v>2.47E-2</v>
      </c>
      <c r="BZ414" s="185">
        <v>405</v>
      </c>
      <c r="CA414" s="184">
        <f t="shared" si="193"/>
        <v>2.47E-2</v>
      </c>
    </row>
    <row r="415" spans="75:79">
      <c r="BW415" s="59"/>
      <c r="BX415" s="168"/>
      <c r="BY415" s="182">
        <v>2.46E-2</v>
      </c>
      <c r="BZ415" s="185">
        <v>406</v>
      </c>
      <c r="CA415" s="184">
        <f t="shared" si="193"/>
        <v>2.46E-2</v>
      </c>
    </row>
    <row r="416" spans="75:79">
      <c r="BW416" s="59"/>
      <c r="BX416" s="168"/>
      <c r="BY416" s="182">
        <v>2.4500000000000001E-2</v>
      </c>
      <c r="BZ416" s="185">
        <v>407</v>
      </c>
      <c r="CA416" s="184">
        <f t="shared" si="193"/>
        <v>2.4500000000000001E-2</v>
      </c>
    </row>
    <row r="417" spans="75:79">
      <c r="BW417" s="59"/>
      <c r="BX417" s="168"/>
      <c r="BY417" s="182">
        <v>2.4400000000000002E-2</v>
      </c>
      <c r="BZ417" s="185">
        <v>408</v>
      </c>
      <c r="CA417" s="184">
        <f t="shared" si="193"/>
        <v>2.4400000000000002E-2</v>
      </c>
    </row>
    <row r="418" spans="75:79">
      <c r="BW418" s="59"/>
      <c r="BX418" s="168"/>
      <c r="BY418" s="182">
        <v>2.4299999999999999E-2</v>
      </c>
      <c r="BZ418" s="185">
        <v>409</v>
      </c>
      <c r="CA418" s="184">
        <f t="shared" si="193"/>
        <v>2.4299999999999999E-2</v>
      </c>
    </row>
    <row r="419" spans="75:79">
      <c r="BW419" s="59"/>
      <c r="BX419" s="168"/>
      <c r="BY419" s="182">
        <v>2.4199999999999999E-2</v>
      </c>
      <c r="BZ419" s="185">
        <v>410</v>
      </c>
      <c r="CA419" s="184">
        <f t="shared" si="193"/>
        <v>2.4199999999999999E-2</v>
      </c>
    </row>
    <row r="420" spans="75:79">
      <c r="BW420" s="59"/>
      <c r="BX420" s="168"/>
      <c r="BY420" s="182">
        <v>2.41E-2</v>
      </c>
      <c r="BZ420" s="185">
        <v>411</v>
      </c>
      <c r="CA420" s="184">
        <f t="shared" si="193"/>
        <v>2.41E-2</v>
      </c>
    </row>
    <row r="421" spans="75:79">
      <c r="BW421" s="59"/>
      <c r="BX421" s="168"/>
      <c r="BY421" s="182">
        <v>2.4E-2</v>
      </c>
      <c r="BZ421" s="185">
        <v>412</v>
      </c>
      <c r="CA421" s="184">
        <f t="shared" si="193"/>
        <v>2.4E-2</v>
      </c>
    </row>
    <row r="422" spans="75:79">
      <c r="BW422" s="59"/>
      <c r="BX422" s="168"/>
      <c r="BY422" s="182">
        <v>2.3900000000000001E-2</v>
      </c>
      <c r="BZ422" s="185">
        <v>413</v>
      </c>
      <c r="CA422" s="184">
        <f t="shared" si="193"/>
        <v>2.3900000000000001E-2</v>
      </c>
    </row>
    <row r="423" spans="75:79">
      <c r="BW423" s="59"/>
      <c r="BX423" s="168"/>
      <c r="BY423" s="182">
        <v>2.3800000000000002E-2</v>
      </c>
      <c r="BZ423" s="185">
        <v>414</v>
      </c>
      <c r="CA423" s="184">
        <f t="shared" si="193"/>
        <v>2.3800000000000002E-2</v>
      </c>
    </row>
    <row r="424" spans="75:79">
      <c r="BW424" s="59"/>
      <c r="BX424" s="168"/>
      <c r="BY424" s="182">
        <v>2.3699999999999999E-2</v>
      </c>
      <c r="BZ424" s="185">
        <v>415</v>
      </c>
      <c r="CA424" s="184">
        <f t="shared" si="193"/>
        <v>2.3699999999999999E-2</v>
      </c>
    </row>
    <row r="425" spans="75:79">
      <c r="BW425" s="59"/>
      <c r="BX425" s="168"/>
      <c r="BY425" s="182">
        <v>2.3599999999999999E-2</v>
      </c>
      <c r="BZ425" s="185">
        <v>416</v>
      </c>
      <c r="CA425" s="184">
        <f t="shared" si="193"/>
        <v>2.3599999999999999E-2</v>
      </c>
    </row>
    <row r="426" spans="75:79">
      <c r="BW426" s="59"/>
      <c r="BX426" s="168"/>
      <c r="BY426" s="182">
        <v>2.35E-2</v>
      </c>
      <c r="BZ426" s="185">
        <v>417</v>
      </c>
      <c r="CA426" s="184">
        <f t="shared" si="193"/>
        <v>2.35E-2</v>
      </c>
    </row>
    <row r="427" spans="75:79">
      <c r="BW427" s="59"/>
      <c r="BX427" s="168"/>
      <c r="BY427" s="182">
        <v>2.3400000000000001E-2</v>
      </c>
      <c r="BZ427" s="185">
        <v>418</v>
      </c>
      <c r="CA427" s="184">
        <f t="shared" si="193"/>
        <v>2.3400000000000001E-2</v>
      </c>
    </row>
    <row r="428" spans="75:79">
      <c r="BW428" s="59"/>
      <c r="BX428" s="168"/>
      <c r="BY428" s="182">
        <v>2.3300000000000001E-2</v>
      </c>
      <c r="BZ428" s="185">
        <v>419</v>
      </c>
      <c r="CA428" s="184">
        <f t="shared" si="193"/>
        <v>2.3300000000000001E-2</v>
      </c>
    </row>
    <row r="429" spans="75:79">
      <c r="BW429" s="59"/>
      <c r="BX429" s="168"/>
      <c r="BY429" s="182">
        <v>2.3199999999999998E-2</v>
      </c>
      <c r="BZ429" s="185">
        <v>420</v>
      </c>
      <c r="CA429" s="184">
        <f t="shared" si="193"/>
        <v>2.3199999999999998E-2</v>
      </c>
    </row>
    <row r="430" spans="75:79">
      <c r="BW430" s="59"/>
      <c r="BX430" s="168"/>
      <c r="BY430" s="182">
        <v>2.3099999999999999E-2</v>
      </c>
      <c r="BZ430" s="185">
        <v>421</v>
      </c>
      <c r="CA430" s="184">
        <f t="shared" si="193"/>
        <v>2.3099999999999999E-2</v>
      </c>
    </row>
    <row r="431" spans="75:79">
      <c r="BW431" s="59"/>
      <c r="BX431" s="168"/>
      <c r="BY431" s="182">
        <v>2.3E-2</v>
      </c>
      <c r="BZ431" s="185">
        <v>422</v>
      </c>
      <c r="CA431" s="184">
        <f t="shared" si="193"/>
        <v>2.3E-2</v>
      </c>
    </row>
    <row r="432" spans="75:79">
      <c r="BW432" s="59"/>
      <c r="BX432" s="168"/>
      <c r="BY432" s="182">
        <v>2.29E-2</v>
      </c>
      <c r="BZ432" s="185">
        <v>423</v>
      </c>
      <c r="CA432" s="184">
        <f t="shared" si="193"/>
        <v>2.29E-2</v>
      </c>
    </row>
    <row r="433" spans="75:79">
      <c r="BW433" s="59"/>
      <c r="BX433" s="168"/>
      <c r="BY433" s="182">
        <v>2.2800000000000001E-2</v>
      </c>
      <c r="BZ433" s="185">
        <v>424</v>
      </c>
      <c r="CA433" s="184">
        <f t="shared" si="193"/>
        <v>2.2800000000000001E-2</v>
      </c>
    </row>
    <row r="434" spans="75:79">
      <c r="BW434" s="59"/>
      <c r="BX434" s="168"/>
      <c r="BY434" s="182">
        <v>2.2700000000000001E-2</v>
      </c>
      <c r="BZ434" s="185">
        <v>425</v>
      </c>
      <c r="CA434" s="184">
        <f t="shared" si="193"/>
        <v>2.2700000000000001E-2</v>
      </c>
    </row>
    <row r="435" spans="75:79">
      <c r="BW435" s="59"/>
      <c r="BX435" s="168"/>
      <c r="BY435" s="182">
        <v>2.2599999999999999E-2</v>
      </c>
      <c r="BZ435" s="185">
        <v>426</v>
      </c>
      <c r="CA435" s="184">
        <f t="shared" si="193"/>
        <v>2.2599999999999999E-2</v>
      </c>
    </row>
    <row r="436" spans="75:79">
      <c r="BW436" s="59"/>
      <c r="BX436" s="168"/>
      <c r="BY436" s="182">
        <v>2.2499999999999999E-2</v>
      </c>
      <c r="BZ436" s="185">
        <v>427</v>
      </c>
      <c r="CA436" s="184">
        <f t="shared" si="193"/>
        <v>2.2499999999999999E-2</v>
      </c>
    </row>
    <row r="437" spans="75:79">
      <c r="BW437" s="59"/>
      <c r="BX437" s="168"/>
      <c r="BY437" s="182">
        <v>2.24E-2</v>
      </c>
      <c r="BZ437" s="185">
        <v>428</v>
      </c>
      <c r="CA437" s="184">
        <f t="shared" si="193"/>
        <v>2.24E-2</v>
      </c>
    </row>
    <row r="438" spans="75:79">
      <c r="BW438" s="59"/>
      <c r="BX438" s="168"/>
      <c r="BY438" s="182">
        <v>2.23E-2</v>
      </c>
      <c r="BZ438" s="185">
        <v>429</v>
      </c>
      <c r="CA438" s="184">
        <f t="shared" si="193"/>
        <v>2.23E-2</v>
      </c>
    </row>
    <row r="439" spans="75:79">
      <c r="BW439" s="59"/>
      <c r="BX439" s="168"/>
      <c r="BY439" s="182">
        <v>2.2200000000000001E-2</v>
      </c>
      <c r="BZ439" s="185">
        <v>430</v>
      </c>
      <c r="CA439" s="184">
        <f t="shared" si="193"/>
        <v>2.2200000000000001E-2</v>
      </c>
    </row>
    <row r="440" spans="75:79">
      <c r="BW440" s="59"/>
      <c r="BX440" s="168"/>
      <c r="BY440" s="182">
        <v>2.2100000000000002E-2</v>
      </c>
      <c r="BZ440" s="185">
        <v>431</v>
      </c>
      <c r="CA440" s="184">
        <f t="shared" si="193"/>
        <v>2.2100000000000002E-2</v>
      </c>
    </row>
    <row r="441" spans="75:79">
      <c r="BW441" s="59"/>
      <c r="BX441" s="168"/>
      <c r="BY441" s="182">
        <v>2.1999999999999999E-2</v>
      </c>
      <c r="BZ441" s="185">
        <v>432</v>
      </c>
      <c r="CA441" s="184">
        <f t="shared" si="193"/>
        <v>2.1999999999999999E-2</v>
      </c>
    </row>
    <row r="442" spans="75:79">
      <c r="BW442" s="59"/>
      <c r="BX442" s="168"/>
      <c r="BY442" s="182">
        <v>2.1899999999999999E-2</v>
      </c>
      <c r="BZ442" s="185">
        <v>433</v>
      </c>
      <c r="CA442" s="184">
        <f t="shared" si="193"/>
        <v>2.1899999999999999E-2</v>
      </c>
    </row>
    <row r="443" spans="75:79">
      <c r="BW443" s="59"/>
      <c r="BX443" s="168"/>
      <c r="BY443" s="182">
        <v>2.18E-2</v>
      </c>
      <c r="BZ443" s="185">
        <v>434</v>
      </c>
      <c r="CA443" s="184">
        <f t="shared" si="193"/>
        <v>2.18E-2</v>
      </c>
    </row>
    <row r="444" spans="75:79">
      <c r="BW444" s="59"/>
      <c r="BX444" s="168"/>
      <c r="BY444" s="182">
        <v>2.1700000000000001E-2</v>
      </c>
      <c r="BZ444" s="185">
        <v>435</v>
      </c>
      <c r="CA444" s="184">
        <f t="shared" si="193"/>
        <v>2.1700000000000001E-2</v>
      </c>
    </row>
    <row r="445" spans="75:79">
      <c r="BW445" s="59"/>
      <c r="BX445" s="168"/>
      <c r="BY445" s="182">
        <v>2.1600000000000001E-2</v>
      </c>
      <c r="BZ445" s="185">
        <v>436</v>
      </c>
      <c r="CA445" s="184">
        <f t="shared" si="193"/>
        <v>2.1600000000000001E-2</v>
      </c>
    </row>
    <row r="446" spans="75:79">
      <c r="BW446" s="59"/>
      <c r="BX446" s="168"/>
      <c r="BY446" s="182">
        <v>2.1499999999999998E-2</v>
      </c>
      <c r="BZ446" s="185">
        <v>437</v>
      </c>
      <c r="CA446" s="184">
        <f t="shared" si="193"/>
        <v>2.1499999999999998E-2</v>
      </c>
    </row>
    <row r="447" spans="75:79">
      <c r="BW447" s="59"/>
      <c r="BX447" s="168"/>
      <c r="BY447" s="182">
        <v>2.1399999999999999E-2</v>
      </c>
      <c r="BZ447" s="185">
        <v>438</v>
      </c>
      <c r="CA447" s="184">
        <f t="shared" si="193"/>
        <v>2.1399999999999999E-2</v>
      </c>
    </row>
    <row r="448" spans="75:79">
      <c r="BW448" s="59"/>
      <c r="BX448" s="168"/>
      <c r="BY448" s="182">
        <v>2.1299999999999999E-2</v>
      </c>
      <c r="BZ448" s="185">
        <v>439</v>
      </c>
      <c r="CA448" s="184">
        <f t="shared" si="193"/>
        <v>2.1299999999999999E-2</v>
      </c>
    </row>
    <row r="449" spans="75:79">
      <c r="BW449" s="59"/>
      <c r="BX449" s="168"/>
      <c r="BY449" s="182">
        <v>2.12E-2</v>
      </c>
      <c r="BZ449" s="185">
        <v>440</v>
      </c>
      <c r="CA449" s="184">
        <f t="shared" si="193"/>
        <v>2.12E-2</v>
      </c>
    </row>
    <row r="450" spans="75:79">
      <c r="BW450" s="59"/>
      <c r="BX450" s="168"/>
      <c r="BY450" s="182">
        <v>2.1100000000000001E-2</v>
      </c>
      <c r="BZ450" s="185">
        <v>441</v>
      </c>
      <c r="CA450" s="184">
        <f t="shared" si="193"/>
        <v>2.1100000000000001E-2</v>
      </c>
    </row>
    <row r="451" spans="75:79">
      <c r="BW451" s="59"/>
      <c r="BX451" s="168"/>
      <c r="BY451" s="182">
        <v>2.1000000000000001E-2</v>
      </c>
      <c r="BZ451" s="185">
        <v>442</v>
      </c>
      <c r="CA451" s="184">
        <f t="shared" si="193"/>
        <v>2.1000000000000001E-2</v>
      </c>
    </row>
    <row r="452" spans="75:79">
      <c r="BW452" s="59"/>
      <c r="BX452" s="168"/>
      <c r="BY452" s="182">
        <v>2.0899999999999998E-2</v>
      </c>
      <c r="BZ452" s="185">
        <v>443</v>
      </c>
      <c r="CA452" s="184">
        <f t="shared" si="193"/>
        <v>2.0899999999999998E-2</v>
      </c>
    </row>
    <row r="453" spans="75:79">
      <c r="BW453" s="59"/>
      <c r="BX453" s="168"/>
      <c r="BY453" s="182">
        <v>2.0799999999999999E-2</v>
      </c>
      <c r="BZ453" s="185">
        <v>444</v>
      </c>
      <c r="CA453" s="184">
        <f t="shared" si="193"/>
        <v>2.0799999999999999E-2</v>
      </c>
    </row>
    <row r="454" spans="75:79">
      <c r="BW454" s="59"/>
      <c r="BX454" s="168"/>
      <c r="BY454" s="182">
        <v>2.07E-2</v>
      </c>
      <c r="BZ454" s="185">
        <v>445</v>
      </c>
      <c r="CA454" s="184">
        <f t="shared" si="193"/>
        <v>2.07E-2</v>
      </c>
    </row>
    <row r="455" spans="75:79">
      <c r="BW455" s="59"/>
      <c r="BX455" s="168"/>
      <c r="BY455" s="182">
        <v>2.06E-2</v>
      </c>
      <c r="BZ455" s="185">
        <v>446</v>
      </c>
      <c r="CA455" s="184">
        <f t="shared" si="193"/>
        <v>2.06E-2</v>
      </c>
    </row>
    <row r="456" spans="75:79">
      <c r="BW456" s="59"/>
      <c r="BX456" s="168"/>
      <c r="BY456" s="182">
        <v>2.0500000000000001E-2</v>
      </c>
      <c r="BZ456" s="185">
        <v>447</v>
      </c>
      <c r="CA456" s="184">
        <f t="shared" si="193"/>
        <v>2.0500000000000001E-2</v>
      </c>
    </row>
    <row r="457" spans="75:79">
      <c r="BW457" s="59"/>
      <c r="BX457" s="168"/>
      <c r="BY457" s="182">
        <v>2.0400000000000001E-2</v>
      </c>
      <c r="BZ457" s="185">
        <v>448</v>
      </c>
      <c r="CA457" s="184">
        <f t="shared" si="193"/>
        <v>2.0400000000000001E-2</v>
      </c>
    </row>
    <row r="458" spans="75:79">
      <c r="BY458" s="182">
        <v>2.0299999999999999E-2</v>
      </c>
      <c r="BZ458" s="185">
        <v>449</v>
      </c>
      <c r="CA458" s="184">
        <f t="shared" si="193"/>
        <v>2.0299999999999999E-2</v>
      </c>
    </row>
    <row r="459" spans="75:79">
      <c r="BY459" s="182">
        <v>2.0199999999999999E-2</v>
      </c>
      <c r="BZ459" s="185">
        <v>450</v>
      </c>
      <c r="CA459" s="184">
        <f t="shared" si="193"/>
        <v>2.0199999999999999E-2</v>
      </c>
    </row>
    <row r="460" spans="75:79">
      <c r="BY460" s="182">
        <v>2.01E-2</v>
      </c>
      <c r="BZ460" s="185">
        <v>451</v>
      </c>
      <c r="CA460" s="184">
        <f t="shared" si="193"/>
        <v>2.01E-2</v>
      </c>
    </row>
    <row r="461" spans="75:79">
      <c r="BY461" s="182">
        <v>0.02</v>
      </c>
      <c r="BZ461" s="185">
        <v>452</v>
      </c>
      <c r="CA461" s="184">
        <f t="shared" si="193"/>
        <v>0.02</v>
      </c>
    </row>
  </sheetData>
  <sheetProtection algorithmName="SHA-512" hashValue="FdLiFQvXZfsd1l3IFdNmUa6rcvFKCTzPH+ydItqxFd5n8vS1GIA8K18JIF+zdd6qIm2ivNv3xD/+PUOOFoqoWQ==" saltValue="Rerr8Hkg1LkptnZjxN6f7Q==" spinCount="100000" sheet="1" objects="1" scenarios="1"/>
  <mergeCells count="70">
    <mergeCell ref="CK6:CL12"/>
    <mergeCell ref="DC9:DH20"/>
    <mergeCell ref="CT10:CV11"/>
    <mergeCell ref="CT13:CV14"/>
    <mergeCell ref="CT16:CV16"/>
    <mergeCell ref="DL1:DM1"/>
    <mergeCell ref="CZ15:DA18"/>
    <mergeCell ref="CW16:CX16"/>
    <mergeCell ref="CM6:CO6"/>
    <mergeCell ref="CM8:CO8"/>
    <mergeCell ref="CY11:DA12"/>
    <mergeCell ref="DA13:DA14"/>
    <mergeCell ref="CM10:CO11"/>
    <mergeCell ref="DL18:DN23"/>
    <mergeCell ref="CV1:CY1"/>
    <mergeCell ref="DN1:DO1"/>
    <mergeCell ref="CV24:DE25"/>
    <mergeCell ref="CW19:CX21"/>
    <mergeCell ref="CM21:CN21"/>
    <mergeCell ref="CM13:CO13"/>
    <mergeCell ref="CM14:CO14"/>
    <mergeCell ref="CK24:CT25"/>
    <mergeCell ref="CK14:CL21"/>
    <mergeCell ref="CT17:CV17"/>
    <mergeCell ref="CM16:CN19"/>
    <mergeCell ref="CK1:CL1"/>
    <mergeCell ref="CM1:CT1"/>
    <mergeCell ref="DH25:DM25"/>
    <mergeCell ref="DL45:DM46"/>
    <mergeCell ref="CT19:CV21"/>
    <mergeCell ref="CX26:CZ27"/>
    <mergeCell ref="DA26:DB27"/>
    <mergeCell ref="DC26:DE27"/>
    <mergeCell ref="CW17:CX17"/>
    <mergeCell ref="CZ19:CZ21"/>
    <mergeCell ref="CK26:CL27"/>
    <mergeCell ref="CM22:CN22"/>
    <mergeCell ref="CP22:CR22"/>
    <mergeCell ref="CK22:CL22"/>
    <mergeCell ref="DA1:DD1"/>
    <mergeCell ref="CM26:CO27"/>
    <mergeCell ref="DH32:DK32"/>
    <mergeCell ref="DH34:DK34"/>
    <mergeCell ref="DL39:DN39"/>
    <mergeCell ref="DM42:DN43"/>
    <mergeCell ref="DK40:DL41"/>
    <mergeCell ref="DK42:DL43"/>
    <mergeCell ref="DH38:DI40"/>
    <mergeCell ref="DH41:DI43"/>
    <mergeCell ref="DL60:DN66"/>
    <mergeCell ref="DL52:DN58"/>
    <mergeCell ref="DL48:DM49"/>
    <mergeCell ref="DH48:DK49"/>
    <mergeCell ref="DH45:DK46"/>
    <mergeCell ref="U31:Z31"/>
    <mergeCell ref="AA31:AF31"/>
    <mergeCell ref="DJ3:DL10"/>
    <mergeCell ref="U32:W32"/>
    <mergeCell ref="X32:Z32"/>
    <mergeCell ref="AA32:AC32"/>
    <mergeCell ref="AD32:AF32"/>
    <mergeCell ref="CQ6:CR6"/>
    <mergeCell ref="CQ8:CR8"/>
    <mergeCell ref="CQ10:CR10"/>
    <mergeCell ref="CQ16:CR16"/>
    <mergeCell ref="CQ13:CR13"/>
    <mergeCell ref="CP26:CQ27"/>
    <mergeCell ref="CR26:CT27"/>
    <mergeCell ref="CV26:CW27"/>
    <mergeCell ref="CK2:CR3"/>
  </mergeCells>
  <phoneticPr fontId="22" type="noConversion"/>
  <conditionalFormatting sqref="CK4">
    <cfRule type="expression" dxfId="168" priority="11">
      <formula>$CI$4</formula>
    </cfRule>
  </conditionalFormatting>
  <conditionalFormatting sqref="CK29:CL66 CP29:CQ66 CV29:CW66">
    <cfRule type="cellIs" dxfId="167" priority="35" stopIfTrue="1" operator="equal">
      <formula>""</formula>
    </cfRule>
  </conditionalFormatting>
  <conditionalFormatting sqref="CM13:CM14">
    <cfRule type="expression" dxfId="166" priority="637">
      <formula>IF($AH$8=1,TRUE,FALSE)</formula>
    </cfRule>
  </conditionalFormatting>
  <conditionalFormatting sqref="CM21">
    <cfRule type="expression" dxfId="165" priority="22" stopIfTrue="1">
      <formula>IF(Cntrl4=7,TRUE,FALSE)</formula>
    </cfRule>
  </conditionalFormatting>
  <conditionalFormatting sqref="CM22:CN22">
    <cfRule type="expression" dxfId="164" priority="20">
      <formula>IF(Cntrl4=2,TRUE,FALSE)</formula>
    </cfRule>
  </conditionalFormatting>
  <conditionalFormatting sqref="CM16:CO19 CP17:CP19">
    <cfRule type="expression" dxfId="163" priority="32" stopIfTrue="1">
      <formula>IF(Cntrl1=2,TRUE,FALSE)</formula>
    </cfRule>
  </conditionalFormatting>
  <conditionalFormatting sqref="CM29:CO66 CR29:CT66">
    <cfRule type="cellIs" dxfId="162" priority="471" stopIfTrue="1" operator="equal">
      <formula>$CW$19</formula>
    </cfRule>
  </conditionalFormatting>
  <conditionalFormatting sqref="CO22">
    <cfRule type="expression" dxfId="161" priority="1">
      <formula>$CI$22</formula>
    </cfRule>
  </conditionalFormatting>
  <conditionalFormatting sqref="CP6">
    <cfRule type="expression" dxfId="160" priority="10">
      <formula>$CI$6</formula>
    </cfRule>
  </conditionalFormatting>
  <conditionalFormatting sqref="CP8">
    <cfRule type="expression" dxfId="159" priority="9">
      <formula>$CI$8</formula>
    </cfRule>
  </conditionalFormatting>
  <conditionalFormatting sqref="CP10">
    <cfRule type="expression" dxfId="158" priority="8">
      <formula>$CI$10</formula>
    </cfRule>
  </conditionalFormatting>
  <conditionalFormatting sqref="CP13">
    <cfRule type="expression" dxfId="157" priority="6">
      <formula>$CI$13</formula>
    </cfRule>
  </conditionalFormatting>
  <conditionalFormatting sqref="CP16">
    <cfRule type="expression" dxfId="156" priority="4">
      <formula>$CI$16</formula>
    </cfRule>
  </conditionalFormatting>
  <conditionalFormatting sqref="CQ17">
    <cfRule type="expression" dxfId="155" priority="3">
      <formula>$CI$17</formula>
    </cfRule>
  </conditionalFormatting>
  <conditionalFormatting sqref="CQ18:CQ19">
    <cfRule type="expression" dxfId="154" priority="2">
      <formula>$CI$18</formula>
    </cfRule>
  </conditionalFormatting>
  <conditionalFormatting sqref="CW10">
    <cfRule type="expression" dxfId="153" priority="7">
      <formula>$CI$11</formula>
    </cfRule>
  </conditionalFormatting>
  <conditionalFormatting sqref="CW13">
    <cfRule type="expression" dxfId="152" priority="5">
      <formula>$CI$14</formula>
    </cfRule>
  </conditionalFormatting>
  <conditionalFormatting sqref="CW19">
    <cfRule type="cellIs" dxfId="151" priority="675" stopIfTrue="1" operator="greaterThanOrEqual">
      <formula>$CH$9-0.05</formula>
    </cfRule>
    <cfRule type="cellIs" dxfId="150" priority="676" stopIfTrue="1" operator="lessThan">
      <formula>$CH$9-0.05</formula>
    </cfRule>
  </conditionalFormatting>
  <conditionalFormatting sqref="CX29:CZ66 DC29:DE66 CM29:CO66 CR29:CT66">
    <cfRule type="cellIs" dxfId="149" priority="671" stopIfTrue="1" operator="between">
      <formula>$CH$9-0.05</formula>
      <formula>12</formula>
    </cfRule>
  </conditionalFormatting>
  <conditionalFormatting sqref="CX29:CZ66 DC29:DE66">
    <cfRule type="cellIs" dxfId="148" priority="624" stopIfTrue="1" operator="equal">
      <formula>$AW$43</formula>
    </cfRule>
    <cfRule type="cellIs" dxfId="147" priority="625" stopIfTrue="1" operator="equal">
      <formula>$CZ$19</formula>
    </cfRule>
  </conditionalFormatting>
  <conditionalFormatting sqref="CZ19">
    <cfRule type="cellIs" dxfId="146" priority="677" operator="greaterThanOrEqual">
      <formula>$CH$9-0.05</formula>
    </cfRule>
  </conditionalFormatting>
  <conditionalFormatting sqref="DA29:DB66">
    <cfRule type="cellIs" dxfId="145" priority="33" stopIfTrue="1" operator="equal">
      <formula>""</formula>
    </cfRule>
  </conditionalFormatting>
  <conditionalFormatting sqref="DB4 CZ5 CM10 CT13 CZ13 CK26 CP26 CV26 DA26 CL28:CL66 CQ28:CQ66 CW28:CW66 DB28:DB66">
    <cfRule type="expression" dxfId="144" priority="29">
      <formula>Two_layers</formula>
    </cfRule>
  </conditionalFormatting>
  <conditionalFormatting sqref="DH38">
    <cfRule type="expression" dxfId="143" priority="26" stopIfTrue="1">
      <formula>Both_layers</formula>
    </cfRule>
    <cfRule type="expression" dxfId="142" priority="28">
      <formula>Layer_two</formula>
    </cfRule>
  </conditionalFormatting>
  <conditionalFormatting sqref="DH41">
    <cfRule type="expression" dxfId="141" priority="25" stopIfTrue="1">
      <formula>Both_layers</formula>
    </cfRule>
  </conditionalFormatting>
  <conditionalFormatting sqref="DH38:DI40 DH41">
    <cfRule type="expression" dxfId="140" priority="24" stopIfTrue="1">
      <formula>One_layer</formula>
    </cfRule>
  </conditionalFormatting>
  <conditionalFormatting sqref="DK38:DN38 DK40 DM40:DN40 DK42:DN43">
    <cfRule type="expression" dxfId="139" priority="27" stopIfTrue="1">
      <formula>OR(One_layer,Both_layers)</formula>
    </cfRule>
  </conditionalFormatting>
  <conditionalFormatting sqref="DK38:DN38 DK40 DM40:DN40">
    <cfRule type="expression" dxfId="138" priority="23" stopIfTrue="1">
      <formula>Layer_two</formula>
    </cfRule>
  </conditionalFormatting>
  <hyperlinks>
    <hyperlink ref="DA1" r:id="rId1" xr:uid="{714BDC93-E98F-4BF8-AA0D-7B6DDBEA7953}"/>
  </hyperlinks>
  <pageMargins left="0.7" right="0.7" top="0.75" bottom="0.75" header="0.3" footer="0.3"/>
  <pageSetup orientation="portrait" r:id="rId2"/>
  <drawing r:id="rId3"/>
  <legacyDrawing r:id="rId4"/>
  <controls>
    <mc:AlternateContent xmlns:mc="http://schemas.openxmlformats.org/markup-compatibility/2006">
      <mc:Choice Requires="x14">
        <control shapeId="102401" r:id="rId5" name="ComboBox_1">
          <controlPr defaultSize="0" autoLine="0" linkedCell="$CG$9" listFillRange="$CG$10:$CH$85" r:id="rId6">
            <anchor moveWithCells="1">
              <from>
                <xdr:col>88</xdr:col>
                <xdr:colOff>0</xdr:colOff>
                <xdr:row>12</xdr:row>
                <xdr:rowOff>0</xdr:rowOff>
              </from>
              <to>
                <xdr:col>90</xdr:col>
                <xdr:colOff>9525</xdr:colOff>
                <xdr:row>13</xdr:row>
                <xdr:rowOff>38100</xdr:rowOff>
              </to>
            </anchor>
          </controlPr>
        </control>
      </mc:Choice>
      <mc:Fallback>
        <control shapeId="102401" r:id="rId5" name="ComboBox_1"/>
      </mc:Fallback>
    </mc:AlternateContent>
    <mc:AlternateContent xmlns:mc="http://schemas.openxmlformats.org/markup-compatibility/2006">
      <mc:Choice Requires="x14">
        <control shapeId="102405" r:id="rId7" name="ComboBox_10">
          <controlPr defaultSize="0" autoLine="0" linkedCell="$BD$9" listFillRange="$BD$10:$BE$24" r:id="rId8">
            <anchor moveWithCells="1">
              <from>
                <xdr:col>114</xdr:col>
                <xdr:colOff>600075</xdr:colOff>
                <xdr:row>33</xdr:row>
                <xdr:rowOff>0</xdr:rowOff>
              </from>
              <to>
                <xdr:col>117</xdr:col>
                <xdr:colOff>0</xdr:colOff>
                <xdr:row>34</xdr:row>
                <xdr:rowOff>38100</xdr:rowOff>
              </to>
            </anchor>
          </controlPr>
        </control>
      </mc:Choice>
      <mc:Fallback>
        <control shapeId="102405" r:id="rId7" name="ComboBox_10"/>
      </mc:Fallback>
    </mc:AlternateContent>
    <mc:AlternateContent xmlns:mc="http://schemas.openxmlformats.org/markup-compatibility/2006">
      <mc:Choice Requires="x14">
        <control shapeId="102406" r:id="rId9" name="ComboBox_11">
          <controlPr defaultSize="0" autoLine="0" linkedCell="$BN$9" listFillRange="$BN$10:$BO$85" r:id="rId10">
            <anchor moveWithCells="1">
              <from>
                <xdr:col>115</xdr:col>
                <xdr:colOff>590550</xdr:colOff>
                <xdr:row>39</xdr:row>
                <xdr:rowOff>180975</xdr:rowOff>
              </from>
              <to>
                <xdr:col>117</xdr:col>
                <xdr:colOff>600075</xdr:colOff>
                <xdr:row>41</xdr:row>
                <xdr:rowOff>19050</xdr:rowOff>
              </to>
            </anchor>
          </controlPr>
        </control>
      </mc:Choice>
      <mc:Fallback>
        <control shapeId="102406" r:id="rId9" name="ComboBox_11"/>
      </mc:Fallback>
    </mc:AlternateContent>
    <mc:AlternateContent xmlns:mc="http://schemas.openxmlformats.org/markup-compatibility/2006">
      <mc:Choice Requires="x14">
        <control shapeId="102407" r:id="rId11" name="ComboBox_9">
          <controlPr defaultSize="0" autoLine="0" linkedCell="$BK$9" listFillRange="$BK$10:$BL$60" r:id="rId12">
            <anchor moveWithCells="1">
              <from>
                <xdr:col>114</xdr:col>
                <xdr:colOff>590550</xdr:colOff>
                <xdr:row>30</xdr:row>
                <xdr:rowOff>180975</xdr:rowOff>
              </from>
              <to>
                <xdr:col>116</xdr:col>
                <xdr:colOff>600075</xdr:colOff>
                <xdr:row>32</xdr:row>
                <xdr:rowOff>19050</xdr:rowOff>
              </to>
            </anchor>
          </controlPr>
        </control>
      </mc:Choice>
      <mc:Fallback>
        <control shapeId="102407" r:id="rId11" name="ComboBox_9"/>
      </mc:Fallback>
    </mc:AlternateContent>
    <mc:AlternateContent xmlns:mc="http://schemas.openxmlformats.org/markup-compatibility/2006">
      <mc:Choice Requires="x14">
        <control shapeId="102409" r:id="rId13" name="ComboBox_8">
          <controlPr defaultSize="0" autoLine="0" linkedCell="$CD$9" listFillRange="$CD$10:$CE$86" r:id="rId14">
            <anchor moveWithCells="1">
              <from>
                <xdr:col>100</xdr:col>
                <xdr:colOff>0</xdr:colOff>
                <xdr:row>11</xdr:row>
                <xdr:rowOff>161925</xdr:rowOff>
              </from>
              <to>
                <xdr:col>102</xdr:col>
                <xdr:colOff>9525</xdr:colOff>
                <xdr:row>13</xdr:row>
                <xdr:rowOff>0</xdr:rowOff>
              </to>
            </anchor>
          </controlPr>
        </control>
      </mc:Choice>
      <mc:Fallback>
        <control shapeId="102409" r:id="rId13" name="ComboBox_8"/>
      </mc:Fallback>
    </mc:AlternateContent>
    <mc:AlternateContent xmlns:mc="http://schemas.openxmlformats.org/markup-compatibility/2006">
      <mc:Choice Requires="x14">
        <control shapeId="102410" r:id="rId15" name="ComboBox_7">
          <controlPr defaultSize="0" autoLine="0" linkedCell="$BA$9" listFillRange="$BA$10:$BB$13" r:id="rId16">
            <anchor moveWithCells="1">
              <from>
                <xdr:col>100</xdr:col>
                <xdr:colOff>0</xdr:colOff>
                <xdr:row>8</xdr:row>
                <xdr:rowOff>180975</xdr:rowOff>
              </from>
              <to>
                <xdr:col>102</xdr:col>
                <xdr:colOff>9525</xdr:colOff>
                <xdr:row>10</xdr:row>
                <xdr:rowOff>19050</xdr:rowOff>
              </to>
            </anchor>
          </controlPr>
        </control>
      </mc:Choice>
      <mc:Fallback>
        <control shapeId="102410" r:id="rId15" name="ComboBox_7"/>
      </mc:Fallback>
    </mc:AlternateContent>
    <mc:AlternateContent xmlns:mc="http://schemas.openxmlformats.org/markup-compatibility/2006">
      <mc:Choice Requires="x14">
        <control shapeId="102402" r:id="rId17" name="ComboBox_4">
          <controlPr defaultSize="0" autoLine="0" linkedCell="$BZ$9" listFillRange="$BZ$10:$CA$461" r:id="rId18">
            <anchor moveWithCells="1">
              <from>
                <xdr:col>93</xdr:col>
                <xdr:colOff>0</xdr:colOff>
                <xdr:row>8</xdr:row>
                <xdr:rowOff>171450</xdr:rowOff>
              </from>
              <to>
                <xdr:col>96</xdr:col>
                <xdr:colOff>38100</xdr:colOff>
                <xdr:row>10</xdr:row>
                <xdr:rowOff>9525</xdr:rowOff>
              </to>
            </anchor>
          </controlPr>
        </control>
      </mc:Choice>
      <mc:Fallback>
        <control shapeId="102402" r:id="rId17" name="ComboBox_4"/>
      </mc:Fallback>
    </mc:AlternateContent>
    <mc:AlternateContent xmlns:mc="http://schemas.openxmlformats.org/markup-compatibility/2006">
      <mc:Choice Requires="x14">
        <control shapeId="102403" r:id="rId19" name="ComboBox_3">
          <controlPr defaultSize="0" autoLine="0" linkedCell="$AW$9" listFillRange="$AW$10:$AX$12" r:id="rId20">
            <anchor moveWithCells="1">
              <from>
                <xdr:col>93</xdr:col>
                <xdr:colOff>0</xdr:colOff>
                <xdr:row>6</xdr:row>
                <xdr:rowOff>161925</xdr:rowOff>
              </from>
              <to>
                <xdr:col>96</xdr:col>
                <xdr:colOff>38100</xdr:colOff>
                <xdr:row>8</xdr:row>
                <xdr:rowOff>0</xdr:rowOff>
              </to>
            </anchor>
          </controlPr>
        </control>
      </mc:Choice>
      <mc:Fallback>
        <control shapeId="102403" r:id="rId19" name="ComboBox_3"/>
      </mc:Fallback>
    </mc:AlternateContent>
    <mc:AlternateContent xmlns:mc="http://schemas.openxmlformats.org/markup-compatibility/2006">
      <mc:Choice Requires="x14">
        <control shapeId="102404" r:id="rId21" name="ComboBox_2">
          <controlPr defaultSize="0" autoLine="0" linkedCell="$AO$9" listFillRange="$AO$10:$AP$12" r:id="rId22">
            <anchor moveWithCells="1">
              <from>
                <xdr:col>93</xdr:col>
                <xdr:colOff>0</xdr:colOff>
                <xdr:row>4</xdr:row>
                <xdr:rowOff>161925</xdr:rowOff>
              </from>
              <to>
                <xdr:col>96</xdr:col>
                <xdr:colOff>38100</xdr:colOff>
                <xdr:row>6</xdr:row>
                <xdr:rowOff>0</xdr:rowOff>
              </to>
            </anchor>
          </controlPr>
        </control>
      </mc:Choice>
      <mc:Fallback>
        <control shapeId="102404" r:id="rId21" name="ComboBox_2"/>
      </mc:Fallback>
    </mc:AlternateContent>
    <mc:AlternateContent xmlns:mc="http://schemas.openxmlformats.org/markup-compatibility/2006">
      <mc:Choice Requires="x14">
        <control shapeId="102408" r:id="rId23" name="ComboBox_6">
          <controlPr defaultSize="0" autoLine="0" linkedCell="$AJ$9" listFillRange="$AJ$10:$AK$15" r:id="rId24">
            <anchor moveWithCells="1">
              <from>
                <xdr:col>91</xdr:col>
                <xdr:colOff>600075</xdr:colOff>
                <xdr:row>21</xdr:row>
                <xdr:rowOff>0</xdr:rowOff>
              </from>
              <to>
                <xdr:col>96</xdr:col>
                <xdr:colOff>47625</xdr:colOff>
                <xdr:row>22</xdr:row>
                <xdr:rowOff>38100</xdr:rowOff>
              </to>
            </anchor>
          </controlPr>
        </control>
      </mc:Choice>
      <mc:Fallback>
        <control shapeId="102408" r:id="rId23" name="ComboBox_6"/>
      </mc:Fallback>
    </mc:AlternateContent>
    <mc:AlternateContent xmlns:mc="http://schemas.openxmlformats.org/markup-compatibility/2006">
      <mc:Choice Requires="x14">
        <control shapeId="102411" r:id="rId25" name="ComboBox_5">
          <controlPr defaultSize="0" autoLine="0" linkedCell="$AS$9" listFillRange="$AS$10:$AT$13" r:id="rId26">
            <anchor moveWithCells="1">
              <from>
                <xdr:col>93</xdr:col>
                <xdr:colOff>0</xdr:colOff>
                <xdr:row>14</xdr:row>
                <xdr:rowOff>161925</xdr:rowOff>
              </from>
              <to>
                <xdr:col>96</xdr:col>
                <xdr:colOff>38100</xdr:colOff>
                <xdr:row>16</xdr:row>
                <xdr:rowOff>0</xdr:rowOff>
              </to>
            </anchor>
          </controlPr>
        </control>
      </mc:Choice>
      <mc:Fallback>
        <control shapeId="102411" r:id="rId25" name="ComboBox_5"/>
      </mc:Fallback>
    </mc:AlternateContent>
    <mc:AlternateContent xmlns:mc="http://schemas.openxmlformats.org/markup-compatibility/2006">
      <mc:Choice Requires="x14">
        <control shapeId="102412" r:id="rId27" name="ComboBox_14">
          <controlPr defaultSize="0" autoLine="0" linkedCell="$BT$9" listFillRange="$BT$10:$BU$251" r:id="rId28">
            <anchor moveWithCells="1">
              <from>
                <xdr:col>93</xdr:col>
                <xdr:colOff>600075</xdr:colOff>
                <xdr:row>18</xdr:row>
                <xdr:rowOff>38100</xdr:rowOff>
              </from>
              <to>
                <xdr:col>96</xdr:col>
                <xdr:colOff>47625</xdr:colOff>
                <xdr:row>19</xdr:row>
                <xdr:rowOff>76200</xdr:rowOff>
              </to>
            </anchor>
          </controlPr>
        </control>
      </mc:Choice>
      <mc:Fallback>
        <control shapeId="102412" r:id="rId27" name="ComboBox_14"/>
      </mc:Fallback>
    </mc:AlternateContent>
    <mc:AlternateContent xmlns:mc="http://schemas.openxmlformats.org/markup-compatibility/2006">
      <mc:Choice Requires="x14">
        <control shapeId="102413" r:id="rId29" name="ComboBox_13">
          <controlPr defaultSize="0" autoLine="0" linkedCell="$BQ$9" listFillRange="$BQ$10:$BR$105" r:id="rId28">
            <anchor moveWithCells="1">
              <from>
                <xdr:col>93</xdr:col>
                <xdr:colOff>600075</xdr:colOff>
                <xdr:row>17</xdr:row>
                <xdr:rowOff>19050</xdr:rowOff>
              </from>
              <to>
                <xdr:col>96</xdr:col>
                <xdr:colOff>47625</xdr:colOff>
                <xdr:row>18</xdr:row>
                <xdr:rowOff>57150</xdr:rowOff>
              </to>
            </anchor>
          </controlPr>
        </control>
      </mc:Choice>
      <mc:Fallback>
        <control shapeId="102413" r:id="rId29" name="ComboBox_13"/>
      </mc:Fallback>
    </mc:AlternateContent>
    <mc:AlternateContent xmlns:mc="http://schemas.openxmlformats.org/markup-compatibility/2006">
      <mc:Choice Requires="x14">
        <control shapeId="102414" r:id="rId30" name="ComboBox_12">
          <controlPr defaultSize="0" autoLine="0" linkedCell="$BW$9" listFillRange="$BW$10:$BX$310" r:id="rId28">
            <anchor moveWithCells="1">
              <from>
                <xdr:col>93</xdr:col>
                <xdr:colOff>600075</xdr:colOff>
                <xdr:row>16</xdr:row>
                <xdr:rowOff>9525</xdr:rowOff>
              </from>
              <to>
                <xdr:col>96</xdr:col>
                <xdr:colOff>47625</xdr:colOff>
                <xdr:row>17</xdr:row>
                <xdr:rowOff>47625</xdr:rowOff>
              </to>
            </anchor>
          </controlPr>
        </control>
      </mc:Choice>
      <mc:Fallback>
        <control shapeId="102414" r:id="rId30" name="ComboBox_12"/>
      </mc:Fallback>
    </mc:AlternateContent>
    <mc:AlternateContent xmlns:mc="http://schemas.openxmlformats.org/markup-compatibility/2006">
      <mc:Choice Requires="x14">
        <control shapeId="102432" r:id="rId31" name="ComboBox_16">
          <controlPr defaultSize="0" autoLine="0" linkedCell="$BH$9" listFillRange="$BH$10:$BI$39" r:id="rId32">
            <anchor moveWithCells="1">
              <from>
                <xdr:col>93</xdr:col>
                <xdr:colOff>0</xdr:colOff>
                <xdr:row>11</xdr:row>
                <xdr:rowOff>180975</xdr:rowOff>
              </from>
              <to>
                <xdr:col>96</xdr:col>
                <xdr:colOff>38100</xdr:colOff>
                <xdr:row>13</xdr:row>
                <xdr:rowOff>19050</xdr:rowOff>
              </to>
            </anchor>
          </controlPr>
        </control>
      </mc:Choice>
      <mc:Fallback>
        <control shapeId="102432" r:id="rId31" name="ComboBox_16"/>
      </mc:Fallback>
    </mc:AlternateContent>
    <mc:AlternateContent xmlns:mc="http://schemas.openxmlformats.org/markup-compatibility/2006">
      <mc:Choice Requires="x14">
        <control shapeId="102434" r:id="rId33" name="ComboBox_15">
          <controlPr defaultSize="0" autoLine="0" linkedCell="$AG$9" listFillRange="$AG$10:$AH$12" r:id="rId34">
            <anchor moveWithCells="1">
              <from>
                <xdr:col>87</xdr:col>
                <xdr:colOff>323850</xdr:colOff>
                <xdr:row>3</xdr:row>
                <xdr:rowOff>0</xdr:rowOff>
              </from>
              <to>
                <xdr:col>96</xdr:col>
                <xdr:colOff>38100</xdr:colOff>
                <xdr:row>4</xdr:row>
                <xdr:rowOff>47625</xdr:rowOff>
              </to>
            </anchor>
          </controlPr>
        </control>
      </mc:Choice>
      <mc:Fallback>
        <control shapeId="102434" r:id="rId33" name="ComboBox_15"/>
      </mc:Fallback>
    </mc:AlternateContent>
    <mc:AlternateContent xmlns:mc="http://schemas.openxmlformats.org/markup-compatibility/2006">
      <mc:Choice Requires="x14">
        <control shapeId="102446" r:id="rId35" name="ComboBox_17">
          <controlPr defaultSize="0" autoLine="0" linkedCell="$AD$9" listFillRange="$AD$10:$AE$11" r:id="rId36">
            <anchor moveWithCells="1">
              <from>
                <xdr:col>114</xdr:col>
                <xdr:colOff>0</xdr:colOff>
                <xdr:row>37</xdr:row>
                <xdr:rowOff>190500</xdr:rowOff>
              </from>
              <to>
                <xdr:col>117</xdr:col>
                <xdr:colOff>590550</xdr:colOff>
                <xdr:row>39</xdr:row>
                <xdr:rowOff>28575</xdr:rowOff>
              </to>
            </anchor>
          </controlPr>
        </control>
      </mc:Choice>
      <mc:Fallback>
        <control shapeId="102446" r:id="rId35" name="ComboBox_17"/>
      </mc:Fallback>
    </mc:AlternateContent>
  </controls>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7F65F-71C8-4D05-8AB0-D1598D531FDA}">
  <sheetPr codeName="Sheet7"/>
  <dimension ref="A1:FP2233"/>
  <sheetViews>
    <sheetView showGridLines="0" showRowColHeaders="0" topLeftCell="BO1" zoomScaleNormal="100" workbookViewId="0">
      <selection activeCell="BO1" sqref="BO1"/>
    </sheetView>
  </sheetViews>
  <sheetFormatPr defaultColWidth="9.140625" defaultRowHeight="15"/>
  <cols>
    <col min="1" max="2" width="9.140625" hidden="1" customWidth="1"/>
    <col min="3" max="3" width="9.140625" style="2" hidden="1" customWidth="1"/>
    <col min="4" max="4" width="12.85546875" style="2" hidden="1" customWidth="1"/>
    <col min="5" max="5" width="16.85546875" hidden="1" customWidth="1"/>
    <col min="6" max="6" width="110.7109375" hidden="1" customWidth="1"/>
    <col min="7" max="8" width="9.140625" hidden="1" customWidth="1"/>
    <col min="9" max="9" width="24.85546875" hidden="1" customWidth="1"/>
    <col min="10" max="10" width="26.28515625" style="2" hidden="1" customWidth="1"/>
    <col min="11" max="11" width="6.42578125" hidden="1" customWidth="1"/>
    <col min="12" max="12" width="9.140625" style="2" hidden="1" customWidth="1"/>
    <col min="13" max="13" width="9.140625" hidden="1" customWidth="1"/>
    <col min="14" max="14" width="9.140625" style="2" hidden="1" customWidth="1"/>
    <col min="15" max="15" width="10" hidden="1" customWidth="1"/>
    <col min="16" max="16" width="10.140625" hidden="1" customWidth="1"/>
    <col min="17" max="17" width="12.42578125" hidden="1" customWidth="1"/>
    <col min="18" max="18" width="9.140625" style="2" hidden="1" customWidth="1"/>
    <col min="19" max="28" width="9.140625" style="166" hidden="1" customWidth="1"/>
    <col min="29" max="66" width="9.140625" style="155" hidden="1" customWidth="1"/>
    <col min="67" max="67" width="4.42578125" style="254" customWidth="1"/>
    <col min="68" max="98" width="9.140625" style="254"/>
    <col min="99" max="99" width="11.85546875" style="254" bestFit="1" customWidth="1"/>
    <col min="100" max="100" width="9.140625" style="254"/>
    <col min="101" max="101" width="1.7109375" style="308" customWidth="1"/>
    <col min="102" max="103" width="1.85546875" style="308" customWidth="1"/>
    <col min="104" max="104" width="1.85546875" style="309" customWidth="1"/>
    <col min="105" max="108" width="1.7109375" style="309" customWidth="1"/>
    <col min="109" max="110" width="1.7109375" style="308" customWidth="1"/>
    <col min="111" max="116" width="1.7109375" style="309" customWidth="1"/>
    <col min="117" max="118" width="1.7109375" style="310" customWidth="1"/>
    <col min="119" max="119" width="1.7109375" style="309" customWidth="1"/>
    <col min="120" max="126" width="1.7109375" style="308" customWidth="1"/>
    <col min="127" max="128" width="1.7109375" style="309" customWidth="1"/>
    <col min="129" max="159" width="9.140625" style="166"/>
    <col min="160" max="160" width="9.140625" style="306"/>
    <col min="161" max="16384" width="9.140625" style="166"/>
  </cols>
  <sheetData>
    <row r="1" spans="1:172" ht="37.5" customHeight="1">
      <c r="C1" s="2">
        <f>SUM(C2:C27)</f>
        <v>448</v>
      </c>
      <c r="D1" s="2">
        <f>SUM(D2:D27)</f>
        <v>101</v>
      </c>
      <c r="F1" s="177" t="str">
        <f>_xlfn.CONCAT(E2:E27)</f>
        <v>01111010000000000000000000000000000000000000000000000000000000000101111010111100010111101010101000010</v>
      </c>
      <c r="G1" t="s">
        <v>0</v>
      </c>
      <c r="I1" s="580" t="str">
        <f>_xlfn.CONCAT(I2:I27)</f>
        <v>egAAAAAAAABevF6qE</v>
      </c>
      <c r="J1" s="580" t="str">
        <f>radix64</f>
        <v>egAAAAAAAABevF6qE</v>
      </c>
      <c r="K1" t="str">
        <f>J1</f>
        <v>egAAAAAAAABevF6qE</v>
      </c>
      <c r="L1" s="2" t="s">
        <v>0</v>
      </c>
      <c r="O1" t="str">
        <f>_xlfn.CONCAT((O2:O27))</f>
        <v>011110100000000000000000000000000000000000000000000000000000000001011110101111000101111010101010000100</v>
      </c>
      <c r="P1" s="177" t="str">
        <f>O1</f>
        <v>011110100000000000000000000000000000000000000000000000000000000001011110101111000101111010101010000100</v>
      </c>
      <c r="Q1" t="s">
        <v>0</v>
      </c>
      <c r="R1" s="2">
        <f>SUM(R2:R27)</f>
        <v>448</v>
      </c>
      <c r="U1" s="12">
        <f>Cntrl13-1</f>
        <v>2</v>
      </c>
      <c r="V1" s="575"/>
      <c r="W1" s="575"/>
      <c r="X1" s="575">
        <f>Cntrl14-1</f>
        <v>0</v>
      </c>
      <c r="Y1" s="575"/>
      <c r="Z1" s="575"/>
      <c r="AA1" s="575">
        <f>Cntrl15-1</f>
        <v>0</v>
      </c>
      <c r="AB1" s="575"/>
      <c r="AC1" s="157"/>
      <c r="AD1" s="157">
        <f>Cntrl6-1</f>
        <v>21</v>
      </c>
      <c r="AE1" s="157"/>
      <c r="AF1" s="157"/>
      <c r="AG1" s="157">
        <f>Cntrl1-1</f>
        <v>61</v>
      </c>
      <c r="AH1" s="157"/>
      <c r="AI1" s="157"/>
      <c r="AJ1" s="157">
        <f>Cntrl3-1</f>
        <v>241</v>
      </c>
      <c r="AK1" s="157"/>
      <c r="AL1" s="157"/>
      <c r="AM1" s="157">
        <f>Cntrl2-1</f>
        <v>61</v>
      </c>
      <c r="AN1" s="157"/>
      <c r="AO1" s="157"/>
      <c r="AP1" s="157">
        <f>Cntrl4-1</f>
        <v>1</v>
      </c>
      <c r="AQ1" s="157"/>
      <c r="AR1" s="157"/>
      <c r="AS1" s="157">
        <f>Cntrl5-1</f>
        <v>0</v>
      </c>
      <c r="AT1" s="157"/>
      <c r="AU1" s="157"/>
      <c r="AV1" s="157">
        <f>Cntrl8-1</f>
        <v>0</v>
      </c>
      <c r="AW1" s="157"/>
      <c r="AX1" s="157"/>
      <c r="AY1" s="157">
        <f>Cntrl7-1</f>
        <v>0</v>
      </c>
      <c r="AZ1" s="157"/>
      <c r="BA1" s="157"/>
      <c r="BB1" s="157">
        <f>Cntrl9-1</f>
        <v>0</v>
      </c>
      <c r="BC1" s="157"/>
      <c r="BD1" s="157"/>
      <c r="BE1" s="157">
        <f>Cntrl11-1</f>
        <v>0</v>
      </c>
      <c r="BF1" s="157"/>
      <c r="BG1" s="157"/>
      <c r="BH1" s="157">
        <f>Cntrl10-1</f>
        <v>0</v>
      </c>
      <c r="BI1" s="157"/>
      <c r="BJ1" s="157"/>
      <c r="BK1" s="157">
        <f>Cntrl12-1</f>
        <v>61</v>
      </c>
      <c r="BO1" s="252"/>
      <c r="BP1" s="1014" t="e" vm="1">
        <v>#VALUE!</v>
      </c>
      <c r="BQ1" s="1014"/>
      <c r="BR1" s="252"/>
      <c r="BS1" s="581" t="s">
        <v>532</v>
      </c>
      <c r="BT1" s="252"/>
      <c r="BU1" s="252"/>
      <c r="BV1" s="252"/>
      <c r="BW1" s="252"/>
      <c r="BX1" s="252"/>
      <c r="BY1" s="252"/>
      <c r="BZ1" s="252"/>
      <c r="CA1" s="252"/>
      <c r="CB1" s="252"/>
      <c r="CC1" s="252"/>
      <c r="CD1" s="252"/>
      <c r="CE1" s="252"/>
      <c r="CF1" s="252"/>
      <c r="CG1" s="252"/>
      <c r="CH1" s="252"/>
      <c r="CI1" s="252"/>
      <c r="CJ1" s="252"/>
      <c r="CK1" s="1091" t="str">
        <f>I1</f>
        <v>egAAAAAAAABevF6qE</v>
      </c>
      <c r="CL1" s="1091"/>
      <c r="CM1" s="1091"/>
      <c r="CN1" s="1091"/>
      <c r="CO1" s="252"/>
      <c r="CP1" s="252"/>
      <c r="CQ1" s="252"/>
      <c r="CR1" s="905" t="s">
        <v>2261</v>
      </c>
      <c r="CS1" s="1041" t="s">
        <v>3</v>
      </c>
      <c r="CT1" s="1041"/>
      <c r="CU1" s="1092">
        <v>45988.700578703705</v>
      </c>
      <c r="CV1" s="1093"/>
      <c r="CW1" s="309"/>
      <c r="DO1" s="311" t="s">
        <v>533</v>
      </c>
      <c r="DP1" s="308">
        <v>0.23300000000000001</v>
      </c>
    </row>
    <row r="2" spans="1:172" ht="15" customHeight="1">
      <c r="A2">
        <v>1</v>
      </c>
      <c r="B2" t="s">
        <v>4</v>
      </c>
      <c r="C2" s="142">
        <f>Cntrl12-1</f>
        <v>61</v>
      </c>
      <c r="D2" s="559">
        <f>BK2</f>
        <v>7</v>
      </c>
      <c r="E2" s="172" t="str">
        <f>IF(C2&lt;&gt;"",RIGHT("0000000000"&amp;TEXT(DEC2BIN(C2,D2),"0"),D2),"")</f>
        <v>0111101</v>
      </c>
      <c r="F2" s="555" t="str">
        <f>F1</f>
        <v>01111010000000000000000000000000000000000000000000000000000000000101111010111100010111101010101000010</v>
      </c>
      <c r="G2" s="172" t="str">
        <f>IF(F2&lt;&gt;"",IF(LEN(F2)&gt;=6,LEFT(F2,6),LEFT(F2&amp;"000000",6)),"")</f>
        <v>011110</v>
      </c>
      <c r="H2">
        <f>IF(G2&lt;&gt;"",BIN2DEC(G2),"")</f>
        <v>30</v>
      </c>
      <c r="I2" s="552" t="str" cm="1">
        <f t="array" ref="I2">IF(H2&lt;&gt;"",INDEX($B$2:$B$66,H2+1),"")</f>
        <v>e</v>
      </c>
      <c r="J2" s="554">
        <f t="shared" ref="J2:J27" si="0">IF(D2&lt;&gt;"",D2,"")</f>
        <v>7</v>
      </c>
      <c r="K2" t="str">
        <f>J1</f>
        <v>egAAAAAAAABevF6qE</v>
      </c>
      <c r="L2" s="2" t="str">
        <f>LEFT(K2,1)</f>
        <v>e</v>
      </c>
      <c r="M2" t="b">
        <f>IF(L2&lt;&gt;"",EXACT(L2,UPPER(L2)),"")</f>
        <v>0</v>
      </c>
      <c r="N2" s="2">
        <f>IF(M2&lt;&gt;"",IF(M2,MATCH(L2,$B$2:$B$66,0)-1,MATCH(L2,$B$28:$B$66,0)+25),"")</f>
        <v>30</v>
      </c>
      <c r="O2" s="172" t="str">
        <f t="shared" ref="O2:O27" si="1">IF(N2&lt;&gt;"",DEC2BIN(N2,6),"")</f>
        <v>011110</v>
      </c>
      <c r="P2" s="177" t="str">
        <f>P1</f>
        <v>011110100000000000000000000000000000000000000000000000000000000001011110101111000101111010101010000100</v>
      </c>
      <c r="Q2" s="172" t="str">
        <f t="shared" ref="Q2:Q27" si="2">IF(J2&lt;&gt;"",LEFT(P2,J2),"")</f>
        <v>0111101</v>
      </c>
      <c r="R2" s="553">
        <f>IF(Q2&lt;&gt;"",BIN2DEC(Q2),"")</f>
        <v>61</v>
      </c>
      <c r="S2" s="142" t="s">
        <v>12</v>
      </c>
      <c r="U2" s="12">
        <f>IF(U3=1,1,INT(LOG(U3-1,2))+1)</f>
        <v>2</v>
      </c>
      <c r="V2" s="575"/>
      <c r="W2" s="575"/>
      <c r="X2" s="12">
        <f>IF(X3=1,1,INT(LOG(X3-1,2))+1)</f>
        <v>2</v>
      </c>
      <c r="Y2" s="575"/>
      <c r="Z2" s="575"/>
      <c r="AA2" s="12">
        <f>IF(AA3=1,1,INT(LOG(AA3-1,2))+1)</f>
        <v>2</v>
      </c>
      <c r="AB2" s="575"/>
      <c r="AC2" s="576"/>
      <c r="AD2" s="12">
        <f>IF(AD3=1,1,INT(LOG(AD3-1,2))+1)</f>
        <v>6</v>
      </c>
      <c r="AE2" s="157"/>
      <c r="AF2" s="157"/>
      <c r="AG2" s="12">
        <f>IF(AG3=1,1,INT(LOG(AG3-1,2))+1)</f>
        <v>7</v>
      </c>
      <c r="AH2" s="157"/>
      <c r="AI2" s="157"/>
      <c r="AJ2" s="12">
        <f>IF(AJ3=1,1,INT(LOG(AJ3-1,2))+1)</f>
        <v>9</v>
      </c>
      <c r="AK2" s="157"/>
      <c r="AL2" s="157"/>
      <c r="AM2" s="12">
        <f>IF(AM3=1,1,INT(LOG(AM3-1,2))+1)</f>
        <v>7</v>
      </c>
      <c r="AN2" s="157"/>
      <c r="AO2" s="157"/>
      <c r="AP2" s="12">
        <f>IF(AP3=1,1,INT(LOG(AP3-1,2))+1)</f>
        <v>9</v>
      </c>
      <c r="AQ2" s="157"/>
      <c r="AR2" s="157"/>
      <c r="AS2" s="12">
        <f>IF(AS3=1,1,INT(LOG(AS3-1,2))+1)</f>
        <v>9</v>
      </c>
      <c r="AT2" s="157"/>
      <c r="AU2" s="157"/>
      <c r="AV2" s="12">
        <f>IF(AV3=1,1,INT(LOG(AV3-1,2))+1)</f>
        <v>7</v>
      </c>
      <c r="AW2" s="157"/>
      <c r="AX2" s="157"/>
      <c r="AY2" s="12">
        <f>IF(AY3=1,1,INT(LOG(AY3-1,2))+1)</f>
        <v>9</v>
      </c>
      <c r="AZ2" s="157"/>
      <c r="BA2" s="157"/>
      <c r="BB2" s="12">
        <f>IF(BB3=1,1,INT(LOG(BB3-1,2))+1)</f>
        <v>9</v>
      </c>
      <c r="BC2" s="157"/>
      <c r="BD2" s="157"/>
      <c r="BE2" s="12">
        <f>IF(BE3=1,1,INT(LOG(BE3-1,2))+1)</f>
        <v>7</v>
      </c>
      <c r="BF2" s="157"/>
      <c r="BG2" s="157"/>
      <c r="BH2" s="12">
        <f>IF(BH3=1,1,INT(LOG(BH3-1,2))+1)</f>
        <v>9</v>
      </c>
      <c r="BI2" s="157"/>
      <c r="BJ2" s="157"/>
      <c r="BK2" s="12">
        <f>IF(BK3=1,1,INT(LOG(BK3-1,2))+1)</f>
        <v>7</v>
      </c>
      <c r="BO2" s="1094"/>
      <c r="BP2" s="1095" t="s">
        <v>534</v>
      </c>
      <c r="BQ2" s="1095"/>
      <c r="BR2" s="1095"/>
      <c r="BS2" s="1095"/>
      <c r="BT2" s="1095"/>
      <c r="BU2" s="1095"/>
      <c r="BV2" s="1095"/>
      <c r="BW2" s="1095"/>
      <c r="BX2" s="1095"/>
      <c r="BY2" s="1095"/>
      <c r="BZ2" s="1095"/>
      <c r="CA2" s="193"/>
      <c r="CB2" s="193"/>
      <c r="CC2" s="193"/>
      <c r="CD2" s="193"/>
      <c r="CE2" s="193"/>
      <c r="CF2" s="193"/>
      <c r="CG2" s="193"/>
      <c r="CH2" s="193"/>
      <c r="CI2" s="193"/>
      <c r="CJ2" s="193"/>
      <c r="CK2" s="193"/>
      <c r="CL2" s="193"/>
      <c r="CM2" s="193"/>
      <c r="CN2" s="202"/>
      <c r="CO2" s="202"/>
      <c r="CP2" s="202"/>
      <c r="CQ2" s="202"/>
      <c r="CR2" s="202"/>
      <c r="CS2" s="202"/>
      <c r="CT2" s="202"/>
      <c r="CU2" s="202"/>
      <c r="CV2" s="160"/>
      <c r="CW2" s="309"/>
      <c r="CY2" s="312" cm="1">
        <f t="array" ref="CY2">1-INDEX(DO2:DO1201,edge_width)</f>
        <v>1</v>
      </c>
      <c r="DA2" s="309">
        <v>1</v>
      </c>
      <c r="DB2" s="313">
        <f t="shared" ref="DB2" si="3">start+DA2*tanO</f>
        <v>200.36397023426619</v>
      </c>
      <c r="DC2" s="309">
        <f t="shared" ref="DC2" si="4">IF(DA2&lt;edge_width,1,IF(DA2&lt;mid_width,2,IF(DA2&lt;=tot_width,3,4)))</f>
        <v>1</v>
      </c>
      <c r="DD2" s="309">
        <f t="shared" ref="DD2" si="5">CHOOSE(DC2,edge_thick,second_thick,core_thick,0)</f>
        <v>260</v>
      </c>
      <c r="DE2" s="308">
        <f t="shared" ref="DE2" si="6">CHOOSE(DC2,edge_k,second_k,core_k,0)</f>
        <v>6.5000000000000002E-2</v>
      </c>
      <c r="DF2" s="313">
        <f>DA2</f>
        <v>1</v>
      </c>
      <c r="DG2" s="313">
        <f>IF(DC2=4,0,MIN(DB2,DD2))</f>
        <v>200.36397023426619</v>
      </c>
      <c r="DH2" s="313">
        <f>IF(DC2=1,DG2,0)</f>
        <v>200.36397023426619</v>
      </c>
      <c r="DI2" s="313">
        <f>IF(DC2=2,DG2,0)</f>
        <v>0</v>
      </c>
      <c r="DJ2" s="313">
        <f>IF(DC2=3,DG2,0)</f>
        <v>0</v>
      </c>
      <c r="DK2" s="313">
        <f>DG2</f>
        <v>200.36397023426619</v>
      </c>
      <c r="DL2" s="313">
        <f>IF(DC2&lt;4,DL3+DG2,0)</f>
        <v>150824.51726962175</v>
      </c>
      <c r="DM2" s="314">
        <f>1-DO2</f>
        <v>0.22936934525282238</v>
      </c>
      <c r="DN2" s="312">
        <f>DM2/DA2</f>
        <v>0.22936934525282238</v>
      </c>
      <c r="DO2" s="312">
        <f>IF(AND(DC2&lt;&gt;4,DD2&lt;&gt;0),DG2/DD2,0)</f>
        <v>0.77063065474717762</v>
      </c>
      <c r="DP2" s="315">
        <f t="shared" ref="DP2" si="7">DE2*DO2^CHOOSE(DC2,mult1,mult2,mult3,0)</f>
        <v>6.0112839223377991E-2</v>
      </c>
      <c r="DQ2" s="316">
        <f>IF(AND(DC2&lt;&gt;4,DG2&lt;&gt;0),1000*DP2/DG2,0)</f>
        <v>0.30001820763031328</v>
      </c>
      <c r="DR2" s="316">
        <f>DQ2</f>
        <v>0.30001820763031328</v>
      </c>
      <c r="DS2" s="314">
        <f>IF(AND(DC2&lt;&gt;4,DR2&lt;&gt;0),DA2/DR2,0)</f>
        <v>3.3331310386075446</v>
      </c>
      <c r="DT2" s="316">
        <f>DQ2</f>
        <v>0.30001820763031328</v>
      </c>
      <c r="DU2" s="314">
        <f t="shared" ref="DU2" si="8">IF(DC2&lt;&gt;4,CHOOSE(DC2,DA2/DT2,(DA2-edge_width+1)/DT2,(DA2-mid_width+1)/DT2),0)</f>
        <v>3.3331310386075446</v>
      </c>
      <c r="DV2" s="316">
        <f>DV3+DQ2</f>
        <v>153.57075452294245</v>
      </c>
      <c r="DW2" s="310">
        <f t="shared" ref="DW2" si="9">IF(DC2&lt;&gt;4,(tot_width-DA2+1)/DV2,0)</f>
        <v>3.9069938925797487</v>
      </c>
    </row>
    <row r="3" spans="1:172" ht="15" customHeight="1">
      <c r="A3">
        <v>2</v>
      </c>
      <c r="B3" t="s">
        <v>7</v>
      </c>
      <c r="C3" s="142">
        <f>Cntrl10-1</f>
        <v>0</v>
      </c>
      <c r="D3" s="559">
        <f>BH2</f>
        <v>9</v>
      </c>
      <c r="E3" s="172" t="str">
        <f t="shared" ref="E3:E27" si="10">IF(C3&lt;&gt;"",RIGHT("0000000000"&amp;TEXT(DEC2BIN(C3,D3),"0"),D3),"")</f>
        <v>000000000</v>
      </c>
      <c r="F3" s="555" t="str">
        <f t="shared" ref="F3:F14" si="11">IF(LEN(F2)&gt;=6,RIGHT(F2,LEN(F2)-6),"")</f>
        <v>10000000000000000000000000000000000000000000000000000000000101111010111100010111101010101000010</v>
      </c>
      <c r="G3" s="172" t="str">
        <f t="shared" ref="G3:G27" si="12">IF(F3&lt;&gt;"",IF(LEN(F3)&gt;=6,LEFT(F3,6),LEFT(F3&amp;"000000",6)),"")</f>
        <v>100000</v>
      </c>
      <c r="H3">
        <f t="shared" ref="H3:H27" si="13">IF(G3&lt;&gt;"",BIN2DEC(G3),"")</f>
        <v>32</v>
      </c>
      <c r="I3" s="552" t="str" cm="1">
        <f t="array" ref="I3">IF(H3&lt;&gt;"",INDEX($B$2:$B$66,H3+1),"")</f>
        <v>g</v>
      </c>
      <c r="J3" s="554">
        <f t="shared" si="0"/>
        <v>9</v>
      </c>
      <c r="K3" t="str">
        <f t="shared" ref="K3:K11" si="14">IF(LEN(K2)&gt;1,RIGHT(K2,LEN(K2)-1),"")</f>
        <v>gAAAAAAAABevF6qE</v>
      </c>
      <c r="L3" s="2" t="str">
        <f t="shared" ref="L3:L27" si="15">LEFT(K3,1)</f>
        <v>g</v>
      </c>
      <c r="M3" t="b">
        <f t="shared" ref="M3:M27" si="16">IF(L3&lt;&gt;"",EXACT(L3,UPPER(L3)),"")</f>
        <v>0</v>
      </c>
      <c r="N3" s="2">
        <f t="shared" ref="N3:N27" si="17">IF(M3&lt;&gt;"",IF(M3,MATCH(L3,$B$2:$B$66,0)-1,MATCH(L3,$B$28:$B$66,0)+25),"")</f>
        <v>32</v>
      </c>
      <c r="O3" s="172" t="str">
        <f t="shared" si="1"/>
        <v>100000</v>
      </c>
      <c r="P3" s="177" t="str">
        <f t="shared" ref="P3:P26" si="18">IF(J3&lt;&gt;"",RIGHT(P2,LEN(P2)-J2),"")</f>
        <v>00000000000000000000000000000000000000000000000000000000001011110101111000101111010101010000100</v>
      </c>
      <c r="Q3" s="172" t="str">
        <f t="shared" si="2"/>
        <v>000000000</v>
      </c>
      <c r="R3" s="553">
        <f t="shared" ref="R3:S27" si="19">IF(Q3&lt;&gt;"",BIN2DEC(Q3),"")</f>
        <v>0</v>
      </c>
      <c r="S3" s="142" t="s">
        <v>51</v>
      </c>
      <c r="U3" s="12">
        <v>4</v>
      </c>
      <c r="V3" s="575"/>
      <c r="W3" s="575"/>
      <c r="X3" s="12">
        <v>4</v>
      </c>
      <c r="Y3" s="575"/>
      <c r="Z3" s="575"/>
      <c r="AA3" s="12">
        <v>4</v>
      </c>
      <c r="AB3" s="575"/>
      <c r="AC3" s="576"/>
      <c r="AD3" s="12">
        <v>62</v>
      </c>
      <c r="AE3" s="157"/>
      <c r="AF3" s="157"/>
      <c r="AG3" s="12">
        <v>100</v>
      </c>
      <c r="AH3" s="157"/>
      <c r="AI3" s="157"/>
      <c r="AJ3" s="12">
        <v>452</v>
      </c>
      <c r="AK3" s="157"/>
      <c r="AL3" s="157"/>
      <c r="AM3" s="12">
        <v>121</v>
      </c>
      <c r="AN3" s="157"/>
      <c r="AO3" s="157"/>
      <c r="AP3" s="12">
        <v>452</v>
      </c>
      <c r="AQ3" s="157"/>
      <c r="AR3" s="157"/>
      <c r="AS3" s="12">
        <v>452</v>
      </c>
      <c r="AT3" s="157"/>
      <c r="AU3" s="157"/>
      <c r="AV3" s="12">
        <v>121</v>
      </c>
      <c r="AW3" s="157"/>
      <c r="AX3" s="157"/>
      <c r="AY3" s="12">
        <v>452</v>
      </c>
      <c r="AZ3" s="157"/>
      <c r="BA3" s="157"/>
      <c r="BB3" s="12">
        <v>452</v>
      </c>
      <c r="BC3" s="157"/>
      <c r="BD3" s="157"/>
      <c r="BE3" s="12">
        <v>121</v>
      </c>
      <c r="BF3" s="157"/>
      <c r="BG3" s="157"/>
      <c r="BH3" s="12">
        <v>452</v>
      </c>
      <c r="BI3" s="157"/>
      <c r="BJ3" s="157"/>
      <c r="BK3" s="12">
        <v>121</v>
      </c>
      <c r="BO3" s="1094"/>
      <c r="BP3" s="1095"/>
      <c r="BQ3" s="1095"/>
      <c r="BR3" s="1095"/>
      <c r="BS3" s="1095"/>
      <c r="BT3" s="1095"/>
      <c r="BU3" s="1095"/>
      <c r="BV3" s="1095"/>
      <c r="BW3" s="1095"/>
      <c r="BX3" s="1095"/>
      <c r="BY3" s="1095"/>
      <c r="BZ3" s="1095"/>
      <c r="CA3" s="193"/>
      <c r="CB3" s="193"/>
      <c r="CC3" s="193"/>
      <c r="CD3" s="193"/>
      <c r="CE3" s="193"/>
      <c r="CF3" s="193"/>
      <c r="CG3" s="193"/>
      <c r="CH3" s="193"/>
      <c r="CI3" s="193"/>
      <c r="CJ3" s="193"/>
      <c r="CK3" s="193"/>
      <c r="CL3" s="193"/>
      <c r="CM3" s="193"/>
      <c r="CN3" s="202"/>
      <c r="CO3" s="202"/>
      <c r="CP3" s="202"/>
      <c r="CQ3" s="202"/>
      <c r="CR3" s="202"/>
      <c r="CS3" s="202"/>
      <c r="CT3" s="202"/>
      <c r="CU3" s="202"/>
      <c r="CV3" s="160"/>
      <c r="CW3" s="309"/>
      <c r="CY3" s="312" cm="1">
        <f t="array" ref="CY3">1-INDEX(DO2:DO1201,mid_width)</f>
        <v>1</v>
      </c>
      <c r="DA3" s="309">
        <v>2</v>
      </c>
      <c r="DB3" s="313">
        <f t="shared" ref="DB3" si="20">start+DA3*tanO</f>
        <v>200.72794046853241</v>
      </c>
      <c r="DC3" s="309">
        <f t="shared" ref="DC3" si="21">IF(DA3&lt;edge_width,1,IF(DA3&lt;mid_width,2,IF(DA3&lt;=tot_width,3,4)))</f>
        <v>1</v>
      </c>
      <c r="DD3" s="309">
        <f t="shared" ref="DD3" si="22">CHOOSE(DC3,edge_thick,second_thick,core_thick,0)</f>
        <v>260</v>
      </c>
      <c r="DE3" s="308">
        <f t="shared" ref="DE3" si="23">CHOOSE(DC3,edge_k,second_k,core_k,0)</f>
        <v>6.5000000000000002E-2</v>
      </c>
      <c r="DF3" s="313">
        <f>IF(DC3&lt;4,DF2+1,DF2)</f>
        <v>2</v>
      </c>
      <c r="DG3" s="313">
        <f t="shared" ref="DG3:DG66" si="24">IF(DC3=4,DG2,MIN(DB3,DD3))</f>
        <v>200.72794046853241</v>
      </c>
      <c r="DH3" s="313">
        <f t="shared" ref="DH3:DH66" si="25">IF(DC3=1,DG3,0)</f>
        <v>200.72794046853241</v>
      </c>
      <c r="DI3" s="313">
        <f t="shared" ref="DI3:DI66" si="26">IF(DC3=2,DG3,0)</f>
        <v>0</v>
      </c>
      <c r="DJ3" s="313">
        <f t="shared" ref="DJ3:DJ66" si="27">IF(DC3=3,DG3,0)</f>
        <v>0</v>
      </c>
      <c r="DK3" s="313">
        <f>IF(DC3&lt;4,DK2+DG3,0)</f>
        <v>401.0919107027986</v>
      </c>
      <c r="DL3" s="313">
        <f t="shared" ref="DL3:DL66" si="28">IF(DC3&lt;4,DL4+DG3,0)</f>
        <v>150624.15329938749</v>
      </c>
      <c r="DM3" s="314">
        <f>IF($DC3&lt;&gt;4,IF($DA3=edge_width,$CY$2,IF($DA3=mid_width,$CY$3,1-DO3+DM2)),0)</f>
        <v>0.45733880498923618</v>
      </c>
      <c r="DN3" s="312">
        <f>IF(DC3&lt;&gt;4,CHOOSE(DC3,DM3/DA3,DM3/(DA3-edge_width+1),DM3/(DA3-mid_width+1)),0)</f>
        <v>0.22866940249461809</v>
      </c>
      <c r="DO3" s="312">
        <f>IF(AND(DC3&lt;&gt;4,DD3&lt;&gt;0),DG3/DD3,0)</f>
        <v>0.7720305402635862</v>
      </c>
      <c r="DP3" s="315">
        <f t="shared" ref="DP3" si="29">DE3*DO3^CHOOSE(DC3,mult1,mult2,mult3,0)</f>
        <v>6.0145577725916707E-2</v>
      </c>
      <c r="DQ3" s="316">
        <f t="shared" ref="DQ3:DQ66" si="30">IF(AND(DC3&lt;&gt;4,DG3&lt;&gt;0),1000*DP3/DG3,0)</f>
        <v>0.29963729805390782</v>
      </c>
      <c r="DR3" s="316">
        <f t="shared" ref="DR3:DR66" si="31">IF(DC3&lt;&gt;4,DR2+DQ3,0)</f>
        <v>0.5996555056842211</v>
      </c>
      <c r="DS3" s="314">
        <f t="shared" ref="DS3:DS66" si="32">IF(AND(DC3&lt;&gt;4,DR3&lt;&gt;0),DA3/DR3,0)</f>
        <v>3.3352482901294347</v>
      </c>
      <c r="DT3" s="316">
        <f>IF(DC3&lt;&gt;4,IF(DA3=edge_width,$CY$4,IF(DA3=mid_width,$CY$5,DQ3+DT2)),0)</f>
        <v>0.5996555056842211</v>
      </c>
      <c r="DU3" s="314">
        <f t="shared" ref="DU3" si="33">IF(DC3&lt;&gt;4,CHOOSE(DC3,DA3/DT3,(DA3-edge_width+1)/DT3,(DA3-mid_width+1)/DT3),0)</f>
        <v>3.3352482901294347</v>
      </c>
      <c r="DV3" s="316">
        <f>DV4+DQ3</f>
        <v>153.27073631531215</v>
      </c>
      <c r="DW3" s="310">
        <f t="shared" ref="DW3" si="34">IF(DC3&lt;&gt;4,(tot_width-DA3+1)/DV3,0)</f>
        <v>3.9081171944507602</v>
      </c>
      <c r="FB3" s="307"/>
      <c r="FC3" s="307"/>
      <c r="FF3" s="307"/>
      <c r="FG3" s="307"/>
      <c r="FH3" s="306"/>
      <c r="FJ3" s="307"/>
      <c r="FK3" s="307"/>
      <c r="FL3" s="306"/>
      <c r="FM3" s="307"/>
      <c r="FN3" s="306"/>
      <c r="FO3" s="307"/>
      <c r="FP3" s="306"/>
    </row>
    <row r="4" spans="1:172" ht="17.25" customHeight="1">
      <c r="A4">
        <v>3</v>
      </c>
      <c r="B4" t="s">
        <v>11</v>
      </c>
      <c r="C4" s="142">
        <f>Cntrl11-1</f>
        <v>0</v>
      </c>
      <c r="D4" s="559">
        <f>BE2</f>
        <v>7</v>
      </c>
      <c r="E4" s="172" t="str">
        <f t="shared" si="10"/>
        <v>0000000</v>
      </c>
      <c r="F4" s="555" t="str">
        <f t="shared" si="11"/>
        <v>00000000000000000000000000000000000000000000000000000101111010111100010111101010101000010</v>
      </c>
      <c r="G4" s="172" t="str">
        <f t="shared" si="12"/>
        <v>000000</v>
      </c>
      <c r="H4">
        <f t="shared" si="13"/>
        <v>0</v>
      </c>
      <c r="I4" s="552" t="str" cm="1">
        <f t="array" ref="I4">IF(H4&lt;&gt;"",INDEX($B$2:$B$66,H4+1),"")</f>
        <v>A</v>
      </c>
      <c r="J4" s="554">
        <f t="shared" si="0"/>
        <v>7</v>
      </c>
      <c r="K4" t="str">
        <f t="shared" si="14"/>
        <v>AAAAAAAABevF6qE</v>
      </c>
      <c r="L4" s="2" t="str">
        <f t="shared" si="15"/>
        <v>A</v>
      </c>
      <c r="M4" t="b">
        <f t="shared" si="16"/>
        <v>1</v>
      </c>
      <c r="N4" s="2">
        <f t="shared" si="17"/>
        <v>0</v>
      </c>
      <c r="O4" s="172" t="str">
        <f t="shared" si="1"/>
        <v>000000</v>
      </c>
      <c r="P4" s="177" t="str">
        <f t="shared" si="18"/>
        <v>00000000000000000000000000000000000000000000000001011110101111000101111010101010000100</v>
      </c>
      <c r="Q4" s="172" t="str">
        <f t="shared" si="2"/>
        <v>0000000</v>
      </c>
      <c r="R4" s="553">
        <f t="shared" si="19"/>
        <v>0</v>
      </c>
      <c r="S4" s="142" t="s">
        <v>37</v>
      </c>
      <c r="AC4" s="156"/>
      <c r="BN4" s="155" t="b">
        <f>ISBLANK(WebCntrl12)</f>
        <v>0</v>
      </c>
      <c r="BO4" s="193"/>
      <c r="BP4" s="193"/>
      <c r="BQ4" s="193"/>
      <c r="BR4" s="193"/>
      <c r="BS4" s="193"/>
      <c r="BT4" s="193"/>
      <c r="BU4" s="193"/>
      <c r="BV4" s="361" t="s">
        <v>0</v>
      </c>
      <c r="BW4" s="199"/>
      <c r="BX4" s="248"/>
      <c r="BY4" s="199"/>
      <c r="BZ4" s="199"/>
      <c r="CA4" s="193"/>
      <c r="CB4" s="641" t="s">
        <v>535</v>
      </c>
      <c r="CC4" s="457">
        <v>500</v>
      </c>
      <c r="CD4" s="468">
        <f>IF(ISBLANK(WebCntrl12),"",select_width)</f>
        <v>600</v>
      </c>
      <c r="CE4" s="203" t="str">
        <f>IF(BM19,""," insulation")</f>
        <v xml:space="preserve"> insulation</v>
      </c>
      <c r="CF4" s="1086" cm="1">
        <f t="array" ref="CF4">IF(BM19,"",INDEX(DS2:DS1201,select_width))</f>
        <v>3.9069938925797465</v>
      </c>
      <c r="CG4" s="1088" t="str">
        <f>IF(BM19,"","m2.K/W")</f>
        <v>m2.K/W</v>
      </c>
      <c r="CH4" s="193"/>
      <c r="CI4" s="193"/>
      <c r="CJ4" s="1089" t="s">
        <v>536</v>
      </c>
      <c r="CK4" s="204" t="str">
        <f>IF(AY19,"",tot_width-select_width)</f>
        <v/>
      </c>
      <c r="CL4" s="1090" t="str" cm="1">
        <f t="array" ref="CL4">IF(AY19,"",INDEX(DW2:DW1201,select_width+1))</f>
        <v/>
      </c>
      <c r="CM4" s="1081" t="str">
        <f>IF(AY19,"","m2.K/W")</f>
        <v/>
      </c>
      <c r="CN4" s="202"/>
      <c r="CO4" s="202"/>
      <c r="CP4" s="639" t="s">
        <v>537</v>
      </c>
      <c r="CQ4" s="206"/>
      <c r="CR4" s="204" t="str">
        <f>IF(AY19,"",tot_width)</f>
        <v/>
      </c>
      <c r="CS4" s="1090" t="str" cm="1">
        <f t="array" ref="CS4">IF(AY19,"",INDEX(DS2:DS1201,tot_width))</f>
        <v/>
      </c>
      <c r="CT4" s="1081" t="str">
        <f>IF(AY19,"","m2.K/W")</f>
        <v/>
      </c>
      <c r="CU4" s="202"/>
      <c r="CV4" s="160"/>
      <c r="CW4" s="309"/>
      <c r="CY4" s="316" cm="1">
        <f t="array" ref="CY4">INDEX(DQ2:DQ1201,edge_width)</f>
        <v>0</v>
      </c>
      <c r="DA4" s="309">
        <v>3</v>
      </c>
      <c r="DB4" s="313">
        <f t="shared" ref="DB4" si="35">start+DA4*tanO</f>
        <v>201.0919107027986</v>
      </c>
      <c r="DC4" s="309">
        <f t="shared" ref="DC4" si="36">IF(DA4&lt;edge_width,1,IF(DA4&lt;mid_width,2,IF(DA4&lt;=tot_width,3,4)))</f>
        <v>1</v>
      </c>
      <c r="DD4" s="309">
        <f t="shared" ref="DD4" si="37">CHOOSE(DC4,edge_thick,second_thick,core_thick,0)</f>
        <v>260</v>
      </c>
      <c r="DE4" s="308">
        <f t="shared" ref="DE4" si="38">CHOOSE(DC4,edge_k,second_k,core_k,0)</f>
        <v>6.5000000000000002E-2</v>
      </c>
      <c r="DF4" s="313">
        <f t="shared" ref="DF4:DF67" si="39">IF(DC4&lt;4,DF3+1,DF3)</f>
        <v>3</v>
      </c>
      <c r="DG4" s="313">
        <f t="shared" si="24"/>
        <v>201.0919107027986</v>
      </c>
      <c r="DH4" s="313">
        <f t="shared" si="25"/>
        <v>201.0919107027986</v>
      </c>
      <c r="DI4" s="313">
        <f t="shared" si="26"/>
        <v>0</v>
      </c>
      <c r="DJ4" s="313">
        <f t="shared" si="27"/>
        <v>0</v>
      </c>
      <c r="DK4" s="313">
        <f t="shared" ref="DK4:DK67" si="40">IF(DC4&lt;4,DK3+DG4,0)</f>
        <v>602.1838214055972</v>
      </c>
      <c r="DL4" s="313">
        <f t="shared" si="28"/>
        <v>150423.42535891896</v>
      </c>
      <c r="DM4" s="314">
        <f>IF($DC4&lt;&gt;4,IF($DA4=edge_width,$CY$2,IF($DA4=mid_width,$CY$3,1-DO4+DM3)),0)</f>
        <v>0.68390837920924152</v>
      </c>
      <c r="DN4" s="312">
        <f>IF(DC4&lt;&gt;4,CHOOSE(DC4,DM4/DA4,DM4/(DA4-edge_width+1),DM4/(DA4-mid_width+1)),0)</f>
        <v>0.22796945973641383</v>
      </c>
      <c r="DO4" s="312">
        <f t="shared" ref="DO4:DO67" si="41">IF(AND(DC4&lt;&gt;4,DD4&lt;&gt;0),DG4/DD4,0)</f>
        <v>0.77343042577999466</v>
      </c>
      <c r="DP4" s="315">
        <f t="shared" ref="DP4" si="42">DE4*DO4^CHOOSE(DC4,mult1,mult2,mult3,0)</f>
        <v>6.0178274700588813E-2</v>
      </c>
      <c r="DQ4" s="316">
        <f t="shared" si="30"/>
        <v>0.29925756083509786</v>
      </c>
      <c r="DR4" s="316">
        <f t="shared" si="31"/>
        <v>0.89891306651931902</v>
      </c>
      <c r="DS4" s="314">
        <f t="shared" si="32"/>
        <v>3.3373638805989314</v>
      </c>
      <c r="DT4" s="316">
        <f>IF(DC4&lt;&gt;4,IF(DA4=edge_width,$CY$4,IF(DA4=mid_width,$CY$5,DQ4+DT3)),0)</f>
        <v>0.89891306651931902</v>
      </c>
      <c r="DU4" s="314">
        <f t="shared" ref="DU4" si="43">IF(DC4&lt;&gt;4,CHOOSE(DC4,DA4/DT4,(DA4-edge_width+1)/DT4,(DA4-mid_width+1)/DT4),0)</f>
        <v>3.3373638805989314</v>
      </c>
      <c r="DV4" s="316">
        <f t="shared" ref="DV4:DV67" si="44">DV5+DQ4</f>
        <v>152.97109901725824</v>
      </c>
      <c r="DW4" s="310">
        <f t="shared" ref="DW4" si="45">IF(DC4&lt;&gt;4,(tot_width-DA4+1)/DV4,0)</f>
        <v>3.9092351682230739</v>
      </c>
      <c r="FB4" s="307"/>
      <c r="FC4" s="307"/>
      <c r="FF4" s="307"/>
      <c r="FG4" s="307"/>
      <c r="FH4" s="306"/>
      <c r="FJ4" s="307"/>
      <c r="FK4" s="307"/>
      <c r="FL4" s="306"/>
      <c r="FM4" s="307"/>
      <c r="FN4" s="306"/>
      <c r="FO4" s="307"/>
      <c r="FP4" s="306"/>
    </row>
    <row r="5" spans="1:172" ht="15" customHeight="1">
      <c r="A5">
        <v>4</v>
      </c>
      <c r="B5" t="s">
        <v>17</v>
      </c>
      <c r="C5" s="142">
        <f>Cntrl9-1</f>
        <v>0</v>
      </c>
      <c r="D5" s="559">
        <f>BB2</f>
        <v>9</v>
      </c>
      <c r="E5" s="172" t="str">
        <f t="shared" si="10"/>
        <v>000000000</v>
      </c>
      <c r="F5" s="555" t="str">
        <f t="shared" si="11"/>
        <v>00000000000000000000000000000000000000000000000101111010111100010111101010101000010</v>
      </c>
      <c r="G5" s="172" t="str">
        <f t="shared" si="12"/>
        <v>000000</v>
      </c>
      <c r="H5">
        <f t="shared" si="13"/>
        <v>0</v>
      </c>
      <c r="I5" s="552" t="str" cm="1">
        <f t="array" ref="I5">IF(H5&lt;&gt;"",INDEX($B$2:$B$66,H5+1),"")</f>
        <v>A</v>
      </c>
      <c r="J5" s="554">
        <f t="shared" si="0"/>
        <v>9</v>
      </c>
      <c r="K5" t="str">
        <f t="shared" si="14"/>
        <v>AAAAAAABevF6qE</v>
      </c>
      <c r="L5" s="2" t="str">
        <f t="shared" si="15"/>
        <v>A</v>
      </c>
      <c r="M5" t="b">
        <f t="shared" si="16"/>
        <v>1</v>
      </c>
      <c r="N5" s="2">
        <f t="shared" si="17"/>
        <v>0</v>
      </c>
      <c r="O5" s="172" t="str">
        <f t="shared" si="1"/>
        <v>000000</v>
      </c>
      <c r="P5" s="177" t="str">
        <f t="shared" si="18"/>
        <v>0000000000000000000000000000000000000000001011110101111000101111010101010000100</v>
      </c>
      <c r="Q5" s="172" t="str">
        <f t="shared" si="2"/>
        <v>000000000</v>
      </c>
      <c r="R5" s="553">
        <f t="shared" si="19"/>
        <v>0</v>
      </c>
      <c r="S5" s="142" t="s">
        <v>44</v>
      </c>
      <c r="BO5" s="193"/>
      <c r="BP5" s="193" t="s">
        <v>9</v>
      </c>
      <c r="BQ5" s="207"/>
      <c r="BR5" s="207"/>
      <c r="BS5" s="200" t="s">
        <v>10</v>
      </c>
      <c r="BT5" s="195"/>
      <c r="BU5" s="250">
        <v>260</v>
      </c>
      <c r="BV5" s="261"/>
      <c r="BW5" s="199"/>
      <c r="BX5" s="248"/>
      <c r="BY5" s="199"/>
      <c r="BZ5" s="199"/>
      <c r="CA5" s="193"/>
      <c r="CB5" s="641" t="s">
        <v>538</v>
      </c>
      <c r="CC5" s="208"/>
      <c r="CD5" s="208"/>
      <c r="CE5" s="209" t="str">
        <f>IF(BM19,"","R-value")</f>
        <v>R-value</v>
      </c>
      <c r="CF5" s="1087"/>
      <c r="CG5" s="1088"/>
      <c r="CH5" s="193"/>
      <c r="CI5" s="193"/>
      <c r="CJ5" s="1089"/>
      <c r="CK5" s="210" t="str">
        <f>IF(AY19,"","(mm)")</f>
        <v/>
      </c>
      <c r="CL5" s="1090"/>
      <c r="CM5" s="1081"/>
      <c r="CN5" s="202"/>
      <c r="CO5" s="202"/>
      <c r="CP5" s="211" t="s">
        <v>539</v>
      </c>
      <c r="CQ5" s="640" t="s">
        <v>540</v>
      </c>
      <c r="CR5" s="210" t="str">
        <f>IF(AY19,"","(mm)")</f>
        <v/>
      </c>
      <c r="CS5" s="1090"/>
      <c r="CT5" s="1081"/>
      <c r="CU5" s="202"/>
      <c r="CV5" s="160"/>
      <c r="CW5" s="309"/>
      <c r="CY5" s="316" cm="1">
        <f t="array" ref="CY5">INDEX(DQ2:DQ1201,mid_width)</f>
        <v>0</v>
      </c>
      <c r="DA5" s="309">
        <v>4</v>
      </c>
      <c r="DB5" s="313">
        <f t="shared" ref="DB5" si="46">start+DA5*tanO</f>
        <v>201.45588093706482</v>
      </c>
      <c r="DC5" s="309">
        <f t="shared" ref="DC5" si="47">IF(DA5&lt;edge_width,1,IF(DA5&lt;mid_width,2,IF(DA5&lt;=tot_width,3,4)))</f>
        <v>1</v>
      </c>
      <c r="DD5" s="309">
        <f t="shared" ref="DD5" si="48">CHOOSE(DC5,edge_thick,second_thick,core_thick,0)</f>
        <v>260</v>
      </c>
      <c r="DE5" s="308">
        <f t="shared" ref="DE5" si="49">CHOOSE(DC5,edge_k,second_k,core_k,0)</f>
        <v>6.5000000000000002E-2</v>
      </c>
      <c r="DF5" s="313">
        <f t="shared" si="39"/>
        <v>4</v>
      </c>
      <c r="DG5" s="313">
        <f t="shared" si="24"/>
        <v>201.45588093706482</v>
      </c>
      <c r="DH5" s="313">
        <f t="shared" si="25"/>
        <v>201.45588093706482</v>
      </c>
      <c r="DI5" s="313">
        <f t="shared" si="26"/>
        <v>0</v>
      </c>
      <c r="DJ5" s="313">
        <f t="shared" si="27"/>
        <v>0</v>
      </c>
      <c r="DK5" s="313">
        <f t="shared" si="40"/>
        <v>803.63970234266208</v>
      </c>
      <c r="DL5" s="313">
        <f t="shared" si="28"/>
        <v>150222.33344821617</v>
      </c>
      <c r="DM5" s="314">
        <f>IF($DC5&lt;&gt;4,IF($DA5=edge_width,$CY$2,IF($DA5=mid_width,$CY$3,1-DO5+DM4)),0)</f>
        <v>0.90907806791283841</v>
      </c>
      <c r="DN5" s="312">
        <f>IF(DC5&lt;&gt;4,CHOOSE(DC5,DM5/DA5,DM5/(DA5-edge_width+1),DM5/(DA5-mid_width+1)),0)</f>
        <v>0.2272695169782096</v>
      </c>
      <c r="DO5" s="312">
        <f t="shared" si="41"/>
        <v>0.77483031129640312</v>
      </c>
      <c r="DP5" s="315">
        <f t="shared" ref="DP5" si="50">DE5*DO5^CHOOSE(DC5,mult1,mult2,mult3,0)</f>
        <v>6.0210930275092632E-2</v>
      </c>
      <c r="DQ5" s="316">
        <f t="shared" si="30"/>
        <v>0.29887899025346715</v>
      </c>
      <c r="DR5" s="316">
        <f t="shared" si="31"/>
        <v>1.1977920567727862</v>
      </c>
      <c r="DS5" s="314">
        <f t="shared" si="32"/>
        <v>3.339477814519165</v>
      </c>
      <c r="DT5" s="316">
        <f>IF(DC5&lt;&gt;4,IF(DA5=edge_width,$CY$4,IF(DA5=mid_width,$CY$5,DQ5+DT4)),0)</f>
        <v>1.1977920567727862</v>
      </c>
      <c r="DU5" s="314">
        <f t="shared" ref="DU5" si="51">IF(DC5&lt;&gt;4,CHOOSE(DC5,DA5/DT5,(DA5-edge_width+1)/DT5,(DA5-mid_width+1)/DT5),0)</f>
        <v>3.339477814519165</v>
      </c>
      <c r="DV5" s="316">
        <f t="shared" si="44"/>
        <v>152.67184145642315</v>
      </c>
      <c r="DW5" s="310">
        <f t="shared" ref="DW5" si="52">IF(DC5&lt;&gt;4,(tot_width-DA5+1)/DV5,0)</f>
        <v>3.9103478041849691</v>
      </c>
      <c r="FB5" s="307"/>
      <c r="FC5" s="307"/>
      <c r="FF5" s="307"/>
      <c r="FG5" s="307"/>
      <c r="FH5" s="306"/>
      <c r="FJ5" s="307"/>
      <c r="FK5" s="307"/>
      <c r="FL5" s="306"/>
      <c r="FM5" s="307"/>
      <c r="FN5" s="306"/>
      <c r="FO5" s="307"/>
      <c r="FP5" s="306"/>
    </row>
    <row r="6" spans="1:172" ht="15" customHeight="1">
      <c r="A6">
        <v>5</v>
      </c>
      <c r="B6" t="s">
        <v>31</v>
      </c>
      <c r="C6" s="142">
        <f>Cntrl7-1</f>
        <v>0</v>
      </c>
      <c r="D6" s="559">
        <f>AY2</f>
        <v>9</v>
      </c>
      <c r="E6" s="172" t="str">
        <f t="shared" si="10"/>
        <v>000000000</v>
      </c>
      <c r="F6" s="555" t="str">
        <f t="shared" si="11"/>
        <v>00000000000000000000000000000000000000000101111010111100010111101010101000010</v>
      </c>
      <c r="G6" s="172" t="str">
        <f t="shared" si="12"/>
        <v>000000</v>
      </c>
      <c r="H6">
        <f t="shared" si="13"/>
        <v>0</v>
      </c>
      <c r="I6" s="552" t="str" cm="1">
        <f t="array" ref="I6">IF(H6&lt;&gt;"",INDEX($B$2:$B$66,H6+1),"")</f>
        <v>A</v>
      </c>
      <c r="J6" s="554">
        <f t="shared" si="0"/>
        <v>9</v>
      </c>
      <c r="K6" t="str">
        <f t="shared" si="14"/>
        <v>AAAAAABevF6qE</v>
      </c>
      <c r="L6" s="2" t="str">
        <f t="shared" si="15"/>
        <v>A</v>
      </c>
      <c r="M6" t="b">
        <f t="shared" si="16"/>
        <v>1</v>
      </c>
      <c r="N6" s="2">
        <f t="shared" si="17"/>
        <v>0</v>
      </c>
      <c r="O6" s="172" t="str">
        <f t="shared" si="1"/>
        <v>000000</v>
      </c>
      <c r="P6" s="177" t="str">
        <f t="shared" si="18"/>
        <v>0000000000000000000000000000000001011110101111000101111010101010000100</v>
      </c>
      <c r="Q6" s="172" t="str">
        <f t="shared" si="2"/>
        <v>000000000</v>
      </c>
      <c r="R6" s="553">
        <f t="shared" si="19"/>
        <v>0</v>
      </c>
      <c r="S6" s="142" t="s">
        <v>541</v>
      </c>
      <c r="BO6" s="193"/>
      <c r="BP6" s="193" t="s">
        <v>13</v>
      </c>
      <c r="BQ6" s="207"/>
      <c r="BR6" s="207"/>
      <c r="BS6" s="195"/>
      <c r="BT6" s="195"/>
      <c r="BU6" s="196" t="s">
        <v>14</v>
      </c>
      <c r="BV6" s="197" t="s">
        <v>15</v>
      </c>
      <c r="BW6" s="327">
        <f>INT(BU5/BU7*10+0.5)/10000</f>
        <v>6.5000000000000002E-2</v>
      </c>
      <c r="BX6" s="198" t="s">
        <v>542</v>
      </c>
      <c r="BY6" s="199"/>
      <c r="BZ6" s="199"/>
      <c r="CA6" s="193"/>
      <c r="CB6" s="193"/>
      <c r="CC6" s="193"/>
      <c r="CD6" s="193"/>
      <c r="CE6" s="193"/>
      <c r="CF6" s="193"/>
      <c r="CG6" s="193"/>
      <c r="CH6" s="193"/>
      <c r="CI6" s="193"/>
      <c r="CJ6" s="193"/>
      <c r="CK6" s="193"/>
      <c r="CL6" s="193"/>
      <c r="CM6" s="193"/>
      <c r="CN6" s="193"/>
      <c r="CO6" s="193"/>
      <c r="CP6" s="193"/>
      <c r="CQ6" s="193"/>
      <c r="CR6" s="193"/>
      <c r="CS6" s="193"/>
      <c r="CT6" s="193"/>
      <c r="CU6" s="193"/>
      <c r="CV6" s="160"/>
      <c r="CW6" s="309"/>
      <c r="CY6" s="314"/>
      <c r="DA6" s="309">
        <v>5</v>
      </c>
      <c r="DB6" s="313">
        <f t="shared" ref="DB6" si="53">start+DA6*tanO</f>
        <v>201.81985117133101</v>
      </c>
      <c r="DC6" s="309">
        <f t="shared" ref="DC6" si="54">IF(DA6&lt;edge_width,1,IF(DA6&lt;mid_width,2,IF(DA6&lt;=tot_width,3,4)))</f>
        <v>1</v>
      </c>
      <c r="DD6" s="309">
        <f t="shared" ref="DD6" si="55">CHOOSE(DC6,edge_thick,second_thick,core_thick,0)</f>
        <v>260</v>
      </c>
      <c r="DE6" s="308">
        <f t="shared" ref="DE6" si="56">CHOOSE(DC6,edge_k,second_k,core_k,0)</f>
        <v>6.5000000000000002E-2</v>
      </c>
      <c r="DF6" s="313">
        <f t="shared" si="39"/>
        <v>5</v>
      </c>
      <c r="DG6" s="313">
        <f t="shared" si="24"/>
        <v>201.81985117133101</v>
      </c>
      <c r="DH6" s="313">
        <f t="shared" si="25"/>
        <v>201.81985117133101</v>
      </c>
      <c r="DI6" s="313">
        <f t="shared" si="26"/>
        <v>0</v>
      </c>
      <c r="DJ6" s="313">
        <f t="shared" si="27"/>
        <v>0</v>
      </c>
      <c r="DK6" s="313">
        <f t="shared" si="40"/>
        <v>1005.4595535139931</v>
      </c>
      <c r="DL6" s="313">
        <f t="shared" si="28"/>
        <v>150020.87756727909</v>
      </c>
      <c r="DM6" s="314">
        <f>IF($DC6&lt;&gt;4,IF($DA6=edge_width,$CY$2,IF($DA6=mid_width,$CY$3,1-DO6+DM5)),0)</f>
        <v>1.1328478711000267</v>
      </c>
      <c r="DN6" s="312">
        <f>IF(DC6&lt;&gt;4,CHOOSE(DC6,DM6/DA6,DM6/(DA6-edge_width+1),DM6/(DA6-mid_width+1)),0)</f>
        <v>0.22656957422000534</v>
      </c>
      <c r="DO6" s="312">
        <f t="shared" si="41"/>
        <v>0.77623019681281158</v>
      </c>
      <c r="DP6" s="315">
        <f t="shared" ref="DP6" si="57">DE6*DO6^CHOOSE(DC6,mult1,mult2,mult3,0)</f>
        <v>6.0243544576503952E-2</v>
      </c>
      <c r="DQ6" s="316">
        <f t="shared" si="30"/>
        <v>0.29850158062678073</v>
      </c>
      <c r="DR6" s="316">
        <f t="shared" si="31"/>
        <v>1.496293637399567</v>
      </c>
      <c r="DS6" s="314">
        <f t="shared" si="32"/>
        <v>3.3415900963727823</v>
      </c>
      <c r="DT6" s="316">
        <f>IF(DC6&lt;&gt;4,IF(DA6=edge_width,$CY$4,IF(DA6=mid_width,$CY$5,DQ6+DT5)),0)</f>
        <v>1.496293637399567</v>
      </c>
      <c r="DU6" s="314">
        <f t="shared" ref="DU6" si="58">IF(DC6&lt;&gt;4,CHOOSE(DC6,DA6/DT6,(DA6-edge_width+1)/DT6,(DA6-mid_width+1)/DT6),0)</f>
        <v>3.3415900963727823</v>
      </c>
      <c r="DV6" s="316">
        <f t="shared" si="44"/>
        <v>152.3729624661697</v>
      </c>
      <c r="DW6" s="310">
        <f t="shared" ref="DW6" si="59">IF(DC6&lt;&gt;4,(tot_width-DA6+1)/DV6,0)</f>
        <v>3.9114550925156797</v>
      </c>
      <c r="FB6" s="307"/>
      <c r="FC6" s="307"/>
      <c r="FF6" s="307"/>
      <c r="FG6" s="307"/>
      <c r="FH6" s="306"/>
      <c r="FJ6" s="307"/>
      <c r="FK6" s="307"/>
      <c r="FL6" s="306"/>
      <c r="FM6" s="307"/>
      <c r="FN6" s="306"/>
      <c r="FO6" s="307"/>
      <c r="FP6" s="306"/>
    </row>
    <row r="7" spans="1:172" ht="15" customHeight="1">
      <c r="A7">
        <v>6</v>
      </c>
      <c r="B7" t="s">
        <v>36</v>
      </c>
      <c r="C7" s="142">
        <f>Cntrl8-1</f>
        <v>0</v>
      </c>
      <c r="D7" s="559">
        <f>AV2</f>
        <v>7</v>
      </c>
      <c r="E7" s="172" t="str">
        <f t="shared" si="10"/>
        <v>0000000</v>
      </c>
      <c r="F7" s="555" t="str">
        <f t="shared" si="11"/>
        <v>00000000000000000000000000000000000101111010111100010111101010101000010</v>
      </c>
      <c r="G7" s="172" t="str">
        <f t="shared" si="12"/>
        <v>000000</v>
      </c>
      <c r="H7">
        <f t="shared" si="13"/>
        <v>0</v>
      </c>
      <c r="I7" s="552" t="str" cm="1">
        <f t="array" ref="I7">IF(H7&lt;&gt;"",INDEX($B$2:$B$66,H7+1),"")</f>
        <v>A</v>
      </c>
      <c r="J7" s="554">
        <f t="shared" si="0"/>
        <v>7</v>
      </c>
      <c r="K7" t="str">
        <f t="shared" si="14"/>
        <v>AAAAABevF6qE</v>
      </c>
      <c r="L7" s="2" t="str">
        <f t="shared" si="15"/>
        <v>A</v>
      </c>
      <c r="M7" t="b">
        <f t="shared" si="16"/>
        <v>1</v>
      </c>
      <c r="N7" s="2">
        <f t="shared" si="17"/>
        <v>0</v>
      </c>
      <c r="O7" s="172" t="str">
        <f t="shared" si="1"/>
        <v>000000</v>
      </c>
      <c r="P7" s="177" t="str">
        <f t="shared" si="18"/>
        <v>0000000000000000000000001011110101111000101111010101010000100</v>
      </c>
      <c r="Q7" s="172" t="str">
        <f t="shared" si="2"/>
        <v>0000000</v>
      </c>
      <c r="R7" s="553">
        <f t="shared" si="19"/>
        <v>0</v>
      </c>
      <c r="S7" s="142" t="s">
        <v>5</v>
      </c>
      <c r="BO7" s="193"/>
      <c r="BP7" s="193" t="s">
        <v>29</v>
      </c>
      <c r="BQ7" s="207"/>
      <c r="BR7" s="207"/>
      <c r="BS7" s="200" t="s">
        <v>30</v>
      </c>
      <c r="BT7" s="195"/>
      <c r="BU7" s="251">
        <v>4</v>
      </c>
      <c r="BV7" s="195"/>
      <c r="BW7" s="249"/>
      <c r="BX7" s="201"/>
      <c r="BY7" s="199"/>
      <c r="BZ7" s="199"/>
      <c r="CA7" s="193"/>
      <c r="CB7" s="1082" t="s">
        <v>543</v>
      </c>
      <c r="CC7" s="1083"/>
      <c r="CD7" s="1070" cm="1">
        <f t="array" ref="CD7">IF(BM19,"",INDEX(DK2:DK1201,select_width)/select_width)</f>
        <v>251.37419544936944</v>
      </c>
      <c r="CE7" s="1072" t="s">
        <v>544</v>
      </c>
      <c r="CF7" s="1072"/>
      <c r="CG7" s="1074">
        <f>IF(BM19,"",CD7/1000/CF4)</f>
        <v>6.4339541437928832E-2</v>
      </c>
      <c r="CH7" s="193"/>
      <c r="CI7" s="1082" t="s">
        <v>543</v>
      </c>
      <c r="CJ7" s="1083"/>
      <c r="CK7" s="1070" t="str" cm="1">
        <f t="array" ref="CK7">IF(AY19,"",INDEX(DL2:DL1201,select_width+1)/(tot_width-select_width))</f>
        <v/>
      </c>
      <c r="CL7" s="1072" t="s">
        <v>544</v>
      </c>
      <c r="CM7" s="1072"/>
      <c r="CN7" s="1074" t="str">
        <f>IF(AY19,"",CK7/1000/CL4)</f>
        <v/>
      </c>
      <c r="CO7" s="193"/>
      <c r="CP7" s="1082" t="s">
        <v>543</v>
      </c>
      <c r="CQ7" s="1083"/>
      <c r="CR7" s="1070" t="str" cm="1">
        <f t="array" ref="CR7">IF(AY19,"",INDEX(DK2:DK1201,tot_width)/(tot_width))</f>
        <v/>
      </c>
      <c r="CS7" s="1072" t="s">
        <v>544</v>
      </c>
      <c r="CT7" s="1072"/>
      <c r="CU7" s="1074" t="str">
        <f>IF(AY19,"",CR7/1000/CS4)</f>
        <v/>
      </c>
      <c r="CV7" s="160"/>
      <c r="CW7" s="309"/>
      <c r="CY7" s="310">
        <v>1</v>
      </c>
      <c r="DA7" s="309">
        <v>6</v>
      </c>
      <c r="DB7" s="313">
        <f t="shared" ref="DB7" si="60">start+DA7*tanO</f>
        <v>202.1838214055972</v>
      </c>
      <c r="DC7" s="309">
        <f t="shared" ref="DC7" si="61">IF(DA7&lt;edge_width,1,IF(DA7&lt;mid_width,2,IF(DA7&lt;=tot_width,3,4)))</f>
        <v>1</v>
      </c>
      <c r="DD7" s="309">
        <f t="shared" ref="DD7" si="62">CHOOSE(DC7,edge_thick,second_thick,core_thick,0)</f>
        <v>260</v>
      </c>
      <c r="DE7" s="308">
        <f t="shared" ref="DE7" si="63">CHOOSE(DC7,edge_k,second_k,core_k,0)</f>
        <v>6.5000000000000002E-2</v>
      </c>
      <c r="DF7" s="313">
        <f t="shared" si="39"/>
        <v>6</v>
      </c>
      <c r="DG7" s="313">
        <f t="shared" si="24"/>
        <v>202.1838214055972</v>
      </c>
      <c r="DH7" s="313">
        <f t="shared" si="25"/>
        <v>202.1838214055972</v>
      </c>
      <c r="DI7" s="313">
        <f t="shared" si="26"/>
        <v>0</v>
      </c>
      <c r="DJ7" s="313">
        <f t="shared" si="27"/>
        <v>0</v>
      </c>
      <c r="DK7" s="313">
        <f t="shared" si="40"/>
        <v>1207.6433749195903</v>
      </c>
      <c r="DL7" s="313">
        <f t="shared" si="28"/>
        <v>149819.05771610775</v>
      </c>
      <c r="DM7" s="314">
        <f>IF($DC7&lt;&gt;4,IF($DA7=edge_width,$CY$2,IF($DA7=mid_width,$CY$3,1-DO7+DM6)),0)</f>
        <v>1.3552177887708066</v>
      </c>
      <c r="DN7" s="312">
        <f>IF(DC7&lt;&gt;4,CHOOSE(DC7,DM7/DA7,DM7/(DA7-edge_width+1),DM7/(DA7-mid_width+1)),0)</f>
        <v>0.22586963146180108</v>
      </c>
      <c r="DO7" s="312">
        <f t="shared" si="41"/>
        <v>0.77763008232922004</v>
      </c>
      <c r="DP7" s="315">
        <f t="shared" ref="DP7" si="64">DE7*DO7^CHOOSE(DC7,mult1,mult2,mult3,0)</f>
        <v>6.0276117731280193E-2</v>
      </c>
      <c r="DQ7" s="316">
        <f t="shared" si="30"/>
        <v>0.29812532631066163</v>
      </c>
      <c r="DR7" s="316">
        <f t="shared" si="31"/>
        <v>1.7944189637102286</v>
      </c>
      <c r="DS7" s="314">
        <f t="shared" si="32"/>
        <v>3.3437007306220763</v>
      </c>
      <c r="DT7" s="316">
        <f>IF(DC7&lt;&gt;4,IF(DA7=edge_width,$CY$4,IF(DA7=mid_width,$CY$5,DQ7+DT6)),0)</f>
        <v>1.7944189637102286</v>
      </c>
      <c r="DU7" s="314">
        <f t="shared" ref="DU7" si="65">IF(DC7&lt;&gt;4,CHOOSE(DC7,DA7/DT7,(DA7-edge_width+1)/DT7,(DA7-mid_width+1)/DT7),0)</f>
        <v>3.3437007306220763</v>
      </c>
      <c r="DV7" s="316">
        <f t="shared" si="44"/>
        <v>152.07446088554292</v>
      </c>
      <c r="DW7" s="310">
        <f t="shared" ref="DW7" si="66">IF(DC7&lt;&gt;4,(tot_width-DA7+1)/DV7,0)</f>
        <v>3.9125570232849278</v>
      </c>
      <c r="FB7" s="307"/>
      <c r="FC7" s="307"/>
      <c r="FF7" s="307"/>
      <c r="FG7" s="307"/>
      <c r="FH7" s="306"/>
      <c r="FJ7" s="307"/>
      <c r="FK7" s="307"/>
      <c r="FL7" s="306"/>
      <c r="FM7" s="307"/>
      <c r="FN7" s="306"/>
      <c r="FO7" s="307"/>
      <c r="FP7" s="306"/>
    </row>
    <row r="8" spans="1:172" ht="15.75">
      <c r="A8">
        <v>7</v>
      </c>
      <c r="B8" t="s">
        <v>43</v>
      </c>
      <c r="C8" s="142">
        <f>Cntrl5-1</f>
        <v>0</v>
      </c>
      <c r="D8" s="559">
        <f>AS2</f>
        <v>9</v>
      </c>
      <c r="E8" s="172" t="str">
        <f t="shared" si="10"/>
        <v>000000000</v>
      </c>
      <c r="F8" s="555" t="str">
        <f t="shared" si="11"/>
        <v>00000000000000000000000000000101111010111100010111101010101000010</v>
      </c>
      <c r="G8" s="172" t="str">
        <f t="shared" si="12"/>
        <v>000000</v>
      </c>
      <c r="H8">
        <f t="shared" si="13"/>
        <v>0</v>
      </c>
      <c r="I8" s="552" t="str" cm="1">
        <f t="array" ref="I8">IF(H8&lt;&gt;"",INDEX($B$2:$B$66,H8+1),"")</f>
        <v>A</v>
      </c>
      <c r="J8" s="554">
        <f t="shared" si="0"/>
        <v>9</v>
      </c>
      <c r="K8" t="str">
        <f t="shared" si="14"/>
        <v>AAAABevF6qE</v>
      </c>
      <c r="L8" s="2" t="str">
        <f t="shared" si="15"/>
        <v>A</v>
      </c>
      <c r="M8" t="b">
        <f t="shared" si="16"/>
        <v>1</v>
      </c>
      <c r="N8" s="2">
        <f t="shared" si="17"/>
        <v>0</v>
      </c>
      <c r="O8" s="172" t="str">
        <f t="shared" si="1"/>
        <v>000000</v>
      </c>
      <c r="P8" s="177" t="str">
        <f t="shared" si="18"/>
        <v>000000000000000001011110101111000101111010101010000100</v>
      </c>
      <c r="Q8" s="172" t="str">
        <f t="shared" si="2"/>
        <v>000000000</v>
      </c>
      <c r="R8" s="553">
        <f t="shared" si="19"/>
        <v>0</v>
      </c>
      <c r="S8" s="142" t="s">
        <v>57</v>
      </c>
      <c r="BO8" s="329"/>
      <c r="BP8" s="193"/>
      <c r="BQ8" s="193"/>
      <c r="BR8" s="193"/>
      <c r="BS8" s="193"/>
      <c r="BT8" s="193"/>
      <c r="BU8" s="193"/>
      <c r="BV8" s="193"/>
      <c r="BW8" s="199"/>
      <c r="BX8" s="199"/>
      <c r="BY8" s="199"/>
      <c r="BZ8" s="199"/>
      <c r="CA8" s="193"/>
      <c r="CB8" s="1084"/>
      <c r="CC8" s="1085"/>
      <c r="CD8" s="1071"/>
      <c r="CE8" s="1073"/>
      <c r="CF8" s="1073"/>
      <c r="CG8" s="1075"/>
      <c r="CH8" s="193"/>
      <c r="CI8" s="1084"/>
      <c r="CJ8" s="1085"/>
      <c r="CK8" s="1071"/>
      <c r="CL8" s="1073"/>
      <c r="CM8" s="1073"/>
      <c r="CN8" s="1075"/>
      <c r="CO8" s="193"/>
      <c r="CP8" s="1084"/>
      <c r="CQ8" s="1085"/>
      <c r="CR8" s="1071"/>
      <c r="CS8" s="1073"/>
      <c r="CT8" s="1073"/>
      <c r="CU8" s="1075"/>
      <c r="CV8" s="160"/>
      <c r="CW8" s="309"/>
      <c r="CX8" s="309">
        <f>Cntrl13-1</f>
        <v>2</v>
      </c>
      <c r="CY8" s="309" cm="1">
        <f t="array" ref="CY8">INDEX($CZ$8:$CZ$10,CX8)</f>
        <v>0.3</v>
      </c>
      <c r="CZ8" s="317">
        <v>0.24</v>
      </c>
      <c r="DA8" s="309">
        <v>7</v>
      </c>
      <c r="DB8" s="313">
        <f t="shared" ref="DB8" si="67">start+DA8*tanO</f>
        <v>202.54779163986342</v>
      </c>
      <c r="DC8" s="309">
        <f t="shared" ref="DC8" si="68">IF(DA8&lt;edge_width,1,IF(DA8&lt;mid_width,2,IF(DA8&lt;=tot_width,3,4)))</f>
        <v>1</v>
      </c>
      <c r="DD8" s="309">
        <f t="shared" ref="DD8" si="69">CHOOSE(DC8,edge_thick,second_thick,core_thick,0)</f>
        <v>260</v>
      </c>
      <c r="DE8" s="308">
        <f t="shared" ref="DE8" si="70">CHOOSE(DC8,edge_k,second_k,core_k,0)</f>
        <v>6.5000000000000002E-2</v>
      </c>
      <c r="DF8" s="313">
        <f t="shared" si="39"/>
        <v>7</v>
      </c>
      <c r="DG8" s="313">
        <f t="shared" si="24"/>
        <v>202.54779163986342</v>
      </c>
      <c r="DH8" s="313">
        <f t="shared" si="25"/>
        <v>202.54779163986342</v>
      </c>
      <c r="DI8" s="313">
        <f t="shared" si="26"/>
        <v>0</v>
      </c>
      <c r="DJ8" s="313">
        <f t="shared" si="27"/>
        <v>0</v>
      </c>
      <c r="DK8" s="313">
        <f t="shared" si="40"/>
        <v>1410.1911665594537</v>
      </c>
      <c r="DL8" s="313">
        <f t="shared" si="28"/>
        <v>149616.87389470215</v>
      </c>
      <c r="DM8" s="314">
        <f t="shared" ref="DM8" si="71">IF($DC8&lt;&gt;4,IF($DA8=edge_width,$CY$2,IF($DA8=mid_width,$CY$3,1-DO8+DM7)),0)</f>
        <v>1.5761878209251781</v>
      </c>
      <c r="DN8" s="312">
        <f t="shared" ref="DN8" si="72">IF(DC8&lt;&gt;4,CHOOSE(DC8,DM8/DA8,DM8/(DA8-edge_width+1),DM8/(DA8-mid_width+1)),0)</f>
        <v>0.22516968870359685</v>
      </c>
      <c r="DO8" s="312">
        <f t="shared" si="41"/>
        <v>0.7790299678456285</v>
      </c>
      <c r="DP8" s="315">
        <f t="shared" ref="DP8" si="73">DE8*DO8^CHOOSE(DC8,mult1,mult2,mult3,0)</f>
        <v>6.0308649865264498E-2</v>
      </c>
      <c r="DQ8" s="316">
        <f t="shared" si="30"/>
        <v>0.29775022169827081</v>
      </c>
      <c r="DR8" s="316">
        <f t="shared" si="31"/>
        <v>2.0921691854084994</v>
      </c>
      <c r="DS8" s="314">
        <f t="shared" si="32"/>
        <v>3.3458097217091165</v>
      </c>
      <c r="DT8" s="316">
        <f t="shared" ref="DT8" si="74">IF(DC8&lt;&gt;4,IF(DA8=edge_width,$CY$4,IF(DA8=mid_width,$CY$5,DQ8+DT7)),0)</f>
        <v>2.0921691854084994</v>
      </c>
      <c r="DU8" s="314">
        <f t="shared" ref="DU8" si="75">IF(DC8&lt;&gt;4,CHOOSE(DC8,DA8/DT8,(DA8-edge_width+1)/DT8,(DA8-mid_width+1)/DT8),0)</f>
        <v>3.3458097217091165</v>
      </c>
      <c r="DV8" s="316">
        <f t="shared" si="44"/>
        <v>151.77633555923225</v>
      </c>
      <c r="DW8" s="310">
        <f t="shared" ref="DW8" si="76">IF(DC8&lt;&gt;4,(tot_width-DA8+1)/DV8,0)</f>
        <v>3.9136535864524511</v>
      </c>
      <c r="FB8" s="307"/>
      <c r="FC8" s="307"/>
      <c r="FF8" s="307"/>
      <c r="FG8" s="307"/>
      <c r="FH8" s="306"/>
      <c r="FJ8" s="307"/>
      <c r="FK8" s="307"/>
      <c r="FL8" s="306"/>
      <c r="FM8" s="307"/>
      <c r="FN8" s="306"/>
      <c r="FO8" s="307"/>
      <c r="FP8" s="306"/>
    </row>
    <row r="9" spans="1:172" ht="15" customHeight="1">
      <c r="A9">
        <v>8</v>
      </c>
      <c r="B9" t="s">
        <v>47</v>
      </c>
      <c r="C9" s="142">
        <f>Cntrl4-1</f>
        <v>1</v>
      </c>
      <c r="D9" s="559">
        <f>AP2</f>
        <v>9</v>
      </c>
      <c r="E9" s="172" t="str">
        <f t="shared" si="10"/>
        <v>000000001</v>
      </c>
      <c r="F9" s="555" t="str">
        <f t="shared" si="11"/>
        <v>00000000000000000000000101111010111100010111101010101000010</v>
      </c>
      <c r="G9" s="172" t="str">
        <f t="shared" si="12"/>
        <v>000000</v>
      </c>
      <c r="H9">
        <f t="shared" si="13"/>
        <v>0</v>
      </c>
      <c r="I9" s="552" t="str" cm="1">
        <f t="array" ref="I9">IF(H9&lt;&gt;"",INDEX($B$2:$B$66,H9+1),"")</f>
        <v>A</v>
      </c>
      <c r="J9" s="554">
        <f t="shared" si="0"/>
        <v>9</v>
      </c>
      <c r="K9" t="str">
        <f t="shared" si="14"/>
        <v>AAABevF6qE</v>
      </c>
      <c r="L9" s="2" t="str">
        <f t="shared" si="15"/>
        <v>A</v>
      </c>
      <c r="M9" t="b">
        <f t="shared" si="16"/>
        <v>1</v>
      </c>
      <c r="N9" s="2">
        <f t="shared" si="17"/>
        <v>0</v>
      </c>
      <c r="O9" s="172" t="str">
        <f t="shared" si="1"/>
        <v>000000</v>
      </c>
      <c r="P9" s="177" t="str">
        <f t="shared" si="18"/>
        <v>000000001011110101111000101111010101010000100</v>
      </c>
      <c r="Q9" s="172" t="str">
        <f t="shared" si="2"/>
        <v>000000001</v>
      </c>
      <c r="R9" s="553">
        <f t="shared" si="19"/>
        <v>1</v>
      </c>
      <c r="S9" s="142" t="s">
        <v>89</v>
      </c>
      <c r="BO9" s="260"/>
      <c r="BP9" s="193"/>
      <c r="BQ9" s="193"/>
      <c r="BR9" s="193"/>
      <c r="BS9" s="193"/>
      <c r="BT9" s="193"/>
      <c r="BU9" s="193"/>
      <c r="BV9" s="1076" t="s">
        <v>545</v>
      </c>
      <c r="BW9" s="1076"/>
      <c r="BX9" s="1076"/>
      <c r="BY9" s="1076"/>
      <c r="BZ9" s="1076"/>
      <c r="CA9" s="193"/>
      <c r="CB9" s="193"/>
      <c r="CC9" s="193"/>
      <c r="CD9" s="193"/>
      <c r="CE9" s="193"/>
      <c r="CF9" s="193"/>
      <c r="CG9" s="193"/>
      <c r="CH9" s="193"/>
      <c r="CI9" s="193"/>
      <c r="CJ9" s="193"/>
      <c r="CK9" s="193"/>
      <c r="CL9" s="193"/>
      <c r="CM9" s="193"/>
      <c r="CN9" s="193"/>
      <c r="CO9" s="193"/>
      <c r="CP9" s="193"/>
      <c r="CQ9" s="193"/>
      <c r="CR9" s="193"/>
      <c r="CS9" s="193"/>
      <c r="CT9" s="193"/>
      <c r="CU9" s="193"/>
      <c r="CV9" s="160"/>
      <c r="CW9" s="309"/>
      <c r="CX9" s="318">
        <f>Cntrl14-1</f>
        <v>0</v>
      </c>
      <c r="CY9" s="309" cm="1">
        <f t="array" ref="CY9">IF(CX9=0,0,INDEX($CZ$8:$CZ$10,CX9))</f>
        <v>0</v>
      </c>
      <c r="CZ9" s="317">
        <v>0.3</v>
      </c>
      <c r="DA9" s="309">
        <v>8</v>
      </c>
      <c r="DB9" s="313">
        <f t="shared" ref="DB9" si="77">start+DA9*tanO</f>
        <v>202.91176187412961</v>
      </c>
      <c r="DC9" s="309">
        <f t="shared" ref="DC9" si="78">IF(DA9&lt;edge_width,1,IF(DA9&lt;mid_width,2,IF(DA9&lt;=tot_width,3,4)))</f>
        <v>1</v>
      </c>
      <c r="DD9" s="309">
        <f t="shared" ref="DD9" si="79">CHOOSE(DC9,edge_thick,second_thick,core_thick,0)</f>
        <v>260</v>
      </c>
      <c r="DE9" s="308">
        <f t="shared" ref="DE9" si="80">CHOOSE(DC9,edge_k,second_k,core_k,0)</f>
        <v>6.5000000000000002E-2</v>
      </c>
      <c r="DF9" s="313">
        <f t="shared" si="39"/>
        <v>8</v>
      </c>
      <c r="DG9" s="313">
        <f t="shared" si="24"/>
        <v>202.91176187412961</v>
      </c>
      <c r="DH9" s="313">
        <f t="shared" si="25"/>
        <v>202.91176187412961</v>
      </c>
      <c r="DI9" s="313">
        <f t="shared" si="26"/>
        <v>0</v>
      </c>
      <c r="DJ9" s="313">
        <f t="shared" si="27"/>
        <v>0</v>
      </c>
      <c r="DK9" s="313">
        <f t="shared" si="40"/>
        <v>1613.1029284335832</v>
      </c>
      <c r="DL9" s="313">
        <f t="shared" si="28"/>
        <v>149414.32610306228</v>
      </c>
      <c r="DM9" s="314">
        <f t="shared" ref="DM9" si="81">IF($DC9&lt;&gt;4,IF($DA9=edge_width,$CY$2,IF($DA9=mid_width,$CY$3,1-DO9+DM8)),0)</f>
        <v>1.7957579675631412</v>
      </c>
      <c r="DN9" s="312">
        <f t="shared" ref="DN9" si="82">IF(DC9&lt;&gt;4,CHOOSE(DC9,DM9/DA9,DM9/(DA9-edge_width+1),DM9/(DA9-mid_width+1)),0)</f>
        <v>0.22446974594539265</v>
      </c>
      <c r="DO9" s="312">
        <f t="shared" si="41"/>
        <v>0.78042985336203696</v>
      </c>
      <c r="DP9" s="315">
        <f t="shared" ref="DP9" si="83">DE9*DO9^CHOOSE(DC9,mult1,mult2,mult3,0)</f>
        <v>6.0341141103689828E-2</v>
      </c>
      <c r="DQ9" s="316">
        <f t="shared" si="30"/>
        <v>0.29737626121999128</v>
      </c>
      <c r="DR9" s="316">
        <f t="shared" si="31"/>
        <v>2.3895454466284907</v>
      </c>
      <c r="DS9" s="314">
        <f t="shared" si="32"/>
        <v>3.3479170740558768</v>
      </c>
      <c r="DT9" s="316">
        <f t="shared" ref="DT9" si="84">IF(DC9&lt;&gt;4,IF(DA9=edge_width,$CY$4,IF(DA9=mid_width,$CY$5,DQ9+DT8)),0)</f>
        <v>2.3895454466284907</v>
      </c>
      <c r="DU9" s="314">
        <f t="shared" ref="DU9" si="85">IF(DC9&lt;&gt;4,CHOOSE(DC9,DA9/DT9,(DA9-edge_width+1)/DT9,(DA9-mid_width+1)/DT9),0)</f>
        <v>3.3479170740558768</v>
      </c>
      <c r="DV9" s="316">
        <f t="shared" si="44"/>
        <v>151.47858533753399</v>
      </c>
      <c r="DW9" s="310">
        <f t="shared" ref="DW9" si="86">IF(DC9&lt;&gt;4,(tot_width-DA9+1)/DV9,0)</f>
        <v>3.9147447718675257</v>
      </c>
      <c r="FB9" s="307"/>
      <c r="FC9" s="307"/>
      <c r="FF9" s="307"/>
      <c r="FG9" s="307"/>
      <c r="FH9" s="306"/>
      <c r="FJ9" s="307"/>
      <c r="FK9" s="307"/>
      <c r="FL9" s="306"/>
      <c r="FM9" s="307"/>
      <c r="FN9" s="306"/>
      <c r="FO9" s="307"/>
      <c r="FP9" s="306"/>
    </row>
    <row r="10" spans="1:172" ht="17.25" customHeight="1">
      <c r="A10">
        <v>9</v>
      </c>
      <c r="B10" t="s">
        <v>50</v>
      </c>
      <c r="C10" s="142">
        <f>Cntrl2-1</f>
        <v>61</v>
      </c>
      <c r="D10" s="559">
        <f>AM2</f>
        <v>7</v>
      </c>
      <c r="E10" s="172" t="str">
        <f t="shared" si="10"/>
        <v>0111101</v>
      </c>
      <c r="F10" s="555" t="str">
        <f t="shared" si="11"/>
        <v>00000000000000000101111010111100010111101010101000010</v>
      </c>
      <c r="G10" s="172" t="str">
        <f t="shared" si="12"/>
        <v>000000</v>
      </c>
      <c r="H10">
        <f t="shared" si="13"/>
        <v>0</v>
      </c>
      <c r="I10" s="552" t="str" cm="1">
        <f t="array" ref="I10">IF(H10&lt;&gt;"",INDEX($B$2:$B$66,H10+1),"")</f>
        <v>A</v>
      </c>
      <c r="J10" s="554">
        <f t="shared" si="0"/>
        <v>7</v>
      </c>
      <c r="K10" t="str">
        <f t="shared" si="14"/>
        <v>AABevF6qE</v>
      </c>
      <c r="L10" s="2" t="str">
        <f t="shared" si="15"/>
        <v>A</v>
      </c>
      <c r="M10" t="b">
        <f t="shared" si="16"/>
        <v>1</v>
      </c>
      <c r="N10" s="2">
        <f t="shared" si="17"/>
        <v>0</v>
      </c>
      <c r="O10" s="172" t="str">
        <f t="shared" si="1"/>
        <v>000000</v>
      </c>
      <c r="P10" s="177" t="str">
        <f t="shared" si="18"/>
        <v>011110101111000101111010101010000100</v>
      </c>
      <c r="Q10" s="172" t="str">
        <f t="shared" si="2"/>
        <v>0111101</v>
      </c>
      <c r="R10" s="553">
        <f t="shared" si="19"/>
        <v>61</v>
      </c>
      <c r="S10" s="142" t="s">
        <v>83</v>
      </c>
      <c r="BN10" s="155" t="b">
        <f>ISBLANK(WebCntrl6)</f>
        <v>0</v>
      </c>
      <c r="BO10" s="193"/>
      <c r="BP10" s="193"/>
      <c r="BQ10" s="212" t="s">
        <v>546</v>
      </c>
      <c r="BR10" s="193"/>
      <c r="BS10" s="193"/>
      <c r="BT10" s="453">
        <v>20</v>
      </c>
      <c r="BU10" s="469">
        <f>IF(ISBLANK(WebCntrl6),"",angle)</f>
        <v>20</v>
      </c>
      <c r="BV10" s="1076"/>
      <c r="BW10" s="1076"/>
      <c r="BX10" s="1076"/>
      <c r="BY10" s="1076"/>
      <c r="BZ10" s="1076"/>
      <c r="CA10" s="193"/>
      <c r="CB10" s="1077" t="str">
        <f>IF(BM19,"","Minimum insulation R-value")</f>
        <v>Minimum insulation R-value</v>
      </c>
      <c r="CC10" s="1077"/>
      <c r="CD10" s="1077"/>
      <c r="CE10" s="1077"/>
      <c r="CF10" s="1078">
        <f>IF(BM19,"",MIN(DU2,BY31,BY40))</f>
        <v>3.3331310386075446</v>
      </c>
      <c r="CG10" s="1077" t="str">
        <f>IF(BM19,"","m2.K/W")</f>
        <v>m2.K/W</v>
      </c>
      <c r="CH10" s="1079"/>
      <c r="CI10" s="1077" t="str">
        <f>IF(BM19,"","Maximum compression")</f>
        <v>Maximum compression</v>
      </c>
      <c r="CJ10" s="1077"/>
      <c r="CK10" s="1077"/>
      <c r="CL10" s="1080">
        <f>IF(BM19,"",MAX(BZ20,BZ29,BZ38))</f>
        <v>0.22936934525282238</v>
      </c>
      <c r="CM10" s="193"/>
      <c r="CN10" s="193"/>
      <c r="CO10" s="193"/>
      <c r="CP10" s="193"/>
      <c r="CQ10" s="193"/>
      <c r="CR10" s="193"/>
      <c r="CS10" s="193"/>
      <c r="CT10" s="193"/>
      <c r="CU10" s="193"/>
      <c r="CV10" s="160"/>
      <c r="CW10" s="309"/>
      <c r="CX10" s="313">
        <f>Cntrl15-1</f>
        <v>0</v>
      </c>
      <c r="CY10" s="309" cm="1">
        <f t="array" ref="CY10">IF(CX10=0,0,INDEX($CZ$8:$CZ$10,CX10))</f>
        <v>0</v>
      </c>
      <c r="CZ10" s="309">
        <v>0</v>
      </c>
      <c r="DA10" s="309">
        <v>9</v>
      </c>
      <c r="DB10" s="313">
        <f t="shared" ref="DB10" si="87">start+DA10*tanO</f>
        <v>203.27573210839583</v>
      </c>
      <c r="DC10" s="309">
        <f t="shared" ref="DC10" si="88">IF(DA10&lt;edge_width,1,IF(DA10&lt;mid_width,2,IF(DA10&lt;=tot_width,3,4)))</f>
        <v>1</v>
      </c>
      <c r="DD10" s="309">
        <f t="shared" ref="DD10" si="89">CHOOSE(DC10,edge_thick,second_thick,core_thick,0)</f>
        <v>260</v>
      </c>
      <c r="DE10" s="308">
        <f t="shared" ref="DE10" si="90">CHOOSE(DC10,edge_k,second_k,core_k,0)</f>
        <v>6.5000000000000002E-2</v>
      </c>
      <c r="DF10" s="313">
        <f t="shared" si="39"/>
        <v>9</v>
      </c>
      <c r="DG10" s="313">
        <f t="shared" si="24"/>
        <v>203.27573210839583</v>
      </c>
      <c r="DH10" s="313">
        <f t="shared" si="25"/>
        <v>203.27573210839583</v>
      </c>
      <c r="DI10" s="313">
        <f t="shared" si="26"/>
        <v>0</v>
      </c>
      <c r="DJ10" s="313">
        <f t="shared" si="27"/>
        <v>0</v>
      </c>
      <c r="DK10" s="313">
        <f t="shared" si="40"/>
        <v>1816.3786605419791</v>
      </c>
      <c r="DL10" s="313">
        <f t="shared" si="28"/>
        <v>149211.41434118815</v>
      </c>
      <c r="DM10" s="314">
        <f t="shared" ref="DM10" si="91">IF($DC10&lt;&gt;4,IF($DA10=edge_width,$CY$2,IF($DA10=mid_width,$CY$3,1-DO10+DM9)),0)</f>
        <v>2.0139282286846956</v>
      </c>
      <c r="DN10" s="312">
        <f t="shared" ref="DN10" si="92">IF(DC10&lt;&gt;4,CHOOSE(DC10,DM10/DA10,DM10/(DA10-edge_width+1),DM10/(DA10-mid_width+1)),0)</f>
        <v>0.22376980318718839</v>
      </c>
      <c r="DO10" s="312">
        <f t="shared" si="41"/>
        <v>0.78182973887844553</v>
      </c>
      <c r="DP10" s="315">
        <f t="shared" ref="DP10" si="93">DE10*DO10^CHOOSE(DC10,mult1,mult2,mult3,0)</f>
        <v>6.0373591571183022E-2</v>
      </c>
      <c r="DQ10" s="316">
        <f t="shared" si="30"/>
        <v>0.29700343934311396</v>
      </c>
      <c r="DR10" s="316">
        <f t="shared" si="31"/>
        <v>2.6865488859716047</v>
      </c>
      <c r="DS10" s="314">
        <f t="shared" si="32"/>
        <v>3.3500227920643635</v>
      </c>
      <c r="DT10" s="316">
        <f t="shared" ref="DT10" si="94">IF(DC10&lt;&gt;4,IF(DA10=edge_width,$CY$4,IF(DA10=mid_width,$CY$5,DQ10+DT9)),0)</f>
        <v>2.6865488859716047</v>
      </c>
      <c r="DU10" s="314">
        <f t="shared" ref="DU10" si="95">IF(DC10&lt;&gt;4,CHOOSE(DC10,DA10/DT10,(DA10-edge_width+1)/DT10,(DA10-mid_width+1)/DT10),0)</f>
        <v>3.3500227920643635</v>
      </c>
      <c r="DV10" s="316">
        <f t="shared" si="44"/>
        <v>151.18120907631399</v>
      </c>
      <c r="DW10" s="310">
        <f t="shared" ref="DW10" si="96">IF(DC10&lt;&gt;4,(tot_width-DA10+1)/DV10,0)</f>
        <v>3.9158305692684818</v>
      </c>
      <c r="FB10" s="307"/>
      <c r="FC10" s="307"/>
      <c r="FF10" s="307"/>
      <c r="FG10" s="307"/>
      <c r="FH10" s="306"/>
      <c r="FJ10" s="307"/>
      <c r="FK10" s="307"/>
      <c r="FL10" s="306"/>
      <c r="FM10" s="307"/>
      <c r="FN10" s="306"/>
      <c r="FO10" s="307"/>
      <c r="FP10" s="306"/>
    </row>
    <row r="11" spans="1:172" ht="15" customHeight="1">
      <c r="A11">
        <v>10</v>
      </c>
      <c r="B11" t="s">
        <v>56</v>
      </c>
      <c r="C11" s="142">
        <f>Cntrl3-1</f>
        <v>241</v>
      </c>
      <c r="D11" s="559">
        <f>AJ2</f>
        <v>9</v>
      </c>
      <c r="E11" s="172" t="str">
        <f t="shared" si="10"/>
        <v>011110001</v>
      </c>
      <c r="F11" s="555" t="str">
        <f t="shared" si="11"/>
        <v>00000000000101111010111100010111101010101000010</v>
      </c>
      <c r="G11" s="172" t="str">
        <f t="shared" si="12"/>
        <v>000000</v>
      </c>
      <c r="H11">
        <f t="shared" si="13"/>
        <v>0</v>
      </c>
      <c r="I11" s="552" t="str" cm="1">
        <f t="array" ref="I11">IF(H11&lt;&gt;"",INDEX($B$2:$B$66,H11+1),"")</f>
        <v>A</v>
      </c>
      <c r="J11" s="554">
        <f t="shared" si="0"/>
        <v>9</v>
      </c>
      <c r="K11" t="str">
        <f t="shared" si="14"/>
        <v>ABevF6qE</v>
      </c>
      <c r="L11" s="2" t="str">
        <f t="shared" si="15"/>
        <v>A</v>
      </c>
      <c r="M11" t="b">
        <f t="shared" si="16"/>
        <v>1</v>
      </c>
      <c r="N11" s="2">
        <f t="shared" si="17"/>
        <v>0</v>
      </c>
      <c r="O11" s="172" t="str">
        <f t="shared" si="1"/>
        <v>000000</v>
      </c>
      <c r="P11" s="177" t="str">
        <f t="shared" si="18"/>
        <v>01111000101111010101010000100</v>
      </c>
      <c r="Q11" s="172" t="str">
        <f t="shared" si="2"/>
        <v>011110001</v>
      </c>
      <c r="R11" s="553">
        <f t="shared" si="19"/>
        <v>241</v>
      </c>
      <c r="S11" s="142" t="s">
        <v>67</v>
      </c>
      <c r="BO11" s="193"/>
      <c r="BP11" s="193"/>
      <c r="BQ11" s="193"/>
      <c r="BR11" s="193"/>
      <c r="BS11" s="193"/>
      <c r="BT11" s="193"/>
      <c r="BU11" s="193"/>
      <c r="BV11" s="1076"/>
      <c r="BW11" s="1076"/>
      <c r="BX11" s="1076"/>
      <c r="BY11" s="1076"/>
      <c r="BZ11" s="1076"/>
      <c r="CA11" s="193"/>
      <c r="CB11" s="1077"/>
      <c r="CC11" s="1077"/>
      <c r="CD11" s="1077"/>
      <c r="CE11" s="1077"/>
      <c r="CF11" s="1078"/>
      <c r="CG11" s="1077"/>
      <c r="CH11" s="1079"/>
      <c r="CI11" s="1077"/>
      <c r="CJ11" s="1077"/>
      <c r="CK11" s="1077"/>
      <c r="CL11" s="1080"/>
      <c r="CM11" s="193"/>
      <c r="CN11" s="193"/>
      <c r="CO11" s="193"/>
      <c r="CP11" s="193"/>
      <c r="CQ11" s="193"/>
      <c r="CR11" s="193"/>
      <c r="CS11" s="193"/>
      <c r="CT11" s="193"/>
      <c r="CU11" s="193"/>
      <c r="CV11" s="160"/>
      <c r="CW11" s="309"/>
      <c r="CX11" s="316"/>
      <c r="CY11" s="314"/>
      <c r="DA11" s="309">
        <v>10</v>
      </c>
      <c r="DB11" s="313">
        <f t="shared" ref="DB11" si="97">start+DA11*tanO</f>
        <v>203.63970234266202</v>
      </c>
      <c r="DC11" s="309">
        <f t="shared" ref="DC11" si="98">IF(DA11&lt;edge_width,1,IF(DA11&lt;mid_width,2,IF(DA11&lt;=tot_width,3,4)))</f>
        <v>1</v>
      </c>
      <c r="DD11" s="309">
        <f t="shared" ref="DD11" si="99">CHOOSE(DC11,edge_thick,second_thick,core_thick,0)</f>
        <v>260</v>
      </c>
      <c r="DE11" s="308">
        <f t="shared" ref="DE11" si="100">CHOOSE(DC11,edge_k,second_k,core_k,0)</f>
        <v>6.5000000000000002E-2</v>
      </c>
      <c r="DF11" s="313">
        <f t="shared" si="39"/>
        <v>10</v>
      </c>
      <c r="DG11" s="313">
        <f t="shared" si="24"/>
        <v>203.63970234266202</v>
      </c>
      <c r="DH11" s="313">
        <f t="shared" si="25"/>
        <v>203.63970234266202</v>
      </c>
      <c r="DI11" s="313">
        <f t="shared" si="26"/>
        <v>0</v>
      </c>
      <c r="DJ11" s="313">
        <f t="shared" si="27"/>
        <v>0</v>
      </c>
      <c r="DK11" s="313">
        <f t="shared" si="40"/>
        <v>2020.0183628846412</v>
      </c>
      <c r="DL11" s="313">
        <f t="shared" si="28"/>
        <v>149008.13860907976</v>
      </c>
      <c r="DM11" s="314">
        <f t="shared" ref="DM11" si="101">IF($DC11&lt;&gt;4,IF($DA11=edge_width,$CY$2,IF($DA11=mid_width,$CY$3,1-DO11+DM10)),0)</f>
        <v>2.2306986042898416</v>
      </c>
      <c r="DN11" s="312">
        <f t="shared" ref="DN11" si="102">IF(DC11&lt;&gt;4,CHOOSE(DC11,DM11/DA11,DM11/(DA11-edge_width+1),DM11/(DA11-mid_width+1)),0)</f>
        <v>0.22306986042898416</v>
      </c>
      <c r="DO11" s="312">
        <f t="shared" si="41"/>
        <v>0.78322962439485388</v>
      </c>
      <c r="DP11" s="315">
        <f t="shared" ref="DP11" si="103">DE11*DO11^CHOOSE(DC11,mult1,mult2,mult3,0)</f>
        <v>6.0406001391768785E-2</v>
      </c>
      <c r="DQ11" s="316">
        <f t="shared" si="30"/>
        <v>0.2966317505715283</v>
      </c>
      <c r="DR11" s="316">
        <f t="shared" si="31"/>
        <v>2.9831806365431328</v>
      </c>
      <c r="DS11" s="314">
        <f t="shared" si="32"/>
        <v>3.3521268801167392</v>
      </c>
      <c r="DT11" s="316">
        <f t="shared" ref="DT11" si="104">IF(DC11&lt;&gt;4,IF(DA11=edge_width,$CY$4,IF(DA11=mid_width,$CY$5,DQ11+DT10)),0)</f>
        <v>2.9831806365431328</v>
      </c>
      <c r="DU11" s="314">
        <f t="shared" ref="DU11" si="105">IF(DC11&lt;&gt;4,CHOOSE(DC11,DA11/DT11,(DA11-edge_width+1)/DT11,(DA11-mid_width+1)/DT11),0)</f>
        <v>3.3521268801167392</v>
      </c>
      <c r="DV11" s="316">
        <f t="shared" si="44"/>
        <v>150.88420563697088</v>
      </c>
      <c r="DW11" s="310">
        <f t="shared" ref="DW11" si="106">IF(DC11&lt;&gt;4,(tot_width-DA11+1)/DV11,0)</f>
        <v>3.9169109682822123</v>
      </c>
      <c r="FB11" s="307"/>
      <c r="FC11" s="307"/>
      <c r="FF11" s="307"/>
      <c r="FG11" s="307"/>
      <c r="FH11" s="306"/>
      <c r="FJ11" s="307"/>
      <c r="FK11" s="307"/>
      <c r="FL11" s="306"/>
      <c r="FM11" s="307"/>
      <c r="FN11" s="306"/>
      <c r="FO11" s="307"/>
      <c r="FP11" s="306"/>
    </row>
    <row r="12" spans="1:172" ht="15.75">
      <c r="A12">
        <v>11</v>
      </c>
      <c r="B12" t="s">
        <v>66</v>
      </c>
      <c r="C12" s="142">
        <f>Cntrl1-1</f>
        <v>61</v>
      </c>
      <c r="D12" s="559">
        <f>AG2</f>
        <v>7</v>
      </c>
      <c r="E12" s="172" t="str">
        <f t="shared" si="10"/>
        <v>0111101</v>
      </c>
      <c r="F12" s="555" t="str">
        <f t="shared" si="11"/>
        <v>00000101111010111100010111101010101000010</v>
      </c>
      <c r="G12" s="172" t="str">
        <f t="shared" si="12"/>
        <v>000001</v>
      </c>
      <c r="H12">
        <f t="shared" si="13"/>
        <v>1</v>
      </c>
      <c r="I12" s="552" t="str" cm="1">
        <f t="array" ref="I12">IF(H12&lt;&gt;"",INDEX($B$2:$B$66,H12+1),"")</f>
        <v>B</v>
      </c>
      <c r="J12" s="554">
        <f t="shared" si="0"/>
        <v>7</v>
      </c>
      <c r="K12" t="str">
        <f>IF(LEN(K11)&gt;1,RIGHT(K11,LEN(K11)-1),"")</f>
        <v>BevF6qE</v>
      </c>
      <c r="L12" s="2" t="str">
        <f t="shared" si="15"/>
        <v>B</v>
      </c>
      <c r="M12" t="b">
        <f t="shared" si="16"/>
        <v>1</v>
      </c>
      <c r="N12" s="2">
        <f t="shared" si="17"/>
        <v>1</v>
      </c>
      <c r="O12" s="172" t="str">
        <f t="shared" si="1"/>
        <v>000001</v>
      </c>
      <c r="P12" s="177" t="str">
        <f t="shared" si="18"/>
        <v>01111010101010000100</v>
      </c>
      <c r="Q12" s="172" t="str">
        <f t="shared" si="2"/>
        <v>0111101</v>
      </c>
      <c r="R12" s="553">
        <f t="shared" si="19"/>
        <v>61</v>
      </c>
      <c r="S12" s="142" t="s">
        <v>76</v>
      </c>
      <c r="BN12" s="155" t="b">
        <f>ISBLANK(WebCntrl1)</f>
        <v>0</v>
      </c>
      <c r="BO12" s="193"/>
      <c r="BP12" s="193"/>
      <c r="BQ12" s="213" t="s">
        <v>547</v>
      </c>
      <c r="BR12" s="193"/>
      <c r="BS12" s="193"/>
      <c r="BT12" s="454">
        <v>125</v>
      </c>
      <c r="BU12" s="468">
        <f>IF(ISBLANK(WebCntrl1),"",start)</f>
        <v>200</v>
      </c>
      <c r="BV12" s="1076"/>
      <c r="BW12" s="1076"/>
      <c r="BX12" s="1076"/>
      <c r="BY12" s="1076"/>
      <c r="BZ12" s="1076"/>
      <c r="CA12" s="193"/>
      <c r="CB12" s="193"/>
      <c r="CC12" s="193"/>
      <c r="CD12" s="193"/>
      <c r="CE12" s="193"/>
      <c r="CF12" s="193"/>
      <c r="CG12" s="193"/>
      <c r="CH12" s="193"/>
      <c r="CI12" s="193"/>
      <c r="CJ12" s="193"/>
      <c r="CK12" s="193"/>
      <c r="CL12" s="193"/>
      <c r="CM12" s="193"/>
      <c r="CN12" s="193"/>
      <c r="CO12" s="193"/>
      <c r="CP12" s="193"/>
      <c r="CQ12" s="193"/>
      <c r="CR12" s="193"/>
      <c r="CS12" s="193"/>
      <c r="CT12" s="193"/>
      <c r="CU12" s="193"/>
      <c r="CV12" s="160"/>
      <c r="CW12" s="309"/>
      <c r="CX12" s="313">
        <v>-100</v>
      </c>
      <c r="CY12" s="313">
        <f>start+CX12*tanO+25+8</f>
        <v>196.60297657337975</v>
      </c>
      <c r="DA12" s="309">
        <v>11</v>
      </c>
      <c r="DB12" s="313">
        <f t="shared" ref="DB12" si="107">start+DA12*tanO</f>
        <v>204.00367257692824</v>
      </c>
      <c r="DC12" s="309">
        <f t="shared" ref="DC12" si="108">IF(DA12&lt;edge_width,1,IF(DA12&lt;mid_width,2,IF(DA12&lt;=tot_width,3,4)))</f>
        <v>1</v>
      </c>
      <c r="DD12" s="309">
        <f t="shared" ref="DD12" si="109">CHOOSE(DC12,edge_thick,second_thick,core_thick,0)</f>
        <v>260</v>
      </c>
      <c r="DE12" s="308">
        <f t="shared" ref="DE12" si="110">CHOOSE(DC12,edge_k,second_k,core_k,0)</f>
        <v>6.5000000000000002E-2</v>
      </c>
      <c r="DF12" s="313">
        <f t="shared" si="39"/>
        <v>11</v>
      </c>
      <c r="DG12" s="313">
        <f t="shared" si="24"/>
        <v>204.00367257692824</v>
      </c>
      <c r="DH12" s="313">
        <f t="shared" si="25"/>
        <v>204.00367257692824</v>
      </c>
      <c r="DI12" s="313">
        <f t="shared" si="26"/>
        <v>0</v>
      </c>
      <c r="DJ12" s="313">
        <f t="shared" si="27"/>
        <v>0</v>
      </c>
      <c r="DK12" s="313">
        <f t="shared" si="40"/>
        <v>2224.0220354615694</v>
      </c>
      <c r="DL12" s="313">
        <f t="shared" si="28"/>
        <v>148804.49890673711</v>
      </c>
      <c r="DM12" s="314">
        <f t="shared" ref="DM12" si="111">IF($DC12&lt;&gt;4,IF($DA12=edge_width,$CY$2,IF($DA12=mid_width,$CY$3,1-DO12+DM11)),0)</f>
        <v>2.4460690943785792</v>
      </c>
      <c r="DN12" s="312">
        <f t="shared" ref="DN12" si="112">IF(DC12&lt;&gt;4,CHOOSE(DC12,DM12/DA12,DM12/(DA12-edge_width+1),DM12/(DA12-mid_width+1)),0)</f>
        <v>0.22236991767077993</v>
      </c>
      <c r="DO12" s="312">
        <f t="shared" si="41"/>
        <v>0.78462950991126246</v>
      </c>
      <c r="DP12" s="315">
        <f t="shared" ref="DP12" si="113">DE12*DO12^CHOOSE(DC12,mult1,mult2,mult3,0)</f>
        <v>6.0438370688873706E-2</v>
      </c>
      <c r="DQ12" s="316">
        <f t="shared" si="30"/>
        <v>0.2962611894454148</v>
      </c>
      <c r="DR12" s="316">
        <f t="shared" si="31"/>
        <v>3.2794418259885476</v>
      </c>
      <c r="DS12" s="314">
        <f t="shared" si="32"/>
        <v>3.3542293425754504</v>
      </c>
      <c r="DT12" s="316">
        <f t="shared" ref="DT12" si="114">IF(DC12&lt;&gt;4,IF(DA12=edge_width,$CY$4,IF(DA12=mid_width,$CY$5,DQ12+DT11)),0)</f>
        <v>3.2794418259885476</v>
      </c>
      <c r="DU12" s="314">
        <f t="shared" ref="DU12" si="115">IF(DC12&lt;&gt;4,CHOOSE(DC12,DA12/DT12,(DA12-edge_width+1)/DT12,(DA12-mid_width+1)/DT12),0)</f>
        <v>3.3542293425754504</v>
      </c>
      <c r="DV12" s="316">
        <f t="shared" si="44"/>
        <v>150.58757388639935</v>
      </c>
      <c r="DW12" s="310">
        <f t="shared" ref="DW12" si="116">IF(DC12&lt;&gt;4,(tot_width-DA12+1)/DV12,0)</f>
        <v>3.9179859584236727</v>
      </c>
      <c r="FB12" s="307"/>
      <c r="FC12" s="307"/>
      <c r="FF12" s="307"/>
      <c r="FG12" s="307"/>
      <c r="FH12" s="306"/>
      <c r="FJ12" s="307"/>
      <c r="FK12" s="307"/>
      <c r="FL12" s="306"/>
      <c r="FM12" s="307"/>
      <c r="FN12" s="306"/>
      <c r="FO12" s="307"/>
      <c r="FP12" s="306"/>
    </row>
    <row r="13" spans="1:172" ht="15.75">
      <c r="A13">
        <v>12</v>
      </c>
      <c r="B13" t="s">
        <v>75</v>
      </c>
      <c r="C13" s="142">
        <f>Cntrl6-1</f>
        <v>21</v>
      </c>
      <c r="D13" s="559">
        <f>AD2</f>
        <v>6</v>
      </c>
      <c r="E13" s="172" t="str">
        <f t="shared" si="10"/>
        <v>010101</v>
      </c>
      <c r="F13" s="555" t="str">
        <f t="shared" si="11"/>
        <v>01111010111100010111101010101000010</v>
      </c>
      <c r="G13" s="172" t="str">
        <f t="shared" si="12"/>
        <v>011110</v>
      </c>
      <c r="H13">
        <f t="shared" si="13"/>
        <v>30</v>
      </c>
      <c r="I13" s="552" t="str" cm="1">
        <f t="array" ref="I13">IF(H13&lt;&gt;"",INDEX($B$2:$B$66,H13+1),"")</f>
        <v>e</v>
      </c>
      <c r="J13" s="554">
        <f t="shared" si="0"/>
        <v>6</v>
      </c>
      <c r="K13" t="str">
        <f t="shared" ref="K13:K27" si="117">IF(LEN(K12)&gt;1,RIGHT(K12,LEN(K12)-1),"")</f>
        <v>evF6qE</v>
      </c>
      <c r="L13" s="2" t="str">
        <f t="shared" si="15"/>
        <v>e</v>
      </c>
      <c r="M13" t="b">
        <f t="shared" si="16"/>
        <v>0</v>
      </c>
      <c r="N13" s="2">
        <f t="shared" si="17"/>
        <v>30</v>
      </c>
      <c r="O13" s="172" t="str">
        <f t="shared" si="1"/>
        <v>011110</v>
      </c>
      <c r="P13" s="177" t="str">
        <f t="shared" si="18"/>
        <v>0101010000100</v>
      </c>
      <c r="Q13" s="172" t="str">
        <f t="shared" si="2"/>
        <v>010101</v>
      </c>
      <c r="R13" s="553">
        <f t="shared" si="19"/>
        <v>21</v>
      </c>
      <c r="S13" s="142" t="s">
        <v>8</v>
      </c>
      <c r="BO13" s="193"/>
      <c r="BP13" s="193"/>
      <c r="BQ13" s="193"/>
      <c r="BR13" s="193"/>
      <c r="BS13" s="193"/>
      <c r="BT13" s="193"/>
      <c r="BU13" s="193"/>
      <c r="BV13" s="1076"/>
      <c r="BW13" s="1076"/>
      <c r="BX13" s="1076"/>
      <c r="BY13" s="1076"/>
      <c r="BZ13" s="1076"/>
      <c r="CA13" s="193"/>
      <c r="CB13" s="193"/>
      <c r="CC13" s="193"/>
      <c r="CD13" s="193"/>
      <c r="CE13" s="193"/>
      <c r="CF13" s="193"/>
      <c r="CG13" s="193"/>
      <c r="CH13" s="193"/>
      <c r="CI13" s="193"/>
      <c r="CJ13" s="193"/>
      <c r="CK13" s="193"/>
      <c r="CL13" s="193"/>
      <c r="CM13" s="193"/>
      <c r="CN13" s="193"/>
      <c r="CO13" s="193"/>
      <c r="CP13" s="193"/>
      <c r="CQ13" s="193"/>
      <c r="CR13" s="193"/>
      <c r="CS13" s="193"/>
      <c r="CT13" s="193"/>
      <c r="CU13" s="193"/>
      <c r="CV13" s="160"/>
      <c r="CW13" s="309"/>
      <c r="CX13" s="313">
        <v>1200</v>
      </c>
      <c r="CY13" s="313">
        <f>start+CX13*tanO+25+8</f>
        <v>669.76428111944278</v>
      </c>
      <c r="DA13" s="309">
        <v>12</v>
      </c>
      <c r="DB13" s="313">
        <f t="shared" ref="DB13" si="118">start+DA13*tanO</f>
        <v>204.36764281119443</v>
      </c>
      <c r="DC13" s="309">
        <f t="shared" ref="DC13" si="119">IF(DA13&lt;edge_width,1,IF(DA13&lt;mid_width,2,IF(DA13&lt;=tot_width,3,4)))</f>
        <v>1</v>
      </c>
      <c r="DD13" s="309">
        <f t="shared" ref="DD13" si="120">CHOOSE(DC13,edge_thick,second_thick,core_thick,0)</f>
        <v>260</v>
      </c>
      <c r="DE13" s="308">
        <f t="shared" ref="DE13" si="121">CHOOSE(DC13,edge_k,second_k,core_k,0)</f>
        <v>6.5000000000000002E-2</v>
      </c>
      <c r="DF13" s="313">
        <f t="shared" si="39"/>
        <v>12</v>
      </c>
      <c r="DG13" s="313">
        <f t="shared" si="24"/>
        <v>204.36764281119443</v>
      </c>
      <c r="DH13" s="313">
        <f t="shared" si="25"/>
        <v>204.36764281119443</v>
      </c>
      <c r="DI13" s="313">
        <f t="shared" si="26"/>
        <v>0</v>
      </c>
      <c r="DJ13" s="313">
        <f t="shared" si="27"/>
        <v>0</v>
      </c>
      <c r="DK13" s="313">
        <f t="shared" si="40"/>
        <v>2428.3896782727638</v>
      </c>
      <c r="DL13" s="313">
        <f t="shared" si="28"/>
        <v>148600.49523416019</v>
      </c>
      <c r="DM13" s="314">
        <f t="shared" ref="DM13" si="122">IF($DC13&lt;&gt;4,IF($DA13=edge_width,$CY$2,IF($DA13=mid_width,$CY$3,1-DO13+DM12)),0)</f>
        <v>2.6600396989509081</v>
      </c>
      <c r="DN13" s="312">
        <f t="shared" ref="DN13" si="123">IF(DC13&lt;&gt;4,CHOOSE(DC13,DM13/DA13,DM13/(DA13-edge_width+1),DM13/(DA13-mid_width+1)),0)</f>
        <v>0.22166997491257567</v>
      </c>
      <c r="DO13" s="312">
        <f t="shared" si="41"/>
        <v>0.78602939542767092</v>
      </c>
      <c r="DP13" s="315">
        <f t="shared" ref="DP13" si="124">DE13*DO13^CHOOSE(DC13,mult1,mult2,mult3,0)</f>
        <v>6.0470699585330134E-2</v>
      </c>
      <c r="DQ13" s="316">
        <f t="shared" si="30"/>
        <v>0.2958917505409413</v>
      </c>
      <c r="DR13" s="316">
        <f t="shared" si="31"/>
        <v>3.5753335765294887</v>
      </c>
      <c r="DS13" s="314">
        <f t="shared" si="32"/>
        <v>3.3563301837833497</v>
      </c>
      <c r="DT13" s="316">
        <f t="shared" ref="DT13" si="125">IF(DC13&lt;&gt;4,IF(DA13=edge_width,$CY$4,IF(DA13=mid_width,$CY$5,DQ13+DT12)),0)</f>
        <v>3.5753335765294887</v>
      </c>
      <c r="DU13" s="314">
        <f t="shared" ref="DU13" si="126">IF(DC13&lt;&gt;4,CHOOSE(DC13,DA13/DT13,(DA13-edge_width+1)/DT13,(DA13-mid_width+1)/DT13),0)</f>
        <v>3.3563301837833497</v>
      </c>
      <c r="DV13" s="316">
        <f t="shared" si="44"/>
        <v>150.29131269695395</v>
      </c>
      <c r="DW13" s="310">
        <f t="shared" ref="DW13" si="127">IF(DC13&lt;&gt;4,(tot_width-DA13+1)/DV13,0)</f>
        <v>3.9190555290953797</v>
      </c>
      <c r="FB13" s="307"/>
      <c r="FC13" s="307"/>
      <c r="FF13" s="307"/>
      <c r="FG13" s="307"/>
      <c r="FH13" s="306"/>
      <c r="FJ13" s="307"/>
      <c r="FK13" s="307"/>
      <c r="FL13" s="306"/>
      <c r="FM13" s="307"/>
      <c r="FN13" s="306"/>
      <c r="FO13" s="307"/>
      <c r="FP13" s="306"/>
    </row>
    <row r="14" spans="1:172" ht="15" customHeight="1">
      <c r="A14">
        <v>13</v>
      </c>
      <c r="B14" t="s">
        <v>82</v>
      </c>
      <c r="C14" s="142">
        <f>Cntrl15-1</f>
        <v>0</v>
      </c>
      <c r="D14" s="559">
        <f>AA2</f>
        <v>2</v>
      </c>
      <c r="E14" s="172" t="str">
        <f t="shared" si="10"/>
        <v>00</v>
      </c>
      <c r="F14" s="555" t="str">
        <f t="shared" si="11"/>
        <v>10111100010111101010101000010</v>
      </c>
      <c r="G14" s="172" t="str">
        <f t="shared" si="12"/>
        <v>101111</v>
      </c>
      <c r="H14">
        <f t="shared" si="13"/>
        <v>47</v>
      </c>
      <c r="I14" s="552" t="str" cm="1">
        <f t="array" ref="I14">IF(H14&lt;&gt;"",INDEX($B$2:$B$66,H14+1),"")</f>
        <v>v</v>
      </c>
      <c r="J14" s="554">
        <f t="shared" si="0"/>
        <v>2</v>
      </c>
      <c r="K14" t="str">
        <f t="shared" si="117"/>
        <v>vF6qE</v>
      </c>
      <c r="L14" s="2" t="str">
        <f t="shared" si="15"/>
        <v>v</v>
      </c>
      <c r="M14" t="b">
        <f t="shared" si="16"/>
        <v>0</v>
      </c>
      <c r="N14" s="2">
        <f t="shared" si="17"/>
        <v>47</v>
      </c>
      <c r="O14" s="172" t="str">
        <f t="shared" si="1"/>
        <v>101111</v>
      </c>
      <c r="P14" s="177" t="str">
        <f t="shared" si="18"/>
        <v>0000100</v>
      </c>
      <c r="Q14" s="172" t="str">
        <f t="shared" si="2"/>
        <v>00</v>
      </c>
      <c r="R14" s="553">
        <f t="shared" si="19"/>
        <v>0</v>
      </c>
      <c r="S14" s="142" t="s">
        <v>48</v>
      </c>
      <c r="BO14" s="193"/>
      <c r="BP14" s="193"/>
      <c r="BQ14" s="193"/>
      <c r="BR14" s="193"/>
      <c r="BS14" s="193"/>
      <c r="BT14" s="193"/>
      <c r="BU14" s="193"/>
      <c r="BV14" s="193"/>
      <c r="BW14" s="193"/>
      <c r="BX14" s="193"/>
      <c r="BY14" s="193"/>
      <c r="BZ14" s="193"/>
      <c r="CA14" s="193"/>
      <c r="CB14" s="193"/>
      <c r="CC14" s="193"/>
      <c r="CD14" s="193"/>
      <c r="CE14" s="193"/>
      <c r="CF14" s="193"/>
      <c r="CG14" s="193"/>
      <c r="CH14" s="193"/>
      <c r="CI14" s="193"/>
      <c r="CJ14" s="193"/>
      <c r="CK14" s="193"/>
      <c r="CL14" s="193"/>
      <c r="CM14" s="193"/>
      <c r="CN14" s="193"/>
      <c r="CO14" s="193"/>
      <c r="CP14" s="193"/>
      <c r="CQ14" s="193"/>
      <c r="CR14" s="193"/>
      <c r="CS14" s="193"/>
      <c r="CT14" s="193"/>
      <c r="CU14" s="193"/>
      <c r="CV14" s="160"/>
      <c r="CW14" s="309"/>
      <c r="CX14" s="313">
        <v>-100</v>
      </c>
      <c r="CY14" s="313">
        <f>start+CX14*tanO+4</f>
        <v>167.60297657337975</v>
      </c>
      <c r="DA14" s="309">
        <v>13</v>
      </c>
      <c r="DB14" s="313">
        <f t="shared" ref="DB14" si="128">start+DA14*tanO</f>
        <v>204.73161304546062</v>
      </c>
      <c r="DC14" s="309">
        <f t="shared" ref="DC14" si="129">IF(DA14&lt;edge_width,1,IF(DA14&lt;mid_width,2,IF(DA14&lt;=tot_width,3,4)))</f>
        <v>1</v>
      </c>
      <c r="DD14" s="309">
        <f t="shared" ref="DD14" si="130">CHOOSE(DC14,edge_thick,second_thick,core_thick,0)</f>
        <v>260</v>
      </c>
      <c r="DE14" s="308">
        <f t="shared" ref="DE14" si="131">CHOOSE(DC14,edge_k,second_k,core_k,0)</f>
        <v>6.5000000000000002E-2</v>
      </c>
      <c r="DF14" s="313">
        <f t="shared" si="39"/>
        <v>13</v>
      </c>
      <c r="DG14" s="313">
        <f t="shared" si="24"/>
        <v>204.73161304546062</v>
      </c>
      <c r="DH14" s="313">
        <f t="shared" si="25"/>
        <v>204.73161304546062</v>
      </c>
      <c r="DI14" s="313">
        <f t="shared" si="26"/>
        <v>0</v>
      </c>
      <c r="DJ14" s="313">
        <f t="shared" si="27"/>
        <v>0</v>
      </c>
      <c r="DK14" s="313">
        <f t="shared" si="40"/>
        <v>2633.1212913182244</v>
      </c>
      <c r="DL14" s="313">
        <f t="shared" si="28"/>
        <v>148396.12759134898</v>
      </c>
      <c r="DM14" s="314">
        <f t="shared" ref="DM14" si="132">IF($DC14&lt;&gt;4,IF($DA14=edge_width,$CY$2,IF($DA14=mid_width,$CY$3,1-DO14+DM13)),0)</f>
        <v>2.872610418006829</v>
      </c>
      <c r="DN14" s="312">
        <f t="shared" ref="DN14" si="133">IF(DC14&lt;&gt;4,CHOOSE(DC14,DM14/DA14,DM14/(DA14-edge_width+1),DM14/(DA14-mid_width+1)),0)</f>
        <v>0.22097003215437147</v>
      </c>
      <c r="DO14" s="312">
        <f t="shared" si="41"/>
        <v>0.78742928094407927</v>
      </c>
      <c r="DP14" s="315">
        <f t="shared" ref="DP14" si="134">DE14*DO14^CHOOSE(DC14,mult1,mult2,mult3,0)</f>
        <v>6.0502988203380167E-2</v>
      </c>
      <c r="DQ14" s="316">
        <f t="shared" si="30"/>
        <v>0.29552342846996227</v>
      </c>
      <c r="DR14" s="316">
        <f t="shared" si="31"/>
        <v>3.8708570049994511</v>
      </c>
      <c r="DS14" s="314">
        <f t="shared" si="32"/>
        <v>3.3584294080638206</v>
      </c>
      <c r="DT14" s="316">
        <f t="shared" ref="DT14" si="135">IF(DC14&lt;&gt;4,IF(DA14=edge_width,$CY$4,IF(DA14=mid_width,$CY$5,DQ14+DT13)),0)</f>
        <v>3.8708570049994511</v>
      </c>
      <c r="DU14" s="314">
        <f t="shared" ref="DU14" si="136">IF(DC14&lt;&gt;4,CHOOSE(DC14,DA14/DT14,(DA14-edge_width+1)/DT14,(DA14-mid_width+1)/DT14),0)</f>
        <v>3.3584294080638206</v>
      </c>
      <c r="DV14" s="316">
        <f t="shared" si="44"/>
        <v>149.99542094641302</v>
      </c>
      <c r="DW14" s="310">
        <f t="shared" ref="DW14" si="137">IF(DC14&lt;&gt;4,(tot_width-DA14+1)/DV14,0)</f>
        <v>3.9201196695868963</v>
      </c>
      <c r="FB14" s="307"/>
      <c r="FC14" s="307"/>
      <c r="FF14" s="307"/>
      <c r="FG14" s="307"/>
      <c r="FH14" s="306"/>
      <c r="FJ14" s="307"/>
      <c r="FK14" s="307"/>
      <c r="FL14" s="306"/>
      <c r="FM14" s="307"/>
      <c r="FN14" s="306"/>
      <c r="FO14" s="307"/>
      <c r="FP14" s="306"/>
    </row>
    <row r="15" spans="1:172" ht="15.75">
      <c r="A15">
        <v>14</v>
      </c>
      <c r="B15" t="s">
        <v>88</v>
      </c>
      <c r="C15" s="142">
        <f>Cntrl14-1</f>
        <v>0</v>
      </c>
      <c r="D15" s="559">
        <f>X2</f>
        <v>2</v>
      </c>
      <c r="E15" s="172" t="str">
        <f t="shared" si="10"/>
        <v>00</v>
      </c>
      <c r="F15" s="555" t="str">
        <f>IF(LEN(F14)&gt;=6,RIGHT(F14,LEN(F14)-6),"")</f>
        <v>00010111101010101000010</v>
      </c>
      <c r="G15" s="172" t="str">
        <f t="shared" si="12"/>
        <v>000101</v>
      </c>
      <c r="H15">
        <f t="shared" si="13"/>
        <v>5</v>
      </c>
      <c r="I15" s="552" t="str" cm="1">
        <f t="array" ref="I15">IF(H15&lt;&gt;"",INDEX($B$2:$B$66,H15+1),"")</f>
        <v>F</v>
      </c>
      <c r="J15" s="554">
        <f t="shared" si="0"/>
        <v>2</v>
      </c>
      <c r="K15" t="str">
        <f t="shared" si="117"/>
        <v>F6qE</v>
      </c>
      <c r="L15" s="2" t="str">
        <f t="shared" si="15"/>
        <v>F</v>
      </c>
      <c r="M15" t="b">
        <f t="shared" si="16"/>
        <v>1</v>
      </c>
      <c r="N15" s="2">
        <f t="shared" si="17"/>
        <v>5</v>
      </c>
      <c r="O15" s="172" t="str">
        <f t="shared" si="1"/>
        <v>000101</v>
      </c>
      <c r="P15" s="177" t="str">
        <f t="shared" si="18"/>
        <v>00100</v>
      </c>
      <c r="Q15" s="172" t="str">
        <f t="shared" si="2"/>
        <v>00</v>
      </c>
      <c r="R15" s="553">
        <f t="shared" si="19"/>
        <v>0</v>
      </c>
      <c r="S15" s="142" t="s">
        <v>32</v>
      </c>
      <c r="BO15" s="193"/>
      <c r="BP15" s="458" t="s">
        <v>548</v>
      </c>
      <c r="BQ15" s="460"/>
      <c r="BR15" s="215"/>
      <c r="BS15" s="214"/>
      <c r="BT15" s="214"/>
      <c r="BU15" s="214"/>
      <c r="BV15" s="247"/>
      <c r="BW15" s="247"/>
      <c r="BX15" s="214"/>
      <c r="BY15" s="214"/>
      <c r="BZ15" s="214"/>
      <c r="CA15" s="362"/>
      <c r="CB15" s="193"/>
      <c r="CC15" s="193"/>
      <c r="CD15" s="193"/>
      <c r="CE15" s="193"/>
      <c r="CF15" s="193"/>
      <c r="CG15" s="193"/>
      <c r="CH15" s="193"/>
      <c r="CI15" s="193"/>
      <c r="CJ15" s="193"/>
      <c r="CK15" s="193"/>
      <c r="CL15" s="193"/>
      <c r="CM15" s="193"/>
      <c r="CN15" s="193"/>
      <c r="CO15" s="193"/>
      <c r="CP15" s="193"/>
      <c r="CQ15" s="193"/>
      <c r="CR15" s="193"/>
      <c r="CS15" s="193"/>
      <c r="CT15" s="193"/>
      <c r="CU15" s="193"/>
      <c r="CV15" s="160"/>
      <c r="CW15" s="309"/>
      <c r="CX15" s="313">
        <v>1200</v>
      </c>
      <c r="CY15" s="313">
        <f>start+CX15*tanO+4</f>
        <v>640.76428111944278</v>
      </c>
      <c r="DA15" s="309">
        <v>14</v>
      </c>
      <c r="DB15" s="313">
        <f t="shared" ref="DB15" si="138">start+DA15*tanO</f>
        <v>205.09558327972684</v>
      </c>
      <c r="DC15" s="309">
        <f t="shared" ref="DC15" si="139">IF(DA15&lt;edge_width,1,IF(DA15&lt;mid_width,2,IF(DA15&lt;=tot_width,3,4)))</f>
        <v>1</v>
      </c>
      <c r="DD15" s="309">
        <f t="shared" ref="DD15" si="140">CHOOSE(DC15,edge_thick,second_thick,core_thick,0)</f>
        <v>260</v>
      </c>
      <c r="DE15" s="308">
        <f t="shared" ref="DE15" si="141">CHOOSE(DC15,edge_k,second_k,core_k,0)</f>
        <v>6.5000000000000002E-2</v>
      </c>
      <c r="DF15" s="313">
        <f t="shared" si="39"/>
        <v>14</v>
      </c>
      <c r="DG15" s="313">
        <f t="shared" si="24"/>
        <v>205.09558327972684</v>
      </c>
      <c r="DH15" s="313">
        <f t="shared" si="25"/>
        <v>205.09558327972684</v>
      </c>
      <c r="DI15" s="313">
        <f t="shared" si="26"/>
        <v>0</v>
      </c>
      <c r="DJ15" s="313">
        <f t="shared" si="27"/>
        <v>0</v>
      </c>
      <c r="DK15" s="313">
        <f t="shared" si="40"/>
        <v>2838.2168745979511</v>
      </c>
      <c r="DL15" s="313">
        <f t="shared" si="28"/>
        <v>148191.39597830351</v>
      </c>
      <c r="DM15" s="314">
        <f t="shared" ref="DM15" si="142">IF($DC15&lt;&gt;4,IF($DA15=edge_width,$CY$2,IF($DA15=mid_width,$CY$3,1-DO15+DM14)),0)</f>
        <v>3.0837812515463412</v>
      </c>
      <c r="DN15" s="312">
        <f t="shared" ref="DN15" si="143">IF(DC15&lt;&gt;4,CHOOSE(DC15,DM15/DA15,DM15/(DA15-edge_width+1),DM15/(DA15-mid_width+1)),0)</f>
        <v>0.22027008939616724</v>
      </c>
      <c r="DO15" s="312">
        <f t="shared" si="41"/>
        <v>0.78882916646048784</v>
      </c>
      <c r="DP15" s="315">
        <f t="shared" ref="DP15" si="144">DE15*DO15^CHOOSE(DC15,mult1,mult2,mult3,0)</f>
        <v>6.0535236664679498E-2</v>
      </c>
      <c r="DQ15" s="316">
        <f t="shared" si="30"/>
        <v>0.29515621787972091</v>
      </c>
      <c r="DR15" s="316">
        <f t="shared" si="31"/>
        <v>4.1660132228791724</v>
      </c>
      <c r="DS15" s="314">
        <f t="shared" si="32"/>
        <v>3.3605270197208985</v>
      </c>
      <c r="DT15" s="316">
        <f t="shared" ref="DT15" si="145">IF(DC15&lt;&gt;4,IF(DA15=edge_width,$CY$4,IF(DA15=mid_width,$CY$5,DQ15+DT14)),0)</f>
        <v>4.1660132228791724</v>
      </c>
      <c r="DU15" s="314">
        <f t="shared" ref="DU15" si="146">IF(DC15&lt;&gt;4,CHOOSE(DC15,DA15/DT15,(DA15-edge_width+1)/DT15,(DA15-mid_width+1)/DT15),0)</f>
        <v>3.3605270197208985</v>
      </c>
      <c r="DV15" s="316">
        <f t="shared" si="44"/>
        <v>149.69989751794307</v>
      </c>
      <c r="DW15" s="310">
        <f t="shared" ref="DW15" si="147">IF(DC15&lt;&gt;4,(tot_width-DA15+1)/DV15,0)</f>
        <v>3.9211783690743141</v>
      </c>
      <c r="FB15" s="307"/>
      <c r="FC15" s="307"/>
      <c r="FF15" s="307"/>
      <c r="FG15" s="307"/>
      <c r="FH15" s="306"/>
      <c r="FJ15" s="307"/>
      <c r="FK15" s="307"/>
      <c r="FL15" s="306"/>
      <c r="FM15" s="307"/>
      <c r="FN15" s="306"/>
      <c r="FO15" s="307"/>
      <c r="FP15" s="306"/>
    </row>
    <row r="16" spans="1:172" ht="15" customHeight="1">
      <c r="A16">
        <v>15</v>
      </c>
      <c r="B16" t="s">
        <v>96</v>
      </c>
      <c r="C16" s="142">
        <f>Cntrl13-1</f>
        <v>2</v>
      </c>
      <c r="D16" s="559">
        <f>U2</f>
        <v>2</v>
      </c>
      <c r="E16" s="172" t="str">
        <f t="shared" si="10"/>
        <v>10</v>
      </c>
      <c r="F16" s="555" t="str">
        <f t="shared" ref="F16:F27" si="148">IF(LEN(F15)&gt;=6,RIGHT(F15,LEN(F15)-6),"")</f>
        <v>11101010101000010</v>
      </c>
      <c r="G16" s="172" t="str">
        <f t="shared" si="12"/>
        <v>111010</v>
      </c>
      <c r="H16">
        <f t="shared" si="13"/>
        <v>58</v>
      </c>
      <c r="I16" s="552" t="str" cm="1">
        <f t="array" ref="I16">IF(H16&lt;&gt;"",INDEX($B$2:$B$66,H16+1),"")</f>
        <v>6</v>
      </c>
      <c r="J16" s="554">
        <f t="shared" si="0"/>
        <v>2</v>
      </c>
      <c r="K16" t="str">
        <f t="shared" si="117"/>
        <v>6qE</v>
      </c>
      <c r="L16" s="2" t="str">
        <f t="shared" si="15"/>
        <v>6</v>
      </c>
      <c r="M16" t="b">
        <f t="shared" si="16"/>
        <v>1</v>
      </c>
      <c r="N16" s="2">
        <f t="shared" si="17"/>
        <v>58</v>
      </c>
      <c r="O16" s="172" t="str">
        <f t="shared" si="1"/>
        <v>111010</v>
      </c>
      <c r="P16" s="177" t="str">
        <f t="shared" si="18"/>
        <v>100</v>
      </c>
      <c r="Q16" s="172" t="str">
        <f t="shared" si="2"/>
        <v>10</v>
      </c>
      <c r="R16" s="553">
        <f t="shared" si="19"/>
        <v>2</v>
      </c>
      <c r="S16" s="142" t="s">
        <v>18</v>
      </c>
      <c r="BN16" s="155" t="b">
        <f>ISBLANK(WebCntrl13)</f>
        <v>0</v>
      </c>
      <c r="BO16" s="193"/>
      <c r="BP16" s="243"/>
      <c r="BQ16" s="219" t="s">
        <v>549</v>
      </c>
      <c r="BR16" s="215"/>
      <c r="BS16" s="330">
        <v>1</v>
      </c>
      <c r="BT16" s="1066" t="str">
        <f>IF(ISBLANK(WebCntrl13),"",V25)</f>
        <v>poly/wool fibre</v>
      </c>
      <c r="BU16" s="1066"/>
      <c r="BV16" s="247"/>
      <c r="BW16" s="220" t="s">
        <v>550</v>
      </c>
      <c r="BX16" s="455">
        <v>4.4999999999999998E-2</v>
      </c>
      <c r="BY16" s="467">
        <f>IF(ISBLANK(WebCntrl4),"",edge_k)</f>
        <v>6.5000000000000002E-2</v>
      </c>
      <c r="BZ16" s="214" t="s">
        <v>551</v>
      </c>
      <c r="CA16" s="362"/>
      <c r="CB16" s="193"/>
      <c r="CC16" s="193"/>
      <c r="CD16" s="193"/>
      <c r="CE16" s="193"/>
      <c r="CF16" s="193"/>
      <c r="CG16" s="193"/>
      <c r="CH16" s="193"/>
      <c r="CI16" s="193"/>
      <c r="CJ16" s="193"/>
      <c r="CK16" s="193"/>
      <c r="CL16" s="193"/>
      <c r="CM16" s="193"/>
      <c r="CN16" s="193"/>
      <c r="CO16" s="193"/>
      <c r="CP16" s="193"/>
      <c r="CQ16" s="193"/>
      <c r="CR16" s="193"/>
      <c r="CS16" s="193"/>
      <c r="CT16" s="193"/>
      <c r="CU16" s="193"/>
      <c r="CV16" s="160"/>
      <c r="CW16" s="309"/>
      <c r="DA16" s="309">
        <v>15</v>
      </c>
      <c r="DB16" s="313">
        <f t="shared" ref="DB16" si="149">start+DA16*tanO</f>
        <v>205.45955351399303</v>
      </c>
      <c r="DC16" s="309">
        <f t="shared" ref="DC16" si="150">IF(DA16&lt;edge_width,1,IF(DA16&lt;mid_width,2,IF(DA16&lt;=tot_width,3,4)))</f>
        <v>1</v>
      </c>
      <c r="DD16" s="309">
        <f t="shared" ref="DD16" si="151">CHOOSE(DC16,edge_thick,second_thick,core_thick,0)</f>
        <v>260</v>
      </c>
      <c r="DE16" s="308">
        <f t="shared" ref="DE16" si="152">CHOOSE(DC16,edge_k,second_k,core_k,0)</f>
        <v>6.5000000000000002E-2</v>
      </c>
      <c r="DF16" s="313">
        <f t="shared" si="39"/>
        <v>15</v>
      </c>
      <c r="DG16" s="313">
        <f t="shared" si="24"/>
        <v>205.45955351399303</v>
      </c>
      <c r="DH16" s="313">
        <f t="shared" si="25"/>
        <v>205.45955351399303</v>
      </c>
      <c r="DI16" s="313">
        <f t="shared" si="26"/>
        <v>0</v>
      </c>
      <c r="DJ16" s="313">
        <f t="shared" si="27"/>
        <v>0</v>
      </c>
      <c r="DK16" s="313">
        <f t="shared" si="40"/>
        <v>3043.676428111944</v>
      </c>
      <c r="DL16" s="313">
        <f t="shared" si="28"/>
        <v>147986.30039502378</v>
      </c>
      <c r="DM16" s="314">
        <f t="shared" ref="DM16" si="153">IF($DC16&lt;&gt;4,IF($DA16=edge_width,$CY$2,IF($DA16=mid_width,$CY$3,1-DO16+DM15)),0)</f>
        <v>3.293552199569445</v>
      </c>
      <c r="DN16" s="312">
        <f t="shared" ref="DN16" si="154">IF(DC16&lt;&gt;4,CHOOSE(DC16,DM16/DA16,DM16/(DA16-edge_width+1),DM16/(DA16-mid_width+1)),0)</f>
        <v>0.21957014663796301</v>
      </c>
      <c r="DO16" s="312">
        <f t="shared" si="41"/>
        <v>0.7902290519768963</v>
      </c>
      <c r="DP16" s="315">
        <f t="shared" ref="DP16" si="155">DE16*DO16^CHOOSE(DC16,mult1,mult2,mult3,0)</f>
        <v>6.056744509030125E-2</v>
      </c>
      <c r="DQ16" s="316">
        <f t="shared" si="30"/>
        <v>0.29479011345255474</v>
      </c>
      <c r="DR16" s="316">
        <f t="shared" si="31"/>
        <v>4.4608033363317272</v>
      </c>
      <c r="DS16" s="314">
        <f t="shared" si="32"/>
        <v>3.3626230230393923</v>
      </c>
      <c r="DT16" s="316">
        <f t="shared" ref="DT16" si="156">IF(DC16&lt;&gt;4,IF(DA16=edge_width,$CY$4,IF(DA16=mid_width,$CY$5,DQ16+DT15)),0)</f>
        <v>4.4608033363317272</v>
      </c>
      <c r="DU16" s="314">
        <f t="shared" ref="DU16" si="157">IF(DC16&lt;&gt;4,CHOOSE(DC16,DA16/DT16,(DA16-edge_width+1)/DT16,(DA16-mid_width+1)/DT16),0)</f>
        <v>3.3626230230393923</v>
      </c>
      <c r="DV16" s="316">
        <f t="shared" si="44"/>
        <v>149.40474130006336</v>
      </c>
      <c r="DW16" s="310">
        <f t="shared" ref="DW16" si="158">IF(DC16&lt;&gt;4,(tot_width-DA16+1)/DV16,0)</f>
        <v>3.9222316166197295</v>
      </c>
      <c r="FB16" s="307"/>
      <c r="FC16" s="307"/>
      <c r="FF16" s="307"/>
      <c r="FG16" s="307"/>
      <c r="FH16" s="306"/>
      <c r="FJ16" s="307"/>
      <c r="FK16" s="307"/>
      <c r="FL16" s="306"/>
      <c r="FM16" s="307"/>
      <c r="FN16" s="306"/>
      <c r="FO16" s="307"/>
      <c r="FP16" s="306"/>
    </row>
    <row r="17" spans="1:172" ht="15" customHeight="1">
      <c r="A17">
        <v>16</v>
      </c>
      <c r="B17" t="s">
        <v>103</v>
      </c>
      <c r="C17" s="142"/>
      <c r="D17" s="559"/>
      <c r="E17" s="172" t="str">
        <f t="shared" si="10"/>
        <v/>
      </c>
      <c r="F17" s="555" t="str">
        <f t="shared" si="148"/>
        <v>10101000010</v>
      </c>
      <c r="G17" s="172" t="str">
        <f t="shared" si="12"/>
        <v>101010</v>
      </c>
      <c r="H17">
        <f t="shared" si="13"/>
        <v>42</v>
      </c>
      <c r="I17" s="552" t="str" cm="1">
        <f t="array" ref="I17">IF(H17&lt;&gt;"",INDEX($B$2:$B$66,H17+1),"")</f>
        <v>q</v>
      </c>
      <c r="J17" s="554" t="str">
        <f t="shared" si="0"/>
        <v/>
      </c>
      <c r="K17" t="str">
        <f t="shared" si="117"/>
        <v>qE</v>
      </c>
      <c r="L17" s="2" t="str">
        <f t="shared" si="15"/>
        <v>q</v>
      </c>
      <c r="M17" t="b">
        <f t="shared" si="16"/>
        <v>0</v>
      </c>
      <c r="N17" s="2">
        <f t="shared" si="17"/>
        <v>42</v>
      </c>
      <c r="O17" s="172" t="str">
        <f t="shared" si="1"/>
        <v>101010</v>
      </c>
      <c r="P17" s="177" t="str">
        <f t="shared" si="18"/>
        <v/>
      </c>
      <c r="Q17" s="172" t="str">
        <f t="shared" si="2"/>
        <v/>
      </c>
      <c r="R17" s="553" t="str">
        <f t="shared" si="19"/>
        <v/>
      </c>
      <c r="S17" s="553" t="str">
        <f t="shared" si="19"/>
        <v/>
      </c>
      <c r="BN17" s="155" t="b">
        <f>ISBLANK(WebCntrl4)</f>
        <v>0</v>
      </c>
      <c r="BO17" s="193"/>
      <c r="BP17" s="214"/>
      <c r="BQ17" s="215"/>
      <c r="BR17" s="215"/>
      <c r="BS17" s="214"/>
      <c r="BT17" s="214"/>
      <c r="BU17" s="214"/>
      <c r="BV17" s="247"/>
      <c r="BW17" s="247"/>
      <c r="BX17" s="216"/>
      <c r="BY17" s="216"/>
      <c r="BZ17" s="214"/>
      <c r="CA17" s="362"/>
      <c r="CB17" s="193"/>
      <c r="CC17" s="193"/>
      <c r="CD17" s="193"/>
      <c r="CE17" s="193"/>
      <c r="CF17" s="193"/>
      <c r="CG17" s="193"/>
      <c r="CH17" s="193"/>
      <c r="CI17" s="193"/>
      <c r="CJ17" s="193"/>
      <c r="CK17" s="193"/>
      <c r="CL17" s="193"/>
      <c r="CM17" s="193"/>
      <c r="CN17" s="193"/>
      <c r="CO17" s="193"/>
      <c r="CP17" s="193"/>
      <c r="CQ17" s="193"/>
      <c r="CR17" s="193"/>
      <c r="CS17" s="193"/>
      <c r="CT17" s="193"/>
      <c r="CU17" s="193"/>
      <c r="CV17" s="160"/>
      <c r="CW17" s="309"/>
      <c r="CX17" s="313">
        <f>MAX(edge_width,MIN(edge_width+second_width,MAX(0,(second_thick-start)/tanO)))</f>
        <v>600</v>
      </c>
      <c r="CY17" s="313">
        <v>0</v>
      </c>
      <c r="DA17" s="309">
        <v>16</v>
      </c>
      <c r="DB17" s="313">
        <f t="shared" ref="DB17" si="159">start+DA17*tanO</f>
        <v>205.82352374825925</v>
      </c>
      <c r="DC17" s="309">
        <f t="shared" ref="DC17" si="160">IF(DA17&lt;edge_width,1,IF(DA17&lt;mid_width,2,IF(DA17&lt;=tot_width,3,4)))</f>
        <v>1</v>
      </c>
      <c r="DD17" s="309">
        <f t="shared" ref="DD17" si="161">CHOOSE(DC17,edge_thick,second_thick,core_thick,0)</f>
        <v>260</v>
      </c>
      <c r="DE17" s="308">
        <f t="shared" ref="DE17" si="162">CHOOSE(DC17,edge_k,second_k,core_k,0)</f>
        <v>6.5000000000000002E-2</v>
      </c>
      <c r="DF17" s="313">
        <f t="shared" si="39"/>
        <v>16</v>
      </c>
      <c r="DG17" s="313">
        <f t="shared" si="24"/>
        <v>205.82352374825925</v>
      </c>
      <c r="DH17" s="313">
        <f t="shared" si="25"/>
        <v>205.82352374825925</v>
      </c>
      <c r="DI17" s="313">
        <f t="shared" si="26"/>
        <v>0</v>
      </c>
      <c r="DJ17" s="313">
        <f t="shared" si="27"/>
        <v>0</v>
      </c>
      <c r="DK17" s="313">
        <f t="shared" si="40"/>
        <v>3249.4999518602031</v>
      </c>
      <c r="DL17" s="313">
        <f t="shared" si="28"/>
        <v>147780.84084150978</v>
      </c>
      <c r="DM17" s="314">
        <f t="shared" ref="DM17" si="163">IF($DC17&lt;&gt;4,IF($DA17=edge_width,$CY$2,IF($DA17=mid_width,$CY$3,1-DO17+DM16)),0)</f>
        <v>3.50192326207614</v>
      </c>
      <c r="DN17" s="312">
        <f t="shared" ref="DN17" si="164">IF(DC17&lt;&gt;4,CHOOSE(DC17,DM17/DA17,DM17/(DA17-edge_width+1),DM17/(DA17-mid_width+1)),0)</f>
        <v>0.21887020387975875</v>
      </c>
      <c r="DO17" s="312">
        <f t="shared" si="41"/>
        <v>0.79162893749330476</v>
      </c>
      <c r="DP17" s="315">
        <f t="shared" ref="DP17" si="165">DE17*DO17^CHOOSE(DC17,mult1,mult2,mult3,0)</f>
        <v>6.0599613600739829E-2</v>
      </c>
      <c r="DQ17" s="316">
        <f t="shared" si="30"/>
        <v>0.29442510990560355</v>
      </c>
      <c r="DR17" s="316">
        <f t="shared" si="31"/>
        <v>4.7552284462373304</v>
      </c>
      <c r="DS17" s="314">
        <f t="shared" si="32"/>
        <v>3.3647174222850049</v>
      </c>
      <c r="DT17" s="316">
        <f t="shared" ref="DT17" si="166">IF(DC17&lt;&gt;4,IF(DA17=edge_width,$CY$4,IF(DA17=mid_width,$CY$5,DQ17+DT16)),0)</f>
        <v>4.7552284462373304</v>
      </c>
      <c r="DU17" s="314">
        <f t="shared" ref="DU17" si="167">IF(DC17&lt;&gt;4,CHOOSE(DC17,DA17/DT17,(DA17-edge_width+1)/DT17,(DA17-mid_width+1)/DT17),0)</f>
        <v>3.3647174222850049</v>
      </c>
      <c r="DV17" s="316">
        <f t="shared" si="44"/>
        <v>149.1099511866108</v>
      </c>
      <c r="DW17" s="310">
        <f t="shared" ref="DW17" si="168">IF(DC17&lt;&gt;4,(tot_width-DA17+1)/DV17,0)</f>
        <v>3.9232794011707086</v>
      </c>
      <c r="FB17" s="307"/>
      <c r="FC17" s="307"/>
      <c r="FF17" s="307"/>
      <c r="FG17" s="307"/>
      <c r="FH17" s="306"/>
      <c r="FJ17" s="307"/>
      <c r="FK17" s="307"/>
      <c r="FL17" s="306"/>
      <c r="FM17" s="307"/>
      <c r="FN17" s="306"/>
      <c r="FO17" s="307"/>
      <c r="FP17" s="306"/>
    </row>
    <row r="18" spans="1:172" ht="15" customHeight="1">
      <c r="A18">
        <v>17</v>
      </c>
      <c r="B18" t="s">
        <v>108</v>
      </c>
      <c r="C18" s="553"/>
      <c r="D18" s="554"/>
      <c r="E18" s="172" t="str">
        <f t="shared" si="10"/>
        <v/>
      </c>
      <c r="F18" s="555" t="str">
        <f t="shared" si="148"/>
        <v>00010</v>
      </c>
      <c r="G18" s="172" t="str">
        <f t="shared" si="12"/>
        <v>000100</v>
      </c>
      <c r="H18">
        <f t="shared" si="13"/>
        <v>4</v>
      </c>
      <c r="I18" s="552" t="str" cm="1">
        <f t="array" ref="I18">IF(H18&lt;&gt;"",INDEX($B$2:$B$66,H18+1),"")</f>
        <v>E</v>
      </c>
      <c r="J18" s="554" t="str">
        <f t="shared" si="0"/>
        <v/>
      </c>
      <c r="K18" t="str">
        <f t="shared" si="117"/>
        <v>E</v>
      </c>
      <c r="L18" s="2" t="str">
        <f t="shared" si="15"/>
        <v>E</v>
      </c>
      <c r="M18" t="b">
        <f t="shared" si="16"/>
        <v>1</v>
      </c>
      <c r="N18" s="2">
        <f t="shared" si="17"/>
        <v>4</v>
      </c>
      <c r="O18" s="172" t="str">
        <f t="shared" si="1"/>
        <v>000100</v>
      </c>
      <c r="P18" s="177" t="str">
        <f t="shared" si="18"/>
        <v/>
      </c>
      <c r="Q18" s="172" t="str">
        <f t="shared" si="2"/>
        <v/>
      </c>
      <c r="R18" s="553" t="str">
        <f t="shared" si="19"/>
        <v/>
      </c>
      <c r="S18" s="553" t="str">
        <f t="shared" si="19"/>
        <v/>
      </c>
      <c r="BN18" s="155" t="b">
        <f>ISBLANK(BT18)</f>
        <v>0</v>
      </c>
      <c r="BO18" s="193"/>
      <c r="BP18" s="219"/>
      <c r="BQ18" s="219" t="s">
        <v>10</v>
      </c>
      <c r="BR18" s="215"/>
      <c r="BS18" s="214"/>
      <c r="BT18" s="454">
        <v>340</v>
      </c>
      <c r="BU18" s="468">
        <f>IF(ISBLANK(WebCntrl3),"",edge_thick)</f>
        <v>260</v>
      </c>
      <c r="BV18" s="1067" t="str">
        <f>IF(AP20,"","lofted R-value")</f>
        <v>lofted R-value</v>
      </c>
      <c r="BW18" s="1067"/>
      <c r="BX18" s="217">
        <f>IF(AP20,"",edge_thick/1000/edge_k)</f>
        <v>4</v>
      </c>
      <c r="BY18" s="218" t="str">
        <f>IF(AP20,"","m2.K/W")</f>
        <v>m2.K/W</v>
      </c>
      <c r="BZ18" s="214"/>
      <c r="CA18" s="362"/>
      <c r="CB18" s="193"/>
      <c r="CC18" s="193"/>
      <c r="CD18" s="193"/>
      <c r="CE18" s="193"/>
      <c r="CF18" s="193"/>
      <c r="CG18" s="193"/>
      <c r="CH18" s="193"/>
      <c r="CI18" s="193"/>
      <c r="CJ18" s="193"/>
      <c r="CK18" s="193"/>
      <c r="CL18" s="193"/>
      <c r="CM18" s="193"/>
      <c r="CN18" s="193"/>
      <c r="CO18" s="193"/>
      <c r="CP18" s="193"/>
      <c r="CQ18" s="193"/>
      <c r="CR18" s="193"/>
      <c r="CS18" s="193"/>
      <c r="CT18" s="193"/>
      <c r="CU18" s="193"/>
      <c r="CV18" s="160"/>
      <c r="CW18" s="363"/>
      <c r="CX18" s="313">
        <f>CX17</f>
        <v>600</v>
      </c>
      <c r="CY18" s="313">
        <f>MIN(second_thick,start+$CX$18*tanO)</f>
        <v>0</v>
      </c>
      <c r="DA18" s="309">
        <v>17</v>
      </c>
      <c r="DB18" s="313">
        <f t="shared" ref="DB18" si="169">start+DA18*tanO</f>
        <v>206.18749398252544</v>
      </c>
      <c r="DC18" s="309">
        <f t="shared" ref="DC18" si="170">IF(DA18&lt;edge_width,1,IF(DA18&lt;mid_width,2,IF(DA18&lt;=tot_width,3,4)))</f>
        <v>1</v>
      </c>
      <c r="DD18" s="309">
        <f t="shared" ref="DD18" si="171">CHOOSE(DC18,edge_thick,second_thick,core_thick,0)</f>
        <v>260</v>
      </c>
      <c r="DE18" s="308">
        <f t="shared" ref="DE18" si="172">CHOOSE(DC18,edge_k,second_k,core_k,0)</f>
        <v>6.5000000000000002E-2</v>
      </c>
      <c r="DF18" s="313">
        <f t="shared" si="39"/>
        <v>17</v>
      </c>
      <c r="DG18" s="313">
        <f t="shared" si="24"/>
        <v>206.18749398252544</v>
      </c>
      <c r="DH18" s="313">
        <f t="shared" si="25"/>
        <v>206.18749398252544</v>
      </c>
      <c r="DI18" s="313">
        <f t="shared" si="26"/>
        <v>0</v>
      </c>
      <c r="DJ18" s="313">
        <f t="shared" si="27"/>
        <v>0</v>
      </c>
      <c r="DK18" s="313">
        <f t="shared" si="40"/>
        <v>3455.6874458427283</v>
      </c>
      <c r="DL18" s="313">
        <f t="shared" si="28"/>
        <v>147575.01731776152</v>
      </c>
      <c r="DM18" s="314">
        <f t="shared" ref="DM18" si="173">IF($DC18&lt;&gt;4,IF($DA18=edge_width,$CY$2,IF($DA18=mid_width,$CY$3,1-DO18+DM17)),0)</f>
        <v>3.7088944390664267</v>
      </c>
      <c r="DN18" s="312">
        <f t="shared" ref="DN18" si="174">IF(DC18&lt;&gt;4,CHOOSE(DC18,DM18/DA18,DM18/(DA18-edge_width+1),DM18/(DA18-mid_width+1)),0)</f>
        <v>0.21817026112155452</v>
      </c>
      <c r="DO18" s="312">
        <f t="shared" si="41"/>
        <v>0.79302882300971322</v>
      </c>
      <c r="DP18" s="315">
        <f t="shared" ref="DP18" si="175">DE18*DO18^CHOOSE(DC18,mult1,mult2,mult3,0)</f>
        <v>6.0631742315914665E-2</v>
      </c>
      <c r="DQ18" s="316">
        <f t="shared" si="30"/>
        <v>0.2940612019905206</v>
      </c>
      <c r="DR18" s="316">
        <f t="shared" si="31"/>
        <v>5.0492896482278509</v>
      </c>
      <c r="DS18" s="314">
        <f t="shared" si="32"/>
        <v>3.3668102217044509</v>
      </c>
      <c r="DT18" s="316">
        <f t="shared" ref="DT18" si="176">IF(DC18&lt;&gt;4,IF(DA18=edge_width,$CY$4,IF(DA18=mid_width,$CY$5,DQ18+DT17)),0)</f>
        <v>5.0492896482278509</v>
      </c>
      <c r="DU18" s="314">
        <f t="shared" ref="DU18" si="177">IF(DC18&lt;&gt;4,CHOOSE(DC18,DA18/DT18,(DA18-edge_width+1)/DT18,(DA18-mid_width+1)/DT18),0)</f>
        <v>3.3668102217044509</v>
      </c>
      <c r="DV18" s="316">
        <f t="shared" si="44"/>
        <v>148.8155260767052</v>
      </c>
      <c r="DW18" s="310">
        <f t="shared" ref="DW18" si="178">IF(DC18&lt;&gt;4,(tot_width-DA18+1)/DV18,0)</f>
        <v>3.9243217115597475</v>
      </c>
      <c r="FB18" s="307"/>
      <c r="FC18" s="307"/>
      <c r="FF18" s="307"/>
      <c r="FG18" s="307"/>
      <c r="FH18" s="306"/>
      <c r="FJ18" s="307"/>
      <c r="FK18" s="307"/>
      <c r="FL18" s="306"/>
      <c r="FM18" s="307"/>
      <c r="FN18" s="306"/>
      <c r="FO18" s="307"/>
      <c r="FP18" s="306"/>
    </row>
    <row r="19" spans="1:172">
      <c r="A19">
        <v>18</v>
      </c>
      <c r="B19" t="s">
        <v>112</v>
      </c>
      <c r="C19" s="553"/>
      <c r="D19" s="554"/>
      <c r="E19" s="172" t="str">
        <f t="shared" si="10"/>
        <v/>
      </c>
      <c r="F19" s="555" t="str">
        <f t="shared" si="148"/>
        <v/>
      </c>
      <c r="G19" s="172" t="str">
        <f t="shared" si="12"/>
        <v/>
      </c>
      <c r="H19" t="str">
        <f t="shared" si="13"/>
        <v/>
      </c>
      <c r="I19" s="552" t="str" cm="1">
        <f t="array" ref="I19">IF(H19&lt;&gt;"",INDEX($B$2:$B$66,H19+1),"")</f>
        <v/>
      </c>
      <c r="J19" s="554" t="str">
        <f t="shared" si="0"/>
        <v/>
      </c>
      <c r="K19" t="str">
        <f t="shared" si="117"/>
        <v/>
      </c>
      <c r="L19" s="2" t="str">
        <f t="shared" si="15"/>
        <v/>
      </c>
      <c r="M19" t="str">
        <f t="shared" si="16"/>
        <v/>
      </c>
      <c r="N19" s="2" t="str">
        <f t="shared" si="17"/>
        <v/>
      </c>
      <c r="O19" s="172" t="str">
        <f t="shared" si="1"/>
        <v/>
      </c>
      <c r="P19" s="177" t="str">
        <f t="shared" si="18"/>
        <v/>
      </c>
      <c r="Q19" s="172" t="str">
        <f t="shared" si="2"/>
        <v/>
      </c>
      <c r="R19" s="553" t="str">
        <f t="shared" si="19"/>
        <v/>
      </c>
      <c r="S19" s="553" t="str">
        <f t="shared" si="19"/>
        <v/>
      </c>
      <c r="AG19" s="155" t="b">
        <f>NOT(AND(Cntrl1-1,Cntrl6-1))</f>
        <v>0</v>
      </c>
      <c r="AP19" s="155" t="b">
        <f>NOT(AND(Cntrl2-1,Cntrl3-1,Cntrl4-1,Cntrl13-1))</f>
        <v>0</v>
      </c>
      <c r="AY19" s="155" t="b">
        <f>NOT(AND(Cntrl5-1,Cntrl7-1,Cntrl8-1,Cntrl14-1))</f>
        <v>1</v>
      </c>
      <c r="BH19" s="155" t="b">
        <f>NOT(AND(Cntrl9-1,Cntrl10-1,Cntrl11-1,Cntrl15-1))</f>
        <v>1</v>
      </c>
      <c r="BM19" s="155" t="b">
        <f>OR(AG19,AP19)</f>
        <v>0</v>
      </c>
      <c r="BO19" s="193"/>
      <c r="BP19" s="219"/>
      <c r="BQ19" s="215"/>
      <c r="BR19" s="215"/>
      <c r="BS19" s="214"/>
      <c r="BT19" s="214"/>
      <c r="BU19" s="214"/>
      <c r="BV19" s="214"/>
      <c r="BW19" s="214"/>
      <c r="BX19" s="214"/>
      <c r="BY19" s="214"/>
      <c r="BZ19" s="214"/>
      <c r="CA19" s="362"/>
      <c r="CB19" s="193"/>
      <c r="CC19" s="193"/>
      <c r="CD19" s="193"/>
      <c r="CE19" s="193"/>
      <c r="CF19" s="193"/>
      <c r="CG19" s="193"/>
      <c r="CH19" s="193"/>
      <c r="CI19" s="193"/>
      <c r="CJ19" s="193"/>
      <c r="CK19" s="193"/>
      <c r="CL19" s="193"/>
      <c r="CM19" s="193"/>
      <c r="CN19" s="193"/>
      <c r="CO19" s="193"/>
      <c r="CP19" s="193"/>
      <c r="CQ19" s="193"/>
      <c r="CR19" s="193"/>
      <c r="CS19" s="193"/>
      <c r="CT19" s="193"/>
      <c r="CU19" s="193"/>
      <c r="CV19" s="160"/>
      <c r="CW19" s="364"/>
      <c r="CX19" s="313">
        <f>edge_width</f>
        <v>600</v>
      </c>
      <c r="CY19" s="313">
        <v>0</v>
      </c>
      <c r="DA19" s="309">
        <v>18</v>
      </c>
      <c r="DB19" s="313">
        <f t="shared" ref="DB19" si="179">start+DA19*tanO</f>
        <v>206.55146421679163</v>
      </c>
      <c r="DC19" s="309">
        <f t="shared" ref="DC19" si="180">IF(DA19&lt;edge_width,1,IF(DA19&lt;mid_width,2,IF(DA19&lt;=tot_width,3,4)))</f>
        <v>1</v>
      </c>
      <c r="DD19" s="309">
        <f t="shared" ref="DD19" si="181">CHOOSE(DC19,edge_thick,second_thick,core_thick,0)</f>
        <v>260</v>
      </c>
      <c r="DE19" s="308">
        <f t="shared" ref="DE19" si="182">CHOOSE(DC19,edge_k,second_k,core_k,0)</f>
        <v>6.5000000000000002E-2</v>
      </c>
      <c r="DF19" s="313">
        <f t="shared" si="39"/>
        <v>18</v>
      </c>
      <c r="DG19" s="313">
        <f t="shared" si="24"/>
        <v>206.55146421679163</v>
      </c>
      <c r="DH19" s="313">
        <f t="shared" si="25"/>
        <v>206.55146421679163</v>
      </c>
      <c r="DI19" s="313">
        <f t="shared" si="26"/>
        <v>0</v>
      </c>
      <c r="DJ19" s="313">
        <f t="shared" si="27"/>
        <v>0</v>
      </c>
      <c r="DK19" s="313">
        <f t="shared" si="40"/>
        <v>3662.2389100595201</v>
      </c>
      <c r="DL19" s="313">
        <f t="shared" si="28"/>
        <v>147368.829823779</v>
      </c>
      <c r="DM19" s="314">
        <f>IF($DC19&lt;&gt;4,IF($DA19=edge_width,$CY$2,IF($DA19=mid_width,$CY$3,1-DO19+DM18)),0)</f>
        <v>3.914465730540305</v>
      </c>
      <c r="DN19" s="312">
        <f>IF(DC19&lt;&gt;4,CHOOSE(DC19,DM19/DA19,DM19/(DA19-edge_width+1),DM19/(DA19-mid_width+1)),0)</f>
        <v>0.21747031836335029</v>
      </c>
      <c r="DO19" s="312">
        <f t="shared" si="41"/>
        <v>0.79442870852612169</v>
      </c>
      <c r="DP19" s="315">
        <f t="shared" ref="DP19" si="183">DE19*DO19^CHOOSE(DC19,mult1,mult2,mult3,0)</f>
        <v>6.0663831355174003E-2</v>
      </c>
      <c r="DQ19" s="316">
        <f t="shared" si="30"/>
        <v>0.29369838449318691</v>
      </c>
      <c r="DR19" s="316">
        <f t="shared" si="31"/>
        <v>5.3429880327210375</v>
      </c>
      <c r="DS19" s="314">
        <f t="shared" si="32"/>
        <v>3.3689014255255767</v>
      </c>
      <c r="DT19" s="316">
        <f>IF(DC19&lt;&gt;4,IF(DA19=edge_width,$CY$4,IF(DA19=mid_width,$CY$5,DQ19+DT18)),0)</f>
        <v>5.3429880327210375</v>
      </c>
      <c r="DU19" s="314">
        <f>IF(DC19&lt;&gt;4,CHOOSE(DC19,DA19/DT19,(DA19-edge_width+1)/DT19,(DA19-mid_width+1)/DT19),0)</f>
        <v>3.3689014255255767</v>
      </c>
      <c r="DV19" s="316">
        <f t="shared" si="44"/>
        <v>148.52146487471467</v>
      </c>
      <c r="DW19" s="310">
        <f>IF(DC19&lt;&gt;4,(tot_width-DA19+1)/DV19,0)</f>
        <v>3.9253585365037291</v>
      </c>
      <c r="FB19" s="307"/>
      <c r="FC19" s="307"/>
      <c r="FF19" s="307"/>
      <c r="FG19" s="307"/>
      <c r="FH19" s="306"/>
      <c r="FJ19" s="307"/>
      <c r="FK19" s="307"/>
      <c r="FL19" s="306"/>
      <c r="FM19" s="307"/>
      <c r="FN19" s="306"/>
      <c r="FO19" s="307"/>
      <c r="FP19" s="306"/>
    </row>
    <row r="20" spans="1:172">
      <c r="A20">
        <v>19</v>
      </c>
      <c r="B20" t="s">
        <v>117</v>
      </c>
      <c r="C20" s="553"/>
      <c r="D20" s="554"/>
      <c r="E20" s="172" t="str">
        <f t="shared" si="10"/>
        <v/>
      </c>
      <c r="F20" s="555" t="str">
        <f t="shared" si="148"/>
        <v/>
      </c>
      <c r="G20" s="172" t="str">
        <f t="shared" si="12"/>
        <v/>
      </c>
      <c r="H20" t="str">
        <f t="shared" si="13"/>
        <v/>
      </c>
      <c r="I20" s="552" t="str" cm="1">
        <f t="array" ref="I20">IF(H20&lt;&gt;"",INDEX($B$2:$B$66,H20+1),"")</f>
        <v/>
      </c>
      <c r="J20" s="554" t="str">
        <f t="shared" si="0"/>
        <v/>
      </c>
      <c r="K20" t="str">
        <f t="shared" si="117"/>
        <v/>
      </c>
      <c r="L20" s="2" t="str">
        <f t="shared" si="15"/>
        <v/>
      </c>
      <c r="M20" t="str">
        <f t="shared" si="16"/>
        <v/>
      </c>
      <c r="N20" s="2" t="str">
        <f t="shared" si="17"/>
        <v/>
      </c>
      <c r="O20" s="172" t="str">
        <f t="shared" si="1"/>
        <v/>
      </c>
      <c r="P20" s="177" t="str">
        <f t="shared" si="18"/>
        <v/>
      </c>
      <c r="Q20" s="172" t="str">
        <f t="shared" si="2"/>
        <v/>
      </c>
      <c r="R20" s="553" t="str">
        <f t="shared" si="19"/>
        <v/>
      </c>
      <c r="S20" s="553" t="str">
        <f t="shared" si="19"/>
        <v/>
      </c>
      <c r="AP20" s="155" t="b">
        <f>NOT(AND(Cntrl3-1,Cntrl4-1))</f>
        <v>0</v>
      </c>
      <c r="AY20" s="155" t="b">
        <f>NOT(AND(Cntrl5-1,Cntrl7-1))</f>
        <v>1</v>
      </c>
      <c r="BH20" s="155" t="b">
        <f>NOT(AND(Cntrl10-1,Cntrl9-1))</f>
        <v>1</v>
      </c>
      <c r="BN20" s="155" t="b">
        <f>ISBLANK(WebCntrl2)</f>
        <v>0</v>
      </c>
      <c r="BO20" s="193"/>
      <c r="BP20" s="219"/>
      <c r="BQ20" s="219" t="s">
        <v>552</v>
      </c>
      <c r="BR20" s="215"/>
      <c r="BS20" s="214"/>
      <c r="BT20" s="454">
        <v>500</v>
      </c>
      <c r="BU20" s="468">
        <f>IF(ISBLANK(WebCntrl2),"",edge_width)</f>
        <v>600</v>
      </c>
      <c r="BV20" s="214"/>
      <c r="BW20" s="215" t="str">
        <f>IF(AP19,"","  avrg. Compression")</f>
        <v xml:space="preserve">  avrg. Compression</v>
      </c>
      <c r="BX20" s="179" cm="1">
        <f t="array" ref="BX20">IF(AP19,"",IF(CX8&lt;3,INDEX(DN2:DN1201,edge_width-1),0))</f>
        <v>3.1562108195571349E-2</v>
      </c>
      <c r="BY20" s="215" t="str">
        <f>IF(AP19,"","max")</f>
        <v>max</v>
      </c>
      <c r="BZ20" s="179">
        <f>IF(AP19,"",IF(CX8&lt;3,1-DO2,0))</f>
        <v>0.22936934525282238</v>
      </c>
      <c r="CA20" s="362"/>
      <c r="CB20" s="193"/>
      <c r="CC20" s="193"/>
      <c r="CD20" s="193"/>
      <c r="CE20" s="193"/>
      <c r="CF20" s="193"/>
      <c r="CG20" s="193"/>
      <c r="CH20" s="193"/>
      <c r="CI20" s="193"/>
      <c r="CJ20" s="193"/>
      <c r="CK20" s="193"/>
      <c r="CL20" s="193"/>
      <c r="CM20" s="193"/>
      <c r="CN20" s="193"/>
      <c r="CO20" s="193"/>
      <c r="CP20" s="193"/>
      <c r="CQ20" s="193"/>
      <c r="CR20" s="193"/>
      <c r="CS20" s="193"/>
      <c r="CT20" s="193"/>
      <c r="CU20" s="193"/>
      <c r="CV20" s="160"/>
      <c r="CW20" s="364"/>
      <c r="CX20" s="313">
        <f>CX19</f>
        <v>600</v>
      </c>
      <c r="CY20" s="313">
        <f>MIN(second_thick,start+$CX$20*tanO)</f>
        <v>0</v>
      </c>
      <c r="DA20" s="309">
        <v>19</v>
      </c>
      <c r="DB20" s="313">
        <f t="shared" ref="DB20" si="184">start+DA20*tanO</f>
        <v>206.91543445105785</v>
      </c>
      <c r="DC20" s="309">
        <f t="shared" ref="DC20" si="185">IF(DA20&lt;edge_width,1,IF(DA20&lt;mid_width,2,IF(DA20&lt;=tot_width,3,4)))</f>
        <v>1</v>
      </c>
      <c r="DD20" s="309">
        <f t="shared" ref="DD20" si="186">CHOOSE(DC20,edge_thick,second_thick,core_thick,0)</f>
        <v>260</v>
      </c>
      <c r="DE20" s="308">
        <f t="shared" ref="DE20" si="187">CHOOSE(DC20,edge_k,second_k,core_k,0)</f>
        <v>6.5000000000000002E-2</v>
      </c>
      <c r="DF20" s="313">
        <f t="shared" si="39"/>
        <v>19</v>
      </c>
      <c r="DG20" s="313">
        <f t="shared" si="24"/>
        <v>206.91543445105785</v>
      </c>
      <c r="DH20" s="313">
        <f t="shared" si="25"/>
        <v>206.91543445105785</v>
      </c>
      <c r="DI20" s="313">
        <f t="shared" si="26"/>
        <v>0</v>
      </c>
      <c r="DJ20" s="313">
        <f t="shared" si="27"/>
        <v>0</v>
      </c>
      <c r="DK20" s="313">
        <f t="shared" si="40"/>
        <v>3869.1543445105781</v>
      </c>
      <c r="DL20" s="313">
        <f t="shared" si="28"/>
        <v>147162.27835956222</v>
      </c>
      <c r="DM20" s="314">
        <f>IF($DC20&lt;&gt;4,IF($DA20=edge_width,$CY$2,IF($DA20=mid_width,$CY$3,1-DO20+DM19)),0)</f>
        <v>4.1186371364977745</v>
      </c>
      <c r="DN20" s="312">
        <f>IF(DC20&lt;&gt;4,CHOOSE(DC20,DM20/DA20,DM20/(DA20-edge_width+1),DM20/(DA20-mid_width+1)),0)</f>
        <v>0.21677037560514603</v>
      </c>
      <c r="DO20" s="312">
        <f t="shared" si="41"/>
        <v>0.79582859404253015</v>
      </c>
      <c r="DP20" s="315">
        <f t="shared" ref="DP20" si="188">DE20*DO20^CHOOSE(DC20,mult1,mult2,mult3,0)</f>
        <v>6.0695880837298592E-2</v>
      </c>
      <c r="DQ20" s="316">
        <f t="shared" si="30"/>
        <v>0.29333665223342786</v>
      </c>
      <c r="DR20" s="316">
        <f t="shared" si="31"/>
        <v>5.6363246849544657</v>
      </c>
      <c r="DS20" s="314">
        <f t="shared" si="32"/>
        <v>3.3709910379574763</v>
      </c>
      <c r="DT20" s="316">
        <f>IF(DC20&lt;&gt;4,IF(DA20=edge_width,$CY$4,IF(DA20=mid_width,$CY$5,DQ20+DT19)),0)</f>
        <v>5.6363246849544657</v>
      </c>
      <c r="DU20" s="314">
        <f>IF(DC20&lt;&gt;4,CHOOSE(DC20,DA20/DT20,(DA20-edge_width+1)/DT20,(DA20-mid_width+1)/DT20),0)</f>
        <v>3.3709910379574763</v>
      </c>
      <c r="DV20" s="316">
        <f t="shared" si="44"/>
        <v>148.22776649022148</v>
      </c>
      <c r="DW20" s="310">
        <f>IF(DC20&lt;&gt;4,(tot_width-DA20+1)/DV20,0)</f>
        <v>3.9263898646033653</v>
      </c>
      <c r="FB20" s="307"/>
      <c r="FC20" s="307"/>
      <c r="FF20" s="307"/>
      <c r="FG20" s="307"/>
      <c r="FH20" s="306"/>
      <c r="FJ20" s="307"/>
      <c r="FK20" s="307"/>
      <c r="FL20" s="306"/>
      <c r="FM20" s="307"/>
      <c r="FN20" s="306"/>
      <c r="FO20" s="307"/>
      <c r="FP20" s="306"/>
    </row>
    <row r="21" spans="1:172">
      <c r="A21">
        <v>20</v>
      </c>
      <c r="B21" t="s">
        <v>121</v>
      </c>
      <c r="C21" s="553"/>
      <c r="D21" s="554"/>
      <c r="E21" s="172" t="str">
        <f t="shared" si="10"/>
        <v/>
      </c>
      <c r="F21" s="555" t="str">
        <f t="shared" si="148"/>
        <v/>
      </c>
      <c r="G21" s="172" t="str">
        <f t="shared" si="12"/>
        <v/>
      </c>
      <c r="H21" t="str">
        <f t="shared" si="13"/>
        <v/>
      </c>
      <c r="I21" s="552" t="str" cm="1">
        <f t="array" ref="I21">IF(H21&lt;&gt;"",INDEX($B$2:$B$66,H21+1),"")</f>
        <v/>
      </c>
      <c r="J21" s="554" t="str">
        <f t="shared" si="0"/>
        <v/>
      </c>
      <c r="K21" t="str">
        <f t="shared" si="117"/>
        <v/>
      </c>
      <c r="L21" s="2" t="str">
        <f t="shared" si="15"/>
        <v/>
      </c>
      <c r="M21" t="str">
        <f t="shared" si="16"/>
        <v/>
      </c>
      <c r="N21" s="2" t="str">
        <f t="shared" si="17"/>
        <v/>
      </c>
      <c r="O21" s="172" t="str">
        <f t="shared" si="1"/>
        <v/>
      </c>
      <c r="P21" s="177" t="str">
        <f t="shared" si="18"/>
        <v/>
      </c>
      <c r="Q21" s="172" t="str">
        <f t="shared" si="2"/>
        <v/>
      </c>
      <c r="R21" s="553" t="str">
        <f t="shared" si="19"/>
        <v/>
      </c>
      <c r="S21" s="553" t="str">
        <f t="shared" si="19"/>
        <v/>
      </c>
      <c r="BO21" s="193"/>
      <c r="BP21" s="214"/>
      <c r="BQ21" s="215"/>
      <c r="BR21" s="215"/>
      <c r="BS21" s="214"/>
      <c r="BT21" s="214"/>
      <c r="BU21" s="214"/>
      <c r="BV21" s="214"/>
      <c r="BW21" s="214"/>
      <c r="BX21" s="214"/>
      <c r="BY21" s="214"/>
      <c r="BZ21" s="214"/>
      <c r="CA21" s="362"/>
      <c r="CB21" s="193"/>
      <c r="CC21" s="193"/>
      <c r="CD21" s="193"/>
      <c r="CE21" s="193"/>
      <c r="CF21" s="193"/>
      <c r="CG21" s="193"/>
      <c r="CH21" s="193"/>
      <c r="CI21" s="193"/>
      <c r="CJ21" s="193"/>
      <c r="CK21" s="193"/>
      <c r="CL21" s="193"/>
      <c r="CM21" s="193"/>
      <c r="CN21" s="193"/>
      <c r="CO21" s="193"/>
      <c r="CP21" s="193"/>
      <c r="CQ21" s="193"/>
      <c r="CR21" s="193"/>
      <c r="CS21" s="193"/>
      <c r="CT21" s="193"/>
      <c r="CU21" s="193"/>
      <c r="CV21" s="160"/>
      <c r="CW21" s="364"/>
      <c r="CX21" s="313">
        <f>mid_width</f>
        <v>600</v>
      </c>
      <c r="CY21" s="313">
        <v>0</v>
      </c>
      <c r="DA21" s="309">
        <v>20</v>
      </c>
      <c r="DB21" s="313">
        <f t="shared" ref="DB21" si="189">start+DA21*tanO</f>
        <v>207.27940468532404</v>
      </c>
      <c r="DC21" s="309">
        <f t="shared" ref="DC21" si="190">IF(DA21&lt;edge_width,1,IF(DA21&lt;mid_width,2,IF(DA21&lt;=tot_width,3,4)))</f>
        <v>1</v>
      </c>
      <c r="DD21" s="309">
        <f t="shared" ref="DD21" si="191">CHOOSE(DC21,edge_thick,second_thick,core_thick,0)</f>
        <v>260</v>
      </c>
      <c r="DE21" s="308">
        <f t="shared" ref="DE21" si="192">CHOOSE(DC21,edge_k,second_k,core_k,0)</f>
        <v>6.5000000000000002E-2</v>
      </c>
      <c r="DF21" s="313">
        <f t="shared" si="39"/>
        <v>20</v>
      </c>
      <c r="DG21" s="313">
        <f t="shared" si="24"/>
        <v>207.27940468532404</v>
      </c>
      <c r="DH21" s="313">
        <f t="shared" si="25"/>
        <v>207.27940468532404</v>
      </c>
      <c r="DI21" s="313">
        <f t="shared" si="26"/>
        <v>0</v>
      </c>
      <c r="DJ21" s="313">
        <f t="shared" si="27"/>
        <v>0</v>
      </c>
      <c r="DK21" s="313">
        <f t="shared" si="40"/>
        <v>4076.4337491959022</v>
      </c>
      <c r="DL21" s="313">
        <f t="shared" si="28"/>
        <v>146955.36292511117</v>
      </c>
      <c r="DM21" s="314">
        <f>IF($DC21&lt;&gt;4,IF($DA21=edge_width,$CY$2,IF($DA21=mid_width,$CY$3,1-DO21+DM20)),0)</f>
        <v>4.3214086569388357</v>
      </c>
      <c r="DN21" s="312">
        <f>IF(DC21&lt;&gt;4,CHOOSE(DC21,DM21/DA21,DM21/(DA21-edge_width+1),DM21/(DA21-mid_width+1)),0)</f>
        <v>0.21607043284694177</v>
      </c>
      <c r="DO21" s="312">
        <f t="shared" si="41"/>
        <v>0.79722847955893861</v>
      </c>
      <c r="DP21" s="315">
        <f t="shared" ref="DP21" si="193">DE21*DO21^CHOOSE(DC21,mult1,mult2,mult3,0)</f>
        <v>6.0727890880505418E-2</v>
      </c>
      <c r="DQ21" s="316">
        <f t="shared" si="30"/>
        <v>0.29297600006473351</v>
      </c>
      <c r="DR21" s="316">
        <f t="shared" si="31"/>
        <v>5.9293006850191992</v>
      </c>
      <c r="DS21" s="314">
        <f t="shared" si="32"/>
        <v>3.3730790631906098</v>
      </c>
      <c r="DT21" s="316">
        <f>IF(DC21&lt;&gt;4,IF(DA21=edge_width,$CY$4,IF(DA21=mid_width,$CY$5,DQ21+DT20)),0)</f>
        <v>5.9293006850191992</v>
      </c>
      <c r="DU21" s="314">
        <f>IF(DC21&lt;&gt;4,CHOOSE(DC21,DA21/DT21,(DA21-edge_width+1)/DT21,(DA21-mid_width+1)/DT21),0)</f>
        <v>3.3730790631906098</v>
      </c>
      <c r="DV21" s="316">
        <f t="shared" si="44"/>
        <v>147.93442983798806</v>
      </c>
      <c r="DW21" s="310">
        <f>IF(DC21&lt;&gt;4,(tot_width-DA21+1)/DV21,0)</f>
        <v>3.9274156843426389</v>
      </c>
      <c r="FB21" s="307"/>
      <c r="FC21" s="307"/>
      <c r="FF21" s="307"/>
      <c r="FG21" s="307"/>
      <c r="FH21" s="306"/>
      <c r="FJ21" s="307"/>
      <c r="FK21" s="307"/>
      <c r="FL21" s="306"/>
      <c r="FM21" s="307"/>
      <c r="FN21" s="306"/>
      <c r="FO21" s="307"/>
      <c r="FP21" s="306"/>
    </row>
    <row r="22" spans="1:172">
      <c r="A22">
        <v>21</v>
      </c>
      <c r="B22" t="s">
        <v>125</v>
      </c>
      <c r="C22" s="553"/>
      <c r="D22" s="554"/>
      <c r="E22" s="172" t="str">
        <f t="shared" si="10"/>
        <v/>
      </c>
      <c r="F22" s="555" t="str">
        <f t="shared" si="148"/>
        <v/>
      </c>
      <c r="G22" s="172" t="str">
        <f t="shared" si="12"/>
        <v/>
      </c>
      <c r="H22" t="str">
        <f t="shared" si="13"/>
        <v/>
      </c>
      <c r="I22" s="552" t="str" cm="1">
        <f t="array" ref="I22">IF(H22&lt;&gt;"",INDEX($B$2:$B$66,H22+1),"")</f>
        <v/>
      </c>
      <c r="J22" s="554" t="str">
        <f t="shared" si="0"/>
        <v/>
      </c>
      <c r="K22" t="str">
        <f t="shared" si="117"/>
        <v/>
      </c>
      <c r="L22" s="2" t="str">
        <f t="shared" si="15"/>
        <v/>
      </c>
      <c r="M22" t="str">
        <f t="shared" si="16"/>
        <v/>
      </c>
      <c r="N22" s="2" t="str">
        <f t="shared" si="17"/>
        <v/>
      </c>
      <c r="O22" s="172" t="str">
        <f t="shared" si="1"/>
        <v/>
      </c>
      <c r="P22" s="177" t="str">
        <f t="shared" si="18"/>
        <v/>
      </c>
      <c r="Q22" s="172" t="str">
        <f t="shared" si="2"/>
        <v/>
      </c>
      <c r="R22" s="553" t="str">
        <f t="shared" si="19"/>
        <v/>
      </c>
      <c r="S22" s="553" t="str">
        <f t="shared" si="19"/>
        <v/>
      </c>
      <c r="AC22" s="156"/>
      <c r="BF22" s="155">
        <v>4.5490000000000003E-2</v>
      </c>
      <c r="BG22" s="155">
        <f>(BF22*10000-MOD(BF22*10000,5))/10000</f>
        <v>4.4999999999999998E-2</v>
      </c>
      <c r="BH22" s="155">
        <f>BF22-MOD(BF22,0.0005)</f>
        <v>4.4999999999999998E-2</v>
      </c>
      <c r="BO22" s="193"/>
      <c r="BP22" s="214"/>
      <c r="BQ22" s="215"/>
      <c r="BR22" s="220" t="str">
        <f>IF(AP19,"","mean insulation R-value")</f>
        <v>mean insulation R-value</v>
      </c>
      <c r="BS22" s="221" cm="1">
        <f t="array" ref="BS22">IF(AP19,"",INDEX(DU2:DU1201,edge_width-1))</f>
        <v>3.9004822360921136</v>
      </c>
      <c r="BT22" s="214" t="str">
        <f>IF(AP19,"","m2.K/W")</f>
        <v>m2.K/W</v>
      </c>
      <c r="BU22" s="214"/>
      <c r="BV22" s="247" t="str">
        <f>IF(AP19,"","insulation R-value at lowest point")</f>
        <v>insulation R-value at lowest point</v>
      </c>
      <c r="BW22" s="218"/>
      <c r="BX22" s="218"/>
      <c r="BY22" s="221">
        <f>IF(AP19,"",DU2)</f>
        <v>3.3331310386075446</v>
      </c>
      <c r="BZ22" s="218" t="str">
        <f>IF(AP19,"","m2.K/W")</f>
        <v>m2.K/W</v>
      </c>
      <c r="CA22" s="362"/>
      <c r="CB22" s="193"/>
      <c r="CC22" s="193"/>
      <c r="CD22" s="193"/>
      <c r="CE22" s="193"/>
      <c r="CF22" s="193"/>
      <c r="CG22" s="193"/>
      <c r="CH22" s="193"/>
      <c r="CI22" s="193"/>
      <c r="CJ22" s="193"/>
      <c r="CK22" s="193"/>
      <c r="CL22" s="193"/>
      <c r="CM22" s="193"/>
      <c r="CN22" s="193"/>
      <c r="CO22" s="193"/>
      <c r="CP22" s="193"/>
      <c r="CQ22" s="193"/>
      <c r="CR22" s="193"/>
      <c r="CS22" s="193"/>
      <c r="CT22" s="193"/>
      <c r="CU22" s="193"/>
      <c r="CV22" s="160"/>
      <c r="CW22" s="364"/>
      <c r="CX22" s="313">
        <f>CX21</f>
        <v>600</v>
      </c>
      <c r="CY22" s="313">
        <f>MIN(core_thick,start+$CX$22*tanO)</f>
        <v>0</v>
      </c>
      <c r="DA22" s="309">
        <v>21</v>
      </c>
      <c r="DB22" s="313">
        <f t="shared" ref="DB22" si="194">start+DA22*tanO</f>
        <v>207.64337491959026</v>
      </c>
      <c r="DC22" s="309">
        <f t="shared" ref="DC22" si="195">IF(DA22&lt;edge_width,1,IF(DA22&lt;mid_width,2,IF(DA22&lt;=tot_width,3,4)))</f>
        <v>1</v>
      </c>
      <c r="DD22" s="309">
        <f t="shared" ref="DD22" si="196">CHOOSE(DC22,edge_thick,second_thick,core_thick,0)</f>
        <v>260</v>
      </c>
      <c r="DE22" s="308">
        <f t="shared" ref="DE22" si="197">CHOOSE(DC22,edge_k,second_k,core_k,0)</f>
        <v>6.5000000000000002E-2</v>
      </c>
      <c r="DF22" s="313">
        <f t="shared" si="39"/>
        <v>21</v>
      </c>
      <c r="DG22" s="313">
        <f t="shared" si="24"/>
        <v>207.64337491959026</v>
      </c>
      <c r="DH22" s="313">
        <f t="shared" si="25"/>
        <v>207.64337491959026</v>
      </c>
      <c r="DI22" s="313">
        <f t="shared" si="26"/>
        <v>0</v>
      </c>
      <c r="DJ22" s="313">
        <f t="shared" si="27"/>
        <v>0</v>
      </c>
      <c r="DK22" s="313">
        <f t="shared" si="40"/>
        <v>4284.0771241154926</v>
      </c>
      <c r="DL22" s="313">
        <f t="shared" si="28"/>
        <v>146748.08352042583</v>
      </c>
      <c r="DM22" s="314">
        <f t="shared" ref="DM22" si="198">IF($DC22&lt;&gt;4,IF($DA22=edge_width,$CY$2,IF($DA22=mid_width,$CY$3,1-DO22+DM21)),0)</f>
        <v>4.522780291863489</v>
      </c>
      <c r="DN22" s="312">
        <f t="shared" ref="DN22" si="199">IF(DC22&lt;&gt;4,CHOOSE(DC22,DM22/DA22,DM22/(DA22-edge_width+1),DM22/(DA22-mid_width+1)),0)</f>
        <v>0.21537049008873757</v>
      </c>
      <c r="DO22" s="312">
        <f t="shared" si="41"/>
        <v>0.79862836507534718</v>
      </c>
      <c r="DP22" s="315">
        <f t="shared" ref="DP22" si="200">DE22*DO22^CHOOSE(DC22,mult1,mult2,mult3,0)</f>
        <v>6.0759861602451323E-2</v>
      </c>
      <c r="DQ22" s="316">
        <f t="shared" si="30"/>
        <v>0.2926164228739806</v>
      </c>
      <c r="DR22" s="316">
        <f t="shared" si="31"/>
        <v>6.2219171078931801</v>
      </c>
      <c r="DS22" s="314">
        <f t="shared" si="32"/>
        <v>3.3751655053969154</v>
      </c>
      <c r="DT22" s="316">
        <f t="shared" ref="DT22" si="201">IF(DC22&lt;&gt;4,IF(DA22=edge_width,$CY$4,IF(DA22=mid_width,$CY$5,DQ22+DT21)),0)</f>
        <v>6.2219171078931801</v>
      </c>
      <c r="DU22" s="314">
        <f t="shared" ref="DU22" si="202">IF(DC22&lt;&gt;4,CHOOSE(DC22,DA22/DT22,(DA22-edge_width+1)/DT22,(DA22-mid_width+1)/DT22),0)</f>
        <v>3.3751655053969154</v>
      </c>
      <c r="DV22" s="316">
        <f t="shared" si="44"/>
        <v>147.64145383792334</v>
      </c>
      <c r="DW22" s="310">
        <f t="shared" ref="DW22" si="203">IF(DC22&lt;&gt;4,(tot_width-DA22+1)/DV22,0)</f>
        <v>3.9284359840882344</v>
      </c>
      <c r="FB22" s="307"/>
      <c r="FC22" s="307"/>
      <c r="FF22" s="307"/>
      <c r="FG22" s="307"/>
      <c r="FH22" s="306"/>
      <c r="FJ22" s="307"/>
      <c r="FK22" s="307"/>
      <c r="FL22" s="306"/>
      <c r="FM22" s="307"/>
      <c r="FN22" s="306"/>
      <c r="FO22" s="307"/>
      <c r="FP22" s="306"/>
    </row>
    <row r="23" spans="1:172" ht="15" customHeight="1">
      <c r="A23">
        <v>22</v>
      </c>
      <c r="B23" t="s">
        <v>129</v>
      </c>
      <c r="C23" s="553"/>
      <c r="D23" s="554"/>
      <c r="E23" s="172" t="str">
        <f t="shared" si="10"/>
        <v/>
      </c>
      <c r="F23" s="555" t="str">
        <f t="shared" si="148"/>
        <v/>
      </c>
      <c r="G23" s="172" t="str">
        <f t="shared" si="12"/>
        <v/>
      </c>
      <c r="H23" t="str">
        <f t="shared" si="13"/>
        <v/>
      </c>
      <c r="I23" s="552" t="str" cm="1">
        <f t="array" ref="I23">IF(H23&lt;&gt;"",INDEX($B$2:$B$66,H23+1),"")</f>
        <v/>
      </c>
      <c r="J23" s="554" t="str">
        <f t="shared" si="0"/>
        <v/>
      </c>
      <c r="K23" t="str">
        <f t="shared" si="117"/>
        <v/>
      </c>
      <c r="L23" s="2" t="str">
        <f t="shared" si="15"/>
        <v/>
      </c>
      <c r="M23" t="str">
        <f t="shared" si="16"/>
        <v/>
      </c>
      <c r="N23" s="2" t="str">
        <f t="shared" si="17"/>
        <v/>
      </c>
      <c r="O23" s="172" t="str">
        <f t="shared" si="1"/>
        <v/>
      </c>
      <c r="P23" s="177" t="str">
        <f t="shared" si="18"/>
        <v/>
      </c>
      <c r="Q23" s="172" t="str">
        <f t="shared" si="2"/>
        <v/>
      </c>
      <c r="R23" s="553" t="str">
        <f t="shared" si="19"/>
        <v/>
      </c>
      <c r="S23" s="553" t="str">
        <f t="shared" si="19"/>
        <v/>
      </c>
      <c r="AC23" s="156"/>
      <c r="AD23" s="190" t="s">
        <v>553</v>
      </c>
      <c r="AG23" s="190" t="s">
        <v>554</v>
      </c>
      <c r="AH23" s="531">
        <f>MAX(10,MIN(500,WebCntrl1-MOD(WebCntrl1,5)))</f>
        <v>125</v>
      </c>
      <c r="AJ23" s="190" t="s">
        <v>555</v>
      </c>
      <c r="AK23" s="531">
        <f>MAX(50,MIN(500,WebCntrl3))</f>
        <v>340</v>
      </c>
      <c r="AM23" s="190" t="s">
        <v>556</v>
      </c>
      <c r="AN23" s="531">
        <f>MAX(10,MIN(1200,WebCntrl2-MOD(WebCntrl2,5)))</f>
        <v>500</v>
      </c>
      <c r="AP23" s="190" t="s">
        <v>557</v>
      </c>
      <c r="AQ23" s="183">
        <f>INT(WebCntrl4*10000)/10000</f>
        <v>4.4999999999999998E-2</v>
      </c>
      <c r="AS23" s="190" t="s">
        <v>558</v>
      </c>
      <c r="AT23" s="531">
        <f>MAX(50,MIN(500,WebCntrl5))</f>
        <v>500</v>
      </c>
      <c r="AV23" s="190" t="s">
        <v>559</v>
      </c>
      <c r="AW23" s="531">
        <f>MAX(10,MIN(1200,WebCntrl8-MOD(WebCntrl8,5)))</f>
        <v>10</v>
      </c>
      <c r="AY23" s="190" t="s">
        <v>560</v>
      </c>
      <c r="AZ23" s="183">
        <f>INT(WebCntrl7*10000)/10000</f>
        <v>0</v>
      </c>
      <c r="BB23" s="190" t="s">
        <v>561</v>
      </c>
      <c r="BC23" s="531">
        <f>MAX(10,MIN(500,WebCntrl9))</f>
        <v>500</v>
      </c>
      <c r="BE23" s="190" t="s">
        <v>562</v>
      </c>
      <c r="BF23" s="531">
        <f>MAX(10,MIN(1200,WebCntrl11-MOD(WebCntrl11,5)))</f>
        <v>10</v>
      </c>
      <c r="BH23" s="190" t="s">
        <v>563</v>
      </c>
      <c r="BI23" s="183">
        <f>INT(WebCntrl10*10000)/10000</f>
        <v>0</v>
      </c>
      <c r="BK23" s="190" t="s">
        <v>564</v>
      </c>
      <c r="BL23" s="531">
        <f>MAX(10,MIN(1200,WebCntrl12-MOD(WebCntrl12,5)))</f>
        <v>500</v>
      </c>
      <c r="BO23" s="193"/>
      <c r="BP23" s="222"/>
      <c r="BQ23" s="222"/>
      <c r="BR23" s="222"/>
      <c r="BS23" s="222"/>
      <c r="BT23" s="222"/>
      <c r="BU23" s="222"/>
      <c r="BV23" s="222"/>
      <c r="BW23" s="222"/>
      <c r="BX23" s="222"/>
      <c r="BY23" s="222"/>
      <c r="BZ23" s="222"/>
      <c r="CA23" s="362"/>
      <c r="CB23" s="193"/>
      <c r="CC23" s="193"/>
      <c r="CD23" s="193"/>
      <c r="CE23" s="193"/>
      <c r="CF23" s="193"/>
      <c r="CG23" s="193"/>
      <c r="CH23" s="193"/>
      <c r="CI23" s="193"/>
      <c r="CJ23" s="193"/>
      <c r="CK23" s="193"/>
      <c r="CL23" s="193"/>
      <c r="CM23" s="193"/>
      <c r="CN23" s="193"/>
      <c r="CO23" s="193"/>
      <c r="CP23" s="193"/>
      <c r="CQ23" s="193"/>
      <c r="CR23" s="193"/>
      <c r="CS23" s="193"/>
      <c r="CT23" s="193"/>
      <c r="CU23" s="193"/>
      <c r="CV23" s="160"/>
      <c r="CW23" s="364"/>
      <c r="CX23" s="313">
        <f>MAX(mid_width,MIN(tot_width,MAX(0,(core_thick-start)/tanO)))</f>
        <v>600</v>
      </c>
      <c r="CY23" s="313">
        <v>0</v>
      </c>
      <c r="DA23" s="309">
        <v>22</v>
      </c>
      <c r="DB23" s="313">
        <f t="shared" ref="DB23" si="204">start+DA23*tanO</f>
        <v>208.00734515385645</v>
      </c>
      <c r="DC23" s="309">
        <f t="shared" ref="DC23" si="205">IF(DA23&lt;edge_width,1,IF(DA23&lt;mid_width,2,IF(DA23&lt;=tot_width,3,4)))</f>
        <v>1</v>
      </c>
      <c r="DD23" s="309">
        <f t="shared" ref="DD23" si="206">CHOOSE(DC23,edge_thick,second_thick,core_thick,0)</f>
        <v>260</v>
      </c>
      <c r="DE23" s="308">
        <f t="shared" ref="DE23" si="207">CHOOSE(DC23,edge_k,second_k,core_k,0)</f>
        <v>6.5000000000000002E-2</v>
      </c>
      <c r="DF23" s="313">
        <f t="shared" si="39"/>
        <v>22</v>
      </c>
      <c r="DG23" s="313">
        <f t="shared" si="24"/>
        <v>208.00734515385645</v>
      </c>
      <c r="DH23" s="313">
        <f t="shared" si="25"/>
        <v>208.00734515385645</v>
      </c>
      <c r="DI23" s="313">
        <f t="shared" si="26"/>
        <v>0</v>
      </c>
      <c r="DJ23" s="313">
        <f t="shared" si="27"/>
        <v>0</v>
      </c>
      <c r="DK23" s="313">
        <f t="shared" si="40"/>
        <v>4492.084469269349</v>
      </c>
      <c r="DL23" s="313">
        <f t="shared" si="28"/>
        <v>146540.44014550623</v>
      </c>
      <c r="DM23" s="314">
        <f t="shared" ref="DM23" si="208">IF($DC23&lt;&gt;4,IF($DA23=edge_width,$CY$2,IF($DA23=mid_width,$CY$3,1-DO23+DM22)),0)</f>
        <v>4.7227520412717334</v>
      </c>
      <c r="DN23" s="312">
        <f t="shared" ref="DN23" si="209">IF(DC23&lt;&gt;4,CHOOSE(DC23,DM23/DA23,DM23/(DA23-edge_width+1),DM23/(DA23-mid_width+1)),0)</f>
        <v>0.21467054733053334</v>
      </c>
      <c r="DO23" s="312">
        <f t="shared" si="41"/>
        <v>0.80002825059175553</v>
      </c>
      <c r="DP23" s="315">
        <f t="shared" ref="DP23" si="210">DE23*DO23^CHOOSE(DC23,mult1,mult2,mult3,0)</f>
        <v>6.079179312023663E-2</v>
      </c>
      <c r="DQ23" s="316">
        <f t="shared" si="30"/>
        <v>0.29225791558115827</v>
      </c>
      <c r="DR23" s="316">
        <f t="shared" si="31"/>
        <v>6.5141750234743387</v>
      </c>
      <c r="DS23" s="314">
        <f t="shared" si="32"/>
        <v>3.3772503687299285</v>
      </c>
      <c r="DT23" s="316">
        <f t="shared" ref="DT23" si="211">IF(DC23&lt;&gt;4,IF(DA23=edge_width,$CY$4,IF(DA23=mid_width,$CY$5,DQ23+DT22)),0)</f>
        <v>6.5141750234743387</v>
      </c>
      <c r="DU23" s="314">
        <f t="shared" ref="DU23" si="212">IF(DC23&lt;&gt;4,CHOOSE(DC23,DA23/DT23,(DA23-edge_width+1)/DT23,(DA23-mid_width+1)/DT23),0)</f>
        <v>3.3772503687299285</v>
      </c>
      <c r="DV23" s="316">
        <f t="shared" si="44"/>
        <v>147.34883741504936</v>
      </c>
      <c r="DW23" s="310">
        <f t="shared" ref="DW23" si="213">IF(DC23&lt;&gt;4,(tot_width-DA23+1)/DV23,0)</f>
        <v>3.9294507520889628</v>
      </c>
      <c r="FB23" s="307"/>
      <c r="FC23" s="307"/>
      <c r="FF23" s="307"/>
      <c r="FG23" s="307"/>
      <c r="FH23" s="306"/>
      <c r="FJ23" s="307"/>
      <c r="FK23" s="307"/>
      <c r="FL23" s="306"/>
      <c r="FM23" s="307"/>
      <c r="FN23" s="306"/>
      <c r="FO23" s="307"/>
      <c r="FP23" s="306"/>
    </row>
    <row r="24" spans="1:172" ht="15.75">
      <c r="A24">
        <v>23</v>
      </c>
      <c r="B24" t="s">
        <v>133</v>
      </c>
      <c r="C24" s="553"/>
      <c r="D24" s="554"/>
      <c r="E24" s="172" t="str">
        <f t="shared" si="10"/>
        <v/>
      </c>
      <c r="F24" s="555" t="str">
        <f t="shared" si="148"/>
        <v/>
      </c>
      <c r="G24" s="172" t="str">
        <f t="shared" si="12"/>
        <v/>
      </c>
      <c r="H24" t="str">
        <f t="shared" si="13"/>
        <v/>
      </c>
      <c r="I24" s="552" t="str" cm="1">
        <f t="array" ref="I24">IF(H24&lt;&gt;"",INDEX($B$2:$B$66,H24+1),"")</f>
        <v/>
      </c>
      <c r="J24" s="554" t="str">
        <f t="shared" si="0"/>
        <v/>
      </c>
      <c r="K24" t="str">
        <f t="shared" si="117"/>
        <v/>
      </c>
      <c r="L24" s="2" t="str">
        <f t="shared" si="15"/>
        <v/>
      </c>
      <c r="M24" t="str">
        <f t="shared" si="16"/>
        <v/>
      </c>
      <c r="N24" s="2" t="str">
        <f t="shared" si="17"/>
        <v/>
      </c>
      <c r="O24" s="172" t="str">
        <f t="shared" si="1"/>
        <v/>
      </c>
      <c r="P24" s="177" t="str">
        <f t="shared" si="18"/>
        <v/>
      </c>
      <c r="Q24" s="172" t="str">
        <f t="shared" si="2"/>
        <v/>
      </c>
      <c r="R24" s="553" t="str">
        <f t="shared" si="19"/>
        <v/>
      </c>
      <c r="S24" s="553" t="str">
        <f t="shared" si="19"/>
        <v/>
      </c>
      <c r="U24" s="635">
        <v>13</v>
      </c>
      <c r="X24" s="635">
        <v>14</v>
      </c>
      <c r="AA24" s="635">
        <v>15</v>
      </c>
      <c r="AC24" s="156"/>
      <c r="AD24" s="635">
        <v>6</v>
      </c>
      <c r="AE24" s="159">
        <f>MAX(0,MIN(30,BT10-MOD(BT10,0.5)))</f>
        <v>20</v>
      </c>
      <c r="AG24" s="635">
        <v>1</v>
      </c>
      <c r="AJ24" s="635">
        <v>3</v>
      </c>
      <c r="AM24" s="635">
        <v>2</v>
      </c>
      <c r="AP24" s="635">
        <v>4</v>
      </c>
      <c r="AS24" s="635">
        <v>5</v>
      </c>
      <c r="AV24" s="635">
        <v>8</v>
      </c>
      <c r="AY24" s="635">
        <v>7</v>
      </c>
      <c r="BB24" s="635">
        <v>9</v>
      </c>
      <c r="BE24" s="635">
        <v>11</v>
      </c>
      <c r="BH24" s="635">
        <v>10</v>
      </c>
      <c r="BK24" s="635">
        <v>12</v>
      </c>
      <c r="BO24" s="193"/>
      <c r="BP24" s="459" t="s">
        <v>565</v>
      </c>
      <c r="BQ24" s="460"/>
      <c r="BR24" s="224"/>
      <c r="BS24" s="223"/>
      <c r="BT24" s="223"/>
      <c r="BU24" s="223"/>
      <c r="BV24" s="223"/>
      <c r="BW24" s="223"/>
      <c r="BX24" s="223"/>
      <c r="BY24" s="223"/>
      <c r="BZ24" s="223"/>
      <c r="CA24" s="193"/>
      <c r="CB24" s="193"/>
      <c r="CC24" s="193"/>
      <c r="CD24" s="193"/>
      <c r="CE24" s="193"/>
      <c r="CF24" s="193"/>
      <c r="CG24" s="193"/>
      <c r="CH24" s="193"/>
      <c r="CI24" s="193"/>
      <c r="CJ24" s="193"/>
      <c r="CK24" s="193"/>
      <c r="CL24" s="193"/>
      <c r="CM24" s="193"/>
      <c r="CN24" s="193"/>
      <c r="CO24" s="193"/>
      <c r="CP24" s="193"/>
      <c r="CQ24" s="193"/>
      <c r="CR24" s="193"/>
      <c r="CS24" s="193"/>
      <c r="CT24" s="193"/>
      <c r="CU24" s="193"/>
      <c r="CV24" s="160"/>
      <c r="CW24" s="364"/>
      <c r="CX24" s="313">
        <f>CX23</f>
        <v>600</v>
      </c>
      <c r="CY24" s="313">
        <f>MIN(core_thick,start+$CX$24*tanO)</f>
        <v>0</v>
      </c>
      <c r="DA24" s="309">
        <v>23</v>
      </c>
      <c r="DB24" s="313">
        <f t="shared" ref="DB24" si="214">start+DA24*tanO</f>
        <v>208.37131538812264</v>
      </c>
      <c r="DC24" s="309">
        <f t="shared" ref="DC24" si="215">IF(DA24&lt;edge_width,1,IF(DA24&lt;mid_width,2,IF(DA24&lt;=tot_width,3,4)))</f>
        <v>1</v>
      </c>
      <c r="DD24" s="309">
        <f t="shared" ref="DD24" si="216">CHOOSE(DC24,edge_thick,second_thick,core_thick,0)</f>
        <v>260</v>
      </c>
      <c r="DE24" s="308">
        <f t="shared" ref="DE24" si="217">CHOOSE(DC24,edge_k,second_k,core_k,0)</f>
        <v>6.5000000000000002E-2</v>
      </c>
      <c r="DF24" s="313">
        <f t="shared" si="39"/>
        <v>23</v>
      </c>
      <c r="DG24" s="313">
        <f t="shared" si="24"/>
        <v>208.37131538812264</v>
      </c>
      <c r="DH24" s="313">
        <f t="shared" si="25"/>
        <v>208.37131538812264</v>
      </c>
      <c r="DI24" s="313">
        <f t="shared" si="26"/>
        <v>0</v>
      </c>
      <c r="DJ24" s="313">
        <f t="shared" si="27"/>
        <v>0</v>
      </c>
      <c r="DK24" s="313">
        <f t="shared" si="40"/>
        <v>4700.4557846574717</v>
      </c>
      <c r="DL24" s="313">
        <f t="shared" si="28"/>
        <v>146332.43280035237</v>
      </c>
      <c r="DM24" s="314">
        <f t="shared" ref="DM24" si="218">IF($DC24&lt;&gt;4,IF($DA24=edge_width,$CY$2,IF($DA24=mid_width,$CY$3,1-DO24+DM23)),0)</f>
        <v>4.9213239051635691</v>
      </c>
      <c r="DN24" s="312">
        <f t="shared" ref="DN24" si="219">IF(DC24&lt;&gt;4,CHOOSE(DC24,DM24/DA24,DM24/(DA24-edge_width+1),DM24/(DA24-mid_width+1)),0)</f>
        <v>0.21397060457232908</v>
      </c>
      <c r="DO24" s="312">
        <f t="shared" si="41"/>
        <v>0.80142813610816399</v>
      </c>
      <c r="DP24" s="315">
        <f t="shared" ref="DP24" si="220">DE24*DO24^CHOOSE(DC24,mult1,mult2,mult3,0)</f>
        <v>6.0823685550408811E-2</v>
      </c>
      <c r="DQ24" s="316">
        <f t="shared" si="30"/>
        <v>0.29190047313909606</v>
      </c>
      <c r="DR24" s="316">
        <f t="shared" si="31"/>
        <v>6.8060754966134347</v>
      </c>
      <c r="DS24" s="314">
        <f t="shared" si="32"/>
        <v>3.3793336573248909</v>
      </c>
      <c r="DT24" s="316">
        <f t="shared" ref="DT24" si="221">IF(DC24&lt;&gt;4,IF(DA24=edge_width,$CY$4,IF(DA24=mid_width,$CY$5,DQ24+DT23)),0)</f>
        <v>6.8060754966134347</v>
      </c>
      <c r="DU24" s="314">
        <f t="shared" ref="DU24" si="222">IF(DC24&lt;&gt;4,CHOOSE(DC24,DA24/DT24,(DA24-edge_width+1)/DT24,(DA24-mid_width+1)/DT24),0)</f>
        <v>3.3793336573248909</v>
      </c>
      <c r="DV24" s="316">
        <f t="shared" si="44"/>
        <v>147.0565794994682</v>
      </c>
      <c r="DW24" s="310">
        <f t="shared" ref="DW24" si="223">IF(DC24&lt;&gt;4,(tot_width-DA24+1)/DV24,0)</f>
        <v>3.9304599764751784</v>
      </c>
      <c r="FB24" s="307"/>
      <c r="FC24" s="307"/>
      <c r="FF24" s="307"/>
      <c r="FG24" s="307"/>
      <c r="FH24" s="306"/>
      <c r="FJ24" s="307"/>
      <c r="FK24" s="307"/>
      <c r="FL24" s="306"/>
      <c r="FM24" s="307"/>
      <c r="FN24" s="306"/>
      <c r="FO24" s="307"/>
      <c r="FP24" s="306"/>
    </row>
    <row r="25" spans="1:172" ht="15" customHeight="1">
      <c r="A25">
        <v>24</v>
      </c>
      <c r="B25" t="s">
        <v>139</v>
      </c>
      <c r="C25" s="553"/>
      <c r="D25" s="554"/>
      <c r="E25" s="172" t="str">
        <f t="shared" si="10"/>
        <v/>
      </c>
      <c r="F25" s="555" t="str">
        <f t="shared" si="148"/>
        <v/>
      </c>
      <c r="G25" s="172" t="str">
        <f t="shared" si="12"/>
        <v/>
      </c>
      <c r="H25" t="str">
        <f t="shared" si="13"/>
        <v/>
      </c>
      <c r="I25" s="552" t="str" cm="1">
        <f t="array" ref="I25">IF(H25&lt;&gt;"",INDEX($B$2:$B$66,H25+1),"")</f>
        <v/>
      </c>
      <c r="J25" s="554" t="str">
        <f t="shared" si="0"/>
        <v/>
      </c>
      <c r="K25" t="str">
        <f t="shared" si="117"/>
        <v/>
      </c>
      <c r="L25" s="2" t="str">
        <f t="shared" si="15"/>
        <v/>
      </c>
      <c r="M25" t="str">
        <f t="shared" si="16"/>
        <v/>
      </c>
      <c r="N25" s="2" t="str">
        <f t="shared" si="17"/>
        <v/>
      </c>
      <c r="O25" s="172" t="str">
        <f t="shared" si="1"/>
        <v/>
      </c>
      <c r="P25" s="177" t="str">
        <f t="shared" si="18"/>
        <v/>
      </c>
      <c r="Q25" s="172" t="str">
        <f t="shared" si="2"/>
        <v/>
      </c>
      <c r="R25" s="553" t="str">
        <f t="shared" si="19"/>
        <v/>
      </c>
      <c r="S25" s="553" t="str">
        <f t="shared" si="19"/>
        <v/>
      </c>
      <c r="T25" s="304">
        <f>IF(WebCntrl13="",1,MIN(4,MAX(2,WebCntrl13+1)))</f>
        <v>2</v>
      </c>
      <c r="U25" s="297">
        <v>3</v>
      </c>
      <c r="V25" s="303" t="str" cm="1">
        <f t="array" ref="V25">INDEX(V26:V29,Cntrl13)</f>
        <v>poly/wool fibre</v>
      </c>
      <c r="W25" s="304">
        <f>IF(WebCntrl14="",1,MIN(4,MAX(2,WebCntrl14+1)))</f>
        <v>1</v>
      </c>
      <c r="X25" s="297">
        <v>1</v>
      </c>
      <c r="Y25" s="303" cm="1">
        <f t="array" ref="Y25">INDEX(Y26:Y29,Cntrl14)</f>
        <v>0</v>
      </c>
      <c r="Z25" s="304">
        <f>IF(WebCntrl15="",1,MIN(4,MAX(2,WebCntrl15+1)))</f>
        <v>1</v>
      </c>
      <c r="AA25" s="297">
        <v>1</v>
      </c>
      <c r="AB25" s="303" cm="1">
        <f t="array" ref="AB25">INDEX(AB26:AB29,Cntrl15)</f>
        <v>0</v>
      </c>
      <c r="AC25" s="302">
        <f>IF(WebCntrl6="",1,MIN(62,MAX(2,62-2*(WebCntrl6))))</f>
        <v>22</v>
      </c>
      <c r="AD25" s="297">
        <v>22</v>
      </c>
      <c r="AE25" s="298" cm="1">
        <f t="array" ref="AE25">INDEX(AE26:AE87,AD25)</f>
        <v>20</v>
      </c>
      <c r="AF25" s="300">
        <f>IF(WebCntrl1="",1,MIN(100,MAX(2,100-(AH23-10)/5)))</f>
        <v>77</v>
      </c>
      <c r="AG25" s="297">
        <v>62</v>
      </c>
      <c r="AH25" s="299" cm="1">
        <f t="array" ref="AH25">INDEX(AH26:AH125,AG25)</f>
        <v>200</v>
      </c>
      <c r="AI25" s="301">
        <f>IF(WebCntrl3="",1,MIN(452,MAX(2,452-(AK23-50))))</f>
        <v>162</v>
      </c>
      <c r="AJ25" s="297">
        <v>242</v>
      </c>
      <c r="AK25" s="299" cm="1">
        <f t="array" ref="AK25">INDEX(AK26:AK477,AJ25)</f>
        <v>260</v>
      </c>
      <c r="AL25" s="300">
        <f>IF(WebCntrl2="",1,MIN(121,MAX(2,121-(AN23-10)/10)))</f>
        <v>72</v>
      </c>
      <c r="AM25" s="297">
        <v>62</v>
      </c>
      <c r="AN25" s="299" cm="1">
        <f t="array" ref="AN25">INDEX(AN26:AN146,AM25)</f>
        <v>600</v>
      </c>
      <c r="AO25" s="300">
        <f>IF(WebCntrl4="",1,MIN(452,MAX(2,452-(AQ23-0.02)*10000)))</f>
        <v>202.00000000000003</v>
      </c>
      <c r="AP25" s="297">
        <v>2</v>
      </c>
      <c r="AQ25" s="299" cm="1">
        <f t="array" ref="AQ25">INDEX(AQ26:AQ477,AP25)</f>
        <v>6.5000000000000002E-2</v>
      </c>
      <c r="AR25" s="301">
        <f>IF(WebCntrl5="",1,MIN(452,MAX(2,452-(AT23-50))))</f>
        <v>1</v>
      </c>
      <c r="AS25" s="297">
        <v>1</v>
      </c>
      <c r="AT25" s="299" cm="1">
        <f t="array" ref="AT25">INDEX(AT26:AT477,AS25)</f>
        <v>0</v>
      </c>
      <c r="AU25" s="300">
        <f>IF(WebCntrl8="",1,MIN(121,MAX(2,121-(AW23-10)/10)))</f>
        <v>1</v>
      </c>
      <c r="AV25" s="297">
        <v>1</v>
      </c>
      <c r="AW25" s="299" cm="1">
        <f t="array" ref="AW25">INDEX(AW26:AW146,AV25)</f>
        <v>0</v>
      </c>
      <c r="AX25" s="300">
        <f>IF(WebCntrl7="",1,MIN(452,MAX(2,452-(AZ23-0.02)*10000)))</f>
        <v>1</v>
      </c>
      <c r="AY25" s="297">
        <v>1</v>
      </c>
      <c r="AZ25" s="299" cm="1">
        <f t="array" ref="AZ25">INDEX(AZ26:AZ477,AY25)</f>
        <v>0</v>
      </c>
      <c r="BA25" s="301">
        <f>IF(WebCntrl9="",1,MIN(452,MAX(2,452-(BC23-50))))</f>
        <v>1</v>
      </c>
      <c r="BB25" s="297">
        <v>1</v>
      </c>
      <c r="BC25" s="299" cm="1">
        <f t="array" ref="BC25">INDEX(BC26:BC477,BB25)</f>
        <v>0</v>
      </c>
      <c r="BD25" s="300">
        <f>IF(WebCntrl11="",1,MIN(121,MAX(2,121-(BF23-10)/10)))</f>
        <v>1</v>
      </c>
      <c r="BE25" s="297">
        <v>1</v>
      </c>
      <c r="BF25" s="299" cm="1">
        <f t="array" ref="BF25">INDEX(BF26:BF146,BE25)</f>
        <v>0</v>
      </c>
      <c r="BG25" s="300">
        <f>IF(WebCntrl10="",1,MIN(452,MAX(2,452-(BI23-0.02)*10000)))</f>
        <v>1</v>
      </c>
      <c r="BH25" s="297">
        <v>1</v>
      </c>
      <c r="BI25" s="299" cm="1">
        <f t="array" ref="BI25">INDEX(BI26:BI477,BH25)</f>
        <v>0</v>
      </c>
      <c r="BJ25" s="300">
        <f>IF(WebCntrl12="",1,MIN(121,MAX(2,121-BL23/10)))</f>
        <v>71</v>
      </c>
      <c r="BK25" s="297">
        <v>62</v>
      </c>
      <c r="BL25" s="299" cm="1">
        <f t="array" ref="BL25">INDEX(BL26:BL146,Cntrl12)</f>
        <v>600</v>
      </c>
      <c r="BM25" s="186"/>
      <c r="BO25" s="193"/>
      <c r="BP25" s="244"/>
      <c r="BQ25" s="228" t="s">
        <v>549</v>
      </c>
      <c r="BR25" s="224"/>
      <c r="BS25" s="330"/>
      <c r="BT25" s="1066" t="str">
        <f>IF(WebCntrl14="","",Y25)</f>
        <v/>
      </c>
      <c r="BU25" s="1066"/>
      <c r="BV25" s="223"/>
      <c r="BW25" s="224" t="s">
        <v>566</v>
      </c>
      <c r="BX25" s="455"/>
      <c r="BY25" s="467" t="str">
        <f>IF(WebCntrl7="","",second_k)</f>
        <v/>
      </c>
      <c r="BZ25" s="223" t="s">
        <v>551</v>
      </c>
      <c r="CA25" s="193"/>
      <c r="CB25" s="193"/>
      <c r="CC25" s="193"/>
      <c r="CD25" s="193"/>
      <c r="CE25" s="193"/>
      <c r="CF25" s="193"/>
      <c r="CG25" s="193"/>
      <c r="CH25" s="193"/>
      <c r="CI25" s="193"/>
      <c r="CJ25" s="193"/>
      <c r="CK25" s="193"/>
      <c r="CL25" s="193"/>
      <c r="CM25" s="193"/>
      <c r="CN25" s="193"/>
      <c r="CO25" s="193"/>
      <c r="CP25" s="193"/>
      <c r="CQ25" s="193"/>
      <c r="CR25" s="193"/>
      <c r="CS25" s="193"/>
      <c r="CT25" s="193"/>
      <c r="CU25" s="193"/>
      <c r="CV25" s="160"/>
      <c r="CW25" s="364"/>
      <c r="CX25" s="313">
        <f>tot_width</f>
        <v>600</v>
      </c>
      <c r="CY25" s="313">
        <v>0</v>
      </c>
      <c r="DA25" s="309">
        <v>24</v>
      </c>
      <c r="DB25" s="313">
        <f t="shared" ref="DB25" si="224">start+DA25*tanO</f>
        <v>208.73528562238886</v>
      </c>
      <c r="DC25" s="309">
        <f t="shared" ref="DC25" si="225">IF(DA25&lt;edge_width,1,IF(DA25&lt;mid_width,2,IF(DA25&lt;=tot_width,3,4)))</f>
        <v>1</v>
      </c>
      <c r="DD25" s="309">
        <f t="shared" ref="DD25" si="226">CHOOSE(DC25,edge_thick,second_thick,core_thick,0)</f>
        <v>260</v>
      </c>
      <c r="DE25" s="308">
        <f t="shared" ref="DE25" si="227">CHOOSE(DC25,edge_k,second_k,core_k,0)</f>
        <v>6.5000000000000002E-2</v>
      </c>
      <c r="DF25" s="313">
        <f t="shared" si="39"/>
        <v>24</v>
      </c>
      <c r="DG25" s="313">
        <f t="shared" si="24"/>
        <v>208.73528562238886</v>
      </c>
      <c r="DH25" s="313">
        <f t="shared" si="25"/>
        <v>208.73528562238886</v>
      </c>
      <c r="DI25" s="313">
        <f t="shared" si="26"/>
        <v>0</v>
      </c>
      <c r="DJ25" s="313">
        <f t="shared" si="27"/>
        <v>0</v>
      </c>
      <c r="DK25" s="313">
        <f t="shared" si="40"/>
        <v>4909.1910702798605</v>
      </c>
      <c r="DL25" s="313">
        <f t="shared" si="28"/>
        <v>146124.06148496424</v>
      </c>
      <c r="DM25" s="314">
        <f t="shared" ref="DM25" si="228">IF($DC25&lt;&gt;4,IF($DA25=edge_width,$CY$2,IF($DA25=mid_width,$CY$3,1-DO25+DM24)),0)</f>
        <v>5.1184958835389969</v>
      </c>
      <c r="DN25" s="312">
        <f t="shared" ref="DN25" si="229">IF(DC25&lt;&gt;4,CHOOSE(DC25,DM25/DA25,DM25/(DA25-edge_width+1),DM25/(DA25-mid_width+1)),0)</f>
        <v>0.21327066181412488</v>
      </c>
      <c r="DO25" s="312">
        <f t="shared" si="41"/>
        <v>0.80282802162457256</v>
      </c>
      <c r="DP25" s="315">
        <f t="shared" ref="DP25" si="230">DE25*DO25^CHOOSE(DC25,mult1,mult2,mult3,0)</f>
        <v>6.0855539008965981E-2</v>
      </c>
      <c r="DQ25" s="316">
        <f t="shared" si="30"/>
        <v>0.29154409053319469</v>
      </c>
      <c r="DR25" s="316">
        <f t="shared" si="31"/>
        <v>7.097619587146629</v>
      </c>
      <c r="DS25" s="314">
        <f t="shared" si="32"/>
        <v>3.3814153752988658</v>
      </c>
      <c r="DT25" s="316">
        <f t="shared" ref="DT25" si="231">IF(DC25&lt;&gt;4,IF(DA25=edge_width,$CY$4,IF(DA25=mid_width,$CY$5,DQ25+DT24)),0)</f>
        <v>7.097619587146629</v>
      </c>
      <c r="DU25" s="314">
        <f t="shared" ref="DU25" si="232">IF(DC25&lt;&gt;4,CHOOSE(DC25,DA25/DT25,(DA25-edge_width+1)/DT25,(DA25-mid_width+1)/DT25),0)</f>
        <v>3.3814153752988658</v>
      </c>
      <c r="DV25" s="316">
        <f t="shared" si="44"/>
        <v>146.76467902632911</v>
      </c>
      <c r="DW25" s="310">
        <f t="shared" ref="DW25" si="233">IF(DC25&lt;&gt;4,(tot_width-DA25+1)/DV25,0)</f>
        <v>3.9314636452581895</v>
      </c>
      <c r="FB25" s="307"/>
      <c r="FC25" s="307"/>
      <c r="FF25" s="307"/>
      <c r="FG25" s="307"/>
      <c r="FH25" s="306"/>
      <c r="FJ25" s="307"/>
      <c r="FK25" s="307"/>
      <c r="FL25" s="306"/>
      <c r="FM25" s="307"/>
      <c r="FN25" s="306"/>
      <c r="FO25" s="307"/>
      <c r="FP25" s="306"/>
    </row>
    <row r="26" spans="1:172">
      <c r="A26">
        <v>25</v>
      </c>
      <c r="B26" t="s">
        <v>144</v>
      </c>
      <c r="C26" s="553"/>
      <c r="D26" s="554"/>
      <c r="E26" s="172" t="str">
        <f t="shared" si="10"/>
        <v/>
      </c>
      <c r="F26" s="555" t="str">
        <f t="shared" si="148"/>
        <v/>
      </c>
      <c r="G26" s="172" t="str">
        <f t="shared" si="12"/>
        <v/>
      </c>
      <c r="H26" t="str">
        <f t="shared" si="13"/>
        <v/>
      </c>
      <c r="I26" s="552" t="str" cm="1">
        <f t="array" ref="I26">IF(H26&lt;&gt;"",INDEX($B$2:$B$66,H26+1),"")</f>
        <v/>
      </c>
      <c r="J26" s="554" t="str">
        <f t="shared" si="0"/>
        <v/>
      </c>
      <c r="K26" t="str">
        <f t="shared" si="117"/>
        <v/>
      </c>
      <c r="L26" s="2" t="str">
        <f t="shared" si="15"/>
        <v/>
      </c>
      <c r="M26" t="str">
        <f t="shared" si="16"/>
        <v/>
      </c>
      <c r="N26" s="2" t="str">
        <f t="shared" si="17"/>
        <v/>
      </c>
      <c r="O26" s="172" t="str">
        <f t="shared" si="1"/>
        <v/>
      </c>
      <c r="P26" s="177" t="str">
        <f t="shared" si="18"/>
        <v/>
      </c>
      <c r="Q26" s="172" t="str">
        <f t="shared" si="2"/>
        <v/>
      </c>
      <c r="R26" s="553" t="str">
        <f t="shared" si="19"/>
        <v/>
      </c>
      <c r="S26" s="553" t="str">
        <f t="shared" si="19"/>
        <v/>
      </c>
      <c r="T26" s="155"/>
      <c r="U26" s="155">
        <v>1</v>
      </c>
      <c r="W26" s="155"/>
      <c r="X26" s="155">
        <v>1</v>
      </c>
      <c r="Z26" s="155"/>
      <c r="AA26" s="155">
        <v>1</v>
      </c>
      <c r="AC26" s="156"/>
      <c r="AD26" s="155">
        <v>1</v>
      </c>
      <c r="AF26" s="159"/>
      <c r="AG26" s="187">
        <v>1</v>
      </c>
      <c r="AJ26" s="189">
        <v>1</v>
      </c>
      <c r="AM26" s="188">
        <v>1</v>
      </c>
      <c r="AP26" s="185">
        <v>1</v>
      </c>
      <c r="AS26" s="189">
        <v>1</v>
      </c>
      <c r="AV26" s="188">
        <v>1</v>
      </c>
      <c r="AY26" s="185">
        <v>1</v>
      </c>
      <c r="BB26" s="189">
        <v>1</v>
      </c>
      <c r="BE26" s="188">
        <v>1</v>
      </c>
      <c r="BH26" s="185">
        <v>1</v>
      </c>
      <c r="BJ26" s="154"/>
      <c r="BK26" s="532">
        <v>1</v>
      </c>
      <c r="BO26" s="193"/>
      <c r="BP26" s="223"/>
      <c r="BQ26" s="228"/>
      <c r="BR26" s="224"/>
      <c r="BS26" s="223"/>
      <c r="BT26" s="223"/>
      <c r="BU26" s="223"/>
      <c r="BV26" s="225"/>
      <c r="BW26" s="225"/>
      <c r="BX26" s="225"/>
      <c r="BY26" s="226"/>
      <c r="BZ26" s="223"/>
      <c r="CA26" s="193"/>
      <c r="CB26" s="193"/>
      <c r="CC26" s="193"/>
      <c r="CD26" s="193"/>
      <c r="CE26" s="193"/>
      <c r="CF26" s="193"/>
      <c r="CG26" s="193"/>
      <c r="CH26" s="193"/>
      <c r="CI26" s="193"/>
      <c r="CJ26" s="193"/>
      <c r="CK26" s="193"/>
      <c r="CL26" s="193"/>
      <c r="CM26" s="193"/>
      <c r="CN26" s="193"/>
      <c r="CO26" s="193"/>
      <c r="CP26" s="193"/>
      <c r="CQ26" s="193"/>
      <c r="CR26" s="193"/>
      <c r="CS26" s="193"/>
      <c r="CT26" s="193"/>
      <c r="CU26" s="193"/>
      <c r="CV26" s="160"/>
      <c r="CW26" s="364"/>
      <c r="CX26" s="313">
        <f>CX25</f>
        <v>600</v>
      </c>
      <c r="CY26" s="313">
        <f>MIN(core_thick,start+$CX$26*tanO)</f>
        <v>0</v>
      </c>
      <c r="DA26" s="309">
        <v>25</v>
      </c>
      <c r="DB26" s="313">
        <f t="shared" ref="DB26" si="234">start+DA26*tanO</f>
        <v>209.09925585665505</v>
      </c>
      <c r="DC26" s="309">
        <f t="shared" ref="DC26" si="235">IF(DA26&lt;edge_width,1,IF(DA26&lt;mid_width,2,IF(DA26&lt;=tot_width,3,4)))</f>
        <v>1</v>
      </c>
      <c r="DD26" s="309">
        <f t="shared" ref="DD26" si="236">CHOOSE(DC26,edge_thick,second_thick,core_thick,0)</f>
        <v>260</v>
      </c>
      <c r="DE26" s="308">
        <f t="shared" ref="DE26" si="237">CHOOSE(DC26,edge_k,second_k,core_k,0)</f>
        <v>6.5000000000000002E-2</v>
      </c>
      <c r="DF26" s="313">
        <f t="shared" si="39"/>
        <v>25</v>
      </c>
      <c r="DG26" s="313">
        <f t="shared" si="24"/>
        <v>209.09925585665505</v>
      </c>
      <c r="DH26" s="313">
        <f t="shared" si="25"/>
        <v>209.09925585665505</v>
      </c>
      <c r="DI26" s="313">
        <f t="shared" si="26"/>
        <v>0</v>
      </c>
      <c r="DJ26" s="313">
        <f t="shared" si="27"/>
        <v>0</v>
      </c>
      <c r="DK26" s="313">
        <f t="shared" si="40"/>
        <v>5118.2903261365154</v>
      </c>
      <c r="DL26" s="313">
        <f t="shared" si="28"/>
        <v>145915.32619934186</v>
      </c>
      <c r="DM26" s="314">
        <f t="shared" ref="DM26" si="238">IF($DC26&lt;&gt;4,IF($DA26=edge_width,$CY$2,IF($DA26=mid_width,$CY$3,1-DO26+DM25)),0)</f>
        <v>5.3142679763980158</v>
      </c>
      <c r="DN26" s="312">
        <f t="shared" ref="DN26" si="239">IF(DC26&lt;&gt;4,CHOOSE(DC26,DM26/DA26,DM26/(DA26-edge_width+1),DM26/(DA26-mid_width+1)),0)</f>
        <v>0.21257071905592062</v>
      </c>
      <c r="DO26" s="312">
        <f t="shared" si="41"/>
        <v>0.80422790714098091</v>
      </c>
      <c r="DP26" s="315">
        <f t="shared" ref="DP26" si="240">DE26*DO26^CHOOSE(DC26,mult1,mult2,mult3,0)</f>
        <v>6.0887353611360488E-2</v>
      </c>
      <c r="DQ26" s="316">
        <f t="shared" si="30"/>
        <v>0.2911887627811594</v>
      </c>
      <c r="DR26" s="316">
        <f t="shared" si="31"/>
        <v>7.3888083499277881</v>
      </c>
      <c r="DS26" s="314">
        <f t="shared" si="32"/>
        <v>3.38349552675085</v>
      </c>
      <c r="DT26" s="316">
        <f t="shared" ref="DT26" si="241">IF(DC26&lt;&gt;4,IF(DA26=edge_width,$CY$4,IF(DA26=mid_width,$CY$5,DQ26+DT25)),0)</f>
        <v>7.3888083499277881</v>
      </c>
      <c r="DU26" s="314">
        <f t="shared" ref="DU26" si="242">IF(DC26&lt;&gt;4,CHOOSE(DC26,DA26/DT26,(DA26-edge_width+1)/DT26,(DA26-mid_width+1)/DT26),0)</f>
        <v>3.38349552675085</v>
      </c>
      <c r="DV26" s="316">
        <f t="shared" si="44"/>
        <v>146.47313493579591</v>
      </c>
      <c r="DW26" s="310">
        <f t="shared" ref="DW26" si="243">IF(DC26&lt;&gt;4,(tot_width-DA26+1)/DV26,0)</f>
        <v>3.9324617463296607</v>
      </c>
      <c r="FB26" s="307"/>
      <c r="FC26" s="307"/>
      <c r="FF26" s="307"/>
      <c r="FG26" s="307"/>
      <c r="FH26" s="306"/>
      <c r="FJ26" s="307"/>
      <c r="FK26" s="307"/>
      <c r="FL26" s="306"/>
      <c r="FM26" s="307"/>
      <c r="FN26" s="306"/>
      <c r="FO26" s="307"/>
      <c r="FP26" s="306"/>
    </row>
    <row r="27" spans="1:172" ht="15.75">
      <c r="A27">
        <v>26</v>
      </c>
      <c r="B27" t="s">
        <v>150</v>
      </c>
      <c r="C27" s="553"/>
      <c r="D27" s="554"/>
      <c r="E27" s="172" t="str">
        <f t="shared" si="10"/>
        <v/>
      </c>
      <c r="F27" s="555" t="str">
        <f t="shared" si="148"/>
        <v/>
      </c>
      <c r="G27" s="172" t="str">
        <f t="shared" si="12"/>
        <v/>
      </c>
      <c r="H27" t="str">
        <f t="shared" si="13"/>
        <v/>
      </c>
      <c r="I27" s="552" t="str" cm="1">
        <f t="array" ref="I27">IF(H27&lt;&gt;"",INDEX($B$2:$B$66,H27+1),"")</f>
        <v/>
      </c>
      <c r="J27" s="554" t="str">
        <f t="shared" si="0"/>
        <v/>
      </c>
      <c r="K27" t="str">
        <f t="shared" si="117"/>
        <v/>
      </c>
      <c r="L27" s="2" t="str">
        <f t="shared" si="15"/>
        <v/>
      </c>
      <c r="M27" t="str">
        <f t="shared" si="16"/>
        <v/>
      </c>
      <c r="N27" s="2" t="str">
        <f t="shared" si="17"/>
        <v/>
      </c>
      <c r="O27" s="172" t="str">
        <f t="shared" si="1"/>
        <v/>
      </c>
      <c r="P27" s="177" t="str">
        <f>IF(J27&lt;&gt;"",RIGHT(P26,LEN(P26)-J26),"")</f>
        <v/>
      </c>
      <c r="Q27" s="172" t="str">
        <f t="shared" si="2"/>
        <v/>
      </c>
      <c r="R27" s="553" t="str">
        <f t="shared" si="19"/>
        <v/>
      </c>
      <c r="S27" s="553" t="str">
        <f t="shared" si="19"/>
        <v/>
      </c>
      <c r="T27" s="155"/>
      <c r="U27" s="155">
        <v>2</v>
      </c>
      <c r="V27" s="155" t="s">
        <v>567</v>
      </c>
      <c r="W27" s="155"/>
      <c r="X27" s="155">
        <v>2</v>
      </c>
      <c r="Y27" s="155" t="s">
        <v>567</v>
      </c>
      <c r="Z27" s="155"/>
      <c r="AA27" s="155">
        <v>2</v>
      </c>
      <c r="AB27" s="155" t="s">
        <v>567</v>
      </c>
      <c r="AC27" s="156"/>
      <c r="AD27" s="155">
        <v>2</v>
      </c>
      <c r="AE27" s="159">
        <v>30</v>
      </c>
      <c r="AF27" s="159"/>
      <c r="AG27" s="188">
        <v>2</v>
      </c>
      <c r="AH27" s="183">
        <v>500</v>
      </c>
      <c r="AI27" s="190">
        <v>500</v>
      </c>
      <c r="AJ27" s="185">
        <v>2</v>
      </c>
      <c r="AK27" s="183">
        <f t="shared" ref="AK27:AK90" si="244">AI27</f>
        <v>500</v>
      </c>
      <c r="AM27" s="188">
        <v>2</v>
      </c>
      <c r="AN27" s="183">
        <v>1200</v>
      </c>
      <c r="AO27" s="182">
        <v>6.5000000000000002E-2</v>
      </c>
      <c r="AP27" s="185">
        <v>2</v>
      </c>
      <c r="AQ27" s="184">
        <f t="shared" ref="AQ27:AQ90" si="245">AO27</f>
        <v>6.5000000000000002E-2</v>
      </c>
      <c r="AR27" s="190">
        <v>500</v>
      </c>
      <c r="AS27" s="185">
        <v>2</v>
      </c>
      <c r="AT27" s="183">
        <f t="shared" ref="AT27:AT90" si="246">AR27</f>
        <v>500</v>
      </c>
      <c r="AV27" s="188">
        <v>2</v>
      </c>
      <c r="AW27" s="183">
        <v>1200</v>
      </c>
      <c r="AX27" s="182">
        <v>6.5000000000000002E-2</v>
      </c>
      <c r="AY27" s="185">
        <v>2</v>
      </c>
      <c r="AZ27" s="184">
        <f t="shared" ref="AZ27:AZ90" si="247">AX27</f>
        <v>6.5000000000000002E-2</v>
      </c>
      <c r="BA27" s="190">
        <v>500</v>
      </c>
      <c r="BB27" s="185">
        <v>2</v>
      </c>
      <c r="BC27" s="183">
        <f t="shared" ref="BC27:BC90" si="248">BA27</f>
        <v>500</v>
      </c>
      <c r="BE27" s="188">
        <v>2</v>
      </c>
      <c r="BF27" s="183">
        <v>1200</v>
      </c>
      <c r="BG27" s="182">
        <v>6.5000000000000002E-2</v>
      </c>
      <c r="BH27" s="185">
        <v>2</v>
      </c>
      <c r="BI27" s="184">
        <f t="shared" ref="BI27:BI90" si="249">BG27</f>
        <v>6.5000000000000002E-2</v>
      </c>
      <c r="BJ27" s="154"/>
      <c r="BK27" s="533">
        <v>2</v>
      </c>
      <c r="BL27" s="183">
        <f t="shared" ref="BL27:BL29" si="250">MIN(BM27,tot_width)</f>
        <v>600</v>
      </c>
      <c r="BM27" s="155">
        <v>1200</v>
      </c>
      <c r="BO27" s="193"/>
      <c r="BP27" s="228"/>
      <c r="BQ27" s="228" t="s">
        <v>10</v>
      </c>
      <c r="BR27" s="224"/>
      <c r="BS27" s="223"/>
      <c r="BT27" s="456"/>
      <c r="BU27" s="468" t="str">
        <f>IF(WebCntrl5="","",second_thick)</f>
        <v/>
      </c>
      <c r="BV27" s="1068" t="str">
        <f>IF(AY20,"","lofted R-value")</f>
        <v/>
      </c>
      <c r="BW27" s="1068"/>
      <c r="BX27" s="227" t="str">
        <f>IF(AY20,"",second_thick/1000/second_k)</f>
        <v/>
      </c>
      <c r="BY27" s="223" t="str">
        <f>IF(AY20,"","m2.K/W")</f>
        <v/>
      </c>
      <c r="BZ27" s="223"/>
      <c r="CA27" s="193"/>
      <c r="CB27" s="193"/>
      <c r="CC27" s="193"/>
      <c r="CD27" s="193"/>
      <c r="CE27" s="193"/>
      <c r="CF27" s="193"/>
      <c r="CG27" s="193"/>
      <c r="CH27" s="193"/>
      <c r="CI27" s="193"/>
      <c r="CJ27" s="193"/>
      <c r="CK27" s="193"/>
      <c r="CL27" s="193"/>
      <c r="CM27" s="193"/>
      <c r="CN27" s="193"/>
      <c r="CO27" s="193"/>
      <c r="CP27" s="193"/>
      <c r="CQ27" s="193"/>
      <c r="CR27" s="193"/>
      <c r="CS27" s="193"/>
      <c r="CT27" s="193"/>
      <c r="CU27" s="193"/>
      <c r="CV27" s="160"/>
      <c r="CW27" s="364"/>
      <c r="CX27" s="313">
        <f>BL25</f>
        <v>600</v>
      </c>
      <c r="CY27" s="313">
        <v>0</v>
      </c>
      <c r="DA27" s="309">
        <v>26</v>
      </c>
      <c r="DB27" s="313">
        <f t="shared" ref="DB27:DB28" si="251">start+DA27*tanO</f>
        <v>209.46322609092127</v>
      </c>
      <c r="DC27" s="309">
        <f t="shared" ref="DC27:DC28" si="252">IF(DA27&lt;edge_width,1,IF(DA27&lt;mid_width,2,IF(DA27&lt;=tot_width,3,4)))</f>
        <v>1</v>
      </c>
      <c r="DD27" s="309">
        <f t="shared" ref="DD27:DD28" si="253">CHOOSE(DC27,edge_thick,second_thick,core_thick,0)</f>
        <v>260</v>
      </c>
      <c r="DE27" s="308">
        <f t="shared" ref="DE27:DE28" si="254">CHOOSE(DC27,edge_k,second_k,core_k,0)</f>
        <v>6.5000000000000002E-2</v>
      </c>
      <c r="DF27" s="313">
        <f t="shared" si="39"/>
        <v>26</v>
      </c>
      <c r="DG27" s="313">
        <f t="shared" si="24"/>
        <v>209.46322609092127</v>
      </c>
      <c r="DH27" s="313">
        <f t="shared" si="25"/>
        <v>209.46322609092127</v>
      </c>
      <c r="DI27" s="313">
        <f t="shared" si="26"/>
        <v>0</v>
      </c>
      <c r="DJ27" s="313">
        <f t="shared" si="27"/>
        <v>0</v>
      </c>
      <c r="DK27" s="313">
        <f t="shared" si="40"/>
        <v>5327.7535522274366</v>
      </c>
      <c r="DL27" s="313">
        <f t="shared" si="28"/>
        <v>145706.22694348521</v>
      </c>
      <c r="DM27" s="314">
        <f t="shared" ref="DM27" si="255">IF($DC27&lt;&gt;4,IF($DA27=edge_width,$CY$2,IF($DA27=mid_width,$CY$3,1-DO27+DM26)),0)</f>
        <v>5.508640183740626</v>
      </c>
      <c r="DN27" s="312">
        <f t="shared" ref="DN27" si="256">IF(DC27&lt;&gt;4,CHOOSE(DC27,DM27/DA27,DM27/(DA27-edge_width+1),DM27/(DA27-mid_width+1)),0)</f>
        <v>0.21187077629771639</v>
      </c>
      <c r="DO27" s="312">
        <f t="shared" si="41"/>
        <v>0.80562779265738949</v>
      </c>
      <c r="DP27" s="315">
        <f t="shared" ref="DP27:DP28" si="257">DE27*DO27^CHOOSE(DC27,mult1,mult2,mult3,0)</f>
        <v>6.0919129472502401E-2</v>
      </c>
      <c r="DQ27" s="316">
        <f t="shared" si="30"/>
        <v>0.29083448493273639</v>
      </c>
      <c r="DR27" s="316">
        <f t="shared" si="31"/>
        <v>7.6796428348605241</v>
      </c>
      <c r="DS27" s="314">
        <f t="shared" si="32"/>
        <v>3.3855741157618833</v>
      </c>
      <c r="DT27" s="316">
        <f t="shared" ref="DT27" si="258">IF(DC27&lt;&gt;4,IF(DA27=edge_width,$CY$4,IF(DA27=mid_width,$CY$5,DQ27+DT26)),0)</f>
        <v>7.6796428348605241</v>
      </c>
      <c r="DU27" s="314">
        <f t="shared" ref="DU27" si="259">IF(DC27&lt;&gt;4,CHOOSE(DC27,DA27/DT27,(DA27-edge_width+1)/DT27,(DA27-mid_width+1)/DT27),0)</f>
        <v>3.3855741157618833</v>
      </c>
      <c r="DV27" s="316">
        <f t="shared" si="44"/>
        <v>146.18194617301475</v>
      </c>
      <c r="DW27" s="310">
        <f t="shared" ref="DW27" si="260">IF(DC27&lt;&gt;4,(tot_width-DA27+1)/DV27,0)</f>
        <v>3.9334542674610065</v>
      </c>
      <c r="FB27" s="307"/>
      <c r="FC27" s="307"/>
      <c r="FF27" s="307"/>
      <c r="FG27" s="307"/>
      <c r="FH27" s="306"/>
      <c r="FJ27" s="307"/>
      <c r="FK27" s="307"/>
      <c r="FL27" s="306"/>
      <c r="FM27" s="307"/>
      <c r="FN27" s="306"/>
      <c r="FO27" s="307"/>
      <c r="FP27" s="306"/>
    </row>
    <row r="28" spans="1:172">
      <c r="A28">
        <v>27</v>
      </c>
      <c r="B28" t="s">
        <v>154</v>
      </c>
      <c r="C28" s="556"/>
      <c r="D28" s="556"/>
      <c r="E28" s="557"/>
      <c r="F28" s="557"/>
      <c r="G28" s="557"/>
      <c r="H28" s="557"/>
      <c r="I28" s="557"/>
      <c r="J28" s="556"/>
      <c r="K28" s="557"/>
      <c r="L28" s="556"/>
      <c r="M28" s="557"/>
      <c r="N28" s="556"/>
      <c r="O28" s="557"/>
      <c r="P28" s="557"/>
      <c r="Q28" s="557"/>
      <c r="R28" s="556"/>
      <c r="S28" s="556"/>
      <c r="T28" s="155"/>
      <c r="U28" s="155">
        <v>3</v>
      </c>
      <c r="V28" s="155" t="s">
        <v>568</v>
      </c>
      <c r="W28" s="155"/>
      <c r="X28" s="155">
        <v>3</v>
      </c>
      <c r="Y28" s="155" t="s">
        <v>568</v>
      </c>
      <c r="Z28" s="155"/>
      <c r="AA28" s="155">
        <v>3</v>
      </c>
      <c r="AB28" s="155" t="s">
        <v>568</v>
      </c>
      <c r="AC28" s="156"/>
      <c r="AD28" s="155">
        <v>3</v>
      </c>
      <c r="AE28" s="159">
        <v>29.5</v>
      </c>
      <c r="AF28" s="159"/>
      <c r="AG28" s="188">
        <v>3</v>
      </c>
      <c r="AH28" s="183">
        <v>495</v>
      </c>
      <c r="AI28" s="190">
        <v>499</v>
      </c>
      <c r="AJ28" s="185">
        <v>3</v>
      </c>
      <c r="AK28" s="183">
        <f t="shared" si="244"/>
        <v>499</v>
      </c>
      <c r="AM28" s="188">
        <v>3</v>
      </c>
      <c r="AN28" s="183">
        <v>1190</v>
      </c>
      <c r="AO28" s="182">
        <v>6.4899999999999999E-2</v>
      </c>
      <c r="AP28" s="185">
        <v>3</v>
      </c>
      <c r="AQ28" s="184">
        <f t="shared" si="245"/>
        <v>6.4899999999999999E-2</v>
      </c>
      <c r="AR28" s="190">
        <v>499</v>
      </c>
      <c r="AS28" s="185">
        <v>3</v>
      </c>
      <c r="AT28" s="183">
        <f t="shared" si="246"/>
        <v>499</v>
      </c>
      <c r="AV28" s="188">
        <v>3</v>
      </c>
      <c r="AW28" s="183">
        <v>1190</v>
      </c>
      <c r="AX28" s="182">
        <v>6.4899999999999999E-2</v>
      </c>
      <c r="AY28" s="185">
        <v>3</v>
      </c>
      <c r="AZ28" s="184">
        <f t="shared" si="247"/>
        <v>6.4899999999999999E-2</v>
      </c>
      <c r="BA28" s="190">
        <v>499</v>
      </c>
      <c r="BB28" s="185">
        <v>3</v>
      </c>
      <c r="BC28" s="183">
        <f t="shared" si="248"/>
        <v>499</v>
      </c>
      <c r="BE28" s="188">
        <v>3</v>
      </c>
      <c r="BF28" s="183">
        <v>1190</v>
      </c>
      <c r="BG28" s="182">
        <v>6.4899999999999999E-2</v>
      </c>
      <c r="BH28" s="185">
        <v>3</v>
      </c>
      <c r="BI28" s="184">
        <f t="shared" si="249"/>
        <v>6.4899999999999999E-2</v>
      </c>
      <c r="BJ28" s="154"/>
      <c r="BK28" s="533">
        <v>3</v>
      </c>
      <c r="BL28" s="183">
        <f t="shared" si="250"/>
        <v>600</v>
      </c>
      <c r="BM28" s="155">
        <v>1190</v>
      </c>
      <c r="BO28" s="193"/>
      <c r="BP28" s="228"/>
      <c r="BQ28" s="224"/>
      <c r="BR28" s="224"/>
      <c r="BS28" s="223"/>
      <c r="BT28" s="223"/>
      <c r="BU28" s="223"/>
      <c r="BV28" s="223"/>
      <c r="BW28" s="223"/>
      <c r="BX28" s="223"/>
      <c r="BY28" s="223"/>
      <c r="BZ28" s="223"/>
      <c r="CA28" s="193"/>
      <c r="CB28" s="193"/>
      <c r="CC28" s="193"/>
      <c r="CD28" s="193"/>
      <c r="CE28" s="193"/>
      <c r="CF28" s="193"/>
      <c r="CG28" s="193"/>
      <c r="CH28" s="193"/>
      <c r="CI28" s="193"/>
      <c r="CJ28" s="193"/>
      <c r="CK28" s="193"/>
      <c r="CL28" s="193"/>
      <c r="CM28" s="193"/>
      <c r="CN28" s="193"/>
      <c r="CO28" s="193"/>
      <c r="CP28" s="193"/>
      <c r="CQ28" s="193"/>
      <c r="CR28" s="193"/>
      <c r="CS28" s="193"/>
      <c r="CT28" s="193"/>
      <c r="CU28" s="193"/>
      <c r="CV28" s="160"/>
      <c r="CW28" s="364"/>
      <c r="CX28" s="313">
        <f>BL25</f>
        <v>600</v>
      </c>
      <c r="CY28" s="313">
        <v>400</v>
      </c>
      <c r="DA28" s="309">
        <v>27</v>
      </c>
      <c r="DB28" s="313">
        <f t="shared" si="251"/>
        <v>209.82719632518746</v>
      </c>
      <c r="DC28" s="309">
        <f t="shared" si="252"/>
        <v>1</v>
      </c>
      <c r="DD28" s="309">
        <f t="shared" si="253"/>
        <v>260</v>
      </c>
      <c r="DE28" s="308">
        <f t="shared" si="254"/>
        <v>6.5000000000000002E-2</v>
      </c>
      <c r="DF28" s="313">
        <f t="shared" si="39"/>
        <v>27</v>
      </c>
      <c r="DG28" s="313">
        <f t="shared" si="24"/>
        <v>209.82719632518746</v>
      </c>
      <c r="DH28" s="313">
        <f t="shared" si="25"/>
        <v>209.82719632518746</v>
      </c>
      <c r="DI28" s="313">
        <f t="shared" si="26"/>
        <v>0</v>
      </c>
      <c r="DJ28" s="313">
        <f t="shared" si="27"/>
        <v>0</v>
      </c>
      <c r="DK28" s="313">
        <f t="shared" si="40"/>
        <v>5537.5807485526238</v>
      </c>
      <c r="DL28" s="313">
        <f t="shared" si="28"/>
        <v>145496.76371739429</v>
      </c>
      <c r="DM28" s="314">
        <f>IF($DC28&lt;&gt;4,IF($DA28=edge_width,$CY$2,IF($DA28=mid_width,$CY$3,1-DO28+DM27)),0)</f>
        <v>5.7016125055668283</v>
      </c>
      <c r="DN28" s="312">
        <f>IF(DC28&lt;&gt;4,CHOOSE(DC28,DM28/DA28,DM28/(DA28-edge_width+1),DM28/(DA28-mid_width+1)),0)</f>
        <v>0.21117083353951216</v>
      </c>
      <c r="DO28" s="312">
        <f t="shared" si="41"/>
        <v>0.80702767817379795</v>
      </c>
      <c r="DP28" s="315">
        <f t="shared" si="257"/>
        <v>6.0950866706762995E-2</v>
      </c>
      <c r="DQ28" s="316">
        <f t="shared" si="30"/>
        <v>0.29048125206945113</v>
      </c>
      <c r="DR28" s="316">
        <f t="shared" si="31"/>
        <v>7.9701240869299754</v>
      </c>
      <c r="DS28" s="314">
        <f t="shared" si="32"/>
        <v>3.3876511463951591</v>
      </c>
      <c r="DT28" s="316">
        <f>IF(DC28&lt;&gt;4,IF(DA28=edge_width,$CY$4,IF(DA28=mid_width,$CY$5,DQ28+DT27)),0)</f>
        <v>7.9701240869299754</v>
      </c>
      <c r="DU28" s="314">
        <f>IF(DC28&lt;&gt;4,CHOOSE(DC28,DA28/DT28,(DA28-edge_width+1)/DT28,(DA28-mid_width+1)/DT28),0)</f>
        <v>3.3876511463951591</v>
      </c>
      <c r="DV28" s="316">
        <f t="shared" si="44"/>
        <v>145.89111168808202</v>
      </c>
      <c r="DW28" s="310">
        <f>IF(DC28&lt;&gt;4,(tot_width-DA28+1)/DV28,0)</f>
        <v>3.9344411963027808</v>
      </c>
      <c r="FB28" s="307"/>
      <c r="FC28" s="307"/>
      <c r="FF28" s="307"/>
      <c r="FG28" s="307"/>
      <c r="FH28" s="306"/>
      <c r="FJ28" s="307"/>
      <c r="FK28" s="307"/>
      <c r="FL28" s="306"/>
      <c r="FM28" s="307"/>
      <c r="FN28" s="306"/>
      <c r="FO28" s="307"/>
      <c r="FP28" s="306"/>
    </row>
    <row r="29" spans="1:172">
      <c r="A29">
        <v>28</v>
      </c>
      <c r="B29" t="s">
        <v>159</v>
      </c>
      <c r="U29" s="155">
        <v>4</v>
      </c>
      <c r="V29" s="155" t="s">
        <v>569</v>
      </c>
      <c r="X29" s="155">
        <v>4</v>
      </c>
      <c r="Y29" s="155" t="s">
        <v>570</v>
      </c>
      <c r="Z29" s="155"/>
      <c r="AA29" s="155">
        <v>4</v>
      </c>
      <c r="AB29" s="155" t="s">
        <v>570</v>
      </c>
      <c r="AC29" s="156"/>
      <c r="AD29" s="155">
        <v>4</v>
      </c>
      <c r="AE29" s="159">
        <v>29</v>
      </c>
      <c r="AF29" s="159"/>
      <c r="AG29" s="188">
        <v>4</v>
      </c>
      <c r="AH29" s="183">
        <v>490</v>
      </c>
      <c r="AI29" s="190">
        <v>498</v>
      </c>
      <c r="AJ29" s="185">
        <v>4</v>
      </c>
      <c r="AK29" s="183">
        <f t="shared" si="244"/>
        <v>498</v>
      </c>
      <c r="AM29" s="188">
        <v>4</v>
      </c>
      <c r="AN29" s="183">
        <v>1180</v>
      </c>
      <c r="AO29" s="182">
        <v>6.4799999999999996E-2</v>
      </c>
      <c r="AP29" s="185">
        <v>4</v>
      </c>
      <c r="AQ29" s="184">
        <f t="shared" si="245"/>
        <v>6.4799999999999996E-2</v>
      </c>
      <c r="AR29" s="190">
        <v>498</v>
      </c>
      <c r="AS29" s="185">
        <v>4</v>
      </c>
      <c r="AT29" s="183">
        <f t="shared" si="246"/>
        <v>498</v>
      </c>
      <c r="AV29" s="188">
        <v>4</v>
      </c>
      <c r="AW29" s="183">
        <v>1180</v>
      </c>
      <c r="AX29" s="182">
        <v>6.4799999999999996E-2</v>
      </c>
      <c r="AY29" s="185">
        <v>4</v>
      </c>
      <c r="AZ29" s="184">
        <f t="shared" si="247"/>
        <v>6.4799999999999996E-2</v>
      </c>
      <c r="BA29" s="190">
        <v>498</v>
      </c>
      <c r="BB29" s="185">
        <v>4</v>
      </c>
      <c r="BC29" s="183">
        <f t="shared" si="248"/>
        <v>498</v>
      </c>
      <c r="BE29" s="188">
        <v>4</v>
      </c>
      <c r="BF29" s="183">
        <v>1180</v>
      </c>
      <c r="BG29" s="182">
        <v>6.4799999999999996E-2</v>
      </c>
      <c r="BH29" s="185">
        <v>4</v>
      </c>
      <c r="BI29" s="184">
        <f t="shared" si="249"/>
        <v>6.4799999999999996E-2</v>
      </c>
      <c r="BJ29" s="154"/>
      <c r="BK29" s="533">
        <v>4</v>
      </c>
      <c r="BL29" s="183">
        <f t="shared" si="250"/>
        <v>600</v>
      </c>
      <c r="BM29" s="155">
        <v>1180</v>
      </c>
      <c r="BO29" s="193"/>
      <c r="BP29" s="228"/>
      <c r="BQ29" s="228" t="s">
        <v>552</v>
      </c>
      <c r="BR29" s="224"/>
      <c r="BS29" s="223"/>
      <c r="BT29" s="456"/>
      <c r="BU29" s="468" t="str">
        <f>IF(WebCntrl8="","",second_width)</f>
        <v/>
      </c>
      <c r="BV29" s="229"/>
      <c r="BW29" s="224" t="str">
        <f>IF(AY19,"","  avrg. Compression")</f>
        <v/>
      </c>
      <c r="BX29" s="180" t="str" cm="1">
        <f t="array" ref="BX29">IF(AY19,"",IF(CX9&lt;3,INDEX(DN2:DN1201,mid_width-1),0))</f>
        <v/>
      </c>
      <c r="BY29" s="224" t="str">
        <f>IF(AY19,"","max")</f>
        <v/>
      </c>
      <c r="BZ29" s="180" t="str" cm="1">
        <f t="array" ref="BZ29">IF(AY19,"",IF(CX9&lt;3,INDEX(DN2:DN1201,edge_width),0))</f>
        <v/>
      </c>
      <c r="CA29" s="193"/>
      <c r="CB29" s="193"/>
      <c r="CC29" s="193"/>
      <c r="CD29" s="193"/>
      <c r="CE29" s="193"/>
      <c r="CF29" s="193"/>
      <c r="CG29" s="193"/>
      <c r="CH29" s="193"/>
      <c r="CI29" s="193"/>
      <c r="CJ29" s="193"/>
      <c r="CK29" s="193"/>
      <c r="CL29" s="193"/>
      <c r="CM29" s="193"/>
      <c r="CN29" s="193"/>
      <c r="CO29" s="193"/>
      <c r="CP29" s="193"/>
      <c r="CQ29" s="193"/>
      <c r="CR29" s="193"/>
      <c r="CS29" s="193"/>
      <c r="CT29" s="193"/>
      <c r="CU29" s="193"/>
      <c r="CV29" s="160"/>
      <c r="CW29" s="364"/>
      <c r="CX29" s="313">
        <v>0</v>
      </c>
      <c r="CY29" s="313">
        <v>400</v>
      </c>
      <c r="DA29" s="309">
        <v>28</v>
      </c>
      <c r="DB29" s="313">
        <f t="shared" ref="DB29:DB30" si="261">start+DA29*tanO</f>
        <v>210.19116655945368</v>
      </c>
      <c r="DC29" s="309">
        <f t="shared" ref="DC29:DC30" si="262">IF(DA29&lt;edge_width,1,IF(DA29&lt;mid_width,2,IF(DA29&lt;=tot_width,3,4)))</f>
        <v>1</v>
      </c>
      <c r="DD29" s="309">
        <f t="shared" ref="DD29:DD30" si="263">CHOOSE(DC29,edge_thick,second_thick,core_thick,0)</f>
        <v>260</v>
      </c>
      <c r="DE29" s="308">
        <f t="shared" ref="DE29:DE30" si="264">CHOOSE(DC29,edge_k,second_k,core_k,0)</f>
        <v>6.5000000000000002E-2</v>
      </c>
      <c r="DF29" s="313">
        <f t="shared" si="39"/>
        <v>28</v>
      </c>
      <c r="DG29" s="313">
        <f t="shared" si="24"/>
        <v>210.19116655945368</v>
      </c>
      <c r="DH29" s="313">
        <f t="shared" si="25"/>
        <v>210.19116655945368</v>
      </c>
      <c r="DI29" s="313">
        <f t="shared" si="26"/>
        <v>0</v>
      </c>
      <c r="DJ29" s="313">
        <f t="shared" si="27"/>
        <v>0</v>
      </c>
      <c r="DK29" s="313">
        <f t="shared" si="40"/>
        <v>5747.7719151120773</v>
      </c>
      <c r="DL29" s="313">
        <f t="shared" si="28"/>
        <v>145286.93652106912</v>
      </c>
      <c r="DM29" s="314">
        <f>IF($DC29&lt;&gt;4,IF($DA29=edge_width,$CY$2,IF($DA29=mid_width,$CY$3,1-DO29+DM28)),0)</f>
        <v>5.8931849418766218</v>
      </c>
      <c r="DN29" s="312">
        <f>IF(DC29&lt;&gt;4,CHOOSE(DC29,DM29/DA29,DM29/(DA29-edge_width+1),DM29/(DA29-mid_width+1)),0)</f>
        <v>0.21047089078130793</v>
      </c>
      <c r="DO29" s="312">
        <f t="shared" si="41"/>
        <v>0.80842756369020641</v>
      </c>
      <c r="DP29" s="315">
        <f t="shared" ref="DP29:DP30" si="265">DE29*DO29^CHOOSE(DC29,mult1,mult2,mult3,0)</f>
        <v>6.0982565427978232E-2</v>
      </c>
      <c r="DQ29" s="316">
        <f t="shared" si="30"/>
        <v>0.29012905930434996</v>
      </c>
      <c r="DR29" s="316">
        <f t="shared" si="31"/>
        <v>8.2602531462343247</v>
      </c>
      <c r="DS29" s="314">
        <f t="shared" si="32"/>
        <v>3.3897266226961351</v>
      </c>
      <c r="DT29" s="316">
        <f>IF(DC29&lt;&gt;4,IF(DA29=edge_width,$CY$4,IF(DA29=mid_width,$CY$5,DQ29+DT28)),0)</f>
        <v>8.2602531462343247</v>
      </c>
      <c r="DU29" s="314">
        <f>IF(DC29&lt;&gt;4,CHOOSE(DC29,DA29/DT29,(DA29-edge_width+1)/DT29,(DA29-mid_width+1)/DT29),0)</f>
        <v>3.3897266226961351</v>
      </c>
      <c r="DV29" s="316">
        <f t="shared" si="44"/>
        <v>145.60063043601258</v>
      </c>
      <c r="DW29" s="310">
        <f>IF(DC29&lt;&gt;4,(tot_width-DA29+1)/DV29,0)</f>
        <v>3.9354225203840554</v>
      </c>
      <c r="FB29" s="307"/>
      <c r="FC29" s="307"/>
      <c r="FF29" s="307"/>
      <c r="FG29" s="307"/>
      <c r="FH29" s="306"/>
      <c r="FJ29" s="307"/>
      <c r="FK29" s="307"/>
      <c r="FL29" s="306"/>
      <c r="FM29" s="307"/>
      <c r="FN29" s="306"/>
      <c r="FO29" s="307"/>
      <c r="FP29" s="306"/>
    </row>
    <row r="30" spans="1:172">
      <c r="A30">
        <v>29</v>
      </c>
      <c r="B30" t="s">
        <v>163</v>
      </c>
      <c r="AC30" s="156"/>
      <c r="AD30" s="155">
        <v>5</v>
      </c>
      <c r="AE30" s="159">
        <v>28.5</v>
      </c>
      <c r="AF30" s="159"/>
      <c r="AG30" s="188">
        <v>5</v>
      </c>
      <c r="AH30" s="183">
        <v>485</v>
      </c>
      <c r="AI30" s="190">
        <v>497</v>
      </c>
      <c r="AJ30" s="185">
        <v>5</v>
      </c>
      <c r="AK30" s="183">
        <f t="shared" si="244"/>
        <v>497</v>
      </c>
      <c r="AM30" s="188">
        <v>5</v>
      </c>
      <c r="AN30" s="183">
        <v>1170</v>
      </c>
      <c r="AO30" s="182">
        <v>6.4699999999999994E-2</v>
      </c>
      <c r="AP30" s="185">
        <v>5</v>
      </c>
      <c r="AQ30" s="184">
        <f t="shared" si="245"/>
        <v>6.4699999999999994E-2</v>
      </c>
      <c r="AR30" s="190">
        <v>497</v>
      </c>
      <c r="AS30" s="185">
        <v>5</v>
      </c>
      <c r="AT30" s="183">
        <f t="shared" si="246"/>
        <v>497</v>
      </c>
      <c r="AV30" s="188">
        <v>5</v>
      </c>
      <c r="AW30" s="183">
        <v>1170</v>
      </c>
      <c r="AX30" s="182">
        <v>6.4699999999999994E-2</v>
      </c>
      <c r="AY30" s="185">
        <v>5</v>
      </c>
      <c r="AZ30" s="184">
        <f t="shared" si="247"/>
        <v>6.4699999999999994E-2</v>
      </c>
      <c r="BA30" s="190">
        <v>497</v>
      </c>
      <c r="BB30" s="185">
        <v>5</v>
      </c>
      <c r="BC30" s="183">
        <f t="shared" si="248"/>
        <v>497</v>
      </c>
      <c r="BE30" s="188">
        <v>5</v>
      </c>
      <c r="BF30" s="183">
        <v>1170</v>
      </c>
      <c r="BG30" s="182">
        <v>6.4699999999999994E-2</v>
      </c>
      <c r="BH30" s="185">
        <v>5</v>
      </c>
      <c r="BI30" s="184">
        <f t="shared" si="249"/>
        <v>6.4699999999999994E-2</v>
      </c>
      <c r="BJ30" s="154"/>
      <c r="BK30" s="533">
        <v>5</v>
      </c>
      <c r="BL30" s="183">
        <f t="shared" ref="BL30:BL31" si="266">MIN(BM30,tot_width)</f>
        <v>600</v>
      </c>
      <c r="BM30" s="155">
        <v>1170</v>
      </c>
      <c r="BO30" s="193"/>
      <c r="BP30" s="223"/>
      <c r="BQ30" s="224"/>
      <c r="BR30" s="224"/>
      <c r="BS30" s="223"/>
      <c r="BT30" s="223"/>
      <c r="BU30" s="223"/>
      <c r="BV30" s="223"/>
      <c r="BW30" s="223"/>
      <c r="BX30" s="223"/>
      <c r="BY30" s="223"/>
      <c r="BZ30" s="223"/>
      <c r="CA30" s="193"/>
      <c r="CB30" s="193"/>
      <c r="CC30" s="193"/>
      <c r="CD30" s="193"/>
      <c r="CE30" s="193"/>
      <c r="CF30" s="193"/>
      <c r="CG30" s="193"/>
      <c r="CH30" s="193"/>
      <c r="CI30" s="193"/>
      <c r="CJ30" s="193"/>
      <c r="CK30" s="193"/>
      <c r="CL30" s="193"/>
      <c r="CM30" s="193"/>
      <c r="CN30" s="193"/>
      <c r="CO30" s="193"/>
      <c r="CP30" s="193"/>
      <c r="CQ30" s="193"/>
      <c r="CR30" s="193"/>
      <c r="CS30" s="193"/>
      <c r="CT30" s="193"/>
      <c r="CU30" s="193"/>
      <c r="CV30" s="160"/>
      <c r="CW30" s="364"/>
      <c r="CX30" s="313">
        <f>BL25</f>
        <v>600</v>
      </c>
      <c r="CY30" s="313">
        <v>400</v>
      </c>
      <c r="DA30" s="309">
        <v>29</v>
      </c>
      <c r="DB30" s="313">
        <f t="shared" si="261"/>
        <v>210.55513679371987</v>
      </c>
      <c r="DC30" s="309">
        <f t="shared" si="262"/>
        <v>1</v>
      </c>
      <c r="DD30" s="309">
        <f t="shared" si="263"/>
        <v>260</v>
      </c>
      <c r="DE30" s="308">
        <f t="shared" si="264"/>
        <v>6.5000000000000002E-2</v>
      </c>
      <c r="DF30" s="313">
        <f t="shared" si="39"/>
        <v>29</v>
      </c>
      <c r="DG30" s="313">
        <f t="shared" si="24"/>
        <v>210.55513679371987</v>
      </c>
      <c r="DH30" s="313">
        <f t="shared" si="25"/>
        <v>210.55513679371987</v>
      </c>
      <c r="DI30" s="313">
        <f t="shared" si="26"/>
        <v>0</v>
      </c>
      <c r="DJ30" s="313">
        <f t="shared" si="27"/>
        <v>0</v>
      </c>
      <c r="DK30" s="313">
        <f t="shared" si="40"/>
        <v>5958.3270519057969</v>
      </c>
      <c r="DL30" s="313">
        <f t="shared" si="28"/>
        <v>145076.74535450965</v>
      </c>
      <c r="DM30" s="314">
        <f>IF($DC30&lt;&gt;4,IF($DA30=edge_width,$CY$2,IF($DA30=mid_width,$CY$3,1-DO30+DM29)),0)</f>
        <v>6.0833574926700074</v>
      </c>
      <c r="DN30" s="312">
        <f>IF(DC30&lt;&gt;4,CHOOSE(DC30,DM30/DA30,DM30/(DA30-edge_width+1),DM30/(DA30-mid_width+1)),0)</f>
        <v>0.2097709480231037</v>
      </c>
      <c r="DO30" s="312">
        <f t="shared" si="41"/>
        <v>0.80982744920661487</v>
      </c>
      <c r="DP30" s="315">
        <f t="shared" si="265"/>
        <v>6.1014225749452165E-2</v>
      </c>
      <c r="DQ30" s="316">
        <f t="shared" si="30"/>
        <v>0.28977790178174373</v>
      </c>
      <c r="DR30" s="316">
        <f t="shared" si="31"/>
        <v>8.5500310480160682</v>
      </c>
      <c r="DS30" s="314">
        <f t="shared" si="32"/>
        <v>3.3918005486926392</v>
      </c>
      <c r="DT30" s="316">
        <f>IF(DC30&lt;&gt;4,IF(DA30=edge_width,$CY$4,IF(DA30=mid_width,$CY$5,DQ30+DT29)),0)</f>
        <v>8.5500310480160682</v>
      </c>
      <c r="DU30" s="314">
        <f>IF(DC30&lt;&gt;4,CHOOSE(DC30,DA30/DT30,(DA30-edge_width+1)/DT30,(DA30-mid_width+1)/DT30),0)</f>
        <v>3.3918005486926392</v>
      </c>
      <c r="DV30" s="316">
        <f t="shared" si="44"/>
        <v>145.31050137670823</v>
      </c>
      <c r="DW30" s="310">
        <f>IF(DC30&lt;&gt;4,(tot_width-DA30+1)/DV30,0)</f>
        <v>3.9363982271117925</v>
      </c>
      <c r="FB30" s="307"/>
      <c r="FC30" s="307"/>
      <c r="FF30" s="307"/>
      <c r="FG30" s="307"/>
      <c r="FH30" s="306"/>
      <c r="FJ30" s="307"/>
      <c r="FK30" s="307"/>
      <c r="FL30" s="306"/>
      <c r="FM30" s="307"/>
      <c r="FN30" s="306"/>
      <c r="FO30" s="307"/>
      <c r="FP30" s="306"/>
    </row>
    <row r="31" spans="1:172">
      <c r="A31">
        <v>30</v>
      </c>
      <c r="B31" t="s">
        <v>167</v>
      </c>
      <c r="AB31" s="531">
        <f>MAX(50,MIN(500,BT27))</f>
        <v>500</v>
      </c>
      <c r="AC31" s="156"/>
      <c r="AD31" s="155">
        <v>6</v>
      </c>
      <c r="AE31" s="159">
        <v>28</v>
      </c>
      <c r="AF31" s="159"/>
      <c r="AG31" s="188">
        <v>6</v>
      </c>
      <c r="AH31" s="183">
        <v>480</v>
      </c>
      <c r="AI31" s="190">
        <v>496</v>
      </c>
      <c r="AJ31" s="185">
        <v>6</v>
      </c>
      <c r="AK31" s="183">
        <f t="shared" si="244"/>
        <v>496</v>
      </c>
      <c r="AM31" s="188">
        <v>6</v>
      </c>
      <c r="AN31" s="183">
        <v>1160</v>
      </c>
      <c r="AO31" s="182">
        <v>6.4600000000000005E-2</v>
      </c>
      <c r="AP31" s="185">
        <v>6</v>
      </c>
      <c r="AQ31" s="184">
        <f t="shared" si="245"/>
        <v>6.4600000000000005E-2</v>
      </c>
      <c r="AR31" s="190">
        <v>496</v>
      </c>
      <c r="AS31" s="185">
        <v>6</v>
      </c>
      <c r="AT31" s="183">
        <f t="shared" si="246"/>
        <v>496</v>
      </c>
      <c r="AV31" s="188">
        <v>6</v>
      </c>
      <c r="AW31" s="183">
        <v>1160</v>
      </c>
      <c r="AX31" s="182">
        <v>6.4600000000000005E-2</v>
      </c>
      <c r="AY31" s="185">
        <v>6</v>
      </c>
      <c r="AZ31" s="184">
        <f t="shared" si="247"/>
        <v>6.4600000000000005E-2</v>
      </c>
      <c r="BA31" s="190">
        <v>496</v>
      </c>
      <c r="BB31" s="185">
        <v>6</v>
      </c>
      <c r="BC31" s="183">
        <f t="shared" si="248"/>
        <v>496</v>
      </c>
      <c r="BE31" s="188">
        <v>6</v>
      </c>
      <c r="BF31" s="183">
        <v>1160</v>
      </c>
      <c r="BG31" s="182">
        <v>6.4600000000000005E-2</v>
      </c>
      <c r="BH31" s="185">
        <v>6</v>
      </c>
      <c r="BI31" s="184">
        <f t="shared" si="249"/>
        <v>6.4600000000000005E-2</v>
      </c>
      <c r="BJ31" s="154"/>
      <c r="BK31" s="533">
        <v>6</v>
      </c>
      <c r="BL31" s="183">
        <f t="shared" si="266"/>
        <v>600</v>
      </c>
      <c r="BM31" s="155">
        <v>1160</v>
      </c>
      <c r="BO31" s="193"/>
      <c r="BP31" s="223"/>
      <c r="BQ31" s="224"/>
      <c r="BR31" s="230" t="str">
        <f>IF(AY19,"","mean insulation R-value")</f>
        <v/>
      </c>
      <c r="BS31" s="231" t="str" cm="1">
        <f t="array" ref="BS31">IF(AY19,"",INDEX(DU2:DU1201,mid_width-1))</f>
        <v/>
      </c>
      <c r="BT31" s="232" t="str">
        <f>IF(AY19,"","m2.K/W")</f>
        <v/>
      </c>
      <c r="BU31" s="223"/>
      <c r="BV31" s="255" t="str">
        <f>IF(AY19,"","insulation R-value at lowest point")</f>
        <v/>
      </c>
      <c r="BW31" s="256"/>
      <c r="BX31" s="256"/>
      <c r="BY31" s="231" t="str" cm="1">
        <f t="array" ref="BY31">IF(AY19,"",INDEX(DU2:DU1201,edge_width))</f>
        <v/>
      </c>
      <c r="BZ31" s="256" t="str">
        <f>IF(AY19,"","m2.K/W")</f>
        <v/>
      </c>
      <c r="CA31" s="193"/>
      <c r="CB31" s="193"/>
      <c r="CC31" s="193"/>
      <c r="CD31" s="193"/>
      <c r="CE31" s="193"/>
      <c r="CF31" s="193"/>
      <c r="CG31" s="193"/>
      <c r="CH31" s="193"/>
      <c r="CI31" s="193"/>
      <c r="CJ31" s="193"/>
      <c r="CK31" s="193"/>
      <c r="CL31" s="193"/>
      <c r="CM31" s="193"/>
      <c r="CN31" s="193"/>
      <c r="CO31" s="193"/>
      <c r="CP31" s="193"/>
      <c r="CQ31" s="193"/>
      <c r="CR31" s="193"/>
      <c r="CS31" s="193"/>
      <c r="CT31" s="193"/>
      <c r="CU31" s="193"/>
      <c r="CV31" s="160"/>
      <c r="CW31" s="364"/>
      <c r="DA31" s="309">
        <v>30</v>
      </c>
      <c r="DB31" s="313">
        <f t="shared" ref="DB31:DB35" si="267">start+DA31*tanO</f>
        <v>210.91910702798606</v>
      </c>
      <c r="DC31" s="309">
        <f t="shared" ref="DC31:DC35" si="268">IF(DA31&lt;edge_width,1,IF(DA31&lt;mid_width,2,IF(DA31&lt;=tot_width,3,4)))</f>
        <v>1</v>
      </c>
      <c r="DD31" s="309">
        <f t="shared" ref="DD31:DD35" si="269">CHOOSE(DC31,edge_thick,second_thick,core_thick,0)</f>
        <v>260</v>
      </c>
      <c r="DE31" s="308">
        <f t="shared" ref="DE31:DE35" si="270">CHOOSE(DC31,edge_k,second_k,core_k,0)</f>
        <v>6.5000000000000002E-2</v>
      </c>
      <c r="DF31" s="313">
        <f t="shared" si="39"/>
        <v>30</v>
      </c>
      <c r="DG31" s="313">
        <f t="shared" si="24"/>
        <v>210.91910702798606</v>
      </c>
      <c r="DH31" s="313">
        <f t="shared" si="25"/>
        <v>210.91910702798606</v>
      </c>
      <c r="DI31" s="313">
        <f t="shared" si="26"/>
        <v>0</v>
      </c>
      <c r="DJ31" s="313">
        <f t="shared" si="27"/>
        <v>0</v>
      </c>
      <c r="DK31" s="313">
        <f t="shared" si="40"/>
        <v>6169.2461589337827</v>
      </c>
      <c r="DL31" s="313">
        <f t="shared" si="28"/>
        <v>144866.19021771592</v>
      </c>
      <c r="DM31" s="314">
        <f t="shared" ref="DM31:DM35" si="271">IF($DC31&lt;&gt;4,IF($DA31=edge_width,$CY$2,IF($DA31=mid_width,$CY$3,1-DO31+DM30)),0)</f>
        <v>6.2721301579469841</v>
      </c>
      <c r="DN31" s="312">
        <f t="shared" ref="DN31:DN35" si="272">IF(DC31&lt;&gt;4,CHOOSE(DC31,DM31/DA31,DM31/(DA31-edge_width+1),DM31/(DA31-mid_width+1)),0)</f>
        <v>0.20907100526489947</v>
      </c>
      <c r="DO31" s="312">
        <f t="shared" si="41"/>
        <v>0.81122733472302333</v>
      </c>
      <c r="DP31" s="315">
        <f t="shared" ref="DP31:DP35" si="273">DE31*DO31^CHOOSE(DC31,mult1,mult2,mult3,0)</f>
        <v>6.1045847783960341E-2</v>
      </c>
      <c r="DQ31" s="316">
        <f t="shared" si="30"/>
        <v>0.28942777467695424</v>
      </c>
      <c r="DR31" s="316">
        <f t="shared" si="31"/>
        <v>8.8394588226930217</v>
      </c>
      <c r="DS31" s="314">
        <f t="shared" si="32"/>
        <v>3.3938729283949791</v>
      </c>
      <c r="DT31" s="316">
        <f t="shared" ref="DT31:DT35" si="274">IF(DC31&lt;&gt;4,IF(DA31=edge_width,$CY$4,IF(DA31=mid_width,$CY$5,DQ31+DT30)),0)</f>
        <v>8.8394588226930217</v>
      </c>
      <c r="DU31" s="314">
        <f t="shared" ref="DU31:DU35" si="275">IF(DC31&lt;&gt;4,CHOOSE(DC31,DA31/DT31,(DA31-edge_width+1)/DT31,(DA31-mid_width+1)/DT31),0)</f>
        <v>3.3938729283949791</v>
      </c>
      <c r="DV31" s="316">
        <f t="shared" si="44"/>
        <v>145.02072347492648</v>
      </c>
      <c r="DW31" s="310">
        <f t="shared" ref="DW31:DW35" si="276">IF(DC31&lt;&gt;4,(tot_width-DA31+1)/DV31,0)</f>
        <v>3.9373683037702101</v>
      </c>
      <c r="FB31" s="307"/>
      <c r="FC31" s="307"/>
      <c r="FF31" s="307"/>
      <c r="FG31" s="307"/>
      <c r="FH31" s="306"/>
      <c r="FJ31" s="307"/>
      <c r="FK31" s="307"/>
      <c r="FL31" s="306"/>
      <c r="FM31" s="307"/>
      <c r="FN31" s="306"/>
      <c r="FO31" s="307"/>
      <c r="FP31" s="306"/>
    </row>
    <row r="32" spans="1:172" ht="15" customHeight="1">
      <c r="A32">
        <v>31</v>
      </c>
      <c r="B32" t="s">
        <v>173</v>
      </c>
      <c r="AC32" s="156"/>
      <c r="AD32" s="155">
        <v>7</v>
      </c>
      <c r="AE32" s="159">
        <v>27.5</v>
      </c>
      <c r="AF32" s="159"/>
      <c r="AG32" s="188">
        <v>7</v>
      </c>
      <c r="AH32" s="183">
        <v>475</v>
      </c>
      <c r="AI32" s="190">
        <v>495</v>
      </c>
      <c r="AJ32" s="185">
        <v>7</v>
      </c>
      <c r="AK32" s="183">
        <f t="shared" si="244"/>
        <v>495</v>
      </c>
      <c r="AM32" s="188">
        <v>7</v>
      </c>
      <c r="AN32" s="183">
        <v>1150</v>
      </c>
      <c r="AO32" s="182">
        <v>6.4500000000000002E-2</v>
      </c>
      <c r="AP32" s="185">
        <v>7</v>
      </c>
      <c r="AQ32" s="184">
        <f t="shared" si="245"/>
        <v>6.4500000000000002E-2</v>
      </c>
      <c r="AR32" s="190">
        <v>495</v>
      </c>
      <c r="AS32" s="185">
        <v>7</v>
      </c>
      <c r="AT32" s="183">
        <f t="shared" si="246"/>
        <v>495</v>
      </c>
      <c r="AV32" s="188">
        <v>7</v>
      </c>
      <c r="AW32" s="183">
        <v>1150</v>
      </c>
      <c r="AX32" s="182">
        <v>6.4500000000000002E-2</v>
      </c>
      <c r="AY32" s="185">
        <v>7</v>
      </c>
      <c r="AZ32" s="184">
        <f t="shared" si="247"/>
        <v>6.4500000000000002E-2</v>
      </c>
      <c r="BA32" s="190">
        <v>495</v>
      </c>
      <c r="BB32" s="185">
        <v>7</v>
      </c>
      <c r="BC32" s="183">
        <f t="shared" si="248"/>
        <v>495</v>
      </c>
      <c r="BE32" s="188">
        <v>7</v>
      </c>
      <c r="BF32" s="183">
        <v>1150</v>
      </c>
      <c r="BG32" s="182">
        <v>6.4500000000000002E-2</v>
      </c>
      <c r="BH32" s="185">
        <v>7</v>
      </c>
      <c r="BI32" s="184">
        <f t="shared" si="249"/>
        <v>6.4500000000000002E-2</v>
      </c>
      <c r="BJ32" s="154"/>
      <c r="BK32" s="533">
        <v>7</v>
      </c>
      <c r="BL32" s="183">
        <f t="shared" ref="BL32:BL35" si="277">MIN(BM32,tot_width)</f>
        <v>600</v>
      </c>
      <c r="BM32" s="155">
        <v>1150</v>
      </c>
      <c r="BO32" s="193"/>
      <c r="BP32" s="233"/>
      <c r="BQ32" s="234"/>
      <c r="BR32" s="234"/>
      <c r="BS32" s="233"/>
      <c r="BT32" s="233"/>
      <c r="BU32" s="233"/>
      <c r="BV32" s="233"/>
      <c r="BW32" s="233"/>
      <c r="BX32" s="233"/>
      <c r="BY32" s="233"/>
      <c r="BZ32" s="233"/>
      <c r="CA32" s="193"/>
      <c r="CB32" s="193"/>
      <c r="CC32" s="193"/>
      <c r="CD32" s="193"/>
      <c r="CE32" s="193"/>
      <c r="CF32" s="193"/>
      <c r="CG32" s="193"/>
      <c r="CH32" s="193"/>
      <c r="CI32" s="193"/>
      <c r="CJ32" s="193"/>
      <c r="CK32" s="193"/>
      <c r="CL32" s="193"/>
      <c r="CM32" s="193"/>
      <c r="CN32" s="193"/>
      <c r="CO32" s="193"/>
      <c r="CP32" s="193"/>
      <c r="CQ32" s="193"/>
      <c r="CR32" s="193"/>
      <c r="CS32" s="193"/>
      <c r="CT32" s="193"/>
      <c r="CU32" s="193"/>
      <c r="CV32" s="160"/>
      <c r="CW32" s="364"/>
      <c r="CX32" s="313">
        <f>MIN(edge_width,MAX(0,(edge_thick-start)/tanO))</f>
        <v>164.84864516727734</v>
      </c>
      <c r="CY32" s="309">
        <v>0</v>
      </c>
      <c r="DA32" s="309">
        <v>31</v>
      </c>
      <c r="DB32" s="313">
        <f t="shared" si="267"/>
        <v>211.28307726225228</v>
      </c>
      <c r="DC32" s="309">
        <f t="shared" si="268"/>
        <v>1</v>
      </c>
      <c r="DD32" s="309">
        <f t="shared" si="269"/>
        <v>260</v>
      </c>
      <c r="DE32" s="308">
        <f t="shared" si="270"/>
        <v>6.5000000000000002E-2</v>
      </c>
      <c r="DF32" s="313">
        <f t="shared" si="39"/>
        <v>31</v>
      </c>
      <c r="DG32" s="313">
        <f t="shared" si="24"/>
        <v>211.28307726225228</v>
      </c>
      <c r="DH32" s="313">
        <f t="shared" si="25"/>
        <v>211.28307726225228</v>
      </c>
      <c r="DI32" s="313">
        <f t="shared" si="26"/>
        <v>0</v>
      </c>
      <c r="DJ32" s="313">
        <f t="shared" si="27"/>
        <v>0</v>
      </c>
      <c r="DK32" s="313">
        <f t="shared" si="40"/>
        <v>6380.5292361960346</v>
      </c>
      <c r="DL32" s="313">
        <f t="shared" si="28"/>
        <v>144655.27111068793</v>
      </c>
      <c r="DM32" s="314">
        <f t="shared" si="271"/>
        <v>6.4595029377075521</v>
      </c>
      <c r="DN32" s="312">
        <f t="shared" si="272"/>
        <v>0.20837106250669524</v>
      </c>
      <c r="DO32" s="312">
        <f t="shared" si="41"/>
        <v>0.81262722023943179</v>
      </c>
      <c r="DP32" s="315">
        <f t="shared" si="273"/>
        <v>6.1077431643753177E-2</v>
      </c>
      <c r="DQ32" s="316">
        <f t="shared" si="30"/>
        <v>0.28907867319606312</v>
      </c>
      <c r="DR32" s="316">
        <f t="shared" si="31"/>
        <v>9.1285374958890841</v>
      </c>
      <c r="DS32" s="314">
        <f t="shared" si="32"/>
        <v>3.3959437657960478</v>
      </c>
      <c r="DT32" s="316">
        <f t="shared" si="274"/>
        <v>9.1285374958890841</v>
      </c>
      <c r="DU32" s="314">
        <f t="shared" si="275"/>
        <v>3.3959437657960478</v>
      </c>
      <c r="DV32" s="316">
        <f t="shared" si="44"/>
        <v>144.73129570024952</v>
      </c>
      <c r="DW32" s="310">
        <f t="shared" si="276"/>
        <v>3.938332737520136</v>
      </c>
      <c r="FB32" s="307"/>
      <c r="FC32" s="307"/>
      <c r="FF32" s="307"/>
      <c r="FG32" s="307"/>
      <c r="FH32" s="306"/>
      <c r="FJ32" s="307"/>
      <c r="FK32" s="307"/>
      <c r="FL32" s="306"/>
      <c r="FM32" s="307"/>
      <c r="FN32" s="306"/>
      <c r="FO32" s="307"/>
      <c r="FP32" s="306"/>
    </row>
    <row r="33" spans="1:172">
      <c r="A33">
        <v>32</v>
      </c>
      <c r="B33" t="s">
        <v>180</v>
      </c>
      <c r="AC33" s="156"/>
      <c r="AD33" s="155">
        <v>8</v>
      </c>
      <c r="AE33" s="159">
        <v>27</v>
      </c>
      <c r="AF33" s="159"/>
      <c r="AG33" s="188">
        <v>8</v>
      </c>
      <c r="AH33" s="183">
        <v>470</v>
      </c>
      <c r="AI33" s="190">
        <v>494</v>
      </c>
      <c r="AJ33" s="185">
        <v>8</v>
      </c>
      <c r="AK33" s="183">
        <f t="shared" si="244"/>
        <v>494</v>
      </c>
      <c r="AM33" s="188">
        <v>8</v>
      </c>
      <c r="AN33" s="183">
        <v>1140</v>
      </c>
      <c r="AO33" s="182">
        <v>6.4399999999999999E-2</v>
      </c>
      <c r="AP33" s="185">
        <v>8</v>
      </c>
      <c r="AQ33" s="184">
        <f t="shared" si="245"/>
        <v>6.4399999999999999E-2</v>
      </c>
      <c r="AR33" s="190">
        <v>494</v>
      </c>
      <c r="AS33" s="185">
        <v>8</v>
      </c>
      <c r="AT33" s="183">
        <f t="shared" si="246"/>
        <v>494</v>
      </c>
      <c r="AV33" s="188">
        <v>8</v>
      </c>
      <c r="AW33" s="183">
        <v>1140</v>
      </c>
      <c r="AX33" s="182">
        <v>6.4399999999999999E-2</v>
      </c>
      <c r="AY33" s="185">
        <v>8</v>
      </c>
      <c r="AZ33" s="184">
        <f t="shared" si="247"/>
        <v>6.4399999999999999E-2</v>
      </c>
      <c r="BA33" s="190">
        <v>494</v>
      </c>
      <c r="BB33" s="185">
        <v>8</v>
      </c>
      <c r="BC33" s="183">
        <f t="shared" si="248"/>
        <v>494</v>
      </c>
      <c r="BE33" s="188">
        <v>8</v>
      </c>
      <c r="BF33" s="183">
        <v>1140</v>
      </c>
      <c r="BG33" s="182">
        <v>6.4399999999999999E-2</v>
      </c>
      <c r="BH33" s="185">
        <v>8</v>
      </c>
      <c r="BI33" s="184">
        <f t="shared" si="249"/>
        <v>6.4399999999999999E-2</v>
      </c>
      <c r="BJ33" s="154"/>
      <c r="BK33" s="533">
        <v>8</v>
      </c>
      <c r="BL33" s="183">
        <f t="shared" si="277"/>
        <v>600</v>
      </c>
      <c r="BM33" s="155">
        <v>1140</v>
      </c>
      <c r="BO33" s="193"/>
      <c r="BP33" s="459" t="s">
        <v>571</v>
      </c>
      <c r="BQ33" s="460"/>
      <c r="BR33" s="236"/>
      <c r="BS33" s="235"/>
      <c r="BT33" s="235"/>
      <c r="BU33" s="235"/>
      <c r="BV33" s="235"/>
      <c r="BW33" s="235"/>
      <c r="BX33" s="235"/>
      <c r="BY33" s="235"/>
      <c r="BZ33" s="235"/>
      <c r="CA33" s="193"/>
      <c r="CB33" s="193"/>
      <c r="CC33" s="193"/>
      <c r="CD33" s="193"/>
      <c r="CE33" s="193"/>
      <c r="CF33" s="193"/>
      <c r="CG33" s="193"/>
      <c r="CH33" s="193"/>
      <c r="CI33" s="193"/>
      <c r="CJ33" s="193"/>
      <c r="CK33" s="193"/>
      <c r="CL33" s="193"/>
      <c r="CM33" s="193"/>
      <c r="CN33" s="193"/>
      <c r="CO33" s="193"/>
      <c r="CP33" s="193"/>
      <c r="CQ33" s="193"/>
      <c r="CR33" s="193"/>
      <c r="CS33" s="193"/>
      <c r="CT33" s="193"/>
      <c r="CU33" s="193"/>
      <c r="CV33" s="160"/>
      <c r="CW33" s="364"/>
      <c r="CX33" s="313">
        <f>CX32</f>
        <v>164.84864516727734</v>
      </c>
      <c r="CY33" s="313">
        <f>MIN(edge_thick,start+$CX$33*tanO)</f>
        <v>260</v>
      </c>
      <c r="DA33" s="309">
        <v>32</v>
      </c>
      <c r="DB33" s="313">
        <f t="shared" si="267"/>
        <v>211.64704749651847</v>
      </c>
      <c r="DC33" s="309">
        <f t="shared" si="268"/>
        <v>1</v>
      </c>
      <c r="DD33" s="309">
        <f t="shared" si="269"/>
        <v>260</v>
      </c>
      <c r="DE33" s="308">
        <f t="shared" si="270"/>
        <v>6.5000000000000002E-2</v>
      </c>
      <c r="DF33" s="313">
        <f t="shared" si="39"/>
        <v>32</v>
      </c>
      <c r="DG33" s="313">
        <f t="shared" si="24"/>
        <v>211.64704749651847</v>
      </c>
      <c r="DH33" s="313">
        <f t="shared" si="25"/>
        <v>211.64704749651847</v>
      </c>
      <c r="DI33" s="313">
        <f t="shared" si="26"/>
        <v>0</v>
      </c>
      <c r="DJ33" s="313">
        <f t="shared" si="27"/>
        <v>0</v>
      </c>
      <c r="DK33" s="313">
        <f t="shared" si="40"/>
        <v>6592.1762836925527</v>
      </c>
      <c r="DL33" s="313">
        <f t="shared" si="28"/>
        <v>144443.98803342567</v>
      </c>
      <c r="DM33" s="314">
        <f t="shared" si="271"/>
        <v>6.6454758319517122</v>
      </c>
      <c r="DN33" s="312">
        <f t="shared" si="272"/>
        <v>0.20767111974849101</v>
      </c>
      <c r="DO33" s="312">
        <f t="shared" si="41"/>
        <v>0.81402710575584025</v>
      </c>
      <c r="DP33" s="315">
        <f t="shared" si="273"/>
        <v>6.1108977440559306E-2</v>
      </c>
      <c r="DQ33" s="316">
        <f t="shared" si="30"/>
        <v>0.28873059257566319</v>
      </c>
      <c r="DR33" s="316">
        <f t="shared" si="31"/>
        <v>9.4172680884647466</v>
      </c>
      <c r="DS33" s="314">
        <f t="shared" si="32"/>
        <v>3.3980130648714293</v>
      </c>
      <c r="DT33" s="316">
        <f t="shared" si="274"/>
        <v>9.4172680884647466</v>
      </c>
      <c r="DU33" s="314">
        <f t="shared" si="275"/>
        <v>3.3980130648714293</v>
      </c>
      <c r="DV33" s="316">
        <f t="shared" si="44"/>
        <v>144.44221702705346</v>
      </c>
      <c r="DW33" s="310">
        <f t="shared" si="276"/>
        <v>3.9392915153983585</v>
      </c>
      <c r="FB33" s="307"/>
      <c r="FC33" s="307"/>
      <c r="FF33" s="307"/>
      <c r="FG33" s="307"/>
      <c r="FH33" s="306"/>
      <c r="FJ33" s="307"/>
      <c r="FK33" s="307"/>
      <c r="FL33" s="306"/>
      <c r="FM33" s="307"/>
      <c r="FN33" s="306"/>
      <c r="FO33" s="307"/>
      <c r="FP33" s="306"/>
    </row>
    <row r="34" spans="1:172">
      <c r="A34">
        <v>33</v>
      </c>
      <c r="B34" t="s">
        <v>186</v>
      </c>
      <c r="AC34" s="156"/>
      <c r="AD34" s="155">
        <v>9</v>
      </c>
      <c r="AE34" s="159">
        <v>26.5</v>
      </c>
      <c r="AF34" s="159"/>
      <c r="AG34" s="188">
        <v>9</v>
      </c>
      <c r="AH34" s="183">
        <v>465</v>
      </c>
      <c r="AI34" s="190">
        <v>493</v>
      </c>
      <c r="AJ34" s="185">
        <v>9</v>
      </c>
      <c r="AK34" s="183">
        <f t="shared" si="244"/>
        <v>493</v>
      </c>
      <c r="AM34" s="188">
        <v>9</v>
      </c>
      <c r="AN34" s="183">
        <v>1130</v>
      </c>
      <c r="AO34" s="182">
        <v>6.4299999999999996E-2</v>
      </c>
      <c r="AP34" s="185">
        <v>9</v>
      </c>
      <c r="AQ34" s="184">
        <f t="shared" si="245"/>
        <v>6.4299999999999996E-2</v>
      </c>
      <c r="AR34" s="190">
        <v>493</v>
      </c>
      <c r="AS34" s="185">
        <v>9</v>
      </c>
      <c r="AT34" s="183">
        <f t="shared" si="246"/>
        <v>493</v>
      </c>
      <c r="AV34" s="188">
        <v>9</v>
      </c>
      <c r="AW34" s="183">
        <v>1130</v>
      </c>
      <c r="AX34" s="182">
        <v>6.4299999999999996E-2</v>
      </c>
      <c r="AY34" s="185">
        <v>9</v>
      </c>
      <c r="AZ34" s="184">
        <f t="shared" si="247"/>
        <v>6.4299999999999996E-2</v>
      </c>
      <c r="BA34" s="190">
        <v>493</v>
      </c>
      <c r="BB34" s="185">
        <v>9</v>
      </c>
      <c r="BC34" s="183">
        <f t="shared" si="248"/>
        <v>493</v>
      </c>
      <c r="BE34" s="188">
        <v>9</v>
      </c>
      <c r="BF34" s="183">
        <v>1130</v>
      </c>
      <c r="BG34" s="182">
        <v>6.4299999999999996E-2</v>
      </c>
      <c r="BH34" s="185">
        <v>9</v>
      </c>
      <c r="BI34" s="184">
        <f t="shared" si="249"/>
        <v>6.4299999999999996E-2</v>
      </c>
      <c r="BJ34" s="154"/>
      <c r="BK34" s="533">
        <v>9</v>
      </c>
      <c r="BL34" s="183">
        <f t="shared" si="277"/>
        <v>600</v>
      </c>
      <c r="BM34" s="155">
        <v>1130</v>
      </c>
      <c r="BO34" s="193"/>
      <c r="BP34" s="245" t="s">
        <v>572</v>
      </c>
      <c r="BQ34" s="246" t="s">
        <v>573</v>
      </c>
      <c r="BR34" s="236"/>
      <c r="BS34" s="330"/>
      <c r="BT34" s="1066" t="str">
        <f>IF(WebCntrl15="","",AB25)</f>
        <v/>
      </c>
      <c r="BU34" s="1066"/>
      <c r="BV34" s="235"/>
      <c r="BW34" s="236" t="s">
        <v>566</v>
      </c>
      <c r="BX34" s="455"/>
      <c r="BY34" s="467" t="str">
        <f>IF(WebCntrl10="","",core_k)</f>
        <v/>
      </c>
      <c r="BZ34" s="235" t="s">
        <v>551</v>
      </c>
      <c r="CA34" s="193"/>
      <c r="CB34" s="193"/>
      <c r="CC34" s="193"/>
      <c r="CD34" s="193"/>
      <c r="CE34" s="193"/>
      <c r="CF34" s="193"/>
      <c r="CG34" s="193"/>
      <c r="CH34" s="193"/>
      <c r="CI34" s="193"/>
      <c r="CJ34" s="193"/>
      <c r="CK34" s="193"/>
      <c r="CL34" s="193"/>
      <c r="CM34" s="193"/>
      <c r="CN34" s="193"/>
      <c r="CO34" s="193"/>
      <c r="CP34" s="193"/>
      <c r="CQ34" s="193"/>
      <c r="CR34" s="193"/>
      <c r="CS34" s="193"/>
      <c r="CT34" s="193"/>
      <c r="CU34" s="193"/>
      <c r="CV34" s="160"/>
      <c r="CW34" s="364"/>
      <c r="DA34" s="309">
        <v>33</v>
      </c>
      <c r="DB34" s="313">
        <f t="shared" si="267"/>
        <v>212.01101773078469</v>
      </c>
      <c r="DC34" s="309">
        <f t="shared" si="268"/>
        <v>1</v>
      </c>
      <c r="DD34" s="309">
        <f t="shared" si="269"/>
        <v>260</v>
      </c>
      <c r="DE34" s="308">
        <f t="shared" si="270"/>
        <v>6.5000000000000002E-2</v>
      </c>
      <c r="DF34" s="313">
        <f t="shared" si="39"/>
        <v>33</v>
      </c>
      <c r="DG34" s="313">
        <f t="shared" si="24"/>
        <v>212.01101773078469</v>
      </c>
      <c r="DH34" s="313">
        <f t="shared" si="25"/>
        <v>212.01101773078469</v>
      </c>
      <c r="DI34" s="313">
        <f t="shared" si="26"/>
        <v>0</v>
      </c>
      <c r="DJ34" s="313">
        <f t="shared" si="27"/>
        <v>0</v>
      </c>
      <c r="DK34" s="313">
        <f t="shared" si="40"/>
        <v>6804.187301423337</v>
      </c>
      <c r="DL34" s="313">
        <f t="shared" si="28"/>
        <v>144232.34098592916</v>
      </c>
      <c r="DM34" s="314">
        <f t="shared" si="271"/>
        <v>6.8300488406794635</v>
      </c>
      <c r="DN34" s="312">
        <f t="shared" si="272"/>
        <v>0.20697117699028678</v>
      </c>
      <c r="DO34" s="312">
        <f t="shared" si="41"/>
        <v>0.81542699127224882</v>
      </c>
      <c r="DP34" s="315">
        <f t="shared" si="273"/>
        <v>6.1140485285588901E-2</v>
      </c>
      <c r="DQ34" s="316">
        <f t="shared" si="30"/>
        <v>0.28838352808261203</v>
      </c>
      <c r="DR34" s="316">
        <f t="shared" si="31"/>
        <v>9.7056516165473585</v>
      </c>
      <c r="DS34" s="314">
        <f t="shared" si="32"/>
        <v>3.4000808295795042</v>
      </c>
      <c r="DT34" s="316">
        <f t="shared" si="274"/>
        <v>9.7056516165473585</v>
      </c>
      <c r="DU34" s="314">
        <f t="shared" si="275"/>
        <v>3.4000808295795042</v>
      </c>
      <c r="DV34" s="316">
        <f t="shared" si="44"/>
        <v>144.1534864344778</v>
      </c>
      <c r="DW34" s="310">
        <f t="shared" si="276"/>
        <v>3.9402446243169673</v>
      </c>
      <c r="FB34" s="307"/>
      <c r="FC34" s="307"/>
      <c r="FF34" s="307"/>
      <c r="FG34" s="307"/>
      <c r="FH34" s="306"/>
      <c r="FJ34" s="307"/>
      <c r="FK34" s="307"/>
      <c r="FL34" s="306"/>
      <c r="FM34" s="307"/>
      <c r="FN34" s="306"/>
      <c r="FO34" s="307"/>
      <c r="FP34" s="306"/>
    </row>
    <row r="35" spans="1:172" ht="15.75">
      <c r="A35">
        <v>34</v>
      </c>
      <c r="B35" t="s">
        <v>191</v>
      </c>
      <c r="F35" s="53" t="s">
        <v>574</v>
      </c>
      <c r="G35" s="53"/>
      <c r="T35" s="155" t="s">
        <v>575</v>
      </c>
      <c r="U35" s="155"/>
      <c r="V35" s="157">
        <f>angle</f>
        <v>20</v>
      </c>
      <c r="W35" s="158">
        <f>TAN(angle/360*2*PI())</f>
        <v>0.36397023426620234</v>
      </c>
      <c r="Y35" s="155"/>
      <c r="Z35" s="155">
        <f>Z36-1</f>
        <v>0</v>
      </c>
      <c r="AA35" s="155"/>
      <c r="AC35" s="156"/>
      <c r="AD35" s="155">
        <v>10</v>
      </c>
      <c r="AE35" s="159">
        <v>26</v>
      </c>
      <c r="AF35" s="159"/>
      <c r="AG35" s="188">
        <v>10</v>
      </c>
      <c r="AH35" s="183">
        <v>460</v>
      </c>
      <c r="AI35" s="190">
        <v>492</v>
      </c>
      <c r="AJ35" s="185">
        <v>10</v>
      </c>
      <c r="AK35" s="183">
        <f t="shared" si="244"/>
        <v>492</v>
      </c>
      <c r="AM35" s="188">
        <v>10</v>
      </c>
      <c r="AN35" s="183">
        <v>1120</v>
      </c>
      <c r="AO35" s="182">
        <v>6.4199999999999993E-2</v>
      </c>
      <c r="AP35" s="185">
        <v>10</v>
      </c>
      <c r="AQ35" s="184">
        <f t="shared" si="245"/>
        <v>6.4199999999999993E-2</v>
      </c>
      <c r="AR35" s="190">
        <v>492</v>
      </c>
      <c r="AS35" s="185">
        <v>10</v>
      </c>
      <c r="AT35" s="183">
        <f t="shared" si="246"/>
        <v>492</v>
      </c>
      <c r="AV35" s="188">
        <v>10</v>
      </c>
      <c r="AW35" s="183">
        <v>1120</v>
      </c>
      <c r="AX35" s="182">
        <v>6.4199999999999993E-2</v>
      </c>
      <c r="AY35" s="185">
        <v>10</v>
      </c>
      <c r="AZ35" s="184">
        <f t="shared" si="247"/>
        <v>6.4199999999999993E-2</v>
      </c>
      <c r="BA35" s="190">
        <v>492</v>
      </c>
      <c r="BB35" s="185">
        <v>10</v>
      </c>
      <c r="BC35" s="183">
        <f t="shared" si="248"/>
        <v>492</v>
      </c>
      <c r="BE35" s="188">
        <v>10</v>
      </c>
      <c r="BF35" s="183">
        <v>1120</v>
      </c>
      <c r="BG35" s="182">
        <v>6.4199999999999993E-2</v>
      </c>
      <c r="BH35" s="185">
        <v>10</v>
      </c>
      <c r="BI35" s="184">
        <f t="shared" si="249"/>
        <v>6.4199999999999993E-2</v>
      </c>
      <c r="BJ35" s="154"/>
      <c r="BK35" s="533">
        <v>10</v>
      </c>
      <c r="BL35" s="183">
        <f t="shared" si="277"/>
        <v>600</v>
      </c>
      <c r="BM35" s="155">
        <v>1120</v>
      </c>
      <c r="BO35" s="193"/>
      <c r="BP35" s="235"/>
      <c r="BQ35" s="236"/>
      <c r="BR35" s="236"/>
      <c r="BS35" s="235"/>
      <c r="BT35" s="235"/>
      <c r="BU35" s="235"/>
      <c r="BV35" s="237"/>
      <c r="BW35" s="237"/>
      <c r="BX35" s="237"/>
      <c r="BY35" s="238"/>
      <c r="BZ35" s="235"/>
      <c r="CA35" s="193"/>
      <c r="CB35" s="193"/>
      <c r="CC35" s="193"/>
      <c r="CD35" s="193"/>
      <c r="CE35" s="193"/>
      <c r="CF35" s="193"/>
      <c r="CG35" s="193"/>
      <c r="CH35" s="193"/>
      <c r="CI35" s="193"/>
      <c r="CJ35" s="193"/>
      <c r="CK35" s="193"/>
      <c r="CL35" s="193"/>
      <c r="CM35" s="193"/>
      <c r="CN35" s="193"/>
      <c r="CO35" s="193"/>
      <c r="CP35" s="193"/>
      <c r="CQ35" s="193"/>
      <c r="CR35" s="193"/>
      <c r="CS35" s="193"/>
      <c r="CT35" s="193"/>
      <c r="CU35" s="193"/>
      <c r="CV35" s="160"/>
      <c r="CW35" s="364"/>
      <c r="CX35" s="313">
        <v>0</v>
      </c>
      <c r="CY35" s="313">
        <v>0</v>
      </c>
      <c r="DA35" s="309">
        <v>34</v>
      </c>
      <c r="DB35" s="313">
        <f t="shared" si="267"/>
        <v>212.37498796505088</v>
      </c>
      <c r="DC35" s="309">
        <f t="shared" si="268"/>
        <v>1</v>
      </c>
      <c r="DD35" s="309">
        <f t="shared" si="269"/>
        <v>260</v>
      </c>
      <c r="DE35" s="308">
        <f t="shared" si="270"/>
        <v>6.5000000000000002E-2</v>
      </c>
      <c r="DF35" s="313">
        <f t="shared" si="39"/>
        <v>34</v>
      </c>
      <c r="DG35" s="313">
        <f t="shared" si="24"/>
        <v>212.37498796505088</v>
      </c>
      <c r="DH35" s="313">
        <f t="shared" si="25"/>
        <v>212.37498796505088</v>
      </c>
      <c r="DI35" s="313">
        <f t="shared" si="26"/>
        <v>0</v>
      </c>
      <c r="DJ35" s="313">
        <f t="shared" si="27"/>
        <v>0</v>
      </c>
      <c r="DK35" s="313">
        <f t="shared" si="40"/>
        <v>7016.5622893883883</v>
      </c>
      <c r="DL35" s="313">
        <f t="shared" si="28"/>
        <v>144020.32996819838</v>
      </c>
      <c r="DM35" s="314">
        <f t="shared" si="271"/>
        <v>7.013221963890806</v>
      </c>
      <c r="DN35" s="312">
        <f t="shared" si="272"/>
        <v>0.20627123423208252</v>
      </c>
      <c r="DO35" s="312">
        <f t="shared" si="41"/>
        <v>0.81682687678865717</v>
      </c>
      <c r="DP35" s="315">
        <f t="shared" si="273"/>
        <v>6.117195528953695E-2</v>
      </c>
      <c r="DQ35" s="316">
        <f t="shared" si="30"/>
        <v>0.2880374750137884</v>
      </c>
      <c r="DR35" s="316">
        <f t="shared" si="31"/>
        <v>9.9936890915611478</v>
      </c>
      <c r="DS35" s="314">
        <f t="shared" si="32"/>
        <v>3.4021470638615541</v>
      </c>
      <c r="DT35" s="316">
        <f t="shared" si="274"/>
        <v>9.9936890915611478</v>
      </c>
      <c r="DU35" s="314">
        <f t="shared" si="275"/>
        <v>3.4021470638615541</v>
      </c>
      <c r="DV35" s="316">
        <f t="shared" si="44"/>
        <v>143.86510290639518</v>
      </c>
      <c r="DW35" s="310">
        <f t="shared" si="276"/>
        <v>3.9411920510626861</v>
      </c>
      <c r="FB35" s="307"/>
      <c r="FC35" s="307"/>
      <c r="FF35" s="307"/>
      <c r="FG35" s="307"/>
      <c r="FH35" s="306"/>
      <c r="FJ35" s="307"/>
      <c r="FK35" s="307"/>
      <c r="FL35" s="306"/>
      <c r="FM35" s="307"/>
      <c r="FN35" s="306"/>
      <c r="FO35" s="307"/>
      <c r="FP35" s="306"/>
    </row>
    <row r="36" spans="1:172" ht="15.75">
      <c r="A36">
        <v>35</v>
      </c>
      <c r="B36" t="s">
        <v>197</v>
      </c>
      <c r="F36" s="850" t="s">
        <v>198</v>
      </c>
      <c r="G36" s="850" t="str">
        <f>IF(BV18&lt;&gt;"",J1,"----------")</f>
        <v>egAAAAAAAABevF6qE</v>
      </c>
      <c r="T36" s="155" t="s">
        <v>576</v>
      </c>
      <c r="U36" s="155"/>
      <c r="V36" s="157">
        <f>start</f>
        <v>200</v>
      </c>
      <c r="W36" s="155"/>
      <c r="Y36" s="155">
        <f>WebCntrl16+1</f>
        <v>1</v>
      </c>
      <c r="Z36" s="155">
        <v>1</v>
      </c>
      <c r="AA36" s="155" t="str" cm="1">
        <f t="array" ref="AA36">INDEX(AA37:AA38,Z36)</f>
        <v>don't set</v>
      </c>
      <c r="AC36" s="156"/>
      <c r="AD36" s="155">
        <v>11</v>
      </c>
      <c r="AE36" s="159">
        <v>25.5</v>
      </c>
      <c r="AF36" s="159"/>
      <c r="AG36" s="188">
        <v>11</v>
      </c>
      <c r="AH36" s="183">
        <v>455</v>
      </c>
      <c r="AI36" s="190">
        <v>491</v>
      </c>
      <c r="AJ36" s="185">
        <v>11</v>
      </c>
      <c r="AK36" s="183">
        <f t="shared" si="244"/>
        <v>491</v>
      </c>
      <c r="AM36" s="188">
        <v>11</v>
      </c>
      <c r="AN36" s="183">
        <v>1110</v>
      </c>
      <c r="AO36" s="182">
        <v>6.4100000000000004E-2</v>
      </c>
      <c r="AP36" s="185">
        <v>11</v>
      </c>
      <c r="AQ36" s="184">
        <f t="shared" si="245"/>
        <v>6.4100000000000004E-2</v>
      </c>
      <c r="AR36" s="190">
        <v>491</v>
      </c>
      <c r="AS36" s="185">
        <v>11</v>
      </c>
      <c r="AT36" s="183">
        <f t="shared" si="246"/>
        <v>491</v>
      </c>
      <c r="AV36" s="188">
        <v>11</v>
      </c>
      <c r="AW36" s="183">
        <v>1110</v>
      </c>
      <c r="AX36" s="182">
        <v>6.4100000000000004E-2</v>
      </c>
      <c r="AY36" s="185">
        <v>11</v>
      </c>
      <c r="AZ36" s="184">
        <f t="shared" si="247"/>
        <v>6.4100000000000004E-2</v>
      </c>
      <c r="BA36" s="190">
        <v>491</v>
      </c>
      <c r="BB36" s="185">
        <v>11</v>
      </c>
      <c r="BC36" s="183">
        <f t="shared" si="248"/>
        <v>491</v>
      </c>
      <c r="BE36" s="188">
        <v>11</v>
      </c>
      <c r="BF36" s="183">
        <v>1110</v>
      </c>
      <c r="BG36" s="182">
        <v>6.4100000000000004E-2</v>
      </c>
      <c r="BH36" s="185">
        <v>11</v>
      </c>
      <c r="BI36" s="184">
        <f t="shared" si="249"/>
        <v>6.4100000000000004E-2</v>
      </c>
      <c r="BJ36" s="154"/>
      <c r="BK36" s="533">
        <v>11</v>
      </c>
      <c r="BL36" s="183">
        <f t="shared" ref="BL36:BL38" si="278">MIN(BM36,tot_width)</f>
        <v>600</v>
      </c>
      <c r="BM36" s="155">
        <v>1110</v>
      </c>
      <c r="BO36" s="193"/>
      <c r="BP36" s="246"/>
      <c r="BQ36" s="246" t="s">
        <v>10</v>
      </c>
      <c r="BR36" s="236"/>
      <c r="BS36" s="235"/>
      <c r="BT36" s="456"/>
      <c r="BU36" s="468" t="str">
        <f>IF(WebCntrl9="","",core_thick)</f>
        <v/>
      </c>
      <c r="BV36" s="1069" t="str">
        <f>IF(BH20,"","lofted R-value")</f>
        <v/>
      </c>
      <c r="BW36" s="1069"/>
      <c r="BX36" s="205" t="str">
        <f>IF(BH20,"",core_thick/1000/core_k)</f>
        <v/>
      </c>
      <c r="BY36" s="235" t="str">
        <f>IF(BH20,"","m2.K/W")</f>
        <v/>
      </c>
      <c r="BZ36" s="235"/>
      <c r="CA36" s="193"/>
      <c r="CB36" s="193"/>
      <c r="CC36" s="193"/>
      <c r="CD36" s="193"/>
      <c r="CE36" s="193"/>
      <c r="CF36" s="193"/>
      <c r="CG36" s="193"/>
      <c r="CH36" s="193"/>
      <c r="CI36" s="193"/>
      <c r="CJ36" s="193"/>
      <c r="CK36" s="193"/>
      <c r="CL36" s="193"/>
      <c r="CM36" s="193"/>
      <c r="CN36" s="193"/>
      <c r="CO36" s="193"/>
      <c r="CP36" s="193"/>
      <c r="CQ36" s="193"/>
      <c r="CR36" s="193"/>
      <c r="CS36" s="193"/>
      <c r="CT36" s="193"/>
      <c r="CU36" s="193"/>
      <c r="CV36" s="160"/>
      <c r="CW36" s="364"/>
      <c r="CX36" s="309">
        <v>0</v>
      </c>
      <c r="CY36" s="309">
        <f>start</f>
        <v>200</v>
      </c>
      <c r="DA36" s="309">
        <v>35</v>
      </c>
      <c r="DB36" s="313">
        <f t="shared" ref="DB36:DB37" si="279">start+DA36*tanO</f>
        <v>212.7389581993171</v>
      </c>
      <c r="DC36" s="309">
        <f t="shared" ref="DC36:DC37" si="280">IF(DA36&lt;edge_width,1,IF(DA36&lt;mid_width,2,IF(DA36&lt;=tot_width,3,4)))</f>
        <v>1</v>
      </c>
      <c r="DD36" s="309">
        <f t="shared" ref="DD36:DD37" si="281">CHOOSE(DC36,edge_thick,second_thick,core_thick,0)</f>
        <v>260</v>
      </c>
      <c r="DE36" s="308">
        <f t="shared" ref="DE36:DE37" si="282">CHOOSE(DC36,edge_k,second_k,core_k,0)</f>
        <v>6.5000000000000002E-2</v>
      </c>
      <c r="DF36" s="313">
        <f t="shared" si="39"/>
        <v>35</v>
      </c>
      <c r="DG36" s="313">
        <f t="shared" si="24"/>
        <v>212.7389581993171</v>
      </c>
      <c r="DH36" s="313">
        <f t="shared" si="25"/>
        <v>212.7389581993171</v>
      </c>
      <c r="DI36" s="313">
        <f t="shared" si="26"/>
        <v>0</v>
      </c>
      <c r="DJ36" s="313">
        <f t="shared" si="27"/>
        <v>0</v>
      </c>
      <c r="DK36" s="313">
        <f t="shared" si="40"/>
        <v>7229.3012475877058</v>
      </c>
      <c r="DL36" s="313">
        <f t="shared" si="28"/>
        <v>143807.95498023333</v>
      </c>
      <c r="DM36" s="314">
        <f t="shared" ref="DM36" si="283">IF($DC36&lt;&gt;4,IF($DA36=edge_width,$CY$2,IF($DA36=mid_width,$CY$3,1-DO36+DM35)),0)</f>
        <v>7.1949952015857406</v>
      </c>
      <c r="DN36" s="312">
        <f t="shared" ref="DN36" si="284">IF(DC36&lt;&gt;4,CHOOSE(DC36,DM36/DA36,DM36/(DA36-edge_width+1),DM36/(DA36-mid_width+1)),0)</f>
        <v>0.20557129147387831</v>
      </c>
      <c r="DO36" s="312">
        <f t="shared" si="41"/>
        <v>0.81822676230506575</v>
      </c>
      <c r="DP36" s="315">
        <f t="shared" ref="DP36:DP37" si="285">DE36*DO36^CHOOSE(DC36,mult1,mult2,mult3,0)</f>
        <v>6.1203387562586531E-2</v>
      </c>
      <c r="DQ36" s="316">
        <f t="shared" si="30"/>
        <v>0.28769242869585038</v>
      </c>
      <c r="DR36" s="316">
        <f t="shared" si="31"/>
        <v>10.281381520256998</v>
      </c>
      <c r="DS36" s="314">
        <f t="shared" si="32"/>
        <v>3.4042117716418643</v>
      </c>
      <c r="DT36" s="316">
        <f t="shared" ref="DT36" si="286">IF(DC36&lt;&gt;4,IF(DA36=edge_width,$CY$4,IF(DA36=mid_width,$CY$5,DQ36+DT35)),0)</f>
        <v>10.281381520256998</v>
      </c>
      <c r="DU36" s="314">
        <f t="shared" ref="DU36" si="287">IF(DC36&lt;&gt;4,CHOOSE(DC36,DA36/DT36,(DA36-edge_width+1)/DT36,(DA36-mid_width+1)/DT36),0)</f>
        <v>3.4042117716418643</v>
      </c>
      <c r="DV36" s="316">
        <f t="shared" si="44"/>
        <v>143.57706543138138</v>
      </c>
      <c r="DW36" s="310">
        <f t="shared" ref="DW36" si="288">IF(DC36&lt;&gt;4,(tot_width-DA36+1)/DV36,0)</f>
        <v>3.9421337822961968</v>
      </c>
      <c r="FB36" s="307"/>
      <c r="FC36" s="307"/>
      <c r="FF36" s="307"/>
      <c r="FG36" s="307"/>
      <c r="FH36" s="306"/>
      <c r="FJ36" s="307"/>
      <c r="FK36" s="307"/>
      <c r="FL36" s="306"/>
      <c r="FM36" s="307"/>
      <c r="FN36" s="306"/>
      <c r="FO36" s="307"/>
      <c r="FP36" s="306"/>
    </row>
    <row r="37" spans="1:172" ht="15.75">
      <c r="A37">
        <v>36</v>
      </c>
      <c r="B37" t="s">
        <v>203</v>
      </c>
      <c r="F37" s="855" t="str">
        <f>IF(BV18&lt;&gt;"",BQ10,"----------")</f>
        <v xml:space="preserve"> roof / baffle angle (degrees)</v>
      </c>
      <c r="G37" s="53">
        <f>IF(BV18&lt;&gt;"",angle,"----------")</f>
        <v>20</v>
      </c>
      <c r="T37" s="155" t="s">
        <v>577</v>
      </c>
      <c r="U37" s="155"/>
      <c r="V37" s="155">
        <f>edge_width+second_width</f>
        <v>600</v>
      </c>
      <c r="W37" s="155"/>
      <c r="Y37" s="155"/>
      <c r="Z37" s="155">
        <v>1</v>
      </c>
      <c r="AA37" s="155" t="s">
        <v>578</v>
      </c>
      <c r="AC37" s="156"/>
      <c r="AD37" s="155">
        <v>12</v>
      </c>
      <c r="AE37" s="159">
        <v>25</v>
      </c>
      <c r="AF37" s="159"/>
      <c r="AG37" s="188">
        <v>12</v>
      </c>
      <c r="AH37" s="183">
        <v>450</v>
      </c>
      <c r="AI37" s="190">
        <v>490</v>
      </c>
      <c r="AJ37" s="185">
        <v>12</v>
      </c>
      <c r="AK37" s="183">
        <f t="shared" si="244"/>
        <v>490</v>
      </c>
      <c r="AM37" s="188">
        <v>12</v>
      </c>
      <c r="AN37" s="183">
        <v>1100</v>
      </c>
      <c r="AO37" s="182">
        <v>6.4000000000000001E-2</v>
      </c>
      <c r="AP37" s="185">
        <v>12</v>
      </c>
      <c r="AQ37" s="184">
        <f t="shared" si="245"/>
        <v>6.4000000000000001E-2</v>
      </c>
      <c r="AR37" s="190">
        <v>490</v>
      </c>
      <c r="AS37" s="185">
        <v>12</v>
      </c>
      <c r="AT37" s="183">
        <f t="shared" si="246"/>
        <v>490</v>
      </c>
      <c r="AV37" s="188">
        <v>12</v>
      </c>
      <c r="AW37" s="183">
        <v>1100</v>
      </c>
      <c r="AX37" s="182">
        <v>6.4000000000000001E-2</v>
      </c>
      <c r="AY37" s="185">
        <v>12</v>
      </c>
      <c r="AZ37" s="184">
        <f t="shared" si="247"/>
        <v>6.4000000000000001E-2</v>
      </c>
      <c r="BA37" s="190">
        <v>490</v>
      </c>
      <c r="BB37" s="185">
        <v>12</v>
      </c>
      <c r="BC37" s="183">
        <f t="shared" si="248"/>
        <v>490</v>
      </c>
      <c r="BE37" s="188">
        <v>12</v>
      </c>
      <c r="BF37" s="183">
        <v>1100</v>
      </c>
      <c r="BG37" s="182">
        <v>6.4000000000000001E-2</v>
      </c>
      <c r="BH37" s="185">
        <v>12</v>
      </c>
      <c r="BI37" s="184">
        <f t="shared" si="249"/>
        <v>6.4000000000000001E-2</v>
      </c>
      <c r="BJ37" s="154"/>
      <c r="BK37" s="533">
        <v>12</v>
      </c>
      <c r="BL37" s="183">
        <f t="shared" si="278"/>
        <v>600</v>
      </c>
      <c r="BM37" s="155">
        <v>1100</v>
      </c>
      <c r="BO37" s="193"/>
      <c r="BP37" s="235"/>
      <c r="BQ37" s="236"/>
      <c r="BR37" s="236"/>
      <c r="BS37" s="235"/>
      <c r="BT37" s="235"/>
      <c r="BU37" s="235"/>
      <c r="BV37" s="235"/>
      <c r="BW37" s="235"/>
      <c r="BX37" s="235"/>
      <c r="BY37" s="235"/>
      <c r="BZ37" s="235"/>
      <c r="CA37" s="193"/>
      <c r="CB37" s="193"/>
      <c r="CC37" s="193"/>
      <c r="CD37" s="193"/>
      <c r="CE37" s="193"/>
      <c r="CF37" s="193"/>
      <c r="CG37" s="193"/>
      <c r="CH37" s="193"/>
      <c r="CI37" s="193"/>
      <c r="CJ37" s="193"/>
      <c r="CK37" s="193"/>
      <c r="CL37" s="193"/>
      <c r="CM37" s="193"/>
      <c r="CN37" s="193"/>
      <c r="CO37" s="193"/>
      <c r="CP37" s="193"/>
      <c r="CQ37" s="193"/>
      <c r="CR37" s="193"/>
      <c r="CS37" s="193"/>
      <c r="CT37" s="193"/>
      <c r="CU37" s="193"/>
      <c r="CV37" s="160"/>
      <c r="CW37" s="364"/>
      <c r="DA37" s="309">
        <v>36</v>
      </c>
      <c r="DB37" s="313">
        <f t="shared" si="279"/>
        <v>213.10292843358329</v>
      </c>
      <c r="DC37" s="309">
        <f t="shared" si="280"/>
        <v>1</v>
      </c>
      <c r="DD37" s="309">
        <f t="shared" si="281"/>
        <v>260</v>
      </c>
      <c r="DE37" s="308">
        <f t="shared" si="282"/>
        <v>6.5000000000000002E-2</v>
      </c>
      <c r="DF37" s="313">
        <f t="shared" si="39"/>
        <v>36</v>
      </c>
      <c r="DG37" s="313">
        <f t="shared" si="24"/>
        <v>213.10292843358329</v>
      </c>
      <c r="DH37" s="313">
        <f t="shared" si="25"/>
        <v>213.10292843358329</v>
      </c>
      <c r="DI37" s="313">
        <f t="shared" si="26"/>
        <v>0</v>
      </c>
      <c r="DJ37" s="313">
        <f t="shared" si="27"/>
        <v>0</v>
      </c>
      <c r="DK37" s="313">
        <f t="shared" si="40"/>
        <v>7442.4041760212895</v>
      </c>
      <c r="DL37" s="313">
        <f t="shared" si="28"/>
        <v>143595.21602203403</v>
      </c>
      <c r="DM37" s="314">
        <f>IF($DC37&lt;&gt;4,IF($DA37=edge_width,$CY$2,IF($DA37=mid_width,$CY$3,1-DO37+DM36)),0)</f>
        <v>7.3753685537642664</v>
      </c>
      <c r="DN37" s="312">
        <f>IF(DC37&lt;&gt;4,CHOOSE(DC37,DM37/DA37,DM37/(DA37-edge_width+1),DM37/(DA37-mid_width+1)),0)</f>
        <v>0.20487134871567406</v>
      </c>
      <c r="DO37" s="312">
        <f t="shared" si="41"/>
        <v>0.81962664782147421</v>
      </c>
      <c r="DP37" s="315">
        <f t="shared" si="285"/>
        <v>6.1234782214412052E-2</v>
      </c>
      <c r="DQ37" s="316">
        <f t="shared" si="30"/>
        <v>0.28734838448499683</v>
      </c>
      <c r="DR37" s="316">
        <f t="shared" si="31"/>
        <v>10.568729904741994</v>
      </c>
      <c r="DS37" s="314">
        <f t="shared" si="32"/>
        <v>3.406274956827827</v>
      </c>
      <c r="DT37" s="316">
        <f>IF(DC37&lt;&gt;4,IF(DA37=edge_width,$CY$4,IF(DA37=mid_width,$CY$5,DQ37+DT36)),0)</f>
        <v>10.568729904741994</v>
      </c>
      <c r="DU37" s="314">
        <f>IF(DC37&lt;&gt;4,CHOOSE(DC37,DA37/DT37,(DA37-edge_width+1)/DT37,(DA37-mid_width+1)/DT37),0)</f>
        <v>3.406274956827827</v>
      </c>
      <c r="DV37" s="316">
        <f t="shared" si="44"/>
        <v>143.28937300268552</v>
      </c>
      <c r="DW37" s="310">
        <f>IF(DC37&lt;&gt;4,(tot_width-DA37+1)/DV37,0)</f>
        <v>3.9430698045514569</v>
      </c>
      <c r="FB37" s="307"/>
      <c r="FC37" s="307"/>
      <c r="FF37" s="307"/>
      <c r="FG37" s="307"/>
      <c r="FH37" s="306"/>
      <c r="FJ37" s="307"/>
      <c r="FK37" s="307"/>
      <c r="FL37" s="306"/>
      <c r="FM37" s="307"/>
      <c r="FN37" s="306"/>
      <c r="FO37" s="307"/>
      <c r="FP37" s="306"/>
    </row>
    <row r="38" spans="1:172" ht="15.75">
      <c r="A38">
        <v>37</v>
      </c>
      <c r="B38" t="s">
        <v>207</v>
      </c>
      <c r="F38" s="855" t="str">
        <f>IF(BV18&lt;&gt;"",BQ12,"----------")</f>
        <v xml:space="preserve"> lowest point (mm)</v>
      </c>
      <c r="G38" s="177">
        <f>IF(BV18&lt;&gt;"",start,"----------")</f>
        <v>200</v>
      </c>
      <c r="T38" s="155" t="s">
        <v>579</v>
      </c>
      <c r="U38" s="155"/>
      <c r="V38" s="155">
        <f>edge_width+second_width+MAX(0,core_width)</f>
        <v>600</v>
      </c>
      <c r="W38" s="155"/>
      <c r="Y38" s="155"/>
      <c r="Z38" s="155">
        <v>2</v>
      </c>
      <c r="AA38" s="155" t="s">
        <v>580</v>
      </c>
      <c r="AC38" s="156"/>
      <c r="AD38" s="155">
        <v>13</v>
      </c>
      <c r="AE38" s="159">
        <v>24.5</v>
      </c>
      <c r="AF38" s="159"/>
      <c r="AG38" s="188">
        <v>13</v>
      </c>
      <c r="AH38" s="183">
        <v>445</v>
      </c>
      <c r="AI38" s="190">
        <v>489</v>
      </c>
      <c r="AJ38" s="185">
        <v>13</v>
      </c>
      <c r="AK38" s="183">
        <f t="shared" si="244"/>
        <v>489</v>
      </c>
      <c r="AM38" s="188">
        <v>13</v>
      </c>
      <c r="AN38" s="183">
        <v>1090</v>
      </c>
      <c r="AO38" s="182">
        <v>6.3899999999999998E-2</v>
      </c>
      <c r="AP38" s="185">
        <v>13</v>
      </c>
      <c r="AQ38" s="184">
        <f t="shared" si="245"/>
        <v>6.3899999999999998E-2</v>
      </c>
      <c r="AR38" s="190">
        <v>489</v>
      </c>
      <c r="AS38" s="185">
        <v>13</v>
      </c>
      <c r="AT38" s="183">
        <f t="shared" si="246"/>
        <v>489</v>
      </c>
      <c r="AV38" s="188">
        <v>13</v>
      </c>
      <c r="AW38" s="183">
        <v>1090</v>
      </c>
      <c r="AX38" s="182">
        <v>6.3899999999999998E-2</v>
      </c>
      <c r="AY38" s="185">
        <v>13</v>
      </c>
      <c r="AZ38" s="184">
        <f t="shared" si="247"/>
        <v>6.3899999999999998E-2</v>
      </c>
      <c r="BA38" s="190">
        <v>489</v>
      </c>
      <c r="BB38" s="185">
        <v>13</v>
      </c>
      <c r="BC38" s="183">
        <f t="shared" si="248"/>
        <v>489</v>
      </c>
      <c r="BE38" s="188">
        <v>13</v>
      </c>
      <c r="BF38" s="183">
        <v>1090</v>
      </c>
      <c r="BG38" s="182">
        <v>6.3899999999999998E-2</v>
      </c>
      <c r="BH38" s="185">
        <v>13</v>
      </c>
      <c r="BI38" s="184">
        <f t="shared" si="249"/>
        <v>6.3899999999999998E-2</v>
      </c>
      <c r="BJ38" s="154"/>
      <c r="BK38" s="533">
        <v>13</v>
      </c>
      <c r="BL38" s="183">
        <f t="shared" si="278"/>
        <v>600</v>
      </c>
      <c r="BM38" s="155">
        <v>1090</v>
      </c>
      <c r="BO38" s="193"/>
      <c r="BP38" s="246"/>
      <c r="BQ38" s="246" t="s">
        <v>552</v>
      </c>
      <c r="BR38" s="236"/>
      <c r="BS38" s="235"/>
      <c r="BT38" s="456"/>
      <c r="BU38" s="468" t="str">
        <f>IF(WebCntrl11="","",core_width)</f>
        <v/>
      </c>
      <c r="BV38" s="235"/>
      <c r="BW38" s="236" t="str">
        <f>IF(BH19,"","  avrg. Compression")</f>
        <v/>
      </c>
      <c r="BX38" s="181" t="str" cm="1">
        <f t="array" ref="BX38">IF(BH19,"",IF(CX10&lt;3,INDEX(DN2:DN1201,tot_width-1),0))</f>
        <v/>
      </c>
      <c r="BY38" s="236" t="str">
        <f>IF(BH19,"","max")</f>
        <v/>
      </c>
      <c r="BZ38" s="181" t="str" cm="1">
        <f t="array" ref="BZ38">IF(BH19,"",IF(CX10&lt;3,INDEX(DN2:DN1201,mid_width),0))</f>
        <v/>
      </c>
      <c r="CA38" s="193"/>
      <c r="CB38" s="193"/>
      <c r="CC38" s="193"/>
      <c r="CD38" s="193"/>
      <c r="CE38" s="193"/>
      <c r="CF38" s="193"/>
      <c r="CG38" s="193"/>
      <c r="CH38" s="193"/>
      <c r="CI38" s="193"/>
      <c r="CJ38" s="193"/>
      <c r="CK38" s="193"/>
      <c r="CL38" s="193"/>
      <c r="CM38" s="193"/>
      <c r="CN38" s="193"/>
      <c r="CO38" s="193"/>
      <c r="CP38" s="193"/>
      <c r="CQ38" s="193"/>
      <c r="CR38" s="193"/>
      <c r="CS38" s="193"/>
      <c r="CT38" s="193"/>
      <c r="CU38" s="193"/>
      <c r="CV38" s="160"/>
      <c r="CW38" s="364"/>
      <c r="CX38" s="309">
        <v>5</v>
      </c>
      <c r="CY38" s="309">
        <v>0</v>
      </c>
      <c r="DA38" s="309">
        <v>37</v>
      </c>
      <c r="DB38" s="313">
        <f t="shared" ref="DB38:DB39" si="289">start+DA38*tanO</f>
        <v>213.46689866784948</v>
      </c>
      <c r="DC38" s="309">
        <f t="shared" ref="DC38:DC39" si="290">IF(DA38&lt;edge_width,1,IF(DA38&lt;mid_width,2,IF(DA38&lt;=tot_width,3,4)))</f>
        <v>1</v>
      </c>
      <c r="DD38" s="309">
        <f t="shared" ref="DD38:DD39" si="291">CHOOSE(DC38,edge_thick,second_thick,core_thick,0)</f>
        <v>260</v>
      </c>
      <c r="DE38" s="308">
        <f t="shared" ref="DE38:DE39" si="292">CHOOSE(DC38,edge_k,second_k,core_k,0)</f>
        <v>6.5000000000000002E-2</v>
      </c>
      <c r="DF38" s="313">
        <f t="shared" si="39"/>
        <v>37</v>
      </c>
      <c r="DG38" s="313">
        <f t="shared" si="24"/>
        <v>213.46689866784948</v>
      </c>
      <c r="DH38" s="313">
        <f t="shared" si="25"/>
        <v>213.46689866784948</v>
      </c>
      <c r="DI38" s="313">
        <f t="shared" si="26"/>
        <v>0</v>
      </c>
      <c r="DJ38" s="313">
        <f t="shared" si="27"/>
        <v>0</v>
      </c>
      <c r="DK38" s="313">
        <f t="shared" si="40"/>
        <v>7655.8710746891393</v>
      </c>
      <c r="DL38" s="313">
        <f t="shared" si="28"/>
        <v>143382.11309360043</v>
      </c>
      <c r="DM38" s="314">
        <f>IF($DC38&lt;&gt;4,IF($DA38=edge_width,$CY$2,IF($DA38=mid_width,$CY$3,1-DO38+DM37)),0)</f>
        <v>7.5543420204263843</v>
      </c>
      <c r="DN38" s="312">
        <f>IF(DC38&lt;&gt;4,CHOOSE(DC38,DM38/DA38,DM38/(DA38-edge_width+1),DM38/(DA38-mid_width+1)),0)</f>
        <v>0.20417140595746985</v>
      </c>
      <c r="DO38" s="312">
        <f t="shared" si="41"/>
        <v>0.82102653333788256</v>
      </c>
      <c r="DP38" s="315">
        <f t="shared" ref="DP38:DP39" si="293">DE38*DO38^CHOOSE(DC38,mult1,mult2,mult3,0)</f>
        <v>6.1266139354182465E-2</v>
      </c>
      <c r="DQ38" s="316">
        <f t="shared" si="30"/>
        <v>0.28700533776672998</v>
      </c>
      <c r="DR38" s="316">
        <f t="shared" si="31"/>
        <v>10.855735242508725</v>
      </c>
      <c r="DS38" s="314">
        <f t="shared" si="32"/>
        <v>3.4083366233100412</v>
      </c>
      <c r="DT38" s="316">
        <f>IF(DC38&lt;&gt;4,IF(DA38=edge_width,$CY$4,IF(DA38=mid_width,$CY$5,DQ38+DT37)),0)</f>
        <v>10.855735242508725</v>
      </c>
      <c r="DU38" s="314">
        <f>IF(DC38&lt;&gt;4,CHOOSE(DC38,DA38/DT38,(DA38-edge_width+1)/DT38,(DA38-mid_width+1)/DT38),0)</f>
        <v>3.4083366233100412</v>
      </c>
      <c r="DV38" s="316">
        <f t="shared" si="44"/>
        <v>143.00202461820052</v>
      </c>
      <c r="DW38" s="310">
        <f>IF(DC38&lt;&gt;4,(tot_width-DA38+1)/DV38,0)</f>
        <v>3.9440001042350077</v>
      </c>
      <c r="FB38" s="307"/>
      <c r="FC38" s="307"/>
      <c r="FF38" s="307"/>
      <c r="FG38" s="307"/>
      <c r="FH38" s="306"/>
      <c r="FJ38" s="307"/>
      <c r="FK38" s="307"/>
      <c r="FL38" s="306"/>
      <c r="FM38" s="307"/>
      <c r="FN38" s="306"/>
      <c r="FO38" s="307"/>
      <c r="FP38" s="306"/>
    </row>
    <row r="39" spans="1:172">
      <c r="A39">
        <v>38</v>
      </c>
      <c r="B39" t="s">
        <v>211</v>
      </c>
      <c r="F39" t="str">
        <f>IF(BV18&lt;&gt;"",BQ16,"----------")</f>
        <v>insulation type</v>
      </c>
      <c r="G39" s="177" t="str">
        <f>IF(BV18&lt;&gt;"",V25,"----------")</f>
        <v>poly/wool fibre</v>
      </c>
      <c r="AC39" s="156"/>
      <c r="AD39" s="155">
        <v>14</v>
      </c>
      <c r="AE39" s="159">
        <v>24</v>
      </c>
      <c r="AF39" s="159"/>
      <c r="AG39" s="188">
        <v>14</v>
      </c>
      <c r="AH39" s="183">
        <v>440</v>
      </c>
      <c r="AI39" s="190">
        <v>488</v>
      </c>
      <c r="AJ39" s="185">
        <v>14</v>
      </c>
      <c r="AK39" s="183">
        <f t="shared" si="244"/>
        <v>488</v>
      </c>
      <c r="AM39" s="188">
        <v>14</v>
      </c>
      <c r="AN39" s="183">
        <v>1080</v>
      </c>
      <c r="AO39" s="182">
        <v>6.3799999999999996E-2</v>
      </c>
      <c r="AP39" s="185">
        <v>14</v>
      </c>
      <c r="AQ39" s="184">
        <f t="shared" si="245"/>
        <v>6.3799999999999996E-2</v>
      </c>
      <c r="AR39" s="190">
        <v>488</v>
      </c>
      <c r="AS39" s="185">
        <v>14</v>
      </c>
      <c r="AT39" s="183">
        <f t="shared" si="246"/>
        <v>488</v>
      </c>
      <c r="AV39" s="188">
        <v>14</v>
      </c>
      <c r="AW39" s="183">
        <v>1080</v>
      </c>
      <c r="AX39" s="182">
        <v>6.3799999999999996E-2</v>
      </c>
      <c r="AY39" s="185">
        <v>14</v>
      </c>
      <c r="AZ39" s="184">
        <f t="shared" si="247"/>
        <v>6.3799999999999996E-2</v>
      </c>
      <c r="BA39" s="190">
        <v>488</v>
      </c>
      <c r="BB39" s="185">
        <v>14</v>
      </c>
      <c r="BC39" s="183">
        <f t="shared" si="248"/>
        <v>488</v>
      </c>
      <c r="BE39" s="188">
        <v>14</v>
      </c>
      <c r="BF39" s="183">
        <v>1080</v>
      </c>
      <c r="BG39" s="182">
        <v>6.3799999999999996E-2</v>
      </c>
      <c r="BH39" s="185">
        <v>14</v>
      </c>
      <c r="BI39" s="184">
        <f t="shared" si="249"/>
        <v>6.3799999999999996E-2</v>
      </c>
      <c r="BJ39" s="154"/>
      <c r="BK39" s="533">
        <v>14</v>
      </c>
      <c r="BL39" s="183">
        <f t="shared" ref="BL39:BL40" si="294">MIN(BM39,tot_width)</f>
        <v>600</v>
      </c>
      <c r="BM39" s="155">
        <v>1080</v>
      </c>
      <c r="BO39" s="193"/>
      <c r="BP39" s="235"/>
      <c r="BQ39" s="236"/>
      <c r="BR39" s="236"/>
      <c r="BS39" s="235"/>
      <c r="BT39" s="235"/>
      <c r="BU39" s="235"/>
      <c r="BV39" s="235"/>
      <c r="BW39" s="235"/>
      <c r="BX39" s="235"/>
      <c r="BY39" s="235"/>
      <c r="BZ39" s="235"/>
      <c r="CA39" s="193"/>
      <c r="CB39" s="193"/>
      <c r="CC39" s="193"/>
      <c r="CD39" s="193"/>
      <c r="CE39" s="193"/>
      <c r="CF39" s="193"/>
      <c r="CG39" s="193"/>
      <c r="CH39" s="193"/>
      <c r="CI39" s="193"/>
      <c r="CJ39" s="193"/>
      <c r="CK39" s="193"/>
      <c r="CL39" s="193"/>
      <c r="CM39" s="193"/>
      <c r="CN39" s="193"/>
      <c r="CO39" s="193"/>
      <c r="CP39" s="193"/>
      <c r="CQ39" s="193"/>
      <c r="CR39" s="193"/>
      <c r="CS39" s="193"/>
      <c r="CT39" s="193"/>
      <c r="CU39" s="193"/>
      <c r="CV39" s="160"/>
      <c r="CW39" s="364"/>
      <c r="CX39" s="309">
        <f>CX38</f>
        <v>5</v>
      </c>
      <c r="CY39" s="313">
        <v>10</v>
      </c>
      <c r="DA39" s="309">
        <v>38</v>
      </c>
      <c r="DB39" s="313">
        <f t="shared" si="289"/>
        <v>213.8308689021157</v>
      </c>
      <c r="DC39" s="309">
        <f t="shared" si="290"/>
        <v>1</v>
      </c>
      <c r="DD39" s="309">
        <f t="shared" si="291"/>
        <v>260</v>
      </c>
      <c r="DE39" s="308">
        <f t="shared" si="292"/>
        <v>6.5000000000000002E-2</v>
      </c>
      <c r="DF39" s="313">
        <f t="shared" si="39"/>
        <v>38</v>
      </c>
      <c r="DG39" s="313">
        <f t="shared" si="24"/>
        <v>213.8308689021157</v>
      </c>
      <c r="DH39" s="313">
        <f t="shared" si="25"/>
        <v>213.8308689021157</v>
      </c>
      <c r="DI39" s="313">
        <f t="shared" si="26"/>
        <v>0</v>
      </c>
      <c r="DJ39" s="313">
        <f t="shared" si="27"/>
        <v>0</v>
      </c>
      <c r="DK39" s="313">
        <f t="shared" si="40"/>
        <v>7869.7019435912553</v>
      </c>
      <c r="DL39" s="313">
        <f t="shared" si="28"/>
        <v>143168.64619493257</v>
      </c>
      <c r="DM39" s="314">
        <f>IF($DC39&lt;&gt;4,IF($DA39=edge_width,$CY$2,IF($DA39=mid_width,$CY$3,1-DO39+DM38)),0)</f>
        <v>7.7319156015720933</v>
      </c>
      <c r="DN39" s="312">
        <f>IF(DC39&lt;&gt;4,CHOOSE(DC39,DM39/DA39,DM39/(DA39-edge_width+1),DM39/(DA39-mid_width+1)),0)</f>
        <v>0.20347146319926562</v>
      </c>
      <c r="DO39" s="312">
        <f t="shared" si="41"/>
        <v>0.82242641885429113</v>
      </c>
      <c r="DP39" s="315">
        <f t="shared" si="293"/>
        <v>6.1297459090564443E-2</v>
      </c>
      <c r="DQ39" s="316">
        <f t="shared" si="30"/>
        <v>0.28666328395562141</v>
      </c>
      <c r="DR39" s="316">
        <f t="shared" si="31"/>
        <v>11.142398526464346</v>
      </c>
      <c r="DS39" s="314">
        <f t="shared" si="32"/>
        <v>3.4103967749624178</v>
      </c>
      <c r="DT39" s="316">
        <f>IF(DC39&lt;&gt;4,IF(DA39=edge_width,$CY$4,IF(DA39=mid_width,$CY$5,DQ39+DT38)),0)</f>
        <v>11.142398526464346</v>
      </c>
      <c r="DU39" s="314">
        <f>IF(DC39&lt;&gt;4,CHOOSE(DC39,DA39/DT39,(DA39-edge_width+1)/DT39,(DA39-mid_width+1)/DT39),0)</f>
        <v>3.4103967749624178</v>
      </c>
      <c r="DV39" s="316">
        <f t="shared" si="44"/>
        <v>142.71501928043378</v>
      </c>
      <c r="DW39" s="310">
        <f>IF(DC39&lt;&gt;4,(tot_width-DA39+1)/DV39,0)</f>
        <v>3.9449246676252754</v>
      </c>
      <c r="FB39" s="307"/>
      <c r="FC39" s="307"/>
      <c r="FF39" s="307"/>
      <c r="FG39" s="307"/>
      <c r="FH39" s="306"/>
      <c r="FJ39" s="307"/>
      <c r="FK39" s="307"/>
      <c r="FL39" s="306"/>
      <c r="FM39" s="307"/>
      <c r="FN39" s="306"/>
      <c r="FO39" s="307"/>
      <c r="FP39" s="306"/>
    </row>
    <row r="40" spans="1:172">
      <c r="A40">
        <v>39</v>
      </c>
      <c r="B40" t="s">
        <v>218</v>
      </c>
      <c r="F40" t="str">
        <f>IF(BV18&lt;&gt;"",BV18,"----------")</f>
        <v>lofted R-value</v>
      </c>
      <c r="G40" s="856">
        <f>IF(BV18&lt;&gt;"",BX18,"----------")</f>
        <v>4</v>
      </c>
      <c r="AC40" s="156"/>
      <c r="AD40" s="155">
        <v>15</v>
      </c>
      <c r="AE40" s="159">
        <v>23.5</v>
      </c>
      <c r="AF40" s="159"/>
      <c r="AG40" s="188">
        <v>15</v>
      </c>
      <c r="AH40" s="183">
        <v>435</v>
      </c>
      <c r="AI40" s="190">
        <v>487</v>
      </c>
      <c r="AJ40" s="185">
        <v>15</v>
      </c>
      <c r="AK40" s="183">
        <f t="shared" si="244"/>
        <v>487</v>
      </c>
      <c r="AM40" s="188">
        <v>15</v>
      </c>
      <c r="AN40" s="183">
        <v>1070</v>
      </c>
      <c r="AO40" s="182">
        <v>6.3700000000000007E-2</v>
      </c>
      <c r="AP40" s="185">
        <v>15</v>
      </c>
      <c r="AQ40" s="184">
        <f t="shared" si="245"/>
        <v>6.3700000000000007E-2</v>
      </c>
      <c r="AR40" s="190">
        <v>487</v>
      </c>
      <c r="AS40" s="185">
        <v>15</v>
      </c>
      <c r="AT40" s="183">
        <f t="shared" si="246"/>
        <v>487</v>
      </c>
      <c r="AV40" s="188">
        <v>15</v>
      </c>
      <c r="AW40" s="183">
        <v>1070</v>
      </c>
      <c r="AX40" s="182">
        <v>6.3700000000000007E-2</v>
      </c>
      <c r="AY40" s="185">
        <v>15</v>
      </c>
      <c r="AZ40" s="184">
        <f t="shared" si="247"/>
        <v>6.3700000000000007E-2</v>
      </c>
      <c r="BA40" s="190">
        <v>487</v>
      </c>
      <c r="BB40" s="185">
        <v>15</v>
      </c>
      <c r="BC40" s="183">
        <f t="shared" si="248"/>
        <v>487</v>
      </c>
      <c r="BE40" s="188">
        <v>15</v>
      </c>
      <c r="BF40" s="183">
        <v>1070</v>
      </c>
      <c r="BG40" s="182">
        <v>6.3700000000000007E-2</v>
      </c>
      <c r="BH40" s="185">
        <v>15</v>
      </c>
      <c r="BI40" s="184">
        <f t="shared" si="249"/>
        <v>6.3700000000000007E-2</v>
      </c>
      <c r="BJ40" s="154"/>
      <c r="BK40" s="533">
        <v>15</v>
      </c>
      <c r="BL40" s="183">
        <f t="shared" si="294"/>
        <v>600</v>
      </c>
      <c r="BM40" s="155">
        <v>1070</v>
      </c>
      <c r="BO40" s="193"/>
      <c r="BP40" s="236"/>
      <c r="BQ40" s="236"/>
      <c r="BR40" s="239" t="str">
        <f>IF(BH19,"","mean insulation R-value")</f>
        <v/>
      </c>
      <c r="BS40" s="240" t="str" cm="1">
        <f t="array" ref="BS40">IF(BH19,"",INDEX(DU2:DU1201,tot_width))</f>
        <v/>
      </c>
      <c r="BT40" s="235" t="str">
        <f>IF(BH19,"","m2.K/W")</f>
        <v/>
      </c>
      <c r="BU40" s="235"/>
      <c r="BV40" s="257" t="str">
        <f>IF(BH19,"","insulation R-value at lowest point")</f>
        <v/>
      </c>
      <c r="BW40" s="258"/>
      <c r="BX40" s="258"/>
      <c r="BY40" s="240" t="str" cm="1">
        <f t="array" ref="BY40">IF(BH19,"",INDEX(DU2:DU1201,mid_width))</f>
        <v/>
      </c>
      <c r="BZ40" s="258" t="str">
        <f>IF(BH19,"","m2.K/W")</f>
        <v/>
      </c>
      <c r="CA40" s="193"/>
      <c r="CB40" s="193"/>
      <c r="CC40" s="193"/>
      <c r="CD40" s="193"/>
      <c r="CE40" s="193"/>
      <c r="CF40" s="193"/>
      <c r="CG40" s="193"/>
      <c r="CH40" s="193"/>
      <c r="CI40" s="193"/>
      <c r="CJ40" s="193"/>
      <c r="CK40" s="193"/>
      <c r="CL40" s="193"/>
      <c r="CM40" s="193"/>
      <c r="CN40" s="193"/>
      <c r="CO40" s="193"/>
      <c r="CP40" s="193"/>
      <c r="CQ40" s="193"/>
      <c r="CR40" s="193"/>
      <c r="CS40" s="193"/>
      <c r="CT40" s="193"/>
      <c r="CU40" s="193"/>
      <c r="CV40" s="160"/>
      <c r="CW40" s="364"/>
      <c r="DA40" s="309">
        <v>39</v>
      </c>
      <c r="DB40" s="313">
        <f t="shared" ref="DB40" si="295">start+DA40*tanO</f>
        <v>214.19483913638189</v>
      </c>
      <c r="DC40" s="309">
        <f t="shared" ref="DC40" si="296">IF(DA40&lt;edge_width,1,IF(DA40&lt;mid_width,2,IF(DA40&lt;=tot_width,3,4)))</f>
        <v>1</v>
      </c>
      <c r="DD40" s="309">
        <f t="shared" ref="DD40" si="297">CHOOSE(DC40,edge_thick,second_thick,core_thick,0)</f>
        <v>260</v>
      </c>
      <c r="DE40" s="308">
        <f t="shared" ref="DE40" si="298">CHOOSE(DC40,edge_k,second_k,core_k,0)</f>
        <v>6.5000000000000002E-2</v>
      </c>
      <c r="DF40" s="313">
        <f t="shared" si="39"/>
        <v>39</v>
      </c>
      <c r="DG40" s="313">
        <f t="shared" si="24"/>
        <v>214.19483913638189</v>
      </c>
      <c r="DH40" s="313">
        <f t="shared" si="25"/>
        <v>214.19483913638189</v>
      </c>
      <c r="DI40" s="313">
        <f t="shared" si="26"/>
        <v>0</v>
      </c>
      <c r="DJ40" s="313">
        <f t="shared" si="27"/>
        <v>0</v>
      </c>
      <c r="DK40" s="313">
        <f t="shared" si="40"/>
        <v>8083.8967827276374</v>
      </c>
      <c r="DL40" s="313">
        <f t="shared" si="28"/>
        <v>142954.81532603045</v>
      </c>
      <c r="DM40" s="314">
        <f t="shared" ref="DM40:DM66" si="299">IF($DC40&lt;&gt;4,IF($DA40=edge_width,$CY$2,IF($DA40=mid_width,$CY$3,1-DO40+DM39)),0)</f>
        <v>7.9080892972013936</v>
      </c>
      <c r="DN40" s="312">
        <f t="shared" ref="DN40:DN66" si="300">IF(DC40&lt;&gt;4,CHOOSE(DC40,DM40/DA40,DM40/(DA40-edge_width+1),DM40/(DA40-mid_width+1)),0)</f>
        <v>0.20277152044106136</v>
      </c>
      <c r="DO40" s="312">
        <f t="shared" si="41"/>
        <v>0.82382630437069959</v>
      </c>
      <c r="DP40" s="315">
        <f t="shared" ref="DP40:DP65" si="301">DE40*DO40^CHOOSE(DC40,mult1,mult2,mult3,0)</f>
        <v>6.1328741531725559E-2</v>
      </c>
      <c r="DQ40" s="316">
        <f t="shared" si="30"/>
        <v>0.28632221849507955</v>
      </c>
      <c r="DR40" s="316">
        <f t="shared" si="31"/>
        <v>11.428720744959426</v>
      </c>
      <c r="DS40" s="314">
        <f t="shared" si="32"/>
        <v>3.4124554156422744</v>
      </c>
      <c r="DT40" s="316">
        <f t="shared" ref="DT40:DT66" si="302">IF(DC40&lt;&gt;4,IF(DA40=edge_width,$CY$4,IF(DA40=mid_width,$CY$5,DQ40+DT39)),0)</f>
        <v>11.428720744959426</v>
      </c>
      <c r="DU40" s="314">
        <f t="shared" ref="DU40:DU65" si="303">IF(DC40&lt;&gt;4,CHOOSE(DC40,DA40/DT40,(DA40-edge_width+1)/DT40,(DA40-mid_width+1)/DT40),0)</f>
        <v>3.4124554156422744</v>
      </c>
      <c r="DV40" s="316">
        <f t="shared" si="44"/>
        <v>142.42835599647816</v>
      </c>
      <c r="DW40" s="310">
        <f t="shared" ref="DW40:DW65" si="304">IF(DC40&lt;&gt;4,(tot_width-DA40+1)/DV40,0)</f>
        <v>3.945843480871861</v>
      </c>
      <c r="FB40" s="307"/>
      <c r="FC40" s="307"/>
      <c r="FF40" s="307"/>
      <c r="FG40" s="307"/>
      <c r="FH40" s="306"/>
      <c r="FJ40" s="307"/>
      <c r="FK40" s="307"/>
      <c r="FL40" s="306"/>
      <c r="FM40" s="307"/>
      <c r="FN40" s="306"/>
      <c r="FO40" s="307"/>
      <c r="FP40" s="306"/>
    </row>
    <row r="41" spans="1:172" ht="15" customHeight="1">
      <c r="A41">
        <v>40</v>
      </c>
      <c r="B41" t="s">
        <v>225</v>
      </c>
      <c r="F41" t="str">
        <f>IF(BV18&lt;&gt;"",BQ18,"----------")</f>
        <v>thickness (mm)</v>
      </c>
      <c r="G41" s="177">
        <f>IF(BV18&lt;&gt;"",edge_thick,"----------")</f>
        <v>260</v>
      </c>
      <c r="AC41" s="156"/>
      <c r="AD41" s="155">
        <v>16</v>
      </c>
      <c r="AE41" s="159">
        <v>23</v>
      </c>
      <c r="AF41" s="159"/>
      <c r="AG41" s="188">
        <v>16</v>
      </c>
      <c r="AH41" s="183">
        <v>430</v>
      </c>
      <c r="AI41" s="190">
        <v>486</v>
      </c>
      <c r="AJ41" s="185">
        <v>16</v>
      </c>
      <c r="AK41" s="183">
        <f t="shared" si="244"/>
        <v>486</v>
      </c>
      <c r="AM41" s="188">
        <v>16</v>
      </c>
      <c r="AN41" s="183">
        <v>1060</v>
      </c>
      <c r="AO41" s="182">
        <v>6.3600000000000004E-2</v>
      </c>
      <c r="AP41" s="185">
        <v>16</v>
      </c>
      <c r="AQ41" s="184">
        <f t="shared" si="245"/>
        <v>6.3600000000000004E-2</v>
      </c>
      <c r="AR41" s="190">
        <v>486</v>
      </c>
      <c r="AS41" s="185">
        <v>16</v>
      </c>
      <c r="AT41" s="183">
        <f t="shared" si="246"/>
        <v>486</v>
      </c>
      <c r="AV41" s="188">
        <v>16</v>
      </c>
      <c r="AW41" s="183">
        <v>1060</v>
      </c>
      <c r="AX41" s="182">
        <v>6.3600000000000004E-2</v>
      </c>
      <c r="AY41" s="185">
        <v>16</v>
      </c>
      <c r="AZ41" s="184">
        <f t="shared" si="247"/>
        <v>6.3600000000000004E-2</v>
      </c>
      <c r="BA41" s="190">
        <v>486</v>
      </c>
      <c r="BB41" s="185">
        <v>16</v>
      </c>
      <c r="BC41" s="183">
        <f t="shared" si="248"/>
        <v>486</v>
      </c>
      <c r="BE41" s="188">
        <v>16</v>
      </c>
      <c r="BF41" s="183">
        <v>1060</v>
      </c>
      <c r="BG41" s="182">
        <v>6.3600000000000004E-2</v>
      </c>
      <c r="BH41" s="185">
        <v>16</v>
      </c>
      <c r="BI41" s="184">
        <f t="shared" si="249"/>
        <v>6.3600000000000004E-2</v>
      </c>
      <c r="BJ41" s="154"/>
      <c r="BK41" s="533">
        <v>16</v>
      </c>
      <c r="BL41" s="183">
        <f t="shared" ref="BL41:BL58" si="305">MIN(BM41,tot_width)</f>
        <v>600</v>
      </c>
      <c r="BM41" s="155">
        <v>1060</v>
      </c>
      <c r="BO41" s="193"/>
      <c r="BP41" s="193"/>
      <c r="BQ41" s="193"/>
      <c r="BR41" s="193"/>
      <c r="BS41" s="193"/>
      <c r="BT41" s="193"/>
      <c r="BU41" s="193"/>
      <c r="BV41" s="193"/>
      <c r="BW41" s="193"/>
      <c r="BX41" s="193"/>
      <c r="BY41" s="193"/>
      <c r="BZ41" s="193"/>
      <c r="CA41" s="193"/>
      <c r="CB41" s="193"/>
      <c r="CC41" s="193"/>
      <c r="CD41" s="193"/>
      <c r="CE41" s="193"/>
      <c r="CF41" s="193"/>
      <c r="CG41" s="193"/>
      <c r="CH41" s="193"/>
      <c r="CI41" s="193"/>
      <c r="CJ41" s="193"/>
      <c r="CK41" s="193"/>
      <c r="CL41" s="193"/>
      <c r="CM41" s="193"/>
      <c r="CN41" s="193"/>
      <c r="CO41" s="193"/>
      <c r="CP41" s="193"/>
      <c r="CQ41" s="193"/>
      <c r="CR41" s="193"/>
      <c r="CS41" s="193"/>
      <c r="CT41" s="193"/>
      <c r="CU41" s="193"/>
      <c r="CV41" s="160"/>
      <c r="CW41" s="364"/>
      <c r="CX41" s="313">
        <v>5</v>
      </c>
      <c r="CY41" s="313">
        <v>585</v>
      </c>
      <c r="DA41" s="309">
        <v>40</v>
      </c>
      <c r="DB41" s="313">
        <f t="shared" ref="DB41:DB65" si="306">start+DA41*tanO</f>
        <v>214.55880937064811</v>
      </c>
      <c r="DC41" s="309">
        <f t="shared" ref="DC41:DC65" si="307">IF(DA41&lt;edge_width,1,IF(DA41&lt;mid_width,2,IF(DA41&lt;=tot_width,3,4)))</f>
        <v>1</v>
      </c>
      <c r="DD41" s="309">
        <f t="shared" ref="DD41:DD65" si="308">CHOOSE(DC41,edge_thick,second_thick,core_thick,0)</f>
        <v>260</v>
      </c>
      <c r="DE41" s="308">
        <f t="shared" ref="DE41:DE65" si="309">CHOOSE(DC41,edge_k,second_k,core_k,0)</f>
        <v>6.5000000000000002E-2</v>
      </c>
      <c r="DF41" s="313">
        <f t="shared" si="39"/>
        <v>40</v>
      </c>
      <c r="DG41" s="313">
        <f t="shared" si="24"/>
        <v>214.55880937064811</v>
      </c>
      <c r="DH41" s="313">
        <f t="shared" si="25"/>
        <v>214.55880937064811</v>
      </c>
      <c r="DI41" s="313">
        <f t="shared" si="26"/>
        <v>0</v>
      </c>
      <c r="DJ41" s="313">
        <f t="shared" si="27"/>
        <v>0</v>
      </c>
      <c r="DK41" s="313">
        <f t="shared" si="40"/>
        <v>8298.4555920982857</v>
      </c>
      <c r="DL41" s="313">
        <f t="shared" si="28"/>
        <v>142740.62048689407</v>
      </c>
      <c r="DM41" s="314">
        <f t="shared" si="299"/>
        <v>8.0828631073142851</v>
      </c>
      <c r="DN41" s="312">
        <f t="shared" si="300"/>
        <v>0.20207157768285713</v>
      </c>
      <c r="DO41" s="312">
        <f t="shared" si="41"/>
        <v>0.82522618988710805</v>
      </c>
      <c r="DP41" s="315">
        <f t="shared" si="301"/>
        <v>6.1359986785337384E-2</v>
      </c>
      <c r="DQ41" s="316">
        <f t="shared" si="30"/>
        <v>0.28598213685711987</v>
      </c>
      <c r="DR41" s="316">
        <f t="shared" si="31"/>
        <v>11.714702881816546</v>
      </c>
      <c r="DS41" s="314">
        <f t="shared" si="32"/>
        <v>3.4145125491904391</v>
      </c>
      <c r="DT41" s="316">
        <f t="shared" si="302"/>
        <v>11.714702881816546</v>
      </c>
      <c r="DU41" s="314">
        <f t="shared" si="303"/>
        <v>3.4145125491904391</v>
      </c>
      <c r="DV41" s="316">
        <f t="shared" si="44"/>
        <v>142.14203377798307</v>
      </c>
      <c r="DW41" s="310">
        <f t="shared" si="304"/>
        <v>3.9467565299948273</v>
      </c>
      <c r="FB41" s="307"/>
      <c r="FC41" s="307"/>
      <c r="FF41" s="307"/>
      <c r="FG41" s="307"/>
      <c r="FH41" s="306"/>
      <c r="FJ41" s="307"/>
      <c r="FK41" s="307"/>
      <c r="FL41" s="306"/>
      <c r="FM41" s="307"/>
      <c r="FN41" s="306"/>
      <c r="FO41" s="307"/>
      <c r="FP41" s="306"/>
    </row>
    <row r="42" spans="1:172" ht="15" customHeight="1">
      <c r="A42">
        <v>41</v>
      </c>
      <c r="B42" t="s">
        <v>231</v>
      </c>
      <c r="F42" t="str">
        <f>IF(BV18&lt;&gt;"",BQ20,"----------")</f>
        <v>width (mm)</v>
      </c>
      <c r="G42" s="177">
        <f>IF(BV18&lt;&gt;"",edge_width,"----------")</f>
        <v>600</v>
      </c>
      <c r="AC42" s="156"/>
      <c r="AD42" s="155">
        <v>17</v>
      </c>
      <c r="AE42" s="159">
        <v>22.5</v>
      </c>
      <c r="AF42" s="159"/>
      <c r="AG42" s="188">
        <v>17</v>
      </c>
      <c r="AH42" s="183">
        <v>425</v>
      </c>
      <c r="AI42" s="190">
        <v>485</v>
      </c>
      <c r="AJ42" s="185">
        <v>17</v>
      </c>
      <c r="AK42" s="183">
        <f t="shared" si="244"/>
        <v>485</v>
      </c>
      <c r="AM42" s="188">
        <v>17</v>
      </c>
      <c r="AN42" s="183">
        <v>1050</v>
      </c>
      <c r="AO42" s="182">
        <v>6.3500000000000001E-2</v>
      </c>
      <c r="AP42" s="185">
        <v>17</v>
      </c>
      <c r="AQ42" s="184">
        <f t="shared" si="245"/>
        <v>6.3500000000000001E-2</v>
      </c>
      <c r="AR42" s="190">
        <v>485</v>
      </c>
      <c r="AS42" s="185">
        <v>17</v>
      </c>
      <c r="AT42" s="183">
        <f t="shared" si="246"/>
        <v>485</v>
      </c>
      <c r="AV42" s="188">
        <v>17</v>
      </c>
      <c r="AW42" s="183">
        <v>1050</v>
      </c>
      <c r="AX42" s="182">
        <v>6.3500000000000001E-2</v>
      </c>
      <c r="AY42" s="185">
        <v>17</v>
      </c>
      <c r="AZ42" s="184">
        <f t="shared" si="247"/>
        <v>6.3500000000000001E-2</v>
      </c>
      <c r="BA42" s="190">
        <v>485</v>
      </c>
      <c r="BB42" s="185">
        <v>17</v>
      </c>
      <c r="BC42" s="183">
        <f t="shared" si="248"/>
        <v>485</v>
      </c>
      <c r="BE42" s="188">
        <v>17</v>
      </c>
      <c r="BF42" s="183">
        <v>1050</v>
      </c>
      <c r="BG42" s="182">
        <v>6.3500000000000001E-2</v>
      </c>
      <c r="BH42" s="185">
        <v>17</v>
      </c>
      <c r="BI42" s="184">
        <f t="shared" si="249"/>
        <v>6.3500000000000001E-2</v>
      </c>
      <c r="BJ42" s="154"/>
      <c r="BK42" s="533">
        <v>17</v>
      </c>
      <c r="BL42" s="183">
        <f t="shared" si="305"/>
        <v>600</v>
      </c>
      <c r="BM42" s="155">
        <v>1050</v>
      </c>
      <c r="BO42" s="193"/>
      <c r="BP42" s="1061" t="str">
        <f>IF(BM19,"","Insulation R-values at the lowest point that are less than or equal to R 3.3 are highlighted in red because the construction R-value at that point (when the framing cladding &amp; lining are also included), may well be less than R 3.3")</f>
        <v>Insulation R-values at the lowest point that are less than or equal to R 3.3 are highlighted in red because the construction R-value at that point (when the framing cladding &amp; lining are also included), may well be less than R 3.3</v>
      </c>
      <c r="BQ42" s="1061"/>
      <c r="BR42" s="1061"/>
      <c r="BS42" s="1061"/>
      <c r="BT42" s="1061"/>
      <c r="BU42" s="1061"/>
      <c r="BV42" s="1061"/>
      <c r="BW42" s="1061"/>
      <c r="BX42" s="1061"/>
      <c r="BY42" s="1061"/>
      <c r="BZ42" s="1061"/>
      <c r="CA42" s="1061"/>
      <c r="CB42" s="1061"/>
      <c r="CC42" s="1061"/>
      <c r="CD42" s="1061"/>
      <c r="CE42" s="1061"/>
      <c r="CF42" s="1061"/>
      <c r="CG42" s="1061"/>
      <c r="CH42" s="1061"/>
      <c r="CI42" s="1061"/>
      <c r="CJ42" s="1061"/>
      <c r="CK42" s="1061"/>
      <c r="CL42" s="1061"/>
      <c r="CM42" s="1061"/>
      <c r="CN42" s="1061"/>
      <c r="CO42" s="1061"/>
      <c r="CP42" s="1061"/>
      <c r="CQ42" s="1061"/>
      <c r="CR42" s="1061"/>
      <c r="CS42" s="1061"/>
      <c r="CT42" s="1061"/>
      <c r="CU42" s="1061"/>
      <c r="CV42" s="1062"/>
      <c r="CW42" s="364"/>
      <c r="CX42" s="313">
        <v>5</v>
      </c>
      <c r="CY42" s="313">
        <v>595</v>
      </c>
      <c r="DA42" s="309">
        <v>41</v>
      </c>
      <c r="DB42" s="313">
        <f t="shared" si="306"/>
        <v>214.9227796049143</v>
      </c>
      <c r="DC42" s="309">
        <f t="shared" si="307"/>
        <v>1</v>
      </c>
      <c r="DD42" s="309">
        <f t="shared" si="308"/>
        <v>260</v>
      </c>
      <c r="DE42" s="308">
        <f t="shared" si="309"/>
        <v>6.5000000000000002E-2</v>
      </c>
      <c r="DF42" s="313">
        <f t="shared" si="39"/>
        <v>41</v>
      </c>
      <c r="DG42" s="313">
        <f t="shared" si="24"/>
        <v>214.9227796049143</v>
      </c>
      <c r="DH42" s="313">
        <f t="shared" si="25"/>
        <v>214.9227796049143</v>
      </c>
      <c r="DI42" s="313">
        <f t="shared" si="26"/>
        <v>0</v>
      </c>
      <c r="DJ42" s="313">
        <f t="shared" si="27"/>
        <v>0</v>
      </c>
      <c r="DK42" s="313">
        <f t="shared" si="40"/>
        <v>8513.3783717032002</v>
      </c>
      <c r="DL42" s="313">
        <f t="shared" si="28"/>
        <v>142526.06167752342</v>
      </c>
      <c r="DM42" s="314">
        <f t="shared" si="299"/>
        <v>8.2562370319107679</v>
      </c>
      <c r="DN42" s="312">
        <f t="shared" si="300"/>
        <v>0.20137163492465288</v>
      </c>
      <c r="DO42" s="312">
        <f t="shared" si="41"/>
        <v>0.82662607540351651</v>
      </c>
      <c r="DP42" s="315">
        <f t="shared" si="301"/>
        <v>6.1391194958578664E-2</v>
      </c>
      <c r="DQ42" s="316">
        <f t="shared" si="30"/>
        <v>0.28564303454213713</v>
      </c>
      <c r="DR42" s="316">
        <f t="shared" si="31"/>
        <v>12.000345916358683</v>
      </c>
      <c r="DS42" s="314">
        <f t="shared" si="32"/>
        <v>3.4165681794313483</v>
      </c>
      <c r="DT42" s="316">
        <f t="shared" si="302"/>
        <v>12.000345916358683</v>
      </c>
      <c r="DU42" s="314">
        <f t="shared" si="303"/>
        <v>3.4165681794313483</v>
      </c>
      <c r="DV42" s="316">
        <f t="shared" si="44"/>
        <v>141.85605164112596</v>
      </c>
      <c r="DW42" s="310">
        <f t="shared" si="304"/>
        <v>3.9476638008839697</v>
      </c>
      <c r="FB42" s="307"/>
      <c r="FC42" s="307"/>
      <c r="FF42" s="307"/>
      <c r="FG42" s="307"/>
      <c r="FH42" s="306"/>
      <c r="FJ42" s="307"/>
      <c r="FK42" s="307"/>
      <c r="FL42" s="306"/>
      <c r="FM42" s="307"/>
      <c r="FN42" s="306"/>
      <c r="FO42" s="307"/>
      <c r="FP42" s="306"/>
    </row>
    <row r="43" spans="1:172" ht="15" customHeight="1">
      <c r="A43">
        <v>42</v>
      </c>
      <c r="B43" t="s">
        <v>236</v>
      </c>
      <c r="F43" t="str">
        <f>IF(BV27&lt;&gt;"",BQ25,"----------")</f>
        <v>----------</v>
      </c>
      <c r="G43" s="177" t="str">
        <f>IF(BV27&lt;&gt;"",Y25,"----------")</f>
        <v>----------</v>
      </c>
      <c r="AC43" s="156"/>
      <c r="AD43" s="155">
        <v>18</v>
      </c>
      <c r="AE43" s="159">
        <v>22</v>
      </c>
      <c r="AF43" s="159"/>
      <c r="AG43" s="188">
        <v>18</v>
      </c>
      <c r="AH43" s="183">
        <v>420</v>
      </c>
      <c r="AI43" s="190">
        <v>484</v>
      </c>
      <c r="AJ43" s="185">
        <v>18</v>
      </c>
      <c r="AK43" s="183">
        <f t="shared" si="244"/>
        <v>484</v>
      </c>
      <c r="AM43" s="188">
        <v>18</v>
      </c>
      <c r="AN43" s="183">
        <v>1040</v>
      </c>
      <c r="AO43" s="182">
        <v>6.3399999999999998E-2</v>
      </c>
      <c r="AP43" s="185">
        <v>18</v>
      </c>
      <c r="AQ43" s="184">
        <f t="shared" si="245"/>
        <v>6.3399999999999998E-2</v>
      </c>
      <c r="AR43" s="190">
        <v>484</v>
      </c>
      <c r="AS43" s="185">
        <v>18</v>
      </c>
      <c r="AT43" s="183">
        <f t="shared" si="246"/>
        <v>484</v>
      </c>
      <c r="AV43" s="188">
        <v>18</v>
      </c>
      <c r="AW43" s="183">
        <v>1040</v>
      </c>
      <c r="AX43" s="182">
        <v>6.3399999999999998E-2</v>
      </c>
      <c r="AY43" s="185">
        <v>18</v>
      </c>
      <c r="AZ43" s="184">
        <f t="shared" si="247"/>
        <v>6.3399999999999998E-2</v>
      </c>
      <c r="BA43" s="190">
        <v>484</v>
      </c>
      <c r="BB43" s="185">
        <v>18</v>
      </c>
      <c r="BC43" s="183">
        <f t="shared" si="248"/>
        <v>484</v>
      </c>
      <c r="BE43" s="188">
        <v>18</v>
      </c>
      <c r="BF43" s="183">
        <v>1040</v>
      </c>
      <c r="BG43" s="182">
        <v>6.3399999999999998E-2</v>
      </c>
      <c r="BH43" s="185">
        <v>18</v>
      </c>
      <c r="BI43" s="184">
        <f t="shared" si="249"/>
        <v>6.3399999999999998E-2</v>
      </c>
      <c r="BJ43" s="154"/>
      <c r="BK43" s="533">
        <v>18</v>
      </c>
      <c r="BL43" s="183">
        <f t="shared" si="305"/>
        <v>600</v>
      </c>
      <c r="BM43" s="155">
        <v>1040</v>
      </c>
      <c r="BO43" s="193"/>
      <c r="BP43" s="1061"/>
      <c r="BQ43" s="1061"/>
      <c r="BR43" s="1061"/>
      <c r="BS43" s="1061"/>
      <c r="BT43" s="1061"/>
      <c r="BU43" s="1061"/>
      <c r="BV43" s="1061"/>
      <c r="BW43" s="1061"/>
      <c r="BX43" s="1061"/>
      <c r="BY43" s="1061"/>
      <c r="BZ43" s="1061"/>
      <c r="CA43" s="1061"/>
      <c r="CB43" s="1061"/>
      <c r="CC43" s="1061"/>
      <c r="CD43" s="1061"/>
      <c r="CE43" s="1061"/>
      <c r="CF43" s="1061"/>
      <c r="CG43" s="1061"/>
      <c r="CH43" s="1061"/>
      <c r="CI43" s="1061"/>
      <c r="CJ43" s="1061"/>
      <c r="CK43" s="1061"/>
      <c r="CL43" s="1061"/>
      <c r="CM43" s="1061"/>
      <c r="CN43" s="1061"/>
      <c r="CO43" s="1061"/>
      <c r="CP43" s="1061"/>
      <c r="CQ43" s="1061"/>
      <c r="CR43" s="1061"/>
      <c r="CS43" s="1061"/>
      <c r="CT43" s="1061"/>
      <c r="CU43" s="1061"/>
      <c r="CV43" s="1062"/>
      <c r="CW43" s="364"/>
      <c r="CX43" s="309">
        <f>select_width-5</f>
        <v>595</v>
      </c>
      <c r="CY43" s="313">
        <v>595</v>
      </c>
      <c r="DA43" s="309">
        <v>42</v>
      </c>
      <c r="DB43" s="313">
        <f t="shared" si="306"/>
        <v>215.28674983918049</v>
      </c>
      <c r="DC43" s="309">
        <f t="shared" si="307"/>
        <v>1</v>
      </c>
      <c r="DD43" s="309">
        <f t="shared" si="308"/>
        <v>260</v>
      </c>
      <c r="DE43" s="308">
        <f t="shared" si="309"/>
        <v>6.5000000000000002E-2</v>
      </c>
      <c r="DF43" s="313">
        <f t="shared" si="39"/>
        <v>42</v>
      </c>
      <c r="DG43" s="313">
        <f t="shared" si="24"/>
        <v>215.28674983918049</v>
      </c>
      <c r="DH43" s="313">
        <f t="shared" si="25"/>
        <v>215.28674983918049</v>
      </c>
      <c r="DI43" s="313">
        <f t="shared" si="26"/>
        <v>0</v>
      </c>
      <c r="DJ43" s="313">
        <f t="shared" si="27"/>
        <v>0</v>
      </c>
      <c r="DK43" s="313">
        <f t="shared" si="40"/>
        <v>8728.6651215423808</v>
      </c>
      <c r="DL43" s="313">
        <f t="shared" si="28"/>
        <v>142311.13889791851</v>
      </c>
      <c r="DM43" s="314">
        <f t="shared" si="299"/>
        <v>8.4282110709908427</v>
      </c>
      <c r="DN43" s="312">
        <f t="shared" si="300"/>
        <v>0.20067169216644865</v>
      </c>
      <c r="DO43" s="312">
        <f t="shared" si="41"/>
        <v>0.82802596091992497</v>
      </c>
      <c r="DP43" s="315">
        <f t="shared" si="301"/>
        <v>6.1422366158138335E-2</v>
      </c>
      <c r="DQ43" s="316">
        <f t="shared" si="30"/>
        <v>0.28530490707867961</v>
      </c>
      <c r="DR43" s="316">
        <f t="shared" si="31"/>
        <v>12.285650823437361</v>
      </c>
      <c r="DS43" s="314">
        <f t="shared" si="32"/>
        <v>3.4186223101731423</v>
      </c>
      <c r="DT43" s="316">
        <f t="shared" si="302"/>
        <v>12.285650823437361</v>
      </c>
      <c r="DU43" s="314">
        <f t="shared" si="303"/>
        <v>3.4186223101731423</v>
      </c>
      <c r="DV43" s="316">
        <f t="shared" si="44"/>
        <v>141.57040860658381</v>
      </c>
      <c r="DW43" s="310">
        <f t="shared" si="304"/>
        <v>3.9485652792980876</v>
      </c>
      <c r="FB43" s="307"/>
      <c r="FC43" s="307"/>
      <c r="FF43" s="307"/>
      <c r="FG43" s="307"/>
      <c r="FH43" s="306"/>
      <c r="FJ43" s="307"/>
      <c r="FK43" s="307"/>
      <c r="FL43" s="306"/>
      <c r="FM43" s="307"/>
      <c r="FN43" s="306"/>
      <c r="FO43" s="307"/>
      <c r="FP43" s="306"/>
    </row>
    <row r="44" spans="1:172" ht="15.75" customHeight="1" thickBot="1">
      <c r="A44">
        <v>43</v>
      </c>
      <c r="B44" t="s">
        <v>240</v>
      </c>
      <c r="F44" t="str">
        <f>IF(BV27&lt;&gt;"",BV27,"----------")</f>
        <v>----------</v>
      </c>
      <c r="G44" s="854" t="str">
        <f>IF(BV27&lt;&gt;"",BX27,"----------")</f>
        <v>----------</v>
      </c>
      <c r="AC44" s="156"/>
      <c r="AD44" s="155">
        <v>19</v>
      </c>
      <c r="AE44" s="159">
        <v>21.5</v>
      </c>
      <c r="AF44" s="159"/>
      <c r="AG44" s="188">
        <v>19</v>
      </c>
      <c r="AH44" s="183">
        <v>415</v>
      </c>
      <c r="AI44" s="190">
        <v>483</v>
      </c>
      <c r="AJ44" s="185">
        <v>19</v>
      </c>
      <c r="AK44" s="183">
        <f t="shared" si="244"/>
        <v>483</v>
      </c>
      <c r="AM44" s="188">
        <v>19</v>
      </c>
      <c r="AN44" s="183">
        <v>1030</v>
      </c>
      <c r="AO44" s="182">
        <v>6.3299999999999995E-2</v>
      </c>
      <c r="AP44" s="185">
        <v>19</v>
      </c>
      <c r="AQ44" s="184">
        <f t="shared" si="245"/>
        <v>6.3299999999999995E-2</v>
      </c>
      <c r="AR44" s="190">
        <v>483</v>
      </c>
      <c r="AS44" s="185">
        <v>19</v>
      </c>
      <c r="AT44" s="183">
        <f t="shared" si="246"/>
        <v>483</v>
      </c>
      <c r="AV44" s="188">
        <v>19</v>
      </c>
      <c r="AW44" s="183">
        <v>1030</v>
      </c>
      <c r="AX44" s="182">
        <v>6.3299999999999995E-2</v>
      </c>
      <c r="AY44" s="185">
        <v>19</v>
      </c>
      <c r="AZ44" s="184">
        <f t="shared" si="247"/>
        <v>6.3299999999999995E-2</v>
      </c>
      <c r="BA44" s="190">
        <v>483</v>
      </c>
      <c r="BB44" s="185">
        <v>19</v>
      </c>
      <c r="BC44" s="183">
        <f t="shared" si="248"/>
        <v>483</v>
      </c>
      <c r="BE44" s="188">
        <v>19</v>
      </c>
      <c r="BF44" s="183">
        <v>1030</v>
      </c>
      <c r="BG44" s="182">
        <v>6.3299999999999995E-2</v>
      </c>
      <c r="BH44" s="185">
        <v>19</v>
      </c>
      <c r="BI44" s="184">
        <f t="shared" si="249"/>
        <v>6.3299999999999995E-2</v>
      </c>
      <c r="BJ44" s="154"/>
      <c r="BK44" s="533">
        <v>19</v>
      </c>
      <c r="BL44" s="183">
        <f t="shared" si="305"/>
        <v>600</v>
      </c>
      <c r="BM44" s="155">
        <v>1030</v>
      </c>
      <c r="BO44" s="253"/>
      <c r="BP44" s="1063"/>
      <c r="BQ44" s="1063"/>
      <c r="BR44" s="1063"/>
      <c r="BS44" s="1063"/>
      <c r="BT44" s="1063"/>
      <c r="BU44" s="1063"/>
      <c r="BV44" s="1063"/>
      <c r="BW44" s="1063"/>
      <c r="BX44" s="1063"/>
      <c r="BY44" s="1063"/>
      <c r="BZ44" s="1063"/>
      <c r="CA44" s="1063"/>
      <c r="CB44" s="1063"/>
      <c r="CC44" s="1063"/>
      <c r="CD44" s="1063"/>
      <c r="CE44" s="1063"/>
      <c r="CF44" s="1063"/>
      <c r="CG44" s="1063"/>
      <c r="CH44" s="1063"/>
      <c r="CI44" s="1063"/>
      <c r="CJ44" s="1063"/>
      <c r="CK44" s="1063"/>
      <c r="CL44" s="1063"/>
      <c r="CM44" s="1063"/>
      <c r="CN44" s="1063"/>
      <c r="CO44" s="1063"/>
      <c r="CP44" s="1063"/>
      <c r="CQ44" s="1063"/>
      <c r="CR44" s="1063"/>
      <c r="CS44" s="1063"/>
      <c r="CT44" s="1063"/>
      <c r="CU44" s="1063"/>
      <c r="CV44" s="1064"/>
      <c r="CW44" s="364"/>
      <c r="CX44" s="309">
        <f>select_width-5</f>
        <v>595</v>
      </c>
      <c r="CY44" s="313">
        <v>585</v>
      </c>
      <c r="DA44" s="309">
        <v>43</v>
      </c>
      <c r="DB44" s="313">
        <f t="shared" si="306"/>
        <v>215.65072007344671</v>
      </c>
      <c r="DC44" s="309">
        <f t="shared" si="307"/>
        <v>1</v>
      </c>
      <c r="DD44" s="309">
        <f t="shared" si="308"/>
        <v>260</v>
      </c>
      <c r="DE44" s="308">
        <f t="shared" si="309"/>
        <v>6.5000000000000002E-2</v>
      </c>
      <c r="DF44" s="313">
        <f t="shared" si="39"/>
        <v>43</v>
      </c>
      <c r="DG44" s="313">
        <f t="shared" si="24"/>
        <v>215.65072007344671</v>
      </c>
      <c r="DH44" s="313">
        <f t="shared" si="25"/>
        <v>215.65072007344671</v>
      </c>
      <c r="DI44" s="313">
        <f t="shared" si="26"/>
        <v>0</v>
      </c>
      <c r="DJ44" s="313">
        <f t="shared" si="27"/>
        <v>0</v>
      </c>
      <c r="DK44" s="313">
        <f t="shared" si="40"/>
        <v>8944.3158416158276</v>
      </c>
      <c r="DL44" s="313">
        <f t="shared" si="28"/>
        <v>142095.85214807934</v>
      </c>
      <c r="DM44" s="314">
        <f t="shared" si="299"/>
        <v>8.5987852245545096</v>
      </c>
      <c r="DN44" s="312">
        <f t="shared" si="300"/>
        <v>0.19997174940824441</v>
      </c>
      <c r="DO44" s="312">
        <f t="shared" si="41"/>
        <v>0.82942584643633344</v>
      </c>
      <c r="DP44" s="315">
        <f t="shared" si="301"/>
        <v>6.1453500490218631E-2</v>
      </c>
      <c r="DQ44" s="316">
        <f t="shared" si="30"/>
        <v>0.28496775002322594</v>
      </c>
      <c r="DR44" s="316">
        <f t="shared" si="31"/>
        <v>12.570618573460587</v>
      </c>
      <c r="DS44" s="314">
        <f t="shared" si="32"/>
        <v>3.4206749452077645</v>
      </c>
      <c r="DT44" s="316">
        <f t="shared" si="302"/>
        <v>12.570618573460587</v>
      </c>
      <c r="DU44" s="314">
        <f t="shared" si="303"/>
        <v>3.4206749452077645</v>
      </c>
      <c r="DV44" s="316">
        <f t="shared" si="44"/>
        <v>141.28510369950513</v>
      </c>
      <c r="DW44" s="310">
        <f t="shared" si="304"/>
        <v>3.9494609508642382</v>
      </c>
      <c r="FB44" s="307"/>
      <c r="FC44" s="307"/>
      <c r="FF44" s="307"/>
      <c r="FG44" s="307"/>
      <c r="FH44" s="306"/>
      <c r="FJ44" s="307"/>
      <c r="FK44" s="307"/>
      <c r="FL44" s="306"/>
      <c r="FM44" s="307"/>
      <c r="FN44" s="306"/>
      <c r="FO44" s="307"/>
      <c r="FP44" s="306"/>
    </row>
    <row r="45" spans="1:172">
      <c r="A45">
        <v>44</v>
      </c>
      <c r="B45" t="s">
        <v>245</v>
      </c>
      <c r="F45" t="str">
        <f>IF(BV27&lt;&gt;"",BQ27,"----------")</f>
        <v>----------</v>
      </c>
      <c r="G45" s="177" t="str">
        <f>IF(BV27&lt;&gt;"",second_thick,"----------")</f>
        <v>----------</v>
      </c>
      <c r="AC45" s="156"/>
      <c r="AD45" s="155">
        <v>20</v>
      </c>
      <c r="AE45" s="159">
        <v>21</v>
      </c>
      <c r="AF45" s="159"/>
      <c r="AG45" s="188">
        <v>20</v>
      </c>
      <c r="AH45" s="183">
        <v>410</v>
      </c>
      <c r="AI45" s="190">
        <v>482</v>
      </c>
      <c r="AJ45" s="185">
        <v>20</v>
      </c>
      <c r="AK45" s="183">
        <f t="shared" si="244"/>
        <v>482</v>
      </c>
      <c r="AM45" s="188">
        <v>20</v>
      </c>
      <c r="AN45" s="183">
        <v>1020</v>
      </c>
      <c r="AO45" s="182">
        <v>6.3200000000000006E-2</v>
      </c>
      <c r="AP45" s="185">
        <v>20</v>
      </c>
      <c r="AQ45" s="184">
        <f t="shared" si="245"/>
        <v>6.3200000000000006E-2</v>
      </c>
      <c r="AR45" s="190">
        <v>482</v>
      </c>
      <c r="AS45" s="185">
        <v>20</v>
      </c>
      <c r="AT45" s="183">
        <f t="shared" si="246"/>
        <v>482</v>
      </c>
      <c r="AV45" s="188">
        <v>20</v>
      </c>
      <c r="AW45" s="183">
        <v>1020</v>
      </c>
      <c r="AX45" s="182">
        <v>6.3200000000000006E-2</v>
      </c>
      <c r="AY45" s="185">
        <v>20</v>
      </c>
      <c r="AZ45" s="184">
        <f t="shared" si="247"/>
        <v>6.3200000000000006E-2</v>
      </c>
      <c r="BA45" s="190">
        <v>482</v>
      </c>
      <c r="BB45" s="185">
        <v>20</v>
      </c>
      <c r="BC45" s="183">
        <f t="shared" si="248"/>
        <v>482</v>
      </c>
      <c r="BE45" s="188">
        <v>20</v>
      </c>
      <c r="BF45" s="183">
        <v>1020</v>
      </c>
      <c r="BG45" s="182">
        <v>6.3200000000000006E-2</v>
      </c>
      <c r="BH45" s="185">
        <v>20</v>
      </c>
      <c r="BI45" s="184">
        <f t="shared" si="249"/>
        <v>6.3200000000000006E-2</v>
      </c>
      <c r="BJ45" s="154"/>
      <c r="BK45" s="533">
        <v>20</v>
      </c>
      <c r="BL45" s="183">
        <f t="shared" si="305"/>
        <v>600</v>
      </c>
      <c r="BM45" s="155">
        <v>1020</v>
      </c>
      <c r="BP45" s="1065"/>
      <c r="BQ45" s="1065"/>
      <c r="BR45" s="1065"/>
      <c r="BS45" s="1065"/>
      <c r="BT45" s="1065"/>
      <c r="BU45" s="1065"/>
      <c r="BV45" s="1065"/>
      <c r="BW45" s="1065"/>
      <c r="BX45" s="1065"/>
      <c r="BY45" s="1065"/>
      <c r="BZ45" s="1065"/>
      <c r="CA45" s="1065"/>
      <c r="CB45" s="1065"/>
      <c r="CW45" s="364"/>
      <c r="DA45" s="309">
        <v>44</v>
      </c>
      <c r="DB45" s="313">
        <f t="shared" si="306"/>
        <v>216.0146903077129</v>
      </c>
      <c r="DC45" s="309">
        <f t="shared" si="307"/>
        <v>1</v>
      </c>
      <c r="DD45" s="309">
        <f t="shared" si="308"/>
        <v>260</v>
      </c>
      <c r="DE45" s="308">
        <f t="shared" si="309"/>
        <v>6.5000000000000002E-2</v>
      </c>
      <c r="DF45" s="313">
        <f t="shared" si="39"/>
        <v>44</v>
      </c>
      <c r="DG45" s="313">
        <f t="shared" si="24"/>
        <v>216.0146903077129</v>
      </c>
      <c r="DH45" s="313">
        <f t="shared" si="25"/>
        <v>216.0146903077129</v>
      </c>
      <c r="DI45" s="313">
        <f t="shared" si="26"/>
        <v>0</v>
      </c>
      <c r="DJ45" s="313">
        <f t="shared" si="27"/>
        <v>0</v>
      </c>
      <c r="DK45" s="313">
        <f t="shared" si="40"/>
        <v>9160.3305319235405</v>
      </c>
      <c r="DL45" s="313">
        <f t="shared" si="28"/>
        <v>141880.20142800591</v>
      </c>
      <c r="DM45" s="314">
        <f t="shared" si="299"/>
        <v>8.7679594926017685</v>
      </c>
      <c r="DN45" s="312">
        <f t="shared" si="300"/>
        <v>0.19927180665004018</v>
      </c>
      <c r="DO45" s="312">
        <f t="shared" si="41"/>
        <v>0.8308257319527419</v>
      </c>
      <c r="DP45" s="315">
        <f t="shared" si="301"/>
        <v>6.1484598060538104E-2</v>
      </c>
      <c r="DQ45" s="316">
        <f t="shared" si="30"/>
        <v>0.28463155895996378</v>
      </c>
      <c r="DR45" s="316">
        <f t="shared" si="31"/>
        <v>12.855250132420551</v>
      </c>
      <c r="DS45" s="314">
        <f t="shared" si="32"/>
        <v>3.422726088311058</v>
      </c>
      <c r="DT45" s="316">
        <f t="shared" si="302"/>
        <v>12.855250132420551</v>
      </c>
      <c r="DU45" s="314">
        <f t="shared" si="303"/>
        <v>3.422726088311058</v>
      </c>
      <c r="DV45" s="316">
        <f t="shared" si="44"/>
        <v>141.00013594948192</v>
      </c>
      <c r="DW45" s="310">
        <f t="shared" si="304"/>
        <v>3.9503508010769872</v>
      </c>
      <c r="FB45" s="307"/>
      <c r="FC45" s="307"/>
      <c r="FF45" s="307"/>
      <c r="FG45" s="307"/>
      <c r="FH45" s="306"/>
      <c r="FJ45" s="307"/>
      <c r="FK45" s="307"/>
      <c r="FL45" s="306"/>
      <c r="FM45" s="307"/>
      <c r="FN45" s="306"/>
      <c r="FO45" s="307"/>
      <c r="FP45" s="306"/>
    </row>
    <row r="46" spans="1:172">
      <c r="A46">
        <v>45</v>
      </c>
      <c r="B46" t="s">
        <v>250</v>
      </c>
      <c r="F46" t="str">
        <f>IF(BV27&lt;&gt;"",BQ29,"----------")</f>
        <v>----------</v>
      </c>
      <c r="G46" s="177" t="str">
        <f>IF(BV27&lt;&gt;"",second_width,"----------")</f>
        <v>----------</v>
      </c>
      <c r="AC46" s="156"/>
      <c r="AD46" s="155">
        <v>21</v>
      </c>
      <c r="AE46" s="159">
        <v>20.5</v>
      </c>
      <c r="AF46" s="159"/>
      <c r="AG46" s="188">
        <v>21</v>
      </c>
      <c r="AH46" s="183">
        <v>405</v>
      </c>
      <c r="AI46" s="190">
        <v>481</v>
      </c>
      <c r="AJ46" s="185">
        <v>21</v>
      </c>
      <c r="AK46" s="183">
        <f t="shared" si="244"/>
        <v>481</v>
      </c>
      <c r="AM46" s="188">
        <v>21</v>
      </c>
      <c r="AN46" s="183">
        <v>1010</v>
      </c>
      <c r="AO46" s="182">
        <v>6.3100000000000003E-2</v>
      </c>
      <c r="AP46" s="185">
        <v>21</v>
      </c>
      <c r="AQ46" s="184">
        <f t="shared" si="245"/>
        <v>6.3100000000000003E-2</v>
      </c>
      <c r="AR46" s="190">
        <v>481</v>
      </c>
      <c r="AS46" s="185">
        <v>21</v>
      </c>
      <c r="AT46" s="183">
        <f t="shared" si="246"/>
        <v>481</v>
      </c>
      <c r="AV46" s="188">
        <v>21</v>
      </c>
      <c r="AW46" s="183">
        <v>1010</v>
      </c>
      <c r="AX46" s="182">
        <v>6.3100000000000003E-2</v>
      </c>
      <c r="AY46" s="185">
        <v>21</v>
      </c>
      <c r="AZ46" s="184">
        <f t="shared" si="247"/>
        <v>6.3100000000000003E-2</v>
      </c>
      <c r="BA46" s="190">
        <v>481</v>
      </c>
      <c r="BB46" s="185">
        <v>21</v>
      </c>
      <c r="BC46" s="183">
        <f t="shared" si="248"/>
        <v>481</v>
      </c>
      <c r="BE46" s="188">
        <v>21</v>
      </c>
      <c r="BF46" s="183">
        <v>1010</v>
      </c>
      <c r="BG46" s="182">
        <v>6.3100000000000003E-2</v>
      </c>
      <c r="BH46" s="185">
        <v>21</v>
      </c>
      <c r="BI46" s="184">
        <f t="shared" si="249"/>
        <v>6.3100000000000003E-2</v>
      </c>
      <c r="BJ46" s="154"/>
      <c r="BK46" s="533">
        <v>21</v>
      </c>
      <c r="BL46" s="183">
        <f t="shared" si="305"/>
        <v>600</v>
      </c>
      <c r="BM46" s="155">
        <v>1010</v>
      </c>
      <c r="BP46" s="1065"/>
      <c r="BQ46" s="1065"/>
      <c r="BR46" s="1065"/>
      <c r="BS46" s="1065"/>
      <c r="BT46" s="1065"/>
      <c r="BU46" s="1065"/>
      <c r="BV46" s="1065"/>
      <c r="BW46" s="1065"/>
      <c r="BX46" s="1065"/>
      <c r="BY46" s="1065"/>
      <c r="BZ46" s="1065"/>
      <c r="CA46" s="1065"/>
      <c r="CB46" s="1065"/>
      <c r="CW46" s="364"/>
      <c r="CX46" s="309">
        <f>select_width-5</f>
        <v>595</v>
      </c>
      <c r="CY46" s="313">
        <v>10</v>
      </c>
      <c r="DA46" s="309">
        <v>45</v>
      </c>
      <c r="DB46" s="313">
        <f t="shared" si="306"/>
        <v>216.37866054197912</v>
      </c>
      <c r="DC46" s="309">
        <f t="shared" si="307"/>
        <v>1</v>
      </c>
      <c r="DD46" s="309">
        <f t="shared" si="308"/>
        <v>260</v>
      </c>
      <c r="DE46" s="308">
        <f t="shared" si="309"/>
        <v>6.5000000000000002E-2</v>
      </c>
      <c r="DF46" s="313">
        <f t="shared" si="39"/>
        <v>45</v>
      </c>
      <c r="DG46" s="313">
        <f t="shared" si="24"/>
        <v>216.37866054197912</v>
      </c>
      <c r="DH46" s="313">
        <f t="shared" si="25"/>
        <v>216.37866054197912</v>
      </c>
      <c r="DI46" s="313">
        <f t="shared" si="26"/>
        <v>0</v>
      </c>
      <c r="DJ46" s="313">
        <f t="shared" si="27"/>
        <v>0</v>
      </c>
      <c r="DK46" s="313">
        <f t="shared" si="40"/>
        <v>9376.7091924655197</v>
      </c>
      <c r="DL46" s="313">
        <f t="shared" si="28"/>
        <v>141664.18673769818</v>
      </c>
      <c r="DM46" s="314">
        <f t="shared" si="299"/>
        <v>8.9357338751326179</v>
      </c>
      <c r="DN46" s="312">
        <f t="shared" si="300"/>
        <v>0.19857186389183595</v>
      </c>
      <c r="DO46" s="312">
        <f t="shared" si="41"/>
        <v>0.83222561746915047</v>
      </c>
      <c r="DP46" s="315">
        <f t="shared" si="301"/>
        <v>6.1515658974334642E-2</v>
      </c>
      <c r="DQ46" s="316">
        <f t="shared" si="30"/>
        <v>0.28429632950057077</v>
      </c>
      <c r="DR46" s="316">
        <f t="shared" si="31"/>
        <v>13.139546461921121</v>
      </c>
      <c r="DS46" s="314">
        <f t="shared" si="32"/>
        <v>3.42477574324286</v>
      </c>
      <c r="DT46" s="316">
        <f t="shared" si="302"/>
        <v>13.139546461921121</v>
      </c>
      <c r="DU46" s="314">
        <f t="shared" si="303"/>
        <v>3.42477574324286</v>
      </c>
      <c r="DV46" s="316">
        <f t="shared" si="44"/>
        <v>140.71550439052194</v>
      </c>
      <c r="DW46" s="310">
        <f t="shared" si="304"/>
        <v>3.9512348152976529</v>
      </c>
      <c r="FB46" s="307"/>
      <c r="FC46" s="307"/>
      <c r="FF46" s="307"/>
      <c r="FG46" s="307"/>
      <c r="FH46" s="306"/>
      <c r="FJ46" s="307"/>
      <c r="FK46" s="307"/>
      <c r="FL46" s="306"/>
      <c r="FM46" s="307"/>
      <c r="FN46" s="306"/>
      <c r="FO46" s="307"/>
      <c r="FP46" s="306"/>
    </row>
    <row r="47" spans="1:172" ht="15" customHeight="1">
      <c r="A47">
        <v>46</v>
      </c>
      <c r="B47" t="s">
        <v>255</v>
      </c>
      <c r="F47" t="str">
        <f>IF(BV36&lt;&gt;"",BQ34,"----------")</f>
        <v>----------</v>
      </c>
      <c r="G47" s="177" t="str">
        <f>IF(BV36&lt;&gt;"",AB25,"----------")</f>
        <v>----------</v>
      </c>
      <c r="AC47" s="156"/>
      <c r="AD47" s="155">
        <v>22</v>
      </c>
      <c r="AE47" s="159">
        <v>20</v>
      </c>
      <c r="AF47" s="159"/>
      <c r="AG47" s="188">
        <v>22</v>
      </c>
      <c r="AH47" s="183">
        <v>400</v>
      </c>
      <c r="AI47" s="190">
        <v>480</v>
      </c>
      <c r="AJ47" s="185">
        <v>22</v>
      </c>
      <c r="AK47" s="183">
        <f t="shared" si="244"/>
        <v>480</v>
      </c>
      <c r="AM47" s="188">
        <v>22</v>
      </c>
      <c r="AN47" s="183">
        <v>1000</v>
      </c>
      <c r="AO47" s="182">
        <v>6.3E-2</v>
      </c>
      <c r="AP47" s="185">
        <v>22</v>
      </c>
      <c r="AQ47" s="184">
        <f t="shared" si="245"/>
        <v>6.3E-2</v>
      </c>
      <c r="AR47" s="190">
        <v>480</v>
      </c>
      <c r="AS47" s="185">
        <v>22</v>
      </c>
      <c r="AT47" s="183">
        <f t="shared" si="246"/>
        <v>480</v>
      </c>
      <c r="AV47" s="188">
        <v>22</v>
      </c>
      <c r="AW47" s="183">
        <v>1000</v>
      </c>
      <c r="AX47" s="182">
        <v>6.3E-2</v>
      </c>
      <c r="AY47" s="185">
        <v>22</v>
      </c>
      <c r="AZ47" s="184">
        <f t="shared" si="247"/>
        <v>6.3E-2</v>
      </c>
      <c r="BA47" s="190">
        <v>480</v>
      </c>
      <c r="BB47" s="185">
        <v>22</v>
      </c>
      <c r="BC47" s="183">
        <f t="shared" si="248"/>
        <v>480</v>
      </c>
      <c r="BE47" s="188">
        <v>22</v>
      </c>
      <c r="BF47" s="183">
        <v>1000</v>
      </c>
      <c r="BG47" s="182">
        <v>6.3E-2</v>
      </c>
      <c r="BH47" s="185">
        <v>22</v>
      </c>
      <c r="BI47" s="184">
        <f t="shared" si="249"/>
        <v>6.3E-2</v>
      </c>
      <c r="BJ47" s="154"/>
      <c r="BK47" s="533">
        <v>22</v>
      </c>
      <c r="BL47" s="183">
        <f t="shared" si="305"/>
        <v>600</v>
      </c>
      <c r="BM47" s="155">
        <v>1000</v>
      </c>
      <c r="BP47" s="1065"/>
      <c r="BQ47" s="1065"/>
      <c r="BR47" s="1065"/>
      <c r="BS47" s="1065"/>
      <c r="BT47" s="1065"/>
      <c r="BU47" s="1065"/>
      <c r="BV47" s="1065"/>
      <c r="BW47" s="1065"/>
      <c r="BX47" s="1065"/>
      <c r="BY47" s="1065"/>
      <c r="BZ47" s="1065"/>
      <c r="CA47" s="1065"/>
      <c r="CB47" s="1065"/>
      <c r="CW47" s="364"/>
      <c r="CX47" s="309">
        <f>CX46</f>
        <v>595</v>
      </c>
      <c r="CY47" s="309">
        <v>0</v>
      </c>
      <c r="DA47" s="309">
        <v>46</v>
      </c>
      <c r="DB47" s="313">
        <f t="shared" si="306"/>
        <v>216.74263077624531</v>
      </c>
      <c r="DC47" s="309">
        <f t="shared" si="307"/>
        <v>1</v>
      </c>
      <c r="DD47" s="309">
        <f t="shared" si="308"/>
        <v>260</v>
      </c>
      <c r="DE47" s="308">
        <f t="shared" si="309"/>
        <v>6.5000000000000002E-2</v>
      </c>
      <c r="DF47" s="313">
        <f t="shared" si="39"/>
        <v>46</v>
      </c>
      <c r="DG47" s="313">
        <f t="shared" si="24"/>
        <v>216.74263077624531</v>
      </c>
      <c r="DH47" s="313">
        <f t="shared" si="25"/>
        <v>216.74263077624531</v>
      </c>
      <c r="DI47" s="313">
        <f t="shared" si="26"/>
        <v>0</v>
      </c>
      <c r="DJ47" s="313">
        <f t="shared" si="27"/>
        <v>0</v>
      </c>
      <c r="DK47" s="313">
        <f t="shared" si="40"/>
        <v>9593.4518232417649</v>
      </c>
      <c r="DL47" s="313">
        <f t="shared" si="28"/>
        <v>141447.80807715619</v>
      </c>
      <c r="DM47" s="314">
        <f t="shared" si="299"/>
        <v>9.1021083721470593</v>
      </c>
      <c r="DN47" s="312">
        <f t="shared" si="300"/>
        <v>0.19787192113363172</v>
      </c>
      <c r="DO47" s="312">
        <f t="shared" si="41"/>
        <v>0.83362550298555882</v>
      </c>
      <c r="DP47" s="315">
        <f t="shared" si="301"/>
        <v>6.1546683336368459E-2</v>
      </c>
      <c r="DQ47" s="316">
        <f t="shared" si="30"/>
        <v>0.28396205728399737</v>
      </c>
      <c r="DR47" s="316">
        <f t="shared" si="31"/>
        <v>13.423508519205118</v>
      </c>
      <c r="DS47" s="314">
        <f t="shared" si="32"/>
        <v>3.4268239137470986</v>
      </c>
      <c r="DT47" s="316">
        <f t="shared" si="302"/>
        <v>13.423508519205118</v>
      </c>
      <c r="DU47" s="314">
        <f t="shared" si="303"/>
        <v>3.4268239137470986</v>
      </c>
      <c r="DV47" s="316">
        <f t="shared" si="44"/>
        <v>140.43120806102138</v>
      </c>
      <c r="DW47" s="310">
        <f t="shared" si="304"/>
        <v>3.9521129787535303</v>
      </c>
      <c r="FB47" s="307"/>
      <c r="FC47" s="307"/>
      <c r="FF47" s="307"/>
      <c r="FG47" s="307"/>
      <c r="FH47" s="306"/>
      <c r="FJ47" s="307"/>
      <c r="FK47" s="307"/>
      <c r="FL47" s="306"/>
      <c r="FM47" s="307"/>
      <c r="FN47" s="306"/>
      <c r="FO47" s="307"/>
      <c r="FP47" s="306"/>
    </row>
    <row r="48" spans="1:172" ht="15" customHeight="1">
      <c r="A48">
        <v>47</v>
      </c>
      <c r="B48" t="s">
        <v>260</v>
      </c>
      <c r="F48" t="str">
        <f>IF(BV36&lt;&gt;"",BV36,"----------")</f>
        <v>----------</v>
      </c>
      <c r="G48" s="858" t="str">
        <f>IF(BV36&lt;&gt;"",BX36,"----------")</f>
        <v>----------</v>
      </c>
      <c r="AC48" s="156"/>
      <c r="AD48" s="155">
        <v>23</v>
      </c>
      <c r="AE48" s="159">
        <v>19.5</v>
      </c>
      <c r="AF48" s="159"/>
      <c r="AG48" s="188">
        <v>23</v>
      </c>
      <c r="AH48" s="183">
        <v>395</v>
      </c>
      <c r="AI48" s="190">
        <v>479</v>
      </c>
      <c r="AJ48" s="185">
        <v>23</v>
      </c>
      <c r="AK48" s="183">
        <f t="shared" si="244"/>
        <v>479</v>
      </c>
      <c r="AM48" s="188">
        <v>23</v>
      </c>
      <c r="AN48" s="183">
        <v>990</v>
      </c>
      <c r="AO48" s="182">
        <v>6.2899999999999998E-2</v>
      </c>
      <c r="AP48" s="185">
        <v>23</v>
      </c>
      <c r="AQ48" s="184">
        <f t="shared" si="245"/>
        <v>6.2899999999999998E-2</v>
      </c>
      <c r="AR48" s="190">
        <v>479</v>
      </c>
      <c r="AS48" s="185">
        <v>23</v>
      </c>
      <c r="AT48" s="183">
        <f t="shared" si="246"/>
        <v>479</v>
      </c>
      <c r="AV48" s="188">
        <v>23</v>
      </c>
      <c r="AW48" s="183">
        <v>990</v>
      </c>
      <c r="AX48" s="182">
        <v>6.2899999999999998E-2</v>
      </c>
      <c r="AY48" s="185">
        <v>23</v>
      </c>
      <c r="AZ48" s="184">
        <f t="shared" si="247"/>
        <v>6.2899999999999998E-2</v>
      </c>
      <c r="BA48" s="190">
        <v>479</v>
      </c>
      <c r="BB48" s="185">
        <v>23</v>
      </c>
      <c r="BC48" s="183">
        <f t="shared" si="248"/>
        <v>479</v>
      </c>
      <c r="BE48" s="188">
        <v>23</v>
      </c>
      <c r="BF48" s="183">
        <v>990</v>
      </c>
      <c r="BG48" s="182">
        <v>6.2899999999999998E-2</v>
      </c>
      <c r="BH48" s="185">
        <v>23</v>
      </c>
      <c r="BI48" s="184">
        <f t="shared" si="249"/>
        <v>6.2899999999999998E-2</v>
      </c>
      <c r="BJ48" s="154"/>
      <c r="BK48" s="533">
        <v>23</v>
      </c>
      <c r="BL48" s="183">
        <f t="shared" si="305"/>
        <v>600</v>
      </c>
      <c r="BM48" s="155">
        <v>990</v>
      </c>
      <c r="BP48" s="1065"/>
      <c r="BQ48" s="1065"/>
      <c r="BR48" s="1065"/>
      <c r="BS48" s="1065"/>
      <c r="BT48" s="1065"/>
      <c r="BU48" s="1065"/>
      <c r="BV48" s="1065"/>
      <c r="BW48" s="1065"/>
      <c r="BX48" s="1065"/>
      <c r="BY48" s="1065"/>
      <c r="BZ48" s="1065"/>
      <c r="CA48" s="1065"/>
      <c r="CB48" s="1065"/>
      <c r="CW48" s="364"/>
      <c r="DA48" s="309">
        <v>47</v>
      </c>
      <c r="DB48" s="313">
        <f t="shared" si="306"/>
        <v>217.1066010105115</v>
      </c>
      <c r="DC48" s="309">
        <f t="shared" si="307"/>
        <v>1</v>
      </c>
      <c r="DD48" s="309">
        <f t="shared" si="308"/>
        <v>260</v>
      </c>
      <c r="DE48" s="308">
        <f t="shared" si="309"/>
        <v>6.5000000000000002E-2</v>
      </c>
      <c r="DF48" s="313">
        <f t="shared" si="39"/>
        <v>47</v>
      </c>
      <c r="DG48" s="313">
        <f t="shared" si="24"/>
        <v>217.1066010105115</v>
      </c>
      <c r="DH48" s="313">
        <f t="shared" si="25"/>
        <v>217.1066010105115</v>
      </c>
      <c r="DI48" s="313">
        <f t="shared" si="26"/>
        <v>0</v>
      </c>
      <c r="DJ48" s="313">
        <f t="shared" si="27"/>
        <v>0</v>
      </c>
      <c r="DK48" s="313">
        <f t="shared" si="40"/>
        <v>9810.5584242522764</v>
      </c>
      <c r="DL48" s="313">
        <f t="shared" si="28"/>
        <v>141231.06544637994</v>
      </c>
      <c r="DM48" s="314">
        <f t="shared" si="299"/>
        <v>9.2670829836450928</v>
      </c>
      <c r="DN48" s="312">
        <f t="shared" si="300"/>
        <v>0.19717197837542749</v>
      </c>
      <c r="DO48" s="312">
        <f t="shared" si="41"/>
        <v>0.83502538850196728</v>
      </c>
      <c r="DP48" s="315">
        <f t="shared" si="301"/>
        <v>6.1577671250925073E-2</v>
      </c>
      <c r="DQ48" s="316">
        <f t="shared" si="30"/>
        <v>0.2836287379762521</v>
      </c>
      <c r="DR48" s="316">
        <f t="shared" si="31"/>
        <v>13.707137257181371</v>
      </c>
      <c r="DS48" s="314">
        <f t="shared" si="32"/>
        <v>3.4288706035518839</v>
      </c>
      <c r="DT48" s="316">
        <f t="shared" si="302"/>
        <v>13.707137257181371</v>
      </c>
      <c r="DU48" s="314">
        <f t="shared" si="303"/>
        <v>3.4288706035518839</v>
      </c>
      <c r="DV48" s="316">
        <f t="shared" si="44"/>
        <v>140.14724600373739</v>
      </c>
      <c r="DW48" s="310">
        <f t="shared" si="304"/>
        <v>3.9529852765371225</v>
      </c>
      <c r="FB48" s="307"/>
      <c r="FC48" s="307"/>
      <c r="FF48" s="307"/>
      <c r="FG48" s="307"/>
      <c r="FH48" s="306"/>
      <c r="FJ48" s="307"/>
      <c r="FK48" s="307"/>
      <c r="FL48" s="306"/>
      <c r="FM48" s="307"/>
      <c r="FN48" s="306"/>
      <c r="FO48" s="307"/>
      <c r="FP48" s="306"/>
    </row>
    <row r="49" spans="1:172" ht="15" customHeight="1">
      <c r="A49">
        <v>48</v>
      </c>
      <c r="B49" t="s">
        <v>266</v>
      </c>
      <c r="F49" t="str">
        <f>IF(BV36&lt;&gt;"",BQ36,"----------")</f>
        <v>----------</v>
      </c>
      <c r="G49" s="859" t="str">
        <f>IF(BV36&lt;&gt;"",core_thick,"----------")</f>
        <v>----------</v>
      </c>
      <c r="AC49" s="156"/>
      <c r="AD49" s="155">
        <v>24</v>
      </c>
      <c r="AE49" s="159">
        <v>19</v>
      </c>
      <c r="AF49" s="159"/>
      <c r="AG49" s="188">
        <v>24</v>
      </c>
      <c r="AH49" s="183">
        <v>390</v>
      </c>
      <c r="AI49" s="190">
        <v>478</v>
      </c>
      <c r="AJ49" s="185">
        <v>24</v>
      </c>
      <c r="AK49" s="183">
        <f t="shared" si="244"/>
        <v>478</v>
      </c>
      <c r="AM49" s="188">
        <v>24</v>
      </c>
      <c r="AN49" s="183">
        <v>980</v>
      </c>
      <c r="AO49" s="182">
        <v>6.2799999999999995E-2</v>
      </c>
      <c r="AP49" s="185">
        <v>24</v>
      </c>
      <c r="AQ49" s="184">
        <f t="shared" si="245"/>
        <v>6.2799999999999995E-2</v>
      </c>
      <c r="AR49" s="190">
        <v>478</v>
      </c>
      <c r="AS49" s="185">
        <v>24</v>
      </c>
      <c r="AT49" s="183">
        <f t="shared" si="246"/>
        <v>478</v>
      </c>
      <c r="AV49" s="188">
        <v>24</v>
      </c>
      <c r="AW49" s="183">
        <v>980</v>
      </c>
      <c r="AX49" s="182">
        <v>6.2799999999999995E-2</v>
      </c>
      <c r="AY49" s="185">
        <v>24</v>
      </c>
      <c r="AZ49" s="184">
        <f t="shared" si="247"/>
        <v>6.2799999999999995E-2</v>
      </c>
      <c r="BA49" s="190">
        <v>478</v>
      </c>
      <c r="BB49" s="185">
        <v>24</v>
      </c>
      <c r="BC49" s="183">
        <f t="shared" si="248"/>
        <v>478</v>
      </c>
      <c r="BE49" s="188">
        <v>24</v>
      </c>
      <c r="BF49" s="183">
        <v>980</v>
      </c>
      <c r="BG49" s="182">
        <v>6.2799999999999995E-2</v>
      </c>
      <c r="BH49" s="185">
        <v>24</v>
      </c>
      <c r="BI49" s="184">
        <f t="shared" si="249"/>
        <v>6.2799999999999995E-2</v>
      </c>
      <c r="BJ49" s="154"/>
      <c r="BK49" s="533">
        <v>24</v>
      </c>
      <c r="BL49" s="183">
        <f t="shared" si="305"/>
        <v>600</v>
      </c>
      <c r="BM49" s="155">
        <v>980</v>
      </c>
      <c r="BP49" s="1065"/>
      <c r="BQ49" s="1065"/>
      <c r="BR49" s="1065"/>
      <c r="BS49" s="1065"/>
      <c r="BT49" s="1065"/>
      <c r="BU49" s="1065"/>
      <c r="BV49" s="1065"/>
      <c r="BW49" s="1065"/>
      <c r="BX49" s="1065"/>
      <c r="BY49" s="1065"/>
      <c r="BZ49" s="1065"/>
      <c r="CA49" s="1065"/>
      <c r="CB49" s="1065"/>
      <c r="CW49" s="364"/>
      <c r="CX49" s="313">
        <f>select_width+5</f>
        <v>605</v>
      </c>
      <c r="CY49" s="313">
        <v>0</v>
      </c>
      <c r="DA49" s="309">
        <v>48</v>
      </c>
      <c r="DB49" s="313">
        <f t="shared" si="306"/>
        <v>217.47057124477772</v>
      </c>
      <c r="DC49" s="309">
        <f t="shared" si="307"/>
        <v>1</v>
      </c>
      <c r="DD49" s="309">
        <f t="shared" si="308"/>
        <v>260</v>
      </c>
      <c r="DE49" s="308">
        <f t="shared" si="309"/>
        <v>6.5000000000000002E-2</v>
      </c>
      <c r="DF49" s="313">
        <f t="shared" si="39"/>
        <v>48</v>
      </c>
      <c r="DG49" s="313">
        <f t="shared" si="24"/>
        <v>217.47057124477772</v>
      </c>
      <c r="DH49" s="313">
        <f t="shared" si="25"/>
        <v>217.47057124477772</v>
      </c>
      <c r="DI49" s="313">
        <f t="shared" si="26"/>
        <v>0</v>
      </c>
      <c r="DJ49" s="313">
        <f t="shared" si="27"/>
        <v>0</v>
      </c>
      <c r="DK49" s="313">
        <f t="shared" si="40"/>
        <v>10028.028995497054</v>
      </c>
      <c r="DL49" s="313">
        <f t="shared" si="28"/>
        <v>141013.95884536943</v>
      </c>
      <c r="DM49" s="314">
        <f t="shared" si="299"/>
        <v>9.4306577096267166</v>
      </c>
      <c r="DN49" s="312">
        <f t="shared" si="300"/>
        <v>0.19647203561722326</v>
      </c>
      <c r="DO49" s="312">
        <f t="shared" si="41"/>
        <v>0.83642527401837585</v>
      </c>
      <c r="DP49" s="315">
        <f t="shared" si="301"/>
        <v>6.1608622821818212E-2</v>
      </c>
      <c r="DQ49" s="316">
        <f t="shared" si="30"/>
        <v>0.28329636727018837</v>
      </c>
      <c r="DR49" s="316">
        <f t="shared" si="31"/>
        <v>13.990433624451558</v>
      </c>
      <c r="DS49" s="314">
        <f t="shared" si="32"/>
        <v>3.4309158163696059</v>
      </c>
      <c r="DT49" s="316">
        <f t="shared" si="302"/>
        <v>13.990433624451558</v>
      </c>
      <c r="DU49" s="314">
        <f t="shared" si="303"/>
        <v>3.4309158163696059</v>
      </c>
      <c r="DV49" s="316">
        <f t="shared" si="44"/>
        <v>139.86361726576115</v>
      </c>
      <c r="DW49" s="310">
        <f t="shared" si="304"/>
        <v>3.9538516936053485</v>
      </c>
      <c r="FB49" s="307"/>
      <c r="FC49" s="307"/>
      <c r="FF49" s="307"/>
      <c r="FG49" s="307"/>
      <c r="FH49" s="306"/>
      <c r="FJ49" s="307"/>
      <c r="FK49" s="307"/>
      <c r="FL49" s="306"/>
      <c r="FM49" s="307"/>
      <c r="FN49" s="306"/>
      <c r="FO49" s="307"/>
      <c r="FP49" s="306"/>
    </row>
    <row r="50" spans="1:172" ht="15" customHeight="1">
      <c r="A50">
        <v>49</v>
      </c>
      <c r="B50" t="s">
        <v>251</v>
      </c>
      <c r="F50" t="str">
        <f>IF(BV36&lt;&gt;"",BQ38,"----------")</f>
        <v>----------</v>
      </c>
      <c r="G50" s="177" t="str">
        <f>IF(BV36&lt;&gt;"",core_width,"----------")</f>
        <v>----------</v>
      </c>
      <c r="AC50" s="156"/>
      <c r="AD50" s="155">
        <v>25</v>
      </c>
      <c r="AE50" s="159">
        <v>18.5</v>
      </c>
      <c r="AF50" s="159"/>
      <c r="AG50" s="188">
        <v>25</v>
      </c>
      <c r="AH50" s="183">
        <v>385</v>
      </c>
      <c r="AI50" s="190">
        <v>477</v>
      </c>
      <c r="AJ50" s="185">
        <v>25</v>
      </c>
      <c r="AK50" s="183">
        <f t="shared" si="244"/>
        <v>477</v>
      </c>
      <c r="AM50" s="188">
        <v>25</v>
      </c>
      <c r="AN50" s="183">
        <v>970</v>
      </c>
      <c r="AO50" s="182">
        <v>6.2700000000000006E-2</v>
      </c>
      <c r="AP50" s="185">
        <v>25</v>
      </c>
      <c r="AQ50" s="184">
        <f t="shared" si="245"/>
        <v>6.2700000000000006E-2</v>
      </c>
      <c r="AR50" s="190">
        <v>477</v>
      </c>
      <c r="AS50" s="185">
        <v>25</v>
      </c>
      <c r="AT50" s="183">
        <f t="shared" si="246"/>
        <v>477</v>
      </c>
      <c r="AV50" s="188">
        <v>25</v>
      </c>
      <c r="AW50" s="183">
        <v>970</v>
      </c>
      <c r="AX50" s="182">
        <v>6.2700000000000006E-2</v>
      </c>
      <c r="AY50" s="185">
        <v>25</v>
      </c>
      <c r="AZ50" s="184">
        <f t="shared" si="247"/>
        <v>6.2700000000000006E-2</v>
      </c>
      <c r="BA50" s="190">
        <v>477</v>
      </c>
      <c r="BB50" s="185">
        <v>25</v>
      </c>
      <c r="BC50" s="183">
        <f t="shared" si="248"/>
        <v>477</v>
      </c>
      <c r="BE50" s="188">
        <v>25</v>
      </c>
      <c r="BF50" s="183">
        <v>970</v>
      </c>
      <c r="BG50" s="182">
        <v>6.2700000000000006E-2</v>
      </c>
      <c r="BH50" s="185">
        <v>25</v>
      </c>
      <c r="BI50" s="184">
        <f t="shared" si="249"/>
        <v>6.2700000000000006E-2</v>
      </c>
      <c r="BJ50" s="154"/>
      <c r="BK50" s="533">
        <v>25</v>
      </c>
      <c r="BL50" s="183">
        <f t="shared" si="305"/>
        <v>600</v>
      </c>
      <c r="BM50" s="155">
        <v>970</v>
      </c>
      <c r="BP50" s="1065"/>
      <c r="BQ50" s="1065"/>
      <c r="BR50" s="1065"/>
      <c r="BS50" s="1065"/>
      <c r="BT50" s="1065"/>
      <c r="BU50" s="1065"/>
      <c r="BV50" s="1065"/>
      <c r="BW50" s="1065"/>
      <c r="BX50" s="1065"/>
      <c r="BY50" s="1065"/>
      <c r="BZ50" s="1065"/>
      <c r="CA50" s="1065"/>
      <c r="CB50" s="1065"/>
      <c r="CW50" s="364"/>
      <c r="CX50" s="313">
        <f>select_width+5</f>
        <v>605</v>
      </c>
      <c r="CY50" s="313">
        <v>10</v>
      </c>
      <c r="DA50" s="309">
        <v>49</v>
      </c>
      <c r="DB50" s="313">
        <f t="shared" si="306"/>
        <v>217.83454147904391</v>
      </c>
      <c r="DC50" s="309">
        <f t="shared" si="307"/>
        <v>1</v>
      </c>
      <c r="DD50" s="309">
        <f t="shared" si="308"/>
        <v>260</v>
      </c>
      <c r="DE50" s="308">
        <f t="shared" si="309"/>
        <v>6.5000000000000002E-2</v>
      </c>
      <c r="DF50" s="313">
        <f t="shared" si="39"/>
        <v>49</v>
      </c>
      <c r="DG50" s="313">
        <f t="shared" si="24"/>
        <v>217.83454147904391</v>
      </c>
      <c r="DH50" s="313">
        <f t="shared" si="25"/>
        <v>217.83454147904391</v>
      </c>
      <c r="DI50" s="313">
        <f t="shared" si="26"/>
        <v>0</v>
      </c>
      <c r="DJ50" s="313">
        <f t="shared" si="27"/>
        <v>0</v>
      </c>
      <c r="DK50" s="313">
        <f t="shared" si="40"/>
        <v>10245.863536976098</v>
      </c>
      <c r="DL50" s="313">
        <f t="shared" si="28"/>
        <v>140796.48827412465</v>
      </c>
      <c r="DM50" s="314">
        <f t="shared" si="299"/>
        <v>9.5928325500919325</v>
      </c>
      <c r="DN50" s="312">
        <f t="shared" si="300"/>
        <v>0.19577209285901903</v>
      </c>
      <c r="DO50" s="312">
        <f t="shared" si="41"/>
        <v>0.8378251595347842</v>
      </c>
      <c r="DP50" s="315">
        <f t="shared" si="301"/>
        <v>6.163953815239278E-2</v>
      </c>
      <c r="DQ50" s="316">
        <f t="shared" si="30"/>
        <v>0.282964940885294</v>
      </c>
      <c r="DR50" s="316">
        <f t="shared" si="31"/>
        <v>14.273398565336853</v>
      </c>
      <c r="DS50" s="314">
        <f t="shared" si="32"/>
        <v>3.4329595558970225</v>
      </c>
      <c r="DT50" s="316">
        <f t="shared" si="302"/>
        <v>14.273398565336853</v>
      </c>
      <c r="DU50" s="314">
        <f t="shared" si="303"/>
        <v>3.4329595558970225</v>
      </c>
      <c r="DV50" s="316">
        <f t="shared" si="44"/>
        <v>139.58032089849095</v>
      </c>
      <c r="DW50" s="310">
        <f t="shared" si="304"/>
        <v>3.9547122147787515</v>
      </c>
      <c r="FB50" s="307"/>
      <c r="FC50" s="307"/>
      <c r="FF50" s="307"/>
      <c r="FG50" s="307"/>
      <c r="FH50" s="306"/>
      <c r="FJ50" s="307"/>
      <c r="FK50" s="307"/>
      <c r="FL50" s="306"/>
      <c r="FM50" s="307"/>
      <c r="FN50" s="306"/>
      <c r="FO50" s="307"/>
      <c r="FP50" s="306"/>
    </row>
    <row r="51" spans="1:172">
      <c r="A51">
        <v>50</v>
      </c>
      <c r="B51" t="s">
        <v>276</v>
      </c>
      <c r="F51" t="str">
        <f>IF(BV18&lt;&gt;"",CB4,"----------")</f>
        <v>Width</v>
      </c>
      <c r="G51" s="177">
        <f>IF(BV18&lt;&gt;"",select_width,"----------")</f>
        <v>600</v>
      </c>
      <c r="AC51" s="156"/>
      <c r="AD51" s="155">
        <v>26</v>
      </c>
      <c r="AE51" s="159">
        <v>18</v>
      </c>
      <c r="AF51" s="159"/>
      <c r="AG51" s="188">
        <v>26</v>
      </c>
      <c r="AH51" s="183">
        <v>380</v>
      </c>
      <c r="AI51" s="190">
        <v>476</v>
      </c>
      <c r="AJ51" s="185">
        <v>26</v>
      </c>
      <c r="AK51" s="183">
        <f t="shared" si="244"/>
        <v>476</v>
      </c>
      <c r="AM51" s="188">
        <v>26</v>
      </c>
      <c r="AN51" s="183">
        <v>960</v>
      </c>
      <c r="AO51" s="182">
        <v>6.2600000000000003E-2</v>
      </c>
      <c r="AP51" s="185">
        <v>26</v>
      </c>
      <c r="AQ51" s="184">
        <f t="shared" si="245"/>
        <v>6.2600000000000003E-2</v>
      </c>
      <c r="AR51" s="190">
        <v>476</v>
      </c>
      <c r="AS51" s="185">
        <v>26</v>
      </c>
      <c r="AT51" s="183">
        <f t="shared" si="246"/>
        <v>476</v>
      </c>
      <c r="AV51" s="188">
        <v>26</v>
      </c>
      <c r="AW51" s="183">
        <v>960</v>
      </c>
      <c r="AX51" s="182">
        <v>6.2600000000000003E-2</v>
      </c>
      <c r="AY51" s="185">
        <v>26</v>
      </c>
      <c r="AZ51" s="184">
        <f t="shared" si="247"/>
        <v>6.2600000000000003E-2</v>
      </c>
      <c r="BA51" s="190">
        <v>476</v>
      </c>
      <c r="BB51" s="185">
        <v>26</v>
      </c>
      <c r="BC51" s="183">
        <f t="shared" si="248"/>
        <v>476</v>
      </c>
      <c r="BE51" s="188">
        <v>26</v>
      </c>
      <c r="BF51" s="183">
        <v>960</v>
      </c>
      <c r="BG51" s="182">
        <v>6.2600000000000003E-2</v>
      </c>
      <c r="BH51" s="185">
        <v>26</v>
      </c>
      <c r="BI51" s="184">
        <f t="shared" si="249"/>
        <v>6.2600000000000003E-2</v>
      </c>
      <c r="BJ51" s="154"/>
      <c r="BK51" s="533">
        <v>26</v>
      </c>
      <c r="BL51" s="183">
        <f t="shared" si="305"/>
        <v>600</v>
      </c>
      <c r="BM51" s="155">
        <v>960</v>
      </c>
      <c r="BP51" s="1065"/>
      <c r="BQ51" s="1065"/>
      <c r="BR51" s="1065"/>
      <c r="BS51" s="1065"/>
      <c r="BT51" s="1065"/>
      <c r="BU51" s="1065"/>
      <c r="BV51" s="1065"/>
      <c r="BW51" s="1065"/>
      <c r="BX51" s="1065"/>
      <c r="BY51" s="1065"/>
      <c r="BZ51" s="1065"/>
      <c r="CA51" s="1065"/>
      <c r="CB51" s="1065"/>
      <c r="CW51" s="364"/>
      <c r="DA51" s="309">
        <v>50</v>
      </c>
      <c r="DB51" s="313">
        <f t="shared" si="306"/>
        <v>218.19851171331013</v>
      </c>
      <c r="DC51" s="309">
        <f t="shared" si="307"/>
        <v>1</v>
      </c>
      <c r="DD51" s="309">
        <f t="shared" si="308"/>
        <v>260</v>
      </c>
      <c r="DE51" s="308">
        <f t="shared" si="309"/>
        <v>6.5000000000000002E-2</v>
      </c>
      <c r="DF51" s="313">
        <f t="shared" si="39"/>
        <v>50</v>
      </c>
      <c r="DG51" s="313">
        <f t="shared" si="24"/>
        <v>218.19851171331013</v>
      </c>
      <c r="DH51" s="313">
        <f t="shared" si="25"/>
        <v>218.19851171331013</v>
      </c>
      <c r="DI51" s="313">
        <f t="shared" si="26"/>
        <v>0</v>
      </c>
      <c r="DJ51" s="313">
        <f t="shared" si="27"/>
        <v>0</v>
      </c>
      <c r="DK51" s="313">
        <f t="shared" si="40"/>
        <v>10464.062048689408</v>
      </c>
      <c r="DL51" s="313">
        <f t="shared" si="28"/>
        <v>140578.65373264562</v>
      </c>
      <c r="DM51" s="314">
        <f t="shared" si="299"/>
        <v>9.7536075050407405</v>
      </c>
      <c r="DN51" s="312">
        <f t="shared" si="300"/>
        <v>0.1950721501008148</v>
      </c>
      <c r="DO51" s="312">
        <f t="shared" si="41"/>
        <v>0.83922504505119278</v>
      </c>
      <c r="DP51" s="315">
        <f t="shared" si="301"/>
        <v>6.1670417345527716E-2</v>
      </c>
      <c r="DQ51" s="316">
        <f t="shared" si="30"/>
        <v>0.28263445456748187</v>
      </c>
      <c r="DR51" s="316">
        <f t="shared" si="31"/>
        <v>14.556033019904335</v>
      </c>
      <c r="DS51" s="314">
        <f t="shared" si="32"/>
        <v>3.4350018258153558</v>
      </c>
      <c r="DT51" s="316">
        <f t="shared" si="302"/>
        <v>14.556033019904335</v>
      </c>
      <c r="DU51" s="314">
        <f t="shared" si="303"/>
        <v>3.4350018258153558</v>
      </c>
      <c r="DV51" s="316">
        <f t="shared" si="44"/>
        <v>139.29735595760565</v>
      </c>
      <c r="DW51" s="310">
        <f t="shared" si="304"/>
        <v>3.9555668247406914</v>
      </c>
      <c r="FB51" s="307"/>
      <c r="FC51" s="307"/>
      <c r="FF51" s="307"/>
      <c r="FG51" s="307"/>
      <c r="FH51" s="306"/>
      <c r="FJ51" s="307"/>
      <c r="FK51" s="307"/>
      <c r="FL51" s="306"/>
      <c r="FM51" s="307"/>
      <c r="FN51" s="306"/>
      <c r="FO51" s="307"/>
      <c r="FP51" s="306"/>
    </row>
    <row r="52" spans="1:172">
      <c r="A52">
        <v>51</v>
      </c>
      <c r="B52" t="s">
        <v>281</v>
      </c>
      <c r="F52" t="str">
        <f>IF(BV18&lt;&gt;"",CE5,"----------")</f>
        <v>R-value</v>
      </c>
      <c r="G52" s="854">
        <f>IF(BV18&lt;&gt;"",CF4,"----------")</f>
        <v>3.9069938925797465</v>
      </c>
      <c r="AC52" s="156"/>
      <c r="AD52" s="155">
        <v>27</v>
      </c>
      <c r="AE52" s="159">
        <v>17.5</v>
      </c>
      <c r="AF52" s="159"/>
      <c r="AG52" s="188">
        <v>27</v>
      </c>
      <c r="AH52" s="183">
        <v>375</v>
      </c>
      <c r="AI52" s="190">
        <v>475</v>
      </c>
      <c r="AJ52" s="185">
        <v>27</v>
      </c>
      <c r="AK52" s="183">
        <f t="shared" si="244"/>
        <v>475</v>
      </c>
      <c r="AM52" s="188">
        <v>27</v>
      </c>
      <c r="AN52" s="183">
        <v>950</v>
      </c>
      <c r="AO52" s="182">
        <v>6.25E-2</v>
      </c>
      <c r="AP52" s="185">
        <v>27</v>
      </c>
      <c r="AQ52" s="184">
        <f t="shared" si="245"/>
        <v>6.25E-2</v>
      </c>
      <c r="AR52" s="190">
        <v>475</v>
      </c>
      <c r="AS52" s="185">
        <v>27</v>
      </c>
      <c r="AT52" s="183">
        <f t="shared" si="246"/>
        <v>475</v>
      </c>
      <c r="AV52" s="188">
        <v>27</v>
      </c>
      <c r="AW52" s="183">
        <v>950</v>
      </c>
      <c r="AX52" s="182">
        <v>6.25E-2</v>
      </c>
      <c r="AY52" s="185">
        <v>27</v>
      </c>
      <c r="AZ52" s="184">
        <f t="shared" si="247"/>
        <v>6.25E-2</v>
      </c>
      <c r="BA52" s="190">
        <v>475</v>
      </c>
      <c r="BB52" s="185">
        <v>27</v>
      </c>
      <c r="BC52" s="183">
        <f t="shared" si="248"/>
        <v>475</v>
      </c>
      <c r="BE52" s="188">
        <v>27</v>
      </c>
      <c r="BF52" s="183">
        <v>950</v>
      </c>
      <c r="BG52" s="182">
        <v>6.25E-2</v>
      </c>
      <c r="BH52" s="185">
        <v>27</v>
      </c>
      <c r="BI52" s="184">
        <f t="shared" si="249"/>
        <v>6.25E-2</v>
      </c>
      <c r="BJ52" s="154"/>
      <c r="BK52" s="533">
        <v>27</v>
      </c>
      <c r="BL52" s="183">
        <f t="shared" si="305"/>
        <v>600</v>
      </c>
      <c r="BM52" s="155">
        <v>950</v>
      </c>
      <c r="BP52" s="1065"/>
      <c r="BQ52" s="1065"/>
      <c r="BR52" s="1065"/>
      <c r="BS52" s="1065"/>
      <c r="BT52" s="1065"/>
      <c r="BU52" s="1065"/>
      <c r="BV52" s="1065"/>
      <c r="BW52" s="1065"/>
      <c r="BX52" s="1065"/>
      <c r="BY52" s="1065"/>
      <c r="BZ52" s="1065"/>
      <c r="CA52" s="1065"/>
      <c r="CB52" s="1065"/>
      <c r="CW52" s="364"/>
      <c r="CX52" s="313">
        <f>select_width+5</f>
        <v>605</v>
      </c>
      <c r="CY52" s="313">
        <v>585</v>
      </c>
      <c r="DA52" s="309">
        <v>51</v>
      </c>
      <c r="DB52" s="313">
        <f t="shared" si="306"/>
        <v>218.56248194757632</v>
      </c>
      <c r="DC52" s="309">
        <f t="shared" si="307"/>
        <v>1</v>
      </c>
      <c r="DD52" s="309">
        <f t="shared" si="308"/>
        <v>260</v>
      </c>
      <c r="DE52" s="308">
        <f t="shared" si="309"/>
        <v>6.5000000000000002E-2</v>
      </c>
      <c r="DF52" s="313">
        <f t="shared" si="39"/>
        <v>51</v>
      </c>
      <c r="DG52" s="313">
        <f t="shared" si="24"/>
        <v>218.56248194757632</v>
      </c>
      <c r="DH52" s="313">
        <f t="shared" si="25"/>
        <v>218.56248194757632</v>
      </c>
      <c r="DI52" s="313">
        <f t="shared" si="26"/>
        <v>0</v>
      </c>
      <c r="DJ52" s="313">
        <f t="shared" si="27"/>
        <v>0</v>
      </c>
      <c r="DK52" s="313">
        <f t="shared" si="40"/>
        <v>10682.624530636984</v>
      </c>
      <c r="DL52" s="313">
        <f t="shared" si="28"/>
        <v>140360.45522093232</v>
      </c>
      <c r="DM52" s="314">
        <f t="shared" si="299"/>
        <v>9.9129825744731388</v>
      </c>
      <c r="DN52" s="312">
        <f t="shared" si="300"/>
        <v>0.19437220734261057</v>
      </c>
      <c r="DO52" s="312">
        <f t="shared" si="41"/>
        <v>0.84062493056760124</v>
      </c>
      <c r="DP52" s="315">
        <f t="shared" si="301"/>
        <v>6.1701260503638888E-2</v>
      </c>
      <c r="DQ52" s="316">
        <f t="shared" si="30"/>
        <v>0.28230490408888365</v>
      </c>
      <c r="DR52" s="316">
        <f t="shared" si="31"/>
        <v>14.838337923993219</v>
      </c>
      <c r="DS52" s="314">
        <f t="shared" si="32"/>
        <v>3.4370426297903811</v>
      </c>
      <c r="DT52" s="316">
        <f t="shared" si="302"/>
        <v>14.838337923993219</v>
      </c>
      <c r="DU52" s="314">
        <f t="shared" si="303"/>
        <v>3.4370426297903811</v>
      </c>
      <c r="DV52" s="316">
        <f t="shared" si="44"/>
        <v>139.01472150303817</v>
      </c>
      <c r="DW52" s="310">
        <f t="shared" si="304"/>
        <v>3.9564155080365335</v>
      </c>
      <c r="FB52" s="307"/>
      <c r="FC52" s="307"/>
      <c r="FF52" s="307"/>
      <c r="FG52" s="307"/>
      <c r="FH52" s="306"/>
      <c r="FJ52" s="307"/>
      <c r="FK52" s="307"/>
      <c r="FL52" s="306"/>
      <c r="FM52" s="307"/>
      <c r="FN52" s="306"/>
      <c r="FO52" s="307"/>
      <c r="FP52" s="306"/>
    </row>
    <row r="53" spans="1:172">
      <c r="A53">
        <v>52</v>
      </c>
      <c r="B53" t="s">
        <v>286</v>
      </c>
      <c r="F53" t="str">
        <f>IF(BV27&lt;&gt;"",CJ4,"----------")</f>
        <v>----------</v>
      </c>
      <c r="G53" s="854" t="str">
        <f>IF(BV27&lt;&gt;"",CL4,"----------")</f>
        <v>----------</v>
      </c>
      <c r="AC53" s="156"/>
      <c r="AD53" s="155">
        <v>28</v>
      </c>
      <c r="AE53" s="159">
        <v>17</v>
      </c>
      <c r="AF53" s="159"/>
      <c r="AG53" s="188">
        <v>28</v>
      </c>
      <c r="AH53" s="183">
        <v>370</v>
      </c>
      <c r="AI53" s="190">
        <v>474</v>
      </c>
      <c r="AJ53" s="185">
        <v>28</v>
      </c>
      <c r="AK53" s="183">
        <f t="shared" si="244"/>
        <v>474</v>
      </c>
      <c r="AM53" s="188">
        <v>28</v>
      </c>
      <c r="AN53" s="183">
        <v>940</v>
      </c>
      <c r="AO53" s="182">
        <v>6.2399999999999997E-2</v>
      </c>
      <c r="AP53" s="185">
        <v>28</v>
      </c>
      <c r="AQ53" s="184">
        <f t="shared" si="245"/>
        <v>6.2399999999999997E-2</v>
      </c>
      <c r="AR53" s="190">
        <v>474</v>
      </c>
      <c r="AS53" s="185">
        <v>28</v>
      </c>
      <c r="AT53" s="183">
        <f t="shared" si="246"/>
        <v>474</v>
      </c>
      <c r="AV53" s="188">
        <v>28</v>
      </c>
      <c r="AW53" s="183">
        <v>940</v>
      </c>
      <c r="AX53" s="182">
        <v>6.2399999999999997E-2</v>
      </c>
      <c r="AY53" s="185">
        <v>28</v>
      </c>
      <c r="AZ53" s="184">
        <f t="shared" si="247"/>
        <v>6.2399999999999997E-2</v>
      </c>
      <c r="BA53" s="190">
        <v>474</v>
      </c>
      <c r="BB53" s="185">
        <v>28</v>
      </c>
      <c r="BC53" s="183">
        <f t="shared" si="248"/>
        <v>474</v>
      </c>
      <c r="BE53" s="188">
        <v>28</v>
      </c>
      <c r="BF53" s="183">
        <v>940</v>
      </c>
      <c r="BG53" s="182">
        <v>6.2399999999999997E-2</v>
      </c>
      <c r="BH53" s="185">
        <v>28</v>
      </c>
      <c r="BI53" s="184">
        <f t="shared" si="249"/>
        <v>6.2399999999999997E-2</v>
      </c>
      <c r="BJ53" s="154"/>
      <c r="BK53" s="533">
        <v>28</v>
      </c>
      <c r="BL53" s="183">
        <f t="shared" si="305"/>
        <v>600</v>
      </c>
      <c r="BM53" s="155">
        <v>940</v>
      </c>
      <c r="BP53" s="1065"/>
      <c r="BQ53" s="1065"/>
      <c r="BR53" s="1065"/>
      <c r="BS53" s="1065"/>
      <c r="BT53" s="1065"/>
      <c r="BU53" s="1065"/>
      <c r="BV53" s="1065"/>
      <c r="BW53" s="1065"/>
      <c r="BX53" s="1065"/>
      <c r="BY53" s="1065"/>
      <c r="BZ53" s="1065"/>
      <c r="CA53" s="1065"/>
      <c r="CB53" s="1065"/>
      <c r="CW53" s="364"/>
      <c r="CX53" s="313">
        <f>select_width+5</f>
        <v>605</v>
      </c>
      <c r="CY53" s="313">
        <v>595</v>
      </c>
      <c r="DA53" s="309">
        <v>52</v>
      </c>
      <c r="DB53" s="313">
        <f t="shared" si="306"/>
        <v>218.92645218184254</v>
      </c>
      <c r="DC53" s="309">
        <f t="shared" si="307"/>
        <v>1</v>
      </c>
      <c r="DD53" s="309">
        <f t="shared" si="308"/>
        <v>260</v>
      </c>
      <c r="DE53" s="308">
        <f t="shared" si="309"/>
        <v>6.5000000000000002E-2</v>
      </c>
      <c r="DF53" s="313">
        <f t="shared" si="39"/>
        <v>52</v>
      </c>
      <c r="DG53" s="313">
        <f t="shared" si="24"/>
        <v>218.92645218184254</v>
      </c>
      <c r="DH53" s="313">
        <f t="shared" si="25"/>
        <v>218.92645218184254</v>
      </c>
      <c r="DI53" s="313">
        <f t="shared" si="26"/>
        <v>0</v>
      </c>
      <c r="DJ53" s="313">
        <f t="shared" si="27"/>
        <v>0</v>
      </c>
      <c r="DK53" s="313">
        <f t="shared" si="40"/>
        <v>10901.550982818826</v>
      </c>
      <c r="DL53" s="313">
        <f t="shared" si="28"/>
        <v>140141.89273898475</v>
      </c>
      <c r="DM53" s="314">
        <f t="shared" si="299"/>
        <v>10.070957758389129</v>
      </c>
      <c r="DN53" s="312">
        <f t="shared" si="300"/>
        <v>0.19367226458440634</v>
      </c>
      <c r="DO53" s="312">
        <f t="shared" si="41"/>
        <v>0.8420248160840097</v>
      </c>
      <c r="DP53" s="315">
        <f t="shared" si="301"/>
        <v>6.173206772868195E-2</v>
      </c>
      <c r="DQ53" s="316">
        <f t="shared" si="30"/>
        <v>0.28197628524764412</v>
      </c>
      <c r="DR53" s="316">
        <f t="shared" si="31"/>
        <v>15.120314209240863</v>
      </c>
      <c r="DS53" s="314">
        <f t="shared" si="32"/>
        <v>3.4390819714725183</v>
      </c>
      <c r="DT53" s="316">
        <f t="shared" si="302"/>
        <v>15.120314209240863</v>
      </c>
      <c r="DU53" s="314">
        <f t="shared" si="303"/>
        <v>3.4390819714725183</v>
      </c>
      <c r="DV53" s="316">
        <f t="shared" si="44"/>
        <v>138.7324165989493</v>
      </c>
      <c r="DW53" s="310">
        <f t="shared" si="304"/>
        <v>3.9572582490728263</v>
      </c>
      <c r="FB53" s="307"/>
      <c r="FC53" s="307"/>
      <c r="FF53" s="307"/>
      <c r="FG53" s="307"/>
      <c r="FH53" s="306"/>
      <c r="FJ53" s="307"/>
      <c r="FK53" s="307"/>
      <c r="FL53" s="306"/>
      <c r="FM53" s="307"/>
      <c r="FN53" s="306"/>
      <c r="FO53" s="307"/>
      <c r="FP53" s="306"/>
    </row>
    <row r="54" spans="1:172">
      <c r="A54">
        <v>53</v>
      </c>
      <c r="B54" s="558" t="s">
        <v>291</v>
      </c>
      <c r="F54" t="str">
        <f>IF(BV27&lt;&gt;"",CP4,"----------")</f>
        <v>----------</v>
      </c>
      <c r="G54" s="854" t="str">
        <f>IF(BV27&lt;&gt;"",CS4,"----------")</f>
        <v>----------</v>
      </c>
      <c r="AC54" s="156"/>
      <c r="AD54" s="155">
        <v>29</v>
      </c>
      <c r="AE54" s="159">
        <v>16.5</v>
      </c>
      <c r="AF54" s="159"/>
      <c r="AG54" s="188">
        <v>29</v>
      </c>
      <c r="AH54" s="183">
        <v>365</v>
      </c>
      <c r="AI54" s="190">
        <v>473</v>
      </c>
      <c r="AJ54" s="185">
        <v>29</v>
      </c>
      <c r="AK54" s="183">
        <f t="shared" si="244"/>
        <v>473</v>
      </c>
      <c r="AM54" s="188">
        <v>29</v>
      </c>
      <c r="AN54" s="183">
        <v>930</v>
      </c>
      <c r="AO54" s="182">
        <v>6.2300000000000001E-2</v>
      </c>
      <c r="AP54" s="185">
        <v>29</v>
      </c>
      <c r="AQ54" s="184">
        <f t="shared" si="245"/>
        <v>6.2300000000000001E-2</v>
      </c>
      <c r="AR54" s="190">
        <v>473</v>
      </c>
      <c r="AS54" s="185">
        <v>29</v>
      </c>
      <c r="AT54" s="183">
        <f t="shared" si="246"/>
        <v>473</v>
      </c>
      <c r="AV54" s="188">
        <v>29</v>
      </c>
      <c r="AW54" s="183">
        <v>930</v>
      </c>
      <c r="AX54" s="182">
        <v>6.2300000000000001E-2</v>
      </c>
      <c r="AY54" s="185">
        <v>29</v>
      </c>
      <c r="AZ54" s="184">
        <f t="shared" si="247"/>
        <v>6.2300000000000001E-2</v>
      </c>
      <c r="BA54" s="190">
        <v>473</v>
      </c>
      <c r="BB54" s="185">
        <v>29</v>
      </c>
      <c r="BC54" s="183">
        <f t="shared" si="248"/>
        <v>473</v>
      </c>
      <c r="BE54" s="188">
        <v>29</v>
      </c>
      <c r="BF54" s="183">
        <v>930</v>
      </c>
      <c r="BG54" s="182">
        <v>6.2300000000000001E-2</v>
      </c>
      <c r="BH54" s="185">
        <v>29</v>
      </c>
      <c r="BI54" s="184">
        <f t="shared" si="249"/>
        <v>6.2300000000000001E-2</v>
      </c>
      <c r="BJ54" s="154"/>
      <c r="BK54" s="533">
        <v>29</v>
      </c>
      <c r="BL54" s="183">
        <f t="shared" si="305"/>
        <v>600</v>
      </c>
      <c r="BM54" s="155">
        <v>930</v>
      </c>
      <c r="BP54" s="1065"/>
      <c r="BQ54" s="1065"/>
      <c r="BR54" s="1065"/>
      <c r="BS54" s="1065"/>
      <c r="BT54" s="1065"/>
      <c r="BU54" s="1065"/>
      <c r="BV54" s="1065"/>
      <c r="BW54" s="1065"/>
      <c r="BX54" s="1065"/>
      <c r="BY54" s="1065"/>
      <c r="BZ54" s="1065"/>
      <c r="CA54" s="1065"/>
      <c r="CB54" s="1065"/>
      <c r="CW54" s="364"/>
      <c r="CX54" s="313">
        <f>tot_width-5</f>
        <v>595</v>
      </c>
      <c r="CY54" s="313">
        <v>595</v>
      </c>
      <c r="DA54" s="309">
        <v>53</v>
      </c>
      <c r="DB54" s="313">
        <f t="shared" si="306"/>
        <v>219.29042241610873</v>
      </c>
      <c r="DC54" s="309">
        <f t="shared" si="307"/>
        <v>1</v>
      </c>
      <c r="DD54" s="309">
        <f t="shared" si="308"/>
        <v>260</v>
      </c>
      <c r="DE54" s="308">
        <f t="shared" si="309"/>
        <v>6.5000000000000002E-2</v>
      </c>
      <c r="DF54" s="313">
        <f t="shared" si="39"/>
        <v>53</v>
      </c>
      <c r="DG54" s="313">
        <f t="shared" si="24"/>
        <v>219.29042241610873</v>
      </c>
      <c r="DH54" s="313">
        <f t="shared" si="25"/>
        <v>219.29042241610873</v>
      </c>
      <c r="DI54" s="313">
        <f t="shared" si="26"/>
        <v>0</v>
      </c>
      <c r="DJ54" s="313">
        <f t="shared" si="27"/>
        <v>0</v>
      </c>
      <c r="DK54" s="313">
        <f t="shared" si="40"/>
        <v>11120.841405234934</v>
      </c>
      <c r="DL54" s="313">
        <f t="shared" si="28"/>
        <v>139922.9662868029</v>
      </c>
      <c r="DM54" s="314">
        <f t="shared" si="299"/>
        <v>10.227533056788712</v>
      </c>
      <c r="DN54" s="312">
        <f t="shared" si="300"/>
        <v>0.19297232182620211</v>
      </c>
      <c r="DO54" s="312">
        <f t="shared" si="41"/>
        <v>0.84342470160041816</v>
      </c>
      <c r="DP54" s="315">
        <f t="shared" si="301"/>
        <v>6.1762839122155147E-2</v>
      </c>
      <c r="DQ54" s="316">
        <f t="shared" si="30"/>
        <v>0.28164859386771901</v>
      </c>
      <c r="DR54" s="316">
        <f t="shared" si="31"/>
        <v>15.401962803108582</v>
      </c>
      <c r="DS54" s="314">
        <f t="shared" si="32"/>
        <v>3.4411198544969217</v>
      </c>
      <c r="DT54" s="316">
        <f t="shared" si="302"/>
        <v>15.401962803108582</v>
      </c>
      <c r="DU54" s="314">
        <f t="shared" si="303"/>
        <v>3.4411198544969217</v>
      </c>
      <c r="DV54" s="316">
        <f t="shared" si="44"/>
        <v>138.45044031370165</v>
      </c>
      <c r="DW54" s="310">
        <f t="shared" si="304"/>
        <v>3.9580950321164674</v>
      </c>
      <c r="FB54" s="307"/>
      <c r="FC54" s="307"/>
      <c r="FF54" s="307"/>
      <c r="FG54" s="307"/>
      <c r="FH54" s="306"/>
      <c r="FJ54" s="307"/>
      <c r="FK54" s="307"/>
      <c r="FL54" s="306"/>
      <c r="FM54" s="307"/>
      <c r="FN54" s="306"/>
      <c r="FO54" s="307"/>
      <c r="FP54" s="306"/>
    </row>
    <row r="55" spans="1:172">
      <c r="A55">
        <v>54</v>
      </c>
      <c r="B55" s="558" t="s">
        <v>49</v>
      </c>
      <c r="G55" s="858"/>
      <c r="AC55" s="156"/>
      <c r="AD55" s="155">
        <v>30</v>
      </c>
      <c r="AE55" s="159">
        <v>16</v>
      </c>
      <c r="AF55" s="159"/>
      <c r="AG55" s="188">
        <v>30</v>
      </c>
      <c r="AH55" s="183">
        <v>360</v>
      </c>
      <c r="AI55" s="190">
        <v>472</v>
      </c>
      <c r="AJ55" s="185">
        <v>30</v>
      </c>
      <c r="AK55" s="183">
        <f t="shared" si="244"/>
        <v>472</v>
      </c>
      <c r="AM55" s="188">
        <v>30</v>
      </c>
      <c r="AN55" s="183">
        <v>920</v>
      </c>
      <c r="AO55" s="182">
        <v>6.2199999999999998E-2</v>
      </c>
      <c r="AP55" s="185">
        <v>30</v>
      </c>
      <c r="AQ55" s="184">
        <f t="shared" si="245"/>
        <v>6.2199999999999998E-2</v>
      </c>
      <c r="AR55" s="190">
        <v>472</v>
      </c>
      <c r="AS55" s="185">
        <v>30</v>
      </c>
      <c r="AT55" s="183">
        <f t="shared" si="246"/>
        <v>472</v>
      </c>
      <c r="AV55" s="188">
        <v>30</v>
      </c>
      <c r="AW55" s="183">
        <v>920</v>
      </c>
      <c r="AX55" s="182">
        <v>6.2199999999999998E-2</v>
      </c>
      <c r="AY55" s="185">
        <v>30</v>
      </c>
      <c r="AZ55" s="184">
        <f t="shared" si="247"/>
        <v>6.2199999999999998E-2</v>
      </c>
      <c r="BA55" s="190">
        <v>472</v>
      </c>
      <c r="BB55" s="185">
        <v>30</v>
      </c>
      <c r="BC55" s="183">
        <f t="shared" si="248"/>
        <v>472</v>
      </c>
      <c r="BE55" s="188">
        <v>30</v>
      </c>
      <c r="BF55" s="183">
        <v>920</v>
      </c>
      <c r="BG55" s="182">
        <v>6.2199999999999998E-2</v>
      </c>
      <c r="BH55" s="185">
        <v>30</v>
      </c>
      <c r="BI55" s="184">
        <f t="shared" si="249"/>
        <v>6.2199999999999998E-2</v>
      </c>
      <c r="BJ55" s="154"/>
      <c r="BK55" s="533">
        <v>30</v>
      </c>
      <c r="BL55" s="183">
        <f t="shared" si="305"/>
        <v>600</v>
      </c>
      <c r="BM55" s="155">
        <v>920</v>
      </c>
      <c r="BP55" s="1065"/>
      <c r="BQ55" s="1065"/>
      <c r="BR55" s="1065"/>
      <c r="BS55" s="1065"/>
      <c r="BT55" s="1065"/>
      <c r="BU55" s="1065"/>
      <c r="BV55" s="1065"/>
      <c r="BW55" s="1065"/>
      <c r="BX55" s="1065"/>
      <c r="BY55" s="1065"/>
      <c r="BZ55" s="1065"/>
      <c r="CA55" s="1065"/>
      <c r="CB55" s="1065"/>
      <c r="CW55" s="364"/>
      <c r="CX55" s="313">
        <f>tot_width-5</f>
        <v>595</v>
      </c>
      <c r="CY55" s="313">
        <v>585</v>
      </c>
      <c r="DA55" s="309">
        <v>54</v>
      </c>
      <c r="DB55" s="313">
        <f t="shared" si="306"/>
        <v>219.65439265037492</v>
      </c>
      <c r="DC55" s="309">
        <f t="shared" si="307"/>
        <v>1</v>
      </c>
      <c r="DD55" s="309">
        <f t="shared" si="308"/>
        <v>260</v>
      </c>
      <c r="DE55" s="308">
        <f t="shared" si="309"/>
        <v>6.5000000000000002E-2</v>
      </c>
      <c r="DF55" s="313">
        <f t="shared" si="39"/>
        <v>54</v>
      </c>
      <c r="DG55" s="313">
        <f t="shared" si="24"/>
        <v>219.65439265037492</v>
      </c>
      <c r="DH55" s="313">
        <f t="shared" si="25"/>
        <v>219.65439265037492</v>
      </c>
      <c r="DI55" s="313">
        <f t="shared" si="26"/>
        <v>0</v>
      </c>
      <c r="DJ55" s="313">
        <f t="shared" si="27"/>
        <v>0</v>
      </c>
      <c r="DK55" s="313">
        <f t="shared" si="40"/>
        <v>11340.495797885309</v>
      </c>
      <c r="DL55" s="313">
        <f t="shared" si="28"/>
        <v>139703.67586438678</v>
      </c>
      <c r="DM55" s="314">
        <f t="shared" si="299"/>
        <v>10.382708469671885</v>
      </c>
      <c r="DN55" s="312">
        <f t="shared" si="300"/>
        <v>0.19227237906799785</v>
      </c>
      <c r="DO55" s="312">
        <f t="shared" si="41"/>
        <v>0.84482458711682662</v>
      </c>
      <c r="DP55" s="315">
        <f t="shared" si="301"/>
        <v>6.1793574785102154E-2</v>
      </c>
      <c r="DQ55" s="316">
        <f t="shared" si="30"/>
        <v>0.28132182579867326</v>
      </c>
      <c r="DR55" s="316">
        <f t="shared" si="31"/>
        <v>15.683284628907256</v>
      </c>
      <c r="DS55" s="314">
        <f t="shared" si="32"/>
        <v>3.4431562824835686</v>
      </c>
      <c r="DT55" s="316">
        <f t="shared" si="302"/>
        <v>15.683284628907256</v>
      </c>
      <c r="DU55" s="314">
        <f t="shared" si="303"/>
        <v>3.4431562824835686</v>
      </c>
      <c r="DV55" s="316">
        <f t="shared" si="44"/>
        <v>138.16879171983393</v>
      </c>
      <c r="DW55" s="310">
        <f t="shared" si="304"/>
        <v>3.9589258412938624</v>
      </c>
      <c r="FB55" s="307"/>
      <c r="FC55" s="307"/>
      <c r="FF55" s="307"/>
      <c r="FG55" s="307"/>
      <c r="FH55" s="306"/>
      <c r="FJ55" s="307"/>
      <c r="FK55" s="307"/>
      <c r="FL55" s="306"/>
      <c r="FM55" s="307"/>
      <c r="FN55" s="306"/>
      <c r="FO55" s="307"/>
      <c r="FP55" s="306"/>
    </row>
    <row r="56" spans="1:172">
      <c r="A56">
        <v>55</v>
      </c>
      <c r="B56" s="558" t="s">
        <v>63</v>
      </c>
      <c r="G56" s="854"/>
      <c r="AC56" s="156"/>
      <c r="AD56" s="155">
        <v>31</v>
      </c>
      <c r="AE56" s="159">
        <v>15.5</v>
      </c>
      <c r="AF56" s="159"/>
      <c r="AG56" s="188">
        <v>31</v>
      </c>
      <c r="AH56" s="183">
        <v>355</v>
      </c>
      <c r="AI56" s="190">
        <v>471</v>
      </c>
      <c r="AJ56" s="185">
        <v>31</v>
      </c>
      <c r="AK56" s="183">
        <f t="shared" si="244"/>
        <v>471</v>
      </c>
      <c r="AM56" s="188">
        <v>31</v>
      </c>
      <c r="AN56" s="183">
        <v>910</v>
      </c>
      <c r="AO56" s="182">
        <v>6.2100000000000002E-2</v>
      </c>
      <c r="AP56" s="185">
        <v>31</v>
      </c>
      <c r="AQ56" s="184">
        <f t="shared" si="245"/>
        <v>6.2100000000000002E-2</v>
      </c>
      <c r="AR56" s="190">
        <v>471</v>
      </c>
      <c r="AS56" s="185">
        <v>31</v>
      </c>
      <c r="AT56" s="183">
        <f t="shared" si="246"/>
        <v>471</v>
      </c>
      <c r="AV56" s="188">
        <v>31</v>
      </c>
      <c r="AW56" s="183">
        <v>910</v>
      </c>
      <c r="AX56" s="182">
        <v>6.2100000000000002E-2</v>
      </c>
      <c r="AY56" s="185">
        <v>31</v>
      </c>
      <c r="AZ56" s="184">
        <f t="shared" si="247"/>
        <v>6.2100000000000002E-2</v>
      </c>
      <c r="BA56" s="190">
        <v>471</v>
      </c>
      <c r="BB56" s="185">
        <v>31</v>
      </c>
      <c r="BC56" s="183">
        <f t="shared" si="248"/>
        <v>471</v>
      </c>
      <c r="BE56" s="188">
        <v>31</v>
      </c>
      <c r="BF56" s="183">
        <v>910</v>
      </c>
      <c r="BG56" s="182">
        <v>6.2100000000000002E-2</v>
      </c>
      <c r="BH56" s="185">
        <v>31</v>
      </c>
      <c r="BI56" s="184">
        <f t="shared" si="249"/>
        <v>6.2100000000000002E-2</v>
      </c>
      <c r="BJ56" s="154"/>
      <c r="BK56" s="533">
        <v>31</v>
      </c>
      <c r="BL56" s="183">
        <f t="shared" si="305"/>
        <v>600</v>
      </c>
      <c r="BM56" s="155">
        <v>910</v>
      </c>
      <c r="CW56" s="364"/>
      <c r="DA56" s="309">
        <v>55</v>
      </c>
      <c r="DB56" s="313">
        <f t="shared" si="306"/>
        <v>220.01836288464114</v>
      </c>
      <c r="DC56" s="309">
        <f t="shared" si="307"/>
        <v>1</v>
      </c>
      <c r="DD56" s="309">
        <f t="shared" si="308"/>
        <v>260</v>
      </c>
      <c r="DE56" s="308">
        <f t="shared" si="309"/>
        <v>6.5000000000000002E-2</v>
      </c>
      <c r="DF56" s="313">
        <f t="shared" si="39"/>
        <v>55</v>
      </c>
      <c r="DG56" s="313">
        <f t="shared" si="24"/>
        <v>220.01836288464114</v>
      </c>
      <c r="DH56" s="313">
        <f t="shared" si="25"/>
        <v>220.01836288464114</v>
      </c>
      <c r="DI56" s="313">
        <f t="shared" si="26"/>
        <v>0</v>
      </c>
      <c r="DJ56" s="313">
        <f t="shared" si="27"/>
        <v>0</v>
      </c>
      <c r="DK56" s="313">
        <f t="shared" si="40"/>
        <v>11560.51416076995</v>
      </c>
      <c r="DL56" s="313">
        <f t="shared" si="28"/>
        <v>139484.0214717364</v>
      </c>
      <c r="DM56" s="314">
        <f t="shared" si="299"/>
        <v>10.536483997038649</v>
      </c>
      <c r="DN56" s="312">
        <f t="shared" si="300"/>
        <v>0.19157243630979362</v>
      </c>
      <c r="DO56" s="312">
        <f t="shared" si="41"/>
        <v>0.84622447263323508</v>
      </c>
      <c r="DP56" s="315">
        <f t="shared" si="301"/>
        <v>6.1824274818114824E-2</v>
      </c>
      <c r="DQ56" s="316">
        <f t="shared" si="30"/>
        <v>0.28099597691548228</v>
      </c>
      <c r="DR56" s="316">
        <f t="shared" si="31"/>
        <v>15.964280605822738</v>
      </c>
      <c r="DS56" s="314">
        <f t="shared" si="32"/>
        <v>3.4451912590373506</v>
      </c>
      <c r="DT56" s="316">
        <f t="shared" si="302"/>
        <v>15.964280605822738</v>
      </c>
      <c r="DU56" s="314">
        <f t="shared" si="303"/>
        <v>3.4451912590373506</v>
      </c>
      <c r="DV56" s="316">
        <f t="shared" si="44"/>
        <v>137.88746989403526</v>
      </c>
      <c r="DW56" s="310">
        <f t="shared" si="304"/>
        <v>3.9597506605900734</v>
      </c>
      <c r="FB56" s="307"/>
      <c r="FC56" s="307"/>
      <c r="FF56" s="307"/>
      <c r="FG56" s="307"/>
      <c r="FH56" s="306"/>
      <c r="FJ56" s="307"/>
      <c r="FK56" s="307"/>
      <c r="FL56" s="306"/>
      <c r="FM56" s="307"/>
      <c r="FN56" s="306"/>
      <c r="FO56" s="307"/>
      <c r="FP56" s="306"/>
    </row>
    <row r="57" spans="1:172">
      <c r="A57">
        <v>56</v>
      </c>
      <c r="B57" s="558" t="s">
        <v>73</v>
      </c>
      <c r="F57" s="600"/>
      <c r="G57" s="854"/>
      <c r="AC57" s="156"/>
      <c r="AD57" s="155">
        <v>32</v>
      </c>
      <c r="AE57" s="159">
        <v>15</v>
      </c>
      <c r="AF57" s="159"/>
      <c r="AG57" s="188">
        <v>32</v>
      </c>
      <c r="AH57" s="183">
        <v>350</v>
      </c>
      <c r="AI57" s="190">
        <v>470</v>
      </c>
      <c r="AJ57" s="185">
        <v>32</v>
      </c>
      <c r="AK57" s="183">
        <f t="shared" si="244"/>
        <v>470</v>
      </c>
      <c r="AM57" s="188">
        <v>32</v>
      </c>
      <c r="AN57" s="183">
        <v>900</v>
      </c>
      <c r="AO57" s="182">
        <v>6.2E-2</v>
      </c>
      <c r="AP57" s="185">
        <v>32</v>
      </c>
      <c r="AQ57" s="184">
        <f t="shared" si="245"/>
        <v>6.2E-2</v>
      </c>
      <c r="AR57" s="190">
        <v>470</v>
      </c>
      <c r="AS57" s="185">
        <v>32</v>
      </c>
      <c r="AT57" s="183">
        <f t="shared" si="246"/>
        <v>470</v>
      </c>
      <c r="AV57" s="188">
        <v>32</v>
      </c>
      <c r="AW57" s="183">
        <v>900</v>
      </c>
      <c r="AX57" s="182">
        <v>6.2E-2</v>
      </c>
      <c r="AY57" s="185">
        <v>32</v>
      </c>
      <c r="AZ57" s="184">
        <f t="shared" si="247"/>
        <v>6.2E-2</v>
      </c>
      <c r="BA57" s="190">
        <v>470</v>
      </c>
      <c r="BB57" s="185">
        <v>32</v>
      </c>
      <c r="BC57" s="183">
        <f t="shared" si="248"/>
        <v>470</v>
      </c>
      <c r="BE57" s="188">
        <v>32</v>
      </c>
      <c r="BF57" s="183">
        <v>900</v>
      </c>
      <c r="BG57" s="182">
        <v>6.2E-2</v>
      </c>
      <c r="BH57" s="185">
        <v>32</v>
      </c>
      <c r="BI57" s="184">
        <f t="shared" si="249"/>
        <v>6.2E-2</v>
      </c>
      <c r="BJ57" s="154"/>
      <c r="BK57" s="533">
        <v>32</v>
      </c>
      <c r="BL57" s="183">
        <f t="shared" si="305"/>
        <v>600</v>
      </c>
      <c r="BM57" s="155">
        <v>900</v>
      </c>
      <c r="BP57" s="254" t="s">
        <v>581</v>
      </c>
      <c r="CW57" s="364"/>
      <c r="CX57" s="313">
        <f>tot_width-5</f>
        <v>595</v>
      </c>
      <c r="CY57" s="313">
        <v>10</v>
      </c>
      <c r="DA57" s="309">
        <v>56</v>
      </c>
      <c r="DB57" s="313">
        <f t="shared" si="306"/>
        <v>220.38233311890733</v>
      </c>
      <c r="DC57" s="309">
        <f t="shared" si="307"/>
        <v>1</v>
      </c>
      <c r="DD57" s="309">
        <f t="shared" si="308"/>
        <v>260</v>
      </c>
      <c r="DE57" s="308">
        <f t="shared" si="309"/>
        <v>6.5000000000000002E-2</v>
      </c>
      <c r="DF57" s="313">
        <f t="shared" si="39"/>
        <v>56</v>
      </c>
      <c r="DG57" s="313">
        <f t="shared" si="24"/>
        <v>220.38233311890733</v>
      </c>
      <c r="DH57" s="313">
        <f t="shared" si="25"/>
        <v>220.38233311890733</v>
      </c>
      <c r="DI57" s="313">
        <f t="shared" si="26"/>
        <v>0</v>
      </c>
      <c r="DJ57" s="313">
        <f t="shared" si="27"/>
        <v>0</v>
      </c>
      <c r="DK57" s="313">
        <f t="shared" si="40"/>
        <v>11780.896493888857</v>
      </c>
      <c r="DL57" s="313">
        <f t="shared" si="28"/>
        <v>139264.00310885176</v>
      </c>
      <c r="DM57" s="314">
        <f t="shared" si="299"/>
        <v>10.688859638889006</v>
      </c>
      <c r="DN57" s="312">
        <f t="shared" si="300"/>
        <v>0.19087249355158939</v>
      </c>
      <c r="DO57" s="312">
        <f t="shared" si="41"/>
        <v>0.84762435814964354</v>
      </c>
      <c r="DP57" s="315">
        <f t="shared" si="301"/>
        <v>6.1854939321335997E-2</v>
      </c>
      <c r="DQ57" s="316">
        <f t="shared" si="30"/>
        <v>0.28067104311833452</v>
      </c>
      <c r="DR57" s="316">
        <f t="shared" si="31"/>
        <v>16.244951648941072</v>
      </c>
      <c r="DS57" s="314">
        <f t="shared" si="32"/>
        <v>3.4472247877481594</v>
      </c>
      <c r="DT57" s="316">
        <f t="shared" si="302"/>
        <v>16.244951648941072</v>
      </c>
      <c r="DU57" s="314">
        <f t="shared" si="303"/>
        <v>3.4472247877481594</v>
      </c>
      <c r="DV57" s="316">
        <f t="shared" si="44"/>
        <v>137.60647391711979</v>
      </c>
      <c r="DW57" s="310">
        <f t="shared" si="304"/>
        <v>3.9605694738479591</v>
      </c>
      <c r="FB57" s="307"/>
      <c r="FC57" s="307"/>
      <c r="FF57" s="307"/>
      <c r="FG57" s="307"/>
      <c r="FH57" s="306"/>
      <c r="FJ57" s="307"/>
      <c r="FK57" s="307"/>
      <c r="FL57" s="306"/>
      <c r="FM57" s="307"/>
      <c r="FN57" s="306"/>
      <c r="FO57" s="307"/>
      <c r="FP57" s="306"/>
    </row>
    <row r="58" spans="1:172" ht="15" customHeight="1">
      <c r="A58">
        <v>57</v>
      </c>
      <c r="B58" s="558" t="s">
        <v>80</v>
      </c>
      <c r="AC58" s="156"/>
      <c r="AD58" s="155">
        <v>33</v>
      </c>
      <c r="AE58" s="159">
        <v>14.5</v>
      </c>
      <c r="AF58" s="159"/>
      <c r="AG58" s="188">
        <v>33</v>
      </c>
      <c r="AH58" s="183">
        <v>345</v>
      </c>
      <c r="AI58" s="190">
        <v>469</v>
      </c>
      <c r="AJ58" s="185">
        <v>33</v>
      </c>
      <c r="AK58" s="183">
        <f t="shared" si="244"/>
        <v>469</v>
      </c>
      <c r="AM58" s="188">
        <v>33</v>
      </c>
      <c r="AN58" s="183">
        <v>890</v>
      </c>
      <c r="AO58" s="182">
        <v>6.1899999999999997E-2</v>
      </c>
      <c r="AP58" s="185">
        <v>33</v>
      </c>
      <c r="AQ58" s="184">
        <f t="shared" si="245"/>
        <v>6.1899999999999997E-2</v>
      </c>
      <c r="AR58" s="190">
        <v>469</v>
      </c>
      <c r="AS58" s="185">
        <v>33</v>
      </c>
      <c r="AT58" s="183">
        <f t="shared" si="246"/>
        <v>469</v>
      </c>
      <c r="AV58" s="188">
        <v>33</v>
      </c>
      <c r="AW58" s="183">
        <v>890</v>
      </c>
      <c r="AX58" s="182">
        <v>6.1899999999999997E-2</v>
      </c>
      <c r="AY58" s="185">
        <v>33</v>
      </c>
      <c r="AZ58" s="184">
        <f t="shared" si="247"/>
        <v>6.1899999999999997E-2</v>
      </c>
      <c r="BA58" s="190">
        <v>469</v>
      </c>
      <c r="BB58" s="185">
        <v>33</v>
      </c>
      <c r="BC58" s="183">
        <f t="shared" si="248"/>
        <v>469</v>
      </c>
      <c r="BE58" s="188">
        <v>33</v>
      </c>
      <c r="BF58" s="183">
        <v>890</v>
      </c>
      <c r="BG58" s="182">
        <v>6.1899999999999997E-2</v>
      </c>
      <c r="BH58" s="185">
        <v>33</v>
      </c>
      <c r="BI58" s="184">
        <f t="shared" si="249"/>
        <v>6.1899999999999997E-2</v>
      </c>
      <c r="BJ58" s="154"/>
      <c r="BK58" s="533">
        <v>33</v>
      </c>
      <c r="BL58" s="183">
        <f t="shared" si="305"/>
        <v>600</v>
      </c>
      <c r="BM58" s="155">
        <v>890</v>
      </c>
      <c r="BP58" s="254" t="s">
        <v>582</v>
      </c>
      <c r="CA58" s="365"/>
      <c r="CB58" s="365"/>
      <c r="CW58" s="364"/>
      <c r="CX58" s="313">
        <f>tot_width-5</f>
        <v>595</v>
      </c>
      <c r="CY58" s="313">
        <v>0</v>
      </c>
      <c r="DA58" s="309">
        <v>57</v>
      </c>
      <c r="DB58" s="313">
        <f t="shared" si="306"/>
        <v>220.74630335317354</v>
      </c>
      <c r="DC58" s="309">
        <f t="shared" si="307"/>
        <v>1</v>
      </c>
      <c r="DD58" s="309">
        <f t="shared" si="308"/>
        <v>260</v>
      </c>
      <c r="DE58" s="308">
        <f t="shared" si="309"/>
        <v>6.5000000000000002E-2</v>
      </c>
      <c r="DF58" s="313">
        <f t="shared" si="39"/>
        <v>57</v>
      </c>
      <c r="DG58" s="313">
        <f t="shared" si="24"/>
        <v>220.74630335317354</v>
      </c>
      <c r="DH58" s="313">
        <f t="shared" si="25"/>
        <v>220.74630335317354</v>
      </c>
      <c r="DI58" s="313">
        <f t="shared" si="26"/>
        <v>0</v>
      </c>
      <c r="DJ58" s="313">
        <f t="shared" si="27"/>
        <v>0</v>
      </c>
      <c r="DK58" s="313">
        <f t="shared" si="40"/>
        <v>12001.64279724203</v>
      </c>
      <c r="DL58" s="313">
        <f t="shared" si="28"/>
        <v>139043.62077573285</v>
      </c>
      <c r="DM58" s="314">
        <f t="shared" si="299"/>
        <v>10.839835395222954</v>
      </c>
      <c r="DN58" s="312">
        <f t="shared" si="300"/>
        <v>0.19017255079338516</v>
      </c>
      <c r="DO58" s="312">
        <f t="shared" si="41"/>
        <v>0.84902424366605211</v>
      </c>
      <c r="DP58" s="315">
        <f t="shared" si="301"/>
        <v>6.1885568394462208E-2</v>
      </c>
      <c r="DQ58" s="316">
        <f t="shared" si="30"/>
        <v>0.28034702033243591</v>
      </c>
      <c r="DR58" s="316">
        <f t="shared" si="31"/>
        <v>16.525298669273507</v>
      </c>
      <c r="DS58" s="314">
        <f t="shared" si="32"/>
        <v>3.4492568721909738</v>
      </c>
      <c r="DT58" s="316">
        <f t="shared" si="302"/>
        <v>16.525298669273507</v>
      </c>
      <c r="DU58" s="314">
        <f t="shared" si="303"/>
        <v>3.4492568721909738</v>
      </c>
      <c r="DV58" s="316">
        <f t="shared" si="44"/>
        <v>137.32580287400145</v>
      </c>
      <c r="DW58" s="310">
        <f t="shared" si="304"/>
        <v>3.9613822647673023</v>
      </c>
      <c r="FB58" s="307"/>
      <c r="FC58" s="307"/>
      <c r="FF58" s="307"/>
      <c r="FG58" s="307"/>
      <c r="FH58" s="306"/>
      <c r="FJ58" s="307"/>
      <c r="FK58" s="307"/>
      <c r="FL58" s="306"/>
      <c r="FM58" s="307"/>
      <c r="FN58" s="306"/>
      <c r="FO58" s="307"/>
      <c r="FP58" s="306"/>
    </row>
    <row r="59" spans="1:172" ht="15" customHeight="1">
      <c r="A59">
        <v>58</v>
      </c>
      <c r="B59" s="558" t="s">
        <v>86</v>
      </c>
      <c r="AC59" s="156"/>
      <c r="AD59" s="155">
        <v>34</v>
      </c>
      <c r="AE59" s="159">
        <v>14</v>
      </c>
      <c r="AF59" s="159"/>
      <c r="AG59" s="188">
        <v>34</v>
      </c>
      <c r="AH59" s="183">
        <v>340</v>
      </c>
      <c r="AI59" s="190">
        <v>468</v>
      </c>
      <c r="AJ59" s="185">
        <v>34</v>
      </c>
      <c r="AK59" s="183">
        <f t="shared" si="244"/>
        <v>468</v>
      </c>
      <c r="AM59" s="188">
        <v>34</v>
      </c>
      <c r="AN59" s="183">
        <v>880</v>
      </c>
      <c r="AO59" s="182">
        <v>6.1800000000000001E-2</v>
      </c>
      <c r="AP59" s="185">
        <v>34</v>
      </c>
      <c r="AQ59" s="184">
        <f t="shared" si="245"/>
        <v>6.1800000000000001E-2</v>
      </c>
      <c r="AR59" s="190">
        <v>468</v>
      </c>
      <c r="AS59" s="185">
        <v>34</v>
      </c>
      <c r="AT59" s="183">
        <f t="shared" si="246"/>
        <v>468</v>
      </c>
      <c r="AV59" s="188">
        <v>34</v>
      </c>
      <c r="AW59" s="183">
        <v>880</v>
      </c>
      <c r="AX59" s="182">
        <v>6.1800000000000001E-2</v>
      </c>
      <c r="AY59" s="185">
        <v>34</v>
      </c>
      <c r="AZ59" s="184">
        <f t="shared" si="247"/>
        <v>6.1800000000000001E-2</v>
      </c>
      <c r="BA59" s="190">
        <v>468</v>
      </c>
      <c r="BB59" s="185">
        <v>34</v>
      </c>
      <c r="BC59" s="183">
        <f t="shared" si="248"/>
        <v>468</v>
      </c>
      <c r="BE59" s="188">
        <v>34</v>
      </c>
      <c r="BF59" s="183">
        <v>880</v>
      </c>
      <c r="BG59" s="182">
        <v>6.1800000000000001E-2</v>
      </c>
      <c r="BH59" s="185">
        <v>34</v>
      </c>
      <c r="BI59" s="184">
        <f t="shared" si="249"/>
        <v>6.1800000000000001E-2</v>
      </c>
      <c r="BJ59" s="154"/>
      <c r="BK59" s="533">
        <v>34</v>
      </c>
      <c r="BL59" s="183">
        <f t="shared" ref="BL59:BL83" si="310">MIN(BM59,tot_width)</f>
        <v>600</v>
      </c>
      <c r="BM59" s="155">
        <v>880</v>
      </c>
      <c r="BP59" s="254" t="s">
        <v>583</v>
      </c>
      <c r="CA59" s="365"/>
      <c r="CB59" s="365"/>
      <c r="CW59" s="364"/>
      <c r="DA59" s="309">
        <v>58</v>
      </c>
      <c r="DB59" s="313">
        <f t="shared" si="306"/>
        <v>221.11027358743974</v>
      </c>
      <c r="DC59" s="309">
        <f t="shared" si="307"/>
        <v>1</v>
      </c>
      <c r="DD59" s="309">
        <f t="shared" si="308"/>
        <v>260</v>
      </c>
      <c r="DE59" s="308">
        <f t="shared" si="309"/>
        <v>6.5000000000000002E-2</v>
      </c>
      <c r="DF59" s="313">
        <f t="shared" si="39"/>
        <v>58</v>
      </c>
      <c r="DG59" s="313">
        <f t="shared" si="24"/>
        <v>221.11027358743974</v>
      </c>
      <c r="DH59" s="313">
        <f t="shared" si="25"/>
        <v>221.11027358743974</v>
      </c>
      <c r="DI59" s="313">
        <f t="shared" si="26"/>
        <v>0</v>
      </c>
      <c r="DJ59" s="313">
        <f t="shared" si="27"/>
        <v>0</v>
      </c>
      <c r="DK59" s="313">
        <f t="shared" si="40"/>
        <v>12222.753070829469</v>
      </c>
      <c r="DL59" s="313">
        <f t="shared" si="28"/>
        <v>138822.87447237968</v>
      </c>
      <c r="DM59" s="314">
        <f t="shared" si="299"/>
        <v>10.989411266040493</v>
      </c>
      <c r="DN59" s="312">
        <f t="shared" si="300"/>
        <v>0.18947260803518093</v>
      </c>
      <c r="DO59" s="312">
        <f t="shared" si="41"/>
        <v>0.85042412918246058</v>
      </c>
      <c r="DP59" s="315">
        <f t="shared" si="301"/>
        <v>6.1916162136746403E-2</v>
      </c>
      <c r="DQ59" s="316">
        <f t="shared" si="30"/>
        <v>0.2800239045078165</v>
      </c>
      <c r="DR59" s="316">
        <f t="shared" si="31"/>
        <v>16.805322573781325</v>
      </c>
      <c r="DS59" s="314">
        <f t="shared" si="32"/>
        <v>3.4512875159259475</v>
      </c>
      <c r="DT59" s="316">
        <f t="shared" si="302"/>
        <v>16.805322573781325</v>
      </c>
      <c r="DU59" s="314">
        <f t="shared" si="303"/>
        <v>3.4512875159259475</v>
      </c>
      <c r="DV59" s="316">
        <f t="shared" si="44"/>
        <v>137.04545585366901</v>
      </c>
      <c r="DW59" s="310">
        <f t="shared" si="304"/>
        <v>3.9621890169039315</v>
      </c>
      <c r="FB59" s="307"/>
      <c r="FC59" s="307"/>
      <c r="FF59" s="307"/>
      <c r="FG59" s="307"/>
      <c r="FH59" s="306"/>
      <c r="FJ59" s="307"/>
      <c r="FK59" s="307"/>
      <c r="FL59" s="306"/>
      <c r="FM59" s="307"/>
      <c r="FN59" s="306"/>
      <c r="FO59" s="307"/>
      <c r="FP59" s="306"/>
    </row>
    <row r="60" spans="1:172" ht="15" customHeight="1">
      <c r="A60">
        <v>59</v>
      </c>
      <c r="B60" s="558" t="s">
        <v>93</v>
      </c>
      <c r="AC60" s="156"/>
      <c r="AD60" s="155">
        <v>35</v>
      </c>
      <c r="AE60" s="159">
        <v>13.5</v>
      </c>
      <c r="AF60" s="159"/>
      <c r="AG60" s="188">
        <v>35</v>
      </c>
      <c r="AH60" s="183">
        <v>335</v>
      </c>
      <c r="AI60" s="190">
        <v>467</v>
      </c>
      <c r="AJ60" s="185">
        <v>35</v>
      </c>
      <c r="AK60" s="183">
        <f t="shared" si="244"/>
        <v>467</v>
      </c>
      <c r="AM60" s="188">
        <v>35</v>
      </c>
      <c r="AN60" s="183">
        <v>870</v>
      </c>
      <c r="AO60" s="182">
        <v>6.1699999999999998E-2</v>
      </c>
      <c r="AP60" s="185">
        <v>35</v>
      </c>
      <c r="AQ60" s="184">
        <f t="shared" si="245"/>
        <v>6.1699999999999998E-2</v>
      </c>
      <c r="AR60" s="190">
        <v>467</v>
      </c>
      <c r="AS60" s="185">
        <v>35</v>
      </c>
      <c r="AT60" s="183">
        <f t="shared" si="246"/>
        <v>467</v>
      </c>
      <c r="AV60" s="188">
        <v>35</v>
      </c>
      <c r="AW60" s="183">
        <v>870</v>
      </c>
      <c r="AX60" s="182">
        <v>6.1699999999999998E-2</v>
      </c>
      <c r="AY60" s="185">
        <v>35</v>
      </c>
      <c r="AZ60" s="184">
        <f t="shared" si="247"/>
        <v>6.1699999999999998E-2</v>
      </c>
      <c r="BA60" s="190">
        <v>467</v>
      </c>
      <c r="BB60" s="185">
        <v>35</v>
      </c>
      <c r="BC60" s="183">
        <f t="shared" si="248"/>
        <v>467</v>
      </c>
      <c r="BE60" s="188">
        <v>35</v>
      </c>
      <c r="BF60" s="183">
        <v>870</v>
      </c>
      <c r="BG60" s="182">
        <v>6.1699999999999998E-2</v>
      </c>
      <c r="BH60" s="185">
        <v>35</v>
      </c>
      <c r="BI60" s="184">
        <f t="shared" si="249"/>
        <v>6.1699999999999998E-2</v>
      </c>
      <c r="BJ60" s="154"/>
      <c r="BK60" s="533">
        <v>35</v>
      </c>
      <c r="BL60" s="183">
        <f t="shared" si="310"/>
        <v>600</v>
      </c>
      <c r="BM60" s="155">
        <v>870</v>
      </c>
      <c r="CA60" s="365"/>
      <c r="CB60" s="365"/>
      <c r="CW60" s="364"/>
      <c r="CY60" s="313">
        <v>50</v>
      </c>
      <c r="DA60" s="309">
        <v>59</v>
      </c>
      <c r="DB60" s="313">
        <f t="shared" si="306"/>
        <v>221.47424382170593</v>
      </c>
      <c r="DC60" s="309">
        <f t="shared" si="307"/>
        <v>1</v>
      </c>
      <c r="DD60" s="309">
        <f t="shared" si="308"/>
        <v>260</v>
      </c>
      <c r="DE60" s="308">
        <f t="shared" si="309"/>
        <v>6.5000000000000002E-2</v>
      </c>
      <c r="DF60" s="313">
        <f t="shared" si="39"/>
        <v>59</v>
      </c>
      <c r="DG60" s="313">
        <f t="shared" si="24"/>
        <v>221.47424382170593</v>
      </c>
      <c r="DH60" s="313">
        <f t="shared" si="25"/>
        <v>221.47424382170593</v>
      </c>
      <c r="DI60" s="313">
        <f t="shared" si="26"/>
        <v>0</v>
      </c>
      <c r="DJ60" s="313">
        <f t="shared" si="27"/>
        <v>0</v>
      </c>
      <c r="DK60" s="313">
        <f t="shared" si="40"/>
        <v>12444.227314651174</v>
      </c>
      <c r="DL60" s="313">
        <f t="shared" si="28"/>
        <v>138601.76419879225</v>
      </c>
      <c r="DM60" s="314">
        <f t="shared" si="299"/>
        <v>11.137587251341625</v>
      </c>
      <c r="DN60" s="312">
        <f t="shared" si="300"/>
        <v>0.1887726652769767</v>
      </c>
      <c r="DO60" s="312">
        <f t="shared" si="41"/>
        <v>0.85182401469886893</v>
      </c>
      <c r="DP60" s="315">
        <f t="shared" si="301"/>
        <v>6.1946720647000665E-2</v>
      </c>
      <c r="DQ60" s="316">
        <f t="shared" si="30"/>
        <v>0.27970169161913844</v>
      </c>
      <c r="DR60" s="316">
        <f t="shared" si="31"/>
        <v>17.085024265400463</v>
      </c>
      <c r="DS60" s="314">
        <f t="shared" si="32"/>
        <v>3.4533167224984957</v>
      </c>
      <c r="DT60" s="316">
        <f t="shared" si="302"/>
        <v>17.085024265400463</v>
      </c>
      <c r="DU60" s="314">
        <f t="shared" si="303"/>
        <v>3.4533167224984957</v>
      </c>
      <c r="DV60" s="316">
        <f t="shared" si="44"/>
        <v>136.76543194916118</v>
      </c>
      <c r="DW60" s="310">
        <f t="shared" si="304"/>
        <v>3.9629897136688292</v>
      </c>
      <c r="FB60" s="307"/>
      <c r="FC60" s="307"/>
      <c r="FF60" s="307"/>
      <c r="FG60" s="307"/>
      <c r="FH60" s="306"/>
      <c r="FJ60" s="307"/>
      <c r="FK60" s="307"/>
      <c r="FL60" s="306"/>
      <c r="FM60" s="307"/>
      <c r="FN60" s="306"/>
      <c r="FO60" s="307"/>
      <c r="FP60" s="306"/>
    </row>
    <row r="61" spans="1:172">
      <c r="A61">
        <v>60</v>
      </c>
      <c r="B61" s="558" t="s">
        <v>99</v>
      </c>
      <c r="AC61" s="156"/>
      <c r="AD61" s="155">
        <v>36</v>
      </c>
      <c r="AE61" s="159">
        <v>13</v>
      </c>
      <c r="AF61" s="159"/>
      <c r="AG61" s="188">
        <v>36</v>
      </c>
      <c r="AH61" s="183">
        <v>330</v>
      </c>
      <c r="AI61" s="190">
        <v>466</v>
      </c>
      <c r="AJ61" s="185">
        <v>36</v>
      </c>
      <c r="AK61" s="183">
        <f t="shared" si="244"/>
        <v>466</v>
      </c>
      <c r="AM61" s="188">
        <v>36</v>
      </c>
      <c r="AN61" s="183">
        <v>860</v>
      </c>
      <c r="AO61" s="182">
        <v>6.1600000000000002E-2</v>
      </c>
      <c r="AP61" s="185">
        <v>36</v>
      </c>
      <c r="AQ61" s="184">
        <f t="shared" si="245"/>
        <v>6.1600000000000002E-2</v>
      </c>
      <c r="AR61" s="190">
        <v>466</v>
      </c>
      <c r="AS61" s="185">
        <v>36</v>
      </c>
      <c r="AT61" s="183">
        <f t="shared" si="246"/>
        <v>466</v>
      </c>
      <c r="AV61" s="188">
        <v>36</v>
      </c>
      <c r="AW61" s="183">
        <v>860</v>
      </c>
      <c r="AX61" s="182">
        <v>6.1600000000000002E-2</v>
      </c>
      <c r="AY61" s="185">
        <v>36</v>
      </c>
      <c r="AZ61" s="184">
        <f t="shared" si="247"/>
        <v>6.1600000000000002E-2</v>
      </c>
      <c r="BA61" s="190">
        <v>466</v>
      </c>
      <c r="BB61" s="185">
        <v>36</v>
      </c>
      <c r="BC61" s="183">
        <f t="shared" si="248"/>
        <v>466</v>
      </c>
      <c r="BE61" s="188">
        <v>36</v>
      </c>
      <c r="BF61" s="183">
        <v>860</v>
      </c>
      <c r="BG61" s="182">
        <v>6.1600000000000002E-2</v>
      </c>
      <c r="BH61" s="185">
        <v>36</v>
      </c>
      <c r="BI61" s="184">
        <f t="shared" si="249"/>
        <v>6.1600000000000002E-2</v>
      </c>
      <c r="BJ61" s="154"/>
      <c r="BK61" s="533">
        <v>36</v>
      </c>
      <c r="BL61" s="183">
        <f t="shared" si="310"/>
        <v>600</v>
      </c>
      <c r="BM61" s="155">
        <v>860</v>
      </c>
      <c r="BP61" s="254" t="s">
        <v>584</v>
      </c>
      <c r="CW61" s="364"/>
      <c r="CX61" s="309">
        <v>0</v>
      </c>
      <c r="CY61" s="313">
        <f>start+CX61*tanO+20</f>
        <v>220</v>
      </c>
      <c r="DA61" s="309">
        <v>60</v>
      </c>
      <c r="DB61" s="313">
        <f t="shared" si="306"/>
        <v>221.83821405597214</v>
      </c>
      <c r="DC61" s="309">
        <f t="shared" si="307"/>
        <v>1</v>
      </c>
      <c r="DD61" s="309">
        <f t="shared" si="308"/>
        <v>260</v>
      </c>
      <c r="DE61" s="308">
        <f t="shared" si="309"/>
        <v>6.5000000000000002E-2</v>
      </c>
      <c r="DF61" s="313">
        <f t="shared" si="39"/>
        <v>60</v>
      </c>
      <c r="DG61" s="313">
        <f t="shared" si="24"/>
        <v>221.83821405597214</v>
      </c>
      <c r="DH61" s="313">
        <f t="shared" si="25"/>
        <v>221.83821405597214</v>
      </c>
      <c r="DI61" s="313">
        <f t="shared" si="26"/>
        <v>0</v>
      </c>
      <c r="DJ61" s="313">
        <f t="shared" si="27"/>
        <v>0</v>
      </c>
      <c r="DK61" s="313">
        <f t="shared" si="40"/>
        <v>12666.065528707146</v>
      </c>
      <c r="DL61" s="313">
        <f t="shared" si="28"/>
        <v>138380.28995497056</v>
      </c>
      <c r="DM61" s="314">
        <f t="shared" si="299"/>
        <v>11.284363351126347</v>
      </c>
      <c r="DN61" s="312">
        <f t="shared" si="300"/>
        <v>0.18807272251877244</v>
      </c>
      <c r="DO61" s="312">
        <f t="shared" si="41"/>
        <v>0.8532239002152775</v>
      </c>
      <c r="DP61" s="315">
        <f t="shared" si="301"/>
        <v>6.1977244023598888E-2</v>
      </c>
      <c r="DQ61" s="316">
        <f t="shared" si="30"/>
        <v>0.27938037766550611</v>
      </c>
      <c r="DR61" s="316">
        <f t="shared" si="31"/>
        <v>17.364404643065971</v>
      </c>
      <c r="DS61" s="314">
        <f t="shared" si="32"/>
        <v>3.455344495439379</v>
      </c>
      <c r="DT61" s="316">
        <f t="shared" si="302"/>
        <v>17.364404643065971</v>
      </c>
      <c r="DU61" s="314">
        <f t="shared" si="303"/>
        <v>3.455344495439379</v>
      </c>
      <c r="DV61" s="316">
        <f t="shared" si="44"/>
        <v>136.48573025754203</v>
      </c>
      <c r="DW61" s="310">
        <f t="shared" si="304"/>
        <v>3.9637843383272298</v>
      </c>
      <c r="FB61" s="307"/>
      <c r="FC61" s="307"/>
      <c r="FF61" s="307"/>
      <c r="FG61" s="307"/>
      <c r="FH61" s="306"/>
      <c r="FJ61" s="307"/>
      <c r="FK61" s="307"/>
      <c r="FL61" s="306"/>
      <c r="FM61" s="307"/>
      <c r="FN61" s="306"/>
      <c r="FO61" s="307"/>
      <c r="FP61" s="306"/>
    </row>
    <row r="62" spans="1:172">
      <c r="A62">
        <v>61</v>
      </c>
      <c r="B62" s="558" t="s">
        <v>106</v>
      </c>
      <c r="AC62" s="156"/>
      <c r="AD62" s="155">
        <v>37</v>
      </c>
      <c r="AE62" s="159">
        <v>12.5</v>
      </c>
      <c r="AF62" s="159"/>
      <c r="AG62" s="188">
        <v>37</v>
      </c>
      <c r="AH62" s="183">
        <v>325</v>
      </c>
      <c r="AI62" s="190">
        <v>465</v>
      </c>
      <c r="AJ62" s="185">
        <v>37</v>
      </c>
      <c r="AK62" s="183">
        <f t="shared" si="244"/>
        <v>465</v>
      </c>
      <c r="AM62" s="188">
        <v>37</v>
      </c>
      <c r="AN62" s="183">
        <v>850</v>
      </c>
      <c r="AO62" s="182">
        <v>6.1499999999999999E-2</v>
      </c>
      <c r="AP62" s="185">
        <v>37</v>
      </c>
      <c r="AQ62" s="184">
        <f t="shared" si="245"/>
        <v>6.1499999999999999E-2</v>
      </c>
      <c r="AR62" s="190">
        <v>465</v>
      </c>
      <c r="AS62" s="185">
        <v>37</v>
      </c>
      <c r="AT62" s="183">
        <f t="shared" si="246"/>
        <v>465</v>
      </c>
      <c r="AV62" s="188">
        <v>37</v>
      </c>
      <c r="AW62" s="183">
        <v>850</v>
      </c>
      <c r="AX62" s="182">
        <v>6.1499999999999999E-2</v>
      </c>
      <c r="AY62" s="185">
        <v>37</v>
      </c>
      <c r="AZ62" s="184">
        <f t="shared" si="247"/>
        <v>6.1499999999999999E-2</v>
      </c>
      <c r="BA62" s="190">
        <v>465</v>
      </c>
      <c r="BB62" s="185">
        <v>37</v>
      </c>
      <c r="BC62" s="183">
        <f t="shared" si="248"/>
        <v>465</v>
      </c>
      <c r="BE62" s="188">
        <v>37</v>
      </c>
      <c r="BF62" s="183">
        <v>850</v>
      </c>
      <c r="BG62" s="182">
        <v>6.1499999999999999E-2</v>
      </c>
      <c r="BH62" s="185">
        <v>37</v>
      </c>
      <c r="BI62" s="184">
        <f t="shared" si="249"/>
        <v>6.1499999999999999E-2</v>
      </c>
      <c r="BJ62" s="154"/>
      <c r="BK62" s="533">
        <v>37</v>
      </c>
      <c r="BL62" s="183">
        <f t="shared" si="310"/>
        <v>600</v>
      </c>
      <c r="BM62" s="155">
        <v>850</v>
      </c>
      <c r="BP62" s="254" t="s">
        <v>585</v>
      </c>
      <c r="CW62" s="364"/>
      <c r="CX62" s="309">
        <v>1100</v>
      </c>
      <c r="CY62" s="313">
        <f>start+CX62*tanO+20</f>
        <v>620.36725769282259</v>
      </c>
      <c r="DA62" s="309">
        <v>61</v>
      </c>
      <c r="DB62" s="313">
        <f t="shared" si="306"/>
        <v>222.20218429023834</v>
      </c>
      <c r="DC62" s="309">
        <f t="shared" si="307"/>
        <v>1</v>
      </c>
      <c r="DD62" s="309">
        <f t="shared" si="308"/>
        <v>260</v>
      </c>
      <c r="DE62" s="308">
        <f t="shared" si="309"/>
        <v>6.5000000000000002E-2</v>
      </c>
      <c r="DF62" s="313">
        <f t="shared" si="39"/>
        <v>61</v>
      </c>
      <c r="DG62" s="313">
        <f t="shared" si="24"/>
        <v>222.20218429023834</v>
      </c>
      <c r="DH62" s="313">
        <f t="shared" si="25"/>
        <v>222.20218429023834</v>
      </c>
      <c r="DI62" s="313">
        <f t="shared" si="26"/>
        <v>0</v>
      </c>
      <c r="DJ62" s="313">
        <f t="shared" si="27"/>
        <v>0</v>
      </c>
      <c r="DK62" s="313">
        <f t="shared" si="40"/>
        <v>12888.267712997384</v>
      </c>
      <c r="DL62" s="313">
        <f t="shared" si="28"/>
        <v>138158.45174091458</v>
      </c>
      <c r="DM62" s="314">
        <f t="shared" si="299"/>
        <v>11.429739565394661</v>
      </c>
      <c r="DN62" s="312">
        <f t="shared" si="300"/>
        <v>0.18737277976056821</v>
      </c>
      <c r="DO62" s="312">
        <f t="shared" si="41"/>
        <v>0.85462378573168596</v>
      </c>
      <c r="DP62" s="315">
        <f t="shared" si="301"/>
        <v>6.2007732364479436E-2</v>
      </c>
      <c r="DQ62" s="316">
        <f t="shared" si="30"/>
        <v>0.27905995867027816</v>
      </c>
      <c r="DR62" s="316">
        <f t="shared" si="31"/>
        <v>17.643464601736248</v>
      </c>
      <c r="DS62" s="314">
        <f t="shared" si="32"/>
        <v>3.4573708382647901</v>
      </c>
      <c r="DT62" s="316">
        <f t="shared" si="302"/>
        <v>17.643464601736248</v>
      </c>
      <c r="DU62" s="314">
        <f t="shared" si="303"/>
        <v>3.4573708382647901</v>
      </c>
      <c r="DV62" s="316">
        <f t="shared" si="44"/>
        <v>136.20634987987651</v>
      </c>
      <c r="DW62" s="310">
        <f t="shared" si="304"/>
        <v>3.9645728739977124</v>
      </c>
      <c r="FB62" s="307"/>
      <c r="FC62" s="307"/>
      <c r="FF62" s="307"/>
      <c r="FG62" s="307"/>
      <c r="FH62" s="306"/>
      <c r="FJ62" s="307"/>
      <c r="FK62" s="307"/>
      <c r="FL62" s="306"/>
      <c r="FM62" s="307"/>
      <c r="FN62" s="306"/>
      <c r="FO62" s="307"/>
      <c r="FP62" s="306"/>
    </row>
    <row r="63" spans="1:172">
      <c r="A63">
        <v>62</v>
      </c>
      <c r="B63" s="558" t="s">
        <v>110</v>
      </c>
      <c r="AC63" s="156"/>
      <c r="AD63" s="155">
        <v>38</v>
      </c>
      <c r="AE63" s="159">
        <v>12</v>
      </c>
      <c r="AF63" s="159"/>
      <c r="AG63" s="188">
        <v>38</v>
      </c>
      <c r="AH63" s="183">
        <v>320</v>
      </c>
      <c r="AI63" s="190">
        <v>464</v>
      </c>
      <c r="AJ63" s="185">
        <v>38</v>
      </c>
      <c r="AK63" s="183">
        <f t="shared" si="244"/>
        <v>464</v>
      </c>
      <c r="AM63" s="188">
        <v>38</v>
      </c>
      <c r="AN63" s="183">
        <v>840</v>
      </c>
      <c r="AO63" s="182">
        <v>6.1400000000000003E-2</v>
      </c>
      <c r="AP63" s="185">
        <v>38</v>
      </c>
      <c r="AQ63" s="184">
        <f t="shared" si="245"/>
        <v>6.1400000000000003E-2</v>
      </c>
      <c r="AR63" s="190">
        <v>464</v>
      </c>
      <c r="AS63" s="185">
        <v>38</v>
      </c>
      <c r="AT63" s="183">
        <f t="shared" si="246"/>
        <v>464</v>
      </c>
      <c r="AV63" s="188">
        <v>38</v>
      </c>
      <c r="AW63" s="183">
        <v>840</v>
      </c>
      <c r="AX63" s="182">
        <v>6.1400000000000003E-2</v>
      </c>
      <c r="AY63" s="185">
        <v>38</v>
      </c>
      <c r="AZ63" s="184">
        <f t="shared" si="247"/>
        <v>6.1400000000000003E-2</v>
      </c>
      <c r="BA63" s="190">
        <v>464</v>
      </c>
      <c r="BB63" s="185">
        <v>38</v>
      </c>
      <c r="BC63" s="183">
        <f t="shared" si="248"/>
        <v>464</v>
      </c>
      <c r="BE63" s="188">
        <v>38</v>
      </c>
      <c r="BF63" s="183">
        <v>840</v>
      </c>
      <c r="BG63" s="182">
        <v>6.1400000000000003E-2</v>
      </c>
      <c r="BH63" s="185">
        <v>38</v>
      </c>
      <c r="BI63" s="184">
        <f t="shared" si="249"/>
        <v>6.1400000000000003E-2</v>
      </c>
      <c r="BJ63" s="154"/>
      <c r="BK63" s="533">
        <v>38</v>
      </c>
      <c r="BL63" s="183">
        <f t="shared" si="310"/>
        <v>600</v>
      </c>
      <c r="BM63" s="155">
        <v>840</v>
      </c>
      <c r="CW63" s="364"/>
      <c r="CX63" s="309">
        <v>-100</v>
      </c>
      <c r="CY63" s="313">
        <f>CY61+CY60</f>
        <v>270</v>
      </c>
      <c r="DA63" s="309">
        <v>62</v>
      </c>
      <c r="DB63" s="313">
        <f t="shared" si="306"/>
        <v>222.56615452450455</v>
      </c>
      <c r="DC63" s="309">
        <f t="shared" si="307"/>
        <v>1</v>
      </c>
      <c r="DD63" s="309">
        <f t="shared" si="308"/>
        <v>260</v>
      </c>
      <c r="DE63" s="308">
        <f t="shared" si="309"/>
        <v>6.5000000000000002E-2</v>
      </c>
      <c r="DF63" s="313">
        <f t="shared" si="39"/>
        <v>62</v>
      </c>
      <c r="DG63" s="313">
        <f t="shared" si="24"/>
        <v>222.56615452450455</v>
      </c>
      <c r="DH63" s="313">
        <f t="shared" si="25"/>
        <v>222.56615452450455</v>
      </c>
      <c r="DI63" s="313">
        <f t="shared" si="26"/>
        <v>0</v>
      </c>
      <c r="DJ63" s="313">
        <f t="shared" si="27"/>
        <v>0</v>
      </c>
      <c r="DK63" s="313">
        <f t="shared" si="40"/>
        <v>13110.833867521887</v>
      </c>
      <c r="DL63" s="313">
        <f t="shared" si="28"/>
        <v>137936.24955662433</v>
      </c>
      <c r="DM63" s="314">
        <f t="shared" si="299"/>
        <v>11.573715894146567</v>
      </c>
      <c r="DN63" s="312">
        <f t="shared" si="300"/>
        <v>0.18667283700236398</v>
      </c>
      <c r="DO63" s="312">
        <f t="shared" si="41"/>
        <v>0.85602367124809442</v>
      </c>
      <c r="DP63" s="315">
        <f t="shared" si="301"/>
        <v>6.2038185767147751E-2</v>
      </c>
      <c r="DQ63" s="316">
        <f t="shared" si="30"/>
        <v>0.27874043068088028</v>
      </c>
      <c r="DR63" s="316">
        <f t="shared" si="31"/>
        <v>17.922205032417128</v>
      </c>
      <c r="DS63" s="314">
        <f t="shared" si="32"/>
        <v>3.4593957544764344</v>
      </c>
      <c r="DT63" s="316">
        <f t="shared" si="302"/>
        <v>17.922205032417128</v>
      </c>
      <c r="DU63" s="314">
        <f t="shared" si="303"/>
        <v>3.4593957544764344</v>
      </c>
      <c r="DV63" s="316">
        <f t="shared" si="44"/>
        <v>135.92728992120624</v>
      </c>
      <c r="DW63" s="310">
        <f t="shared" si="304"/>
        <v>3.9653553036512776</v>
      </c>
      <c r="FB63" s="307"/>
      <c r="FC63" s="307"/>
      <c r="FF63" s="307"/>
      <c r="FG63" s="307"/>
      <c r="FH63" s="306"/>
      <c r="FJ63" s="307"/>
      <c r="FK63" s="307"/>
      <c r="FL63" s="306"/>
      <c r="FM63" s="307"/>
      <c r="FN63" s="306"/>
      <c r="FO63" s="307"/>
      <c r="FP63" s="306"/>
    </row>
    <row r="64" spans="1:172">
      <c r="A64">
        <v>63</v>
      </c>
      <c r="B64" s="558" t="s">
        <v>317</v>
      </c>
      <c r="AC64" s="156"/>
      <c r="AD64" s="155">
        <v>39</v>
      </c>
      <c r="AE64" s="159">
        <v>11.5</v>
      </c>
      <c r="AF64" s="159"/>
      <c r="AG64" s="188">
        <v>39</v>
      </c>
      <c r="AH64" s="183">
        <v>315</v>
      </c>
      <c r="AI64" s="190">
        <v>463</v>
      </c>
      <c r="AJ64" s="185">
        <v>39</v>
      </c>
      <c r="AK64" s="183">
        <f t="shared" si="244"/>
        <v>463</v>
      </c>
      <c r="AM64" s="188">
        <v>39</v>
      </c>
      <c r="AN64" s="183">
        <v>830</v>
      </c>
      <c r="AO64" s="182">
        <v>6.13E-2</v>
      </c>
      <c r="AP64" s="185">
        <v>39</v>
      </c>
      <c r="AQ64" s="184">
        <f t="shared" si="245"/>
        <v>6.13E-2</v>
      </c>
      <c r="AR64" s="190">
        <v>463</v>
      </c>
      <c r="AS64" s="185">
        <v>39</v>
      </c>
      <c r="AT64" s="183">
        <f t="shared" si="246"/>
        <v>463</v>
      </c>
      <c r="AV64" s="188">
        <v>39</v>
      </c>
      <c r="AW64" s="183">
        <v>830</v>
      </c>
      <c r="AX64" s="182">
        <v>6.13E-2</v>
      </c>
      <c r="AY64" s="185">
        <v>39</v>
      </c>
      <c r="AZ64" s="184">
        <f t="shared" si="247"/>
        <v>6.13E-2</v>
      </c>
      <c r="BA64" s="190">
        <v>463</v>
      </c>
      <c r="BB64" s="185">
        <v>39</v>
      </c>
      <c r="BC64" s="183">
        <f t="shared" si="248"/>
        <v>463</v>
      </c>
      <c r="BE64" s="188">
        <v>39</v>
      </c>
      <c r="BF64" s="183">
        <v>830</v>
      </c>
      <c r="BG64" s="182">
        <v>6.13E-2</v>
      </c>
      <c r="BH64" s="185">
        <v>39</v>
      </c>
      <c r="BI64" s="184">
        <f t="shared" si="249"/>
        <v>6.13E-2</v>
      </c>
      <c r="BJ64" s="154"/>
      <c r="BK64" s="533">
        <v>39</v>
      </c>
      <c r="BL64" s="183">
        <f t="shared" si="310"/>
        <v>600</v>
      </c>
      <c r="BM64" s="155">
        <v>830</v>
      </c>
      <c r="CW64" s="364"/>
      <c r="CX64" s="309">
        <v>1200</v>
      </c>
      <c r="CY64" s="313">
        <f>CY62+CY60</f>
        <v>670.36725769282259</v>
      </c>
      <c r="DA64" s="309">
        <v>63</v>
      </c>
      <c r="DB64" s="313">
        <f t="shared" si="306"/>
        <v>222.93012475877075</v>
      </c>
      <c r="DC64" s="309">
        <f t="shared" si="307"/>
        <v>1</v>
      </c>
      <c r="DD64" s="309">
        <f t="shared" si="308"/>
        <v>260</v>
      </c>
      <c r="DE64" s="308">
        <f t="shared" si="309"/>
        <v>6.5000000000000002E-2</v>
      </c>
      <c r="DF64" s="313">
        <f t="shared" si="39"/>
        <v>63</v>
      </c>
      <c r="DG64" s="313">
        <f t="shared" si="24"/>
        <v>222.93012475877075</v>
      </c>
      <c r="DH64" s="313">
        <f t="shared" si="25"/>
        <v>222.93012475877075</v>
      </c>
      <c r="DI64" s="313">
        <f t="shared" si="26"/>
        <v>0</v>
      </c>
      <c r="DJ64" s="313">
        <f t="shared" si="27"/>
        <v>0</v>
      </c>
      <c r="DK64" s="313">
        <f t="shared" si="40"/>
        <v>13333.763992280657</v>
      </c>
      <c r="DL64" s="313">
        <f t="shared" si="28"/>
        <v>137713.68340209982</v>
      </c>
      <c r="DM64" s="314">
        <f t="shared" si="299"/>
        <v>11.716292337382063</v>
      </c>
      <c r="DN64" s="312">
        <f t="shared" si="300"/>
        <v>0.18597289424415972</v>
      </c>
      <c r="DO64" s="312">
        <f t="shared" si="41"/>
        <v>0.85742355676450288</v>
      </c>
      <c r="DP64" s="315">
        <f t="shared" si="301"/>
        <v>6.2068604328679007E-2</v>
      </c>
      <c r="DQ64" s="316">
        <f t="shared" si="30"/>
        <v>0.27842178976862142</v>
      </c>
      <c r="DR64" s="316">
        <f t="shared" si="31"/>
        <v>18.20062682218575</v>
      </c>
      <c r="DS64" s="314">
        <f t="shared" si="32"/>
        <v>3.4614192475616177</v>
      </c>
      <c r="DT64" s="316">
        <f t="shared" si="302"/>
        <v>18.20062682218575</v>
      </c>
      <c r="DU64" s="314">
        <f t="shared" si="303"/>
        <v>3.4614192475616177</v>
      </c>
      <c r="DV64" s="316">
        <f t="shared" si="44"/>
        <v>135.64854949052537</v>
      </c>
      <c r="DW64" s="310">
        <f t="shared" si="304"/>
        <v>3.9661316101104171</v>
      </c>
      <c r="FB64" s="307"/>
      <c r="FC64" s="307"/>
      <c r="FF64" s="307"/>
      <c r="FG64" s="307"/>
      <c r="FH64" s="306"/>
      <c r="FJ64" s="307"/>
      <c r="FK64" s="307"/>
      <c r="FL64" s="306"/>
      <c r="FM64" s="307"/>
      <c r="FN64" s="306"/>
      <c r="FO64" s="307"/>
      <c r="FP64" s="306"/>
    </row>
    <row r="65" spans="1:172">
      <c r="A65">
        <v>64</v>
      </c>
      <c r="B65" s="558" t="s">
        <v>320</v>
      </c>
      <c r="AC65" s="156"/>
      <c r="AD65" s="155">
        <v>40</v>
      </c>
      <c r="AE65" s="159">
        <v>11</v>
      </c>
      <c r="AF65" s="159"/>
      <c r="AG65" s="188">
        <v>40</v>
      </c>
      <c r="AH65" s="183">
        <v>310</v>
      </c>
      <c r="AI65" s="190">
        <v>462</v>
      </c>
      <c r="AJ65" s="185">
        <v>40</v>
      </c>
      <c r="AK65" s="183">
        <f t="shared" si="244"/>
        <v>462</v>
      </c>
      <c r="AM65" s="188">
        <v>40</v>
      </c>
      <c r="AN65" s="183">
        <v>820</v>
      </c>
      <c r="AO65" s="182">
        <v>6.1199999999999997E-2</v>
      </c>
      <c r="AP65" s="185">
        <v>40</v>
      </c>
      <c r="AQ65" s="184">
        <f t="shared" si="245"/>
        <v>6.1199999999999997E-2</v>
      </c>
      <c r="AR65" s="190">
        <v>462</v>
      </c>
      <c r="AS65" s="185">
        <v>40</v>
      </c>
      <c r="AT65" s="183">
        <f t="shared" si="246"/>
        <v>462</v>
      </c>
      <c r="AV65" s="188">
        <v>40</v>
      </c>
      <c r="AW65" s="183">
        <v>820</v>
      </c>
      <c r="AX65" s="182">
        <v>6.1199999999999997E-2</v>
      </c>
      <c r="AY65" s="185">
        <v>40</v>
      </c>
      <c r="AZ65" s="184">
        <f t="shared" si="247"/>
        <v>6.1199999999999997E-2</v>
      </c>
      <c r="BA65" s="190">
        <v>462</v>
      </c>
      <c r="BB65" s="185">
        <v>40</v>
      </c>
      <c r="BC65" s="183">
        <f t="shared" si="248"/>
        <v>462</v>
      </c>
      <c r="BE65" s="188">
        <v>40</v>
      </c>
      <c r="BF65" s="183">
        <v>820</v>
      </c>
      <c r="BG65" s="182">
        <v>6.1199999999999997E-2</v>
      </c>
      <c r="BH65" s="185">
        <v>40</v>
      </c>
      <c r="BI65" s="184">
        <f t="shared" si="249"/>
        <v>6.1199999999999997E-2</v>
      </c>
      <c r="BJ65" s="154"/>
      <c r="BK65" s="533">
        <v>40</v>
      </c>
      <c r="BL65" s="183">
        <f t="shared" si="310"/>
        <v>600</v>
      </c>
      <c r="BM65" s="155">
        <v>820</v>
      </c>
      <c r="BP65" s="254" t="s">
        <v>326</v>
      </c>
      <c r="CW65" s="364"/>
      <c r="CX65" s="309"/>
      <c r="CY65" s="313"/>
      <c r="DA65" s="309">
        <v>64</v>
      </c>
      <c r="DB65" s="313">
        <f t="shared" si="306"/>
        <v>223.29409499303694</v>
      </c>
      <c r="DC65" s="309">
        <f t="shared" si="307"/>
        <v>1</v>
      </c>
      <c r="DD65" s="309">
        <f t="shared" si="308"/>
        <v>260</v>
      </c>
      <c r="DE65" s="308">
        <f t="shared" si="309"/>
        <v>6.5000000000000002E-2</v>
      </c>
      <c r="DF65" s="313">
        <f t="shared" si="39"/>
        <v>64</v>
      </c>
      <c r="DG65" s="313">
        <f t="shared" si="24"/>
        <v>223.29409499303694</v>
      </c>
      <c r="DH65" s="313">
        <f t="shared" si="25"/>
        <v>223.29409499303694</v>
      </c>
      <c r="DI65" s="313">
        <f t="shared" si="26"/>
        <v>0</v>
      </c>
      <c r="DJ65" s="313">
        <f t="shared" si="27"/>
        <v>0</v>
      </c>
      <c r="DK65" s="313">
        <f t="shared" si="40"/>
        <v>13557.058087273694</v>
      </c>
      <c r="DL65" s="313">
        <f t="shared" si="28"/>
        <v>137490.75327734105</v>
      </c>
      <c r="DM65" s="314">
        <f t="shared" si="299"/>
        <v>11.857468895101151</v>
      </c>
      <c r="DN65" s="312">
        <f t="shared" si="300"/>
        <v>0.18527295148595549</v>
      </c>
      <c r="DO65" s="312">
        <f t="shared" si="41"/>
        <v>0.85882344228091134</v>
      </c>
      <c r="DP65" s="315">
        <f t="shared" si="301"/>
        <v>6.20989881457207E-2</v>
      </c>
      <c r="DQ65" s="316">
        <f t="shared" si="30"/>
        <v>0.27810403202851003</v>
      </c>
      <c r="DR65" s="316">
        <f t="shared" si="31"/>
        <v>18.478730854214259</v>
      </c>
      <c r="DS65" s="314">
        <f t="shared" si="32"/>
        <v>3.4634413209933279</v>
      </c>
      <c r="DT65" s="316">
        <f t="shared" si="302"/>
        <v>18.478730854214259</v>
      </c>
      <c r="DU65" s="314">
        <f t="shared" si="303"/>
        <v>3.4634413209933279</v>
      </c>
      <c r="DV65" s="316">
        <f t="shared" si="44"/>
        <v>135.37012770075674</v>
      </c>
      <c r="DW65" s="310">
        <f t="shared" si="304"/>
        <v>3.9669017760481737</v>
      </c>
      <c r="FB65" s="307"/>
      <c r="FC65" s="307"/>
      <c r="FF65" s="307"/>
      <c r="FG65" s="307"/>
      <c r="FH65" s="306"/>
      <c r="FJ65" s="307"/>
      <c r="FK65" s="307"/>
      <c r="FL65" s="306"/>
      <c r="FM65" s="307"/>
      <c r="FN65" s="306"/>
      <c r="FO65" s="307"/>
      <c r="FP65" s="306"/>
    </row>
    <row r="66" spans="1:172">
      <c r="A66">
        <v>65</v>
      </c>
      <c r="B66" s="558" t="s">
        <v>15</v>
      </c>
      <c r="AC66" s="156"/>
      <c r="AD66" s="155">
        <v>41</v>
      </c>
      <c r="AE66" s="159">
        <v>10.5</v>
      </c>
      <c r="AF66" s="159"/>
      <c r="AG66" s="188">
        <v>41</v>
      </c>
      <c r="AH66" s="183">
        <v>305</v>
      </c>
      <c r="AI66" s="190">
        <v>461</v>
      </c>
      <c r="AJ66" s="185">
        <v>41</v>
      </c>
      <c r="AK66" s="183">
        <f t="shared" si="244"/>
        <v>461</v>
      </c>
      <c r="AM66" s="188">
        <v>41</v>
      </c>
      <c r="AN66" s="183">
        <v>810</v>
      </c>
      <c r="AO66" s="182">
        <v>6.1100000000000002E-2</v>
      </c>
      <c r="AP66" s="185">
        <v>41</v>
      </c>
      <c r="AQ66" s="184">
        <f t="shared" si="245"/>
        <v>6.1100000000000002E-2</v>
      </c>
      <c r="AR66" s="190">
        <v>461</v>
      </c>
      <c r="AS66" s="185">
        <v>41</v>
      </c>
      <c r="AT66" s="183">
        <f t="shared" si="246"/>
        <v>461</v>
      </c>
      <c r="AV66" s="188">
        <v>41</v>
      </c>
      <c r="AW66" s="183">
        <v>810</v>
      </c>
      <c r="AX66" s="182">
        <v>6.1100000000000002E-2</v>
      </c>
      <c r="AY66" s="185">
        <v>41</v>
      </c>
      <c r="AZ66" s="184">
        <f t="shared" si="247"/>
        <v>6.1100000000000002E-2</v>
      </c>
      <c r="BA66" s="190">
        <v>461</v>
      </c>
      <c r="BB66" s="185">
        <v>41</v>
      </c>
      <c r="BC66" s="183">
        <f t="shared" si="248"/>
        <v>461</v>
      </c>
      <c r="BE66" s="188">
        <v>41</v>
      </c>
      <c r="BF66" s="183">
        <v>810</v>
      </c>
      <c r="BG66" s="182">
        <v>6.1100000000000002E-2</v>
      </c>
      <c r="BH66" s="185">
        <v>41</v>
      </c>
      <c r="BI66" s="184">
        <f t="shared" si="249"/>
        <v>6.1100000000000002E-2</v>
      </c>
      <c r="BJ66" s="154"/>
      <c r="BK66" s="533">
        <v>41</v>
      </c>
      <c r="BL66" s="183">
        <f t="shared" si="310"/>
        <v>600</v>
      </c>
      <c r="BM66" s="155">
        <v>810</v>
      </c>
      <c r="BP66" s="254" t="s">
        <v>328</v>
      </c>
      <c r="CW66" s="364"/>
      <c r="CX66" s="309">
        <v>0</v>
      </c>
      <c r="CY66" s="313">
        <v>0</v>
      </c>
      <c r="DA66" s="309">
        <v>65</v>
      </c>
      <c r="DB66" s="313">
        <f t="shared" ref="DB66:DB82" si="311">start+DA66*tanO</f>
        <v>223.65806522730315</v>
      </c>
      <c r="DC66" s="309">
        <f t="shared" ref="DC66:DC82" si="312">IF(DA66&lt;edge_width,1,IF(DA66&lt;mid_width,2,IF(DA66&lt;=tot_width,3,4)))</f>
        <v>1</v>
      </c>
      <c r="DD66" s="309">
        <f t="shared" ref="DD66:DD82" si="313">CHOOSE(DC66,edge_thick,second_thick,core_thick,0)</f>
        <v>260</v>
      </c>
      <c r="DE66" s="308">
        <f t="shared" ref="DE66:DE82" si="314">CHOOSE(DC66,edge_k,second_k,core_k,0)</f>
        <v>6.5000000000000002E-2</v>
      </c>
      <c r="DF66" s="313">
        <f t="shared" si="39"/>
        <v>65</v>
      </c>
      <c r="DG66" s="313">
        <f t="shared" si="24"/>
        <v>223.65806522730315</v>
      </c>
      <c r="DH66" s="313">
        <f t="shared" si="25"/>
        <v>223.65806522730315</v>
      </c>
      <c r="DI66" s="313">
        <f t="shared" si="26"/>
        <v>0</v>
      </c>
      <c r="DJ66" s="313">
        <f t="shared" si="27"/>
        <v>0</v>
      </c>
      <c r="DK66" s="313">
        <f t="shared" si="40"/>
        <v>13780.716152500996</v>
      </c>
      <c r="DL66" s="313">
        <f t="shared" si="28"/>
        <v>137267.45918234802</v>
      </c>
      <c r="DM66" s="314">
        <f t="shared" si="299"/>
        <v>11.997245567303832</v>
      </c>
      <c r="DN66" s="312">
        <f t="shared" si="300"/>
        <v>0.18457300872775126</v>
      </c>
      <c r="DO66" s="312">
        <f t="shared" si="41"/>
        <v>0.8602233277973198</v>
      </c>
      <c r="DP66" s="315">
        <f t="shared" ref="DP66:DP82" si="315">DE66*DO66^CHOOSE(DC66,mult1,mult2,mult3,0)</f>
        <v>6.2129337314495214E-2</v>
      </c>
      <c r="DQ66" s="316">
        <f t="shared" si="30"/>
        <v>0.27778715357907313</v>
      </c>
      <c r="DR66" s="316">
        <f t="shared" si="31"/>
        <v>18.756518007793332</v>
      </c>
      <c r="DS66" s="314">
        <f t="shared" si="32"/>
        <v>3.4654619782303144</v>
      </c>
      <c r="DT66" s="316">
        <f t="shared" si="302"/>
        <v>18.756518007793332</v>
      </c>
      <c r="DU66" s="314">
        <f t="shared" ref="DU66:DU82" si="316">IF(DC66&lt;&gt;4,CHOOSE(DC66,DA66/DT66,(DA66-edge_width+1)/DT66,(DA66-mid_width+1)/DT66),0)</f>
        <v>3.4654619782303144</v>
      </c>
      <c r="DV66" s="316">
        <f t="shared" si="44"/>
        <v>135.09202366872822</v>
      </c>
      <c r="DW66" s="310">
        <f t="shared" ref="DW66:DW82" si="317">IF(DC66&lt;&gt;4,(tot_width-DA66+1)/DV66,0)</f>
        <v>3.9676657839871856</v>
      </c>
      <c r="FB66" s="307"/>
      <c r="FC66" s="307"/>
      <c r="FF66" s="307"/>
      <c r="FG66" s="307"/>
      <c r="FH66" s="306"/>
      <c r="FJ66" s="307"/>
      <c r="FK66" s="307"/>
      <c r="FL66" s="306"/>
      <c r="FM66" s="307"/>
      <c r="FN66" s="306"/>
      <c r="FO66" s="307"/>
      <c r="FP66" s="306"/>
    </row>
    <row r="67" spans="1:172">
      <c r="AC67" s="156"/>
      <c r="AD67" s="155">
        <v>42</v>
      </c>
      <c r="AE67" s="159">
        <v>10</v>
      </c>
      <c r="AF67" s="159"/>
      <c r="AG67" s="188">
        <v>42</v>
      </c>
      <c r="AH67" s="183">
        <v>300</v>
      </c>
      <c r="AI67" s="190">
        <v>460</v>
      </c>
      <c r="AJ67" s="185">
        <v>42</v>
      </c>
      <c r="AK67" s="183">
        <f t="shared" si="244"/>
        <v>460</v>
      </c>
      <c r="AM67" s="188">
        <v>42</v>
      </c>
      <c r="AN67" s="183">
        <v>800</v>
      </c>
      <c r="AO67" s="182">
        <v>6.0999999999999999E-2</v>
      </c>
      <c r="AP67" s="185">
        <v>42</v>
      </c>
      <c r="AQ67" s="184">
        <f t="shared" si="245"/>
        <v>6.0999999999999999E-2</v>
      </c>
      <c r="AR67" s="190">
        <v>460</v>
      </c>
      <c r="AS67" s="185">
        <v>42</v>
      </c>
      <c r="AT67" s="183">
        <f t="shared" si="246"/>
        <v>460</v>
      </c>
      <c r="AV67" s="188">
        <v>42</v>
      </c>
      <c r="AW67" s="183">
        <v>800</v>
      </c>
      <c r="AX67" s="182">
        <v>6.0999999999999999E-2</v>
      </c>
      <c r="AY67" s="185">
        <v>42</v>
      </c>
      <c r="AZ67" s="184">
        <f t="shared" si="247"/>
        <v>6.0999999999999999E-2</v>
      </c>
      <c r="BA67" s="190">
        <v>460</v>
      </c>
      <c r="BB67" s="185">
        <v>42</v>
      </c>
      <c r="BC67" s="183">
        <f t="shared" si="248"/>
        <v>460</v>
      </c>
      <c r="BE67" s="188">
        <v>42</v>
      </c>
      <c r="BF67" s="183">
        <v>800</v>
      </c>
      <c r="BG67" s="182">
        <v>6.0999999999999999E-2</v>
      </c>
      <c r="BH67" s="185">
        <v>42</v>
      </c>
      <c r="BI67" s="184">
        <f t="shared" si="249"/>
        <v>6.0999999999999999E-2</v>
      </c>
      <c r="BJ67" s="154"/>
      <c r="BK67" s="533">
        <v>42</v>
      </c>
      <c r="BL67" s="183">
        <f t="shared" si="310"/>
        <v>600</v>
      </c>
      <c r="BM67" s="155">
        <v>800</v>
      </c>
      <c r="CW67" s="364"/>
      <c r="CX67" s="309">
        <v>1200</v>
      </c>
      <c r="CY67" s="313">
        <v>0</v>
      </c>
      <c r="DA67" s="309">
        <v>66</v>
      </c>
      <c r="DB67" s="313">
        <f t="shared" si="311"/>
        <v>224.02203546156935</v>
      </c>
      <c r="DC67" s="309">
        <f t="shared" si="312"/>
        <v>1</v>
      </c>
      <c r="DD67" s="309">
        <f t="shared" si="313"/>
        <v>260</v>
      </c>
      <c r="DE67" s="308">
        <f t="shared" si="314"/>
        <v>6.5000000000000002E-2</v>
      </c>
      <c r="DF67" s="313">
        <f t="shared" si="39"/>
        <v>66</v>
      </c>
      <c r="DG67" s="313">
        <f t="shared" ref="DG67:DG130" si="318">IF(DC67=4,DG66,MIN(DB67,DD67))</f>
        <v>224.02203546156935</v>
      </c>
      <c r="DH67" s="313">
        <f t="shared" ref="DH67:DH130" si="319">IF(DC67=1,DG67,0)</f>
        <v>224.02203546156935</v>
      </c>
      <c r="DI67" s="313">
        <f t="shared" ref="DI67:DI130" si="320">IF(DC67=2,DG67,0)</f>
        <v>0</v>
      </c>
      <c r="DJ67" s="313">
        <f t="shared" ref="DJ67:DJ130" si="321">IF(DC67=3,DG67,0)</f>
        <v>0</v>
      </c>
      <c r="DK67" s="313">
        <f t="shared" si="40"/>
        <v>14004.738187962565</v>
      </c>
      <c r="DL67" s="313">
        <f t="shared" ref="DL67:DL130" si="322">IF(DC67&lt;4,DL68+DG67,0)</f>
        <v>137043.80111712072</v>
      </c>
      <c r="DM67" s="314">
        <f t="shared" ref="DM67:DM82" si="323">IF($DC67&lt;&gt;4,IF($DA67=edge_width,$CY$2,IF($DA67=mid_width,$CY$3,1-DO67+DM66)),0)</f>
        <v>12.135622353990104</v>
      </c>
      <c r="DN67" s="312">
        <f t="shared" ref="DN67:DN82" si="324">IF(DC67&lt;&gt;4,CHOOSE(DC67,DM67/DA67,DM67/(DA67-edge_width+1),DM67/(DA67-mid_width+1)),0)</f>
        <v>0.18387306596954703</v>
      </c>
      <c r="DO67" s="312">
        <f t="shared" si="41"/>
        <v>0.86162321331372826</v>
      </c>
      <c r="DP67" s="315">
        <f t="shared" si="315"/>
        <v>6.2159651930802397E-2</v>
      </c>
      <c r="DQ67" s="316">
        <f t="shared" ref="DQ67:DQ130" si="325">IF(AND(DC67&lt;&gt;4,DG67&lt;&gt;0),1000*DP67/DG67,0)</f>
        <v>0.27747115056217669</v>
      </c>
      <c r="DR67" s="316">
        <f t="shared" ref="DR67:DR130" si="326">IF(DC67&lt;&gt;4,DR66+DQ67,0)</f>
        <v>19.03398915835551</v>
      </c>
      <c r="DS67" s="314">
        <f t="shared" ref="DS67:DS130" si="327">IF(AND(DC67&lt;&gt;4,DR67&lt;&gt;0),DA67/DR67,0)</f>
        <v>3.4674812227171743</v>
      </c>
      <c r="DT67" s="316">
        <f t="shared" ref="DT67:DT82" si="328">IF(DC67&lt;&gt;4,IF(DA67=edge_width,$CY$4,IF(DA67=mid_width,$CY$5,DQ67+DT66)),0)</f>
        <v>19.03398915835551</v>
      </c>
      <c r="DU67" s="314">
        <f t="shared" si="316"/>
        <v>3.4674812227171743</v>
      </c>
      <c r="DV67" s="316">
        <f t="shared" si="44"/>
        <v>134.81423651514913</v>
      </c>
      <c r="DW67" s="310">
        <f t="shared" si="317"/>
        <v>3.9684236162987268</v>
      </c>
      <c r="FB67" s="307"/>
      <c r="FC67" s="307"/>
      <c r="FF67" s="307"/>
      <c r="FG67" s="307"/>
      <c r="FH67" s="306"/>
      <c r="FJ67" s="307"/>
      <c r="FK67" s="307"/>
      <c r="FL67" s="306"/>
      <c r="FM67" s="307"/>
      <c r="FN67" s="306"/>
      <c r="FO67" s="307"/>
      <c r="FP67" s="306"/>
    </row>
    <row r="68" spans="1:172">
      <c r="AC68" s="156"/>
      <c r="AD68" s="155">
        <v>43</v>
      </c>
      <c r="AE68" s="159">
        <v>9.5</v>
      </c>
      <c r="AF68" s="159"/>
      <c r="AG68" s="188">
        <v>43</v>
      </c>
      <c r="AH68" s="183">
        <v>295</v>
      </c>
      <c r="AI68" s="190">
        <v>459</v>
      </c>
      <c r="AJ68" s="185">
        <v>43</v>
      </c>
      <c r="AK68" s="183">
        <f t="shared" si="244"/>
        <v>459</v>
      </c>
      <c r="AM68" s="188">
        <v>43</v>
      </c>
      <c r="AN68" s="183">
        <v>790</v>
      </c>
      <c r="AO68" s="182">
        <v>6.0900000000000003E-2</v>
      </c>
      <c r="AP68" s="185">
        <v>43</v>
      </c>
      <c r="AQ68" s="184">
        <f t="shared" si="245"/>
        <v>6.0900000000000003E-2</v>
      </c>
      <c r="AR68" s="190">
        <v>459</v>
      </c>
      <c r="AS68" s="185">
        <v>43</v>
      </c>
      <c r="AT68" s="183">
        <f t="shared" si="246"/>
        <v>459</v>
      </c>
      <c r="AV68" s="188">
        <v>43</v>
      </c>
      <c r="AW68" s="183">
        <v>790</v>
      </c>
      <c r="AX68" s="182">
        <v>6.0900000000000003E-2</v>
      </c>
      <c r="AY68" s="185">
        <v>43</v>
      </c>
      <c r="AZ68" s="184">
        <f t="shared" si="247"/>
        <v>6.0900000000000003E-2</v>
      </c>
      <c r="BA68" s="190">
        <v>459</v>
      </c>
      <c r="BB68" s="185">
        <v>43</v>
      </c>
      <c r="BC68" s="183">
        <f t="shared" si="248"/>
        <v>459</v>
      </c>
      <c r="BE68" s="188">
        <v>43</v>
      </c>
      <c r="BF68" s="183">
        <v>790</v>
      </c>
      <c r="BG68" s="182">
        <v>6.0900000000000003E-2</v>
      </c>
      <c r="BH68" s="185">
        <v>43</v>
      </c>
      <c r="BI68" s="184">
        <f t="shared" si="249"/>
        <v>6.0900000000000003E-2</v>
      </c>
      <c r="BJ68" s="154"/>
      <c r="BK68" s="533">
        <v>43</v>
      </c>
      <c r="BL68" s="183">
        <f t="shared" si="310"/>
        <v>600</v>
      </c>
      <c r="BM68" s="155">
        <v>790</v>
      </c>
      <c r="CW68" s="364"/>
      <c r="CX68" s="309">
        <v>1200</v>
      </c>
      <c r="CY68" s="313">
        <v>600</v>
      </c>
      <c r="DA68" s="309">
        <v>67</v>
      </c>
      <c r="DB68" s="313">
        <f t="shared" si="311"/>
        <v>224.38600569583556</v>
      </c>
      <c r="DC68" s="309">
        <f t="shared" si="312"/>
        <v>1</v>
      </c>
      <c r="DD68" s="309">
        <f t="shared" si="313"/>
        <v>260</v>
      </c>
      <c r="DE68" s="308">
        <f t="shared" si="314"/>
        <v>6.5000000000000002E-2</v>
      </c>
      <c r="DF68" s="313">
        <f t="shared" ref="DF68:DF131" si="329">IF(DC68&lt;4,DF67+1,DF67)</f>
        <v>67</v>
      </c>
      <c r="DG68" s="313">
        <f t="shared" si="318"/>
        <v>224.38600569583556</v>
      </c>
      <c r="DH68" s="313">
        <f t="shared" si="319"/>
        <v>224.38600569583556</v>
      </c>
      <c r="DI68" s="313">
        <f t="shared" si="320"/>
        <v>0</v>
      </c>
      <c r="DJ68" s="313">
        <f t="shared" si="321"/>
        <v>0</v>
      </c>
      <c r="DK68" s="313">
        <f t="shared" ref="DK68:DK131" si="330">IF(DC68&lt;4,DK67+DG68,0)</f>
        <v>14229.124193658399</v>
      </c>
      <c r="DL68" s="313">
        <f t="shared" si="322"/>
        <v>136819.77908165916</v>
      </c>
      <c r="DM68" s="314">
        <f t="shared" si="323"/>
        <v>12.272599255159967</v>
      </c>
      <c r="DN68" s="312">
        <f t="shared" si="324"/>
        <v>0.1831731232113428</v>
      </c>
      <c r="DO68" s="312">
        <f t="shared" ref="DO68:DO131" si="331">IF(AND(DC68&lt;&gt;4,DD68&lt;&gt;0),DG68/DD68,0)</f>
        <v>0.86302309883013684</v>
      </c>
      <c r="DP68" s="315">
        <f t="shared" si="315"/>
        <v>6.2189932090022076E-2</v>
      </c>
      <c r="DQ68" s="316">
        <f t="shared" si="325"/>
        <v>0.27715601914284743</v>
      </c>
      <c r="DR68" s="316">
        <f t="shared" si="326"/>
        <v>19.311145177498357</v>
      </c>
      <c r="DS68" s="314">
        <f t="shared" si="327"/>
        <v>3.4694990578844296</v>
      </c>
      <c r="DT68" s="316">
        <f t="shared" si="328"/>
        <v>19.311145177498357</v>
      </c>
      <c r="DU68" s="314">
        <f t="shared" si="316"/>
        <v>3.4694990578844296</v>
      </c>
      <c r="DV68" s="316">
        <f t="shared" ref="DV68:DV131" si="332">DV69+DQ68</f>
        <v>134.53676536458696</v>
      </c>
      <c r="DW68" s="310">
        <f t="shared" si="317"/>
        <v>3.9691752552017321</v>
      </c>
      <c r="FB68" s="307"/>
      <c r="FC68" s="307"/>
      <c r="FF68" s="307"/>
      <c r="FG68" s="307"/>
      <c r="FH68" s="306"/>
      <c r="FJ68" s="307"/>
      <c r="FK68" s="307"/>
      <c r="FL68" s="306"/>
      <c r="FM68" s="307"/>
      <c r="FN68" s="306"/>
      <c r="FO68" s="307"/>
      <c r="FP68" s="306"/>
    </row>
    <row r="69" spans="1:172">
      <c r="AC69" s="156"/>
      <c r="AD69" s="155">
        <v>44</v>
      </c>
      <c r="AE69" s="159">
        <v>9</v>
      </c>
      <c r="AF69" s="159"/>
      <c r="AG69" s="188">
        <v>44</v>
      </c>
      <c r="AH69" s="183">
        <v>290</v>
      </c>
      <c r="AI69" s="190">
        <v>458</v>
      </c>
      <c r="AJ69" s="185">
        <v>44</v>
      </c>
      <c r="AK69" s="183">
        <f t="shared" si="244"/>
        <v>458</v>
      </c>
      <c r="AM69" s="188">
        <v>44</v>
      </c>
      <c r="AN69" s="183">
        <v>780</v>
      </c>
      <c r="AO69" s="182">
        <v>6.08E-2</v>
      </c>
      <c r="AP69" s="185">
        <v>44</v>
      </c>
      <c r="AQ69" s="184">
        <f t="shared" si="245"/>
        <v>6.08E-2</v>
      </c>
      <c r="AR69" s="190">
        <v>458</v>
      </c>
      <c r="AS69" s="185">
        <v>44</v>
      </c>
      <c r="AT69" s="183">
        <f t="shared" si="246"/>
        <v>458</v>
      </c>
      <c r="AV69" s="188">
        <v>44</v>
      </c>
      <c r="AW69" s="183">
        <v>780</v>
      </c>
      <c r="AX69" s="182">
        <v>6.08E-2</v>
      </c>
      <c r="AY69" s="185">
        <v>44</v>
      </c>
      <c r="AZ69" s="184">
        <f t="shared" si="247"/>
        <v>6.08E-2</v>
      </c>
      <c r="BA69" s="190">
        <v>458</v>
      </c>
      <c r="BB69" s="185">
        <v>44</v>
      </c>
      <c r="BC69" s="183">
        <f t="shared" si="248"/>
        <v>458</v>
      </c>
      <c r="BE69" s="188">
        <v>44</v>
      </c>
      <c r="BF69" s="183">
        <v>780</v>
      </c>
      <c r="BG69" s="182">
        <v>6.08E-2</v>
      </c>
      <c r="BH69" s="185">
        <v>44</v>
      </c>
      <c r="BI69" s="184">
        <f t="shared" si="249"/>
        <v>6.08E-2</v>
      </c>
      <c r="BJ69" s="154"/>
      <c r="BK69" s="533">
        <v>44</v>
      </c>
      <c r="BL69" s="183">
        <f t="shared" si="310"/>
        <v>600</v>
      </c>
      <c r="BM69" s="155">
        <v>780</v>
      </c>
      <c r="CW69" s="364"/>
      <c r="CX69" s="309"/>
      <c r="CY69" s="313"/>
      <c r="DA69" s="309">
        <v>68</v>
      </c>
      <c r="DB69" s="313">
        <f t="shared" si="311"/>
        <v>224.74997593010175</v>
      </c>
      <c r="DC69" s="309">
        <f t="shared" si="312"/>
        <v>1</v>
      </c>
      <c r="DD69" s="309">
        <f t="shared" si="313"/>
        <v>260</v>
      </c>
      <c r="DE69" s="308">
        <f t="shared" si="314"/>
        <v>6.5000000000000002E-2</v>
      </c>
      <c r="DF69" s="313">
        <f t="shared" si="329"/>
        <v>68</v>
      </c>
      <c r="DG69" s="313">
        <f t="shared" si="318"/>
        <v>224.74997593010175</v>
      </c>
      <c r="DH69" s="313">
        <f t="shared" si="319"/>
        <v>224.74997593010175</v>
      </c>
      <c r="DI69" s="313">
        <f t="shared" si="320"/>
        <v>0</v>
      </c>
      <c r="DJ69" s="313">
        <f t="shared" si="321"/>
        <v>0</v>
      </c>
      <c r="DK69" s="313">
        <f t="shared" si="330"/>
        <v>14453.8741695885</v>
      </c>
      <c r="DL69" s="313">
        <f t="shared" si="322"/>
        <v>136595.39307596334</v>
      </c>
      <c r="DM69" s="314">
        <f t="shared" si="323"/>
        <v>12.408176270813422</v>
      </c>
      <c r="DN69" s="312">
        <f t="shared" si="324"/>
        <v>0.18247318045313857</v>
      </c>
      <c r="DO69" s="312">
        <f t="shared" si="331"/>
        <v>0.86442298434654519</v>
      </c>
      <c r="DP69" s="315">
        <f t="shared" si="315"/>
        <v>6.2220177887116604E-2</v>
      </c>
      <c r="DQ69" s="316">
        <f t="shared" si="325"/>
        <v>0.27684175550909673</v>
      </c>
      <c r="DR69" s="316">
        <f t="shared" si="326"/>
        <v>19.587986933007453</v>
      </c>
      <c r="DS69" s="314">
        <f t="shared" si="327"/>
        <v>3.4715154871486114</v>
      </c>
      <c r="DT69" s="316">
        <f t="shared" si="328"/>
        <v>19.587986933007453</v>
      </c>
      <c r="DU69" s="314">
        <f t="shared" si="316"/>
        <v>3.4715154871486114</v>
      </c>
      <c r="DV69" s="316">
        <f t="shared" si="332"/>
        <v>134.25960934544412</v>
      </c>
      <c r="DW69" s="310">
        <f t="shared" si="317"/>
        <v>3.9699206827618143</v>
      </c>
      <c r="FB69" s="307"/>
      <c r="FC69" s="307"/>
      <c r="FF69" s="307"/>
      <c r="FG69" s="307"/>
      <c r="FH69" s="306"/>
      <c r="FJ69" s="307"/>
      <c r="FK69" s="307"/>
      <c r="FL69" s="306"/>
      <c r="FM69" s="307"/>
      <c r="FN69" s="306"/>
      <c r="FO69" s="307"/>
      <c r="FP69" s="306"/>
    </row>
    <row r="70" spans="1:172">
      <c r="AC70" s="156"/>
      <c r="AD70" s="155">
        <v>45</v>
      </c>
      <c r="AE70" s="159">
        <v>8.5</v>
      </c>
      <c r="AF70" s="159"/>
      <c r="AG70" s="188">
        <v>45</v>
      </c>
      <c r="AH70" s="183">
        <v>285</v>
      </c>
      <c r="AI70" s="190">
        <v>457</v>
      </c>
      <c r="AJ70" s="185">
        <v>45</v>
      </c>
      <c r="AK70" s="183">
        <f t="shared" si="244"/>
        <v>457</v>
      </c>
      <c r="AM70" s="188">
        <v>45</v>
      </c>
      <c r="AN70" s="183">
        <v>770</v>
      </c>
      <c r="AO70" s="182">
        <v>6.0699999999999997E-2</v>
      </c>
      <c r="AP70" s="185">
        <v>45</v>
      </c>
      <c r="AQ70" s="184">
        <f t="shared" si="245"/>
        <v>6.0699999999999997E-2</v>
      </c>
      <c r="AR70" s="190">
        <v>457</v>
      </c>
      <c r="AS70" s="185">
        <v>45</v>
      </c>
      <c r="AT70" s="183">
        <f t="shared" si="246"/>
        <v>457</v>
      </c>
      <c r="AV70" s="188">
        <v>45</v>
      </c>
      <c r="AW70" s="183">
        <v>770</v>
      </c>
      <c r="AX70" s="182">
        <v>6.0699999999999997E-2</v>
      </c>
      <c r="AY70" s="185">
        <v>45</v>
      </c>
      <c r="AZ70" s="184">
        <f t="shared" si="247"/>
        <v>6.0699999999999997E-2</v>
      </c>
      <c r="BA70" s="190">
        <v>457</v>
      </c>
      <c r="BB70" s="185">
        <v>45</v>
      </c>
      <c r="BC70" s="183">
        <f t="shared" si="248"/>
        <v>457</v>
      </c>
      <c r="BE70" s="188">
        <v>45</v>
      </c>
      <c r="BF70" s="183">
        <v>770</v>
      </c>
      <c r="BG70" s="182">
        <v>6.0699999999999997E-2</v>
      </c>
      <c r="BH70" s="185">
        <v>45</v>
      </c>
      <c r="BI70" s="184">
        <f t="shared" si="249"/>
        <v>6.0699999999999997E-2</v>
      </c>
      <c r="BJ70" s="154"/>
      <c r="BK70" s="533">
        <v>45</v>
      </c>
      <c r="BL70" s="183">
        <f t="shared" si="310"/>
        <v>600</v>
      </c>
      <c r="BM70" s="155">
        <v>770</v>
      </c>
      <c r="CW70" s="364"/>
      <c r="CX70" s="309">
        <v>0</v>
      </c>
      <c r="CY70" s="313">
        <f>start+2</f>
        <v>202</v>
      </c>
      <c r="DA70" s="309">
        <v>69</v>
      </c>
      <c r="DB70" s="313">
        <f t="shared" si="311"/>
        <v>225.11394616436797</v>
      </c>
      <c r="DC70" s="309">
        <f t="shared" si="312"/>
        <v>1</v>
      </c>
      <c r="DD70" s="309">
        <f t="shared" si="313"/>
        <v>260</v>
      </c>
      <c r="DE70" s="308">
        <f t="shared" si="314"/>
        <v>6.5000000000000002E-2</v>
      </c>
      <c r="DF70" s="313">
        <f t="shared" si="329"/>
        <v>69</v>
      </c>
      <c r="DG70" s="313">
        <f t="shared" si="318"/>
        <v>225.11394616436797</v>
      </c>
      <c r="DH70" s="313">
        <f t="shared" si="319"/>
        <v>225.11394616436797</v>
      </c>
      <c r="DI70" s="313">
        <f t="shared" si="320"/>
        <v>0</v>
      </c>
      <c r="DJ70" s="313">
        <f t="shared" si="321"/>
        <v>0</v>
      </c>
      <c r="DK70" s="313">
        <f t="shared" si="330"/>
        <v>14678.988115752869</v>
      </c>
      <c r="DL70" s="313">
        <f t="shared" si="322"/>
        <v>136370.64310003322</v>
      </c>
      <c r="DM70" s="314">
        <f t="shared" si="323"/>
        <v>12.542353400950468</v>
      </c>
      <c r="DN70" s="312">
        <f t="shared" si="324"/>
        <v>0.18177323769493431</v>
      </c>
      <c r="DO70" s="312">
        <f t="shared" si="331"/>
        <v>0.86582286986295376</v>
      </c>
      <c r="DP70" s="315">
        <f t="shared" si="315"/>
        <v>6.2250389416633342E-2</v>
      </c>
      <c r="DQ70" s="316">
        <f t="shared" si="325"/>
        <v>0.27652835587174568</v>
      </c>
      <c r="DR70" s="316">
        <f t="shared" si="326"/>
        <v>19.8645152888792</v>
      </c>
      <c r="DS70" s="314">
        <f t="shared" si="327"/>
        <v>3.4735305139123347</v>
      </c>
      <c r="DT70" s="316">
        <f t="shared" si="328"/>
        <v>19.8645152888792</v>
      </c>
      <c r="DU70" s="314">
        <f t="shared" si="316"/>
        <v>3.4735305139123347</v>
      </c>
      <c r="DV70" s="316">
        <f t="shared" si="332"/>
        <v>133.98276758993501</v>
      </c>
      <c r="DW70" s="310">
        <f t="shared" si="317"/>
        <v>3.9706598808902696</v>
      </c>
      <c r="FB70" s="307"/>
      <c r="FC70" s="307"/>
      <c r="FF70" s="307"/>
      <c r="FG70" s="307"/>
      <c r="FH70" s="306"/>
      <c r="FJ70" s="307"/>
      <c r="FK70" s="307"/>
      <c r="FL70" s="306"/>
      <c r="FM70" s="307"/>
      <c r="FN70" s="306"/>
      <c r="FO70" s="307"/>
      <c r="FP70" s="306"/>
    </row>
    <row r="71" spans="1:172">
      <c r="AC71" s="156"/>
      <c r="AD71" s="155">
        <v>46</v>
      </c>
      <c r="AE71" s="159">
        <v>8</v>
      </c>
      <c r="AF71" s="159"/>
      <c r="AG71" s="188">
        <v>46</v>
      </c>
      <c r="AH71" s="183">
        <v>280</v>
      </c>
      <c r="AI71" s="190">
        <v>456</v>
      </c>
      <c r="AJ71" s="185">
        <v>46</v>
      </c>
      <c r="AK71" s="183">
        <f t="shared" si="244"/>
        <v>456</v>
      </c>
      <c r="AM71" s="188">
        <v>46</v>
      </c>
      <c r="AN71" s="183">
        <v>760</v>
      </c>
      <c r="AO71" s="182">
        <v>6.0600000000000001E-2</v>
      </c>
      <c r="AP71" s="185">
        <v>46</v>
      </c>
      <c r="AQ71" s="184">
        <f t="shared" si="245"/>
        <v>6.0600000000000001E-2</v>
      </c>
      <c r="AR71" s="190">
        <v>456</v>
      </c>
      <c r="AS71" s="185">
        <v>46</v>
      </c>
      <c r="AT71" s="183">
        <f t="shared" si="246"/>
        <v>456</v>
      </c>
      <c r="AV71" s="188">
        <v>46</v>
      </c>
      <c r="AW71" s="183">
        <v>760</v>
      </c>
      <c r="AX71" s="182">
        <v>6.0600000000000001E-2</v>
      </c>
      <c r="AY71" s="185">
        <v>46</v>
      </c>
      <c r="AZ71" s="184">
        <f t="shared" si="247"/>
        <v>6.0600000000000001E-2</v>
      </c>
      <c r="BA71" s="190">
        <v>456</v>
      </c>
      <c r="BB71" s="185">
        <v>46</v>
      </c>
      <c r="BC71" s="183">
        <f t="shared" si="248"/>
        <v>456</v>
      </c>
      <c r="BE71" s="188">
        <v>46</v>
      </c>
      <c r="BF71" s="183">
        <v>760</v>
      </c>
      <c r="BG71" s="182">
        <v>6.0600000000000001E-2</v>
      </c>
      <c r="BH71" s="185">
        <v>46</v>
      </c>
      <c r="BI71" s="184">
        <f t="shared" si="249"/>
        <v>6.0600000000000001E-2</v>
      </c>
      <c r="BJ71" s="154"/>
      <c r="BK71" s="533">
        <v>46</v>
      </c>
      <c r="BL71" s="183">
        <f t="shared" si="310"/>
        <v>600</v>
      </c>
      <c r="BM71" s="155">
        <v>760</v>
      </c>
      <c r="CW71" s="364"/>
      <c r="CX71" s="309">
        <v>0</v>
      </c>
      <c r="CY71" s="313">
        <v>600</v>
      </c>
      <c r="DA71" s="309">
        <v>70</v>
      </c>
      <c r="DB71" s="313">
        <f t="shared" si="311"/>
        <v>225.47791639863416</v>
      </c>
      <c r="DC71" s="309">
        <f t="shared" si="312"/>
        <v>1</v>
      </c>
      <c r="DD71" s="309">
        <f t="shared" si="313"/>
        <v>260</v>
      </c>
      <c r="DE71" s="308">
        <f t="shared" si="314"/>
        <v>6.5000000000000002E-2</v>
      </c>
      <c r="DF71" s="313">
        <f t="shared" si="329"/>
        <v>70</v>
      </c>
      <c r="DG71" s="313">
        <f t="shared" si="318"/>
        <v>225.47791639863416</v>
      </c>
      <c r="DH71" s="313">
        <f t="shared" si="319"/>
        <v>225.47791639863416</v>
      </c>
      <c r="DI71" s="313">
        <f t="shared" si="320"/>
        <v>0</v>
      </c>
      <c r="DJ71" s="313">
        <f t="shared" si="321"/>
        <v>0</v>
      </c>
      <c r="DK71" s="313">
        <f t="shared" si="330"/>
        <v>14904.466032151504</v>
      </c>
      <c r="DL71" s="313">
        <f t="shared" si="322"/>
        <v>136145.52915386885</v>
      </c>
      <c r="DM71" s="314">
        <f t="shared" si="323"/>
        <v>12.675130645571105</v>
      </c>
      <c r="DN71" s="312">
        <f t="shared" si="324"/>
        <v>0.18107329493673008</v>
      </c>
      <c r="DO71" s="312">
        <f t="shared" si="331"/>
        <v>0.86722275537936222</v>
      </c>
      <c r="DP71" s="315">
        <f t="shared" si="315"/>
        <v>6.2280566772707116E-2</v>
      </c>
      <c r="DQ71" s="316">
        <f t="shared" si="325"/>
        <v>0.27621581646425214</v>
      </c>
      <c r="DR71" s="316">
        <f t="shared" si="326"/>
        <v>20.140731105343452</v>
      </c>
      <c r="DS71" s="314">
        <f t="shared" si="327"/>
        <v>3.4755441415643844</v>
      </c>
      <c r="DT71" s="316">
        <f t="shared" si="328"/>
        <v>20.140731105343452</v>
      </c>
      <c r="DU71" s="314">
        <f t="shared" si="316"/>
        <v>3.4755441415643844</v>
      </c>
      <c r="DV71" s="316">
        <f t="shared" si="332"/>
        <v>133.70623923406328</v>
      </c>
      <c r="DW71" s="310">
        <f t="shared" si="317"/>
        <v>3.9713928313430666</v>
      </c>
      <c r="FB71" s="307"/>
      <c r="FC71" s="307"/>
      <c r="FF71" s="307"/>
      <c r="FG71" s="307"/>
      <c r="FH71" s="306"/>
      <c r="FJ71" s="307"/>
      <c r="FK71" s="307"/>
      <c r="FL71" s="306"/>
      <c r="FM71" s="307"/>
      <c r="FN71" s="306"/>
      <c r="FO71" s="307"/>
      <c r="FP71" s="306"/>
    </row>
    <row r="72" spans="1:172">
      <c r="AC72" s="156"/>
      <c r="AD72" s="155">
        <v>47</v>
      </c>
      <c r="AE72" s="159">
        <v>7.5</v>
      </c>
      <c r="AF72" s="159"/>
      <c r="AG72" s="188">
        <v>47</v>
      </c>
      <c r="AH72" s="183">
        <v>275</v>
      </c>
      <c r="AI72" s="190">
        <v>455</v>
      </c>
      <c r="AJ72" s="185">
        <v>47</v>
      </c>
      <c r="AK72" s="183">
        <f t="shared" si="244"/>
        <v>455</v>
      </c>
      <c r="AM72" s="188">
        <v>47</v>
      </c>
      <c r="AN72" s="183">
        <v>750</v>
      </c>
      <c r="AO72" s="182">
        <v>6.0499999999999998E-2</v>
      </c>
      <c r="AP72" s="185">
        <v>47</v>
      </c>
      <c r="AQ72" s="184">
        <f t="shared" si="245"/>
        <v>6.0499999999999998E-2</v>
      </c>
      <c r="AR72" s="190">
        <v>455</v>
      </c>
      <c r="AS72" s="185">
        <v>47</v>
      </c>
      <c r="AT72" s="183">
        <f t="shared" si="246"/>
        <v>455</v>
      </c>
      <c r="AV72" s="188">
        <v>47</v>
      </c>
      <c r="AW72" s="183">
        <v>750</v>
      </c>
      <c r="AX72" s="182">
        <v>6.0499999999999998E-2</v>
      </c>
      <c r="AY72" s="185">
        <v>47</v>
      </c>
      <c r="AZ72" s="184">
        <f t="shared" si="247"/>
        <v>6.0499999999999998E-2</v>
      </c>
      <c r="BA72" s="190">
        <v>455</v>
      </c>
      <c r="BB72" s="185">
        <v>47</v>
      </c>
      <c r="BC72" s="183">
        <f t="shared" si="248"/>
        <v>455</v>
      </c>
      <c r="BE72" s="188">
        <v>47</v>
      </c>
      <c r="BF72" s="183">
        <v>750</v>
      </c>
      <c r="BG72" s="182">
        <v>6.0499999999999998E-2</v>
      </c>
      <c r="BH72" s="185">
        <v>47</v>
      </c>
      <c r="BI72" s="184">
        <f t="shared" si="249"/>
        <v>6.0499999999999998E-2</v>
      </c>
      <c r="BJ72" s="154"/>
      <c r="BK72" s="533">
        <v>47</v>
      </c>
      <c r="BL72" s="183">
        <f t="shared" si="310"/>
        <v>600</v>
      </c>
      <c r="BM72" s="155">
        <v>750</v>
      </c>
      <c r="CW72" s="364"/>
      <c r="DA72" s="309">
        <v>71</v>
      </c>
      <c r="DB72" s="313">
        <f t="shared" si="311"/>
        <v>225.84188663290035</v>
      </c>
      <c r="DC72" s="309">
        <f t="shared" si="312"/>
        <v>1</v>
      </c>
      <c r="DD72" s="309">
        <f t="shared" si="313"/>
        <v>260</v>
      </c>
      <c r="DE72" s="308">
        <f t="shared" si="314"/>
        <v>6.5000000000000002E-2</v>
      </c>
      <c r="DF72" s="313">
        <f t="shared" si="329"/>
        <v>71</v>
      </c>
      <c r="DG72" s="313">
        <f t="shared" si="318"/>
        <v>225.84188663290035</v>
      </c>
      <c r="DH72" s="313">
        <f t="shared" si="319"/>
        <v>225.84188663290035</v>
      </c>
      <c r="DI72" s="313">
        <f t="shared" si="320"/>
        <v>0</v>
      </c>
      <c r="DJ72" s="313">
        <f t="shared" si="321"/>
        <v>0</v>
      </c>
      <c r="DK72" s="313">
        <f t="shared" si="330"/>
        <v>15130.307918784405</v>
      </c>
      <c r="DL72" s="313">
        <f t="shared" si="322"/>
        <v>135920.05123747021</v>
      </c>
      <c r="DM72" s="314">
        <f t="shared" si="323"/>
        <v>12.806508004675335</v>
      </c>
      <c r="DN72" s="312">
        <f t="shared" si="324"/>
        <v>0.18037335217852585</v>
      </c>
      <c r="DO72" s="312">
        <f t="shared" si="331"/>
        <v>0.86862264089577057</v>
      </c>
      <c r="DP72" s="315">
        <f t="shared" si="315"/>
        <v>6.2310710049062752E-2</v>
      </c>
      <c r="DQ72" s="316">
        <f t="shared" si="325"/>
        <v>0.27590413354253923</v>
      </c>
      <c r="DR72" s="316">
        <f t="shared" si="326"/>
        <v>20.416635238885991</v>
      </c>
      <c r="DS72" s="314">
        <f t="shared" si="327"/>
        <v>3.4775563734797874</v>
      </c>
      <c r="DT72" s="316">
        <f t="shared" si="328"/>
        <v>20.416635238885991</v>
      </c>
      <c r="DU72" s="314">
        <f t="shared" si="316"/>
        <v>3.4775563734797874</v>
      </c>
      <c r="DV72" s="316">
        <f t="shared" si="332"/>
        <v>133.43002341759902</v>
      </c>
      <c r="DW72" s="310">
        <f t="shared" si="317"/>
        <v>3.9721195157198377</v>
      </c>
      <c r="FB72" s="307"/>
      <c r="FC72" s="307"/>
      <c r="FF72" s="307"/>
      <c r="FG72" s="307"/>
      <c r="FH72" s="306"/>
      <c r="FJ72" s="307"/>
      <c r="FK72" s="307"/>
      <c r="FL72" s="306"/>
      <c r="FM72" s="307"/>
      <c r="FN72" s="306"/>
      <c r="FO72" s="307"/>
      <c r="FP72" s="306"/>
    </row>
    <row r="73" spans="1:172">
      <c r="AC73" s="156"/>
      <c r="AD73" s="155">
        <v>48</v>
      </c>
      <c r="AE73" s="159">
        <v>7</v>
      </c>
      <c r="AF73" s="159"/>
      <c r="AG73" s="188">
        <v>48</v>
      </c>
      <c r="AH73" s="183">
        <v>270</v>
      </c>
      <c r="AI73" s="190">
        <v>454</v>
      </c>
      <c r="AJ73" s="185">
        <v>48</v>
      </c>
      <c r="AK73" s="183">
        <f t="shared" si="244"/>
        <v>454</v>
      </c>
      <c r="AM73" s="188">
        <v>48</v>
      </c>
      <c r="AN73" s="183">
        <v>740</v>
      </c>
      <c r="AO73" s="182">
        <v>6.0400000000000002E-2</v>
      </c>
      <c r="AP73" s="185">
        <v>48</v>
      </c>
      <c r="AQ73" s="184">
        <f t="shared" si="245"/>
        <v>6.0400000000000002E-2</v>
      </c>
      <c r="AR73" s="190">
        <v>454</v>
      </c>
      <c r="AS73" s="185">
        <v>48</v>
      </c>
      <c r="AT73" s="183">
        <f t="shared" si="246"/>
        <v>454</v>
      </c>
      <c r="AV73" s="188">
        <v>48</v>
      </c>
      <c r="AW73" s="183">
        <v>740</v>
      </c>
      <c r="AX73" s="182">
        <v>6.0400000000000002E-2</v>
      </c>
      <c r="AY73" s="185">
        <v>48</v>
      </c>
      <c r="AZ73" s="184">
        <f t="shared" si="247"/>
        <v>6.0400000000000002E-2</v>
      </c>
      <c r="BA73" s="190">
        <v>454</v>
      </c>
      <c r="BB73" s="185">
        <v>48</v>
      </c>
      <c r="BC73" s="183">
        <f t="shared" si="248"/>
        <v>454</v>
      </c>
      <c r="BE73" s="188">
        <v>48</v>
      </c>
      <c r="BF73" s="183">
        <v>740</v>
      </c>
      <c r="BG73" s="182">
        <v>6.0400000000000002E-2</v>
      </c>
      <c r="BH73" s="185">
        <v>48</v>
      </c>
      <c r="BI73" s="184">
        <f t="shared" si="249"/>
        <v>6.0400000000000002E-2</v>
      </c>
      <c r="BJ73" s="154"/>
      <c r="BK73" s="533">
        <v>48</v>
      </c>
      <c r="BL73" s="183">
        <f t="shared" si="310"/>
        <v>600</v>
      </c>
      <c r="BM73" s="155">
        <v>740</v>
      </c>
      <c r="CW73" s="364"/>
      <c r="CX73" s="309">
        <f>select_width</f>
        <v>600</v>
      </c>
      <c r="CY73" s="313">
        <v>600</v>
      </c>
      <c r="DA73" s="309">
        <v>72</v>
      </c>
      <c r="DB73" s="313">
        <f t="shared" si="311"/>
        <v>226.20585686716657</v>
      </c>
      <c r="DC73" s="309">
        <f t="shared" si="312"/>
        <v>1</v>
      </c>
      <c r="DD73" s="309">
        <f t="shared" si="313"/>
        <v>260</v>
      </c>
      <c r="DE73" s="308">
        <f t="shared" si="314"/>
        <v>6.5000000000000002E-2</v>
      </c>
      <c r="DF73" s="313">
        <f t="shared" si="329"/>
        <v>72</v>
      </c>
      <c r="DG73" s="313">
        <f t="shared" si="318"/>
        <v>226.20585686716657</v>
      </c>
      <c r="DH73" s="313">
        <f t="shared" si="319"/>
        <v>226.20585686716657</v>
      </c>
      <c r="DI73" s="313">
        <f t="shared" si="320"/>
        <v>0</v>
      </c>
      <c r="DJ73" s="313">
        <f t="shared" si="321"/>
        <v>0</v>
      </c>
      <c r="DK73" s="313">
        <f t="shared" si="330"/>
        <v>15356.513775651572</v>
      </c>
      <c r="DL73" s="313">
        <f t="shared" si="322"/>
        <v>135694.20935083731</v>
      </c>
      <c r="DM73" s="314">
        <f t="shared" si="323"/>
        <v>12.936485478263156</v>
      </c>
      <c r="DN73" s="312">
        <f t="shared" si="324"/>
        <v>0.17967340942032162</v>
      </c>
      <c r="DO73" s="312">
        <f t="shared" si="331"/>
        <v>0.87002252641217914</v>
      </c>
      <c r="DP73" s="315">
        <f t="shared" si="315"/>
        <v>6.2340819339017459E-2</v>
      </c>
      <c r="DQ73" s="316">
        <f t="shared" si="325"/>
        <v>0.27559330338482552</v>
      </c>
      <c r="DR73" s="316">
        <f t="shared" si="326"/>
        <v>20.692228542270819</v>
      </c>
      <c r="DS73" s="314">
        <f t="shared" si="327"/>
        <v>3.4795672130198954</v>
      </c>
      <c r="DT73" s="316">
        <f t="shared" si="328"/>
        <v>20.692228542270819</v>
      </c>
      <c r="DU73" s="314">
        <f t="shared" si="316"/>
        <v>3.4795672130198954</v>
      </c>
      <c r="DV73" s="316">
        <f t="shared" si="332"/>
        <v>133.15411928405649</v>
      </c>
      <c r="DW73" s="310">
        <f t="shared" si="317"/>
        <v>3.9728399154628407</v>
      </c>
      <c r="FB73" s="307"/>
      <c r="FC73" s="307"/>
      <c r="FF73" s="307"/>
      <c r="FG73" s="307"/>
      <c r="FH73" s="306"/>
      <c r="FJ73" s="307"/>
      <c r="FK73" s="307"/>
      <c r="FL73" s="306"/>
      <c r="FM73" s="307"/>
      <c r="FN73" s="306"/>
      <c r="FO73" s="307"/>
      <c r="FP73" s="306"/>
    </row>
    <row r="74" spans="1:172">
      <c r="AC74" s="156"/>
      <c r="AD74" s="155">
        <v>49</v>
      </c>
      <c r="AE74" s="159">
        <v>6.5</v>
      </c>
      <c r="AF74" s="159"/>
      <c r="AG74" s="188">
        <v>49</v>
      </c>
      <c r="AH74" s="183">
        <v>265</v>
      </c>
      <c r="AI74" s="190">
        <v>453</v>
      </c>
      <c r="AJ74" s="185">
        <v>49</v>
      </c>
      <c r="AK74" s="183">
        <f t="shared" si="244"/>
        <v>453</v>
      </c>
      <c r="AM74" s="188">
        <v>49</v>
      </c>
      <c r="AN74" s="183">
        <v>730</v>
      </c>
      <c r="AO74" s="182">
        <v>6.0299999999999999E-2</v>
      </c>
      <c r="AP74" s="185">
        <v>49</v>
      </c>
      <c r="AQ74" s="184">
        <f t="shared" si="245"/>
        <v>6.0299999999999999E-2</v>
      </c>
      <c r="AR74" s="190">
        <v>453</v>
      </c>
      <c r="AS74" s="185">
        <v>49</v>
      </c>
      <c r="AT74" s="183">
        <f t="shared" si="246"/>
        <v>453</v>
      </c>
      <c r="AV74" s="188">
        <v>49</v>
      </c>
      <c r="AW74" s="183">
        <v>730</v>
      </c>
      <c r="AX74" s="182">
        <v>6.0299999999999999E-2</v>
      </c>
      <c r="AY74" s="185">
        <v>49</v>
      </c>
      <c r="AZ74" s="184">
        <f t="shared" si="247"/>
        <v>6.0299999999999999E-2</v>
      </c>
      <c r="BA74" s="190">
        <v>453</v>
      </c>
      <c r="BB74" s="185">
        <v>49</v>
      </c>
      <c r="BC74" s="183">
        <f t="shared" si="248"/>
        <v>453</v>
      </c>
      <c r="BE74" s="188">
        <v>49</v>
      </c>
      <c r="BF74" s="183">
        <v>730</v>
      </c>
      <c r="BG74" s="182">
        <v>6.0299999999999999E-2</v>
      </c>
      <c r="BH74" s="185">
        <v>49</v>
      </c>
      <c r="BI74" s="184">
        <f t="shared" si="249"/>
        <v>6.0299999999999999E-2</v>
      </c>
      <c r="BJ74" s="154"/>
      <c r="BK74" s="533">
        <v>49</v>
      </c>
      <c r="BL74" s="183">
        <f t="shared" si="310"/>
        <v>600</v>
      </c>
      <c r="BM74" s="155">
        <v>730</v>
      </c>
      <c r="CW74" s="364"/>
      <c r="CX74" s="309">
        <f>CX73</f>
        <v>600</v>
      </c>
      <c r="CY74" s="313">
        <f>start+select_width*tanO+2</f>
        <v>420.38214055972139</v>
      </c>
      <c r="DA74" s="309">
        <v>73</v>
      </c>
      <c r="DB74" s="313">
        <f t="shared" si="311"/>
        <v>226.56982710143276</v>
      </c>
      <c r="DC74" s="309">
        <f t="shared" si="312"/>
        <v>1</v>
      </c>
      <c r="DD74" s="309">
        <f t="shared" si="313"/>
        <v>260</v>
      </c>
      <c r="DE74" s="308">
        <f t="shared" si="314"/>
        <v>6.5000000000000002E-2</v>
      </c>
      <c r="DF74" s="313">
        <f t="shared" si="329"/>
        <v>73</v>
      </c>
      <c r="DG74" s="313">
        <f t="shared" si="318"/>
        <v>226.56982710143276</v>
      </c>
      <c r="DH74" s="313">
        <f t="shared" si="319"/>
        <v>226.56982710143276</v>
      </c>
      <c r="DI74" s="313">
        <f t="shared" si="320"/>
        <v>0</v>
      </c>
      <c r="DJ74" s="313">
        <f t="shared" si="321"/>
        <v>0</v>
      </c>
      <c r="DK74" s="313">
        <f t="shared" si="330"/>
        <v>15583.083602753006</v>
      </c>
      <c r="DL74" s="313">
        <f t="shared" si="322"/>
        <v>135468.00349397014</v>
      </c>
      <c r="DM74" s="314">
        <f t="shared" si="323"/>
        <v>13.065063066334568</v>
      </c>
      <c r="DN74" s="312">
        <f t="shared" si="324"/>
        <v>0.17897346666211739</v>
      </c>
      <c r="DO74" s="312">
        <f t="shared" si="331"/>
        <v>0.8714224119285876</v>
      </c>
      <c r="DP74" s="315">
        <f t="shared" si="315"/>
        <v>6.2370894735483247E-2</v>
      </c>
      <c r="DQ74" s="316">
        <f t="shared" si="325"/>
        <v>0.2752833222914563</v>
      </c>
      <c r="DR74" s="316">
        <f t="shared" si="326"/>
        <v>20.967511864562276</v>
      </c>
      <c r="DS74" s="314">
        <f t="shared" si="327"/>
        <v>3.4815766635324601</v>
      </c>
      <c r="DT74" s="316">
        <f t="shared" si="328"/>
        <v>20.967511864562276</v>
      </c>
      <c r="DU74" s="314">
        <f t="shared" si="316"/>
        <v>3.4815766635324601</v>
      </c>
      <c r="DV74" s="316">
        <f t="shared" si="332"/>
        <v>132.87852598067167</v>
      </c>
      <c r="DW74" s="310">
        <f t="shared" si="317"/>
        <v>3.9735540118559274</v>
      </c>
      <c r="FB74" s="307"/>
      <c r="FC74" s="307"/>
      <c r="FF74" s="307"/>
      <c r="FG74" s="307"/>
      <c r="FH74" s="306"/>
      <c r="FJ74" s="307"/>
      <c r="FK74" s="307"/>
      <c r="FL74" s="306"/>
      <c r="FM74" s="307"/>
      <c r="FN74" s="306"/>
      <c r="FO74" s="307"/>
      <c r="FP74" s="306"/>
    </row>
    <row r="75" spans="1:172">
      <c r="AC75" s="156"/>
      <c r="AD75" s="155">
        <v>50</v>
      </c>
      <c r="AE75" s="159">
        <v>6</v>
      </c>
      <c r="AF75" s="159"/>
      <c r="AG75" s="188">
        <v>50</v>
      </c>
      <c r="AH75" s="183">
        <v>260</v>
      </c>
      <c r="AI75" s="190">
        <v>452</v>
      </c>
      <c r="AJ75" s="185">
        <v>50</v>
      </c>
      <c r="AK75" s="183">
        <f t="shared" si="244"/>
        <v>452</v>
      </c>
      <c r="AM75" s="188">
        <v>50</v>
      </c>
      <c r="AN75" s="183">
        <v>720</v>
      </c>
      <c r="AO75" s="182">
        <v>6.0199999999999997E-2</v>
      </c>
      <c r="AP75" s="185">
        <v>50</v>
      </c>
      <c r="AQ75" s="184">
        <f t="shared" si="245"/>
        <v>6.0199999999999997E-2</v>
      </c>
      <c r="AR75" s="190">
        <v>452</v>
      </c>
      <c r="AS75" s="185">
        <v>50</v>
      </c>
      <c r="AT75" s="183">
        <f t="shared" si="246"/>
        <v>452</v>
      </c>
      <c r="AV75" s="188">
        <v>50</v>
      </c>
      <c r="AW75" s="183">
        <v>720</v>
      </c>
      <c r="AX75" s="182">
        <v>6.0199999999999997E-2</v>
      </c>
      <c r="AY75" s="185">
        <v>50</v>
      </c>
      <c r="AZ75" s="184">
        <f t="shared" si="247"/>
        <v>6.0199999999999997E-2</v>
      </c>
      <c r="BA75" s="190">
        <v>452</v>
      </c>
      <c r="BB75" s="185">
        <v>50</v>
      </c>
      <c r="BC75" s="183">
        <f t="shared" si="248"/>
        <v>452</v>
      </c>
      <c r="BE75" s="188">
        <v>50</v>
      </c>
      <c r="BF75" s="183">
        <v>720</v>
      </c>
      <c r="BG75" s="182">
        <v>6.0199999999999997E-2</v>
      </c>
      <c r="BH75" s="185">
        <v>50</v>
      </c>
      <c r="BI75" s="184">
        <f t="shared" si="249"/>
        <v>6.0199999999999997E-2</v>
      </c>
      <c r="BJ75" s="154"/>
      <c r="BK75" s="533">
        <v>50</v>
      </c>
      <c r="BL75" s="183">
        <f t="shared" si="310"/>
        <v>600</v>
      </c>
      <c r="BM75" s="155">
        <v>720</v>
      </c>
      <c r="CW75" s="364"/>
      <c r="CX75" s="309"/>
      <c r="CY75" s="313"/>
      <c r="DA75" s="309">
        <v>74</v>
      </c>
      <c r="DB75" s="313">
        <f t="shared" si="311"/>
        <v>226.93379733569898</v>
      </c>
      <c r="DC75" s="309">
        <f t="shared" si="312"/>
        <v>1</v>
      </c>
      <c r="DD75" s="309">
        <f t="shared" si="313"/>
        <v>260</v>
      </c>
      <c r="DE75" s="308">
        <f t="shared" si="314"/>
        <v>6.5000000000000002E-2</v>
      </c>
      <c r="DF75" s="313">
        <f t="shared" si="329"/>
        <v>74</v>
      </c>
      <c r="DG75" s="313">
        <f t="shared" si="318"/>
        <v>226.93379733569898</v>
      </c>
      <c r="DH75" s="313">
        <f t="shared" si="319"/>
        <v>226.93379733569898</v>
      </c>
      <c r="DI75" s="313">
        <f t="shared" si="320"/>
        <v>0</v>
      </c>
      <c r="DJ75" s="313">
        <f t="shared" si="321"/>
        <v>0</v>
      </c>
      <c r="DK75" s="313">
        <f t="shared" si="330"/>
        <v>15810.017400088705</v>
      </c>
      <c r="DL75" s="313">
        <f t="shared" si="322"/>
        <v>135241.43366686872</v>
      </c>
      <c r="DM75" s="314">
        <f t="shared" si="323"/>
        <v>13.192240768889572</v>
      </c>
      <c r="DN75" s="312">
        <f t="shared" si="324"/>
        <v>0.17827352390391313</v>
      </c>
      <c r="DO75" s="312">
        <f t="shared" si="331"/>
        <v>0.87282229744499606</v>
      </c>
      <c r="DP75" s="315">
        <f t="shared" si="315"/>
        <v>6.2400936330969395E-2</v>
      </c>
      <c r="DQ75" s="316">
        <f t="shared" si="325"/>
        <v>0.27497418658473705</v>
      </c>
      <c r="DR75" s="316">
        <f t="shared" si="326"/>
        <v>21.242486051147011</v>
      </c>
      <c r="DS75" s="314">
        <f t="shared" si="327"/>
        <v>3.4835847283517123</v>
      </c>
      <c r="DT75" s="316">
        <f t="shared" si="328"/>
        <v>21.242486051147011</v>
      </c>
      <c r="DU75" s="314">
        <f t="shared" si="316"/>
        <v>3.4835847283517123</v>
      </c>
      <c r="DV75" s="316">
        <f t="shared" si="332"/>
        <v>132.60324265838022</v>
      </c>
      <c r="DW75" s="310">
        <f t="shared" si="317"/>
        <v>3.9742617860234866</v>
      </c>
      <c r="FB75" s="307"/>
      <c r="FC75" s="307"/>
      <c r="FF75" s="307"/>
      <c r="FG75" s="307"/>
      <c r="FH75" s="306"/>
      <c r="FJ75" s="307"/>
      <c r="FK75" s="307"/>
      <c r="FL75" s="306"/>
      <c r="FM75" s="307"/>
      <c r="FN75" s="306"/>
      <c r="FO75" s="307"/>
      <c r="FP75" s="306"/>
    </row>
    <row r="76" spans="1:172">
      <c r="AC76" s="156"/>
      <c r="AD76" s="155">
        <v>51</v>
      </c>
      <c r="AE76" s="159">
        <v>5.5</v>
      </c>
      <c r="AF76" s="159"/>
      <c r="AG76" s="188">
        <v>51</v>
      </c>
      <c r="AH76" s="183">
        <v>255</v>
      </c>
      <c r="AI76" s="190">
        <v>451</v>
      </c>
      <c r="AJ76" s="185">
        <v>51</v>
      </c>
      <c r="AK76" s="183">
        <f t="shared" si="244"/>
        <v>451</v>
      </c>
      <c r="AM76" s="188">
        <v>51</v>
      </c>
      <c r="AN76" s="183">
        <v>710</v>
      </c>
      <c r="AO76" s="182">
        <v>6.0100000000000001E-2</v>
      </c>
      <c r="AP76" s="185">
        <v>51</v>
      </c>
      <c r="AQ76" s="184">
        <f t="shared" si="245"/>
        <v>6.0100000000000001E-2</v>
      </c>
      <c r="AR76" s="190">
        <v>451</v>
      </c>
      <c r="AS76" s="185">
        <v>51</v>
      </c>
      <c r="AT76" s="183">
        <f t="shared" si="246"/>
        <v>451</v>
      </c>
      <c r="AV76" s="188">
        <v>51</v>
      </c>
      <c r="AW76" s="183">
        <v>710</v>
      </c>
      <c r="AX76" s="182">
        <v>6.0100000000000001E-2</v>
      </c>
      <c r="AY76" s="185">
        <v>51</v>
      </c>
      <c r="AZ76" s="184">
        <f t="shared" si="247"/>
        <v>6.0100000000000001E-2</v>
      </c>
      <c r="BA76" s="190">
        <v>451</v>
      </c>
      <c r="BB76" s="185">
        <v>51</v>
      </c>
      <c r="BC76" s="183">
        <f t="shared" si="248"/>
        <v>451</v>
      </c>
      <c r="BE76" s="188">
        <v>51</v>
      </c>
      <c r="BF76" s="183">
        <v>710</v>
      </c>
      <c r="BG76" s="182">
        <v>6.0100000000000001E-2</v>
      </c>
      <c r="BH76" s="185">
        <v>51</v>
      </c>
      <c r="BI76" s="184">
        <f t="shared" si="249"/>
        <v>6.0100000000000001E-2</v>
      </c>
      <c r="BJ76" s="154"/>
      <c r="BK76" s="533">
        <v>51</v>
      </c>
      <c r="BL76" s="183">
        <f t="shared" si="310"/>
        <v>600</v>
      </c>
      <c r="BM76" s="155">
        <v>710</v>
      </c>
      <c r="CW76" s="364"/>
      <c r="CX76" s="309">
        <f>tot_width</f>
        <v>600</v>
      </c>
      <c r="CY76" s="313">
        <f>start+tot_width*tanO+2</f>
        <v>420.38214055972139</v>
      </c>
      <c r="DA76" s="309">
        <v>75</v>
      </c>
      <c r="DB76" s="313">
        <f t="shared" si="311"/>
        <v>227.29776756996517</v>
      </c>
      <c r="DC76" s="309">
        <f t="shared" si="312"/>
        <v>1</v>
      </c>
      <c r="DD76" s="309">
        <f t="shared" si="313"/>
        <v>260</v>
      </c>
      <c r="DE76" s="308">
        <f t="shared" si="314"/>
        <v>6.5000000000000002E-2</v>
      </c>
      <c r="DF76" s="313">
        <f t="shared" si="329"/>
        <v>75</v>
      </c>
      <c r="DG76" s="313">
        <f t="shared" si="318"/>
        <v>227.29776756996517</v>
      </c>
      <c r="DH76" s="313">
        <f t="shared" si="319"/>
        <v>227.29776756996517</v>
      </c>
      <c r="DI76" s="313">
        <f t="shared" si="320"/>
        <v>0</v>
      </c>
      <c r="DJ76" s="313">
        <f t="shared" si="321"/>
        <v>0</v>
      </c>
      <c r="DK76" s="313">
        <f t="shared" si="330"/>
        <v>16037.315167658671</v>
      </c>
      <c r="DL76" s="313">
        <f t="shared" si="322"/>
        <v>135014.49986953303</v>
      </c>
      <c r="DM76" s="314">
        <f t="shared" si="323"/>
        <v>13.318018585928169</v>
      </c>
      <c r="DN76" s="312">
        <f t="shared" si="324"/>
        <v>0.17757358114570893</v>
      </c>
      <c r="DO76" s="312">
        <f t="shared" si="331"/>
        <v>0.87422218296140453</v>
      </c>
      <c r="DP76" s="315">
        <f t="shared" si="315"/>
        <v>6.2430944217584758E-2</v>
      </c>
      <c r="DQ76" s="316">
        <f t="shared" si="325"/>
        <v>0.274665892608768</v>
      </c>
      <c r="DR76" s="316">
        <f t="shared" si="326"/>
        <v>21.517151943755781</v>
      </c>
      <c r="DS76" s="314">
        <f t="shared" si="327"/>
        <v>3.4855914107984352</v>
      </c>
      <c r="DT76" s="316">
        <f t="shared" si="328"/>
        <v>21.517151943755781</v>
      </c>
      <c r="DU76" s="314">
        <f t="shared" si="316"/>
        <v>3.4855914107984352</v>
      </c>
      <c r="DV76" s="316">
        <f t="shared" si="332"/>
        <v>132.3282684717955</v>
      </c>
      <c r="DW76" s="310">
        <f t="shared" si="317"/>
        <v>3.9749632189293842</v>
      </c>
      <c r="FB76" s="307"/>
      <c r="FC76" s="307"/>
      <c r="FF76" s="307"/>
      <c r="FG76" s="307"/>
      <c r="FH76" s="306"/>
      <c r="FJ76" s="307"/>
      <c r="FK76" s="307"/>
      <c r="FL76" s="306"/>
      <c r="FM76" s="307"/>
      <c r="FN76" s="306"/>
      <c r="FO76" s="307"/>
      <c r="FP76" s="306"/>
    </row>
    <row r="77" spans="1:172">
      <c r="AC77" s="156"/>
      <c r="AD77" s="155">
        <v>52</v>
      </c>
      <c r="AE77" s="159">
        <v>5</v>
      </c>
      <c r="AG77" s="188">
        <v>52</v>
      </c>
      <c r="AH77" s="183">
        <v>250</v>
      </c>
      <c r="AI77" s="190">
        <v>450</v>
      </c>
      <c r="AJ77" s="185">
        <v>52</v>
      </c>
      <c r="AK77" s="183">
        <f t="shared" si="244"/>
        <v>450</v>
      </c>
      <c r="AM77" s="188">
        <v>52</v>
      </c>
      <c r="AN77" s="183">
        <v>700</v>
      </c>
      <c r="AO77" s="182">
        <v>0.06</v>
      </c>
      <c r="AP77" s="185">
        <v>52</v>
      </c>
      <c r="AQ77" s="184">
        <f t="shared" si="245"/>
        <v>0.06</v>
      </c>
      <c r="AR77" s="190">
        <v>450</v>
      </c>
      <c r="AS77" s="185">
        <v>52</v>
      </c>
      <c r="AT77" s="183">
        <f t="shared" si="246"/>
        <v>450</v>
      </c>
      <c r="AV77" s="188">
        <v>52</v>
      </c>
      <c r="AW77" s="183">
        <v>700</v>
      </c>
      <c r="AX77" s="182">
        <v>0.06</v>
      </c>
      <c r="AY77" s="185">
        <v>52</v>
      </c>
      <c r="AZ77" s="184">
        <f t="shared" si="247"/>
        <v>0.06</v>
      </c>
      <c r="BA77" s="190">
        <v>450</v>
      </c>
      <c r="BB77" s="185">
        <v>52</v>
      </c>
      <c r="BC77" s="183">
        <f t="shared" si="248"/>
        <v>450</v>
      </c>
      <c r="BE77" s="188">
        <v>52</v>
      </c>
      <c r="BF77" s="183">
        <v>700</v>
      </c>
      <c r="BG77" s="182">
        <v>0.06</v>
      </c>
      <c r="BH77" s="185">
        <v>52</v>
      </c>
      <c r="BI77" s="184">
        <f t="shared" si="249"/>
        <v>0.06</v>
      </c>
      <c r="BJ77" s="154"/>
      <c r="BK77" s="533">
        <v>52</v>
      </c>
      <c r="BL77" s="183">
        <f t="shared" si="310"/>
        <v>600</v>
      </c>
      <c r="BM77" s="155">
        <v>700</v>
      </c>
      <c r="CW77" s="364"/>
      <c r="CX77" s="309">
        <f>CX76</f>
        <v>600</v>
      </c>
      <c r="CY77" s="313">
        <v>600</v>
      </c>
      <c r="DA77" s="309">
        <v>76</v>
      </c>
      <c r="DB77" s="313">
        <f t="shared" si="311"/>
        <v>227.66173780423139</v>
      </c>
      <c r="DC77" s="309">
        <f t="shared" si="312"/>
        <v>1</v>
      </c>
      <c r="DD77" s="309">
        <f t="shared" si="313"/>
        <v>260</v>
      </c>
      <c r="DE77" s="308">
        <f t="shared" si="314"/>
        <v>6.5000000000000002E-2</v>
      </c>
      <c r="DF77" s="313">
        <f t="shared" si="329"/>
        <v>76</v>
      </c>
      <c r="DG77" s="313">
        <f t="shared" si="318"/>
        <v>227.66173780423139</v>
      </c>
      <c r="DH77" s="313">
        <f t="shared" si="319"/>
        <v>227.66173780423139</v>
      </c>
      <c r="DI77" s="313">
        <f t="shared" si="320"/>
        <v>0</v>
      </c>
      <c r="DJ77" s="313">
        <f t="shared" si="321"/>
        <v>0</v>
      </c>
      <c r="DK77" s="313">
        <f t="shared" si="330"/>
        <v>16264.976905462903</v>
      </c>
      <c r="DL77" s="313">
        <f t="shared" si="322"/>
        <v>134787.20210196308</v>
      </c>
      <c r="DM77" s="314">
        <f t="shared" si="323"/>
        <v>13.442396517450355</v>
      </c>
      <c r="DN77" s="312">
        <f t="shared" si="324"/>
        <v>0.17687363838750467</v>
      </c>
      <c r="DO77" s="312">
        <f t="shared" si="331"/>
        <v>0.8756220684778131</v>
      </c>
      <c r="DP77" s="315">
        <f t="shared" si="315"/>
        <v>6.2460918487040232E-2</v>
      </c>
      <c r="DQ77" s="316">
        <f t="shared" si="325"/>
        <v>0.27435843672928034</v>
      </c>
      <c r="DR77" s="316">
        <f t="shared" si="326"/>
        <v>21.791510380485061</v>
      </c>
      <c r="DS77" s="314">
        <f t="shared" si="327"/>
        <v>3.487596714180043</v>
      </c>
      <c r="DT77" s="316">
        <f t="shared" si="328"/>
        <v>21.791510380485061</v>
      </c>
      <c r="DU77" s="314">
        <f t="shared" si="316"/>
        <v>3.487596714180043</v>
      </c>
      <c r="DV77" s="316">
        <f t="shared" si="332"/>
        <v>132.05360257918673</v>
      </c>
      <c r="DW77" s="310">
        <f t="shared" si="317"/>
        <v>3.9756582913758876</v>
      </c>
      <c r="FB77" s="307"/>
      <c r="FC77" s="307"/>
      <c r="FF77" s="307"/>
      <c r="FG77" s="307"/>
      <c r="FH77" s="306"/>
      <c r="FJ77" s="307"/>
      <c r="FK77" s="307"/>
      <c r="FL77" s="306"/>
      <c r="FM77" s="307"/>
      <c r="FN77" s="306"/>
      <c r="FO77" s="307"/>
      <c r="FP77" s="306"/>
    </row>
    <row r="78" spans="1:172">
      <c r="AC78" s="156"/>
      <c r="AD78" s="155">
        <v>53</v>
      </c>
      <c r="AE78" s="159">
        <v>4.5</v>
      </c>
      <c r="AG78" s="188">
        <v>53</v>
      </c>
      <c r="AH78" s="183">
        <v>245</v>
      </c>
      <c r="AI78" s="190">
        <v>449</v>
      </c>
      <c r="AJ78" s="185">
        <v>53</v>
      </c>
      <c r="AK78" s="183">
        <f t="shared" si="244"/>
        <v>449</v>
      </c>
      <c r="AM78" s="188">
        <v>53</v>
      </c>
      <c r="AN78" s="183">
        <v>690</v>
      </c>
      <c r="AO78" s="182">
        <v>5.9900000000000002E-2</v>
      </c>
      <c r="AP78" s="185">
        <v>53</v>
      </c>
      <c r="AQ78" s="184">
        <f t="shared" si="245"/>
        <v>5.9900000000000002E-2</v>
      </c>
      <c r="AR78" s="190">
        <v>449</v>
      </c>
      <c r="AS78" s="185">
        <v>53</v>
      </c>
      <c r="AT78" s="183">
        <f t="shared" si="246"/>
        <v>449</v>
      </c>
      <c r="AV78" s="188">
        <v>53</v>
      </c>
      <c r="AW78" s="183">
        <v>690</v>
      </c>
      <c r="AX78" s="182">
        <v>5.9900000000000002E-2</v>
      </c>
      <c r="AY78" s="185">
        <v>53</v>
      </c>
      <c r="AZ78" s="184">
        <f t="shared" si="247"/>
        <v>5.9900000000000002E-2</v>
      </c>
      <c r="BA78" s="190">
        <v>449</v>
      </c>
      <c r="BB78" s="185">
        <v>53</v>
      </c>
      <c r="BC78" s="183">
        <f t="shared" si="248"/>
        <v>449</v>
      </c>
      <c r="BE78" s="188">
        <v>53</v>
      </c>
      <c r="BF78" s="183">
        <v>690</v>
      </c>
      <c r="BG78" s="182">
        <v>5.9900000000000002E-2</v>
      </c>
      <c r="BH78" s="185">
        <v>53</v>
      </c>
      <c r="BI78" s="184">
        <f t="shared" si="249"/>
        <v>5.9900000000000002E-2</v>
      </c>
      <c r="BJ78" s="154"/>
      <c r="BK78" s="533">
        <v>53</v>
      </c>
      <c r="BL78" s="183">
        <f t="shared" si="310"/>
        <v>600</v>
      </c>
      <c r="BM78" s="155">
        <v>690</v>
      </c>
      <c r="CW78" s="364"/>
      <c r="CX78" s="309"/>
      <c r="CY78" s="313"/>
      <c r="DA78" s="309">
        <v>77</v>
      </c>
      <c r="DB78" s="313">
        <f t="shared" si="311"/>
        <v>228.02570803849758</v>
      </c>
      <c r="DC78" s="309">
        <f t="shared" si="312"/>
        <v>1</v>
      </c>
      <c r="DD78" s="309">
        <f t="shared" si="313"/>
        <v>260</v>
      </c>
      <c r="DE78" s="308">
        <f t="shared" si="314"/>
        <v>6.5000000000000002E-2</v>
      </c>
      <c r="DF78" s="313">
        <f t="shared" si="329"/>
        <v>77</v>
      </c>
      <c r="DG78" s="313">
        <f t="shared" si="318"/>
        <v>228.02570803849758</v>
      </c>
      <c r="DH78" s="313">
        <f t="shared" si="319"/>
        <v>228.02570803849758</v>
      </c>
      <c r="DI78" s="313">
        <f t="shared" si="320"/>
        <v>0</v>
      </c>
      <c r="DJ78" s="313">
        <f t="shared" si="321"/>
        <v>0</v>
      </c>
      <c r="DK78" s="313">
        <f t="shared" si="330"/>
        <v>16493.002613501401</v>
      </c>
      <c r="DL78" s="313">
        <f t="shared" si="322"/>
        <v>134559.54036415883</v>
      </c>
      <c r="DM78" s="314">
        <f t="shared" si="323"/>
        <v>13.565374563456134</v>
      </c>
      <c r="DN78" s="312">
        <f t="shared" si="324"/>
        <v>0.17617369562930044</v>
      </c>
      <c r="DO78" s="312">
        <f t="shared" si="331"/>
        <v>0.87702195399422145</v>
      </c>
      <c r="DP78" s="315">
        <f t="shared" si="315"/>
        <v>6.2490859230651015E-2</v>
      </c>
      <c r="DQ78" s="316">
        <f t="shared" si="325"/>
        <v>0.27405181533347406</v>
      </c>
      <c r="DR78" s="316">
        <f t="shared" si="326"/>
        <v>22.065562195818536</v>
      </c>
      <c r="DS78" s="314">
        <f t="shared" si="327"/>
        <v>3.489600641790656</v>
      </c>
      <c r="DT78" s="316">
        <f t="shared" si="328"/>
        <v>22.065562195818536</v>
      </c>
      <c r="DU78" s="314">
        <f t="shared" si="316"/>
        <v>3.489600641790656</v>
      </c>
      <c r="DV78" s="316">
        <f t="shared" si="332"/>
        <v>131.77924414245746</v>
      </c>
      <c r="DW78" s="310">
        <f t="shared" si="317"/>
        <v>3.9763469840025771</v>
      </c>
      <c r="FB78" s="307"/>
      <c r="FC78" s="307"/>
      <c r="FF78" s="307"/>
      <c r="FG78" s="307"/>
      <c r="FH78" s="306"/>
      <c r="FJ78" s="307"/>
      <c r="FK78" s="307"/>
      <c r="FL78" s="306"/>
      <c r="FM78" s="307"/>
      <c r="FN78" s="306"/>
      <c r="FO78" s="307"/>
      <c r="FP78" s="306"/>
    </row>
    <row r="79" spans="1:172">
      <c r="AC79" s="156"/>
      <c r="AD79" s="155">
        <v>54</v>
      </c>
      <c r="AE79" s="159">
        <v>4</v>
      </c>
      <c r="AG79" s="188">
        <v>54</v>
      </c>
      <c r="AH79" s="183">
        <v>240</v>
      </c>
      <c r="AI79" s="190">
        <v>448</v>
      </c>
      <c r="AJ79" s="185">
        <v>54</v>
      </c>
      <c r="AK79" s="183">
        <f t="shared" si="244"/>
        <v>448</v>
      </c>
      <c r="AM79" s="188">
        <v>54</v>
      </c>
      <c r="AN79" s="183">
        <v>680</v>
      </c>
      <c r="AO79" s="182">
        <v>5.9799999999999999E-2</v>
      </c>
      <c r="AP79" s="185">
        <v>54</v>
      </c>
      <c r="AQ79" s="184">
        <f t="shared" si="245"/>
        <v>5.9799999999999999E-2</v>
      </c>
      <c r="AR79" s="190">
        <v>448</v>
      </c>
      <c r="AS79" s="185">
        <v>54</v>
      </c>
      <c r="AT79" s="183">
        <f t="shared" si="246"/>
        <v>448</v>
      </c>
      <c r="AV79" s="188">
        <v>54</v>
      </c>
      <c r="AW79" s="183">
        <v>680</v>
      </c>
      <c r="AX79" s="182">
        <v>5.9799999999999999E-2</v>
      </c>
      <c r="AY79" s="185">
        <v>54</v>
      </c>
      <c r="AZ79" s="184">
        <f t="shared" si="247"/>
        <v>5.9799999999999999E-2</v>
      </c>
      <c r="BA79" s="190">
        <v>448</v>
      </c>
      <c r="BB79" s="185">
        <v>54</v>
      </c>
      <c r="BC79" s="183">
        <f t="shared" si="248"/>
        <v>448</v>
      </c>
      <c r="BE79" s="188">
        <v>54</v>
      </c>
      <c r="BF79" s="183">
        <v>680</v>
      </c>
      <c r="BG79" s="182">
        <v>5.9799999999999999E-2</v>
      </c>
      <c r="BH79" s="185">
        <v>54</v>
      </c>
      <c r="BI79" s="184">
        <f t="shared" si="249"/>
        <v>5.9799999999999999E-2</v>
      </c>
      <c r="BJ79" s="154"/>
      <c r="BK79" s="533">
        <v>54</v>
      </c>
      <c r="BL79" s="183">
        <f t="shared" si="310"/>
        <v>600</v>
      </c>
      <c r="BM79" s="155">
        <v>680</v>
      </c>
      <c r="CW79" s="364"/>
      <c r="CX79" s="309">
        <f>tot_width</f>
        <v>600</v>
      </c>
      <c r="CY79" s="313">
        <v>0</v>
      </c>
      <c r="DA79" s="309">
        <v>78</v>
      </c>
      <c r="DB79" s="313">
        <f t="shared" si="311"/>
        <v>228.38967827276377</v>
      </c>
      <c r="DC79" s="309">
        <f t="shared" si="312"/>
        <v>1</v>
      </c>
      <c r="DD79" s="309">
        <f t="shared" si="313"/>
        <v>260</v>
      </c>
      <c r="DE79" s="308">
        <f t="shared" si="314"/>
        <v>6.5000000000000002E-2</v>
      </c>
      <c r="DF79" s="313">
        <f t="shared" si="329"/>
        <v>78</v>
      </c>
      <c r="DG79" s="313">
        <f t="shared" si="318"/>
        <v>228.38967827276377</v>
      </c>
      <c r="DH79" s="313">
        <f t="shared" si="319"/>
        <v>228.38967827276377</v>
      </c>
      <c r="DI79" s="313">
        <f t="shared" si="320"/>
        <v>0</v>
      </c>
      <c r="DJ79" s="313">
        <f t="shared" si="321"/>
        <v>0</v>
      </c>
      <c r="DK79" s="313">
        <f t="shared" si="330"/>
        <v>16721.392291774166</v>
      </c>
      <c r="DL79" s="313">
        <f t="shared" si="322"/>
        <v>134331.51465612033</v>
      </c>
      <c r="DM79" s="314">
        <f t="shared" si="323"/>
        <v>13.686952723945504</v>
      </c>
      <c r="DN79" s="312">
        <f t="shared" si="324"/>
        <v>0.17547375287109621</v>
      </c>
      <c r="DO79" s="312">
        <f t="shared" si="331"/>
        <v>0.87842183951062991</v>
      </c>
      <c r="DP79" s="315">
        <f t="shared" si="315"/>
        <v>6.2520766539339009E-2</v>
      </c>
      <c r="DQ79" s="316">
        <f t="shared" si="325"/>
        <v>0.27374602482985683</v>
      </c>
      <c r="DR79" s="316">
        <f t="shared" si="326"/>
        <v>22.339308220648395</v>
      </c>
      <c r="DS79" s="314">
        <f t="shared" si="327"/>
        <v>3.4916031969111736</v>
      </c>
      <c r="DT79" s="316">
        <f t="shared" si="328"/>
        <v>22.339308220648395</v>
      </c>
      <c r="DU79" s="314">
        <f t="shared" si="316"/>
        <v>3.4916031969111736</v>
      </c>
      <c r="DV79" s="316">
        <f t="shared" si="332"/>
        <v>131.50519232712398</v>
      </c>
      <c r="DW79" s="310">
        <f t="shared" si="317"/>
        <v>3.9770292772852525</v>
      </c>
      <c r="FB79" s="307"/>
      <c r="FC79" s="307"/>
      <c r="FF79" s="307"/>
      <c r="FG79" s="307"/>
      <c r="FH79" s="306"/>
      <c r="FJ79" s="307"/>
      <c r="FK79" s="307"/>
      <c r="FL79" s="306"/>
      <c r="FM79" s="307"/>
      <c r="FN79" s="306"/>
      <c r="FO79" s="307"/>
      <c r="FP79" s="306"/>
    </row>
    <row r="80" spans="1:172">
      <c r="AC80" s="156"/>
      <c r="AD80" s="155">
        <v>55</v>
      </c>
      <c r="AE80" s="159">
        <v>3.5</v>
      </c>
      <c r="AG80" s="188">
        <v>55</v>
      </c>
      <c r="AH80" s="183">
        <v>235</v>
      </c>
      <c r="AI80" s="190">
        <v>447</v>
      </c>
      <c r="AJ80" s="185">
        <v>55</v>
      </c>
      <c r="AK80" s="183">
        <f t="shared" si="244"/>
        <v>447</v>
      </c>
      <c r="AM80" s="188">
        <v>55</v>
      </c>
      <c r="AN80" s="183">
        <v>670</v>
      </c>
      <c r="AO80" s="182">
        <v>5.9700000000000003E-2</v>
      </c>
      <c r="AP80" s="185">
        <v>55</v>
      </c>
      <c r="AQ80" s="184">
        <f t="shared" si="245"/>
        <v>5.9700000000000003E-2</v>
      </c>
      <c r="AR80" s="190">
        <v>447</v>
      </c>
      <c r="AS80" s="185">
        <v>55</v>
      </c>
      <c r="AT80" s="183">
        <f t="shared" si="246"/>
        <v>447</v>
      </c>
      <c r="AV80" s="188">
        <v>55</v>
      </c>
      <c r="AW80" s="183">
        <v>670</v>
      </c>
      <c r="AX80" s="182">
        <v>5.9700000000000003E-2</v>
      </c>
      <c r="AY80" s="185">
        <v>55</v>
      </c>
      <c r="AZ80" s="184">
        <f t="shared" si="247"/>
        <v>5.9700000000000003E-2</v>
      </c>
      <c r="BA80" s="190">
        <v>447</v>
      </c>
      <c r="BB80" s="185">
        <v>55</v>
      </c>
      <c r="BC80" s="183">
        <f t="shared" si="248"/>
        <v>447</v>
      </c>
      <c r="BE80" s="188">
        <v>55</v>
      </c>
      <c r="BF80" s="183">
        <v>670</v>
      </c>
      <c r="BG80" s="182">
        <v>5.9700000000000003E-2</v>
      </c>
      <c r="BH80" s="185">
        <v>55</v>
      </c>
      <c r="BI80" s="184">
        <f t="shared" si="249"/>
        <v>5.9700000000000003E-2</v>
      </c>
      <c r="BJ80" s="154"/>
      <c r="BK80" s="533">
        <v>55</v>
      </c>
      <c r="BL80" s="183">
        <f t="shared" si="310"/>
        <v>600</v>
      </c>
      <c r="BM80" s="155">
        <v>670</v>
      </c>
      <c r="CW80" s="364"/>
      <c r="CX80" s="309">
        <v>1200</v>
      </c>
      <c r="CY80" s="313">
        <v>0</v>
      </c>
      <c r="DA80" s="309">
        <v>79</v>
      </c>
      <c r="DB80" s="313">
        <f t="shared" si="311"/>
        <v>228.75364850702999</v>
      </c>
      <c r="DC80" s="309">
        <f t="shared" si="312"/>
        <v>1</v>
      </c>
      <c r="DD80" s="309">
        <f t="shared" si="313"/>
        <v>260</v>
      </c>
      <c r="DE80" s="308">
        <f t="shared" si="314"/>
        <v>6.5000000000000002E-2</v>
      </c>
      <c r="DF80" s="313">
        <f t="shared" si="329"/>
        <v>79</v>
      </c>
      <c r="DG80" s="313">
        <f t="shared" si="318"/>
        <v>228.75364850702999</v>
      </c>
      <c r="DH80" s="313">
        <f t="shared" si="319"/>
        <v>228.75364850702999</v>
      </c>
      <c r="DI80" s="313">
        <f t="shared" si="320"/>
        <v>0</v>
      </c>
      <c r="DJ80" s="313">
        <f t="shared" si="321"/>
        <v>0</v>
      </c>
      <c r="DK80" s="313">
        <f t="shared" si="330"/>
        <v>16950.145940281196</v>
      </c>
      <c r="DL80" s="313">
        <f t="shared" si="322"/>
        <v>134103.12497784756</v>
      </c>
      <c r="DM80" s="314">
        <f t="shared" si="323"/>
        <v>13.807130998918465</v>
      </c>
      <c r="DN80" s="312">
        <f t="shared" si="324"/>
        <v>0.17477381011289198</v>
      </c>
      <c r="DO80" s="312">
        <f t="shared" si="331"/>
        <v>0.87982172502703848</v>
      </c>
      <c r="DP80" s="315">
        <f t="shared" si="315"/>
        <v>6.2550640503635097E-2</v>
      </c>
      <c r="DQ80" s="316">
        <f t="shared" si="325"/>
        <v>0.27344106164808474</v>
      </c>
      <c r="DR80" s="316">
        <f t="shared" si="326"/>
        <v>22.61274928229648</v>
      </c>
      <c r="DS80" s="314">
        <f t="shared" si="327"/>
        <v>3.4936043828093513</v>
      </c>
      <c r="DT80" s="316">
        <f t="shared" si="328"/>
        <v>22.61274928229648</v>
      </c>
      <c r="DU80" s="314">
        <f t="shared" si="316"/>
        <v>3.4936043828093513</v>
      </c>
      <c r="DV80" s="316">
        <f t="shared" si="332"/>
        <v>131.23144630229413</v>
      </c>
      <c r="DW80" s="310">
        <f t="shared" si="317"/>
        <v>3.9777051515348165</v>
      </c>
      <c r="FB80" s="307"/>
      <c r="FC80" s="307"/>
      <c r="FF80" s="307"/>
      <c r="FG80" s="307"/>
      <c r="FH80" s="306"/>
      <c r="FJ80" s="307"/>
      <c r="FK80" s="307"/>
      <c r="FL80" s="306"/>
      <c r="FM80" s="307"/>
      <c r="FN80" s="306"/>
      <c r="FO80" s="307"/>
      <c r="FP80" s="306"/>
    </row>
    <row r="81" spans="29:172">
      <c r="AC81" s="156"/>
      <c r="AD81" s="155">
        <v>56</v>
      </c>
      <c r="AE81" s="159">
        <v>3</v>
      </c>
      <c r="AG81" s="188">
        <v>56</v>
      </c>
      <c r="AH81" s="183">
        <v>230</v>
      </c>
      <c r="AI81" s="190">
        <v>446</v>
      </c>
      <c r="AJ81" s="185">
        <v>56</v>
      </c>
      <c r="AK81" s="183">
        <f t="shared" si="244"/>
        <v>446</v>
      </c>
      <c r="AM81" s="188">
        <v>56</v>
      </c>
      <c r="AN81" s="183">
        <v>660</v>
      </c>
      <c r="AO81" s="182">
        <v>5.96E-2</v>
      </c>
      <c r="AP81" s="185">
        <v>56</v>
      </c>
      <c r="AQ81" s="184">
        <f t="shared" si="245"/>
        <v>5.96E-2</v>
      </c>
      <c r="AR81" s="190">
        <v>446</v>
      </c>
      <c r="AS81" s="185">
        <v>56</v>
      </c>
      <c r="AT81" s="183">
        <f t="shared" si="246"/>
        <v>446</v>
      </c>
      <c r="AV81" s="188">
        <v>56</v>
      </c>
      <c r="AW81" s="183">
        <v>660</v>
      </c>
      <c r="AX81" s="182">
        <v>5.96E-2</v>
      </c>
      <c r="AY81" s="185">
        <v>56</v>
      </c>
      <c r="AZ81" s="184">
        <f t="shared" si="247"/>
        <v>5.96E-2</v>
      </c>
      <c r="BA81" s="190">
        <v>446</v>
      </c>
      <c r="BB81" s="185">
        <v>56</v>
      </c>
      <c r="BC81" s="183">
        <f t="shared" si="248"/>
        <v>446</v>
      </c>
      <c r="BE81" s="188">
        <v>56</v>
      </c>
      <c r="BF81" s="183">
        <v>660</v>
      </c>
      <c r="BG81" s="182">
        <v>5.96E-2</v>
      </c>
      <c r="BH81" s="185">
        <v>56</v>
      </c>
      <c r="BI81" s="184">
        <f t="shared" si="249"/>
        <v>5.96E-2</v>
      </c>
      <c r="BJ81" s="154"/>
      <c r="BK81" s="533">
        <v>56</v>
      </c>
      <c r="BL81" s="183">
        <f t="shared" si="310"/>
        <v>600</v>
      </c>
      <c r="BM81" s="155">
        <v>660</v>
      </c>
      <c r="CW81" s="364"/>
      <c r="CX81" s="309"/>
      <c r="CY81" s="313"/>
      <c r="DA81" s="309">
        <v>80</v>
      </c>
      <c r="DB81" s="313">
        <f t="shared" si="311"/>
        <v>229.11761874129618</v>
      </c>
      <c r="DC81" s="309">
        <f t="shared" si="312"/>
        <v>1</v>
      </c>
      <c r="DD81" s="309">
        <f t="shared" si="313"/>
        <v>260</v>
      </c>
      <c r="DE81" s="308">
        <f t="shared" si="314"/>
        <v>6.5000000000000002E-2</v>
      </c>
      <c r="DF81" s="313">
        <f t="shared" si="329"/>
        <v>80</v>
      </c>
      <c r="DG81" s="313">
        <f t="shared" si="318"/>
        <v>229.11761874129618</v>
      </c>
      <c r="DH81" s="313">
        <f t="shared" si="319"/>
        <v>229.11761874129618</v>
      </c>
      <c r="DI81" s="313">
        <f t="shared" si="320"/>
        <v>0</v>
      </c>
      <c r="DJ81" s="313">
        <f t="shared" si="321"/>
        <v>0</v>
      </c>
      <c r="DK81" s="313">
        <f t="shared" si="330"/>
        <v>17179.263559022493</v>
      </c>
      <c r="DL81" s="313">
        <f t="shared" si="322"/>
        <v>133874.37132934053</v>
      </c>
      <c r="DM81" s="314">
        <f t="shared" si="323"/>
        <v>13.925909388375018</v>
      </c>
      <c r="DN81" s="312">
        <f t="shared" si="324"/>
        <v>0.17407386735468772</v>
      </c>
      <c r="DO81" s="312">
        <f t="shared" si="331"/>
        <v>0.88122161054344683</v>
      </c>
      <c r="DP81" s="315">
        <f t="shared" si="315"/>
        <v>6.2580481213681483E-2</v>
      </c>
      <c r="DQ81" s="316">
        <f t="shared" si="325"/>
        <v>0.27313692223880454</v>
      </c>
      <c r="DR81" s="316">
        <f t="shared" si="326"/>
        <v>22.885886204535286</v>
      </c>
      <c r="DS81" s="314">
        <f t="shared" si="327"/>
        <v>3.4956042027398717</v>
      </c>
      <c r="DT81" s="316">
        <f t="shared" si="328"/>
        <v>22.885886204535286</v>
      </c>
      <c r="DU81" s="314">
        <f t="shared" si="316"/>
        <v>3.4956042027398717</v>
      </c>
      <c r="DV81" s="316">
        <f t="shared" si="332"/>
        <v>130.95800524064606</v>
      </c>
      <c r="DW81" s="310">
        <f t="shared" si="317"/>
        <v>3.9783745868961566</v>
      </c>
      <c r="FB81" s="307"/>
      <c r="FC81" s="307"/>
      <c r="FF81" s="307"/>
      <c r="FG81" s="307"/>
      <c r="FH81" s="306"/>
      <c r="FJ81" s="307"/>
      <c r="FK81" s="307"/>
      <c r="FL81" s="306"/>
      <c r="FM81" s="307"/>
      <c r="FN81" s="306"/>
      <c r="FO81" s="307"/>
      <c r="FP81" s="306"/>
    </row>
    <row r="82" spans="29:172">
      <c r="AC82" s="156"/>
      <c r="AD82" s="155">
        <v>57</v>
      </c>
      <c r="AE82" s="159">
        <v>2.5</v>
      </c>
      <c r="AG82" s="188">
        <v>57</v>
      </c>
      <c r="AH82" s="183">
        <v>225</v>
      </c>
      <c r="AI82" s="190">
        <v>445</v>
      </c>
      <c r="AJ82" s="185">
        <v>57</v>
      </c>
      <c r="AK82" s="183">
        <f t="shared" si="244"/>
        <v>445</v>
      </c>
      <c r="AM82" s="188">
        <v>57</v>
      </c>
      <c r="AN82" s="183">
        <v>650</v>
      </c>
      <c r="AO82" s="182">
        <v>5.9499999999999997E-2</v>
      </c>
      <c r="AP82" s="185">
        <v>57</v>
      </c>
      <c r="AQ82" s="184">
        <f t="shared" si="245"/>
        <v>5.9499999999999997E-2</v>
      </c>
      <c r="AR82" s="190">
        <v>445</v>
      </c>
      <c r="AS82" s="185">
        <v>57</v>
      </c>
      <c r="AT82" s="183">
        <f t="shared" si="246"/>
        <v>445</v>
      </c>
      <c r="AV82" s="188">
        <v>57</v>
      </c>
      <c r="AW82" s="183">
        <v>650</v>
      </c>
      <c r="AX82" s="182">
        <v>5.9499999999999997E-2</v>
      </c>
      <c r="AY82" s="185">
        <v>57</v>
      </c>
      <c r="AZ82" s="184">
        <f t="shared" si="247"/>
        <v>5.9499999999999997E-2</v>
      </c>
      <c r="BA82" s="190">
        <v>445</v>
      </c>
      <c r="BB82" s="185">
        <v>57</v>
      </c>
      <c r="BC82" s="183">
        <f t="shared" si="248"/>
        <v>445</v>
      </c>
      <c r="BE82" s="188">
        <v>57</v>
      </c>
      <c r="BF82" s="183">
        <v>650</v>
      </c>
      <c r="BG82" s="182">
        <v>5.9499999999999997E-2</v>
      </c>
      <c r="BH82" s="185">
        <v>57</v>
      </c>
      <c r="BI82" s="184">
        <f t="shared" si="249"/>
        <v>5.9499999999999997E-2</v>
      </c>
      <c r="BJ82" s="154"/>
      <c r="BK82" s="533">
        <v>57</v>
      </c>
      <c r="BL82" s="183">
        <f t="shared" si="310"/>
        <v>600</v>
      </c>
      <c r="BM82" s="155">
        <v>650</v>
      </c>
      <c r="CW82" s="364"/>
      <c r="CX82" s="309">
        <f>tot_width+1</f>
        <v>601</v>
      </c>
      <c r="CY82" s="313">
        <v>0</v>
      </c>
      <c r="DA82" s="309">
        <v>81</v>
      </c>
      <c r="DB82" s="313">
        <f t="shared" si="311"/>
        <v>229.48158897556237</v>
      </c>
      <c r="DC82" s="309">
        <f t="shared" si="312"/>
        <v>1</v>
      </c>
      <c r="DD82" s="309">
        <f t="shared" si="313"/>
        <v>260</v>
      </c>
      <c r="DE82" s="308">
        <f t="shared" si="314"/>
        <v>6.5000000000000002E-2</v>
      </c>
      <c r="DF82" s="313">
        <f t="shared" si="329"/>
        <v>81</v>
      </c>
      <c r="DG82" s="313">
        <f t="shared" si="318"/>
        <v>229.48158897556237</v>
      </c>
      <c r="DH82" s="313">
        <f t="shared" si="319"/>
        <v>229.48158897556237</v>
      </c>
      <c r="DI82" s="313">
        <f t="shared" si="320"/>
        <v>0</v>
      </c>
      <c r="DJ82" s="313">
        <f t="shared" si="321"/>
        <v>0</v>
      </c>
      <c r="DK82" s="313">
        <f t="shared" si="330"/>
        <v>17408.745147998055</v>
      </c>
      <c r="DL82" s="313">
        <f t="shared" si="322"/>
        <v>133645.25371059924</v>
      </c>
      <c r="DM82" s="314">
        <f t="shared" si="323"/>
        <v>14.043287892315163</v>
      </c>
      <c r="DN82" s="312">
        <f t="shared" si="324"/>
        <v>0.17337392459648349</v>
      </c>
      <c r="DO82" s="312">
        <f t="shared" si="331"/>
        <v>0.88262149605985529</v>
      </c>
      <c r="DP82" s="315">
        <f t="shared" si="315"/>
        <v>6.2610288759233912E-2</v>
      </c>
      <c r="DQ82" s="316">
        <f t="shared" si="325"/>
        <v>0.27283360307349674</v>
      </c>
      <c r="DR82" s="316">
        <f t="shared" si="326"/>
        <v>23.158719807608783</v>
      </c>
      <c r="DS82" s="314">
        <f t="shared" si="327"/>
        <v>3.4976026599444197</v>
      </c>
      <c r="DT82" s="316">
        <f t="shared" si="328"/>
        <v>23.158719807608783</v>
      </c>
      <c r="DU82" s="314">
        <f t="shared" si="316"/>
        <v>3.4976026599444197</v>
      </c>
      <c r="DV82" s="316">
        <f t="shared" si="332"/>
        <v>130.68486831840727</v>
      </c>
      <c r="DW82" s="310">
        <f t="shared" si="317"/>
        <v>3.979037563347009</v>
      </c>
      <c r="FB82" s="307"/>
      <c r="FC82" s="307"/>
      <c r="FF82" s="307"/>
      <c r="FG82" s="307"/>
      <c r="FH82" s="306"/>
      <c r="FJ82" s="307"/>
      <c r="FK82" s="307"/>
      <c r="FL82" s="306"/>
      <c r="FM82" s="307"/>
      <c r="FN82" s="306"/>
      <c r="FO82" s="307"/>
      <c r="FP82" s="306"/>
    </row>
    <row r="83" spans="29:172">
      <c r="AC83" s="156"/>
      <c r="AD83" s="155">
        <v>58</v>
      </c>
      <c r="AE83" s="159">
        <v>2</v>
      </c>
      <c r="AG83" s="188">
        <v>58</v>
      </c>
      <c r="AH83" s="183">
        <v>220</v>
      </c>
      <c r="AI83" s="190">
        <v>444</v>
      </c>
      <c r="AJ83" s="185">
        <v>58</v>
      </c>
      <c r="AK83" s="183">
        <f t="shared" si="244"/>
        <v>444</v>
      </c>
      <c r="AM83" s="188">
        <v>58</v>
      </c>
      <c r="AN83" s="183">
        <v>640</v>
      </c>
      <c r="AO83" s="182">
        <v>5.9400000000000001E-2</v>
      </c>
      <c r="AP83" s="185">
        <v>58</v>
      </c>
      <c r="AQ83" s="184">
        <f t="shared" si="245"/>
        <v>5.9400000000000001E-2</v>
      </c>
      <c r="AR83" s="190">
        <v>444</v>
      </c>
      <c r="AS83" s="185">
        <v>58</v>
      </c>
      <c r="AT83" s="183">
        <f t="shared" si="246"/>
        <v>444</v>
      </c>
      <c r="AV83" s="188">
        <v>58</v>
      </c>
      <c r="AW83" s="183">
        <v>640</v>
      </c>
      <c r="AX83" s="182">
        <v>5.9400000000000001E-2</v>
      </c>
      <c r="AY83" s="185">
        <v>58</v>
      </c>
      <c r="AZ83" s="184">
        <f t="shared" si="247"/>
        <v>5.9400000000000001E-2</v>
      </c>
      <c r="BA83" s="190">
        <v>444</v>
      </c>
      <c r="BB83" s="185">
        <v>58</v>
      </c>
      <c r="BC83" s="183">
        <f t="shared" si="248"/>
        <v>444</v>
      </c>
      <c r="BE83" s="188">
        <v>58</v>
      </c>
      <c r="BF83" s="183">
        <v>640</v>
      </c>
      <c r="BG83" s="182">
        <v>5.9400000000000001E-2</v>
      </c>
      <c r="BH83" s="185">
        <v>58</v>
      </c>
      <c r="BI83" s="184">
        <f t="shared" si="249"/>
        <v>5.9400000000000001E-2</v>
      </c>
      <c r="BJ83" s="154"/>
      <c r="BK83" s="533">
        <v>58</v>
      </c>
      <c r="BL83" s="183">
        <f t="shared" si="310"/>
        <v>600</v>
      </c>
      <c r="BM83" s="155">
        <v>640</v>
      </c>
      <c r="CW83" s="364"/>
      <c r="CX83" s="309">
        <f>CX82</f>
        <v>601</v>
      </c>
      <c r="CY83" s="313" cm="1">
        <f t="array" ref="CY83">INDEX(DG2:DG1201,tot_width)</f>
        <v>0</v>
      </c>
      <c r="DA83" s="309">
        <v>82</v>
      </c>
      <c r="DB83" s="313">
        <f>start+DA83*tanO</f>
        <v>229.84555920982859</v>
      </c>
      <c r="DC83" s="309">
        <f>IF(DA83&lt;edge_width,1,IF(DA83&lt;mid_width,2,IF(DA83&lt;=tot_width,3,4)))</f>
        <v>1</v>
      </c>
      <c r="DD83" s="309">
        <f>CHOOSE(DC83,edge_thick,second_thick,core_thick,0)</f>
        <v>260</v>
      </c>
      <c r="DE83" s="308">
        <f>CHOOSE(DC83,edge_k,second_k,core_k,0)</f>
        <v>6.5000000000000002E-2</v>
      </c>
      <c r="DF83" s="313">
        <f t="shared" si="329"/>
        <v>82</v>
      </c>
      <c r="DG83" s="313">
        <f t="shared" si="318"/>
        <v>229.84555920982859</v>
      </c>
      <c r="DH83" s="313">
        <f t="shared" si="319"/>
        <v>229.84555920982859</v>
      </c>
      <c r="DI83" s="313">
        <f t="shared" si="320"/>
        <v>0</v>
      </c>
      <c r="DJ83" s="313">
        <f t="shared" si="321"/>
        <v>0</v>
      </c>
      <c r="DK83" s="313">
        <f t="shared" si="330"/>
        <v>17638.590707207884</v>
      </c>
      <c r="DL83" s="313">
        <f t="shared" si="322"/>
        <v>133415.77212162368</v>
      </c>
      <c r="DM83" s="314">
        <f t="shared" ref="DM83:DM130" si="333">IF($DC83&lt;&gt;4,IF($DA83=edge_width,$CY$2,IF($DA83=mid_width,$CY$3,1-DO83+DM82)),0)</f>
        <v>14.159266510738899</v>
      </c>
      <c r="DN83" s="312">
        <f t="shared" ref="DN83:DN130" si="334">IF(DC83&lt;&gt;4,CHOOSE(DC83,DM83/DA83,DM83/(DA83-edge_width+1),DM83/(DA83-mid_width+1)),0)</f>
        <v>0.17267398183827926</v>
      </c>
      <c r="DO83" s="312">
        <f t="shared" si="331"/>
        <v>0.88402138157626386</v>
      </c>
      <c r="DP83" s="315">
        <f t="shared" ref="DP83:DP129" si="335">DE83*DO83^CHOOSE(DC83,mult1,mult2,mult3,0)</f>
        <v>6.2640063229664034E-2</v>
      </c>
      <c r="DQ83" s="316">
        <f t="shared" si="325"/>
        <v>0.27253110064432101</v>
      </c>
      <c r="DR83" s="316">
        <f t="shared" si="326"/>
        <v>23.431250908253105</v>
      </c>
      <c r="DS83" s="314">
        <f t="shared" si="327"/>
        <v>3.4995997576517537</v>
      </c>
      <c r="DT83" s="316">
        <f t="shared" ref="DT83:DT130" si="336">IF(DC83&lt;&gt;4,IF(DA83=edge_width,$CY$4,IF(DA83=mid_width,$CY$5,DQ83+DT82)),0)</f>
        <v>23.431250908253105</v>
      </c>
      <c r="DU83" s="314">
        <f t="shared" ref="DU83:DU129" si="337">IF(DC83&lt;&gt;4,CHOOSE(DC83,DA83/DT83,(DA83-edge_width+1)/DT83,(DA83-mid_width+1)/DT83),0)</f>
        <v>3.4995997576517537</v>
      </c>
      <c r="DV83" s="316">
        <f t="shared" si="332"/>
        <v>130.41203471533376</v>
      </c>
      <c r="DW83" s="310">
        <f t="shared" ref="DW83:DW129" si="338">IF(DC83&lt;&gt;4,(tot_width-DA83+1)/DV83,0)</f>
        <v>3.9796940606968101</v>
      </c>
      <c r="FB83" s="307"/>
      <c r="FC83" s="307"/>
      <c r="FF83" s="307"/>
      <c r="FG83" s="307"/>
      <c r="FH83" s="306"/>
      <c r="FJ83" s="307"/>
      <c r="FK83" s="307"/>
      <c r="FL83" s="306"/>
      <c r="FM83" s="307"/>
      <c r="FN83" s="306"/>
      <c r="FO83" s="307"/>
      <c r="FP83" s="306"/>
    </row>
    <row r="84" spans="29:172">
      <c r="AC84" s="156"/>
      <c r="AD84" s="155">
        <v>59</v>
      </c>
      <c r="AE84" s="159">
        <v>1.5</v>
      </c>
      <c r="AG84" s="188">
        <v>59</v>
      </c>
      <c r="AH84" s="183">
        <v>215</v>
      </c>
      <c r="AI84" s="190">
        <v>443</v>
      </c>
      <c r="AJ84" s="185">
        <v>59</v>
      </c>
      <c r="AK84" s="183">
        <f t="shared" si="244"/>
        <v>443</v>
      </c>
      <c r="AM84" s="188">
        <v>59</v>
      </c>
      <c r="AN84" s="183">
        <v>630</v>
      </c>
      <c r="AO84" s="182">
        <v>5.9299999999999999E-2</v>
      </c>
      <c r="AP84" s="185">
        <v>59</v>
      </c>
      <c r="AQ84" s="184">
        <f t="shared" si="245"/>
        <v>5.9299999999999999E-2</v>
      </c>
      <c r="AR84" s="190">
        <v>443</v>
      </c>
      <c r="AS84" s="185">
        <v>59</v>
      </c>
      <c r="AT84" s="183">
        <f t="shared" si="246"/>
        <v>443</v>
      </c>
      <c r="AV84" s="188">
        <v>59</v>
      </c>
      <c r="AW84" s="183">
        <v>630</v>
      </c>
      <c r="AX84" s="182">
        <v>5.9299999999999999E-2</v>
      </c>
      <c r="AY84" s="185">
        <v>59</v>
      </c>
      <c r="AZ84" s="184">
        <f t="shared" si="247"/>
        <v>5.9299999999999999E-2</v>
      </c>
      <c r="BA84" s="190">
        <v>443</v>
      </c>
      <c r="BB84" s="185">
        <v>59</v>
      </c>
      <c r="BC84" s="183">
        <f t="shared" si="248"/>
        <v>443</v>
      </c>
      <c r="BE84" s="188">
        <v>59</v>
      </c>
      <c r="BF84" s="183">
        <v>630</v>
      </c>
      <c r="BG84" s="182">
        <v>5.9299999999999999E-2</v>
      </c>
      <c r="BH84" s="185">
        <v>59</v>
      </c>
      <c r="BI84" s="184">
        <f t="shared" si="249"/>
        <v>5.9299999999999999E-2</v>
      </c>
      <c r="BJ84" s="154"/>
      <c r="BK84" s="533">
        <v>59</v>
      </c>
      <c r="BL84" s="183">
        <f t="shared" ref="BL84:BL90" si="339">MIN(BM84,tot_width)</f>
        <v>600</v>
      </c>
      <c r="BM84" s="155">
        <v>630</v>
      </c>
      <c r="CW84" s="364"/>
      <c r="CX84" s="309"/>
      <c r="CY84" s="313"/>
      <c r="DA84" s="309">
        <v>83</v>
      </c>
      <c r="DB84" s="313">
        <f t="shared" ref="DB84:DB129" si="340">start+DA84*tanO</f>
        <v>230.20952944409478</v>
      </c>
      <c r="DC84" s="309">
        <f t="shared" ref="DC84:DC129" si="341">IF(DA84&lt;edge_width,1,IF(DA84&lt;mid_width,2,IF(DA84&lt;=tot_width,3,4)))</f>
        <v>1</v>
      </c>
      <c r="DD84" s="309">
        <f t="shared" ref="DD84:DD129" si="342">CHOOSE(DC84,edge_thick,second_thick,core_thick,0)</f>
        <v>260</v>
      </c>
      <c r="DE84" s="308">
        <f t="shared" ref="DE84:DE129" si="343">CHOOSE(DC84,edge_k,second_k,core_k,0)</f>
        <v>6.5000000000000002E-2</v>
      </c>
      <c r="DF84" s="313">
        <f t="shared" si="329"/>
        <v>83</v>
      </c>
      <c r="DG84" s="313">
        <f t="shared" si="318"/>
        <v>230.20952944409478</v>
      </c>
      <c r="DH84" s="313">
        <f t="shared" si="319"/>
        <v>230.20952944409478</v>
      </c>
      <c r="DI84" s="313">
        <f t="shared" si="320"/>
        <v>0</v>
      </c>
      <c r="DJ84" s="313">
        <f t="shared" si="321"/>
        <v>0</v>
      </c>
      <c r="DK84" s="313">
        <f t="shared" si="330"/>
        <v>17868.80023665198</v>
      </c>
      <c r="DL84" s="313">
        <f t="shared" si="322"/>
        <v>133185.92656241386</v>
      </c>
      <c r="DM84" s="314">
        <f t="shared" si="333"/>
        <v>14.273845243646226</v>
      </c>
      <c r="DN84" s="312">
        <f t="shared" si="334"/>
        <v>0.17197403908007503</v>
      </c>
      <c r="DO84" s="312">
        <f t="shared" si="331"/>
        <v>0.88542126709267222</v>
      </c>
      <c r="DP84" s="315">
        <f t="shared" si="335"/>
        <v>6.2669804713961524E-2</v>
      </c>
      <c r="DQ84" s="316">
        <f t="shared" si="325"/>
        <v>0.2722294114639619</v>
      </c>
      <c r="DR84" s="316">
        <f t="shared" si="326"/>
        <v>23.703480319717066</v>
      </c>
      <c r="DS84" s="314">
        <f t="shared" si="327"/>
        <v>3.5015954990777791</v>
      </c>
      <c r="DT84" s="316">
        <f t="shared" si="336"/>
        <v>23.703480319717066</v>
      </c>
      <c r="DU84" s="314">
        <f t="shared" si="337"/>
        <v>3.5015954990777791</v>
      </c>
      <c r="DV84" s="316">
        <f t="shared" si="332"/>
        <v>130.13950361468943</v>
      </c>
      <c r="DW84" s="310">
        <f t="shared" si="338"/>
        <v>3.9803440585855361</v>
      </c>
      <c r="FB84" s="307"/>
      <c r="FC84" s="307"/>
      <c r="FF84" s="307"/>
      <c r="FG84" s="307"/>
      <c r="FH84" s="306"/>
      <c r="FJ84" s="307"/>
      <c r="FK84" s="307"/>
      <c r="FL84" s="306"/>
      <c r="FM84" s="307"/>
      <c r="FN84" s="306"/>
      <c r="FO84" s="307"/>
      <c r="FP84" s="306"/>
    </row>
    <row r="85" spans="29:172">
      <c r="AC85" s="156"/>
      <c r="AD85" s="155">
        <v>60</v>
      </c>
      <c r="AE85" s="159">
        <v>1</v>
      </c>
      <c r="AG85" s="188">
        <v>60</v>
      </c>
      <c r="AH85" s="183">
        <v>210</v>
      </c>
      <c r="AI85" s="190">
        <v>442</v>
      </c>
      <c r="AJ85" s="185">
        <v>60</v>
      </c>
      <c r="AK85" s="183">
        <f t="shared" si="244"/>
        <v>442</v>
      </c>
      <c r="AM85" s="188">
        <v>60</v>
      </c>
      <c r="AN85" s="183">
        <v>620</v>
      </c>
      <c r="AO85" s="182">
        <v>5.9200000000000003E-2</v>
      </c>
      <c r="AP85" s="185">
        <v>60</v>
      </c>
      <c r="AQ85" s="184">
        <f t="shared" si="245"/>
        <v>5.9200000000000003E-2</v>
      </c>
      <c r="AR85" s="190">
        <v>442</v>
      </c>
      <c r="AS85" s="185">
        <v>60</v>
      </c>
      <c r="AT85" s="183">
        <f t="shared" si="246"/>
        <v>442</v>
      </c>
      <c r="AV85" s="188">
        <v>60</v>
      </c>
      <c r="AW85" s="183">
        <v>620</v>
      </c>
      <c r="AX85" s="182">
        <v>5.9200000000000003E-2</v>
      </c>
      <c r="AY85" s="185">
        <v>60</v>
      </c>
      <c r="AZ85" s="184">
        <f t="shared" si="247"/>
        <v>5.9200000000000003E-2</v>
      </c>
      <c r="BA85" s="190">
        <v>442</v>
      </c>
      <c r="BB85" s="185">
        <v>60</v>
      </c>
      <c r="BC85" s="183">
        <f t="shared" si="248"/>
        <v>442</v>
      </c>
      <c r="BE85" s="188">
        <v>60</v>
      </c>
      <c r="BF85" s="183">
        <v>620</v>
      </c>
      <c r="BG85" s="182">
        <v>5.9200000000000003E-2</v>
      </c>
      <c r="BH85" s="185">
        <v>60</v>
      </c>
      <c r="BI85" s="184">
        <f t="shared" si="249"/>
        <v>5.9200000000000003E-2</v>
      </c>
      <c r="BJ85" s="154"/>
      <c r="BK85" s="533">
        <v>60</v>
      </c>
      <c r="BL85" s="183">
        <f t="shared" si="339"/>
        <v>600</v>
      </c>
      <c r="BM85" s="155">
        <v>620</v>
      </c>
      <c r="CW85" s="364"/>
      <c r="CX85" s="309"/>
      <c r="CY85" s="309" t="s">
        <v>586</v>
      </c>
      <c r="DA85" s="309">
        <v>84</v>
      </c>
      <c r="DB85" s="313">
        <f t="shared" si="340"/>
        <v>230.573499678361</v>
      </c>
      <c r="DC85" s="309">
        <f t="shared" si="341"/>
        <v>1</v>
      </c>
      <c r="DD85" s="309">
        <f t="shared" si="342"/>
        <v>260</v>
      </c>
      <c r="DE85" s="308">
        <f t="shared" si="343"/>
        <v>6.5000000000000002E-2</v>
      </c>
      <c r="DF85" s="313">
        <f t="shared" si="329"/>
        <v>84</v>
      </c>
      <c r="DG85" s="313">
        <f t="shared" si="318"/>
        <v>230.573499678361</v>
      </c>
      <c r="DH85" s="313">
        <f t="shared" si="319"/>
        <v>230.573499678361</v>
      </c>
      <c r="DI85" s="313">
        <f t="shared" si="320"/>
        <v>0</v>
      </c>
      <c r="DJ85" s="313">
        <f t="shared" si="321"/>
        <v>0</v>
      </c>
      <c r="DK85" s="313">
        <f t="shared" si="330"/>
        <v>18099.373736330341</v>
      </c>
      <c r="DL85" s="313">
        <f t="shared" si="322"/>
        <v>132955.71703296978</v>
      </c>
      <c r="DM85" s="314">
        <f t="shared" si="333"/>
        <v>14.387024091037146</v>
      </c>
      <c r="DN85" s="312">
        <f t="shared" si="334"/>
        <v>0.17127409632187079</v>
      </c>
      <c r="DO85" s="312">
        <f t="shared" si="331"/>
        <v>0.88682115260908079</v>
      </c>
      <c r="DP85" s="315">
        <f t="shared" si="335"/>
        <v>6.2699513300736476E-2</v>
      </c>
      <c r="DQ85" s="316">
        <f t="shared" si="325"/>
        <v>0.27192853206547718</v>
      </c>
      <c r="DR85" s="316">
        <f t="shared" si="326"/>
        <v>23.975408851782543</v>
      </c>
      <c r="DS85" s="314">
        <f t="shared" si="327"/>
        <v>3.5035898874256195</v>
      </c>
      <c r="DT85" s="316">
        <f t="shared" si="336"/>
        <v>23.975408851782543</v>
      </c>
      <c r="DU85" s="314">
        <f t="shared" si="337"/>
        <v>3.5035898874256195</v>
      </c>
      <c r="DV85" s="316">
        <f t="shared" si="332"/>
        <v>129.86727420322546</v>
      </c>
      <c r="DW85" s="310">
        <f t="shared" si="338"/>
        <v>3.980987536482532</v>
      </c>
      <c r="FB85" s="307"/>
      <c r="FC85" s="307"/>
      <c r="FF85" s="307"/>
      <c r="FG85" s="307"/>
      <c r="FH85" s="306"/>
      <c r="FJ85" s="307"/>
      <c r="FK85" s="307"/>
      <c r="FL85" s="306"/>
      <c r="FM85" s="307"/>
      <c r="FN85" s="306"/>
      <c r="FO85" s="307"/>
      <c r="FP85" s="306"/>
    </row>
    <row r="86" spans="29:172">
      <c r="AC86" s="156"/>
      <c r="AD86" s="155">
        <v>61</v>
      </c>
      <c r="AE86" s="159">
        <v>0.5</v>
      </c>
      <c r="AG86" s="188">
        <v>61</v>
      </c>
      <c r="AH86" s="183">
        <v>205</v>
      </c>
      <c r="AI86" s="190">
        <v>441</v>
      </c>
      <c r="AJ86" s="185">
        <v>61</v>
      </c>
      <c r="AK86" s="183">
        <f t="shared" si="244"/>
        <v>441</v>
      </c>
      <c r="AM86" s="188">
        <v>61</v>
      </c>
      <c r="AN86" s="183">
        <v>610</v>
      </c>
      <c r="AO86" s="182">
        <v>5.91E-2</v>
      </c>
      <c r="AP86" s="185">
        <v>61</v>
      </c>
      <c r="AQ86" s="184">
        <f t="shared" si="245"/>
        <v>5.91E-2</v>
      </c>
      <c r="AR86" s="190">
        <v>441</v>
      </c>
      <c r="AS86" s="185">
        <v>61</v>
      </c>
      <c r="AT86" s="183">
        <f t="shared" si="246"/>
        <v>441</v>
      </c>
      <c r="AV86" s="188">
        <v>61</v>
      </c>
      <c r="AW86" s="183">
        <v>610</v>
      </c>
      <c r="AX86" s="182">
        <v>5.91E-2</v>
      </c>
      <c r="AY86" s="185">
        <v>61</v>
      </c>
      <c r="AZ86" s="184">
        <f t="shared" si="247"/>
        <v>5.91E-2</v>
      </c>
      <c r="BA86" s="190">
        <v>441</v>
      </c>
      <c r="BB86" s="185">
        <v>61</v>
      </c>
      <c r="BC86" s="183">
        <f t="shared" si="248"/>
        <v>441</v>
      </c>
      <c r="BE86" s="188">
        <v>61</v>
      </c>
      <c r="BF86" s="183">
        <v>610</v>
      </c>
      <c r="BG86" s="182">
        <v>5.91E-2</v>
      </c>
      <c r="BH86" s="185">
        <v>61</v>
      </c>
      <c r="BI86" s="184">
        <f t="shared" si="249"/>
        <v>5.91E-2</v>
      </c>
      <c r="BJ86" s="154"/>
      <c r="BK86" s="533">
        <v>61</v>
      </c>
      <c r="BL86" s="183">
        <f t="shared" si="339"/>
        <v>600</v>
      </c>
      <c r="BM86" s="155">
        <v>610</v>
      </c>
      <c r="CW86" s="364"/>
      <c r="CX86" s="309">
        <v>5</v>
      </c>
      <c r="CY86" s="309">
        <v>25</v>
      </c>
      <c r="DA86" s="309">
        <v>85</v>
      </c>
      <c r="DB86" s="313">
        <f t="shared" si="340"/>
        <v>230.93746991262719</v>
      </c>
      <c r="DC86" s="309">
        <f t="shared" si="341"/>
        <v>1</v>
      </c>
      <c r="DD86" s="309">
        <f t="shared" si="342"/>
        <v>260</v>
      </c>
      <c r="DE86" s="308">
        <f t="shared" si="343"/>
        <v>6.5000000000000002E-2</v>
      </c>
      <c r="DF86" s="313">
        <f t="shared" si="329"/>
        <v>85</v>
      </c>
      <c r="DG86" s="313">
        <f t="shared" si="318"/>
        <v>230.93746991262719</v>
      </c>
      <c r="DH86" s="313">
        <f t="shared" si="319"/>
        <v>230.93746991262719</v>
      </c>
      <c r="DI86" s="313">
        <f t="shared" si="320"/>
        <v>0</v>
      </c>
      <c r="DJ86" s="313">
        <f t="shared" si="321"/>
        <v>0</v>
      </c>
      <c r="DK86" s="313">
        <f t="shared" si="330"/>
        <v>18330.311206242968</v>
      </c>
      <c r="DL86" s="313">
        <f t="shared" si="322"/>
        <v>132725.14353329141</v>
      </c>
      <c r="DM86" s="314">
        <f t="shared" si="333"/>
        <v>14.498803052911656</v>
      </c>
      <c r="DN86" s="312">
        <f t="shared" si="334"/>
        <v>0.17057415356366654</v>
      </c>
      <c r="DO86" s="312">
        <f t="shared" si="331"/>
        <v>0.88822103812548925</v>
      </c>
      <c r="DP86" s="315">
        <f t="shared" si="335"/>
        <v>6.2729189078221434E-2</v>
      </c>
      <c r="DQ86" s="316">
        <f t="shared" si="325"/>
        <v>0.27162845900214622</v>
      </c>
      <c r="DR86" s="316">
        <f t="shared" si="326"/>
        <v>24.247037310784687</v>
      </c>
      <c r="DS86" s="314">
        <f t="shared" si="327"/>
        <v>3.5055829258856868</v>
      </c>
      <c r="DT86" s="316">
        <f t="shared" si="336"/>
        <v>24.247037310784687</v>
      </c>
      <c r="DU86" s="314">
        <f t="shared" si="337"/>
        <v>3.5055829258856868</v>
      </c>
      <c r="DV86" s="316">
        <f t="shared" si="332"/>
        <v>129.59534567115998</v>
      </c>
      <c r="DW86" s="310">
        <f t="shared" si="338"/>
        <v>3.9816244736853244</v>
      </c>
      <c r="FB86" s="307"/>
      <c r="FC86" s="307"/>
      <c r="FF86" s="307"/>
      <c r="FG86" s="307"/>
      <c r="FH86" s="306"/>
      <c r="FJ86" s="307"/>
      <c r="FK86" s="307"/>
      <c r="FL86" s="306"/>
      <c r="FM86" s="307"/>
      <c r="FN86" s="306"/>
      <c r="FO86" s="307"/>
      <c r="FP86" s="306"/>
    </row>
    <row r="87" spans="29:172">
      <c r="AC87" s="156"/>
      <c r="AD87" s="155">
        <v>62</v>
      </c>
      <c r="AE87" s="159">
        <v>0</v>
      </c>
      <c r="AG87" s="188">
        <v>62</v>
      </c>
      <c r="AH87" s="183">
        <v>200</v>
      </c>
      <c r="AI87" s="190">
        <v>440</v>
      </c>
      <c r="AJ87" s="185">
        <v>62</v>
      </c>
      <c r="AK87" s="183">
        <f t="shared" si="244"/>
        <v>440</v>
      </c>
      <c r="AM87" s="188">
        <v>62</v>
      </c>
      <c r="AN87" s="183">
        <v>600</v>
      </c>
      <c r="AO87" s="182">
        <v>5.8999999999999997E-2</v>
      </c>
      <c r="AP87" s="185">
        <v>62</v>
      </c>
      <c r="AQ87" s="184">
        <f t="shared" si="245"/>
        <v>5.8999999999999997E-2</v>
      </c>
      <c r="AR87" s="190">
        <v>440</v>
      </c>
      <c r="AS87" s="185">
        <v>62</v>
      </c>
      <c r="AT87" s="183">
        <f t="shared" si="246"/>
        <v>440</v>
      </c>
      <c r="AV87" s="188">
        <v>62</v>
      </c>
      <c r="AW87" s="183">
        <v>600</v>
      </c>
      <c r="AX87" s="182">
        <v>5.8999999999999997E-2</v>
      </c>
      <c r="AY87" s="185">
        <v>62</v>
      </c>
      <c r="AZ87" s="184">
        <f t="shared" si="247"/>
        <v>5.8999999999999997E-2</v>
      </c>
      <c r="BA87" s="190">
        <v>440</v>
      </c>
      <c r="BB87" s="185">
        <v>62</v>
      </c>
      <c r="BC87" s="183">
        <f t="shared" si="248"/>
        <v>440</v>
      </c>
      <c r="BE87" s="188">
        <v>62</v>
      </c>
      <c r="BF87" s="183">
        <v>600</v>
      </c>
      <c r="BG87" s="182">
        <v>5.8999999999999997E-2</v>
      </c>
      <c r="BH87" s="185">
        <v>62</v>
      </c>
      <c r="BI87" s="184">
        <f t="shared" si="249"/>
        <v>5.8999999999999997E-2</v>
      </c>
      <c r="BJ87" s="154"/>
      <c r="BK87" s="533">
        <v>62</v>
      </c>
      <c r="BL87" s="183">
        <f t="shared" si="339"/>
        <v>600</v>
      </c>
      <c r="BM87" s="155">
        <v>600</v>
      </c>
      <c r="CW87" s="364"/>
      <c r="CX87" s="309"/>
      <c r="CY87" s="309" t="s">
        <v>587</v>
      </c>
      <c r="DA87" s="309">
        <v>86</v>
      </c>
      <c r="DB87" s="313">
        <f t="shared" si="340"/>
        <v>231.30144014689341</v>
      </c>
      <c r="DC87" s="309">
        <f t="shared" si="341"/>
        <v>1</v>
      </c>
      <c r="DD87" s="309">
        <f t="shared" si="342"/>
        <v>260</v>
      </c>
      <c r="DE87" s="308">
        <f t="shared" si="343"/>
        <v>6.5000000000000002E-2</v>
      </c>
      <c r="DF87" s="313">
        <f t="shared" si="329"/>
        <v>86</v>
      </c>
      <c r="DG87" s="313">
        <f t="shared" si="318"/>
        <v>231.30144014689341</v>
      </c>
      <c r="DH87" s="313">
        <f t="shared" si="319"/>
        <v>231.30144014689341</v>
      </c>
      <c r="DI87" s="313">
        <f t="shared" si="320"/>
        <v>0</v>
      </c>
      <c r="DJ87" s="313">
        <f t="shared" si="321"/>
        <v>0</v>
      </c>
      <c r="DK87" s="313">
        <f t="shared" si="330"/>
        <v>18561.612646389862</v>
      </c>
      <c r="DL87" s="313">
        <f t="shared" si="322"/>
        <v>132494.20606337878</v>
      </c>
      <c r="DM87" s="314">
        <f t="shared" si="333"/>
        <v>14.609182129269758</v>
      </c>
      <c r="DN87" s="312">
        <f t="shared" si="334"/>
        <v>0.16987421080546231</v>
      </c>
      <c r="DO87" s="312">
        <f t="shared" si="331"/>
        <v>0.88962092364189771</v>
      </c>
      <c r="DP87" s="315">
        <f t="shared" si="335"/>
        <v>6.2758832134273759E-2</v>
      </c>
      <c r="DQ87" s="316">
        <f t="shared" si="325"/>
        <v>0.27132918884732099</v>
      </c>
      <c r="DR87" s="316">
        <f t="shared" si="326"/>
        <v>24.518366499632009</v>
      </c>
      <c r="DS87" s="314">
        <f t="shared" si="327"/>
        <v>3.5075746176357532</v>
      </c>
      <c r="DT87" s="316">
        <f t="shared" si="336"/>
        <v>24.518366499632009</v>
      </c>
      <c r="DU87" s="314">
        <f t="shared" si="337"/>
        <v>3.5075746176357532</v>
      </c>
      <c r="DV87" s="316">
        <f t="shared" si="332"/>
        <v>129.32371721215782</v>
      </c>
      <c r="DW87" s="310">
        <f t="shared" si="338"/>
        <v>3.9822548493184238</v>
      </c>
      <c r="FB87" s="307"/>
      <c r="FC87" s="307"/>
      <c r="FF87" s="307"/>
      <c r="FG87" s="307"/>
      <c r="FH87" s="306"/>
      <c r="FJ87" s="307"/>
      <c r="FK87" s="307"/>
      <c r="FL87" s="306"/>
      <c r="FM87" s="307"/>
      <c r="FN87" s="306"/>
      <c r="FO87" s="307"/>
      <c r="FP87" s="306"/>
    </row>
    <row r="88" spans="29:172">
      <c r="AC88" s="156"/>
      <c r="AG88" s="188">
        <v>63</v>
      </c>
      <c r="AH88" s="183">
        <v>195</v>
      </c>
      <c r="AI88" s="190">
        <v>439</v>
      </c>
      <c r="AJ88" s="185">
        <v>63</v>
      </c>
      <c r="AK88" s="183">
        <f t="shared" si="244"/>
        <v>439</v>
      </c>
      <c r="AM88" s="188">
        <v>63</v>
      </c>
      <c r="AN88" s="183">
        <v>590</v>
      </c>
      <c r="AO88" s="182">
        <v>5.8900000000000001E-2</v>
      </c>
      <c r="AP88" s="185">
        <v>63</v>
      </c>
      <c r="AQ88" s="184">
        <f t="shared" si="245"/>
        <v>5.8900000000000001E-2</v>
      </c>
      <c r="AR88" s="190">
        <v>439</v>
      </c>
      <c r="AS88" s="185">
        <v>63</v>
      </c>
      <c r="AT88" s="183">
        <f t="shared" si="246"/>
        <v>439</v>
      </c>
      <c r="AV88" s="188">
        <v>63</v>
      </c>
      <c r="AW88" s="183">
        <v>590</v>
      </c>
      <c r="AX88" s="182">
        <v>5.8900000000000001E-2</v>
      </c>
      <c r="AY88" s="185">
        <v>63</v>
      </c>
      <c r="AZ88" s="184">
        <f t="shared" si="247"/>
        <v>5.8900000000000001E-2</v>
      </c>
      <c r="BA88" s="190">
        <v>439</v>
      </c>
      <c r="BB88" s="185">
        <v>63</v>
      </c>
      <c r="BC88" s="183">
        <f t="shared" si="248"/>
        <v>439</v>
      </c>
      <c r="BE88" s="188">
        <v>63</v>
      </c>
      <c r="BF88" s="183">
        <v>590</v>
      </c>
      <c r="BG88" s="182">
        <v>5.8900000000000001E-2</v>
      </c>
      <c r="BH88" s="185">
        <v>63</v>
      </c>
      <c r="BI88" s="184">
        <f t="shared" si="249"/>
        <v>5.8900000000000001E-2</v>
      </c>
      <c r="BJ88" s="154"/>
      <c r="BK88" s="533">
        <v>63</v>
      </c>
      <c r="BL88" s="183">
        <f t="shared" si="339"/>
        <v>590</v>
      </c>
      <c r="BM88" s="155">
        <v>590</v>
      </c>
      <c r="CW88" s="364"/>
      <c r="CX88" s="309">
        <f>edge_width+5</f>
        <v>605</v>
      </c>
      <c r="CY88" s="309">
        <v>25</v>
      </c>
      <c r="DA88" s="309">
        <v>87</v>
      </c>
      <c r="DB88" s="313">
        <f t="shared" si="340"/>
        <v>231.6654103811596</v>
      </c>
      <c r="DC88" s="309">
        <f t="shared" si="341"/>
        <v>1</v>
      </c>
      <c r="DD88" s="309">
        <f t="shared" si="342"/>
        <v>260</v>
      </c>
      <c r="DE88" s="308">
        <f t="shared" si="343"/>
        <v>6.5000000000000002E-2</v>
      </c>
      <c r="DF88" s="313">
        <f t="shared" si="329"/>
        <v>87</v>
      </c>
      <c r="DG88" s="313">
        <f t="shared" si="318"/>
        <v>231.6654103811596</v>
      </c>
      <c r="DH88" s="313">
        <f t="shared" si="319"/>
        <v>231.6654103811596</v>
      </c>
      <c r="DI88" s="313">
        <f t="shared" si="320"/>
        <v>0</v>
      </c>
      <c r="DJ88" s="313">
        <f t="shared" si="321"/>
        <v>0</v>
      </c>
      <c r="DK88" s="313">
        <f t="shared" si="330"/>
        <v>18793.278056771022</v>
      </c>
      <c r="DL88" s="313">
        <f t="shared" si="322"/>
        <v>132262.90462323188</v>
      </c>
      <c r="DM88" s="314">
        <f t="shared" si="333"/>
        <v>14.718161320111452</v>
      </c>
      <c r="DN88" s="312">
        <f t="shared" si="334"/>
        <v>0.16917426804725808</v>
      </c>
      <c r="DO88" s="312">
        <f t="shared" si="331"/>
        <v>0.89102080915830617</v>
      </c>
      <c r="DP88" s="315">
        <f t="shared" si="335"/>
        <v>6.2788442556377708E-2</v>
      </c>
      <c r="DQ88" s="316">
        <f t="shared" si="325"/>
        <v>0.27103071819427749</v>
      </c>
      <c r="DR88" s="316">
        <f t="shared" si="326"/>
        <v>24.789397217826288</v>
      </c>
      <c r="DS88" s="314">
        <f t="shared" si="327"/>
        <v>3.5095649658410202</v>
      </c>
      <c r="DT88" s="316">
        <f t="shared" si="336"/>
        <v>24.789397217826288</v>
      </c>
      <c r="DU88" s="314">
        <f t="shared" si="337"/>
        <v>3.5095649658410202</v>
      </c>
      <c r="DV88" s="316">
        <f t="shared" si="332"/>
        <v>129.0523880233105</v>
      </c>
      <c r="DW88" s="310">
        <f t="shared" si="338"/>
        <v>3.9828786423321132</v>
      </c>
      <c r="FB88" s="307"/>
      <c r="FC88" s="307"/>
      <c r="FF88" s="307"/>
      <c r="FG88" s="307"/>
      <c r="FH88" s="306"/>
      <c r="FJ88" s="307"/>
      <c r="FK88" s="307"/>
      <c r="FL88" s="306"/>
      <c r="FM88" s="307"/>
      <c r="FN88" s="306"/>
      <c r="FO88" s="307"/>
      <c r="FP88" s="306"/>
    </row>
    <row r="89" spans="29:172">
      <c r="AC89" s="156"/>
      <c r="AG89" s="188">
        <v>64</v>
      </c>
      <c r="AH89" s="183">
        <v>190</v>
      </c>
      <c r="AI89" s="190">
        <v>438</v>
      </c>
      <c r="AJ89" s="185">
        <v>64</v>
      </c>
      <c r="AK89" s="183">
        <f t="shared" si="244"/>
        <v>438</v>
      </c>
      <c r="AM89" s="188">
        <v>64</v>
      </c>
      <c r="AN89" s="183">
        <v>580</v>
      </c>
      <c r="AO89" s="182">
        <v>5.8799999999999998E-2</v>
      </c>
      <c r="AP89" s="185">
        <v>64</v>
      </c>
      <c r="AQ89" s="184">
        <f t="shared" si="245"/>
        <v>5.8799999999999998E-2</v>
      </c>
      <c r="AR89" s="190">
        <v>438</v>
      </c>
      <c r="AS89" s="185">
        <v>64</v>
      </c>
      <c r="AT89" s="183">
        <f t="shared" si="246"/>
        <v>438</v>
      </c>
      <c r="AV89" s="188">
        <v>64</v>
      </c>
      <c r="AW89" s="183">
        <v>580</v>
      </c>
      <c r="AX89" s="182">
        <v>5.8799999999999998E-2</v>
      </c>
      <c r="AY89" s="185">
        <v>64</v>
      </c>
      <c r="AZ89" s="184">
        <f t="shared" si="247"/>
        <v>5.8799999999999998E-2</v>
      </c>
      <c r="BA89" s="190">
        <v>438</v>
      </c>
      <c r="BB89" s="185">
        <v>64</v>
      </c>
      <c r="BC89" s="183">
        <f t="shared" si="248"/>
        <v>438</v>
      </c>
      <c r="BE89" s="188">
        <v>64</v>
      </c>
      <c r="BF89" s="183">
        <v>580</v>
      </c>
      <c r="BG89" s="182">
        <v>5.8799999999999998E-2</v>
      </c>
      <c r="BH89" s="185">
        <v>64</v>
      </c>
      <c r="BI89" s="184">
        <f t="shared" si="249"/>
        <v>5.8799999999999998E-2</v>
      </c>
      <c r="BJ89" s="154"/>
      <c r="BK89" s="533">
        <v>64</v>
      </c>
      <c r="BL89" s="183">
        <f t="shared" si="339"/>
        <v>580</v>
      </c>
      <c r="BM89" s="155">
        <v>580</v>
      </c>
      <c r="CW89" s="364"/>
      <c r="CX89" s="309"/>
      <c r="CY89" s="309" t="s">
        <v>588</v>
      </c>
      <c r="DA89" s="309">
        <v>88</v>
      </c>
      <c r="DB89" s="313">
        <f t="shared" si="340"/>
        <v>232.02938061542579</v>
      </c>
      <c r="DC89" s="309">
        <f t="shared" si="341"/>
        <v>1</v>
      </c>
      <c r="DD89" s="309">
        <f t="shared" si="342"/>
        <v>260</v>
      </c>
      <c r="DE89" s="308">
        <f t="shared" si="343"/>
        <v>6.5000000000000002E-2</v>
      </c>
      <c r="DF89" s="313">
        <f t="shared" si="329"/>
        <v>88</v>
      </c>
      <c r="DG89" s="313">
        <f t="shared" si="318"/>
        <v>232.02938061542579</v>
      </c>
      <c r="DH89" s="313">
        <f t="shared" si="319"/>
        <v>232.02938061542579</v>
      </c>
      <c r="DI89" s="313">
        <f t="shared" si="320"/>
        <v>0</v>
      </c>
      <c r="DJ89" s="313">
        <f t="shared" si="321"/>
        <v>0</v>
      </c>
      <c r="DK89" s="313">
        <f t="shared" si="330"/>
        <v>19025.307437386447</v>
      </c>
      <c r="DL89" s="313">
        <f t="shared" si="322"/>
        <v>132031.23921285072</v>
      </c>
      <c r="DM89" s="314">
        <f t="shared" si="333"/>
        <v>14.825740625436737</v>
      </c>
      <c r="DN89" s="312">
        <f t="shared" si="334"/>
        <v>0.16847432528905382</v>
      </c>
      <c r="DO89" s="312">
        <f t="shared" si="331"/>
        <v>0.89242069467471463</v>
      </c>
      <c r="DP89" s="315">
        <f t="shared" si="335"/>
        <v>6.2818020431646637E-2</v>
      </c>
      <c r="DQ89" s="316">
        <f t="shared" si="325"/>
        <v>0.27073304365606865</v>
      </c>
      <c r="DR89" s="316">
        <f t="shared" si="326"/>
        <v>25.060130261482357</v>
      </c>
      <c r="DS89" s="314">
        <f t="shared" si="327"/>
        <v>3.5115539736541908</v>
      </c>
      <c r="DT89" s="316">
        <f t="shared" si="336"/>
        <v>25.060130261482357</v>
      </c>
      <c r="DU89" s="314">
        <f t="shared" si="337"/>
        <v>3.5115539736541908</v>
      </c>
      <c r="DV89" s="316">
        <f t="shared" si="332"/>
        <v>128.78135730511622</v>
      </c>
      <c r="DW89" s="310">
        <f t="shared" si="338"/>
        <v>3.983495831501223</v>
      </c>
      <c r="FB89" s="307"/>
      <c r="FC89" s="307"/>
      <c r="FF89" s="307"/>
      <c r="FG89" s="307"/>
      <c r="FH89" s="306"/>
      <c r="FJ89" s="307"/>
      <c r="FK89" s="307"/>
      <c r="FL89" s="306"/>
      <c r="FM89" s="307"/>
      <c r="FN89" s="306"/>
      <c r="FO89" s="307"/>
      <c r="FP89" s="306"/>
    </row>
    <row r="90" spans="29:172">
      <c r="AC90" s="156"/>
      <c r="AG90" s="188">
        <v>65</v>
      </c>
      <c r="AH90" s="183">
        <v>185</v>
      </c>
      <c r="AI90" s="190">
        <v>437</v>
      </c>
      <c r="AJ90" s="185">
        <v>65</v>
      </c>
      <c r="AK90" s="183">
        <f t="shared" si="244"/>
        <v>437</v>
      </c>
      <c r="AM90" s="188">
        <v>65</v>
      </c>
      <c r="AN90" s="183">
        <v>570</v>
      </c>
      <c r="AO90" s="182">
        <v>5.8700000000000002E-2</v>
      </c>
      <c r="AP90" s="185">
        <v>65</v>
      </c>
      <c r="AQ90" s="184">
        <f t="shared" si="245"/>
        <v>5.8700000000000002E-2</v>
      </c>
      <c r="AR90" s="190">
        <v>437</v>
      </c>
      <c r="AS90" s="185">
        <v>65</v>
      </c>
      <c r="AT90" s="183">
        <f t="shared" si="246"/>
        <v>437</v>
      </c>
      <c r="AV90" s="188">
        <v>65</v>
      </c>
      <c r="AW90" s="183">
        <v>570</v>
      </c>
      <c r="AX90" s="182">
        <v>5.8700000000000002E-2</v>
      </c>
      <c r="AY90" s="185">
        <v>65</v>
      </c>
      <c r="AZ90" s="184">
        <f t="shared" si="247"/>
        <v>5.8700000000000002E-2</v>
      </c>
      <c r="BA90" s="190">
        <v>437</v>
      </c>
      <c r="BB90" s="185">
        <v>65</v>
      </c>
      <c r="BC90" s="183">
        <f t="shared" si="248"/>
        <v>437</v>
      </c>
      <c r="BE90" s="188">
        <v>65</v>
      </c>
      <c r="BF90" s="183">
        <v>570</v>
      </c>
      <c r="BG90" s="182">
        <v>5.8700000000000002E-2</v>
      </c>
      <c r="BH90" s="185">
        <v>65</v>
      </c>
      <c r="BI90" s="184">
        <f t="shared" si="249"/>
        <v>5.8700000000000002E-2</v>
      </c>
      <c r="BJ90" s="154"/>
      <c r="BK90" s="533">
        <v>65</v>
      </c>
      <c r="BL90" s="183">
        <f t="shared" si="339"/>
        <v>570</v>
      </c>
      <c r="BM90" s="155">
        <v>570</v>
      </c>
      <c r="CW90" s="364"/>
      <c r="CX90" s="309">
        <f>mid_width+5</f>
        <v>605</v>
      </c>
      <c r="CY90" s="309">
        <v>25</v>
      </c>
      <c r="DA90" s="309">
        <v>89</v>
      </c>
      <c r="DB90" s="313">
        <f t="shared" si="340"/>
        <v>232.39335084969201</v>
      </c>
      <c r="DC90" s="309">
        <f t="shared" si="341"/>
        <v>1</v>
      </c>
      <c r="DD90" s="309">
        <f t="shared" si="342"/>
        <v>260</v>
      </c>
      <c r="DE90" s="308">
        <f t="shared" si="343"/>
        <v>6.5000000000000002E-2</v>
      </c>
      <c r="DF90" s="313">
        <f t="shared" si="329"/>
        <v>89</v>
      </c>
      <c r="DG90" s="313">
        <f t="shared" si="318"/>
        <v>232.39335084969201</v>
      </c>
      <c r="DH90" s="313">
        <f t="shared" si="319"/>
        <v>232.39335084969201</v>
      </c>
      <c r="DI90" s="313">
        <f t="shared" si="320"/>
        <v>0</v>
      </c>
      <c r="DJ90" s="313">
        <f t="shared" si="321"/>
        <v>0</v>
      </c>
      <c r="DK90" s="313">
        <f t="shared" si="330"/>
        <v>19257.700788236139</v>
      </c>
      <c r="DL90" s="313">
        <f t="shared" si="322"/>
        <v>131799.2098322353</v>
      </c>
      <c r="DM90" s="314">
        <f t="shared" si="333"/>
        <v>14.931920045245613</v>
      </c>
      <c r="DN90" s="312">
        <f t="shared" si="334"/>
        <v>0.16777438253084959</v>
      </c>
      <c r="DO90" s="312">
        <f t="shared" si="331"/>
        <v>0.89382058019112309</v>
      </c>
      <c r="DP90" s="315">
        <f t="shared" si="335"/>
        <v>6.2847565846825187E-2</v>
      </c>
      <c r="DQ90" s="316">
        <f t="shared" si="325"/>
        <v>0.27043616186537928</v>
      </c>
      <c r="DR90" s="316">
        <f t="shared" si="326"/>
        <v>25.330566423347737</v>
      </c>
      <c r="DS90" s="314">
        <f t="shared" si="327"/>
        <v>3.5135416442155338</v>
      </c>
      <c r="DT90" s="316">
        <f t="shared" si="336"/>
        <v>25.330566423347737</v>
      </c>
      <c r="DU90" s="314">
        <f t="shared" si="337"/>
        <v>3.5135416442155338</v>
      </c>
      <c r="DV90" s="316">
        <f t="shared" si="332"/>
        <v>128.51062426146015</v>
      </c>
      <c r="DW90" s="310">
        <f t="shared" si="338"/>
        <v>3.9841063954238907</v>
      </c>
      <c r="FB90" s="307"/>
      <c r="FC90" s="307"/>
      <c r="FF90" s="307"/>
      <c r="FG90" s="307"/>
      <c r="FH90" s="306"/>
      <c r="FJ90" s="307"/>
      <c r="FK90" s="307"/>
      <c r="FL90" s="306"/>
      <c r="FM90" s="307"/>
      <c r="FN90" s="306"/>
      <c r="FO90" s="307"/>
      <c r="FP90" s="306"/>
    </row>
    <row r="91" spans="29:172">
      <c r="AC91" s="156"/>
      <c r="AG91" s="188">
        <v>66</v>
      </c>
      <c r="AH91" s="183">
        <v>180</v>
      </c>
      <c r="AI91" s="190">
        <v>436</v>
      </c>
      <c r="AJ91" s="185">
        <v>66</v>
      </c>
      <c r="AK91" s="183">
        <f t="shared" ref="AK91:AK154" si="344">AI91</f>
        <v>436</v>
      </c>
      <c r="AM91" s="188">
        <v>66</v>
      </c>
      <c r="AN91" s="183">
        <v>560</v>
      </c>
      <c r="AO91" s="182">
        <v>5.8599999999999999E-2</v>
      </c>
      <c r="AP91" s="185">
        <v>66</v>
      </c>
      <c r="AQ91" s="184">
        <f t="shared" ref="AQ91:AQ154" si="345">AO91</f>
        <v>5.8599999999999999E-2</v>
      </c>
      <c r="AR91" s="190">
        <v>436</v>
      </c>
      <c r="AS91" s="185">
        <v>66</v>
      </c>
      <c r="AT91" s="183">
        <f t="shared" ref="AT91:AT154" si="346">AR91</f>
        <v>436</v>
      </c>
      <c r="AV91" s="188">
        <v>66</v>
      </c>
      <c r="AW91" s="183">
        <v>560</v>
      </c>
      <c r="AX91" s="182">
        <v>5.8599999999999999E-2</v>
      </c>
      <c r="AY91" s="185">
        <v>66</v>
      </c>
      <c r="AZ91" s="184">
        <f t="shared" ref="AZ91:AZ154" si="347">AX91</f>
        <v>5.8599999999999999E-2</v>
      </c>
      <c r="BA91" s="190">
        <v>436</v>
      </c>
      <c r="BB91" s="185">
        <v>66</v>
      </c>
      <c r="BC91" s="183">
        <f t="shared" ref="BC91:BC154" si="348">BA91</f>
        <v>436</v>
      </c>
      <c r="BE91" s="188">
        <v>66</v>
      </c>
      <c r="BF91" s="183">
        <v>560</v>
      </c>
      <c r="BG91" s="182">
        <v>5.8599999999999999E-2</v>
      </c>
      <c r="BH91" s="185">
        <v>66</v>
      </c>
      <c r="BI91" s="184">
        <f t="shared" ref="BI91:BI154" si="349">BG91</f>
        <v>5.8599999999999999E-2</v>
      </c>
      <c r="BJ91" s="154"/>
      <c r="BK91" s="533">
        <v>66</v>
      </c>
      <c r="BL91" s="183">
        <f t="shared" ref="BL91:BL122" si="350">MIN(BM91,tot_width)</f>
        <v>560</v>
      </c>
      <c r="BM91" s="155">
        <v>560</v>
      </c>
      <c r="CW91" s="364"/>
      <c r="CX91" s="309"/>
      <c r="CY91" s="313"/>
      <c r="DA91" s="309">
        <v>90</v>
      </c>
      <c r="DB91" s="313">
        <f t="shared" si="340"/>
        <v>232.7573210839582</v>
      </c>
      <c r="DC91" s="309">
        <f t="shared" si="341"/>
        <v>1</v>
      </c>
      <c r="DD91" s="309">
        <f t="shared" si="342"/>
        <v>260</v>
      </c>
      <c r="DE91" s="308">
        <f t="shared" si="343"/>
        <v>6.5000000000000002E-2</v>
      </c>
      <c r="DF91" s="313">
        <f t="shared" si="329"/>
        <v>90</v>
      </c>
      <c r="DG91" s="313">
        <f t="shared" si="318"/>
        <v>232.7573210839582</v>
      </c>
      <c r="DH91" s="313">
        <f t="shared" si="319"/>
        <v>232.7573210839582</v>
      </c>
      <c r="DI91" s="313">
        <f t="shared" si="320"/>
        <v>0</v>
      </c>
      <c r="DJ91" s="313">
        <f t="shared" si="321"/>
        <v>0</v>
      </c>
      <c r="DK91" s="313">
        <f t="shared" si="330"/>
        <v>19490.458109320098</v>
      </c>
      <c r="DL91" s="313">
        <f t="shared" si="322"/>
        <v>131566.81648138561</v>
      </c>
      <c r="DM91" s="314">
        <f t="shared" si="333"/>
        <v>15.036699579538082</v>
      </c>
      <c r="DN91" s="312">
        <f t="shared" si="334"/>
        <v>0.16707443977264536</v>
      </c>
      <c r="DO91" s="312">
        <f t="shared" si="331"/>
        <v>0.89522046570753155</v>
      </c>
      <c r="DP91" s="315">
        <f t="shared" si="335"/>
        <v>6.2877078888291332E-2</v>
      </c>
      <c r="DQ91" s="316">
        <f t="shared" si="325"/>
        <v>0.27014006947438124</v>
      </c>
      <c r="DR91" s="316">
        <f t="shared" si="326"/>
        <v>25.600706492822116</v>
      </c>
      <c r="DS91" s="314">
        <f t="shared" si="327"/>
        <v>3.515527980652958</v>
      </c>
      <c r="DT91" s="316">
        <f t="shared" si="336"/>
        <v>25.600706492822116</v>
      </c>
      <c r="DU91" s="314">
        <f t="shared" si="337"/>
        <v>3.515527980652958</v>
      </c>
      <c r="DV91" s="316">
        <f t="shared" si="332"/>
        <v>128.24018809959477</v>
      </c>
      <c r="DW91" s="310">
        <f t="shared" si="338"/>
        <v>3.9847103125203129</v>
      </c>
      <c r="FB91" s="307"/>
      <c r="FC91" s="307"/>
      <c r="FF91" s="307"/>
      <c r="FG91" s="307"/>
      <c r="FH91" s="306"/>
      <c r="FJ91" s="307"/>
      <c r="FK91" s="307"/>
      <c r="FL91" s="306"/>
      <c r="FM91" s="307"/>
      <c r="FN91" s="306"/>
      <c r="FO91" s="307"/>
      <c r="FP91" s="306"/>
    </row>
    <row r="92" spans="29:172">
      <c r="AC92" s="156"/>
      <c r="AG92" s="188">
        <v>67</v>
      </c>
      <c r="AH92" s="183">
        <v>175</v>
      </c>
      <c r="AI92" s="190">
        <v>435</v>
      </c>
      <c r="AJ92" s="185">
        <v>67</v>
      </c>
      <c r="AK92" s="183">
        <f t="shared" si="344"/>
        <v>435</v>
      </c>
      <c r="AM92" s="188">
        <v>67</v>
      </c>
      <c r="AN92" s="183">
        <v>550</v>
      </c>
      <c r="AO92" s="182">
        <v>5.8500000000000003E-2</v>
      </c>
      <c r="AP92" s="185">
        <v>67</v>
      </c>
      <c r="AQ92" s="184">
        <f t="shared" si="345"/>
        <v>5.8500000000000003E-2</v>
      </c>
      <c r="AR92" s="190">
        <v>435</v>
      </c>
      <c r="AS92" s="185">
        <v>67</v>
      </c>
      <c r="AT92" s="183">
        <f t="shared" si="346"/>
        <v>435</v>
      </c>
      <c r="AV92" s="188">
        <v>67</v>
      </c>
      <c r="AW92" s="183">
        <v>550</v>
      </c>
      <c r="AX92" s="182">
        <v>5.8500000000000003E-2</v>
      </c>
      <c r="AY92" s="185">
        <v>67</v>
      </c>
      <c r="AZ92" s="184">
        <f t="shared" si="347"/>
        <v>5.8500000000000003E-2</v>
      </c>
      <c r="BA92" s="190">
        <v>435</v>
      </c>
      <c r="BB92" s="185">
        <v>67</v>
      </c>
      <c r="BC92" s="183">
        <f t="shared" si="348"/>
        <v>435</v>
      </c>
      <c r="BE92" s="188">
        <v>67</v>
      </c>
      <c r="BF92" s="183">
        <v>550</v>
      </c>
      <c r="BG92" s="182">
        <v>5.8500000000000003E-2</v>
      </c>
      <c r="BH92" s="185">
        <v>67</v>
      </c>
      <c r="BI92" s="184">
        <f t="shared" si="349"/>
        <v>5.8500000000000003E-2</v>
      </c>
      <c r="BJ92" s="154"/>
      <c r="BK92" s="533">
        <v>67</v>
      </c>
      <c r="BL92" s="183">
        <f t="shared" si="350"/>
        <v>550</v>
      </c>
      <c r="BM92" s="155">
        <v>550</v>
      </c>
      <c r="CW92" s="364"/>
      <c r="CX92" s="309"/>
      <c r="CY92" s="313"/>
      <c r="DA92" s="309">
        <v>91</v>
      </c>
      <c r="DB92" s="313">
        <f t="shared" si="340"/>
        <v>233.12129131822442</v>
      </c>
      <c r="DC92" s="309">
        <f t="shared" si="341"/>
        <v>1</v>
      </c>
      <c r="DD92" s="309">
        <f t="shared" si="342"/>
        <v>260</v>
      </c>
      <c r="DE92" s="308">
        <f t="shared" si="343"/>
        <v>6.5000000000000002E-2</v>
      </c>
      <c r="DF92" s="313">
        <f t="shared" si="329"/>
        <v>91</v>
      </c>
      <c r="DG92" s="313">
        <f t="shared" si="318"/>
        <v>233.12129131822442</v>
      </c>
      <c r="DH92" s="313">
        <f t="shared" si="319"/>
        <v>233.12129131822442</v>
      </c>
      <c r="DI92" s="313">
        <f t="shared" si="320"/>
        <v>0</v>
      </c>
      <c r="DJ92" s="313">
        <f t="shared" si="321"/>
        <v>0</v>
      </c>
      <c r="DK92" s="313">
        <f t="shared" si="330"/>
        <v>19723.579400638322</v>
      </c>
      <c r="DL92" s="313">
        <f t="shared" si="322"/>
        <v>131334.05916030167</v>
      </c>
      <c r="DM92" s="314">
        <f t="shared" si="333"/>
        <v>15.140079228314143</v>
      </c>
      <c r="DN92" s="312">
        <f t="shared" si="334"/>
        <v>0.16637449701444113</v>
      </c>
      <c r="DO92" s="312">
        <f t="shared" si="331"/>
        <v>0.89662035122394013</v>
      </c>
      <c r="DP92" s="315">
        <f t="shared" si="335"/>
        <v>6.2906559642058588E-2</v>
      </c>
      <c r="DQ92" s="316">
        <f t="shared" si="325"/>
        <v>0.26984476315459061</v>
      </c>
      <c r="DR92" s="316">
        <f t="shared" si="326"/>
        <v>25.870551255976707</v>
      </c>
      <c r="DS92" s="314">
        <f t="shared" si="327"/>
        <v>3.5175129860820751</v>
      </c>
      <c r="DT92" s="316">
        <f t="shared" si="336"/>
        <v>25.870551255976707</v>
      </c>
      <c r="DU92" s="314">
        <f t="shared" si="337"/>
        <v>3.5175129860820751</v>
      </c>
      <c r="DV92" s="316">
        <f t="shared" si="332"/>
        <v>127.9700480301204</v>
      </c>
      <c r="DW92" s="310">
        <f t="shared" si="338"/>
        <v>3.9853075610314765</v>
      </c>
      <c r="FB92" s="307"/>
      <c r="FC92" s="307"/>
      <c r="FF92" s="307"/>
      <c r="FG92" s="307"/>
      <c r="FH92" s="306"/>
      <c r="FJ92" s="307"/>
      <c r="FK92" s="307"/>
      <c r="FL92" s="306"/>
      <c r="FM92" s="307"/>
      <c r="FN92" s="306"/>
      <c r="FO92" s="307"/>
      <c r="FP92" s="306"/>
    </row>
    <row r="93" spans="29:172">
      <c r="AC93" s="156"/>
      <c r="AG93" s="188">
        <v>68</v>
      </c>
      <c r="AH93" s="183">
        <v>170</v>
      </c>
      <c r="AI93" s="190">
        <v>434</v>
      </c>
      <c r="AJ93" s="185">
        <v>68</v>
      </c>
      <c r="AK93" s="183">
        <f t="shared" si="344"/>
        <v>434</v>
      </c>
      <c r="AM93" s="188">
        <v>68</v>
      </c>
      <c r="AN93" s="183">
        <v>540</v>
      </c>
      <c r="AO93" s="182">
        <v>5.8400000000000001E-2</v>
      </c>
      <c r="AP93" s="185">
        <v>68</v>
      </c>
      <c r="AQ93" s="184">
        <f t="shared" si="345"/>
        <v>5.8400000000000001E-2</v>
      </c>
      <c r="AR93" s="190">
        <v>434</v>
      </c>
      <c r="AS93" s="185">
        <v>68</v>
      </c>
      <c r="AT93" s="183">
        <f t="shared" si="346"/>
        <v>434</v>
      </c>
      <c r="AV93" s="188">
        <v>68</v>
      </c>
      <c r="AW93" s="183">
        <v>540</v>
      </c>
      <c r="AX93" s="182">
        <v>5.8400000000000001E-2</v>
      </c>
      <c r="AY93" s="185">
        <v>68</v>
      </c>
      <c r="AZ93" s="184">
        <f t="shared" si="347"/>
        <v>5.8400000000000001E-2</v>
      </c>
      <c r="BA93" s="190">
        <v>434</v>
      </c>
      <c r="BB93" s="185">
        <v>68</v>
      </c>
      <c r="BC93" s="183">
        <f t="shared" si="348"/>
        <v>434</v>
      </c>
      <c r="BE93" s="188">
        <v>68</v>
      </c>
      <c r="BF93" s="183">
        <v>540</v>
      </c>
      <c r="BG93" s="182">
        <v>5.8400000000000001E-2</v>
      </c>
      <c r="BH93" s="185">
        <v>68</v>
      </c>
      <c r="BI93" s="184">
        <f t="shared" si="349"/>
        <v>5.8400000000000001E-2</v>
      </c>
      <c r="BJ93" s="154"/>
      <c r="BK93" s="533">
        <v>68</v>
      </c>
      <c r="BL93" s="183">
        <f t="shared" si="350"/>
        <v>540</v>
      </c>
      <c r="BM93" s="155">
        <v>540</v>
      </c>
      <c r="CW93" s="364"/>
      <c r="CX93" s="309"/>
      <c r="CY93" s="313"/>
      <c r="DA93" s="309">
        <v>92</v>
      </c>
      <c r="DB93" s="313">
        <f t="shared" si="340"/>
        <v>233.48526155249061</v>
      </c>
      <c r="DC93" s="309">
        <f t="shared" si="341"/>
        <v>1</v>
      </c>
      <c r="DD93" s="309">
        <f t="shared" si="342"/>
        <v>260</v>
      </c>
      <c r="DE93" s="308">
        <f t="shared" si="343"/>
        <v>6.5000000000000002E-2</v>
      </c>
      <c r="DF93" s="313">
        <f t="shared" si="329"/>
        <v>92</v>
      </c>
      <c r="DG93" s="313">
        <f t="shared" si="318"/>
        <v>233.48526155249061</v>
      </c>
      <c r="DH93" s="313">
        <f t="shared" si="319"/>
        <v>233.48526155249061</v>
      </c>
      <c r="DI93" s="313">
        <f t="shared" si="320"/>
        <v>0</v>
      </c>
      <c r="DJ93" s="313">
        <f t="shared" si="321"/>
        <v>0</v>
      </c>
      <c r="DK93" s="313">
        <f t="shared" si="330"/>
        <v>19957.064662190813</v>
      </c>
      <c r="DL93" s="313">
        <f t="shared" si="322"/>
        <v>131100.93786898343</v>
      </c>
      <c r="DM93" s="314">
        <f t="shared" si="333"/>
        <v>15.242058991573794</v>
      </c>
      <c r="DN93" s="312">
        <f t="shared" si="334"/>
        <v>0.16567455425623689</v>
      </c>
      <c r="DO93" s="312">
        <f t="shared" si="331"/>
        <v>0.89802023674034848</v>
      </c>
      <c r="DP93" s="315">
        <f t="shared" si="335"/>
        <v>6.2936008193778051E-2</v>
      </c>
      <c r="DQ93" s="316">
        <f t="shared" si="325"/>
        <v>0.26955023959672586</v>
      </c>
      <c r="DR93" s="316">
        <f t="shared" si="326"/>
        <v>26.140101495573433</v>
      </c>
      <c r="DS93" s="314">
        <f t="shared" si="327"/>
        <v>3.5194966636062714</v>
      </c>
      <c r="DT93" s="316">
        <f t="shared" si="336"/>
        <v>26.140101495573433</v>
      </c>
      <c r="DU93" s="314">
        <f t="shared" si="337"/>
        <v>3.5194966636062714</v>
      </c>
      <c r="DV93" s="316">
        <f t="shared" si="332"/>
        <v>127.7002032669658</v>
      </c>
      <c r="DW93" s="310">
        <f t="shared" si="338"/>
        <v>3.9858981190178806</v>
      </c>
      <c r="FB93" s="307"/>
      <c r="FC93" s="307"/>
      <c r="FF93" s="307"/>
      <c r="FG93" s="307"/>
      <c r="FH93" s="306"/>
      <c r="FJ93" s="307"/>
      <c r="FK93" s="307"/>
      <c r="FL93" s="306"/>
      <c r="FM93" s="307"/>
      <c r="FN93" s="306"/>
      <c r="FO93" s="307"/>
      <c r="FP93" s="306"/>
    </row>
    <row r="94" spans="29:172">
      <c r="AC94" s="156"/>
      <c r="AG94" s="188">
        <v>69</v>
      </c>
      <c r="AH94" s="183">
        <v>165</v>
      </c>
      <c r="AI94" s="190">
        <v>433</v>
      </c>
      <c r="AJ94" s="185">
        <v>69</v>
      </c>
      <c r="AK94" s="183">
        <f t="shared" si="344"/>
        <v>433</v>
      </c>
      <c r="AM94" s="188">
        <v>69</v>
      </c>
      <c r="AN94" s="183">
        <v>530</v>
      </c>
      <c r="AO94" s="182">
        <v>5.8299999999999998E-2</v>
      </c>
      <c r="AP94" s="185">
        <v>69</v>
      </c>
      <c r="AQ94" s="184">
        <f t="shared" si="345"/>
        <v>5.8299999999999998E-2</v>
      </c>
      <c r="AR94" s="190">
        <v>433</v>
      </c>
      <c r="AS94" s="185">
        <v>69</v>
      </c>
      <c r="AT94" s="183">
        <f t="shared" si="346"/>
        <v>433</v>
      </c>
      <c r="AV94" s="188">
        <v>69</v>
      </c>
      <c r="AW94" s="183">
        <v>530</v>
      </c>
      <c r="AX94" s="182">
        <v>5.8299999999999998E-2</v>
      </c>
      <c r="AY94" s="185">
        <v>69</v>
      </c>
      <c r="AZ94" s="184">
        <f t="shared" si="347"/>
        <v>5.8299999999999998E-2</v>
      </c>
      <c r="BA94" s="190">
        <v>433</v>
      </c>
      <c r="BB94" s="185">
        <v>69</v>
      </c>
      <c r="BC94" s="183">
        <f t="shared" si="348"/>
        <v>433</v>
      </c>
      <c r="BE94" s="188">
        <v>69</v>
      </c>
      <c r="BF94" s="183">
        <v>530</v>
      </c>
      <c r="BG94" s="182">
        <v>5.8299999999999998E-2</v>
      </c>
      <c r="BH94" s="185">
        <v>69</v>
      </c>
      <c r="BI94" s="184">
        <f t="shared" si="349"/>
        <v>5.8299999999999998E-2</v>
      </c>
      <c r="BJ94" s="154"/>
      <c r="BK94" s="533">
        <v>69</v>
      </c>
      <c r="BL94" s="183">
        <f t="shared" si="350"/>
        <v>530</v>
      </c>
      <c r="BM94" s="155">
        <v>530</v>
      </c>
      <c r="CW94" s="364"/>
      <c r="CX94" s="309"/>
      <c r="CY94" s="313"/>
      <c r="DA94" s="309">
        <v>93</v>
      </c>
      <c r="DB94" s="313">
        <f t="shared" si="340"/>
        <v>233.84923178675683</v>
      </c>
      <c r="DC94" s="309">
        <f t="shared" si="341"/>
        <v>1</v>
      </c>
      <c r="DD94" s="309">
        <f t="shared" si="342"/>
        <v>260</v>
      </c>
      <c r="DE94" s="308">
        <f t="shared" si="343"/>
        <v>6.5000000000000002E-2</v>
      </c>
      <c r="DF94" s="313">
        <f t="shared" si="329"/>
        <v>93</v>
      </c>
      <c r="DG94" s="313">
        <f t="shared" si="318"/>
        <v>233.84923178675683</v>
      </c>
      <c r="DH94" s="313">
        <f t="shared" si="319"/>
        <v>233.84923178675683</v>
      </c>
      <c r="DI94" s="313">
        <f t="shared" si="320"/>
        <v>0</v>
      </c>
      <c r="DJ94" s="313">
        <f t="shared" si="321"/>
        <v>0</v>
      </c>
      <c r="DK94" s="313">
        <f t="shared" si="330"/>
        <v>20190.913893977569</v>
      </c>
      <c r="DL94" s="313">
        <f t="shared" si="322"/>
        <v>130867.45260743093</v>
      </c>
      <c r="DM94" s="314">
        <f t="shared" si="333"/>
        <v>15.342638869317037</v>
      </c>
      <c r="DN94" s="312">
        <f t="shared" si="334"/>
        <v>0.16497461149803266</v>
      </c>
      <c r="DO94" s="312">
        <f t="shared" si="331"/>
        <v>0.89942012225675705</v>
      </c>
      <c r="DP94" s="315">
        <f t="shared" si="335"/>
        <v>6.2965424628740538E-2</v>
      </c>
      <c r="DQ94" s="316">
        <f t="shared" si="325"/>
        <v>0.26925649551056746</v>
      </c>
      <c r="DR94" s="316">
        <f t="shared" si="326"/>
        <v>26.409357991084001</v>
      </c>
      <c r="DS94" s="314">
        <f t="shared" si="327"/>
        <v>3.5214790163167731</v>
      </c>
      <c r="DT94" s="316">
        <f t="shared" si="336"/>
        <v>26.409357991084001</v>
      </c>
      <c r="DU94" s="314">
        <f t="shared" si="337"/>
        <v>3.5214790163167731</v>
      </c>
      <c r="DV94" s="316">
        <f t="shared" si="332"/>
        <v>127.43065302736908</v>
      </c>
      <c r="DW94" s="310">
        <f t="shared" si="338"/>
        <v>3.9864819643582434</v>
      </c>
      <c r="FB94" s="307"/>
      <c r="FC94" s="307"/>
      <c r="FF94" s="307"/>
      <c r="FG94" s="307"/>
      <c r="FH94" s="306"/>
      <c r="FJ94" s="307"/>
      <c r="FK94" s="307"/>
      <c r="FL94" s="306"/>
      <c r="FM94" s="307"/>
      <c r="FN94" s="306"/>
      <c r="FO94" s="307"/>
      <c r="FP94" s="306"/>
    </row>
    <row r="95" spans="29:172">
      <c r="AC95" s="156"/>
      <c r="AG95" s="188">
        <v>70</v>
      </c>
      <c r="AH95" s="183">
        <v>160</v>
      </c>
      <c r="AI95" s="190">
        <v>432</v>
      </c>
      <c r="AJ95" s="185">
        <v>70</v>
      </c>
      <c r="AK95" s="183">
        <f t="shared" si="344"/>
        <v>432</v>
      </c>
      <c r="AM95" s="188">
        <v>70</v>
      </c>
      <c r="AN95" s="183">
        <v>520</v>
      </c>
      <c r="AO95" s="182">
        <v>5.8200000000000002E-2</v>
      </c>
      <c r="AP95" s="185">
        <v>70</v>
      </c>
      <c r="AQ95" s="184">
        <f t="shared" si="345"/>
        <v>5.8200000000000002E-2</v>
      </c>
      <c r="AR95" s="190">
        <v>432</v>
      </c>
      <c r="AS95" s="185">
        <v>70</v>
      </c>
      <c r="AT95" s="183">
        <f t="shared" si="346"/>
        <v>432</v>
      </c>
      <c r="AV95" s="188">
        <v>70</v>
      </c>
      <c r="AW95" s="183">
        <v>520</v>
      </c>
      <c r="AX95" s="182">
        <v>5.8200000000000002E-2</v>
      </c>
      <c r="AY95" s="185">
        <v>70</v>
      </c>
      <c r="AZ95" s="184">
        <f t="shared" si="347"/>
        <v>5.8200000000000002E-2</v>
      </c>
      <c r="BA95" s="190">
        <v>432</v>
      </c>
      <c r="BB95" s="185">
        <v>70</v>
      </c>
      <c r="BC95" s="183">
        <f t="shared" si="348"/>
        <v>432</v>
      </c>
      <c r="BE95" s="188">
        <v>70</v>
      </c>
      <c r="BF95" s="183">
        <v>520</v>
      </c>
      <c r="BG95" s="182">
        <v>5.8200000000000002E-2</v>
      </c>
      <c r="BH95" s="185">
        <v>70</v>
      </c>
      <c r="BI95" s="184">
        <f t="shared" si="349"/>
        <v>5.8200000000000002E-2</v>
      </c>
      <c r="BJ95" s="154"/>
      <c r="BK95" s="533">
        <v>70</v>
      </c>
      <c r="BL95" s="183">
        <f t="shared" si="350"/>
        <v>520</v>
      </c>
      <c r="BM95" s="155">
        <v>520</v>
      </c>
      <c r="CW95" s="364"/>
      <c r="CX95" s="309"/>
      <c r="CY95" s="313"/>
      <c r="DA95" s="309">
        <v>94</v>
      </c>
      <c r="DB95" s="313">
        <f t="shared" si="340"/>
        <v>234.21320202102302</v>
      </c>
      <c r="DC95" s="309">
        <f t="shared" si="341"/>
        <v>1</v>
      </c>
      <c r="DD95" s="309">
        <f t="shared" si="342"/>
        <v>260</v>
      </c>
      <c r="DE95" s="308">
        <f t="shared" si="343"/>
        <v>6.5000000000000002E-2</v>
      </c>
      <c r="DF95" s="313">
        <f t="shared" si="329"/>
        <v>94</v>
      </c>
      <c r="DG95" s="313">
        <f t="shared" si="318"/>
        <v>234.21320202102302</v>
      </c>
      <c r="DH95" s="313">
        <f t="shared" si="319"/>
        <v>234.21320202102302</v>
      </c>
      <c r="DI95" s="313">
        <f t="shared" si="320"/>
        <v>0</v>
      </c>
      <c r="DJ95" s="313">
        <f t="shared" si="321"/>
        <v>0</v>
      </c>
      <c r="DK95" s="313">
        <f t="shared" si="330"/>
        <v>20425.127095998592</v>
      </c>
      <c r="DL95" s="313">
        <f t="shared" si="322"/>
        <v>130633.60337564416</v>
      </c>
      <c r="DM95" s="314">
        <f t="shared" si="333"/>
        <v>15.441818861543872</v>
      </c>
      <c r="DN95" s="312">
        <f t="shared" si="334"/>
        <v>0.16427466873982843</v>
      </c>
      <c r="DO95" s="312">
        <f t="shared" si="331"/>
        <v>0.90082000777316551</v>
      </c>
      <c r="DP95" s="315">
        <f t="shared" si="335"/>
        <v>6.2994809031878624E-2</v>
      </c>
      <c r="DQ95" s="316">
        <f t="shared" si="325"/>
        <v>0.26896352762481851</v>
      </c>
      <c r="DR95" s="316">
        <f t="shared" si="326"/>
        <v>26.67832151870882</v>
      </c>
      <c r="DS95" s="314">
        <f t="shared" si="327"/>
        <v>3.5234600472927138</v>
      </c>
      <c r="DT95" s="316">
        <f t="shared" si="336"/>
        <v>26.67832151870882</v>
      </c>
      <c r="DU95" s="314">
        <f t="shared" si="337"/>
        <v>3.5234600472927138</v>
      </c>
      <c r="DV95" s="316">
        <f t="shared" si="332"/>
        <v>127.16139653185851</v>
      </c>
      <c r="DW95" s="310">
        <f t="shared" si="338"/>
        <v>3.9870590747481938</v>
      </c>
      <c r="FB95" s="307"/>
      <c r="FC95" s="307"/>
      <c r="FF95" s="307"/>
      <c r="FG95" s="307"/>
      <c r="FH95" s="306"/>
      <c r="FJ95" s="307"/>
      <c r="FK95" s="307"/>
      <c r="FL95" s="306"/>
      <c r="FM95" s="307"/>
      <c r="FN95" s="306"/>
      <c r="FO95" s="307"/>
      <c r="FP95" s="306"/>
    </row>
    <row r="96" spans="29:172">
      <c r="AC96" s="156"/>
      <c r="AG96" s="188">
        <v>71</v>
      </c>
      <c r="AH96" s="183">
        <v>155</v>
      </c>
      <c r="AI96" s="190">
        <v>431</v>
      </c>
      <c r="AJ96" s="185">
        <v>71</v>
      </c>
      <c r="AK96" s="183">
        <f t="shared" si="344"/>
        <v>431</v>
      </c>
      <c r="AM96" s="188">
        <v>71</v>
      </c>
      <c r="AN96" s="183">
        <v>510</v>
      </c>
      <c r="AO96" s="182">
        <v>5.8099999999999999E-2</v>
      </c>
      <c r="AP96" s="185">
        <v>71</v>
      </c>
      <c r="AQ96" s="184">
        <f t="shared" si="345"/>
        <v>5.8099999999999999E-2</v>
      </c>
      <c r="AR96" s="190">
        <v>431</v>
      </c>
      <c r="AS96" s="185">
        <v>71</v>
      </c>
      <c r="AT96" s="183">
        <f t="shared" si="346"/>
        <v>431</v>
      </c>
      <c r="AV96" s="188">
        <v>71</v>
      </c>
      <c r="AW96" s="183">
        <v>510</v>
      </c>
      <c r="AX96" s="182">
        <v>5.8099999999999999E-2</v>
      </c>
      <c r="AY96" s="185">
        <v>71</v>
      </c>
      <c r="AZ96" s="184">
        <f t="shared" si="347"/>
        <v>5.8099999999999999E-2</v>
      </c>
      <c r="BA96" s="190">
        <v>431</v>
      </c>
      <c r="BB96" s="185">
        <v>71</v>
      </c>
      <c r="BC96" s="183">
        <f t="shared" si="348"/>
        <v>431</v>
      </c>
      <c r="BE96" s="188">
        <v>71</v>
      </c>
      <c r="BF96" s="183">
        <v>510</v>
      </c>
      <c r="BG96" s="182">
        <v>5.8099999999999999E-2</v>
      </c>
      <c r="BH96" s="185">
        <v>71</v>
      </c>
      <c r="BI96" s="184">
        <f t="shared" si="349"/>
        <v>5.8099999999999999E-2</v>
      </c>
      <c r="BJ96" s="154"/>
      <c r="BK96" s="533">
        <v>71</v>
      </c>
      <c r="BL96" s="183">
        <f t="shared" si="350"/>
        <v>510</v>
      </c>
      <c r="BM96" s="155">
        <v>510</v>
      </c>
      <c r="CW96" s="364"/>
      <c r="CX96" s="309"/>
      <c r="CY96" s="313"/>
      <c r="DA96" s="309">
        <v>95</v>
      </c>
      <c r="DB96" s="313">
        <f t="shared" si="340"/>
        <v>234.57717225528921</v>
      </c>
      <c r="DC96" s="309">
        <f t="shared" si="341"/>
        <v>1</v>
      </c>
      <c r="DD96" s="309">
        <f t="shared" si="342"/>
        <v>260</v>
      </c>
      <c r="DE96" s="308">
        <f t="shared" si="343"/>
        <v>6.5000000000000002E-2</v>
      </c>
      <c r="DF96" s="313">
        <f t="shared" si="329"/>
        <v>95</v>
      </c>
      <c r="DG96" s="313">
        <f t="shared" si="318"/>
        <v>234.57717225528921</v>
      </c>
      <c r="DH96" s="313">
        <f t="shared" si="319"/>
        <v>234.57717225528921</v>
      </c>
      <c r="DI96" s="313">
        <f t="shared" si="320"/>
        <v>0</v>
      </c>
      <c r="DJ96" s="313">
        <f t="shared" si="321"/>
        <v>0</v>
      </c>
      <c r="DK96" s="313">
        <f t="shared" si="330"/>
        <v>20659.704268253881</v>
      </c>
      <c r="DL96" s="313">
        <f t="shared" si="322"/>
        <v>130399.39017362313</v>
      </c>
      <c r="DM96" s="314">
        <f t="shared" si="333"/>
        <v>15.539598968254298</v>
      </c>
      <c r="DN96" s="312">
        <f t="shared" si="334"/>
        <v>0.16357472598162417</v>
      </c>
      <c r="DO96" s="312">
        <f t="shared" si="331"/>
        <v>0.90221989328957386</v>
      </c>
      <c r="DP96" s="315">
        <f t="shared" si="335"/>
        <v>6.302416148776871E-2</v>
      </c>
      <c r="DQ96" s="316">
        <f t="shared" si="325"/>
        <v>0.26867133268696675</v>
      </c>
      <c r="DR96" s="316">
        <f t="shared" si="326"/>
        <v>26.946992851395787</v>
      </c>
      <c r="DS96" s="314">
        <f t="shared" si="327"/>
        <v>3.5254397596011993</v>
      </c>
      <c r="DT96" s="316">
        <f t="shared" si="336"/>
        <v>26.946992851395787</v>
      </c>
      <c r="DU96" s="314">
        <f t="shared" si="337"/>
        <v>3.5254397596011993</v>
      </c>
      <c r="DV96" s="316">
        <f t="shared" si="332"/>
        <v>126.89243300423369</v>
      </c>
      <c r="DW96" s="310">
        <f t="shared" si="338"/>
        <v>3.9876294276989519</v>
      </c>
      <c r="FB96" s="307"/>
      <c r="FC96" s="307"/>
      <c r="FF96" s="307"/>
      <c r="FG96" s="307"/>
      <c r="FH96" s="306"/>
      <c r="FJ96" s="307"/>
      <c r="FK96" s="307"/>
      <c r="FL96" s="306"/>
      <c r="FM96" s="307"/>
      <c r="FN96" s="306"/>
      <c r="FO96" s="307"/>
      <c r="FP96" s="306"/>
    </row>
    <row r="97" spans="29:172">
      <c r="AC97" s="156"/>
      <c r="AG97" s="188">
        <v>72</v>
      </c>
      <c r="AH97" s="183">
        <v>150</v>
      </c>
      <c r="AI97" s="190">
        <v>430</v>
      </c>
      <c r="AJ97" s="185">
        <v>72</v>
      </c>
      <c r="AK97" s="183">
        <f t="shared" si="344"/>
        <v>430</v>
      </c>
      <c r="AM97" s="188">
        <v>72</v>
      </c>
      <c r="AN97" s="183">
        <v>500</v>
      </c>
      <c r="AO97" s="182">
        <v>5.8000000000000003E-2</v>
      </c>
      <c r="AP97" s="185">
        <v>72</v>
      </c>
      <c r="AQ97" s="184">
        <f t="shared" si="345"/>
        <v>5.8000000000000003E-2</v>
      </c>
      <c r="AR97" s="190">
        <v>430</v>
      </c>
      <c r="AS97" s="185">
        <v>72</v>
      </c>
      <c r="AT97" s="183">
        <f t="shared" si="346"/>
        <v>430</v>
      </c>
      <c r="AV97" s="188">
        <v>72</v>
      </c>
      <c r="AW97" s="183">
        <v>500</v>
      </c>
      <c r="AX97" s="182">
        <v>5.8000000000000003E-2</v>
      </c>
      <c r="AY97" s="185">
        <v>72</v>
      </c>
      <c r="AZ97" s="184">
        <f t="shared" si="347"/>
        <v>5.8000000000000003E-2</v>
      </c>
      <c r="BA97" s="190">
        <v>430</v>
      </c>
      <c r="BB97" s="185">
        <v>72</v>
      </c>
      <c r="BC97" s="183">
        <f t="shared" si="348"/>
        <v>430</v>
      </c>
      <c r="BE97" s="188">
        <v>72</v>
      </c>
      <c r="BF97" s="183">
        <v>500</v>
      </c>
      <c r="BG97" s="182">
        <v>5.8000000000000003E-2</v>
      </c>
      <c r="BH97" s="185">
        <v>72</v>
      </c>
      <c r="BI97" s="184">
        <f t="shared" si="349"/>
        <v>5.8000000000000003E-2</v>
      </c>
      <c r="BJ97" s="154"/>
      <c r="BK97" s="533">
        <v>72</v>
      </c>
      <c r="BL97" s="183">
        <f t="shared" si="350"/>
        <v>500</v>
      </c>
      <c r="BM97" s="155">
        <v>500</v>
      </c>
      <c r="CW97" s="364"/>
      <c r="CX97" s="309"/>
      <c r="CY97" s="313"/>
      <c r="DA97" s="309">
        <v>96</v>
      </c>
      <c r="DB97" s="313">
        <f t="shared" si="340"/>
        <v>234.94114248955543</v>
      </c>
      <c r="DC97" s="309">
        <f t="shared" si="341"/>
        <v>1</v>
      </c>
      <c r="DD97" s="309">
        <f t="shared" si="342"/>
        <v>260</v>
      </c>
      <c r="DE97" s="308">
        <f t="shared" si="343"/>
        <v>6.5000000000000002E-2</v>
      </c>
      <c r="DF97" s="313">
        <f t="shared" si="329"/>
        <v>96</v>
      </c>
      <c r="DG97" s="313">
        <f t="shared" si="318"/>
        <v>234.94114248955543</v>
      </c>
      <c r="DH97" s="313">
        <f t="shared" si="319"/>
        <v>234.94114248955543</v>
      </c>
      <c r="DI97" s="313">
        <f t="shared" si="320"/>
        <v>0</v>
      </c>
      <c r="DJ97" s="313">
        <f t="shared" si="321"/>
        <v>0</v>
      </c>
      <c r="DK97" s="313">
        <f t="shared" si="330"/>
        <v>20894.645410743437</v>
      </c>
      <c r="DL97" s="313">
        <f t="shared" si="322"/>
        <v>130164.81300136785</v>
      </c>
      <c r="DM97" s="314">
        <f t="shared" si="333"/>
        <v>15.635979189448316</v>
      </c>
      <c r="DN97" s="312">
        <f t="shared" si="334"/>
        <v>0.16287478322341994</v>
      </c>
      <c r="DO97" s="312">
        <f t="shared" si="331"/>
        <v>0.90361977880598243</v>
      </c>
      <c r="DP97" s="315">
        <f t="shared" si="335"/>
        <v>6.3053482080633105E-2</v>
      </c>
      <c r="DQ97" s="316">
        <f t="shared" si="325"/>
        <v>0.26837990746314777</v>
      </c>
      <c r="DR97" s="316">
        <f t="shared" si="326"/>
        <v>27.215372758858937</v>
      </c>
      <c r="DS97" s="314">
        <f t="shared" si="327"/>
        <v>3.527418156297375</v>
      </c>
      <c r="DT97" s="316">
        <f t="shared" si="336"/>
        <v>27.215372758858937</v>
      </c>
      <c r="DU97" s="314">
        <f t="shared" si="337"/>
        <v>3.527418156297375</v>
      </c>
      <c r="DV97" s="316">
        <f t="shared" si="332"/>
        <v>126.62376167154673</v>
      </c>
      <c r="DW97" s="310">
        <f t="shared" si="338"/>
        <v>3.9881930005359898</v>
      </c>
      <c r="FB97" s="307"/>
      <c r="FC97" s="307"/>
      <c r="FF97" s="307"/>
      <c r="FG97" s="307"/>
      <c r="FH97" s="306"/>
      <c r="FJ97" s="307"/>
      <c r="FK97" s="307"/>
      <c r="FL97" s="306"/>
      <c r="FM97" s="307"/>
      <c r="FN97" s="306"/>
      <c r="FO97" s="307"/>
      <c r="FP97" s="306"/>
    </row>
    <row r="98" spans="29:172">
      <c r="AC98" s="156"/>
      <c r="AG98" s="188">
        <v>73</v>
      </c>
      <c r="AH98" s="183">
        <v>145</v>
      </c>
      <c r="AI98" s="190">
        <v>429</v>
      </c>
      <c r="AJ98" s="185">
        <v>73</v>
      </c>
      <c r="AK98" s="183">
        <f t="shared" si="344"/>
        <v>429</v>
      </c>
      <c r="AM98" s="188">
        <v>73</v>
      </c>
      <c r="AN98" s="183">
        <v>490</v>
      </c>
      <c r="AO98" s="182">
        <v>5.79E-2</v>
      </c>
      <c r="AP98" s="185">
        <v>73</v>
      </c>
      <c r="AQ98" s="184">
        <f t="shared" si="345"/>
        <v>5.79E-2</v>
      </c>
      <c r="AR98" s="190">
        <v>429</v>
      </c>
      <c r="AS98" s="185">
        <v>73</v>
      </c>
      <c r="AT98" s="183">
        <f t="shared" si="346"/>
        <v>429</v>
      </c>
      <c r="AV98" s="188">
        <v>73</v>
      </c>
      <c r="AW98" s="183">
        <v>490</v>
      </c>
      <c r="AX98" s="182">
        <v>5.79E-2</v>
      </c>
      <c r="AY98" s="185">
        <v>73</v>
      </c>
      <c r="AZ98" s="184">
        <f t="shared" si="347"/>
        <v>5.79E-2</v>
      </c>
      <c r="BA98" s="190">
        <v>429</v>
      </c>
      <c r="BB98" s="185">
        <v>73</v>
      </c>
      <c r="BC98" s="183">
        <f t="shared" si="348"/>
        <v>429</v>
      </c>
      <c r="BE98" s="188">
        <v>73</v>
      </c>
      <c r="BF98" s="183">
        <v>490</v>
      </c>
      <c r="BG98" s="182">
        <v>5.79E-2</v>
      </c>
      <c r="BH98" s="185">
        <v>73</v>
      </c>
      <c r="BI98" s="184">
        <f t="shared" si="349"/>
        <v>5.79E-2</v>
      </c>
      <c r="BJ98" s="154"/>
      <c r="BK98" s="533">
        <v>73</v>
      </c>
      <c r="BL98" s="183">
        <f t="shared" si="350"/>
        <v>490</v>
      </c>
      <c r="BM98" s="155">
        <v>490</v>
      </c>
      <c r="CW98" s="364"/>
      <c r="CX98" s="309"/>
      <c r="CY98" s="313"/>
      <c r="DA98" s="309">
        <v>97</v>
      </c>
      <c r="DB98" s="313">
        <f t="shared" si="340"/>
        <v>235.30511272382162</v>
      </c>
      <c r="DC98" s="309">
        <f t="shared" si="341"/>
        <v>1</v>
      </c>
      <c r="DD98" s="309">
        <f t="shared" si="342"/>
        <v>260</v>
      </c>
      <c r="DE98" s="308">
        <f t="shared" si="343"/>
        <v>6.5000000000000002E-2</v>
      </c>
      <c r="DF98" s="313">
        <f t="shared" si="329"/>
        <v>97</v>
      </c>
      <c r="DG98" s="313">
        <f t="shared" si="318"/>
        <v>235.30511272382162</v>
      </c>
      <c r="DH98" s="313">
        <f t="shared" si="319"/>
        <v>235.30511272382162</v>
      </c>
      <c r="DI98" s="313">
        <f t="shared" si="320"/>
        <v>0</v>
      </c>
      <c r="DJ98" s="313">
        <f t="shared" si="321"/>
        <v>0</v>
      </c>
      <c r="DK98" s="313">
        <f t="shared" si="330"/>
        <v>21129.950523467258</v>
      </c>
      <c r="DL98" s="313">
        <f t="shared" si="322"/>
        <v>129929.87185887829</v>
      </c>
      <c r="DM98" s="314">
        <f t="shared" si="333"/>
        <v>15.730959525125925</v>
      </c>
      <c r="DN98" s="312">
        <f t="shared" si="334"/>
        <v>0.16217484046521571</v>
      </c>
      <c r="DO98" s="312">
        <f t="shared" si="331"/>
        <v>0.90501966432239089</v>
      </c>
      <c r="DP98" s="315">
        <f t="shared" si="335"/>
        <v>6.3082770894341986E-2</v>
      </c>
      <c r="DQ98" s="316">
        <f t="shared" si="325"/>
        <v>0.26808924873800954</v>
      </c>
      <c r="DR98" s="316">
        <f t="shared" si="326"/>
        <v>27.483462007596948</v>
      </c>
      <c r="DS98" s="314">
        <f t="shared" si="327"/>
        <v>3.529395240424491</v>
      </c>
      <c r="DT98" s="316">
        <f t="shared" si="336"/>
        <v>27.483462007596948</v>
      </c>
      <c r="DU98" s="314">
        <f t="shared" si="337"/>
        <v>3.529395240424491</v>
      </c>
      <c r="DV98" s="316">
        <f t="shared" si="332"/>
        <v>126.35538176408359</v>
      </c>
      <c r="DW98" s="310">
        <f t="shared" si="338"/>
        <v>3.9887497703976829</v>
      </c>
      <c r="FB98" s="307"/>
      <c r="FC98" s="307"/>
      <c r="FF98" s="307"/>
      <c r="FG98" s="307"/>
      <c r="FH98" s="306"/>
      <c r="FJ98" s="307"/>
      <c r="FK98" s="307"/>
      <c r="FL98" s="306"/>
      <c r="FM98" s="307"/>
      <c r="FN98" s="306"/>
      <c r="FO98" s="307"/>
      <c r="FP98" s="306"/>
    </row>
    <row r="99" spans="29:172">
      <c r="AC99" s="156"/>
      <c r="AG99" s="188">
        <v>74</v>
      </c>
      <c r="AH99" s="183">
        <v>140</v>
      </c>
      <c r="AI99" s="190">
        <v>428</v>
      </c>
      <c r="AJ99" s="185">
        <v>74</v>
      </c>
      <c r="AK99" s="183">
        <f t="shared" si="344"/>
        <v>428</v>
      </c>
      <c r="AM99" s="188">
        <v>74</v>
      </c>
      <c r="AN99" s="183">
        <v>480</v>
      </c>
      <c r="AO99" s="182">
        <v>5.7799999999999997E-2</v>
      </c>
      <c r="AP99" s="185">
        <v>74</v>
      </c>
      <c r="AQ99" s="184">
        <f t="shared" si="345"/>
        <v>5.7799999999999997E-2</v>
      </c>
      <c r="AR99" s="190">
        <v>428</v>
      </c>
      <c r="AS99" s="185">
        <v>74</v>
      </c>
      <c r="AT99" s="183">
        <f t="shared" si="346"/>
        <v>428</v>
      </c>
      <c r="AV99" s="188">
        <v>74</v>
      </c>
      <c r="AW99" s="183">
        <v>480</v>
      </c>
      <c r="AX99" s="182">
        <v>5.7799999999999997E-2</v>
      </c>
      <c r="AY99" s="185">
        <v>74</v>
      </c>
      <c r="AZ99" s="184">
        <f t="shared" si="347"/>
        <v>5.7799999999999997E-2</v>
      </c>
      <c r="BA99" s="190">
        <v>428</v>
      </c>
      <c r="BB99" s="185">
        <v>74</v>
      </c>
      <c r="BC99" s="183">
        <f t="shared" si="348"/>
        <v>428</v>
      </c>
      <c r="BE99" s="188">
        <v>74</v>
      </c>
      <c r="BF99" s="183">
        <v>480</v>
      </c>
      <c r="BG99" s="182">
        <v>5.7799999999999997E-2</v>
      </c>
      <c r="BH99" s="185">
        <v>74</v>
      </c>
      <c r="BI99" s="184">
        <f t="shared" si="349"/>
        <v>5.7799999999999997E-2</v>
      </c>
      <c r="BJ99" s="154"/>
      <c r="BK99" s="533">
        <v>74</v>
      </c>
      <c r="BL99" s="183">
        <f t="shared" si="350"/>
        <v>480</v>
      </c>
      <c r="BM99" s="155">
        <v>480</v>
      </c>
      <c r="CW99" s="364"/>
      <c r="CX99" s="309"/>
      <c r="CY99" s="313"/>
      <c r="DA99" s="309">
        <v>98</v>
      </c>
      <c r="DB99" s="313">
        <f t="shared" si="340"/>
        <v>235.66908295808781</v>
      </c>
      <c r="DC99" s="309">
        <f t="shared" si="341"/>
        <v>1</v>
      </c>
      <c r="DD99" s="309">
        <f t="shared" si="342"/>
        <v>260</v>
      </c>
      <c r="DE99" s="308">
        <f t="shared" si="343"/>
        <v>6.5000000000000002E-2</v>
      </c>
      <c r="DF99" s="313">
        <f t="shared" si="329"/>
        <v>98</v>
      </c>
      <c r="DG99" s="313">
        <f t="shared" si="318"/>
        <v>235.66908295808781</v>
      </c>
      <c r="DH99" s="313">
        <f t="shared" si="319"/>
        <v>235.66908295808781</v>
      </c>
      <c r="DI99" s="313">
        <f t="shared" si="320"/>
        <v>0</v>
      </c>
      <c r="DJ99" s="313">
        <f t="shared" si="321"/>
        <v>0</v>
      </c>
      <c r="DK99" s="313">
        <f t="shared" si="330"/>
        <v>21365.619606425345</v>
      </c>
      <c r="DL99" s="313">
        <f t="shared" si="322"/>
        <v>129694.56674615447</v>
      </c>
      <c r="DM99" s="314">
        <f t="shared" si="333"/>
        <v>15.824539975287125</v>
      </c>
      <c r="DN99" s="312">
        <f t="shared" si="334"/>
        <v>0.16147489770701148</v>
      </c>
      <c r="DO99" s="312">
        <f t="shared" si="331"/>
        <v>0.90641954983879924</v>
      </c>
      <c r="DP99" s="315">
        <f t="shared" si="335"/>
        <v>6.3112028012415444E-2</v>
      </c>
      <c r="DQ99" s="316">
        <f t="shared" si="325"/>
        <v>0.26779935331457755</v>
      </c>
      <c r="DR99" s="316">
        <f t="shared" si="326"/>
        <v>27.751261360911524</v>
      </c>
      <c r="DS99" s="314">
        <f t="shared" si="327"/>
        <v>3.5313710150139666</v>
      </c>
      <c r="DT99" s="316">
        <f t="shared" si="336"/>
        <v>27.751261360911524</v>
      </c>
      <c r="DU99" s="314">
        <f t="shared" si="337"/>
        <v>3.5313710150139666</v>
      </c>
      <c r="DV99" s="316">
        <f t="shared" si="332"/>
        <v>126.08729251534558</v>
      </c>
      <c r="DW99" s="310">
        <f t="shared" si="338"/>
        <v>3.9892997142339452</v>
      </c>
      <c r="FB99" s="307"/>
      <c r="FC99" s="307"/>
      <c r="FF99" s="307"/>
      <c r="FG99" s="307"/>
      <c r="FH99" s="306"/>
      <c r="FJ99" s="307"/>
      <c r="FK99" s="307"/>
      <c r="FL99" s="306"/>
      <c r="FM99" s="307"/>
      <c r="FN99" s="306"/>
      <c r="FO99" s="307"/>
      <c r="FP99" s="306"/>
    </row>
    <row r="100" spans="29:172">
      <c r="AC100" s="156"/>
      <c r="AG100" s="188">
        <v>75</v>
      </c>
      <c r="AH100" s="183">
        <v>135</v>
      </c>
      <c r="AI100" s="190">
        <v>427</v>
      </c>
      <c r="AJ100" s="185">
        <v>75</v>
      </c>
      <c r="AK100" s="183">
        <f t="shared" si="344"/>
        <v>427</v>
      </c>
      <c r="AM100" s="188">
        <v>75</v>
      </c>
      <c r="AN100" s="183">
        <v>470</v>
      </c>
      <c r="AO100" s="182">
        <v>5.7700000000000001E-2</v>
      </c>
      <c r="AP100" s="185">
        <v>75</v>
      </c>
      <c r="AQ100" s="184">
        <f t="shared" si="345"/>
        <v>5.7700000000000001E-2</v>
      </c>
      <c r="AR100" s="190">
        <v>427</v>
      </c>
      <c r="AS100" s="185">
        <v>75</v>
      </c>
      <c r="AT100" s="183">
        <f t="shared" si="346"/>
        <v>427</v>
      </c>
      <c r="AV100" s="188">
        <v>75</v>
      </c>
      <c r="AW100" s="183">
        <v>470</v>
      </c>
      <c r="AX100" s="182">
        <v>5.7700000000000001E-2</v>
      </c>
      <c r="AY100" s="185">
        <v>75</v>
      </c>
      <c r="AZ100" s="184">
        <f t="shared" si="347"/>
        <v>5.7700000000000001E-2</v>
      </c>
      <c r="BA100" s="190">
        <v>427</v>
      </c>
      <c r="BB100" s="185">
        <v>75</v>
      </c>
      <c r="BC100" s="183">
        <f t="shared" si="348"/>
        <v>427</v>
      </c>
      <c r="BE100" s="188">
        <v>75</v>
      </c>
      <c r="BF100" s="183">
        <v>470</v>
      </c>
      <c r="BG100" s="182">
        <v>5.7700000000000001E-2</v>
      </c>
      <c r="BH100" s="185">
        <v>75</v>
      </c>
      <c r="BI100" s="184">
        <f t="shared" si="349"/>
        <v>5.7700000000000001E-2</v>
      </c>
      <c r="BJ100" s="154"/>
      <c r="BK100" s="533">
        <v>75</v>
      </c>
      <c r="BL100" s="183">
        <f t="shared" si="350"/>
        <v>470</v>
      </c>
      <c r="BM100" s="155">
        <v>470</v>
      </c>
      <c r="CW100" s="364"/>
      <c r="CX100" s="309"/>
      <c r="CY100" s="313"/>
      <c r="DA100" s="309">
        <v>99</v>
      </c>
      <c r="DB100" s="313">
        <f t="shared" si="340"/>
        <v>236.03305319235403</v>
      </c>
      <c r="DC100" s="309">
        <f t="shared" si="341"/>
        <v>1</v>
      </c>
      <c r="DD100" s="309">
        <f t="shared" si="342"/>
        <v>260</v>
      </c>
      <c r="DE100" s="308">
        <f t="shared" si="343"/>
        <v>6.5000000000000002E-2</v>
      </c>
      <c r="DF100" s="313">
        <f t="shared" si="329"/>
        <v>99</v>
      </c>
      <c r="DG100" s="313">
        <f t="shared" si="318"/>
        <v>236.03305319235403</v>
      </c>
      <c r="DH100" s="313">
        <f t="shared" si="319"/>
        <v>236.03305319235403</v>
      </c>
      <c r="DI100" s="313">
        <f t="shared" si="320"/>
        <v>0</v>
      </c>
      <c r="DJ100" s="313">
        <f t="shared" si="321"/>
        <v>0</v>
      </c>
      <c r="DK100" s="313">
        <f t="shared" si="330"/>
        <v>21601.652659617699</v>
      </c>
      <c r="DL100" s="313">
        <f t="shared" si="322"/>
        <v>129458.89766319637</v>
      </c>
      <c r="DM100" s="314">
        <f t="shared" si="333"/>
        <v>15.916720539931918</v>
      </c>
      <c r="DN100" s="312">
        <f t="shared" si="334"/>
        <v>0.16077495494880725</v>
      </c>
      <c r="DO100" s="312">
        <f t="shared" si="331"/>
        <v>0.90781943535520782</v>
      </c>
      <c r="DP100" s="315">
        <f t="shared" si="335"/>
        <v>6.314125351802552E-2</v>
      </c>
      <c r="DQ100" s="316">
        <f t="shared" si="325"/>
        <v>0.26751021801412217</v>
      </c>
      <c r="DR100" s="316">
        <f t="shared" si="326"/>
        <v>28.018771578925648</v>
      </c>
      <c r="DS100" s="314">
        <f t="shared" si="327"/>
        <v>3.5333454830854527</v>
      </c>
      <c r="DT100" s="316">
        <f t="shared" si="336"/>
        <v>28.018771578925648</v>
      </c>
      <c r="DU100" s="314">
        <f t="shared" si="337"/>
        <v>3.5333454830854527</v>
      </c>
      <c r="DV100" s="316">
        <f t="shared" si="332"/>
        <v>125.81949316203101</v>
      </c>
      <c r="DW100" s="310">
        <f t="shared" si="338"/>
        <v>3.9898428088048465</v>
      </c>
      <c r="FB100" s="307"/>
      <c r="FC100" s="307"/>
      <c r="FF100" s="307"/>
      <c r="FG100" s="307"/>
      <c r="FH100" s="306"/>
      <c r="FJ100" s="307"/>
      <c r="FK100" s="307"/>
      <c r="FL100" s="306"/>
      <c r="FM100" s="307"/>
      <c r="FN100" s="306"/>
      <c r="FO100" s="307"/>
      <c r="FP100" s="306"/>
    </row>
    <row r="101" spans="29:172">
      <c r="AC101" s="156"/>
      <c r="AG101" s="188">
        <v>76</v>
      </c>
      <c r="AH101" s="183">
        <v>130</v>
      </c>
      <c r="AI101" s="190">
        <v>426</v>
      </c>
      <c r="AJ101" s="185">
        <v>76</v>
      </c>
      <c r="AK101" s="183">
        <f t="shared" si="344"/>
        <v>426</v>
      </c>
      <c r="AM101" s="188">
        <v>76</v>
      </c>
      <c r="AN101" s="183">
        <v>460</v>
      </c>
      <c r="AO101" s="182">
        <v>5.7599999999999998E-2</v>
      </c>
      <c r="AP101" s="185">
        <v>76</v>
      </c>
      <c r="AQ101" s="184">
        <f t="shared" si="345"/>
        <v>5.7599999999999998E-2</v>
      </c>
      <c r="AR101" s="190">
        <v>426</v>
      </c>
      <c r="AS101" s="185">
        <v>76</v>
      </c>
      <c r="AT101" s="183">
        <f t="shared" si="346"/>
        <v>426</v>
      </c>
      <c r="AV101" s="188">
        <v>76</v>
      </c>
      <c r="AW101" s="183">
        <v>460</v>
      </c>
      <c r="AX101" s="182">
        <v>5.7599999999999998E-2</v>
      </c>
      <c r="AY101" s="185">
        <v>76</v>
      </c>
      <c r="AZ101" s="184">
        <f t="shared" si="347"/>
        <v>5.7599999999999998E-2</v>
      </c>
      <c r="BA101" s="190">
        <v>426</v>
      </c>
      <c r="BB101" s="185">
        <v>76</v>
      </c>
      <c r="BC101" s="183">
        <f t="shared" si="348"/>
        <v>426</v>
      </c>
      <c r="BE101" s="188">
        <v>76</v>
      </c>
      <c r="BF101" s="183">
        <v>460</v>
      </c>
      <c r="BG101" s="182">
        <v>5.7599999999999998E-2</v>
      </c>
      <c r="BH101" s="185">
        <v>76</v>
      </c>
      <c r="BI101" s="184">
        <f t="shared" si="349"/>
        <v>5.7599999999999998E-2</v>
      </c>
      <c r="BJ101" s="154"/>
      <c r="BK101" s="533">
        <v>76</v>
      </c>
      <c r="BL101" s="183">
        <f t="shared" si="350"/>
        <v>460</v>
      </c>
      <c r="BM101" s="155">
        <v>460</v>
      </c>
      <c r="CW101" s="364"/>
      <c r="CX101" s="309"/>
      <c r="CY101" s="313"/>
      <c r="DA101" s="309">
        <v>100</v>
      </c>
      <c r="DB101" s="313">
        <f t="shared" si="340"/>
        <v>236.39702342662025</v>
      </c>
      <c r="DC101" s="309">
        <f t="shared" si="341"/>
        <v>1</v>
      </c>
      <c r="DD101" s="309">
        <f t="shared" si="342"/>
        <v>260</v>
      </c>
      <c r="DE101" s="308">
        <f t="shared" si="343"/>
        <v>6.5000000000000002E-2</v>
      </c>
      <c r="DF101" s="313">
        <f t="shared" si="329"/>
        <v>100</v>
      </c>
      <c r="DG101" s="313">
        <f t="shared" si="318"/>
        <v>236.39702342662025</v>
      </c>
      <c r="DH101" s="313">
        <f t="shared" si="319"/>
        <v>236.39702342662025</v>
      </c>
      <c r="DI101" s="313">
        <f t="shared" si="320"/>
        <v>0</v>
      </c>
      <c r="DJ101" s="313">
        <f t="shared" si="321"/>
        <v>0</v>
      </c>
      <c r="DK101" s="313">
        <f t="shared" si="330"/>
        <v>21838.049683044319</v>
      </c>
      <c r="DL101" s="313">
        <f t="shared" si="322"/>
        <v>129222.86461000402</v>
      </c>
      <c r="DM101" s="314">
        <f t="shared" si="333"/>
        <v>16.007501219060302</v>
      </c>
      <c r="DN101" s="312">
        <f t="shared" si="334"/>
        <v>0.16007501219060302</v>
      </c>
      <c r="DO101" s="312">
        <f t="shared" si="331"/>
        <v>0.90921932087161639</v>
      </c>
      <c r="DP101" s="315">
        <f t="shared" si="335"/>
        <v>6.3170447493998125E-2</v>
      </c>
      <c r="DQ101" s="316">
        <f t="shared" si="325"/>
        <v>0.2672218396760262</v>
      </c>
      <c r="DR101" s="316">
        <f t="shared" si="326"/>
        <v>28.285993418601674</v>
      </c>
      <c r="DS101" s="314">
        <f t="shared" si="327"/>
        <v>3.5353186476469007</v>
      </c>
      <c r="DT101" s="316">
        <f t="shared" si="336"/>
        <v>28.285993418601674</v>
      </c>
      <c r="DU101" s="314">
        <f t="shared" si="337"/>
        <v>3.5353186476469007</v>
      </c>
      <c r="DV101" s="316">
        <f t="shared" si="332"/>
        <v>125.55198294401688</v>
      </c>
      <c r="DW101" s="310">
        <f t="shared" si="338"/>
        <v>3.9903790306792195</v>
      </c>
      <c r="FB101" s="307"/>
      <c r="FC101" s="307"/>
      <c r="FF101" s="307"/>
      <c r="FG101" s="307"/>
      <c r="FH101" s="306"/>
      <c r="FJ101" s="307"/>
      <c r="FK101" s="307"/>
      <c r="FL101" s="306"/>
      <c r="FM101" s="307"/>
      <c r="FN101" s="306"/>
      <c r="FO101" s="307"/>
      <c r="FP101" s="306"/>
    </row>
    <row r="102" spans="29:172">
      <c r="AC102" s="156"/>
      <c r="AG102" s="188">
        <v>77</v>
      </c>
      <c r="AH102" s="183">
        <v>125</v>
      </c>
      <c r="AI102" s="190">
        <v>425</v>
      </c>
      <c r="AJ102" s="185">
        <v>77</v>
      </c>
      <c r="AK102" s="183">
        <f t="shared" si="344"/>
        <v>425</v>
      </c>
      <c r="AM102" s="188">
        <v>77</v>
      </c>
      <c r="AN102" s="183">
        <v>450</v>
      </c>
      <c r="AO102" s="182">
        <v>5.7500000000000002E-2</v>
      </c>
      <c r="AP102" s="185">
        <v>77</v>
      </c>
      <c r="AQ102" s="184">
        <f t="shared" si="345"/>
        <v>5.7500000000000002E-2</v>
      </c>
      <c r="AR102" s="190">
        <v>425</v>
      </c>
      <c r="AS102" s="185">
        <v>77</v>
      </c>
      <c r="AT102" s="183">
        <f t="shared" si="346"/>
        <v>425</v>
      </c>
      <c r="AV102" s="188">
        <v>77</v>
      </c>
      <c r="AW102" s="183">
        <v>450</v>
      </c>
      <c r="AX102" s="182">
        <v>5.7500000000000002E-2</v>
      </c>
      <c r="AY102" s="185">
        <v>77</v>
      </c>
      <c r="AZ102" s="184">
        <f t="shared" si="347"/>
        <v>5.7500000000000002E-2</v>
      </c>
      <c r="BA102" s="190">
        <v>425</v>
      </c>
      <c r="BB102" s="185">
        <v>77</v>
      </c>
      <c r="BC102" s="183">
        <f t="shared" si="348"/>
        <v>425</v>
      </c>
      <c r="BE102" s="188">
        <v>77</v>
      </c>
      <c r="BF102" s="183">
        <v>450</v>
      </c>
      <c r="BG102" s="182">
        <v>5.7500000000000002E-2</v>
      </c>
      <c r="BH102" s="185">
        <v>77</v>
      </c>
      <c r="BI102" s="184">
        <f t="shared" si="349"/>
        <v>5.7500000000000002E-2</v>
      </c>
      <c r="BJ102" s="154"/>
      <c r="BK102" s="533">
        <v>77</v>
      </c>
      <c r="BL102" s="183">
        <f t="shared" si="350"/>
        <v>450</v>
      </c>
      <c r="BM102" s="155">
        <v>450</v>
      </c>
      <c r="CW102" s="364"/>
      <c r="CX102" s="309"/>
      <c r="CY102" s="313"/>
      <c r="DA102" s="309">
        <v>101</v>
      </c>
      <c r="DB102" s="313">
        <f t="shared" si="340"/>
        <v>236.76099366088644</v>
      </c>
      <c r="DC102" s="309">
        <f t="shared" si="341"/>
        <v>1</v>
      </c>
      <c r="DD102" s="309">
        <f t="shared" si="342"/>
        <v>260</v>
      </c>
      <c r="DE102" s="308">
        <f t="shared" si="343"/>
        <v>6.5000000000000002E-2</v>
      </c>
      <c r="DF102" s="313">
        <f t="shared" si="329"/>
        <v>101</v>
      </c>
      <c r="DG102" s="313">
        <f t="shared" si="318"/>
        <v>236.76099366088644</v>
      </c>
      <c r="DH102" s="313">
        <f t="shared" si="319"/>
        <v>236.76099366088644</v>
      </c>
      <c r="DI102" s="313">
        <f t="shared" si="320"/>
        <v>0</v>
      </c>
      <c r="DJ102" s="313">
        <f t="shared" si="321"/>
        <v>0</v>
      </c>
      <c r="DK102" s="313">
        <f t="shared" si="330"/>
        <v>22074.810676705205</v>
      </c>
      <c r="DL102" s="313">
        <f t="shared" si="322"/>
        <v>128986.4675865774</v>
      </c>
      <c r="DM102" s="314">
        <f t="shared" si="333"/>
        <v>16.096882012672278</v>
      </c>
      <c r="DN102" s="312">
        <f t="shared" si="334"/>
        <v>0.15937506943239879</v>
      </c>
      <c r="DO102" s="312">
        <f t="shared" si="331"/>
        <v>0.91061920638802474</v>
      </c>
      <c r="DP102" s="315">
        <f t="shared" si="335"/>
        <v>6.3199610022815045E-2</v>
      </c>
      <c r="DQ102" s="316">
        <f t="shared" si="325"/>
        <v>0.26693421515765414</v>
      </c>
      <c r="DR102" s="316">
        <f t="shared" si="326"/>
        <v>28.552927633759328</v>
      </c>
      <c r="DS102" s="314">
        <f t="shared" si="327"/>
        <v>3.5372905116946205</v>
      </c>
      <c r="DT102" s="316">
        <f t="shared" si="336"/>
        <v>28.552927633759328</v>
      </c>
      <c r="DU102" s="314">
        <f t="shared" si="337"/>
        <v>3.5372905116946205</v>
      </c>
      <c r="DV102" s="316">
        <f t="shared" si="332"/>
        <v>125.28476110434086</v>
      </c>
      <c r="DW102" s="310">
        <f t="shared" si="338"/>
        <v>3.990908356233247</v>
      </c>
      <c r="FB102" s="307"/>
      <c r="FC102" s="307"/>
      <c r="FF102" s="307"/>
      <c r="FG102" s="307"/>
      <c r="FH102" s="306"/>
      <c r="FJ102" s="307"/>
      <c r="FK102" s="307"/>
      <c r="FL102" s="306"/>
      <c r="FM102" s="307"/>
      <c r="FN102" s="306"/>
      <c r="FO102" s="307"/>
      <c r="FP102" s="306"/>
    </row>
    <row r="103" spans="29:172">
      <c r="AC103" s="156"/>
      <c r="AG103" s="188">
        <v>78</v>
      </c>
      <c r="AH103" s="183">
        <v>120</v>
      </c>
      <c r="AI103" s="190">
        <v>424</v>
      </c>
      <c r="AJ103" s="185">
        <v>78</v>
      </c>
      <c r="AK103" s="183">
        <f t="shared" si="344"/>
        <v>424</v>
      </c>
      <c r="AM103" s="188">
        <v>78</v>
      </c>
      <c r="AN103" s="183">
        <v>440</v>
      </c>
      <c r="AO103" s="182">
        <v>5.74E-2</v>
      </c>
      <c r="AP103" s="185">
        <v>78</v>
      </c>
      <c r="AQ103" s="184">
        <f t="shared" si="345"/>
        <v>5.74E-2</v>
      </c>
      <c r="AR103" s="190">
        <v>424</v>
      </c>
      <c r="AS103" s="185">
        <v>78</v>
      </c>
      <c r="AT103" s="183">
        <f t="shared" si="346"/>
        <v>424</v>
      </c>
      <c r="AV103" s="188">
        <v>78</v>
      </c>
      <c r="AW103" s="183">
        <v>440</v>
      </c>
      <c r="AX103" s="182">
        <v>5.74E-2</v>
      </c>
      <c r="AY103" s="185">
        <v>78</v>
      </c>
      <c r="AZ103" s="184">
        <f t="shared" si="347"/>
        <v>5.74E-2</v>
      </c>
      <c r="BA103" s="190">
        <v>424</v>
      </c>
      <c r="BB103" s="185">
        <v>78</v>
      </c>
      <c r="BC103" s="183">
        <f t="shared" si="348"/>
        <v>424</v>
      </c>
      <c r="BE103" s="188">
        <v>78</v>
      </c>
      <c r="BF103" s="183">
        <v>440</v>
      </c>
      <c r="BG103" s="182">
        <v>5.74E-2</v>
      </c>
      <c r="BH103" s="185">
        <v>78</v>
      </c>
      <c r="BI103" s="184">
        <f t="shared" si="349"/>
        <v>5.74E-2</v>
      </c>
      <c r="BJ103" s="154"/>
      <c r="BK103" s="533">
        <v>78</v>
      </c>
      <c r="BL103" s="183">
        <f t="shared" si="350"/>
        <v>440</v>
      </c>
      <c r="BM103" s="155">
        <v>440</v>
      </c>
      <c r="CW103" s="364"/>
      <c r="CX103" s="309"/>
      <c r="CY103" s="313"/>
      <c r="DA103" s="309">
        <v>102</v>
      </c>
      <c r="DB103" s="313">
        <f t="shared" si="340"/>
        <v>237.12496389515263</v>
      </c>
      <c r="DC103" s="309">
        <f t="shared" si="341"/>
        <v>1</v>
      </c>
      <c r="DD103" s="309">
        <f t="shared" si="342"/>
        <v>260</v>
      </c>
      <c r="DE103" s="308">
        <f t="shared" si="343"/>
        <v>6.5000000000000002E-2</v>
      </c>
      <c r="DF103" s="313">
        <f t="shared" si="329"/>
        <v>102</v>
      </c>
      <c r="DG103" s="313">
        <f t="shared" si="318"/>
        <v>237.12496389515263</v>
      </c>
      <c r="DH103" s="313">
        <f t="shared" si="319"/>
        <v>237.12496389515263</v>
      </c>
      <c r="DI103" s="313">
        <f t="shared" si="320"/>
        <v>0</v>
      </c>
      <c r="DJ103" s="313">
        <f t="shared" si="321"/>
        <v>0</v>
      </c>
      <c r="DK103" s="313">
        <f t="shared" si="330"/>
        <v>22311.935640600357</v>
      </c>
      <c r="DL103" s="313">
        <f t="shared" si="322"/>
        <v>128749.70659291651</v>
      </c>
      <c r="DM103" s="314">
        <f t="shared" si="333"/>
        <v>16.184862920767845</v>
      </c>
      <c r="DN103" s="312">
        <f t="shared" si="334"/>
        <v>0.15867512667419456</v>
      </c>
      <c r="DO103" s="312">
        <f t="shared" si="331"/>
        <v>0.9120190919044332</v>
      </c>
      <c r="DP103" s="315">
        <f t="shared" si="335"/>
        <v>6.3228741186615922E-2</v>
      </c>
      <c r="DQ103" s="316">
        <f t="shared" si="325"/>
        <v>0.26664734133422235</v>
      </c>
      <c r="DR103" s="316">
        <f t="shared" si="326"/>
        <v>28.819574975093552</v>
      </c>
      <c r="DS103" s="314">
        <f t="shared" si="327"/>
        <v>3.5392610782133471</v>
      </c>
      <c r="DT103" s="316">
        <f t="shared" si="336"/>
        <v>28.819574975093552</v>
      </c>
      <c r="DU103" s="314">
        <f t="shared" si="337"/>
        <v>3.5392610782133471</v>
      </c>
      <c r="DV103" s="316">
        <f t="shared" si="332"/>
        <v>125.01782688918321</v>
      </c>
      <c r="DW103" s="310">
        <f t="shared" si="338"/>
        <v>3.991430761649037</v>
      </c>
      <c r="FB103" s="307"/>
      <c r="FC103" s="307"/>
      <c r="FF103" s="307"/>
      <c r="FG103" s="307"/>
      <c r="FH103" s="306"/>
      <c r="FJ103" s="307"/>
      <c r="FK103" s="307"/>
      <c r="FL103" s="306"/>
      <c r="FM103" s="307"/>
      <c r="FN103" s="306"/>
      <c r="FO103" s="307"/>
      <c r="FP103" s="306"/>
    </row>
    <row r="104" spans="29:172">
      <c r="AC104" s="156"/>
      <c r="AG104" s="188">
        <v>79</v>
      </c>
      <c r="AH104" s="183">
        <v>115</v>
      </c>
      <c r="AI104" s="190">
        <v>423</v>
      </c>
      <c r="AJ104" s="185">
        <v>79</v>
      </c>
      <c r="AK104" s="183">
        <f t="shared" si="344"/>
        <v>423</v>
      </c>
      <c r="AM104" s="188">
        <v>79</v>
      </c>
      <c r="AN104" s="183">
        <v>430</v>
      </c>
      <c r="AO104" s="182">
        <v>5.7299999999999997E-2</v>
      </c>
      <c r="AP104" s="185">
        <v>79</v>
      </c>
      <c r="AQ104" s="184">
        <f t="shared" si="345"/>
        <v>5.7299999999999997E-2</v>
      </c>
      <c r="AR104" s="190">
        <v>423</v>
      </c>
      <c r="AS104" s="185">
        <v>79</v>
      </c>
      <c r="AT104" s="183">
        <f t="shared" si="346"/>
        <v>423</v>
      </c>
      <c r="AV104" s="188">
        <v>79</v>
      </c>
      <c r="AW104" s="183">
        <v>430</v>
      </c>
      <c r="AX104" s="182">
        <v>5.7299999999999997E-2</v>
      </c>
      <c r="AY104" s="185">
        <v>79</v>
      </c>
      <c r="AZ104" s="184">
        <f t="shared" si="347"/>
        <v>5.7299999999999997E-2</v>
      </c>
      <c r="BA104" s="190">
        <v>423</v>
      </c>
      <c r="BB104" s="185">
        <v>79</v>
      </c>
      <c r="BC104" s="183">
        <f t="shared" si="348"/>
        <v>423</v>
      </c>
      <c r="BE104" s="188">
        <v>79</v>
      </c>
      <c r="BF104" s="183">
        <v>430</v>
      </c>
      <c r="BG104" s="182">
        <v>5.7299999999999997E-2</v>
      </c>
      <c r="BH104" s="185">
        <v>79</v>
      </c>
      <c r="BI104" s="184">
        <f t="shared" si="349"/>
        <v>5.7299999999999997E-2</v>
      </c>
      <c r="BJ104" s="154"/>
      <c r="BK104" s="533">
        <v>79</v>
      </c>
      <c r="BL104" s="183">
        <f t="shared" si="350"/>
        <v>430</v>
      </c>
      <c r="BM104" s="155">
        <v>430</v>
      </c>
      <c r="CW104" s="364"/>
      <c r="CX104" s="309"/>
      <c r="CY104" s="313"/>
      <c r="DA104" s="309">
        <v>103</v>
      </c>
      <c r="DB104" s="313">
        <f t="shared" si="340"/>
        <v>237.48893412941885</v>
      </c>
      <c r="DC104" s="309">
        <f t="shared" si="341"/>
        <v>1</v>
      </c>
      <c r="DD104" s="309">
        <f t="shared" si="342"/>
        <v>260</v>
      </c>
      <c r="DE104" s="308">
        <f t="shared" si="343"/>
        <v>6.5000000000000002E-2</v>
      </c>
      <c r="DF104" s="313">
        <f t="shared" si="329"/>
        <v>103</v>
      </c>
      <c r="DG104" s="313">
        <f t="shared" si="318"/>
        <v>237.48893412941885</v>
      </c>
      <c r="DH104" s="313">
        <f t="shared" si="319"/>
        <v>237.48893412941885</v>
      </c>
      <c r="DI104" s="313">
        <f t="shared" si="320"/>
        <v>0</v>
      </c>
      <c r="DJ104" s="313">
        <f t="shared" si="321"/>
        <v>0</v>
      </c>
      <c r="DK104" s="313">
        <f t="shared" si="330"/>
        <v>22549.424574729775</v>
      </c>
      <c r="DL104" s="313">
        <f t="shared" si="322"/>
        <v>128512.58162902136</v>
      </c>
      <c r="DM104" s="314">
        <f t="shared" si="333"/>
        <v>16.271443943347002</v>
      </c>
      <c r="DN104" s="312">
        <f t="shared" si="334"/>
        <v>0.1579751839159903</v>
      </c>
      <c r="DO104" s="312">
        <f t="shared" si="331"/>
        <v>0.91341897742084177</v>
      </c>
      <c r="DP104" s="315">
        <f t="shared" si="335"/>
        <v>6.325784106720013E-2</v>
      </c>
      <c r="DQ104" s="316">
        <f t="shared" si="325"/>
        <v>0.26636121509867056</v>
      </c>
      <c r="DR104" s="316">
        <f t="shared" si="326"/>
        <v>29.085936190192221</v>
      </c>
      <c r="DS104" s="314">
        <f t="shared" si="327"/>
        <v>3.5412303501763027</v>
      </c>
      <c r="DT104" s="316">
        <f t="shared" si="336"/>
        <v>29.085936190192221</v>
      </c>
      <c r="DU104" s="314">
        <f t="shared" si="337"/>
        <v>3.5412303501763027</v>
      </c>
      <c r="DV104" s="316">
        <f t="shared" si="332"/>
        <v>124.75117954784899</v>
      </c>
      <c r="DW104" s="310">
        <f t="shared" si="338"/>
        <v>3.9919462229131821</v>
      </c>
      <c r="FB104" s="307"/>
      <c r="FC104" s="307"/>
      <c r="FF104" s="307"/>
      <c r="FG104" s="307"/>
      <c r="FH104" s="306"/>
      <c r="FJ104" s="307"/>
      <c r="FK104" s="307"/>
      <c r="FL104" s="306"/>
      <c r="FM104" s="307"/>
      <c r="FN104" s="306"/>
      <c r="FO104" s="307"/>
      <c r="FP104" s="306"/>
    </row>
    <row r="105" spans="29:172">
      <c r="AC105" s="156"/>
      <c r="AG105" s="188">
        <v>80</v>
      </c>
      <c r="AH105" s="183">
        <v>110</v>
      </c>
      <c r="AI105" s="190">
        <v>422</v>
      </c>
      <c r="AJ105" s="185">
        <v>80</v>
      </c>
      <c r="AK105" s="183">
        <f t="shared" si="344"/>
        <v>422</v>
      </c>
      <c r="AM105" s="188">
        <v>80</v>
      </c>
      <c r="AN105" s="183">
        <v>420</v>
      </c>
      <c r="AO105" s="182">
        <v>5.7200000000000001E-2</v>
      </c>
      <c r="AP105" s="185">
        <v>80</v>
      </c>
      <c r="AQ105" s="184">
        <f t="shared" si="345"/>
        <v>5.7200000000000001E-2</v>
      </c>
      <c r="AR105" s="190">
        <v>422</v>
      </c>
      <c r="AS105" s="185">
        <v>80</v>
      </c>
      <c r="AT105" s="183">
        <f t="shared" si="346"/>
        <v>422</v>
      </c>
      <c r="AV105" s="188">
        <v>80</v>
      </c>
      <c r="AW105" s="183">
        <v>420</v>
      </c>
      <c r="AX105" s="182">
        <v>5.7200000000000001E-2</v>
      </c>
      <c r="AY105" s="185">
        <v>80</v>
      </c>
      <c r="AZ105" s="184">
        <f t="shared" si="347"/>
        <v>5.7200000000000001E-2</v>
      </c>
      <c r="BA105" s="190">
        <v>422</v>
      </c>
      <c r="BB105" s="185">
        <v>80</v>
      </c>
      <c r="BC105" s="183">
        <f t="shared" si="348"/>
        <v>422</v>
      </c>
      <c r="BE105" s="188">
        <v>80</v>
      </c>
      <c r="BF105" s="183">
        <v>420</v>
      </c>
      <c r="BG105" s="182">
        <v>5.7200000000000001E-2</v>
      </c>
      <c r="BH105" s="185">
        <v>80</v>
      </c>
      <c r="BI105" s="184">
        <f t="shared" si="349"/>
        <v>5.7200000000000001E-2</v>
      </c>
      <c r="BJ105" s="154"/>
      <c r="BK105" s="533">
        <v>80</v>
      </c>
      <c r="BL105" s="183">
        <f t="shared" si="350"/>
        <v>420</v>
      </c>
      <c r="BM105" s="155">
        <v>420</v>
      </c>
      <c r="CW105" s="364"/>
      <c r="CX105" s="309"/>
      <c r="CY105" s="313"/>
      <c r="DA105" s="309">
        <v>104</v>
      </c>
      <c r="DB105" s="313">
        <f t="shared" si="340"/>
        <v>237.85290436368504</v>
      </c>
      <c r="DC105" s="309">
        <f t="shared" si="341"/>
        <v>1</v>
      </c>
      <c r="DD105" s="309">
        <f t="shared" si="342"/>
        <v>260</v>
      </c>
      <c r="DE105" s="308">
        <f t="shared" si="343"/>
        <v>6.5000000000000002E-2</v>
      </c>
      <c r="DF105" s="313">
        <f t="shared" si="329"/>
        <v>104</v>
      </c>
      <c r="DG105" s="313">
        <f t="shared" si="318"/>
        <v>237.85290436368504</v>
      </c>
      <c r="DH105" s="313">
        <f t="shared" si="319"/>
        <v>237.85290436368504</v>
      </c>
      <c r="DI105" s="313">
        <f t="shared" si="320"/>
        <v>0</v>
      </c>
      <c r="DJ105" s="313">
        <f t="shared" si="321"/>
        <v>0</v>
      </c>
      <c r="DK105" s="313">
        <f t="shared" si="330"/>
        <v>22787.27747909346</v>
      </c>
      <c r="DL105" s="313">
        <f t="shared" si="322"/>
        <v>128275.09269489194</v>
      </c>
      <c r="DM105" s="314">
        <f t="shared" si="333"/>
        <v>16.356625080409753</v>
      </c>
      <c r="DN105" s="312">
        <f t="shared" si="334"/>
        <v>0.15727524115778607</v>
      </c>
      <c r="DO105" s="312">
        <f t="shared" si="331"/>
        <v>0.91481886293725012</v>
      </c>
      <c r="DP105" s="315">
        <f t="shared" si="335"/>
        <v>6.3286909746028769E-2</v>
      </c>
      <c r="DQ105" s="316">
        <f t="shared" si="325"/>
        <v>0.26607583336153412</v>
      </c>
      <c r="DR105" s="316">
        <f t="shared" si="326"/>
        <v>29.352012023553755</v>
      </c>
      <c r="DS105" s="314">
        <f t="shared" si="327"/>
        <v>3.5431983305452577</v>
      </c>
      <c r="DT105" s="316">
        <f t="shared" si="336"/>
        <v>29.352012023553755</v>
      </c>
      <c r="DU105" s="314">
        <f t="shared" si="337"/>
        <v>3.5431983305452577</v>
      </c>
      <c r="DV105" s="316">
        <f t="shared" si="332"/>
        <v>124.48481833275032</v>
      </c>
      <c r="DW105" s="310">
        <f t="shared" si="338"/>
        <v>3.9924547158153003</v>
      </c>
      <c r="FB105" s="307"/>
      <c r="FC105" s="307"/>
      <c r="FF105" s="307"/>
      <c r="FG105" s="307"/>
      <c r="FH105" s="306"/>
      <c r="FJ105" s="307"/>
      <c r="FK105" s="307"/>
      <c r="FL105" s="306"/>
      <c r="FM105" s="307"/>
      <c r="FN105" s="306"/>
      <c r="FO105" s="307"/>
      <c r="FP105" s="306"/>
    </row>
    <row r="106" spans="29:172">
      <c r="AC106" s="156"/>
      <c r="AG106" s="188">
        <v>81</v>
      </c>
      <c r="AH106" s="183">
        <v>105</v>
      </c>
      <c r="AI106" s="190">
        <v>421</v>
      </c>
      <c r="AJ106" s="185">
        <v>81</v>
      </c>
      <c r="AK106" s="183">
        <f t="shared" si="344"/>
        <v>421</v>
      </c>
      <c r="AM106" s="188">
        <v>81</v>
      </c>
      <c r="AN106" s="183">
        <v>410</v>
      </c>
      <c r="AO106" s="182">
        <v>5.7099999999999998E-2</v>
      </c>
      <c r="AP106" s="185">
        <v>81</v>
      </c>
      <c r="AQ106" s="184">
        <f t="shared" si="345"/>
        <v>5.7099999999999998E-2</v>
      </c>
      <c r="AR106" s="190">
        <v>421</v>
      </c>
      <c r="AS106" s="185">
        <v>81</v>
      </c>
      <c r="AT106" s="183">
        <f t="shared" si="346"/>
        <v>421</v>
      </c>
      <c r="AV106" s="188">
        <v>81</v>
      </c>
      <c r="AW106" s="183">
        <v>410</v>
      </c>
      <c r="AX106" s="182">
        <v>5.7099999999999998E-2</v>
      </c>
      <c r="AY106" s="185">
        <v>81</v>
      </c>
      <c r="AZ106" s="184">
        <f t="shared" si="347"/>
        <v>5.7099999999999998E-2</v>
      </c>
      <c r="BA106" s="190">
        <v>421</v>
      </c>
      <c r="BB106" s="185">
        <v>81</v>
      </c>
      <c r="BC106" s="183">
        <f t="shared" si="348"/>
        <v>421</v>
      </c>
      <c r="BE106" s="188">
        <v>81</v>
      </c>
      <c r="BF106" s="183">
        <v>410</v>
      </c>
      <c r="BG106" s="182">
        <v>5.7099999999999998E-2</v>
      </c>
      <c r="BH106" s="185">
        <v>81</v>
      </c>
      <c r="BI106" s="184">
        <f t="shared" si="349"/>
        <v>5.7099999999999998E-2</v>
      </c>
      <c r="BJ106" s="154"/>
      <c r="BK106" s="533">
        <v>81</v>
      </c>
      <c r="BL106" s="183">
        <f t="shared" si="350"/>
        <v>410</v>
      </c>
      <c r="BM106" s="155">
        <v>410</v>
      </c>
      <c r="CW106" s="364"/>
      <c r="CX106" s="309"/>
      <c r="CY106" s="313"/>
      <c r="DA106" s="309">
        <v>105</v>
      </c>
      <c r="DB106" s="313">
        <f t="shared" si="340"/>
        <v>238.21687459795123</v>
      </c>
      <c r="DC106" s="309">
        <f t="shared" si="341"/>
        <v>1</v>
      </c>
      <c r="DD106" s="309">
        <f t="shared" si="342"/>
        <v>260</v>
      </c>
      <c r="DE106" s="308">
        <f t="shared" si="343"/>
        <v>6.5000000000000002E-2</v>
      </c>
      <c r="DF106" s="313">
        <f t="shared" si="329"/>
        <v>105</v>
      </c>
      <c r="DG106" s="313">
        <f t="shared" si="318"/>
        <v>238.21687459795123</v>
      </c>
      <c r="DH106" s="313">
        <f t="shared" si="319"/>
        <v>238.21687459795123</v>
      </c>
      <c r="DI106" s="313">
        <f t="shared" si="320"/>
        <v>0</v>
      </c>
      <c r="DJ106" s="313">
        <f t="shared" si="321"/>
        <v>0</v>
      </c>
      <c r="DK106" s="313">
        <f t="shared" si="330"/>
        <v>23025.494353691411</v>
      </c>
      <c r="DL106" s="313">
        <f t="shared" si="322"/>
        <v>128037.23979052826</v>
      </c>
      <c r="DM106" s="314">
        <f t="shared" si="333"/>
        <v>16.440406331956094</v>
      </c>
      <c r="DN106" s="312">
        <f t="shared" si="334"/>
        <v>0.15657529839958184</v>
      </c>
      <c r="DO106" s="312">
        <f t="shared" si="331"/>
        <v>0.91621874845365858</v>
      </c>
      <c r="DP106" s="315">
        <f t="shared" si="335"/>
        <v>6.331594730422653E-2</v>
      </c>
      <c r="DQ106" s="316">
        <f t="shared" si="325"/>
        <v>0.26579119305081789</v>
      </c>
      <c r="DR106" s="316">
        <f t="shared" si="326"/>
        <v>29.617803216604571</v>
      </c>
      <c r="DS106" s="314">
        <f t="shared" si="327"/>
        <v>3.5451650222705937</v>
      </c>
      <c r="DT106" s="316">
        <f t="shared" si="336"/>
        <v>29.617803216604571</v>
      </c>
      <c r="DU106" s="314">
        <f t="shared" si="337"/>
        <v>3.5451650222705937</v>
      </c>
      <c r="DV106" s="316">
        <f t="shared" si="332"/>
        <v>124.21874249938878</v>
      </c>
      <c r="DW106" s="310">
        <f t="shared" si="338"/>
        <v>3.9929562159465637</v>
      </c>
      <c r="FB106" s="307"/>
      <c r="FC106" s="307"/>
      <c r="FF106" s="307"/>
      <c r="FG106" s="307"/>
      <c r="FH106" s="306"/>
      <c r="FJ106" s="307"/>
      <c r="FK106" s="307"/>
      <c r="FL106" s="306"/>
      <c r="FM106" s="307"/>
      <c r="FN106" s="306"/>
      <c r="FO106" s="307"/>
      <c r="FP106" s="306"/>
    </row>
    <row r="107" spans="29:172">
      <c r="AC107" s="156"/>
      <c r="AG107" s="188">
        <v>82</v>
      </c>
      <c r="AH107" s="183">
        <v>100</v>
      </c>
      <c r="AI107" s="190">
        <v>420</v>
      </c>
      <c r="AJ107" s="185">
        <v>82</v>
      </c>
      <c r="AK107" s="183">
        <f t="shared" si="344"/>
        <v>420</v>
      </c>
      <c r="AM107" s="188">
        <v>82</v>
      </c>
      <c r="AN107" s="183">
        <v>400</v>
      </c>
      <c r="AO107" s="182">
        <v>5.7000000000000002E-2</v>
      </c>
      <c r="AP107" s="185">
        <v>82</v>
      </c>
      <c r="AQ107" s="184">
        <f t="shared" si="345"/>
        <v>5.7000000000000002E-2</v>
      </c>
      <c r="AR107" s="190">
        <v>420</v>
      </c>
      <c r="AS107" s="185">
        <v>82</v>
      </c>
      <c r="AT107" s="183">
        <f t="shared" si="346"/>
        <v>420</v>
      </c>
      <c r="AV107" s="188">
        <v>82</v>
      </c>
      <c r="AW107" s="183">
        <v>400</v>
      </c>
      <c r="AX107" s="182">
        <v>5.7000000000000002E-2</v>
      </c>
      <c r="AY107" s="185">
        <v>82</v>
      </c>
      <c r="AZ107" s="184">
        <f t="shared" si="347"/>
        <v>5.7000000000000002E-2</v>
      </c>
      <c r="BA107" s="190">
        <v>420</v>
      </c>
      <c r="BB107" s="185">
        <v>82</v>
      </c>
      <c r="BC107" s="183">
        <f t="shared" si="348"/>
        <v>420</v>
      </c>
      <c r="BE107" s="188">
        <v>82</v>
      </c>
      <c r="BF107" s="183">
        <v>400</v>
      </c>
      <c r="BG107" s="182">
        <v>5.7000000000000002E-2</v>
      </c>
      <c r="BH107" s="185">
        <v>82</v>
      </c>
      <c r="BI107" s="184">
        <f t="shared" si="349"/>
        <v>5.7000000000000002E-2</v>
      </c>
      <c r="BJ107" s="154"/>
      <c r="BK107" s="533">
        <v>82</v>
      </c>
      <c r="BL107" s="183">
        <f t="shared" si="350"/>
        <v>400</v>
      </c>
      <c r="BM107" s="155">
        <v>400</v>
      </c>
      <c r="CW107" s="364"/>
      <c r="CX107" s="309"/>
      <c r="CY107" s="313"/>
      <c r="DA107" s="309">
        <v>106</v>
      </c>
      <c r="DB107" s="313">
        <f t="shared" si="340"/>
        <v>238.58084483221745</v>
      </c>
      <c r="DC107" s="309">
        <f t="shared" si="341"/>
        <v>1</v>
      </c>
      <c r="DD107" s="309">
        <f t="shared" si="342"/>
        <v>260</v>
      </c>
      <c r="DE107" s="308">
        <f t="shared" si="343"/>
        <v>6.5000000000000002E-2</v>
      </c>
      <c r="DF107" s="313">
        <f t="shared" si="329"/>
        <v>106</v>
      </c>
      <c r="DG107" s="313">
        <f t="shared" si="318"/>
        <v>238.58084483221745</v>
      </c>
      <c r="DH107" s="313">
        <f t="shared" si="319"/>
        <v>238.58084483221745</v>
      </c>
      <c r="DI107" s="313">
        <f t="shared" si="320"/>
        <v>0</v>
      </c>
      <c r="DJ107" s="313">
        <f t="shared" si="321"/>
        <v>0</v>
      </c>
      <c r="DK107" s="313">
        <f t="shared" si="330"/>
        <v>23264.075198523627</v>
      </c>
      <c r="DL107" s="313">
        <f t="shared" si="322"/>
        <v>127799.0229159303</v>
      </c>
      <c r="DM107" s="314">
        <f t="shared" si="333"/>
        <v>16.522787697986026</v>
      </c>
      <c r="DN107" s="312">
        <f t="shared" si="334"/>
        <v>0.15587535564137761</v>
      </c>
      <c r="DO107" s="312">
        <f t="shared" si="331"/>
        <v>0.91761863397006715</v>
      </c>
      <c r="DP107" s="315">
        <f t="shared" si="335"/>
        <v>6.3344953822583636E-2</v>
      </c>
      <c r="DQ107" s="316">
        <f t="shared" si="325"/>
        <v>0.26550729111187077</v>
      </c>
      <c r="DR107" s="316">
        <f t="shared" si="326"/>
        <v>29.883310507716441</v>
      </c>
      <c r="DS107" s="314">
        <f t="shared" si="327"/>
        <v>3.5471304282913629</v>
      </c>
      <c r="DT107" s="316">
        <f t="shared" si="336"/>
        <v>29.883310507716441</v>
      </c>
      <c r="DU107" s="314">
        <f t="shared" si="337"/>
        <v>3.5471304282913629</v>
      </c>
      <c r="DV107" s="316">
        <f t="shared" si="332"/>
        <v>123.95295130633797</v>
      </c>
      <c r="DW107" s="310">
        <f t="shared" si="338"/>
        <v>3.9934506986982057</v>
      </c>
      <c r="FB107" s="307"/>
      <c r="FC107" s="307"/>
      <c r="FF107" s="307"/>
      <c r="FG107" s="307"/>
      <c r="FH107" s="306"/>
      <c r="FJ107" s="307"/>
      <c r="FK107" s="307"/>
      <c r="FL107" s="306"/>
      <c r="FM107" s="307"/>
      <c r="FN107" s="306"/>
      <c r="FO107" s="307"/>
      <c r="FP107" s="306"/>
    </row>
    <row r="108" spans="29:172">
      <c r="AC108" s="156"/>
      <c r="AG108" s="188">
        <v>83</v>
      </c>
      <c r="AH108" s="183">
        <v>95</v>
      </c>
      <c r="AI108" s="190">
        <v>419</v>
      </c>
      <c r="AJ108" s="185">
        <v>83</v>
      </c>
      <c r="AK108" s="183">
        <f t="shared" si="344"/>
        <v>419</v>
      </c>
      <c r="AM108" s="188">
        <v>83</v>
      </c>
      <c r="AN108" s="183">
        <v>390</v>
      </c>
      <c r="AO108" s="182">
        <v>5.6899999999999999E-2</v>
      </c>
      <c r="AP108" s="185">
        <v>83</v>
      </c>
      <c r="AQ108" s="184">
        <f t="shared" si="345"/>
        <v>5.6899999999999999E-2</v>
      </c>
      <c r="AR108" s="190">
        <v>419</v>
      </c>
      <c r="AS108" s="185">
        <v>83</v>
      </c>
      <c r="AT108" s="183">
        <f t="shared" si="346"/>
        <v>419</v>
      </c>
      <c r="AV108" s="188">
        <v>83</v>
      </c>
      <c r="AW108" s="183">
        <v>390</v>
      </c>
      <c r="AX108" s="182">
        <v>5.6899999999999999E-2</v>
      </c>
      <c r="AY108" s="185">
        <v>83</v>
      </c>
      <c r="AZ108" s="184">
        <f t="shared" si="347"/>
        <v>5.6899999999999999E-2</v>
      </c>
      <c r="BA108" s="190">
        <v>419</v>
      </c>
      <c r="BB108" s="185">
        <v>83</v>
      </c>
      <c r="BC108" s="183">
        <f t="shared" si="348"/>
        <v>419</v>
      </c>
      <c r="BE108" s="188">
        <v>83</v>
      </c>
      <c r="BF108" s="183">
        <v>390</v>
      </c>
      <c r="BG108" s="182">
        <v>5.6899999999999999E-2</v>
      </c>
      <c r="BH108" s="185">
        <v>83</v>
      </c>
      <c r="BI108" s="184">
        <f t="shared" si="349"/>
        <v>5.6899999999999999E-2</v>
      </c>
      <c r="BJ108" s="154"/>
      <c r="BK108" s="533">
        <v>83</v>
      </c>
      <c r="BL108" s="183">
        <f t="shared" si="350"/>
        <v>390</v>
      </c>
      <c r="BM108" s="155">
        <v>390</v>
      </c>
      <c r="CW108" s="364"/>
      <c r="CX108" s="309"/>
      <c r="CY108" s="313"/>
      <c r="DA108" s="309">
        <v>107</v>
      </c>
      <c r="DB108" s="313">
        <f t="shared" si="340"/>
        <v>238.94481506648364</v>
      </c>
      <c r="DC108" s="309">
        <f t="shared" si="341"/>
        <v>1</v>
      </c>
      <c r="DD108" s="309">
        <f t="shared" si="342"/>
        <v>260</v>
      </c>
      <c r="DE108" s="308">
        <f t="shared" si="343"/>
        <v>6.5000000000000002E-2</v>
      </c>
      <c r="DF108" s="313">
        <f t="shared" si="329"/>
        <v>107</v>
      </c>
      <c r="DG108" s="313">
        <f t="shared" si="318"/>
        <v>238.94481506648364</v>
      </c>
      <c r="DH108" s="313">
        <f t="shared" si="319"/>
        <v>238.94481506648364</v>
      </c>
      <c r="DI108" s="313">
        <f t="shared" si="320"/>
        <v>0</v>
      </c>
      <c r="DJ108" s="313">
        <f t="shared" si="321"/>
        <v>0</v>
      </c>
      <c r="DK108" s="313">
        <f t="shared" si="330"/>
        <v>23503.02001359011</v>
      </c>
      <c r="DL108" s="313">
        <f t="shared" si="322"/>
        <v>127560.44207109808</v>
      </c>
      <c r="DM108" s="314">
        <f t="shared" si="333"/>
        <v>16.603769178499551</v>
      </c>
      <c r="DN108" s="312">
        <f t="shared" si="334"/>
        <v>0.15517541288317338</v>
      </c>
      <c r="DO108" s="312">
        <f t="shared" si="331"/>
        <v>0.9190185194864755</v>
      </c>
      <c r="DP108" s="315">
        <f t="shared" si="335"/>
        <v>6.3373929381557711E-2</v>
      </c>
      <c r="DQ108" s="316">
        <f t="shared" si="325"/>
        <v>0.26522412450726185</v>
      </c>
      <c r="DR108" s="316">
        <f t="shared" si="326"/>
        <v>30.148534632223704</v>
      </c>
      <c r="DS108" s="314">
        <f t="shared" si="327"/>
        <v>3.5490945515353514</v>
      </c>
      <c r="DT108" s="316">
        <f t="shared" si="336"/>
        <v>30.148534632223704</v>
      </c>
      <c r="DU108" s="314">
        <f t="shared" si="337"/>
        <v>3.5490945515353514</v>
      </c>
      <c r="DV108" s="316">
        <f t="shared" si="332"/>
        <v>123.68744401522609</v>
      </c>
      <c r="DW108" s="310">
        <f t="shared" si="338"/>
        <v>3.9939381392600199</v>
      </c>
      <c r="FB108" s="307"/>
      <c r="FC108" s="307"/>
      <c r="FF108" s="307"/>
      <c r="FG108" s="307"/>
      <c r="FH108" s="306"/>
      <c r="FJ108" s="307"/>
      <c r="FK108" s="307"/>
      <c r="FL108" s="306"/>
      <c r="FM108" s="307"/>
      <c r="FN108" s="306"/>
      <c r="FO108" s="307"/>
      <c r="FP108" s="306"/>
    </row>
    <row r="109" spans="29:172">
      <c r="AC109" s="156"/>
      <c r="AG109" s="188">
        <v>84</v>
      </c>
      <c r="AH109" s="183">
        <v>90</v>
      </c>
      <c r="AI109" s="190">
        <v>418</v>
      </c>
      <c r="AJ109" s="185">
        <v>84</v>
      </c>
      <c r="AK109" s="183">
        <f t="shared" si="344"/>
        <v>418</v>
      </c>
      <c r="AM109" s="188">
        <v>84</v>
      </c>
      <c r="AN109" s="183">
        <v>380</v>
      </c>
      <c r="AO109" s="182">
        <v>5.6800000000000003E-2</v>
      </c>
      <c r="AP109" s="185">
        <v>84</v>
      </c>
      <c r="AQ109" s="184">
        <f t="shared" si="345"/>
        <v>5.6800000000000003E-2</v>
      </c>
      <c r="AR109" s="190">
        <v>418</v>
      </c>
      <c r="AS109" s="185">
        <v>84</v>
      </c>
      <c r="AT109" s="183">
        <f t="shared" si="346"/>
        <v>418</v>
      </c>
      <c r="AV109" s="188">
        <v>84</v>
      </c>
      <c r="AW109" s="183">
        <v>380</v>
      </c>
      <c r="AX109" s="182">
        <v>5.6800000000000003E-2</v>
      </c>
      <c r="AY109" s="185">
        <v>84</v>
      </c>
      <c r="AZ109" s="184">
        <f t="shared" si="347"/>
        <v>5.6800000000000003E-2</v>
      </c>
      <c r="BA109" s="190">
        <v>418</v>
      </c>
      <c r="BB109" s="185">
        <v>84</v>
      </c>
      <c r="BC109" s="183">
        <f t="shared" si="348"/>
        <v>418</v>
      </c>
      <c r="BE109" s="188">
        <v>84</v>
      </c>
      <c r="BF109" s="183">
        <v>380</v>
      </c>
      <c r="BG109" s="182">
        <v>5.6800000000000003E-2</v>
      </c>
      <c r="BH109" s="185">
        <v>84</v>
      </c>
      <c r="BI109" s="184">
        <f t="shared" si="349"/>
        <v>5.6800000000000003E-2</v>
      </c>
      <c r="BJ109" s="154"/>
      <c r="BK109" s="533">
        <v>84</v>
      </c>
      <c r="BL109" s="183">
        <f t="shared" si="350"/>
        <v>380</v>
      </c>
      <c r="BM109" s="155">
        <v>380</v>
      </c>
      <c r="CW109" s="364"/>
      <c r="CX109" s="309"/>
      <c r="CY109" s="313"/>
      <c r="DA109" s="309">
        <v>108</v>
      </c>
      <c r="DB109" s="313">
        <f t="shared" si="340"/>
        <v>239.30878530074986</v>
      </c>
      <c r="DC109" s="309">
        <f t="shared" si="341"/>
        <v>1</v>
      </c>
      <c r="DD109" s="309">
        <f t="shared" si="342"/>
        <v>260</v>
      </c>
      <c r="DE109" s="308">
        <f t="shared" si="343"/>
        <v>6.5000000000000002E-2</v>
      </c>
      <c r="DF109" s="313">
        <f t="shared" si="329"/>
        <v>108</v>
      </c>
      <c r="DG109" s="313">
        <f t="shared" si="318"/>
        <v>239.30878530074986</v>
      </c>
      <c r="DH109" s="313">
        <f t="shared" si="319"/>
        <v>239.30878530074986</v>
      </c>
      <c r="DI109" s="313">
        <f t="shared" si="320"/>
        <v>0</v>
      </c>
      <c r="DJ109" s="313">
        <f t="shared" si="321"/>
        <v>0</v>
      </c>
      <c r="DK109" s="313">
        <f t="shared" si="330"/>
        <v>23742.32879889086</v>
      </c>
      <c r="DL109" s="313">
        <f t="shared" si="322"/>
        <v>127321.49725603159</v>
      </c>
      <c r="DM109" s="314">
        <f t="shared" si="333"/>
        <v>16.683350773496667</v>
      </c>
      <c r="DN109" s="312">
        <f t="shared" si="334"/>
        <v>0.15447547012496912</v>
      </c>
      <c r="DO109" s="312">
        <f t="shared" si="331"/>
        <v>0.92041840500288408</v>
      </c>
      <c r="DP109" s="315">
        <f t="shared" si="335"/>
        <v>6.3402874061275649E-2</v>
      </c>
      <c r="DQ109" s="316">
        <f t="shared" si="325"/>
        <v>0.26494169021665659</v>
      </c>
      <c r="DR109" s="316">
        <f t="shared" si="326"/>
        <v>30.41347632244036</v>
      </c>
      <c r="DS109" s="314">
        <f t="shared" si="327"/>
        <v>3.5510573949191397</v>
      </c>
      <c r="DT109" s="316">
        <f t="shared" si="336"/>
        <v>30.41347632244036</v>
      </c>
      <c r="DU109" s="314">
        <f t="shared" si="337"/>
        <v>3.5510573949191397</v>
      </c>
      <c r="DV109" s="316">
        <f t="shared" si="332"/>
        <v>123.42221989071884</v>
      </c>
      <c r="DW109" s="310">
        <f t="shared" si="338"/>
        <v>3.9944185126188354</v>
      </c>
      <c r="FB109" s="307"/>
      <c r="FC109" s="307"/>
      <c r="FF109" s="307"/>
      <c r="FG109" s="307"/>
      <c r="FH109" s="306"/>
      <c r="FJ109" s="307"/>
      <c r="FK109" s="307"/>
      <c r="FL109" s="306"/>
      <c r="FM109" s="307"/>
      <c r="FN109" s="306"/>
      <c r="FO109" s="307"/>
      <c r="FP109" s="306"/>
    </row>
    <row r="110" spans="29:172">
      <c r="AC110" s="156"/>
      <c r="AG110" s="188">
        <v>85</v>
      </c>
      <c r="AH110" s="183">
        <v>85</v>
      </c>
      <c r="AI110" s="190">
        <v>417</v>
      </c>
      <c r="AJ110" s="185">
        <v>85</v>
      </c>
      <c r="AK110" s="183">
        <f t="shared" si="344"/>
        <v>417</v>
      </c>
      <c r="AM110" s="188">
        <v>85</v>
      </c>
      <c r="AN110" s="183">
        <v>370</v>
      </c>
      <c r="AO110" s="182">
        <v>5.67E-2</v>
      </c>
      <c r="AP110" s="185">
        <v>85</v>
      </c>
      <c r="AQ110" s="184">
        <f t="shared" si="345"/>
        <v>5.67E-2</v>
      </c>
      <c r="AR110" s="190">
        <v>417</v>
      </c>
      <c r="AS110" s="185">
        <v>85</v>
      </c>
      <c r="AT110" s="183">
        <f t="shared" si="346"/>
        <v>417</v>
      </c>
      <c r="AV110" s="188">
        <v>85</v>
      </c>
      <c r="AW110" s="183">
        <v>370</v>
      </c>
      <c r="AX110" s="182">
        <v>5.67E-2</v>
      </c>
      <c r="AY110" s="185">
        <v>85</v>
      </c>
      <c r="AZ110" s="184">
        <f t="shared" si="347"/>
        <v>5.67E-2</v>
      </c>
      <c r="BA110" s="190">
        <v>417</v>
      </c>
      <c r="BB110" s="185">
        <v>85</v>
      </c>
      <c r="BC110" s="183">
        <f t="shared" si="348"/>
        <v>417</v>
      </c>
      <c r="BE110" s="188">
        <v>85</v>
      </c>
      <c r="BF110" s="183">
        <v>370</v>
      </c>
      <c r="BG110" s="182">
        <v>5.67E-2</v>
      </c>
      <c r="BH110" s="185">
        <v>85</v>
      </c>
      <c r="BI110" s="184">
        <f t="shared" si="349"/>
        <v>5.67E-2</v>
      </c>
      <c r="BJ110" s="154"/>
      <c r="BK110" s="533">
        <v>85</v>
      </c>
      <c r="BL110" s="183">
        <f t="shared" si="350"/>
        <v>370</v>
      </c>
      <c r="BM110" s="155">
        <v>370</v>
      </c>
      <c r="CW110" s="364"/>
      <c r="CX110" s="309"/>
      <c r="CY110" s="313"/>
      <c r="DA110" s="309">
        <v>109</v>
      </c>
      <c r="DB110" s="313">
        <f t="shared" si="340"/>
        <v>239.67275553501605</v>
      </c>
      <c r="DC110" s="309">
        <f t="shared" si="341"/>
        <v>1</v>
      </c>
      <c r="DD110" s="309">
        <f t="shared" si="342"/>
        <v>260</v>
      </c>
      <c r="DE110" s="308">
        <f t="shared" si="343"/>
        <v>6.5000000000000002E-2</v>
      </c>
      <c r="DF110" s="313">
        <f t="shared" si="329"/>
        <v>109</v>
      </c>
      <c r="DG110" s="313">
        <f t="shared" si="318"/>
        <v>239.67275553501605</v>
      </c>
      <c r="DH110" s="313">
        <f t="shared" si="319"/>
        <v>239.67275553501605</v>
      </c>
      <c r="DI110" s="313">
        <f t="shared" si="320"/>
        <v>0</v>
      </c>
      <c r="DJ110" s="313">
        <f t="shared" si="321"/>
        <v>0</v>
      </c>
      <c r="DK110" s="313">
        <f t="shared" si="330"/>
        <v>23982.001554425875</v>
      </c>
      <c r="DL110" s="313">
        <f t="shared" si="322"/>
        <v>127082.18847073085</v>
      </c>
      <c r="DM110" s="314">
        <f t="shared" si="333"/>
        <v>16.761532482977373</v>
      </c>
      <c r="DN110" s="312">
        <f t="shared" si="334"/>
        <v>0.15377552736676489</v>
      </c>
      <c r="DO110" s="312">
        <f t="shared" si="331"/>
        <v>0.92181829051929254</v>
      </c>
      <c r="DP110" s="315">
        <f t="shared" si="335"/>
        <v>6.343178794153545E-2</v>
      </c>
      <c r="DQ110" s="316">
        <f t="shared" si="325"/>
        <v>0.26465998523669537</v>
      </c>
      <c r="DR110" s="316">
        <f t="shared" si="326"/>
        <v>30.678136307677054</v>
      </c>
      <c r="DS110" s="314">
        <f t="shared" si="327"/>
        <v>3.55301896134816</v>
      </c>
      <c r="DT110" s="316">
        <f t="shared" si="336"/>
        <v>30.678136307677054</v>
      </c>
      <c r="DU110" s="314">
        <f t="shared" si="337"/>
        <v>3.55301896134816</v>
      </c>
      <c r="DV110" s="316">
        <f t="shared" si="332"/>
        <v>123.15727820050218</v>
      </c>
      <c r="DW110" s="310">
        <f t="shared" si="338"/>
        <v>3.9948917935569792</v>
      </c>
      <c r="FB110" s="307"/>
      <c r="FC110" s="307"/>
      <c r="FF110" s="307"/>
      <c r="FG110" s="307"/>
      <c r="FH110" s="306"/>
      <c r="FJ110" s="307"/>
      <c r="FK110" s="307"/>
      <c r="FL110" s="306"/>
      <c r="FM110" s="307"/>
      <c r="FN110" s="306"/>
      <c r="FO110" s="307"/>
      <c r="FP110" s="306"/>
    </row>
    <row r="111" spans="29:172">
      <c r="AC111" s="156"/>
      <c r="AG111" s="188">
        <v>86</v>
      </c>
      <c r="AH111" s="183">
        <v>80</v>
      </c>
      <c r="AI111" s="190">
        <v>416</v>
      </c>
      <c r="AJ111" s="185">
        <v>86</v>
      </c>
      <c r="AK111" s="183">
        <f t="shared" si="344"/>
        <v>416</v>
      </c>
      <c r="AM111" s="188">
        <v>86</v>
      </c>
      <c r="AN111" s="183">
        <v>360</v>
      </c>
      <c r="AO111" s="182">
        <v>5.6599999999999998E-2</v>
      </c>
      <c r="AP111" s="185">
        <v>86</v>
      </c>
      <c r="AQ111" s="184">
        <f t="shared" si="345"/>
        <v>5.6599999999999998E-2</v>
      </c>
      <c r="AR111" s="190">
        <v>416</v>
      </c>
      <c r="AS111" s="185">
        <v>86</v>
      </c>
      <c r="AT111" s="183">
        <f t="shared" si="346"/>
        <v>416</v>
      </c>
      <c r="AV111" s="188">
        <v>86</v>
      </c>
      <c r="AW111" s="183">
        <v>360</v>
      </c>
      <c r="AX111" s="182">
        <v>5.6599999999999998E-2</v>
      </c>
      <c r="AY111" s="185">
        <v>86</v>
      </c>
      <c r="AZ111" s="184">
        <f t="shared" si="347"/>
        <v>5.6599999999999998E-2</v>
      </c>
      <c r="BA111" s="190">
        <v>416</v>
      </c>
      <c r="BB111" s="185">
        <v>86</v>
      </c>
      <c r="BC111" s="183">
        <f t="shared" si="348"/>
        <v>416</v>
      </c>
      <c r="BE111" s="188">
        <v>86</v>
      </c>
      <c r="BF111" s="183">
        <v>360</v>
      </c>
      <c r="BG111" s="182">
        <v>5.6599999999999998E-2</v>
      </c>
      <c r="BH111" s="185">
        <v>86</v>
      </c>
      <c r="BI111" s="184">
        <f t="shared" si="349"/>
        <v>5.6599999999999998E-2</v>
      </c>
      <c r="BJ111" s="154"/>
      <c r="BK111" s="533">
        <v>86</v>
      </c>
      <c r="BL111" s="183">
        <f t="shared" si="350"/>
        <v>360</v>
      </c>
      <c r="BM111" s="155">
        <v>360</v>
      </c>
      <c r="CW111" s="364"/>
      <c r="CX111" s="309"/>
      <c r="CY111" s="313"/>
      <c r="DA111" s="309">
        <v>110</v>
      </c>
      <c r="DB111" s="313">
        <f t="shared" si="340"/>
        <v>240.03672576928227</v>
      </c>
      <c r="DC111" s="309">
        <f t="shared" si="341"/>
        <v>1</v>
      </c>
      <c r="DD111" s="309">
        <f t="shared" si="342"/>
        <v>260</v>
      </c>
      <c r="DE111" s="308">
        <f t="shared" si="343"/>
        <v>6.5000000000000002E-2</v>
      </c>
      <c r="DF111" s="313">
        <f t="shared" si="329"/>
        <v>110</v>
      </c>
      <c r="DG111" s="313">
        <f t="shared" si="318"/>
        <v>240.03672576928227</v>
      </c>
      <c r="DH111" s="313">
        <f t="shared" si="319"/>
        <v>240.03672576928227</v>
      </c>
      <c r="DI111" s="313">
        <f t="shared" si="320"/>
        <v>0</v>
      </c>
      <c r="DJ111" s="313">
        <f t="shared" si="321"/>
        <v>0</v>
      </c>
      <c r="DK111" s="313">
        <f t="shared" si="330"/>
        <v>24222.038280195156</v>
      </c>
      <c r="DL111" s="313">
        <f t="shared" si="322"/>
        <v>126842.51571519583</v>
      </c>
      <c r="DM111" s="314">
        <f t="shared" si="333"/>
        <v>16.838314306941673</v>
      </c>
      <c r="DN111" s="312">
        <f t="shared" si="334"/>
        <v>0.15307558460856066</v>
      </c>
      <c r="DO111" s="312">
        <f t="shared" si="331"/>
        <v>0.923218176035701</v>
      </c>
      <c r="DP111" s="315">
        <f t="shared" si="335"/>
        <v>6.3460671101808155E-2</v>
      </c>
      <c r="DQ111" s="316">
        <f t="shared" si="325"/>
        <v>0.26437900658087243</v>
      </c>
      <c r="DR111" s="316">
        <f t="shared" si="326"/>
        <v>30.942515314257925</v>
      </c>
      <c r="DS111" s="314">
        <f t="shared" si="327"/>
        <v>3.5549792537167582</v>
      </c>
      <c r="DT111" s="316">
        <f t="shared" si="336"/>
        <v>30.942515314257925</v>
      </c>
      <c r="DU111" s="314">
        <f t="shared" si="337"/>
        <v>3.5549792537167582</v>
      </c>
      <c r="DV111" s="316">
        <f t="shared" si="332"/>
        <v>122.89261821526549</v>
      </c>
      <c r="DW111" s="310">
        <f t="shared" si="338"/>
        <v>3.9953579566507185</v>
      </c>
      <c r="FB111" s="307"/>
      <c r="FC111" s="307"/>
      <c r="FF111" s="307"/>
      <c r="FG111" s="307"/>
      <c r="FH111" s="306"/>
      <c r="FJ111" s="307"/>
      <c r="FK111" s="307"/>
      <c r="FL111" s="306"/>
      <c r="FM111" s="307"/>
      <c r="FN111" s="306"/>
      <c r="FO111" s="307"/>
      <c r="FP111" s="306"/>
    </row>
    <row r="112" spans="29:172">
      <c r="AC112" s="156"/>
      <c r="AG112" s="188">
        <v>87</v>
      </c>
      <c r="AH112" s="183">
        <v>75</v>
      </c>
      <c r="AI112" s="190">
        <v>415</v>
      </c>
      <c r="AJ112" s="185">
        <v>87</v>
      </c>
      <c r="AK112" s="183">
        <f t="shared" si="344"/>
        <v>415</v>
      </c>
      <c r="AM112" s="188">
        <v>87</v>
      </c>
      <c r="AN112" s="183">
        <v>350</v>
      </c>
      <c r="AO112" s="182">
        <v>5.6500000000000002E-2</v>
      </c>
      <c r="AP112" s="185">
        <v>87</v>
      </c>
      <c r="AQ112" s="184">
        <f t="shared" si="345"/>
        <v>5.6500000000000002E-2</v>
      </c>
      <c r="AR112" s="190">
        <v>415</v>
      </c>
      <c r="AS112" s="185">
        <v>87</v>
      </c>
      <c r="AT112" s="183">
        <f t="shared" si="346"/>
        <v>415</v>
      </c>
      <c r="AV112" s="188">
        <v>87</v>
      </c>
      <c r="AW112" s="183">
        <v>350</v>
      </c>
      <c r="AX112" s="182">
        <v>5.6500000000000002E-2</v>
      </c>
      <c r="AY112" s="185">
        <v>87</v>
      </c>
      <c r="AZ112" s="184">
        <f t="shared" si="347"/>
        <v>5.6500000000000002E-2</v>
      </c>
      <c r="BA112" s="190">
        <v>415</v>
      </c>
      <c r="BB112" s="185">
        <v>87</v>
      </c>
      <c r="BC112" s="183">
        <f t="shared" si="348"/>
        <v>415</v>
      </c>
      <c r="BE112" s="188">
        <v>87</v>
      </c>
      <c r="BF112" s="183">
        <v>350</v>
      </c>
      <c r="BG112" s="182">
        <v>5.6500000000000002E-2</v>
      </c>
      <c r="BH112" s="185">
        <v>87</v>
      </c>
      <c r="BI112" s="184">
        <f t="shared" si="349"/>
        <v>5.6500000000000002E-2</v>
      </c>
      <c r="BJ112" s="154"/>
      <c r="BK112" s="533">
        <v>87</v>
      </c>
      <c r="BL112" s="183">
        <f t="shared" si="350"/>
        <v>350</v>
      </c>
      <c r="BM112" s="155">
        <v>350</v>
      </c>
      <c r="CW112" s="364"/>
      <c r="CX112" s="309"/>
      <c r="CY112" s="313"/>
      <c r="DA112" s="309">
        <v>111</v>
      </c>
      <c r="DB112" s="313">
        <f t="shared" si="340"/>
        <v>240.40069600354846</v>
      </c>
      <c r="DC112" s="309">
        <f t="shared" si="341"/>
        <v>1</v>
      </c>
      <c r="DD112" s="309">
        <f t="shared" si="342"/>
        <v>260</v>
      </c>
      <c r="DE112" s="308">
        <f t="shared" si="343"/>
        <v>6.5000000000000002E-2</v>
      </c>
      <c r="DF112" s="313">
        <f t="shared" si="329"/>
        <v>111</v>
      </c>
      <c r="DG112" s="313">
        <f t="shared" si="318"/>
        <v>240.40069600354846</v>
      </c>
      <c r="DH112" s="313">
        <f t="shared" si="319"/>
        <v>240.40069600354846</v>
      </c>
      <c r="DI112" s="313">
        <f t="shared" si="320"/>
        <v>0</v>
      </c>
      <c r="DJ112" s="313">
        <f t="shared" si="321"/>
        <v>0</v>
      </c>
      <c r="DK112" s="313">
        <f t="shared" si="330"/>
        <v>24462.438976198704</v>
      </c>
      <c r="DL112" s="313">
        <f t="shared" si="322"/>
        <v>126602.47898942654</v>
      </c>
      <c r="DM112" s="314">
        <f t="shared" si="333"/>
        <v>16.913696245389563</v>
      </c>
      <c r="DN112" s="312">
        <f t="shared" si="334"/>
        <v>0.15237564185035643</v>
      </c>
      <c r="DO112" s="312">
        <f t="shared" si="331"/>
        <v>0.92461806155210946</v>
      </c>
      <c r="DP112" s="315">
        <f t="shared" si="335"/>
        <v>6.3489523621239552E-2</v>
      </c>
      <c r="DQ112" s="316">
        <f t="shared" si="325"/>
        <v>0.26409875127941562</v>
      </c>
      <c r="DR112" s="316">
        <f t="shared" si="326"/>
        <v>31.206614065537341</v>
      </c>
      <c r="DS112" s="314">
        <f t="shared" si="327"/>
        <v>3.5569382749082528</v>
      </c>
      <c r="DT112" s="316">
        <f t="shared" si="336"/>
        <v>31.206614065537341</v>
      </c>
      <c r="DU112" s="314">
        <f t="shared" si="337"/>
        <v>3.5569382749082528</v>
      </c>
      <c r="DV112" s="316">
        <f t="shared" si="332"/>
        <v>122.62823920868462</v>
      </c>
      <c r="DW112" s="310">
        <f t="shared" si="338"/>
        <v>3.9958169762686917</v>
      </c>
      <c r="FB112" s="307"/>
      <c r="FC112" s="307"/>
      <c r="FF112" s="307"/>
      <c r="FG112" s="307"/>
      <c r="FH112" s="306"/>
      <c r="FJ112" s="307"/>
      <c r="FK112" s="307"/>
      <c r="FL112" s="306"/>
      <c r="FM112" s="307"/>
      <c r="FN112" s="306"/>
      <c r="FO112" s="307"/>
      <c r="FP112" s="306"/>
    </row>
    <row r="113" spans="29:172">
      <c r="AC113" s="156"/>
      <c r="AG113" s="188">
        <v>88</v>
      </c>
      <c r="AH113" s="183">
        <v>70</v>
      </c>
      <c r="AI113" s="190">
        <v>414</v>
      </c>
      <c r="AJ113" s="185">
        <v>88</v>
      </c>
      <c r="AK113" s="183">
        <f t="shared" si="344"/>
        <v>414</v>
      </c>
      <c r="AM113" s="188">
        <v>88</v>
      </c>
      <c r="AN113" s="183">
        <v>340</v>
      </c>
      <c r="AO113" s="182">
        <v>5.6399999999999999E-2</v>
      </c>
      <c r="AP113" s="185">
        <v>88</v>
      </c>
      <c r="AQ113" s="184">
        <f t="shared" si="345"/>
        <v>5.6399999999999999E-2</v>
      </c>
      <c r="AR113" s="190">
        <v>414</v>
      </c>
      <c r="AS113" s="185">
        <v>88</v>
      </c>
      <c r="AT113" s="183">
        <f t="shared" si="346"/>
        <v>414</v>
      </c>
      <c r="AV113" s="188">
        <v>88</v>
      </c>
      <c r="AW113" s="183">
        <v>340</v>
      </c>
      <c r="AX113" s="182">
        <v>5.6399999999999999E-2</v>
      </c>
      <c r="AY113" s="185">
        <v>88</v>
      </c>
      <c r="AZ113" s="184">
        <f t="shared" si="347"/>
        <v>5.6399999999999999E-2</v>
      </c>
      <c r="BA113" s="190">
        <v>414</v>
      </c>
      <c r="BB113" s="185">
        <v>88</v>
      </c>
      <c r="BC113" s="183">
        <f t="shared" si="348"/>
        <v>414</v>
      </c>
      <c r="BE113" s="188">
        <v>88</v>
      </c>
      <c r="BF113" s="183">
        <v>340</v>
      </c>
      <c r="BG113" s="182">
        <v>5.6399999999999999E-2</v>
      </c>
      <c r="BH113" s="185">
        <v>88</v>
      </c>
      <c r="BI113" s="184">
        <f t="shared" si="349"/>
        <v>5.6399999999999999E-2</v>
      </c>
      <c r="BJ113" s="154"/>
      <c r="BK113" s="533">
        <v>88</v>
      </c>
      <c r="BL113" s="183">
        <f t="shared" si="350"/>
        <v>340</v>
      </c>
      <c r="BM113" s="155">
        <v>340</v>
      </c>
      <c r="CW113" s="364"/>
      <c r="CX113" s="309"/>
      <c r="CY113" s="313"/>
      <c r="DA113" s="309">
        <v>112</v>
      </c>
      <c r="DB113" s="313">
        <f t="shared" si="340"/>
        <v>240.76466623781465</v>
      </c>
      <c r="DC113" s="309">
        <f t="shared" si="341"/>
        <v>1</v>
      </c>
      <c r="DD113" s="309">
        <f t="shared" si="342"/>
        <v>260</v>
      </c>
      <c r="DE113" s="308">
        <f t="shared" si="343"/>
        <v>6.5000000000000002E-2</v>
      </c>
      <c r="DF113" s="313">
        <f t="shared" si="329"/>
        <v>112</v>
      </c>
      <c r="DG113" s="313">
        <f t="shared" si="318"/>
        <v>240.76466623781465</v>
      </c>
      <c r="DH113" s="313">
        <f t="shared" si="319"/>
        <v>240.76466623781465</v>
      </c>
      <c r="DI113" s="313">
        <f t="shared" si="320"/>
        <v>0</v>
      </c>
      <c r="DJ113" s="313">
        <f t="shared" si="321"/>
        <v>0</v>
      </c>
      <c r="DK113" s="313">
        <f t="shared" si="330"/>
        <v>24703.203642436518</v>
      </c>
      <c r="DL113" s="313">
        <f t="shared" si="322"/>
        <v>126362.07829342299</v>
      </c>
      <c r="DM113" s="314">
        <f t="shared" si="333"/>
        <v>16.987678298321043</v>
      </c>
      <c r="DN113" s="312">
        <f t="shared" si="334"/>
        <v>0.15167569909215217</v>
      </c>
      <c r="DO113" s="312">
        <f t="shared" si="331"/>
        <v>0.92601794706851792</v>
      </c>
      <c r="DP113" s="315">
        <f t="shared" si="335"/>
        <v>6.3518345578652144E-2</v>
      </c>
      <c r="DQ113" s="316">
        <f t="shared" si="325"/>
        <v>0.26381921637916783</v>
      </c>
      <c r="DR113" s="316">
        <f t="shared" si="326"/>
        <v>31.47043328191651</v>
      </c>
      <c r="DS113" s="314">
        <f t="shared" si="327"/>
        <v>3.5588960277949928</v>
      </c>
      <c r="DT113" s="316">
        <f t="shared" si="336"/>
        <v>31.47043328191651</v>
      </c>
      <c r="DU113" s="314">
        <f t="shared" si="337"/>
        <v>3.5588960277949928</v>
      </c>
      <c r="DV113" s="316">
        <f t="shared" si="332"/>
        <v>122.3641404574052</v>
      </c>
      <c r="DW113" s="310">
        <f t="shared" si="338"/>
        <v>3.9962688265703159</v>
      </c>
      <c r="FB113" s="307"/>
      <c r="FC113" s="307"/>
      <c r="FF113" s="307"/>
      <c r="FG113" s="307"/>
      <c r="FH113" s="306"/>
      <c r="FJ113" s="307"/>
      <c r="FK113" s="307"/>
      <c r="FL113" s="306"/>
      <c r="FM113" s="307"/>
      <c r="FN113" s="306"/>
      <c r="FO113" s="307"/>
      <c r="FP113" s="306"/>
    </row>
    <row r="114" spans="29:172">
      <c r="AC114" s="156"/>
      <c r="AG114" s="188">
        <v>89</v>
      </c>
      <c r="AH114" s="183">
        <v>65</v>
      </c>
      <c r="AI114" s="190">
        <v>413</v>
      </c>
      <c r="AJ114" s="185">
        <v>89</v>
      </c>
      <c r="AK114" s="183">
        <f t="shared" si="344"/>
        <v>413</v>
      </c>
      <c r="AM114" s="188">
        <v>89</v>
      </c>
      <c r="AN114" s="183">
        <v>330</v>
      </c>
      <c r="AO114" s="182">
        <v>5.6300000000000003E-2</v>
      </c>
      <c r="AP114" s="185">
        <v>89</v>
      </c>
      <c r="AQ114" s="184">
        <f t="shared" si="345"/>
        <v>5.6300000000000003E-2</v>
      </c>
      <c r="AR114" s="190">
        <v>413</v>
      </c>
      <c r="AS114" s="185">
        <v>89</v>
      </c>
      <c r="AT114" s="183">
        <f t="shared" si="346"/>
        <v>413</v>
      </c>
      <c r="AV114" s="188">
        <v>89</v>
      </c>
      <c r="AW114" s="183">
        <v>330</v>
      </c>
      <c r="AX114" s="182">
        <v>5.6300000000000003E-2</v>
      </c>
      <c r="AY114" s="185">
        <v>89</v>
      </c>
      <c r="AZ114" s="184">
        <f t="shared" si="347"/>
        <v>5.6300000000000003E-2</v>
      </c>
      <c r="BA114" s="190">
        <v>413</v>
      </c>
      <c r="BB114" s="185">
        <v>89</v>
      </c>
      <c r="BC114" s="183">
        <f t="shared" si="348"/>
        <v>413</v>
      </c>
      <c r="BE114" s="188">
        <v>89</v>
      </c>
      <c r="BF114" s="183">
        <v>330</v>
      </c>
      <c r="BG114" s="182">
        <v>5.6300000000000003E-2</v>
      </c>
      <c r="BH114" s="185">
        <v>89</v>
      </c>
      <c r="BI114" s="184">
        <f t="shared" si="349"/>
        <v>5.6300000000000003E-2</v>
      </c>
      <c r="BJ114" s="154"/>
      <c r="BK114" s="533">
        <v>89</v>
      </c>
      <c r="BL114" s="183">
        <f t="shared" si="350"/>
        <v>330</v>
      </c>
      <c r="BM114" s="155">
        <v>330</v>
      </c>
      <c r="CW114" s="364"/>
      <c r="CX114" s="309"/>
      <c r="CY114" s="313"/>
      <c r="DA114" s="309">
        <v>113</v>
      </c>
      <c r="DB114" s="313">
        <f t="shared" si="340"/>
        <v>241.12863647208087</v>
      </c>
      <c r="DC114" s="309">
        <f t="shared" si="341"/>
        <v>1</v>
      </c>
      <c r="DD114" s="309">
        <f t="shared" si="342"/>
        <v>260</v>
      </c>
      <c r="DE114" s="308">
        <f t="shared" si="343"/>
        <v>6.5000000000000002E-2</v>
      </c>
      <c r="DF114" s="313">
        <f t="shared" si="329"/>
        <v>113</v>
      </c>
      <c r="DG114" s="313">
        <f t="shared" si="318"/>
        <v>241.12863647208087</v>
      </c>
      <c r="DH114" s="313">
        <f t="shared" si="319"/>
        <v>241.12863647208087</v>
      </c>
      <c r="DI114" s="313">
        <f t="shared" si="320"/>
        <v>0</v>
      </c>
      <c r="DJ114" s="313">
        <f t="shared" si="321"/>
        <v>0</v>
      </c>
      <c r="DK114" s="313">
        <f t="shared" si="330"/>
        <v>24944.332278908598</v>
      </c>
      <c r="DL114" s="313">
        <f t="shared" si="322"/>
        <v>126121.31362718518</v>
      </c>
      <c r="DM114" s="314">
        <f t="shared" si="333"/>
        <v>17.060260465736118</v>
      </c>
      <c r="DN114" s="312">
        <f t="shared" si="334"/>
        <v>0.15097575633394794</v>
      </c>
      <c r="DO114" s="312">
        <f t="shared" si="331"/>
        <v>0.92741783258492638</v>
      </c>
      <c r="DP114" s="315">
        <f t="shared" si="335"/>
        <v>6.354713705254679E-2</v>
      </c>
      <c r="DQ114" s="316">
        <f t="shared" si="325"/>
        <v>0.26354039894346853</v>
      </c>
      <c r="DR114" s="316">
        <f t="shared" si="326"/>
        <v>31.733973680859979</v>
      </c>
      <c r="DS114" s="314">
        <f t="shared" si="327"/>
        <v>3.5608525152384174</v>
      </c>
      <c r="DT114" s="316">
        <f t="shared" si="336"/>
        <v>31.733973680859979</v>
      </c>
      <c r="DU114" s="314">
        <f t="shared" si="337"/>
        <v>3.5608525152384174</v>
      </c>
      <c r="DV114" s="316">
        <f t="shared" si="332"/>
        <v>122.10032124102604</v>
      </c>
      <c r="DW114" s="310">
        <f t="shared" si="338"/>
        <v>3.9967134815041803</v>
      </c>
      <c r="FB114" s="307"/>
      <c r="FC114" s="307"/>
      <c r="FF114" s="307"/>
      <c r="FG114" s="307"/>
      <c r="FH114" s="306"/>
      <c r="FJ114" s="307"/>
      <c r="FK114" s="307"/>
      <c r="FL114" s="306"/>
      <c r="FM114" s="307"/>
      <c r="FN114" s="306"/>
      <c r="FO114" s="307"/>
      <c r="FP114" s="306"/>
    </row>
    <row r="115" spans="29:172">
      <c r="AC115" s="156"/>
      <c r="AG115" s="188">
        <v>90</v>
      </c>
      <c r="AH115" s="183">
        <v>60</v>
      </c>
      <c r="AI115" s="190">
        <v>412</v>
      </c>
      <c r="AJ115" s="185">
        <v>90</v>
      </c>
      <c r="AK115" s="183">
        <f t="shared" si="344"/>
        <v>412</v>
      </c>
      <c r="AM115" s="188">
        <v>90</v>
      </c>
      <c r="AN115" s="183">
        <v>320</v>
      </c>
      <c r="AO115" s="182">
        <v>5.62E-2</v>
      </c>
      <c r="AP115" s="185">
        <v>90</v>
      </c>
      <c r="AQ115" s="184">
        <f t="shared" si="345"/>
        <v>5.62E-2</v>
      </c>
      <c r="AR115" s="190">
        <v>412</v>
      </c>
      <c r="AS115" s="185">
        <v>90</v>
      </c>
      <c r="AT115" s="183">
        <f t="shared" si="346"/>
        <v>412</v>
      </c>
      <c r="AV115" s="188">
        <v>90</v>
      </c>
      <c r="AW115" s="183">
        <v>320</v>
      </c>
      <c r="AX115" s="182">
        <v>5.62E-2</v>
      </c>
      <c r="AY115" s="185">
        <v>90</v>
      </c>
      <c r="AZ115" s="184">
        <f t="shared" si="347"/>
        <v>5.62E-2</v>
      </c>
      <c r="BA115" s="190">
        <v>412</v>
      </c>
      <c r="BB115" s="185">
        <v>90</v>
      </c>
      <c r="BC115" s="183">
        <f t="shared" si="348"/>
        <v>412</v>
      </c>
      <c r="BE115" s="188">
        <v>90</v>
      </c>
      <c r="BF115" s="183">
        <v>320</v>
      </c>
      <c r="BG115" s="182">
        <v>5.62E-2</v>
      </c>
      <c r="BH115" s="185">
        <v>90</v>
      </c>
      <c r="BI115" s="184">
        <f t="shared" si="349"/>
        <v>5.62E-2</v>
      </c>
      <c r="BJ115" s="154"/>
      <c r="BK115" s="533">
        <v>90</v>
      </c>
      <c r="BL115" s="183">
        <f t="shared" si="350"/>
        <v>320</v>
      </c>
      <c r="BM115" s="155">
        <v>320</v>
      </c>
      <c r="CW115" s="364"/>
      <c r="CX115" s="309"/>
      <c r="CY115" s="313"/>
      <c r="DA115" s="309">
        <v>114</v>
      </c>
      <c r="DB115" s="313">
        <f t="shared" si="340"/>
        <v>241.49260670634706</v>
      </c>
      <c r="DC115" s="309">
        <f t="shared" si="341"/>
        <v>1</v>
      </c>
      <c r="DD115" s="309">
        <f t="shared" si="342"/>
        <v>260</v>
      </c>
      <c r="DE115" s="308">
        <f t="shared" si="343"/>
        <v>6.5000000000000002E-2</v>
      </c>
      <c r="DF115" s="313">
        <f t="shared" si="329"/>
        <v>114</v>
      </c>
      <c r="DG115" s="313">
        <f t="shared" si="318"/>
        <v>241.49260670634706</v>
      </c>
      <c r="DH115" s="313">
        <f t="shared" si="319"/>
        <v>241.49260670634706</v>
      </c>
      <c r="DI115" s="313">
        <f t="shared" si="320"/>
        <v>0</v>
      </c>
      <c r="DJ115" s="313">
        <f t="shared" si="321"/>
        <v>0</v>
      </c>
      <c r="DK115" s="313">
        <f t="shared" si="330"/>
        <v>25185.824885614944</v>
      </c>
      <c r="DL115" s="313">
        <f t="shared" si="322"/>
        <v>125880.1849907131</v>
      </c>
      <c r="DM115" s="314">
        <f t="shared" si="333"/>
        <v>17.131442747634782</v>
      </c>
      <c r="DN115" s="312">
        <f t="shared" si="334"/>
        <v>0.15027581357574371</v>
      </c>
      <c r="DO115" s="312">
        <f t="shared" si="331"/>
        <v>0.92881771810133484</v>
      </c>
      <c r="DP115" s="315">
        <f t="shared" si="335"/>
        <v>6.3575898121104646E-2</v>
      </c>
      <c r="DQ115" s="316">
        <f t="shared" si="325"/>
        <v>0.26326229605203771</v>
      </c>
      <c r="DR115" s="316">
        <f t="shared" si="326"/>
        <v>31.997235976912016</v>
      </c>
      <c r="DS115" s="314">
        <f t="shared" si="327"/>
        <v>3.5628077400891143</v>
      </c>
      <c r="DT115" s="316">
        <f t="shared" si="336"/>
        <v>31.997235976912016</v>
      </c>
      <c r="DU115" s="314">
        <f t="shared" si="337"/>
        <v>3.5628077400891143</v>
      </c>
      <c r="DV115" s="316">
        <f t="shared" si="332"/>
        <v>121.83678084208258</v>
      </c>
      <c r="DW115" s="310">
        <f t="shared" si="338"/>
        <v>3.9971509148064226</v>
      </c>
      <c r="FB115" s="307"/>
      <c r="FC115" s="307"/>
      <c r="FF115" s="307"/>
      <c r="FG115" s="307"/>
      <c r="FH115" s="306"/>
      <c r="FJ115" s="307"/>
      <c r="FK115" s="307"/>
      <c r="FL115" s="306"/>
      <c r="FM115" s="307"/>
      <c r="FN115" s="306"/>
      <c r="FO115" s="307"/>
      <c r="FP115" s="306"/>
    </row>
    <row r="116" spans="29:172">
      <c r="AC116" s="156"/>
      <c r="AG116" s="188">
        <v>91</v>
      </c>
      <c r="AH116" s="183">
        <v>55</v>
      </c>
      <c r="AI116" s="190">
        <v>411</v>
      </c>
      <c r="AJ116" s="185">
        <v>91</v>
      </c>
      <c r="AK116" s="183">
        <f t="shared" si="344"/>
        <v>411</v>
      </c>
      <c r="AM116" s="188">
        <v>91</v>
      </c>
      <c r="AN116" s="183">
        <v>310</v>
      </c>
      <c r="AO116" s="182">
        <v>5.6099999999999997E-2</v>
      </c>
      <c r="AP116" s="185">
        <v>91</v>
      </c>
      <c r="AQ116" s="184">
        <f t="shared" si="345"/>
        <v>5.6099999999999997E-2</v>
      </c>
      <c r="AR116" s="190">
        <v>411</v>
      </c>
      <c r="AS116" s="185">
        <v>91</v>
      </c>
      <c r="AT116" s="183">
        <f t="shared" si="346"/>
        <v>411</v>
      </c>
      <c r="AV116" s="188">
        <v>91</v>
      </c>
      <c r="AW116" s="183">
        <v>310</v>
      </c>
      <c r="AX116" s="182">
        <v>5.6099999999999997E-2</v>
      </c>
      <c r="AY116" s="185">
        <v>91</v>
      </c>
      <c r="AZ116" s="184">
        <f t="shared" si="347"/>
        <v>5.6099999999999997E-2</v>
      </c>
      <c r="BA116" s="190">
        <v>411</v>
      </c>
      <c r="BB116" s="185">
        <v>91</v>
      </c>
      <c r="BC116" s="183">
        <f t="shared" si="348"/>
        <v>411</v>
      </c>
      <c r="BE116" s="188">
        <v>91</v>
      </c>
      <c r="BF116" s="183">
        <v>310</v>
      </c>
      <c r="BG116" s="182">
        <v>5.6099999999999997E-2</v>
      </c>
      <c r="BH116" s="185">
        <v>91</v>
      </c>
      <c r="BI116" s="184">
        <f t="shared" si="349"/>
        <v>5.6099999999999997E-2</v>
      </c>
      <c r="BJ116" s="154"/>
      <c r="BK116" s="533">
        <v>91</v>
      </c>
      <c r="BL116" s="183">
        <f t="shared" si="350"/>
        <v>310</v>
      </c>
      <c r="BM116" s="155">
        <v>310</v>
      </c>
      <c r="CW116" s="364"/>
      <c r="CX116" s="309"/>
      <c r="CY116" s="313"/>
      <c r="DA116" s="309">
        <v>115</v>
      </c>
      <c r="DB116" s="313">
        <f t="shared" si="340"/>
        <v>241.85657694061325</v>
      </c>
      <c r="DC116" s="309">
        <f t="shared" si="341"/>
        <v>1</v>
      </c>
      <c r="DD116" s="309">
        <f t="shared" si="342"/>
        <v>260</v>
      </c>
      <c r="DE116" s="308">
        <f t="shared" si="343"/>
        <v>6.5000000000000002E-2</v>
      </c>
      <c r="DF116" s="313">
        <f t="shared" si="329"/>
        <v>115</v>
      </c>
      <c r="DG116" s="313">
        <f t="shared" si="318"/>
        <v>241.85657694061325</v>
      </c>
      <c r="DH116" s="313">
        <f t="shared" si="319"/>
        <v>241.85657694061325</v>
      </c>
      <c r="DI116" s="313">
        <f t="shared" si="320"/>
        <v>0</v>
      </c>
      <c r="DJ116" s="313">
        <f t="shared" si="321"/>
        <v>0</v>
      </c>
      <c r="DK116" s="313">
        <f t="shared" si="330"/>
        <v>25427.681462555556</v>
      </c>
      <c r="DL116" s="313">
        <f t="shared" si="322"/>
        <v>125638.69238400675</v>
      </c>
      <c r="DM116" s="314">
        <f t="shared" si="333"/>
        <v>17.201225144017037</v>
      </c>
      <c r="DN116" s="312">
        <f t="shared" si="334"/>
        <v>0.14957587081753945</v>
      </c>
      <c r="DO116" s="312">
        <f t="shared" si="331"/>
        <v>0.9302176036177433</v>
      </c>
      <c r="DP116" s="315">
        <f t="shared" si="335"/>
        <v>6.3604628862188872E-2</v>
      </c>
      <c r="DQ116" s="316">
        <f t="shared" si="325"/>
        <v>0.26298490480085929</v>
      </c>
      <c r="DR116" s="316">
        <f t="shared" si="326"/>
        <v>32.260220881712875</v>
      </c>
      <c r="DS116" s="314">
        <f t="shared" si="327"/>
        <v>3.5647617051868745</v>
      </c>
      <c r="DT116" s="316">
        <f t="shared" si="336"/>
        <v>32.260220881712875</v>
      </c>
      <c r="DU116" s="314">
        <f t="shared" si="337"/>
        <v>3.5647617051868745</v>
      </c>
      <c r="DV116" s="316">
        <f t="shared" si="332"/>
        <v>121.57351854603054</v>
      </c>
      <c r="DW116" s="310">
        <f t="shared" si="338"/>
        <v>3.9975810999990857</v>
      </c>
      <c r="FB116" s="307"/>
      <c r="FC116" s="307"/>
      <c r="FF116" s="307"/>
      <c r="FG116" s="307"/>
      <c r="FH116" s="306"/>
      <c r="FJ116" s="307"/>
      <c r="FK116" s="307"/>
      <c r="FL116" s="306"/>
      <c r="FM116" s="307"/>
      <c r="FN116" s="306"/>
      <c r="FO116" s="307"/>
      <c r="FP116" s="306"/>
    </row>
    <row r="117" spans="29:172">
      <c r="AC117" s="156"/>
      <c r="AG117" s="188">
        <v>92</v>
      </c>
      <c r="AH117" s="183">
        <v>50</v>
      </c>
      <c r="AI117" s="190">
        <v>410</v>
      </c>
      <c r="AJ117" s="185">
        <v>92</v>
      </c>
      <c r="AK117" s="183">
        <f t="shared" si="344"/>
        <v>410</v>
      </c>
      <c r="AM117" s="188">
        <v>92</v>
      </c>
      <c r="AN117" s="183">
        <v>300</v>
      </c>
      <c r="AO117" s="182">
        <v>5.6000000000000001E-2</v>
      </c>
      <c r="AP117" s="185">
        <v>92</v>
      </c>
      <c r="AQ117" s="184">
        <f t="shared" si="345"/>
        <v>5.6000000000000001E-2</v>
      </c>
      <c r="AR117" s="190">
        <v>410</v>
      </c>
      <c r="AS117" s="185">
        <v>92</v>
      </c>
      <c r="AT117" s="183">
        <f t="shared" si="346"/>
        <v>410</v>
      </c>
      <c r="AV117" s="188">
        <v>92</v>
      </c>
      <c r="AW117" s="183">
        <v>300</v>
      </c>
      <c r="AX117" s="182">
        <v>5.6000000000000001E-2</v>
      </c>
      <c r="AY117" s="185">
        <v>92</v>
      </c>
      <c r="AZ117" s="184">
        <f t="shared" si="347"/>
        <v>5.6000000000000001E-2</v>
      </c>
      <c r="BA117" s="190">
        <v>410</v>
      </c>
      <c r="BB117" s="185">
        <v>92</v>
      </c>
      <c r="BC117" s="183">
        <f t="shared" si="348"/>
        <v>410</v>
      </c>
      <c r="BE117" s="188">
        <v>92</v>
      </c>
      <c r="BF117" s="183">
        <v>300</v>
      </c>
      <c r="BG117" s="182">
        <v>5.6000000000000001E-2</v>
      </c>
      <c r="BH117" s="185">
        <v>92</v>
      </c>
      <c r="BI117" s="184">
        <f t="shared" si="349"/>
        <v>5.6000000000000001E-2</v>
      </c>
      <c r="BJ117" s="154"/>
      <c r="BK117" s="533">
        <v>92</v>
      </c>
      <c r="BL117" s="183">
        <f t="shared" si="350"/>
        <v>300</v>
      </c>
      <c r="BM117" s="155">
        <v>300</v>
      </c>
      <c r="CW117" s="364"/>
      <c r="CX117" s="309"/>
      <c r="CY117" s="313"/>
      <c r="DA117" s="309">
        <v>116</v>
      </c>
      <c r="DB117" s="313">
        <f t="shared" si="340"/>
        <v>242.22054717487947</v>
      </c>
      <c r="DC117" s="309">
        <f t="shared" si="341"/>
        <v>1</v>
      </c>
      <c r="DD117" s="309">
        <f t="shared" si="342"/>
        <v>260</v>
      </c>
      <c r="DE117" s="308">
        <f t="shared" si="343"/>
        <v>6.5000000000000002E-2</v>
      </c>
      <c r="DF117" s="313">
        <f t="shared" si="329"/>
        <v>116</v>
      </c>
      <c r="DG117" s="313">
        <f t="shared" si="318"/>
        <v>242.22054717487947</v>
      </c>
      <c r="DH117" s="313">
        <f t="shared" si="319"/>
        <v>242.22054717487947</v>
      </c>
      <c r="DI117" s="313">
        <f t="shared" si="320"/>
        <v>0</v>
      </c>
      <c r="DJ117" s="313">
        <f t="shared" si="321"/>
        <v>0</v>
      </c>
      <c r="DK117" s="313">
        <f t="shared" si="330"/>
        <v>25669.902009730435</v>
      </c>
      <c r="DL117" s="313">
        <f t="shared" si="322"/>
        <v>125396.83580706613</v>
      </c>
      <c r="DM117" s="314">
        <f t="shared" si="333"/>
        <v>17.269607654882886</v>
      </c>
      <c r="DN117" s="312">
        <f t="shared" si="334"/>
        <v>0.14887592805933522</v>
      </c>
      <c r="DO117" s="312">
        <f t="shared" si="331"/>
        <v>0.93161748913415177</v>
      </c>
      <c r="DP117" s="315">
        <f t="shared" si="335"/>
        <v>6.363332935334641E-2</v>
      </c>
      <c r="DQ117" s="316">
        <f t="shared" si="325"/>
        <v>0.26270822230206647</v>
      </c>
      <c r="DR117" s="316">
        <f t="shared" si="326"/>
        <v>32.522929104014942</v>
      </c>
      <c r="DS117" s="314">
        <f t="shared" si="327"/>
        <v>3.5667144133607525</v>
      </c>
      <c r="DT117" s="316">
        <f t="shared" si="336"/>
        <v>32.522929104014942</v>
      </c>
      <c r="DU117" s="314">
        <f t="shared" si="337"/>
        <v>3.5667144133607525</v>
      </c>
      <c r="DV117" s="316">
        <f t="shared" si="332"/>
        <v>121.31053364122968</v>
      </c>
      <c r="DW117" s="310">
        <f t="shared" si="338"/>
        <v>3.9980040103884562</v>
      </c>
      <c r="FB117" s="307"/>
      <c r="FC117" s="307"/>
      <c r="FF117" s="307"/>
      <c r="FG117" s="307"/>
      <c r="FH117" s="306"/>
      <c r="FJ117" s="307"/>
      <c r="FK117" s="307"/>
      <c r="FL117" s="306"/>
      <c r="FM117" s="307"/>
      <c r="FN117" s="306"/>
      <c r="FO117" s="307"/>
      <c r="FP117" s="306"/>
    </row>
    <row r="118" spans="29:172">
      <c r="AC118" s="156"/>
      <c r="AG118" s="188">
        <v>93</v>
      </c>
      <c r="AH118" s="183">
        <v>45</v>
      </c>
      <c r="AI118" s="190">
        <v>409</v>
      </c>
      <c r="AJ118" s="185">
        <v>93</v>
      </c>
      <c r="AK118" s="183">
        <f t="shared" si="344"/>
        <v>409</v>
      </c>
      <c r="AM118" s="188">
        <v>93</v>
      </c>
      <c r="AN118" s="183">
        <v>290</v>
      </c>
      <c r="AO118" s="182">
        <v>5.5899999999999998E-2</v>
      </c>
      <c r="AP118" s="185">
        <v>93</v>
      </c>
      <c r="AQ118" s="184">
        <f t="shared" si="345"/>
        <v>5.5899999999999998E-2</v>
      </c>
      <c r="AR118" s="190">
        <v>409</v>
      </c>
      <c r="AS118" s="185">
        <v>93</v>
      </c>
      <c r="AT118" s="183">
        <f t="shared" si="346"/>
        <v>409</v>
      </c>
      <c r="AV118" s="188">
        <v>93</v>
      </c>
      <c r="AW118" s="183">
        <v>290</v>
      </c>
      <c r="AX118" s="182">
        <v>5.5899999999999998E-2</v>
      </c>
      <c r="AY118" s="185">
        <v>93</v>
      </c>
      <c r="AZ118" s="184">
        <f t="shared" si="347"/>
        <v>5.5899999999999998E-2</v>
      </c>
      <c r="BA118" s="190">
        <v>409</v>
      </c>
      <c r="BB118" s="185">
        <v>93</v>
      </c>
      <c r="BC118" s="183">
        <f t="shared" si="348"/>
        <v>409</v>
      </c>
      <c r="BE118" s="188">
        <v>93</v>
      </c>
      <c r="BF118" s="183">
        <v>290</v>
      </c>
      <c r="BG118" s="182">
        <v>5.5899999999999998E-2</v>
      </c>
      <c r="BH118" s="185">
        <v>93</v>
      </c>
      <c r="BI118" s="184">
        <f t="shared" si="349"/>
        <v>5.5899999999999998E-2</v>
      </c>
      <c r="BJ118" s="154"/>
      <c r="BK118" s="533">
        <v>93</v>
      </c>
      <c r="BL118" s="183">
        <f t="shared" si="350"/>
        <v>290</v>
      </c>
      <c r="BM118" s="155">
        <v>290</v>
      </c>
      <c r="CW118" s="364"/>
      <c r="CX118" s="309"/>
      <c r="CY118" s="313"/>
      <c r="DA118" s="309">
        <v>117</v>
      </c>
      <c r="DB118" s="313">
        <f t="shared" si="340"/>
        <v>242.58451740914569</v>
      </c>
      <c r="DC118" s="309">
        <f t="shared" si="341"/>
        <v>1</v>
      </c>
      <c r="DD118" s="309">
        <f t="shared" si="342"/>
        <v>260</v>
      </c>
      <c r="DE118" s="308">
        <f t="shared" si="343"/>
        <v>6.5000000000000002E-2</v>
      </c>
      <c r="DF118" s="313">
        <f t="shared" si="329"/>
        <v>117</v>
      </c>
      <c r="DG118" s="313">
        <f t="shared" si="318"/>
        <v>242.58451740914569</v>
      </c>
      <c r="DH118" s="313">
        <f t="shared" si="319"/>
        <v>242.58451740914569</v>
      </c>
      <c r="DI118" s="313">
        <f t="shared" si="320"/>
        <v>0</v>
      </c>
      <c r="DJ118" s="313">
        <f t="shared" si="321"/>
        <v>0</v>
      </c>
      <c r="DK118" s="313">
        <f t="shared" si="330"/>
        <v>25912.486527139579</v>
      </c>
      <c r="DL118" s="313">
        <f t="shared" si="322"/>
        <v>125154.61525989126</v>
      </c>
      <c r="DM118" s="314">
        <f t="shared" si="333"/>
        <v>17.336590280232326</v>
      </c>
      <c r="DN118" s="312">
        <f t="shared" si="334"/>
        <v>0.14817598530113099</v>
      </c>
      <c r="DO118" s="312">
        <f t="shared" si="331"/>
        <v>0.93301737465056034</v>
      </c>
      <c r="DP118" s="315">
        <f t="shared" si="335"/>
        <v>6.3661999671809757E-2</v>
      </c>
      <c r="DQ118" s="316">
        <f t="shared" si="325"/>
        <v>0.26243224568382795</v>
      </c>
      <c r="DR118" s="316">
        <f t="shared" si="326"/>
        <v>32.785361349698768</v>
      </c>
      <c r="DS118" s="314">
        <f t="shared" si="327"/>
        <v>3.568665867429123</v>
      </c>
      <c r="DT118" s="316">
        <f t="shared" si="336"/>
        <v>32.785361349698768</v>
      </c>
      <c r="DU118" s="314">
        <f t="shared" si="337"/>
        <v>3.568665867429123</v>
      </c>
      <c r="DV118" s="316">
        <f t="shared" si="332"/>
        <v>121.04782541892762</v>
      </c>
      <c r="DW118" s="310">
        <f t="shared" si="338"/>
        <v>3.9984196190633874</v>
      </c>
      <c r="FB118" s="307"/>
      <c r="FC118" s="307"/>
      <c r="FF118" s="307"/>
      <c r="FG118" s="307"/>
      <c r="FH118" s="306"/>
      <c r="FJ118" s="307"/>
      <c r="FK118" s="307"/>
      <c r="FL118" s="306"/>
      <c r="FM118" s="307"/>
      <c r="FN118" s="306"/>
      <c r="FO118" s="307"/>
      <c r="FP118" s="306"/>
    </row>
    <row r="119" spans="29:172">
      <c r="AC119" s="156"/>
      <c r="AG119" s="188">
        <v>94</v>
      </c>
      <c r="AH119" s="183">
        <v>40</v>
      </c>
      <c r="AI119" s="190">
        <v>408</v>
      </c>
      <c r="AJ119" s="185">
        <v>94</v>
      </c>
      <c r="AK119" s="183">
        <f t="shared" si="344"/>
        <v>408</v>
      </c>
      <c r="AM119" s="188">
        <v>94</v>
      </c>
      <c r="AN119" s="183">
        <v>280</v>
      </c>
      <c r="AO119" s="182">
        <v>5.5800000000000002E-2</v>
      </c>
      <c r="AP119" s="185">
        <v>94</v>
      </c>
      <c r="AQ119" s="184">
        <f t="shared" si="345"/>
        <v>5.5800000000000002E-2</v>
      </c>
      <c r="AR119" s="190">
        <v>408</v>
      </c>
      <c r="AS119" s="185">
        <v>94</v>
      </c>
      <c r="AT119" s="183">
        <f t="shared" si="346"/>
        <v>408</v>
      </c>
      <c r="AV119" s="188">
        <v>94</v>
      </c>
      <c r="AW119" s="183">
        <v>280</v>
      </c>
      <c r="AX119" s="182">
        <v>5.5800000000000002E-2</v>
      </c>
      <c r="AY119" s="185">
        <v>94</v>
      </c>
      <c r="AZ119" s="184">
        <f t="shared" si="347"/>
        <v>5.5800000000000002E-2</v>
      </c>
      <c r="BA119" s="190">
        <v>408</v>
      </c>
      <c r="BB119" s="185">
        <v>94</v>
      </c>
      <c r="BC119" s="183">
        <f t="shared" si="348"/>
        <v>408</v>
      </c>
      <c r="BE119" s="188">
        <v>94</v>
      </c>
      <c r="BF119" s="183">
        <v>280</v>
      </c>
      <c r="BG119" s="182">
        <v>5.5800000000000002E-2</v>
      </c>
      <c r="BH119" s="185">
        <v>94</v>
      </c>
      <c r="BI119" s="184">
        <f t="shared" si="349"/>
        <v>5.5800000000000002E-2</v>
      </c>
      <c r="BJ119" s="154"/>
      <c r="BK119" s="533">
        <v>94</v>
      </c>
      <c r="BL119" s="183">
        <f t="shared" si="350"/>
        <v>280</v>
      </c>
      <c r="BM119" s="155">
        <v>280</v>
      </c>
      <c r="CW119" s="364"/>
      <c r="CX119" s="309"/>
      <c r="CY119" s="313"/>
      <c r="DA119" s="309">
        <v>118</v>
      </c>
      <c r="DB119" s="313">
        <f t="shared" si="340"/>
        <v>242.94848764341188</v>
      </c>
      <c r="DC119" s="309">
        <f t="shared" si="341"/>
        <v>1</v>
      </c>
      <c r="DD119" s="309">
        <f t="shared" si="342"/>
        <v>260</v>
      </c>
      <c r="DE119" s="308">
        <f t="shared" si="343"/>
        <v>6.5000000000000002E-2</v>
      </c>
      <c r="DF119" s="313">
        <f t="shared" si="329"/>
        <v>118</v>
      </c>
      <c r="DG119" s="313">
        <f t="shared" si="318"/>
        <v>242.94848764341188</v>
      </c>
      <c r="DH119" s="313">
        <f t="shared" si="319"/>
        <v>242.94848764341188</v>
      </c>
      <c r="DI119" s="313">
        <f t="shared" si="320"/>
        <v>0</v>
      </c>
      <c r="DJ119" s="313">
        <f t="shared" si="321"/>
        <v>0</v>
      </c>
      <c r="DK119" s="313">
        <f t="shared" si="330"/>
        <v>26155.43501478299</v>
      </c>
      <c r="DL119" s="313">
        <f t="shared" si="322"/>
        <v>124912.03074248211</v>
      </c>
      <c r="DM119" s="314">
        <f t="shared" si="333"/>
        <v>17.402173020065355</v>
      </c>
      <c r="DN119" s="312">
        <f t="shared" si="334"/>
        <v>0.14747604254292673</v>
      </c>
      <c r="DO119" s="312">
        <f t="shared" si="331"/>
        <v>0.9344172601669688</v>
      </c>
      <c r="DP119" s="315">
        <f t="shared" si="335"/>
        <v>6.3690639894498718E-2</v>
      </c>
      <c r="DQ119" s="316">
        <f t="shared" si="325"/>
        <v>0.26215697209023492</v>
      </c>
      <c r="DR119" s="316">
        <f t="shared" si="326"/>
        <v>33.047518321788999</v>
      </c>
      <c r="DS119" s="314">
        <f t="shared" si="327"/>
        <v>3.5706160701997356</v>
      </c>
      <c r="DT119" s="316">
        <f t="shared" si="336"/>
        <v>33.047518321788999</v>
      </c>
      <c r="DU119" s="314">
        <f t="shared" si="337"/>
        <v>3.5706160701997356</v>
      </c>
      <c r="DV119" s="316">
        <f t="shared" si="332"/>
        <v>120.78539317324379</v>
      </c>
      <c r="DW119" s="310">
        <f t="shared" si="338"/>
        <v>3.9988278988936012</v>
      </c>
      <c r="FB119" s="307"/>
      <c r="FC119" s="307"/>
      <c r="FF119" s="307"/>
      <c r="FG119" s="307"/>
      <c r="FH119" s="306"/>
      <c r="FJ119" s="307"/>
      <c r="FK119" s="307"/>
      <c r="FL119" s="306"/>
      <c r="FM119" s="307"/>
      <c r="FN119" s="306"/>
      <c r="FO119" s="307"/>
      <c r="FP119" s="306"/>
    </row>
    <row r="120" spans="29:172">
      <c r="AC120" s="156"/>
      <c r="AG120" s="188">
        <v>95</v>
      </c>
      <c r="AH120" s="183">
        <v>35</v>
      </c>
      <c r="AI120" s="190">
        <v>407</v>
      </c>
      <c r="AJ120" s="185">
        <v>95</v>
      </c>
      <c r="AK120" s="183">
        <f t="shared" si="344"/>
        <v>407</v>
      </c>
      <c r="AM120" s="188">
        <v>95</v>
      </c>
      <c r="AN120" s="183">
        <v>270</v>
      </c>
      <c r="AO120" s="182">
        <v>5.57E-2</v>
      </c>
      <c r="AP120" s="185">
        <v>95</v>
      </c>
      <c r="AQ120" s="184">
        <f t="shared" si="345"/>
        <v>5.57E-2</v>
      </c>
      <c r="AR120" s="190">
        <v>407</v>
      </c>
      <c r="AS120" s="185">
        <v>95</v>
      </c>
      <c r="AT120" s="183">
        <f t="shared" si="346"/>
        <v>407</v>
      </c>
      <c r="AV120" s="188">
        <v>95</v>
      </c>
      <c r="AW120" s="183">
        <v>270</v>
      </c>
      <c r="AX120" s="182">
        <v>5.57E-2</v>
      </c>
      <c r="AY120" s="185">
        <v>95</v>
      </c>
      <c r="AZ120" s="184">
        <f t="shared" si="347"/>
        <v>5.57E-2</v>
      </c>
      <c r="BA120" s="190">
        <v>407</v>
      </c>
      <c r="BB120" s="185">
        <v>95</v>
      </c>
      <c r="BC120" s="183">
        <f t="shared" si="348"/>
        <v>407</v>
      </c>
      <c r="BE120" s="188">
        <v>95</v>
      </c>
      <c r="BF120" s="183">
        <v>270</v>
      </c>
      <c r="BG120" s="182">
        <v>5.57E-2</v>
      </c>
      <c r="BH120" s="185">
        <v>95</v>
      </c>
      <c r="BI120" s="184">
        <f t="shared" si="349"/>
        <v>5.57E-2</v>
      </c>
      <c r="BJ120" s="154"/>
      <c r="BK120" s="533">
        <v>95</v>
      </c>
      <c r="BL120" s="183">
        <f t="shared" si="350"/>
        <v>270</v>
      </c>
      <c r="BM120" s="155">
        <v>270</v>
      </c>
      <c r="CW120" s="364"/>
      <c r="CX120" s="309"/>
      <c r="CY120" s="313"/>
      <c r="DA120" s="309">
        <v>119</v>
      </c>
      <c r="DB120" s="313">
        <f t="shared" si="340"/>
        <v>243.31245787767807</v>
      </c>
      <c r="DC120" s="309">
        <f t="shared" si="341"/>
        <v>1</v>
      </c>
      <c r="DD120" s="309">
        <f t="shared" si="342"/>
        <v>260</v>
      </c>
      <c r="DE120" s="308">
        <f t="shared" si="343"/>
        <v>6.5000000000000002E-2</v>
      </c>
      <c r="DF120" s="313">
        <f t="shared" si="329"/>
        <v>119</v>
      </c>
      <c r="DG120" s="313">
        <f t="shared" si="318"/>
        <v>243.31245787767807</v>
      </c>
      <c r="DH120" s="313">
        <f t="shared" si="319"/>
        <v>243.31245787767807</v>
      </c>
      <c r="DI120" s="313">
        <f t="shared" si="320"/>
        <v>0</v>
      </c>
      <c r="DJ120" s="313">
        <f t="shared" si="321"/>
        <v>0</v>
      </c>
      <c r="DK120" s="313">
        <f t="shared" si="330"/>
        <v>26398.747472660667</v>
      </c>
      <c r="DL120" s="313">
        <f t="shared" si="322"/>
        <v>124669.08225483869</v>
      </c>
      <c r="DM120" s="314">
        <f t="shared" si="333"/>
        <v>17.466355874381978</v>
      </c>
      <c r="DN120" s="312">
        <f t="shared" si="334"/>
        <v>0.1467760997847225</v>
      </c>
      <c r="DO120" s="312">
        <f t="shared" si="331"/>
        <v>0.93581714568337715</v>
      </c>
      <c r="DP120" s="315">
        <f t="shared" si="335"/>
        <v>6.3719250098022095E-2</v>
      </c>
      <c r="DQ120" s="316">
        <f t="shared" si="325"/>
        <v>0.26188239868118901</v>
      </c>
      <c r="DR120" s="316">
        <f t="shared" si="326"/>
        <v>33.309400720470187</v>
      </c>
      <c r="DS120" s="314">
        <f t="shared" si="327"/>
        <v>3.5725650244697715</v>
      </c>
      <c r="DT120" s="316">
        <f t="shared" si="336"/>
        <v>33.309400720470187</v>
      </c>
      <c r="DU120" s="314">
        <f t="shared" si="337"/>
        <v>3.5725650244697715</v>
      </c>
      <c r="DV120" s="316">
        <f t="shared" si="332"/>
        <v>120.52323620115355</v>
      </c>
      <c r="DW120" s="310">
        <f t="shared" si="338"/>
        <v>3.9992288225279724</v>
      </c>
      <c r="FB120" s="307"/>
      <c r="FC120" s="307"/>
      <c r="FF120" s="307"/>
      <c r="FG120" s="307"/>
      <c r="FH120" s="306"/>
      <c r="FJ120" s="307"/>
      <c r="FK120" s="307"/>
      <c r="FL120" s="306"/>
      <c r="FM120" s="307"/>
      <c r="FN120" s="306"/>
      <c r="FO120" s="307"/>
      <c r="FP120" s="306"/>
    </row>
    <row r="121" spans="29:172">
      <c r="AC121" s="156"/>
      <c r="AG121" s="188">
        <v>96</v>
      </c>
      <c r="AH121" s="183">
        <v>30</v>
      </c>
      <c r="AI121" s="190">
        <v>406</v>
      </c>
      <c r="AJ121" s="185">
        <v>96</v>
      </c>
      <c r="AK121" s="183">
        <f t="shared" si="344"/>
        <v>406</v>
      </c>
      <c r="AM121" s="188">
        <v>96</v>
      </c>
      <c r="AN121" s="183">
        <v>260</v>
      </c>
      <c r="AO121" s="182">
        <v>5.5599999999999997E-2</v>
      </c>
      <c r="AP121" s="185">
        <v>96</v>
      </c>
      <c r="AQ121" s="184">
        <f t="shared" si="345"/>
        <v>5.5599999999999997E-2</v>
      </c>
      <c r="AR121" s="190">
        <v>406</v>
      </c>
      <c r="AS121" s="185">
        <v>96</v>
      </c>
      <c r="AT121" s="183">
        <f t="shared" si="346"/>
        <v>406</v>
      </c>
      <c r="AV121" s="188">
        <v>96</v>
      </c>
      <c r="AW121" s="183">
        <v>260</v>
      </c>
      <c r="AX121" s="182">
        <v>5.5599999999999997E-2</v>
      </c>
      <c r="AY121" s="185">
        <v>96</v>
      </c>
      <c r="AZ121" s="184">
        <f t="shared" si="347"/>
        <v>5.5599999999999997E-2</v>
      </c>
      <c r="BA121" s="190">
        <v>406</v>
      </c>
      <c r="BB121" s="185">
        <v>96</v>
      </c>
      <c r="BC121" s="183">
        <f t="shared" si="348"/>
        <v>406</v>
      </c>
      <c r="BE121" s="188">
        <v>96</v>
      </c>
      <c r="BF121" s="183">
        <v>260</v>
      </c>
      <c r="BG121" s="182">
        <v>5.5599999999999997E-2</v>
      </c>
      <c r="BH121" s="185">
        <v>96</v>
      </c>
      <c r="BI121" s="184">
        <f t="shared" si="349"/>
        <v>5.5599999999999997E-2</v>
      </c>
      <c r="BJ121" s="154"/>
      <c r="BK121" s="533">
        <v>96</v>
      </c>
      <c r="BL121" s="183">
        <f t="shared" si="350"/>
        <v>260</v>
      </c>
      <c r="BM121" s="155">
        <v>260</v>
      </c>
      <c r="CW121" s="364"/>
      <c r="CX121" s="309"/>
      <c r="CY121" s="313"/>
      <c r="DA121" s="309">
        <v>120</v>
      </c>
      <c r="DB121" s="313">
        <f t="shared" si="340"/>
        <v>243.67642811194429</v>
      </c>
      <c r="DC121" s="309">
        <f t="shared" si="341"/>
        <v>1</v>
      </c>
      <c r="DD121" s="309">
        <f t="shared" si="342"/>
        <v>260</v>
      </c>
      <c r="DE121" s="308">
        <f t="shared" si="343"/>
        <v>6.5000000000000002E-2</v>
      </c>
      <c r="DF121" s="313">
        <f t="shared" si="329"/>
        <v>120</v>
      </c>
      <c r="DG121" s="313">
        <f t="shared" si="318"/>
        <v>243.67642811194429</v>
      </c>
      <c r="DH121" s="313">
        <f t="shared" si="319"/>
        <v>243.67642811194429</v>
      </c>
      <c r="DI121" s="313">
        <f t="shared" si="320"/>
        <v>0</v>
      </c>
      <c r="DJ121" s="313">
        <f t="shared" si="321"/>
        <v>0</v>
      </c>
      <c r="DK121" s="313">
        <f t="shared" si="330"/>
        <v>26642.42390077261</v>
      </c>
      <c r="DL121" s="313">
        <f t="shared" si="322"/>
        <v>124425.76979696102</v>
      </c>
      <c r="DM121" s="314">
        <f t="shared" si="333"/>
        <v>17.529138843182192</v>
      </c>
      <c r="DN121" s="312">
        <f t="shared" si="334"/>
        <v>0.14607615702651827</v>
      </c>
      <c r="DO121" s="312">
        <f t="shared" si="331"/>
        <v>0.93721703119978572</v>
      </c>
      <c r="DP121" s="315">
        <f t="shared" si="335"/>
        <v>6.3747830358679453E-2</v>
      </c>
      <c r="DQ121" s="316">
        <f t="shared" si="325"/>
        <v>0.26160852263229117</v>
      </c>
      <c r="DR121" s="316">
        <f t="shared" si="326"/>
        <v>33.57100924310248</v>
      </c>
      <c r="DS121" s="314">
        <f t="shared" si="327"/>
        <v>3.5745127330258999</v>
      </c>
      <c r="DT121" s="316">
        <f t="shared" si="336"/>
        <v>33.57100924310248</v>
      </c>
      <c r="DU121" s="314">
        <f t="shared" si="337"/>
        <v>3.5745127330258999</v>
      </c>
      <c r="DV121" s="316">
        <f t="shared" si="332"/>
        <v>120.26135380247236</v>
      </c>
      <c r="DW121" s="310">
        <f t="shared" si="338"/>
        <v>3.9996223623927931</v>
      </c>
      <c r="FB121" s="307"/>
      <c r="FC121" s="307"/>
      <c r="FF121" s="307"/>
      <c r="FG121" s="307"/>
      <c r="FH121" s="306"/>
      <c r="FJ121" s="307"/>
      <c r="FK121" s="307"/>
      <c r="FL121" s="306"/>
      <c r="FM121" s="307"/>
      <c r="FN121" s="306"/>
      <c r="FO121" s="307"/>
      <c r="FP121" s="306"/>
    </row>
    <row r="122" spans="29:172">
      <c r="AC122" s="156"/>
      <c r="AG122" s="188">
        <v>97</v>
      </c>
      <c r="AH122" s="183">
        <v>25</v>
      </c>
      <c r="AI122" s="190">
        <v>405</v>
      </c>
      <c r="AJ122" s="185">
        <v>97</v>
      </c>
      <c r="AK122" s="183">
        <f t="shared" si="344"/>
        <v>405</v>
      </c>
      <c r="AM122" s="188">
        <v>97</v>
      </c>
      <c r="AN122" s="183">
        <v>250</v>
      </c>
      <c r="AO122" s="182">
        <v>5.5500000000000001E-2</v>
      </c>
      <c r="AP122" s="185">
        <v>97</v>
      </c>
      <c r="AQ122" s="184">
        <f t="shared" si="345"/>
        <v>5.5500000000000001E-2</v>
      </c>
      <c r="AR122" s="190">
        <v>405</v>
      </c>
      <c r="AS122" s="185">
        <v>97</v>
      </c>
      <c r="AT122" s="183">
        <f t="shared" si="346"/>
        <v>405</v>
      </c>
      <c r="AV122" s="188">
        <v>97</v>
      </c>
      <c r="AW122" s="183">
        <v>250</v>
      </c>
      <c r="AX122" s="182">
        <v>5.5500000000000001E-2</v>
      </c>
      <c r="AY122" s="185">
        <v>97</v>
      </c>
      <c r="AZ122" s="184">
        <f t="shared" si="347"/>
        <v>5.5500000000000001E-2</v>
      </c>
      <c r="BA122" s="190">
        <v>405</v>
      </c>
      <c r="BB122" s="185">
        <v>97</v>
      </c>
      <c r="BC122" s="183">
        <f t="shared" si="348"/>
        <v>405</v>
      </c>
      <c r="BE122" s="188">
        <v>97</v>
      </c>
      <c r="BF122" s="183">
        <v>250</v>
      </c>
      <c r="BG122" s="182">
        <v>5.5500000000000001E-2</v>
      </c>
      <c r="BH122" s="185">
        <v>97</v>
      </c>
      <c r="BI122" s="184">
        <f t="shared" si="349"/>
        <v>5.5500000000000001E-2</v>
      </c>
      <c r="BJ122" s="154"/>
      <c r="BK122" s="533">
        <v>97</v>
      </c>
      <c r="BL122" s="183">
        <f t="shared" si="350"/>
        <v>250</v>
      </c>
      <c r="BM122" s="155">
        <v>250</v>
      </c>
      <c r="CW122" s="364"/>
      <c r="CX122" s="309"/>
      <c r="CY122" s="313"/>
      <c r="DA122" s="309">
        <v>121</v>
      </c>
      <c r="DB122" s="313">
        <f t="shared" si="340"/>
        <v>244.04039834621048</v>
      </c>
      <c r="DC122" s="309">
        <f t="shared" si="341"/>
        <v>1</v>
      </c>
      <c r="DD122" s="309">
        <f t="shared" si="342"/>
        <v>260</v>
      </c>
      <c r="DE122" s="308">
        <f t="shared" si="343"/>
        <v>6.5000000000000002E-2</v>
      </c>
      <c r="DF122" s="313">
        <f t="shared" si="329"/>
        <v>121</v>
      </c>
      <c r="DG122" s="313">
        <f t="shared" si="318"/>
        <v>244.04039834621048</v>
      </c>
      <c r="DH122" s="313">
        <f t="shared" si="319"/>
        <v>244.04039834621048</v>
      </c>
      <c r="DI122" s="313">
        <f t="shared" si="320"/>
        <v>0</v>
      </c>
      <c r="DJ122" s="313">
        <f t="shared" si="321"/>
        <v>0</v>
      </c>
      <c r="DK122" s="313">
        <f t="shared" si="330"/>
        <v>26886.464299118819</v>
      </c>
      <c r="DL122" s="313">
        <f t="shared" si="322"/>
        <v>124182.09336884908</v>
      </c>
      <c r="DM122" s="314">
        <f t="shared" si="333"/>
        <v>17.590521926465996</v>
      </c>
      <c r="DN122" s="312">
        <f t="shared" si="334"/>
        <v>0.14537621426831401</v>
      </c>
      <c r="DO122" s="312">
        <f t="shared" si="331"/>
        <v>0.93861691671619418</v>
      </c>
      <c r="DP122" s="315">
        <f t="shared" si="335"/>
        <v>6.3776380752462794E-2</v>
      </c>
      <c r="DQ122" s="316">
        <f t="shared" si="325"/>
        <v>0.26133534113473195</v>
      </c>
      <c r="DR122" s="316">
        <f t="shared" si="326"/>
        <v>33.832344584237212</v>
      </c>
      <c r="DS122" s="314">
        <f t="shared" si="327"/>
        <v>3.5764591986443341</v>
      </c>
      <c r="DT122" s="316">
        <f t="shared" si="336"/>
        <v>33.832344584237212</v>
      </c>
      <c r="DU122" s="314">
        <f t="shared" si="337"/>
        <v>3.5764591986443341</v>
      </c>
      <c r="DV122" s="316">
        <f t="shared" si="332"/>
        <v>119.99974527984007</v>
      </c>
      <c r="DW122" s="310">
        <f t="shared" si="338"/>
        <v>4.0000084906900204</v>
      </c>
      <c r="FB122" s="307"/>
      <c r="FC122" s="307"/>
      <c r="FF122" s="307"/>
      <c r="FG122" s="307"/>
      <c r="FH122" s="306"/>
      <c r="FJ122" s="307"/>
      <c r="FK122" s="307"/>
      <c r="FL122" s="306"/>
      <c r="FM122" s="307"/>
      <c r="FN122" s="306"/>
      <c r="FO122" s="307"/>
      <c r="FP122" s="306"/>
    </row>
    <row r="123" spans="29:172">
      <c r="AC123" s="156"/>
      <c r="AG123" s="188">
        <v>98</v>
      </c>
      <c r="AH123" s="183">
        <v>20</v>
      </c>
      <c r="AI123" s="190">
        <v>404</v>
      </c>
      <c r="AJ123" s="185">
        <v>98</v>
      </c>
      <c r="AK123" s="183">
        <f t="shared" si="344"/>
        <v>404</v>
      </c>
      <c r="AM123" s="188">
        <v>98</v>
      </c>
      <c r="AN123" s="183">
        <v>240</v>
      </c>
      <c r="AO123" s="182">
        <v>5.5399999999999998E-2</v>
      </c>
      <c r="AP123" s="185">
        <v>98</v>
      </c>
      <c r="AQ123" s="184">
        <f t="shared" si="345"/>
        <v>5.5399999999999998E-2</v>
      </c>
      <c r="AR123" s="190">
        <v>404</v>
      </c>
      <c r="AS123" s="185">
        <v>98</v>
      </c>
      <c r="AT123" s="183">
        <f t="shared" si="346"/>
        <v>404</v>
      </c>
      <c r="AV123" s="188">
        <v>98</v>
      </c>
      <c r="AW123" s="183">
        <v>240</v>
      </c>
      <c r="AX123" s="182">
        <v>5.5399999999999998E-2</v>
      </c>
      <c r="AY123" s="185">
        <v>98</v>
      </c>
      <c r="AZ123" s="184">
        <f t="shared" si="347"/>
        <v>5.5399999999999998E-2</v>
      </c>
      <c r="BA123" s="190">
        <v>404</v>
      </c>
      <c r="BB123" s="185">
        <v>98</v>
      </c>
      <c r="BC123" s="183">
        <f t="shared" si="348"/>
        <v>404</v>
      </c>
      <c r="BE123" s="188">
        <v>98</v>
      </c>
      <c r="BF123" s="183">
        <v>240</v>
      </c>
      <c r="BG123" s="182">
        <v>5.5399999999999998E-2</v>
      </c>
      <c r="BH123" s="185">
        <v>98</v>
      </c>
      <c r="BI123" s="184">
        <f t="shared" si="349"/>
        <v>5.5399999999999998E-2</v>
      </c>
      <c r="BJ123" s="154"/>
      <c r="BK123" s="533">
        <v>98</v>
      </c>
      <c r="BL123" s="183">
        <f t="shared" ref="BL123:BL146" si="351">MIN(BM123,tot_width)</f>
        <v>240</v>
      </c>
      <c r="BM123" s="155">
        <v>240</v>
      </c>
      <c r="CW123" s="364"/>
      <c r="CX123" s="309"/>
      <c r="CY123" s="313"/>
      <c r="DA123" s="309">
        <v>122</v>
      </c>
      <c r="DB123" s="313">
        <f t="shared" si="340"/>
        <v>244.40436858047667</v>
      </c>
      <c r="DC123" s="309">
        <f t="shared" si="341"/>
        <v>1</v>
      </c>
      <c r="DD123" s="309">
        <f t="shared" si="342"/>
        <v>260</v>
      </c>
      <c r="DE123" s="308">
        <f t="shared" si="343"/>
        <v>6.5000000000000002E-2</v>
      </c>
      <c r="DF123" s="313">
        <f t="shared" si="329"/>
        <v>122</v>
      </c>
      <c r="DG123" s="313">
        <f t="shared" si="318"/>
        <v>244.40436858047667</v>
      </c>
      <c r="DH123" s="313">
        <f t="shared" si="319"/>
        <v>244.40436858047667</v>
      </c>
      <c r="DI123" s="313">
        <f t="shared" si="320"/>
        <v>0</v>
      </c>
      <c r="DJ123" s="313">
        <f t="shared" si="321"/>
        <v>0</v>
      </c>
      <c r="DK123" s="313">
        <f t="shared" si="330"/>
        <v>27130.868667699295</v>
      </c>
      <c r="DL123" s="313">
        <f t="shared" si="322"/>
        <v>123938.05297050286</v>
      </c>
      <c r="DM123" s="314">
        <f t="shared" si="333"/>
        <v>17.650505124233394</v>
      </c>
      <c r="DN123" s="312">
        <f t="shared" si="334"/>
        <v>0.14467627151010978</v>
      </c>
      <c r="DO123" s="312">
        <f t="shared" si="331"/>
        <v>0.94001680223260253</v>
      </c>
      <c r="DP123" s="315">
        <f t="shared" si="335"/>
        <v>6.3804901355058272E-2</v>
      </c>
      <c r="DQ123" s="316">
        <f t="shared" si="325"/>
        <v>0.26106285139518198</v>
      </c>
      <c r="DR123" s="316">
        <f t="shared" si="326"/>
        <v>34.093407435632393</v>
      </c>
      <c r="DS123" s="314">
        <f t="shared" si="327"/>
        <v>3.5784044240908841</v>
      </c>
      <c r="DT123" s="316">
        <f t="shared" si="336"/>
        <v>34.093407435632393</v>
      </c>
      <c r="DU123" s="314">
        <f t="shared" si="337"/>
        <v>3.5784044240908841</v>
      </c>
      <c r="DV123" s="316">
        <f t="shared" si="332"/>
        <v>119.73840993870533</v>
      </c>
      <c r="DW123" s="310">
        <f t="shared" si="338"/>
        <v>4.0003871793955037</v>
      </c>
      <c r="FB123" s="307"/>
      <c r="FC123" s="307"/>
      <c r="FF123" s="307"/>
      <c r="FG123" s="307"/>
      <c r="FH123" s="306"/>
      <c r="FJ123" s="307"/>
      <c r="FK123" s="307"/>
      <c r="FL123" s="306"/>
      <c r="FM123" s="307"/>
      <c r="FN123" s="306"/>
      <c r="FO123" s="307"/>
      <c r="FP123" s="306"/>
    </row>
    <row r="124" spans="29:172">
      <c r="AC124" s="156"/>
      <c r="AG124" s="188">
        <v>99</v>
      </c>
      <c r="AH124" s="183">
        <v>15</v>
      </c>
      <c r="AI124" s="190">
        <v>403</v>
      </c>
      <c r="AJ124" s="185">
        <v>99</v>
      </c>
      <c r="AK124" s="183">
        <f t="shared" si="344"/>
        <v>403</v>
      </c>
      <c r="AM124" s="188">
        <v>99</v>
      </c>
      <c r="AN124" s="183">
        <v>230</v>
      </c>
      <c r="AO124" s="182">
        <v>5.5300000000000002E-2</v>
      </c>
      <c r="AP124" s="185">
        <v>99</v>
      </c>
      <c r="AQ124" s="184">
        <f t="shared" si="345"/>
        <v>5.5300000000000002E-2</v>
      </c>
      <c r="AR124" s="190">
        <v>403</v>
      </c>
      <c r="AS124" s="185">
        <v>99</v>
      </c>
      <c r="AT124" s="183">
        <f t="shared" si="346"/>
        <v>403</v>
      </c>
      <c r="AV124" s="188">
        <v>99</v>
      </c>
      <c r="AW124" s="183">
        <v>230</v>
      </c>
      <c r="AX124" s="182">
        <v>5.5300000000000002E-2</v>
      </c>
      <c r="AY124" s="185">
        <v>99</v>
      </c>
      <c r="AZ124" s="184">
        <f t="shared" si="347"/>
        <v>5.5300000000000002E-2</v>
      </c>
      <c r="BA124" s="190">
        <v>403</v>
      </c>
      <c r="BB124" s="185">
        <v>99</v>
      </c>
      <c r="BC124" s="183">
        <f t="shared" si="348"/>
        <v>403</v>
      </c>
      <c r="BE124" s="188">
        <v>99</v>
      </c>
      <c r="BF124" s="183">
        <v>230</v>
      </c>
      <c r="BG124" s="182">
        <v>5.5300000000000002E-2</v>
      </c>
      <c r="BH124" s="185">
        <v>99</v>
      </c>
      <c r="BI124" s="184">
        <f t="shared" si="349"/>
        <v>5.5300000000000002E-2</v>
      </c>
      <c r="BJ124" s="154"/>
      <c r="BK124" s="533">
        <v>99</v>
      </c>
      <c r="BL124" s="183">
        <f t="shared" si="351"/>
        <v>230</v>
      </c>
      <c r="BM124" s="155">
        <v>230</v>
      </c>
      <c r="CW124" s="364"/>
      <c r="CX124" s="309"/>
      <c r="CY124" s="313"/>
      <c r="DA124" s="309">
        <v>123</v>
      </c>
      <c r="DB124" s="313">
        <f t="shared" si="340"/>
        <v>244.76833881474289</v>
      </c>
      <c r="DC124" s="309">
        <f t="shared" si="341"/>
        <v>1</v>
      </c>
      <c r="DD124" s="309">
        <f t="shared" si="342"/>
        <v>260</v>
      </c>
      <c r="DE124" s="308">
        <f t="shared" si="343"/>
        <v>6.5000000000000002E-2</v>
      </c>
      <c r="DF124" s="313">
        <f t="shared" si="329"/>
        <v>123</v>
      </c>
      <c r="DG124" s="313">
        <f t="shared" si="318"/>
        <v>244.76833881474289</v>
      </c>
      <c r="DH124" s="313">
        <f t="shared" si="319"/>
        <v>244.76833881474289</v>
      </c>
      <c r="DI124" s="313">
        <f t="shared" si="320"/>
        <v>0</v>
      </c>
      <c r="DJ124" s="313">
        <f t="shared" si="321"/>
        <v>0</v>
      </c>
      <c r="DK124" s="313">
        <f t="shared" si="330"/>
        <v>27375.637006514036</v>
      </c>
      <c r="DL124" s="313">
        <f t="shared" si="322"/>
        <v>123693.64860192238</v>
      </c>
      <c r="DM124" s="314">
        <f t="shared" si="333"/>
        <v>17.709088436484382</v>
      </c>
      <c r="DN124" s="312">
        <f t="shared" si="334"/>
        <v>0.14397632875190555</v>
      </c>
      <c r="DO124" s="312">
        <f t="shared" si="331"/>
        <v>0.94141668774901111</v>
      </c>
      <c r="DP124" s="315">
        <f t="shared" si="335"/>
        <v>6.3833392241847892E-2</v>
      </c>
      <c r="DQ124" s="316">
        <f t="shared" si="325"/>
        <v>0.26079105063568409</v>
      </c>
      <c r="DR124" s="316">
        <f t="shared" si="326"/>
        <v>34.354198486268075</v>
      </c>
      <c r="DS124" s="314">
        <f t="shared" si="327"/>
        <v>3.5803484121210127</v>
      </c>
      <c r="DT124" s="316">
        <f t="shared" si="336"/>
        <v>34.354198486268075</v>
      </c>
      <c r="DU124" s="314">
        <f t="shared" si="337"/>
        <v>3.5803484121210127</v>
      </c>
      <c r="DV124" s="316">
        <f t="shared" si="332"/>
        <v>119.47734708731015</v>
      </c>
      <c r="DW124" s="310">
        <f t="shared" si="338"/>
        <v>4.0007584002571903</v>
      </c>
      <c r="FB124" s="307"/>
      <c r="FC124" s="307"/>
      <c r="FF124" s="307"/>
      <c r="FG124" s="307"/>
      <c r="FH124" s="306"/>
      <c r="FJ124" s="307"/>
      <c r="FK124" s="307"/>
      <c r="FL124" s="306"/>
      <c r="FM124" s="307"/>
      <c r="FN124" s="306"/>
      <c r="FO124" s="307"/>
      <c r="FP124" s="306"/>
    </row>
    <row r="125" spans="29:172">
      <c r="AC125" s="156"/>
      <c r="AG125" s="188">
        <v>100</v>
      </c>
      <c r="AH125" s="183">
        <v>10</v>
      </c>
      <c r="AI125" s="190">
        <v>402</v>
      </c>
      <c r="AJ125" s="185">
        <v>100</v>
      </c>
      <c r="AK125" s="183">
        <f t="shared" si="344"/>
        <v>402</v>
      </c>
      <c r="AM125" s="188">
        <v>100</v>
      </c>
      <c r="AN125" s="183">
        <v>220</v>
      </c>
      <c r="AO125" s="182">
        <v>5.5199999999999999E-2</v>
      </c>
      <c r="AP125" s="185">
        <v>100</v>
      </c>
      <c r="AQ125" s="184">
        <f t="shared" si="345"/>
        <v>5.5199999999999999E-2</v>
      </c>
      <c r="AR125" s="190">
        <v>402</v>
      </c>
      <c r="AS125" s="185">
        <v>100</v>
      </c>
      <c r="AT125" s="183">
        <f t="shared" si="346"/>
        <v>402</v>
      </c>
      <c r="AV125" s="188">
        <v>100</v>
      </c>
      <c r="AW125" s="183">
        <v>220</v>
      </c>
      <c r="AX125" s="182">
        <v>5.5199999999999999E-2</v>
      </c>
      <c r="AY125" s="185">
        <v>100</v>
      </c>
      <c r="AZ125" s="184">
        <f t="shared" si="347"/>
        <v>5.5199999999999999E-2</v>
      </c>
      <c r="BA125" s="190">
        <v>402</v>
      </c>
      <c r="BB125" s="185">
        <v>100</v>
      </c>
      <c r="BC125" s="183">
        <f t="shared" si="348"/>
        <v>402</v>
      </c>
      <c r="BE125" s="188">
        <v>100</v>
      </c>
      <c r="BF125" s="183">
        <v>220</v>
      </c>
      <c r="BG125" s="182">
        <v>5.5199999999999999E-2</v>
      </c>
      <c r="BH125" s="185">
        <v>100</v>
      </c>
      <c r="BI125" s="184">
        <f t="shared" si="349"/>
        <v>5.5199999999999999E-2</v>
      </c>
      <c r="BJ125" s="154"/>
      <c r="BK125" s="533">
        <v>100</v>
      </c>
      <c r="BL125" s="183">
        <f t="shared" si="351"/>
        <v>220</v>
      </c>
      <c r="BM125" s="155">
        <v>220</v>
      </c>
      <c r="CW125" s="364"/>
      <c r="CX125" s="309"/>
      <c r="CY125" s="313"/>
      <c r="DA125" s="309">
        <v>124</v>
      </c>
      <c r="DB125" s="313">
        <f t="shared" si="340"/>
        <v>245.13230904900908</v>
      </c>
      <c r="DC125" s="309">
        <f t="shared" si="341"/>
        <v>1</v>
      </c>
      <c r="DD125" s="309">
        <f t="shared" si="342"/>
        <v>260</v>
      </c>
      <c r="DE125" s="308">
        <f t="shared" si="343"/>
        <v>6.5000000000000002E-2</v>
      </c>
      <c r="DF125" s="313">
        <f t="shared" si="329"/>
        <v>124</v>
      </c>
      <c r="DG125" s="313">
        <f t="shared" si="318"/>
        <v>245.13230904900908</v>
      </c>
      <c r="DH125" s="313">
        <f t="shared" si="319"/>
        <v>245.13230904900908</v>
      </c>
      <c r="DI125" s="313">
        <f t="shared" si="320"/>
        <v>0</v>
      </c>
      <c r="DJ125" s="313">
        <f t="shared" si="321"/>
        <v>0</v>
      </c>
      <c r="DK125" s="313">
        <f t="shared" si="330"/>
        <v>27620.769315563044</v>
      </c>
      <c r="DL125" s="313">
        <f t="shared" si="322"/>
        <v>123448.88026310764</v>
      </c>
      <c r="DM125" s="314">
        <f t="shared" si="333"/>
        <v>17.766271863218964</v>
      </c>
      <c r="DN125" s="312">
        <f t="shared" si="334"/>
        <v>0.14327638599370132</v>
      </c>
      <c r="DO125" s="312">
        <f t="shared" si="331"/>
        <v>0.94281657326541957</v>
      </c>
      <c r="DP125" s="315">
        <f t="shared" si="335"/>
        <v>6.3861853487911152E-2</v>
      </c>
      <c r="DQ125" s="316">
        <f t="shared" si="325"/>
        <v>0.26051993609354573</v>
      </c>
      <c r="DR125" s="316">
        <f t="shared" si="326"/>
        <v>34.614718422361619</v>
      </c>
      <c r="DS125" s="314">
        <f t="shared" si="327"/>
        <v>3.5822911654798895</v>
      </c>
      <c r="DT125" s="316">
        <f t="shared" si="336"/>
        <v>34.614718422361619</v>
      </c>
      <c r="DU125" s="314">
        <f t="shared" si="337"/>
        <v>3.5822911654798895</v>
      </c>
      <c r="DV125" s="316">
        <f t="shared" si="332"/>
        <v>119.21655603667446</v>
      </c>
      <c r="DW125" s="310">
        <f t="shared" si="338"/>
        <v>4.0011221247933131</v>
      </c>
      <c r="FB125" s="307"/>
      <c r="FC125" s="307"/>
      <c r="FF125" s="307"/>
      <c r="FG125" s="307"/>
      <c r="FH125" s="306"/>
      <c r="FJ125" s="307"/>
      <c r="FK125" s="307"/>
      <c r="FL125" s="306"/>
      <c r="FM125" s="307"/>
      <c r="FN125" s="306"/>
      <c r="FO125" s="307"/>
      <c r="FP125" s="306"/>
    </row>
    <row r="126" spans="29:172">
      <c r="AC126" s="156"/>
      <c r="AI126" s="190">
        <v>401</v>
      </c>
      <c r="AJ126" s="185">
        <v>101</v>
      </c>
      <c r="AK126" s="183">
        <f t="shared" si="344"/>
        <v>401</v>
      </c>
      <c r="AM126" s="188">
        <v>101</v>
      </c>
      <c r="AN126" s="183">
        <v>210</v>
      </c>
      <c r="AO126" s="182">
        <v>5.5100000000000003E-2</v>
      </c>
      <c r="AP126" s="185">
        <v>101</v>
      </c>
      <c r="AQ126" s="184">
        <f t="shared" si="345"/>
        <v>5.5100000000000003E-2</v>
      </c>
      <c r="AR126" s="190">
        <v>401</v>
      </c>
      <c r="AS126" s="185">
        <v>101</v>
      </c>
      <c r="AT126" s="183">
        <f t="shared" si="346"/>
        <v>401</v>
      </c>
      <c r="AV126" s="188">
        <v>101</v>
      </c>
      <c r="AW126" s="183">
        <v>210</v>
      </c>
      <c r="AX126" s="182">
        <v>5.5100000000000003E-2</v>
      </c>
      <c r="AY126" s="185">
        <v>101</v>
      </c>
      <c r="AZ126" s="184">
        <f t="shared" si="347"/>
        <v>5.5100000000000003E-2</v>
      </c>
      <c r="BA126" s="190">
        <v>401</v>
      </c>
      <c r="BB126" s="185">
        <v>101</v>
      </c>
      <c r="BC126" s="183">
        <f t="shared" si="348"/>
        <v>401</v>
      </c>
      <c r="BE126" s="188">
        <v>101</v>
      </c>
      <c r="BF126" s="183">
        <v>210</v>
      </c>
      <c r="BG126" s="182">
        <v>5.5100000000000003E-2</v>
      </c>
      <c r="BH126" s="185">
        <v>101</v>
      </c>
      <c r="BI126" s="184">
        <f t="shared" si="349"/>
        <v>5.5100000000000003E-2</v>
      </c>
      <c r="BJ126" s="154"/>
      <c r="BK126" s="533">
        <v>101</v>
      </c>
      <c r="BL126" s="183">
        <f t="shared" si="351"/>
        <v>210</v>
      </c>
      <c r="BM126" s="155">
        <v>210</v>
      </c>
      <c r="CW126" s="364"/>
      <c r="CX126" s="309"/>
      <c r="CY126" s="313"/>
      <c r="DA126" s="309">
        <v>125</v>
      </c>
      <c r="DB126" s="313">
        <f t="shared" si="340"/>
        <v>245.4962792832753</v>
      </c>
      <c r="DC126" s="309">
        <f t="shared" si="341"/>
        <v>1</v>
      </c>
      <c r="DD126" s="309">
        <f t="shared" si="342"/>
        <v>260</v>
      </c>
      <c r="DE126" s="308">
        <f t="shared" si="343"/>
        <v>6.5000000000000002E-2</v>
      </c>
      <c r="DF126" s="313">
        <f t="shared" si="329"/>
        <v>125</v>
      </c>
      <c r="DG126" s="313">
        <f t="shared" si="318"/>
        <v>245.4962792832753</v>
      </c>
      <c r="DH126" s="313">
        <f t="shared" si="319"/>
        <v>245.4962792832753</v>
      </c>
      <c r="DI126" s="313">
        <f t="shared" si="320"/>
        <v>0</v>
      </c>
      <c r="DJ126" s="313">
        <f t="shared" si="321"/>
        <v>0</v>
      </c>
      <c r="DK126" s="313">
        <f t="shared" si="330"/>
        <v>27866.265594846318</v>
      </c>
      <c r="DL126" s="313">
        <f t="shared" si="322"/>
        <v>123203.74795405864</v>
      </c>
      <c r="DM126" s="314">
        <f t="shared" si="333"/>
        <v>17.822055404437137</v>
      </c>
      <c r="DN126" s="312">
        <f t="shared" si="334"/>
        <v>0.14257644323549709</v>
      </c>
      <c r="DO126" s="312">
        <f t="shared" si="331"/>
        <v>0.94421645878182803</v>
      </c>
      <c r="DP126" s="315">
        <f t="shared" si="335"/>
        <v>6.3890285168026736E-2</v>
      </c>
      <c r="DQ126" s="316">
        <f t="shared" si="325"/>
        <v>0.26024950502123284</v>
      </c>
      <c r="DR126" s="316">
        <f t="shared" si="326"/>
        <v>34.874967927382855</v>
      </c>
      <c r="DS126" s="314">
        <f t="shared" si="327"/>
        <v>3.5842326869024439</v>
      </c>
      <c r="DT126" s="316">
        <f t="shared" si="336"/>
        <v>34.874967927382855</v>
      </c>
      <c r="DU126" s="314">
        <f t="shared" si="337"/>
        <v>3.5842326869024439</v>
      </c>
      <c r="DV126" s="316">
        <f t="shared" si="332"/>
        <v>118.95603610058092</v>
      </c>
      <c r="DW126" s="310">
        <f t="shared" si="338"/>
        <v>4.0014783242905612</v>
      </c>
      <c r="FB126" s="307"/>
      <c r="FC126" s="307"/>
      <c r="FF126" s="307"/>
      <c r="FG126" s="307"/>
      <c r="FH126" s="306"/>
      <c r="FJ126" s="307"/>
      <c r="FK126" s="307"/>
      <c r="FL126" s="306"/>
      <c r="FM126" s="307"/>
      <c r="FN126" s="306"/>
      <c r="FO126" s="307"/>
      <c r="FP126" s="306"/>
    </row>
    <row r="127" spans="29:172">
      <c r="AC127" s="156"/>
      <c r="AI127" s="190">
        <v>400</v>
      </c>
      <c r="AJ127" s="185">
        <v>102</v>
      </c>
      <c r="AK127" s="183">
        <f t="shared" si="344"/>
        <v>400</v>
      </c>
      <c r="AM127" s="188">
        <v>102</v>
      </c>
      <c r="AN127" s="183">
        <v>200</v>
      </c>
      <c r="AO127" s="182">
        <v>5.5E-2</v>
      </c>
      <c r="AP127" s="185">
        <v>102</v>
      </c>
      <c r="AQ127" s="184">
        <f t="shared" si="345"/>
        <v>5.5E-2</v>
      </c>
      <c r="AR127" s="190">
        <v>400</v>
      </c>
      <c r="AS127" s="185">
        <v>102</v>
      </c>
      <c r="AT127" s="183">
        <f t="shared" si="346"/>
        <v>400</v>
      </c>
      <c r="AV127" s="188">
        <v>102</v>
      </c>
      <c r="AW127" s="183">
        <v>200</v>
      </c>
      <c r="AX127" s="182">
        <v>5.5E-2</v>
      </c>
      <c r="AY127" s="185">
        <v>102</v>
      </c>
      <c r="AZ127" s="184">
        <f t="shared" si="347"/>
        <v>5.5E-2</v>
      </c>
      <c r="BA127" s="190">
        <v>400</v>
      </c>
      <c r="BB127" s="185">
        <v>102</v>
      </c>
      <c r="BC127" s="183">
        <f t="shared" si="348"/>
        <v>400</v>
      </c>
      <c r="BE127" s="188">
        <v>102</v>
      </c>
      <c r="BF127" s="183">
        <v>200</v>
      </c>
      <c r="BG127" s="182">
        <v>5.5E-2</v>
      </c>
      <c r="BH127" s="185">
        <v>102</v>
      </c>
      <c r="BI127" s="184">
        <f t="shared" si="349"/>
        <v>5.5E-2</v>
      </c>
      <c r="BK127" s="533">
        <v>102</v>
      </c>
      <c r="BL127" s="183">
        <f t="shared" si="351"/>
        <v>200</v>
      </c>
      <c r="BM127" s="155">
        <v>200</v>
      </c>
      <c r="CW127" s="364"/>
      <c r="CX127" s="309"/>
      <c r="CY127" s="313"/>
      <c r="DA127" s="309">
        <v>126</v>
      </c>
      <c r="DB127" s="313">
        <f t="shared" si="340"/>
        <v>245.86024951754149</v>
      </c>
      <c r="DC127" s="309">
        <f t="shared" si="341"/>
        <v>1</v>
      </c>
      <c r="DD127" s="309">
        <f t="shared" si="342"/>
        <v>260</v>
      </c>
      <c r="DE127" s="308">
        <f t="shared" si="343"/>
        <v>6.5000000000000002E-2</v>
      </c>
      <c r="DF127" s="313">
        <f t="shared" si="329"/>
        <v>126</v>
      </c>
      <c r="DG127" s="313">
        <f t="shared" si="318"/>
        <v>245.86024951754149</v>
      </c>
      <c r="DH127" s="313">
        <f t="shared" si="319"/>
        <v>245.86024951754149</v>
      </c>
      <c r="DI127" s="313">
        <f t="shared" si="320"/>
        <v>0</v>
      </c>
      <c r="DJ127" s="313">
        <f t="shared" si="321"/>
        <v>0</v>
      </c>
      <c r="DK127" s="313">
        <f t="shared" si="330"/>
        <v>28112.125844363858</v>
      </c>
      <c r="DL127" s="313">
        <f t="shared" si="322"/>
        <v>122958.25167477535</v>
      </c>
      <c r="DM127" s="314">
        <f t="shared" si="333"/>
        <v>17.8764390601389</v>
      </c>
      <c r="DN127" s="312">
        <f t="shared" si="334"/>
        <v>0.14187650047729286</v>
      </c>
      <c r="DO127" s="312">
        <f t="shared" si="331"/>
        <v>0.94561634429823649</v>
      </c>
      <c r="DP127" s="315">
        <f t="shared" si="335"/>
        <v>6.3918687356674095E-2</v>
      </c>
      <c r="DQ127" s="316">
        <f t="shared" si="325"/>
        <v>0.259979754686264</v>
      </c>
      <c r="DR127" s="316">
        <f t="shared" si="326"/>
        <v>35.134947682069118</v>
      </c>
      <c r="DS127" s="314">
        <f t="shared" si="327"/>
        <v>3.5861729791134214</v>
      </c>
      <c r="DT127" s="316">
        <f t="shared" si="336"/>
        <v>35.134947682069118</v>
      </c>
      <c r="DU127" s="314">
        <f t="shared" si="337"/>
        <v>3.5861729791134214</v>
      </c>
      <c r="DV127" s="316">
        <f t="shared" si="332"/>
        <v>118.69578659555968</v>
      </c>
      <c r="DW127" s="310">
        <f t="shared" si="338"/>
        <v>4.0018269698022237</v>
      </c>
      <c r="FB127" s="307"/>
      <c r="FC127" s="307"/>
      <c r="FF127" s="307"/>
      <c r="FG127" s="307"/>
      <c r="FH127" s="306"/>
      <c r="FJ127" s="307"/>
      <c r="FK127" s="307"/>
      <c r="FL127" s="306"/>
      <c r="FM127" s="307"/>
      <c r="FN127" s="306"/>
      <c r="FO127" s="307"/>
      <c r="FP127" s="306"/>
    </row>
    <row r="128" spans="29:172">
      <c r="AC128" s="156"/>
      <c r="AI128" s="190">
        <v>399</v>
      </c>
      <c r="AJ128" s="185">
        <v>103</v>
      </c>
      <c r="AK128" s="183">
        <f t="shared" si="344"/>
        <v>399</v>
      </c>
      <c r="AM128" s="188">
        <v>103</v>
      </c>
      <c r="AN128" s="183">
        <v>190</v>
      </c>
      <c r="AO128" s="182">
        <v>5.4899999999999997E-2</v>
      </c>
      <c r="AP128" s="185">
        <v>103</v>
      </c>
      <c r="AQ128" s="184">
        <f t="shared" si="345"/>
        <v>5.4899999999999997E-2</v>
      </c>
      <c r="AR128" s="190">
        <v>399</v>
      </c>
      <c r="AS128" s="185">
        <v>103</v>
      </c>
      <c r="AT128" s="183">
        <f t="shared" si="346"/>
        <v>399</v>
      </c>
      <c r="AV128" s="188">
        <v>103</v>
      </c>
      <c r="AW128" s="183">
        <v>190</v>
      </c>
      <c r="AX128" s="182">
        <v>5.4899999999999997E-2</v>
      </c>
      <c r="AY128" s="185">
        <v>103</v>
      </c>
      <c r="AZ128" s="184">
        <f t="shared" si="347"/>
        <v>5.4899999999999997E-2</v>
      </c>
      <c r="BA128" s="190">
        <v>399</v>
      </c>
      <c r="BB128" s="185">
        <v>103</v>
      </c>
      <c r="BC128" s="183">
        <f t="shared" si="348"/>
        <v>399</v>
      </c>
      <c r="BE128" s="188">
        <v>103</v>
      </c>
      <c r="BF128" s="183">
        <v>190</v>
      </c>
      <c r="BG128" s="182">
        <v>5.4899999999999997E-2</v>
      </c>
      <c r="BH128" s="185">
        <v>103</v>
      </c>
      <c r="BI128" s="184">
        <f t="shared" si="349"/>
        <v>5.4899999999999997E-2</v>
      </c>
      <c r="BK128" s="533">
        <v>103</v>
      </c>
      <c r="BL128" s="183">
        <f t="shared" si="351"/>
        <v>190</v>
      </c>
      <c r="BM128" s="155">
        <v>190</v>
      </c>
      <c r="CW128" s="364"/>
      <c r="CX128" s="309"/>
      <c r="CY128" s="313"/>
      <c r="DA128" s="309">
        <v>127</v>
      </c>
      <c r="DB128" s="313">
        <f t="shared" si="340"/>
        <v>246.22421975180771</v>
      </c>
      <c r="DC128" s="309">
        <f t="shared" si="341"/>
        <v>1</v>
      </c>
      <c r="DD128" s="309">
        <f t="shared" si="342"/>
        <v>260</v>
      </c>
      <c r="DE128" s="308">
        <f t="shared" si="343"/>
        <v>6.5000000000000002E-2</v>
      </c>
      <c r="DF128" s="313">
        <f t="shared" si="329"/>
        <v>127</v>
      </c>
      <c r="DG128" s="313">
        <f t="shared" si="318"/>
        <v>246.22421975180771</v>
      </c>
      <c r="DH128" s="313">
        <f t="shared" si="319"/>
        <v>246.22421975180771</v>
      </c>
      <c r="DI128" s="313">
        <f t="shared" si="320"/>
        <v>0</v>
      </c>
      <c r="DJ128" s="313">
        <f t="shared" si="321"/>
        <v>0</v>
      </c>
      <c r="DK128" s="313">
        <f t="shared" si="330"/>
        <v>28358.350064115664</v>
      </c>
      <c r="DL128" s="313">
        <f t="shared" si="322"/>
        <v>122712.39142525781</v>
      </c>
      <c r="DM128" s="314">
        <f t="shared" si="333"/>
        <v>17.929422830324256</v>
      </c>
      <c r="DN128" s="312">
        <f t="shared" si="334"/>
        <v>0.14117655771908863</v>
      </c>
      <c r="DO128" s="312">
        <f t="shared" si="331"/>
        <v>0.94701622981464506</v>
      </c>
      <c r="DP128" s="315">
        <f t="shared" si="335"/>
        <v>6.3947060128035194E-2</v>
      </c>
      <c r="DQ128" s="316">
        <f t="shared" si="325"/>
        <v>0.25971068237110623</v>
      </c>
      <c r="DR128" s="316">
        <f t="shared" si="326"/>
        <v>35.394658364440225</v>
      </c>
      <c r="DS128" s="314">
        <f t="shared" si="327"/>
        <v>3.5881120448274322</v>
      </c>
      <c r="DT128" s="316">
        <f t="shared" si="336"/>
        <v>35.394658364440225</v>
      </c>
      <c r="DU128" s="314">
        <f t="shared" si="337"/>
        <v>3.5881120448274322</v>
      </c>
      <c r="DV128" s="316">
        <f t="shared" si="332"/>
        <v>118.43580684087341</v>
      </c>
      <c r="DW128" s="310">
        <f t="shared" si="338"/>
        <v>4.0021680321463196</v>
      </c>
      <c r="FB128" s="307"/>
      <c r="FC128" s="307"/>
      <c r="FF128" s="307"/>
      <c r="FG128" s="307"/>
      <c r="FH128" s="306"/>
      <c r="FJ128" s="307"/>
      <c r="FK128" s="307"/>
      <c r="FL128" s="306"/>
      <c r="FM128" s="307"/>
      <c r="FN128" s="306"/>
      <c r="FO128" s="307"/>
      <c r="FP128" s="306"/>
    </row>
    <row r="129" spans="29:172">
      <c r="AC129" s="156"/>
      <c r="AI129" s="190">
        <v>398</v>
      </c>
      <c r="AJ129" s="185">
        <v>104</v>
      </c>
      <c r="AK129" s="183">
        <f t="shared" si="344"/>
        <v>398</v>
      </c>
      <c r="AM129" s="188">
        <v>104</v>
      </c>
      <c r="AN129" s="183">
        <v>180</v>
      </c>
      <c r="AO129" s="182">
        <v>5.4800000000000001E-2</v>
      </c>
      <c r="AP129" s="185">
        <v>104</v>
      </c>
      <c r="AQ129" s="184">
        <f t="shared" si="345"/>
        <v>5.4800000000000001E-2</v>
      </c>
      <c r="AR129" s="190">
        <v>398</v>
      </c>
      <c r="AS129" s="185">
        <v>104</v>
      </c>
      <c r="AT129" s="183">
        <f t="shared" si="346"/>
        <v>398</v>
      </c>
      <c r="AV129" s="188">
        <v>104</v>
      </c>
      <c r="AW129" s="183">
        <v>180</v>
      </c>
      <c r="AX129" s="182">
        <v>5.4800000000000001E-2</v>
      </c>
      <c r="AY129" s="185">
        <v>104</v>
      </c>
      <c r="AZ129" s="184">
        <f t="shared" si="347"/>
        <v>5.4800000000000001E-2</v>
      </c>
      <c r="BA129" s="190">
        <v>398</v>
      </c>
      <c r="BB129" s="185">
        <v>104</v>
      </c>
      <c r="BC129" s="183">
        <f t="shared" si="348"/>
        <v>398</v>
      </c>
      <c r="BE129" s="188">
        <v>104</v>
      </c>
      <c r="BF129" s="183">
        <v>180</v>
      </c>
      <c r="BG129" s="182">
        <v>5.4800000000000001E-2</v>
      </c>
      <c r="BH129" s="185">
        <v>104</v>
      </c>
      <c r="BI129" s="184">
        <f t="shared" si="349"/>
        <v>5.4800000000000001E-2</v>
      </c>
      <c r="BK129" s="533">
        <v>104</v>
      </c>
      <c r="BL129" s="183">
        <f t="shared" si="351"/>
        <v>180</v>
      </c>
      <c r="BM129" s="155">
        <v>180</v>
      </c>
      <c r="CW129" s="364"/>
      <c r="CX129" s="309"/>
      <c r="CY129" s="313"/>
      <c r="DA129" s="309">
        <v>128</v>
      </c>
      <c r="DB129" s="313">
        <f t="shared" si="340"/>
        <v>246.5881899860739</v>
      </c>
      <c r="DC129" s="309">
        <f t="shared" si="341"/>
        <v>1</v>
      </c>
      <c r="DD129" s="309">
        <f t="shared" si="342"/>
        <v>260</v>
      </c>
      <c r="DE129" s="308">
        <f t="shared" si="343"/>
        <v>6.5000000000000002E-2</v>
      </c>
      <c r="DF129" s="313">
        <f t="shared" si="329"/>
        <v>128</v>
      </c>
      <c r="DG129" s="313">
        <f t="shared" si="318"/>
        <v>246.5881899860739</v>
      </c>
      <c r="DH129" s="313">
        <f t="shared" si="319"/>
        <v>246.5881899860739</v>
      </c>
      <c r="DI129" s="313">
        <f t="shared" si="320"/>
        <v>0</v>
      </c>
      <c r="DJ129" s="313">
        <f t="shared" si="321"/>
        <v>0</v>
      </c>
      <c r="DK129" s="313">
        <f t="shared" si="330"/>
        <v>28604.938254101737</v>
      </c>
      <c r="DL129" s="313">
        <f t="shared" si="322"/>
        <v>122466.167205506</v>
      </c>
      <c r="DM129" s="314">
        <f t="shared" si="333"/>
        <v>17.981006714993203</v>
      </c>
      <c r="DN129" s="312">
        <f t="shared" si="334"/>
        <v>0.1404766149608844</v>
      </c>
      <c r="DO129" s="312">
        <f t="shared" si="331"/>
        <v>0.94841611533105341</v>
      </c>
      <c r="DP129" s="315">
        <f t="shared" si="335"/>
        <v>6.3975403555996041E-2</v>
      </c>
      <c r="DQ129" s="316">
        <f t="shared" si="325"/>
        <v>0.25944228537307101</v>
      </c>
      <c r="DR129" s="316">
        <f t="shared" si="326"/>
        <v>35.654100649813294</v>
      </c>
      <c r="DS129" s="314">
        <f t="shared" si="327"/>
        <v>3.5900498867490094</v>
      </c>
      <c r="DT129" s="316">
        <f t="shared" si="336"/>
        <v>35.654100649813294</v>
      </c>
      <c r="DU129" s="314">
        <f t="shared" si="337"/>
        <v>3.5900498867490094</v>
      </c>
      <c r="DV129" s="316">
        <f t="shared" si="332"/>
        <v>118.1760961585023</v>
      </c>
      <c r="DW129" s="310">
        <f t="shared" si="338"/>
        <v>4.0025014819037033</v>
      </c>
      <c r="FB129" s="307"/>
      <c r="FC129" s="307"/>
      <c r="FF129" s="307"/>
      <c r="FG129" s="307"/>
      <c r="FH129" s="306"/>
      <c r="FJ129" s="307"/>
      <c r="FK129" s="307"/>
      <c r="FL129" s="306"/>
      <c r="FM129" s="307"/>
      <c r="FN129" s="306"/>
      <c r="FO129" s="307"/>
      <c r="FP129" s="306"/>
    </row>
    <row r="130" spans="29:172">
      <c r="AC130" s="156"/>
      <c r="AI130" s="190">
        <v>397</v>
      </c>
      <c r="AJ130" s="185">
        <v>105</v>
      </c>
      <c r="AK130" s="183">
        <f t="shared" si="344"/>
        <v>397</v>
      </c>
      <c r="AM130" s="188">
        <v>105</v>
      </c>
      <c r="AN130" s="183">
        <v>170</v>
      </c>
      <c r="AO130" s="182">
        <v>5.4699999999999999E-2</v>
      </c>
      <c r="AP130" s="185">
        <v>105</v>
      </c>
      <c r="AQ130" s="184">
        <f t="shared" si="345"/>
        <v>5.4699999999999999E-2</v>
      </c>
      <c r="AR130" s="190">
        <v>397</v>
      </c>
      <c r="AS130" s="185">
        <v>105</v>
      </c>
      <c r="AT130" s="183">
        <f t="shared" si="346"/>
        <v>397</v>
      </c>
      <c r="AV130" s="188">
        <v>105</v>
      </c>
      <c r="AW130" s="183">
        <v>170</v>
      </c>
      <c r="AX130" s="182">
        <v>5.4699999999999999E-2</v>
      </c>
      <c r="AY130" s="185">
        <v>105</v>
      </c>
      <c r="AZ130" s="184">
        <f t="shared" si="347"/>
        <v>5.4699999999999999E-2</v>
      </c>
      <c r="BA130" s="190">
        <v>397</v>
      </c>
      <c r="BB130" s="185">
        <v>105</v>
      </c>
      <c r="BC130" s="183">
        <f t="shared" si="348"/>
        <v>397</v>
      </c>
      <c r="BE130" s="188">
        <v>105</v>
      </c>
      <c r="BF130" s="183">
        <v>170</v>
      </c>
      <c r="BG130" s="182">
        <v>5.4699999999999999E-2</v>
      </c>
      <c r="BH130" s="185">
        <v>105</v>
      </c>
      <c r="BI130" s="184">
        <f t="shared" si="349"/>
        <v>5.4699999999999999E-2</v>
      </c>
      <c r="BK130" s="533">
        <v>105</v>
      </c>
      <c r="BL130" s="183">
        <f t="shared" si="351"/>
        <v>170</v>
      </c>
      <c r="BM130" s="155">
        <v>170</v>
      </c>
      <c r="CW130" s="364"/>
      <c r="CX130" s="309"/>
      <c r="CY130" s="313"/>
      <c r="DA130" s="309">
        <v>129</v>
      </c>
      <c r="DB130" s="313">
        <f t="shared" ref="DB130:DB193" si="352">start+DA130*tanO</f>
        <v>246.95216022034009</v>
      </c>
      <c r="DC130" s="309">
        <f t="shared" ref="DC130:DC193" si="353">IF(DA130&lt;edge_width,1,IF(DA130&lt;mid_width,2,IF(DA130&lt;=tot_width,3,4)))</f>
        <v>1</v>
      </c>
      <c r="DD130" s="309">
        <f t="shared" ref="DD130:DD193" si="354">CHOOSE(DC130,edge_thick,second_thick,core_thick,0)</f>
        <v>260</v>
      </c>
      <c r="DE130" s="308">
        <f t="shared" ref="DE130:DE193" si="355">CHOOSE(DC130,edge_k,second_k,core_k,0)</f>
        <v>6.5000000000000002E-2</v>
      </c>
      <c r="DF130" s="313">
        <f t="shared" si="329"/>
        <v>129</v>
      </c>
      <c r="DG130" s="313">
        <f t="shared" si="318"/>
        <v>246.95216022034009</v>
      </c>
      <c r="DH130" s="313">
        <f t="shared" si="319"/>
        <v>246.95216022034009</v>
      </c>
      <c r="DI130" s="313">
        <f t="shared" si="320"/>
        <v>0</v>
      </c>
      <c r="DJ130" s="313">
        <f t="shared" si="321"/>
        <v>0</v>
      </c>
      <c r="DK130" s="313">
        <f t="shared" si="330"/>
        <v>28851.890414322075</v>
      </c>
      <c r="DL130" s="313">
        <f t="shared" si="322"/>
        <v>122219.57901551994</v>
      </c>
      <c r="DM130" s="314">
        <f t="shared" si="333"/>
        <v>18.03119071414574</v>
      </c>
      <c r="DN130" s="312">
        <f t="shared" si="334"/>
        <v>0.13977667220268017</v>
      </c>
      <c r="DO130" s="312">
        <f t="shared" si="331"/>
        <v>0.94981600084746187</v>
      </c>
      <c r="DP130" s="315">
        <f t="shared" ref="DP130:DP193" si="356">DE130*DO130^CHOOSE(DC130,mult1,mult2,mult3,0)</f>
        <v>6.4003717714148353E-2</v>
      </c>
      <c r="DQ130" s="316">
        <f t="shared" si="325"/>
        <v>0.25917456100421155</v>
      </c>
      <c r="DR130" s="316">
        <f t="shared" si="326"/>
        <v>35.913275210817503</v>
      </c>
      <c r="DS130" s="314">
        <f t="shared" si="327"/>
        <v>3.5919865075726558</v>
      </c>
      <c r="DT130" s="316">
        <f t="shared" si="336"/>
        <v>35.913275210817503</v>
      </c>
      <c r="DU130" s="314">
        <f t="shared" ref="DU130:DU193" si="357">IF(DC130&lt;&gt;4,CHOOSE(DC130,DA130/DT130,(DA130-edge_width+1)/DT130,(DA130-mid_width+1)/DT130),0)</f>
        <v>3.5919865075726558</v>
      </c>
      <c r="DV130" s="316">
        <f t="shared" si="332"/>
        <v>117.91665387312923</v>
      </c>
      <c r="DW130" s="310">
        <f t="shared" ref="DW130:DW193" si="358">IF(DC130&lt;&gt;4,(tot_width-DA130+1)/DV130,0)</f>
        <v>4.0028272894161478</v>
      </c>
      <c r="FB130" s="307"/>
      <c r="FC130" s="307"/>
      <c r="FF130" s="307"/>
      <c r="FG130" s="307"/>
      <c r="FH130" s="306"/>
      <c r="FJ130" s="307"/>
      <c r="FK130" s="307"/>
      <c r="FL130" s="306"/>
      <c r="FM130" s="307"/>
      <c r="FN130" s="306"/>
      <c r="FO130" s="307"/>
      <c r="FP130" s="306"/>
    </row>
    <row r="131" spans="29:172">
      <c r="AC131" s="156"/>
      <c r="AI131" s="190">
        <v>396</v>
      </c>
      <c r="AJ131" s="185">
        <v>106</v>
      </c>
      <c r="AK131" s="183">
        <f t="shared" si="344"/>
        <v>396</v>
      </c>
      <c r="AM131" s="188">
        <v>106</v>
      </c>
      <c r="AN131" s="183">
        <v>160</v>
      </c>
      <c r="AO131" s="182">
        <v>5.4600000000000003E-2</v>
      </c>
      <c r="AP131" s="185">
        <v>106</v>
      </c>
      <c r="AQ131" s="184">
        <f t="shared" si="345"/>
        <v>5.4600000000000003E-2</v>
      </c>
      <c r="AR131" s="190">
        <v>396</v>
      </c>
      <c r="AS131" s="185">
        <v>106</v>
      </c>
      <c r="AT131" s="183">
        <f t="shared" si="346"/>
        <v>396</v>
      </c>
      <c r="AV131" s="188">
        <v>106</v>
      </c>
      <c r="AW131" s="183">
        <v>160</v>
      </c>
      <c r="AX131" s="182">
        <v>5.4600000000000003E-2</v>
      </c>
      <c r="AY131" s="185">
        <v>106</v>
      </c>
      <c r="AZ131" s="184">
        <f t="shared" si="347"/>
        <v>5.4600000000000003E-2</v>
      </c>
      <c r="BA131" s="190">
        <v>396</v>
      </c>
      <c r="BB131" s="185">
        <v>106</v>
      </c>
      <c r="BC131" s="183">
        <f t="shared" si="348"/>
        <v>396</v>
      </c>
      <c r="BE131" s="188">
        <v>106</v>
      </c>
      <c r="BF131" s="183">
        <v>160</v>
      </c>
      <c r="BG131" s="182">
        <v>5.4600000000000003E-2</v>
      </c>
      <c r="BH131" s="185">
        <v>106</v>
      </c>
      <c r="BI131" s="184">
        <f t="shared" si="349"/>
        <v>5.4600000000000003E-2</v>
      </c>
      <c r="BK131" s="533">
        <v>106</v>
      </c>
      <c r="BL131" s="183">
        <f t="shared" si="351"/>
        <v>160</v>
      </c>
      <c r="BM131" s="155">
        <v>160</v>
      </c>
      <c r="CW131" s="364"/>
      <c r="CX131" s="309"/>
      <c r="CY131" s="313"/>
      <c r="DA131" s="309">
        <v>130</v>
      </c>
      <c r="DB131" s="313">
        <f t="shared" si="352"/>
        <v>247.31613045460631</v>
      </c>
      <c r="DC131" s="309">
        <f t="shared" si="353"/>
        <v>1</v>
      </c>
      <c r="DD131" s="309">
        <f t="shared" si="354"/>
        <v>260</v>
      </c>
      <c r="DE131" s="308">
        <f t="shared" si="355"/>
        <v>6.5000000000000002E-2</v>
      </c>
      <c r="DF131" s="313">
        <f t="shared" si="329"/>
        <v>130</v>
      </c>
      <c r="DG131" s="313">
        <f t="shared" ref="DG131:DG194" si="359">IF(DC131=4,DG130,MIN(DB131,DD131))</f>
        <v>247.31613045460631</v>
      </c>
      <c r="DH131" s="313">
        <f t="shared" ref="DH131:DH194" si="360">IF(DC131=1,DG131,0)</f>
        <v>247.31613045460631</v>
      </c>
      <c r="DI131" s="313">
        <f t="shared" ref="DI131:DI194" si="361">IF(DC131=2,DG131,0)</f>
        <v>0</v>
      </c>
      <c r="DJ131" s="313">
        <f t="shared" ref="DJ131:DJ194" si="362">IF(DC131=3,DG131,0)</f>
        <v>0</v>
      </c>
      <c r="DK131" s="313">
        <f t="shared" si="330"/>
        <v>29099.20654477668</v>
      </c>
      <c r="DL131" s="313">
        <f t="shared" ref="DL131:DL194" si="363">IF(DC131&lt;4,DL132+DG131,0)</f>
        <v>121972.62685529959</v>
      </c>
      <c r="DM131" s="314">
        <f t="shared" ref="DM131:DM194" si="364">IF($DC131&lt;&gt;4,IF($DA131=edge_width,$CY$2,IF($DA131=mid_width,$CY$3,1-DO131+DM130)),0)</f>
        <v>18.079974827781871</v>
      </c>
      <c r="DN131" s="312">
        <f t="shared" ref="DN131:DN194" si="365">IF(DC131&lt;&gt;4,CHOOSE(DC131,DM131/DA131,DM131/(DA131-edge_width+1),DM131/(DA131-mid_width+1)),0)</f>
        <v>0.13907672944447594</v>
      </c>
      <c r="DO131" s="312">
        <f t="shared" si="331"/>
        <v>0.95121588636387044</v>
      </c>
      <c r="DP131" s="315">
        <f t="shared" si="356"/>
        <v>6.403200267579115E-2</v>
      </c>
      <c r="DQ131" s="316">
        <f t="shared" ref="DQ131:DQ194" si="366">IF(AND(DC131&lt;&gt;4,DG131&lt;&gt;0),1000*DP131/DG131,0)</f>
        <v>0.25890750659122058</v>
      </c>
      <c r="DR131" s="316">
        <f t="shared" ref="DR131:DR194" si="367">IF(DC131&lt;&gt;4,DR130+DQ131,0)</f>
        <v>36.172182717408724</v>
      </c>
      <c r="DS131" s="314">
        <f t="shared" ref="DS131:DS194" si="368">IF(AND(DC131&lt;&gt;4,DR131&lt;&gt;0),DA131/DR131,0)</f>
        <v>3.5939219099828996</v>
      </c>
      <c r="DT131" s="316">
        <f t="shared" ref="DT131:DT194" si="369">IF(DC131&lt;&gt;4,IF(DA131=edge_width,$CY$4,IF(DA131=mid_width,$CY$5,DQ131+DT130)),0)</f>
        <v>36.172182717408724</v>
      </c>
      <c r="DU131" s="314">
        <f t="shared" si="357"/>
        <v>3.5939219099828996</v>
      </c>
      <c r="DV131" s="316">
        <f t="shared" si="332"/>
        <v>117.65747931212502</v>
      </c>
      <c r="DW131" s="310">
        <f t="shared" si="358"/>
        <v>4.0031454247844129</v>
      </c>
      <c r="FB131" s="307"/>
      <c r="FC131" s="307"/>
      <c r="FF131" s="307"/>
      <c r="FG131" s="307"/>
      <c r="FH131" s="306"/>
      <c r="FJ131" s="307"/>
      <c r="FK131" s="307"/>
      <c r="FL131" s="306"/>
      <c r="FM131" s="307"/>
      <c r="FN131" s="306"/>
      <c r="FO131" s="307"/>
      <c r="FP131" s="306"/>
    </row>
    <row r="132" spans="29:172">
      <c r="AC132" s="156"/>
      <c r="AI132" s="190">
        <v>395</v>
      </c>
      <c r="AJ132" s="185">
        <v>107</v>
      </c>
      <c r="AK132" s="183">
        <f t="shared" si="344"/>
        <v>395</v>
      </c>
      <c r="AM132" s="188">
        <v>107</v>
      </c>
      <c r="AN132" s="183">
        <v>150</v>
      </c>
      <c r="AO132" s="182">
        <v>5.45E-2</v>
      </c>
      <c r="AP132" s="185">
        <v>107</v>
      </c>
      <c r="AQ132" s="184">
        <f t="shared" si="345"/>
        <v>5.45E-2</v>
      </c>
      <c r="AR132" s="190">
        <v>395</v>
      </c>
      <c r="AS132" s="185">
        <v>107</v>
      </c>
      <c r="AT132" s="183">
        <f t="shared" si="346"/>
        <v>395</v>
      </c>
      <c r="AV132" s="188">
        <v>107</v>
      </c>
      <c r="AW132" s="183">
        <v>150</v>
      </c>
      <c r="AX132" s="182">
        <v>5.45E-2</v>
      </c>
      <c r="AY132" s="185">
        <v>107</v>
      </c>
      <c r="AZ132" s="184">
        <f t="shared" si="347"/>
        <v>5.45E-2</v>
      </c>
      <c r="BA132" s="190">
        <v>395</v>
      </c>
      <c r="BB132" s="185">
        <v>107</v>
      </c>
      <c r="BC132" s="183">
        <f t="shared" si="348"/>
        <v>395</v>
      </c>
      <c r="BE132" s="188">
        <v>107</v>
      </c>
      <c r="BF132" s="183">
        <v>150</v>
      </c>
      <c r="BG132" s="182">
        <v>5.45E-2</v>
      </c>
      <c r="BH132" s="185">
        <v>107</v>
      </c>
      <c r="BI132" s="184">
        <f t="shared" si="349"/>
        <v>5.45E-2</v>
      </c>
      <c r="BK132" s="533">
        <v>107</v>
      </c>
      <c r="BL132" s="183">
        <f t="shared" si="351"/>
        <v>150</v>
      </c>
      <c r="BM132" s="155">
        <v>150</v>
      </c>
      <c r="CW132" s="364"/>
      <c r="CX132" s="309"/>
      <c r="CY132" s="313"/>
      <c r="DA132" s="309">
        <v>131</v>
      </c>
      <c r="DB132" s="313">
        <f t="shared" si="352"/>
        <v>247.6801006888725</v>
      </c>
      <c r="DC132" s="309">
        <f t="shared" si="353"/>
        <v>1</v>
      </c>
      <c r="DD132" s="309">
        <f t="shared" si="354"/>
        <v>260</v>
      </c>
      <c r="DE132" s="308">
        <f t="shared" si="355"/>
        <v>6.5000000000000002E-2</v>
      </c>
      <c r="DF132" s="313">
        <f t="shared" ref="DF132:DF195" si="370">IF(DC132&lt;4,DF131+1,DF131)</f>
        <v>131</v>
      </c>
      <c r="DG132" s="313">
        <f t="shared" si="359"/>
        <v>247.6801006888725</v>
      </c>
      <c r="DH132" s="313">
        <f t="shared" si="360"/>
        <v>247.6801006888725</v>
      </c>
      <c r="DI132" s="313">
        <f t="shared" si="361"/>
        <v>0</v>
      </c>
      <c r="DJ132" s="313">
        <f t="shared" si="362"/>
        <v>0</v>
      </c>
      <c r="DK132" s="313">
        <f t="shared" ref="DK132:DK195" si="371">IF(DC132&lt;4,DK131+DG132,0)</f>
        <v>29346.886645465551</v>
      </c>
      <c r="DL132" s="313">
        <f t="shared" si="363"/>
        <v>121725.31072484498</v>
      </c>
      <c r="DM132" s="314">
        <f t="shared" si="364"/>
        <v>18.127359055901593</v>
      </c>
      <c r="DN132" s="312">
        <f t="shared" si="365"/>
        <v>0.13837678668627171</v>
      </c>
      <c r="DO132" s="312">
        <f t="shared" ref="DO132:DO195" si="372">IF(AND(DC132&lt;&gt;4,DD132&lt;&gt;0),DG132/DD132,0)</f>
        <v>0.95261577188027879</v>
      </c>
      <c r="DP132" s="315">
        <f t="shared" si="356"/>
        <v>6.4060258513932336E-2</v>
      </c>
      <c r="DQ132" s="316">
        <f t="shared" si="366"/>
        <v>0.25864111947532958</v>
      </c>
      <c r="DR132" s="316">
        <f t="shared" si="367"/>
        <v>36.430823836884052</v>
      </c>
      <c r="DS132" s="314">
        <f t="shared" si="368"/>
        <v>3.5958560966543462</v>
      </c>
      <c r="DT132" s="316">
        <f t="shared" si="369"/>
        <v>36.430823836884052</v>
      </c>
      <c r="DU132" s="314">
        <f t="shared" si="357"/>
        <v>3.5958560966543462</v>
      </c>
      <c r="DV132" s="316">
        <f t="shared" ref="DV132:DV195" si="373">DV133+DQ132</f>
        <v>117.39857180553381</v>
      </c>
      <c r="DW132" s="310">
        <f t="shared" si="358"/>
        <v>4.0034558578662853</v>
      </c>
      <c r="FB132" s="307"/>
      <c r="FC132" s="307"/>
      <c r="FF132" s="307"/>
      <c r="FG132" s="307"/>
      <c r="FH132" s="306"/>
      <c r="FJ132" s="307"/>
      <c r="FK132" s="307"/>
      <c r="FL132" s="306"/>
      <c r="FM132" s="307"/>
      <c r="FN132" s="306"/>
      <c r="FO132" s="307"/>
      <c r="FP132" s="306"/>
    </row>
    <row r="133" spans="29:172">
      <c r="AC133" s="156"/>
      <c r="AI133" s="190">
        <v>394</v>
      </c>
      <c r="AJ133" s="185">
        <v>108</v>
      </c>
      <c r="AK133" s="183">
        <f t="shared" si="344"/>
        <v>394</v>
      </c>
      <c r="AM133" s="188">
        <v>108</v>
      </c>
      <c r="AN133" s="183">
        <v>140</v>
      </c>
      <c r="AO133" s="182">
        <v>5.4399999999999997E-2</v>
      </c>
      <c r="AP133" s="185">
        <v>108</v>
      </c>
      <c r="AQ133" s="184">
        <f t="shared" si="345"/>
        <v>5.4399999999999997E-2</v>
      </c>
      <c r="AR133" s="190">
        <v>394</v>
      </c>
      <c r="AS133" s="185">
        <v>108</v>
      </c>
      <c r="AT133" s="183">
        <f t="shared" si="346"/>
        <v>394</v>
      </c>
      <c r="AV133" s="188">
        <v>108</v>
      </c>
      <c r="AW133" s="183">
        <v>140</v>
      </c>
      <c r="AX133" s="182">
        <v>5.4399999999999997E-2</v>
      </c>
      <c r="AY133" s="185">
        <v>108</v>
      </c>
      <c r="AZ133" s="184">
        <f t="shared" si="347"/>
        <v>5.4399999999999997E-2</v>
      </c>
      <c r="BA133" s="190">
        <v>394</v>
      </c>
      <c r="BB133" s="185">
        <v>108</v>
      </c>
      <c r="BC133" s="183">
        <f t="shared" si="348"/>
        <v>394</v>
      </c>
      <c r="BE133" s="188">
        <v>108</v>
      </c>
      <c r="BF133" s="183">
        <v>140</v>
      </c>
      <c r="BG133" s="182">
        <v>5.4399999999999997E-2</v>
      </c>
      <c r="BH133" s="185">
        <v>108</v>
      </c>
      <c r="BI133" s="184">
        <f t="shared" si="349"/>
        <v>5.4399999999999997E-2</v>
      </c>
      <c r="BK133" s="533">
        <v>108</v>
      </c>
      <c r="BL133" s="183">
        <f t="shared" si="351"/>
        <v>140</v>
      </c>
      <c r="BM133" s="155">
        <v>140</v>
      </c>
      <c r="CW133" s="364"/>
      <c r="CX133" s="309"/>
      <c r="CY133" s="313"/>
      <c r="DA133" s="309">
        <v>132</v>
      </c>
      <c r="DB133" s="313">
        <f t="shared" si="352"/>
        <v>248.04407092313872</v>
      </c>
      <c r="DC133" s="309">
        <f t="shared" si="353"/>
        <v>1</v>
      </c>
      <c r="DD133" s="309">
        <f t="shared" si="354"/>
        <v>260</v>
      </c>
      <c r="DE133" s="308">
        <f t="shared" si="355"/>
        <v>6.5000000000000002E-2</v>
      </c>
      <c r="DF133" s="313">
        <f t="shared" si="370"/>
        <v>132</v>
      </c>
      <c r="DG133" s="313">
        <f t="shared" si="359"/>
        <v>248.04407092313872</v>
      </c>
      <c r="DH133" s="313">
        <f t="shared" si="360"/>
        <v>248.04407092313872</v>
      </c>
      <c r="DI133" s="313">
        <f t="shared" si="361"/>
        <v>0</v>
      </c>
      <c r="DJ133" s="313">
        <f t="shared" si="362"/>
        <v>0</v>
      </c>
      <c r="DK133" s="313">
        <f t="shared" si="371"/>
        <v>29594.930716388688</v>
      </c>
      <c r="DL133" s="313">
        <f t="shared" si="363"/>
        <v>121477.63062415611</v>
      </c>
      <c r="DM133" s="314">
        <f t="shared" si="364"/>
        <v>18.173343398504905</v>
      </c>
      <c r="DN133" s="312">
        <f t="shared" si="365"/>
        <v>0.13767684392806745</v>
      </c>
      <c r="DO133" s="312">
        <f t="shared" si="372"/>
        <v>0.95401565739668737</v>
      </c>
      <c r="DP133" s="315">
        <f t="shared" si="356"/>
        <v>6.4088485301290299E-2</v>
      </c>
      <c r="DQ133" s="316">
        <f t="shared" si="366"/>
        <v>0.25837539701220824</v>
      </c>
      <c r="DR133" s="316">
        <f t="shared" si="367"/>
        <v>36.689199233896261</v>
      </c>
      <c r="DS133" s="314">
        <f t="shared" si="368"/>
        <v>3.5977890702517268</v>
      </c>
      <c r="DT133" s="316">
        <f t="shared" si="369"/>
        <v>36.689199233896261</v>
      </c>
      <c r="DU133" s="314">
        <f t="shared" si="357"/>
        <v>3.5977890702517268</v>
      </c>
      <c r="DV133" s="316">
        <f t="shared" si="373"/>
        <v>117.13993068605848</v>
      </c>
      <c r="DW133" s="310">
        <f t="shared" si="358"/>
        <v>4.0037585582745994</v>
      </c>
      <c r="FB133" s="307"/>
      <c r="FC133" s="307"/>
      <c r="FF133" s="307"/>
      <c r="FG133" s="307"/>
      <c r="FH133" s="306"/>
      <c r="FJ133" s="307"/>
      <c r="FK133" s="307"/>
      <c r="FL133" s="306"/>
      <c r="FM133" s="307"/>
      <c r="FN133" s="306"/>
      <c r="FO133" s="307"/>
      <c r="FP133" s="306"/>
    </row>
    <row r="134" spans="29:172">
      <c r="AC134" s="156"/>
      <c r="AI134" s="190">
        <v>393</v>
      </c>
      <c r="AJ134" s="185">
        <v>109</v>
      </c>
      <c r="AK134" s="183">
        <f t="shared" si="344"/>
        <v>393</v>
      </c>
      <c r="AM134" s="188">
        <v>109</v>
      </c>
      <c r="AN134" s="183">
        <v>130</v>
      </c>
      <c r="AO134" s="182">
        <v>5.4300000000000001E-2</v>
      </c>
      <c r="AP134" s="185">
        <v>109</v>
      </c>
      <c r="AQ134" s="184">
        <f t="shared" si="345"/>
        <v>5.4300000000000001E-2</v>
      </c>
      <c r="AR134" s="190">
        <v>393</v>
      </c>
      <c r="AS134" s="185">
        <v>109</v>
      </c>
      <c r="AT134" s="183">
        <f t="shared" si="346"/>
        <v>393</v>
      </c>
      <c r="AV134" s="188">
        <v>109</v>
      </c>
      <c r="AW134" s="183">
        <v>130</v>
      </c>
      <c r="AX134" s="182">
        <v>5.4300000000000001E-2</v>
      </c>
      <c r="AY134" s="185">
        <v>109</v>
      </c>
      <c r="AZ134" s="184">
        <f t="shared" si="347"/>
        <v>5.4300000000000001E-2</v>
      </c>
      <c r="BA134" s="190">
        <v>393</v>
      </c>
      <c r="BB134" s="185">
        <v>109</v>
      </c>
      <c r="BC134" s="183">
        <f t="shared" si="348"/>
        <v>393</v>
      </c>
      <c r="BE134" s="188">
        <v>109</v>
      </c>
      <c r="BF134" s="183">
        <v>130</v>
      </c>
      <c r="BG134" s="182">
        <v>5.4300000000000001E-2</v>
      </c>
      <c r="BH134" s="185">
        <v>109</v>
      </c>
      <c r="BI134" s="184">
        <f t="shared" si="349"/>
        <v>5.4300000000000001E-2</v>
      </c>
      <c r="BK134" s="533">
        <v>109</v>
      </c>
      <c r="BL134" s="183">
        <f t="shared" si="351"/>
        <v>130</v>
      </c>
      <c r="BM134" s="155">
        <v>130</v>
      </c>
      <c r="CW134" s="364"/>
      <c r="CX134" s="309"/>
      <c r="CY134" s="313"/>
      <c r="DA134" s="309">
        <v>133</v>
      </c>
      <c r="DB134" s="313">
        <f t="shared" si="352"/>
        <v>248.40804115740491</v>
      </c>
      <c r="DC134" s="309">
        <f t="shared" si="353"/>
        <v>1</v>
      </c>
      <c r="DD134" s="309">
        <f t="shared" si="354"/>
        <v>260</v>
      </c>
      <c r="DE134" s="308">
        <f t="shared" si="355"/>
        <v>6.5000000000000002E-2</v>
      </c>
      <c r="DF134" s="313">
        <f t="shared" si="370"/>
        <v>133</v>
      </c>
      <c r="DG134" s="313">
        <f t="shared" si="359"/>
        <v>248.40804115740491</v>
      </c>
      <c r="DH134" s="313">
        <f t="shared" si="360"/>
        <v>248.40804115740491</v>
      </c>
      <c r="DI134" s="313">
        <f t="shared" si="361"/>
        <v>0</v>
      </c>
      <c r="DJ134" s="313">
        <f t="shared" si="362"/>
        <v>0</v>
      </c>
      <c r="DK134" s="313">
        <f t="shared" si="371"/>
        <v>29843.338757546091</v>
      </c>
      <c r="DL134" s="313">
        <f t="shared" si="363"/>
        <v>121229.58655323298</v>
      </c>
      <c r="DM134" s="314">
        <f t="shared" si="364"/>
        <v>18.21792785559181</v>
      </c>
      <c r="DN134" s="312">
        <f t="shared" si="365"/>
        <v>0.13697690116986325</v>
      </c>
      <c r="DO134" s="312">
        <f t="shared" si="372"/>
        <v>0.95541554291309583</v>
      </c>
      <c r="DP134" s="315">
        <f t="shared" si="356"/>
        <v>6.4116683110295475E-2</v>
      </c>
      <c r="DQ134" s="316">
        <f t="shared" si="366"/>
        <v>0.258110336571865</v>
      </c>
      <c r="DR134" s="316">
        <f t="shared" si="367"/>
        <v>36.947309570468128</v>
      </c>
      <c r="DS134" s="314">
        <f t="shared" si="368"/>
        <v>3.5997208334299526</v>
      </c>
      <c r="DT134" s="316">
        <f t="shared" si="369"/>
        <v>36.947309570468128</v>
      </c>
      <c r="DU134" s="314">
        <f t="shared" si="357"/>
        <v>3.5997208334299526</v>
      </c>
      <c r="DV134" s="316">
        <f t="shared" si="373"/>
        <v>116.88155528904628</v>
      </c>
      <c r="DW134" s="310">
        <f t="shared" si="358"/>
        <v>4.0040534953752394</v>
      </c>
      <c r="FB134" s="307"/>
      <c r="FC134" s="307"/>
      <c r="FF134" s="307"/>
      <c r="FG134" s="307"/>
      <c r="FH134" s="306"/>
      <c r="FJ134" s="307"/>
      <c r="FK134" s="307"/>
      <c r="FL134" s="306"/>
      <c r="FM134" s="307"/>
      <c r="FN134" s="306"/>
      <c r="FO134" s="307"/>
      <c r="FP134" s="306"/>
    </row>
    <row r="135" spans="29:172">
      <c r="AC135" s="156"/>
      <c r="AI135" s="190">
        <v>392</v>
      </c>
      <c r="AJ135" s="185">
        <v>110</v>
      </c>
      <c r="AK135" s="183">
        <f t="shared" si="344"/>
        <v>392</v>
      </c>
      <c r="AM135" s="188">
        <v>110</v>
      </c>
      <c r="AN135" s="183">
        <v>120</v>
      </c>
      <c r="AO135" s="182">
        <v>5.4199999999999998E-2</v>
      </c>
      <c r="AP135" s="185">
        <v>110</v>
      </c>
      <c r="AQ135" s="184">
        <f t="shared" si="345"/>
        <v>5.4199999999999998E-2</v>
      </c>
      <c r="AR135" s="190">
        <v>392</v>
      </c>
      <c r="AS135" s="185">
        <v>110</v>
      </c>
      <c r="AT135" s="183">
        <f t="shared" si="346"/>
        <v>392</v>
      </c>
      <c r="AV135" s="188">
        <v>110</v>
      </c>
      <c r="AW135" s="183">
        <v>120</v>
      </c>
      <c r="AX135" s="182">
        <v>5.4199999999999998E-2</v>
      </c>
      <c r="AY135" s="185">
        <v>110</v>
      </c>
      <c r="AZ135" s="184">
        <f t="shared" si="347"/>
        <v>5.4199999999999998E-2</v>
      </c>
      <c r="BA135" s="190">
        <v>392</v>
      </c>
      <c r="BB135" s="185">
        <v>110</v>
      </c>
      <c r="BC135" s="183">
        <f t="shared" si="348"/>
        <v>392</v>
      </c>
      <c r="BE135" s="188">
        <v>110</v>
      </c>
      <c r="BF135" s="183">
        <v>120</v>
      </c>
      <c r="BG135" s="182">
        <v>5.4199999999999998E-2</v>
      </c>
      <c r="BH135" s="185">
        <v>110</v>
      </c>
      <c r="BI135" s="184">
        <f t="shared" si="349"/>
        <v>5.4199999999999998E-2</v>
      </c>
      <c r="BK135" s="533">
        <v>110</v>
      </c>
      <c r="BL135" s="183">
        <f t="shared" si="351"/>
        <v>120</v>
      </c>
      <c r="BM135" s="155">
        <v>120</v>
      </c>
      <c r="CW135" s="364"/>
      <c r="CX135" s="309"/>
      <c r="CY135" s="313"/>
      <c r="DA135" s="309">
        <v>134</v>
      </c>
      <c r="DB135" s="313">
        <f t="shared" si="352"/>
        <v>248.77201139167113</v>
      </c>
      <c r="DC135" s="309">
        <f t="shared" si="353"/>
        <v>1</v>
      </c>
      <c r="DD135" s="309">
        <f t="shared" si="354"/>
        <v>260</v>
      </c>
      <c r="DE135" s="308">
        <f t="shared" si="355"/>
        <v>6.5000000000000002E-2</v>
      </c>
      <c r="DF135" s="313">
        <f t="shared" si="370"/>
        <v>134</v>
      </c>
      <c r="DG135" s="313">
        <f t="shared" si="359"/>
        <v>248.77201139167113</v>
      </c>
      <c r="DH135" s="313">
        <f t="shared" si="360"/>
        <v>248.77201139167113</v>
      </c>
      <c r="DI135" s="313">
        <f t="shared" si="361"/>
        <v>0</v>
      </c>
      <c r="DJ135" s="313">
        <f t="shared" si="362"/>
        <v>0</v>
      </c>
      <c r="DK135" s="313">
        <f t="shared" si="371"/>
        <v>30092.11076893776</v>
      </c>
      <c r="DL135" s="313">
        <f t="shared" si="363"/>
        <v>120981.17851207557</v>
      </c>
      <c r="DM135" s="314">
        <f t="shared" si="364"/>
        <v>18.261112427162306</v>
      </c>
      <c r="DN135" s="312">
        <f t="shared" si="365"/>
        <v>0.13627695841165899</v>
      </c>
      <c r="DO135" s="312">
        <f t="shared" si="372"/>
        <v>0.95681542842950429</v>
      </c>
      <c r="DP135" s="315">
        <f t="shared" si="356"/>
        <v>6.4144852013091891E-2</v>
      </c>
      <c r="DQ135" s="316">
        <f t="shared" si="366"/>
        <v>0.25784593553854851</v>
      </c>
      <c r="DR135" s="316">
        <f t="shared" si="367"/>
        <v>37.205155506006676</v>
      </c>
      <c r="DS135" s="314">
        <f t="shared" si="368"/>
        <v>3.6016513888341644</v>
      </c>
      <c r="DT135" s="316">
        <f t="shared" si="369"/>
        <v>37.205155506006676</v>
      </c>
      <c r="DU135" s="314">
        <f t="shared" si="357"/>
        <v>3.6016513888341644</v>
      </c>
      <c r="DV135" s="316">
        <f t="shared" si="373"/>
        <v>116.62344495247442</v>
      </c>
      <c r="DW135" s="310">
        <f t="shared" si="358"/>
        <v>4.0043406382851119</v>
      </c>
      <c r="FB135" s="307"/>
      <c r="FC135" s="307"/>
      <c r="FF135" s="307"/>
      <c r="FG135" s="307"/>
      <c r="FH135" s="306"/>
      <c r="FJ135" s="307"/>
      <c r="FK135" s="307"/>
      <c r="FL135" s="306"/>
      <c r="FM135" s="307"/>
      <c r="FN135" s="306"/>
      <c r="FO135" s="307"/>
      <c r="FP135" s="306"/>
    </row>
    <row r="136" spans="29:172">
      <c r="AC136" s="156"/>
      <c r="AI136" s="190">
        <v>391</v>
      </c>
      <c r="AJ136" s="185">
        <v>111</v>
      </c>
      <c r="AK136" s="183">
        <f t="shared" si="344"/>
        <v>391</v>
      </c>
      <c r="AM136" s="188">
        <v>111</v>
      </c>
      <c r="AN136" s="183">
        <v>110</v>
      </c>
      <c r="AO136" s="182">
        <v>5.4100000000000002E-2</v>
      </c>
      <c r="AP136" s="185">
        <v>111</v>
      </c>
      <c r="AQ136" s="184">
        <f t="shared" si="345"/>
        <v>5.4100000000000002E-2</v>
      </c>
      <c r="AR136" s="190">
        <v>391</v>
      </c>
      <c r="AS136" s="185">
        <v>111</v>
      </c>
      <c r="AT136" s="183">
        <f t="shared" si="346"/>
        <v>391</v>
      </c>
      <c r="AV136" s="188">
        <v>111</v>
      </c>
      <c r="AW136" s="183">
        <v>110</v>
      </c>
      <c r="AX136" s="182">
        <v>5.4100000000000002E-2</v>
      </c>
      <c r="AY136" s="185">
        <v>111</v>
      </c>
      <c r="AZ136" s="184">
        <f t="shared" si="347"/>
        <v>5.4100000000000002E-2</v>
      </c>
      <c r="BA136" s="190">
        <v>391</v>
      </c>
      <c r="BB136" s="185">
        <v>111</v>
      </c>
      <c r="BC136" s="183">
        <f t="shared" si="348"/>
        <v>391</v>
      </c>
      <c r="BE136" s="188">
        <v>111</v>
      </c>
      <c r="BF136" s="183">
        <v>110</v>
      </c>
      <c r="BG136" s="182">
        <v>5.4100000000000002E-2</v>
      </c>
      <c r="BH136" s="185">
        <v>111</v>
      </c>
      <c r="BI136" s="184">
        <f t="shared" si="349"/>
        <v>5.4100000000000002E-2</v>
      </c>
      <c r="BK136" s="533">
        <v>111</v>
      </c>
      <c r="BL136" s="183">
        <f t="shared" si="351"/>
        <v>110</v>
      </c>
      <c r="BM136" s="155">
        <v>110</v>
      </c>
      <c r="CW136" s="364"/>
      <c r="CX136" s="309"/>
      <c r="CY136" s="313"/>
      <c r="DA136" s="309">
        <v>135</v>
      </c>
      <c r="DB136" s="313">
        <f t="shared" si="352"/>
        <v>249.13598162593732</v>
      </c>
      <c r="DC136" s="309">
        <f t="shared" si="353"/>
        <v>1</v>
      </c>
      <c r="DD136" s="309">
        <f t="shared" si="354"/>
        <v>260</v>
      </c>
      <c r="DE136" s="308">
        <f t="shared" si="355"/>
        <v>6.5000000000000002E-2</v>
      </c>
      <c r="DF136" s="313">
        <f t="shared" si="370"/>
        <v>135</v>
      </c>
      <c r="DG136" s="313">
        <f t="shared" si="359"/>
        <v>249.13598162593732</v>
      </c>
      <c r="DH136" s="313">
        <f t="shared" si="360"/>
        <v>249.13598162593732</v>
      </c>
      <c r="DI136" s="313">
        <f t="shared" si="361"/>
        <v>0</v>
      </c>
      <c r="DJ136" s="313">
        <f t="shared" si="362"/>
        <v>0</v>
      </c>
      <c r="DK136" s="313">
        <f t="shared" si="371"/>
        <v>30341.246750563696</v>
      </c>
      <c r="DL136" s="313">
        <f t="shared" si="363"/>
        <v>120732.40650068389</v>
      </c>
      <c r="DM136" s="314">
        <f t="shared" si="364"/>
        <v>18.302897113216392</v>
      </c>
      <c r="DN136" s="312">
        <f t="shared" si="365"/>
        <v>0.13557701565345476</v>
      </c>
      <c r="DO136" s="312">
        <f t="shared" si="372"/>
        <v>0.95821531394591275</v>
      </c>
      <c r="DP136" s="315">
        <f t="shared" si="356"/>
        <v>6.4172992081538746E-2</v>
      </c>
      <c r="DQ136" s="316">
        <f t="shared" si="366"/>
        <v>0.25758219131064991</v>
      </c>
      <c r="DR136" s="316">
        <f t="shared" si="367"/>
        <v>37.462737697317323</v>
      </c>
      <c r="DS136" s="314">
        <f t="shared" si="368"/>
        <v>3.6035807390997814</v>
      </c>
      <c r="DT136" s="316">
        <f t="shared" si="369"/>
        <v>37.462737697317323</v>
      </c>
      <c r="DU136" s="314">
        <f t="shared" si="357"/>
        <v>3.6035807390997814</v>
      </c>
      <c r="DV136" s="316">
        <f t="shared" si="373"/>
        <v>116.36559901693586</v>
      </c>
      <c r="DW136" s="310">
        <f t="shared" si="358"/>
        <v>4.0046199558701048</v>
      </c>
      <c r="FB136" s="307"/>
      <c r="FC136" s="307"/>
      <c r="FF136" s="307"/>
      <c r="FG136" s="307"/>
      <c r="FH136" s="306"/>
      <c r="FJ136" s="307"/>
      <c r="FK136" s="307"/>
      <c r="FL136" s="306"/>
      <c r="FM136" s="307"/>
      <c r="FN136" s="306"/>
      <c r="FO136" s="307"/>
      <c r="FP136" s="306"/>
    </row>
    <row r="137" spans="29:172">
      <c r="AC137" s="156"/>
      <c r="AI137" s="190">
        <v>390</v>
      </c>
      <c r="AJ137" s="185">
        <v>112</v>
      </c>
      <c r="AK137" s="183">
        <f t="shared" si="344"/>
        <v>390</v>
      </c>
      <c r="AM137" s="188">
        <v>112</v>
      </c>
      <c r="AN137" s="183">
        <v>100</v>
      </c>
      <c r="AO137" s="182">
        <v>5.3999999999999999E-2</v>
      </c>
      <c r="AP137" s="185">
        <v>112</v>
      </c>
      <c r="AQ137" s="184">
        <f t="shared" si="345"/>
        <v>5.3999999999999999E-2</v>
      </c>
      <c r="AR137" s="190">
        <v>390</v>
      </c>
      <c r="AS137" s="185">
        <v>112</v>
      </c>
      <c r="AT137" s="183">
        <f t="shared" si="346"/>
        <v>390</v>
      </c>
      <c r="AV137" s="188">
        <v>112</v>
      </c>
      <c r="AW137" s="183">
        <v>100</v>
      </c>
      <c r="AX137" s="182">
        <v>5.3999999999999999E-2</v>
      </c>
      <c r="AY137" s="185">
        <v>112</v>
      </c>
      <c r="AZ137" s="184">
        <f t="shared" si="347"/>
        <v>5.3999999999999999E-2</v>
      </c>
      <c r="BA137" s="190">
        <v>390</v>
      </c>
      <c r="BB137" s="185">
        <v>112</v>
      </c>
      <c r="BC137" s="183">
        <f t="shared" si="348"/>
        <v>390</v>
      </c>
      <c r="BE137" s="188">
        <v>112</v>
      </c>
      <c r="BF137" s="183">
        <v>100</v>
      </c>
      <c r="BG137" s="182">
        <v>5.3999999999999999E-2</v>
      </c>
      <c r="BH137" s="185">
        <v>112</v>
      </c>
      <c r="BI137" s="184">
        <f t="shared" si="349"/>
        <v>5.3999999999999999E-2</v>
      </c>
      <c r="BK137" s="533">
        <v>112</v>
      </c>
      <c r="BL137" s="183">
        <f t="shared" si="351"/>
        <v>100</v>
      </c>
      <c r="BM137" s="155">
        <v>100</v>
      </c>
      <c r="CW137" s="364"/>
      <c r="CX137" s="309"/>
      <c r="CY137" s="313"/>
      <c r="DA137" s="309">
        <v>136</v>
      </c>
      <c r="DB137" s="313">
        <f t="shared" si="352"/>
        <v>249.49995186020351</v>
      </c>
      <c r="DC137" s="309">
        <f t="shared" si="353"/>
        <v>1</v>
      </c>
      <c r="DD137" s="309">
        <f t="shared" si="354"/>
        <v>260</v>
      </c>
      <c r="DE137" s="308">
        <f t="shared" si="355"/>
        <v>6.5000000000000002E-2</v>
      </c>
      <c r="DF137" s="313">
        <f t="shared" si="370"/>
        <v>136</v>
      </c>
      <c r="DG137" s="313">
        <f t="shared" si="359"/>
        <v>249.49995186020351</v>
      </c>
      <c r="DH137" s="313">
        <f t="shared" si="360"/>
        <v>249.49995186020351</v>
      </c>
      <c r="DI137" s="313">
        <f t="shared" si="361"/>
        <v>0</v>
      </c>
      <c r="DJ137" s="313">
        <f t="shared" si="362"/>
        <v>0</v>
      </c>
      <c r="DK137" s="313">
        <f t="shared" si="371"/>
        <v>30590.746702423901</v>
      </c>
      <c r="DL137" s="313">
        <f t="shared" si="363"/>
        <v>120483.27051905796</v>
      </c>
      <c r="DM137" s="314">
        <f t="shared" si="364"/>
        <v>18.343281913754073</v>
      </c>
      <c r="DN137" s="312">
        <f t="shared" si="365"/>
        <v>0.13487707289525053</v>
      </c>
      <c r="DO137" s="312">
        <f t="shared" si="372"/>
        <v>0.95961519946232121</v>
      </c>
      <c r="DP137" s="315">
        <f t="shared" si="356"/>
        <v>6.4201103387211939E-2</v>
      </c>
      <c r="DQ137" s="316">
        <f t="shared" si="366"/>
        <v>0.25731910130060565</v>
      </c>
      <c r="DR137" s="316">
        <f t="shared" si="367"/>
        <v>37.720056798617925</v>
      </c>
      <c r="DS137" s="314">
        <f t="shared" si="368"/>
        <v>3.6055088868525531</v>
      </c>
      <c r="DT137" s="316">
        <f t="shared" si="369"/>
        <v>37.720056798617925</v>
      </c>
      <c r="DU137" s="314">
        <f t="shared" si="357"/>
        <v>3.6055088868525531</v>
      </c>
      <c r="DV137" s="316">
        <f t="shared" si="373"/>
        <v>116.10801682562521</v>
      </c>
      <c r="DW137" s="310">
        <f t="shared" si="358"/>
        <v>4.004891416743015</v>
      </c>
      <c r="FB137" s="307"/>
      <c r="FC137" s="307"/>
      <c r="FF137" s="307"/>
      <c r="FG137" s="307"/>
      <c r="FH137" s="306"/>
      <c r="FJ137" s="307"/>
      <c r="FK137" s="307"/>
      <c r="FL137" s="306"/>
      <c r="FM137" s="307"/>
      <c r="FN137" s="306"/>
      <c r="FO137" s="307"/>
      <c r="FP137" s="306"/>
    </row>
    <row r="138" spans="29:172">
      <c r="AC138" s="156"/>
      <c r="AI138" s="190">
        <v>389</v>
      </c>
      <c r="AJ138" s="185">
        <v>113</v>
      </c>
      <c r="AK138" s="183">
        <f t="shared" si="344"/>
        <v>389</v>
      </c>
      <c r="AM138" s="188">
        <v>113</v>
      </c>
      <c r="AN138" s="183">
        <v>90</v>
      </c>
      <c r="AO138" s="182">
        <v>5.3900000000000003E-2</v>
      </c>
      <c r="AP138" s="185">
        <v>113</v>
      </c>
      <c r="AQ138" s="184">
        <f t="shared" si="345"/>
        <v>5.3900000000000003E-2</v>
      </c>
      <c r="AR138" s="190">
        <v>389</v>
      </c>
      <c r="AS138" s="185">
        <v>113</v>
      </c>
      <c r="AT138" s="183">
        <f t="shared" si="346"/>
        <v>389</v>
      </c>
      <c r="AV138" s="188">
        <v>113</v>
      </c>
      <c r="AW138" s="183">
        <v>90</v>
      </c>
      <c r="AX138" s="182">
        <v>5.3900000000000003E-2</v>
      </c>
      <c r="AY138" s="185">
        <v>113</v>
      </c>
      <c r="AZ138" s="184">
        <f t="shared" si="347"/>
        <v>5.3900000000000003E-2</v>
      </c>
      <c r="BA138" s="190">
        <v>389</v>
      </c>
      <c r="BB138" s="185">
        <v>113</v>
      </c>
      <c r="BC138" s="183">
        <f t="shared" si="348"/>
        <v>389</v>
      </c>
      <c r="BE138" s="188">
        <v>113</v>
      </c>
      <c r="BF138" s="183">
        <v>90</v>
      </c>
      <c r="BG138" s="182">
        <v>5.3900000000000003E-2</v>
      </c>
      <c r="BH138" s="185">
        <v>113</v>
      </c>
      <c r="BI138" s="184">
        <f t="shared" si="349"/>
        <v>5.3900000000000003E-2</v>
      </c>
      <c r="BK138" s="533">
        <v>113</v>
      </c>
      <c r="BL138" s="183">
        <f t="shared" si="351"/>
        <v>90</v>
      </c>
      <c r="BM138" s="155">
        <v>90</v>
      </c>
      <c r="CW138" s="364"/>
      <c r="CX138" s="309"/>
      <c r="CY138" s="313"/>
      <c r="DA138" s="309">
        <v>137</v>
      </c>
      <c r="DB138" s="313">
        <f t="shared" si="352"/>
        <v>249.86392209446973</v>
      </c>
      <c r="DC138" s="309">
        <f t="shared" si="353"/>
        <v>1</v>
      </c>
      <c r="DD138" s="309">
        <f t="shared" si="354"/>
        <v>260</v>
      </c>
      <c r="DE138" s="308">
        <f t="shared" si="355"/>
        <v>6.5000000000000002E-2</v>
      </c>
      <c r="DF138" s="313">
        <f t="shared" si="370"/>
        <v>137</v>
      </c>
      <c r="DG138" s="313">
        <f t="shared" si="359"/>
        <v>249.86392209446973</v>
      </c>
      <c r="DH138" s="313">
        <f t="shared" si="360"/>
        <v>249.86392209446973</v>
      </c>
      <c r="DI138" s="313">
        <f t="shared" si="361"/>
        <v>0</v>
      </c>
      <c r="DJ138" s="313">
        <f t="shared" si="362"/>
        <v>0</v>
      </c>
      <c r="DK138" s="313">
        <f t="shared" si="371"/>
        <v>30840.610624518373</v>
      </c>
      <c r="DL138" s="313">
        <f t="shared" si="363"/>
        <v>120233.77056719776</v>
      </c>
      <c r="DM138" s="314">
        <f t="shared" si="364"/>
        <v>18.382266828775343</v>
      </c>
      <c r="DN138" s="312">
        <f t="shared" si="365"/>
        <v>0.1341771301370463</v>
      </c>
      <c r="DO138" s="312">
        <f t="shared" si="372"/>
        <v>0.96101508497872967</v>
      </c>
      <c r="DP138" s="315">
        <f t="shared" si="356"/>
        <v>6.4229186001405564E-2</v>
      </c>
      <c r="DQ138" s="316">
        <f t="shared" si="366"/>
        <v>0.25705666293480134</v>
      </c>
      <c r="DR138" s="316">
        <f t="shared" si="367"/>
        <v>37.977113461552726</v>
      </c>
      <c r="DS138" s="314">
        <f t="shared" si="368"/>
        <v>3.6074358347086086</v>
      </c>
      <c r="DT138" s="316">
        <f t="shared" si="369"/>
        <v>37.977113461552726</v>
      </c>
      <c r="DU138" s="314">
        <f t="shared" si="357"/>
        <v>3.6074358347086086</v>
      </c>
      <c r="DV138" s="316">
        <f t="shared" si="373"/>
        <v>115.8506977243246</v>
      </c>
      <c r="DW138" s="310">
        <f t="shared" si="358"/>
        <v>4.0051549892614604</v>
      </c>
      <c r="FB138" s="307"/>
      <c r="FC138" s="307"/>
      <c r="FF138" s="307"/>
      <c r="FG138" s="307"/>
      <c r="FH138" s="306"/>
      <c r="FJ138" s="307"/>
      <c r="FK138" s="307"/>
      <c r="FL138" s="306"/>
      <c r="FM138" s="307"/>
      <c r="FN138" s="306"/>
      <c r="FO138" s="307"/>
      <c r="FP138" s="306"/>
    </row>
    <row r="139" spans="29:172">
      <c r="AC139" s="156"/>
      <c r="AI139" s="190">
        <v>388</v>
      </c>
      <c r="AJ139" s="185">
        <v>114</v>
      </c>
      <c r="AK139" s="183">
        <f t="shared" si="344"/>
        <v>388</v>
      </c>
      <c r="AM139" s="188">
        <v>114</v>
      </c>
      <c r="AN139" s="183">
        <v>80</v>
      </c>
      <c r="AO139" s="182">
        <v>5.3800000000000001E-2</v>
      </c>
      <c r="AP139" s="185">
        <v>114</v>
      </c>
      <c r="AQ139" s="184">
        <f t="shared" si="345"/>
        <v>5.3800000000000001E-2</v>
      </c>
      <c r="AR139" s="190">
        <v>388</v>
      </c>
      <c r="AS139" s="185">
        <v>114</v>
      </c>
      <c r="AT139" s="183">
        <f t="shared" si="346"/>
        <v>388</v>
      </c>
      <c r="AV139" s="188">
        <v>114</v>
      </c>
      <c r="AW139" s="183">
        <v>80</v>
      </c>
      <c r="AX139" s="182">
        <v>5.3800000000000001E-2</v>
      </c>
      <c r="AY139" s="185">
        <v>114</v>
      </c>
      <c r="AZ139" s="184">
        <f t="shared" si="347"/>
        <v>5.3800000000000001E-2</v>
      </c>
      <c r="BA139" s="190">
        <v>388</v>
      </c>
      <c r="BB139" s="185">
        <v>114</v>
      </c>
      <c r="BC139" s="183">
        <f t="shared" si="348"/>
        <v>388</v>
      </c>
      <c r="BE139" s="188">
        <v>114</v>
      </c>
      <c r="BF139" s="183">
        <v>80</v>
      </c>
      <c r="BG139" s="182">
        <v>5.3800000000000001E-2</v>
      </c>
      <c r="BH139" s="185">
        <v>114</v>
      </c>
      <c r="BI139" s="184">
        <f t="shared" si="349"/>
        <v>5.3800000000000001E-2</v>
      </c>
      <c r="BK139" s="533">
        <v>114</v>
      </c>
      <c r="BL139" s="183">
        <f t="shared" si="351"/>
        <v>80</v>
      </c>
      <c r="BM139" s="155">
        <v>80</v>
      </c>
      <c r="CW139" s="364"/>
      <c r="CX139" s="309"/>
      <c r="CY139" s="313"/>
      <c r="DA139" s="309">
        <v>138</v>
      </c>
      <c r="DB139" s="313">
        <f t="shared" si="352"/>
        <v>250.22789232873592</v>
      </c>
      <c r="DC139" s="309">
        <f t="shared" si="353"/>
        <v>1</v>
      </c>
      <c r="DD139" s="309">
        <f t="shared" si="354"/>
        <v>260</v>
      </c>
      <c r="DE139" s="308">
        <f t="shared" si="355"/>
        <v>6.5000000000000002E-2</v>
      </c>
      <c r="DF139" s="313">
        <f t="shared" si="370"/>
        <v>138</v>
      </c>
      <c r="DG139" s="313">
        <f t="shared" si="359"/>
        <v>250.22789232873592</v>
      </c>
      <c r="DH139" s="313">
        <f t="shared" si="360"/>
        <v>250.22789232873592</v>
      </c>
      <c r="DI139" s="313">
        <f t="shared" si="361"/>
        <v>0</v>
      </c>
      <c r="DJ139" s="313">
        <f t="shared" si="362"/>
        <v>0</v>
      </c>
      <c r="DK139" s="313">
        <f t="shared" si="371"/>
        <v>31090.83851684711</v>
      </c>
      <c r="DL139" s="313">
        <f t="shared" si="363"/>
        <v>119983.90664510328</v>
      </c>
      <c r="DM139" s="314">
        <f t="shared" si="364"/>
        <v>18.419851858280204</v>
      </c>
      <c r="DN139" s="312">
        <f t="shared" si="365"/>
        <v>0.13347718737884207</v>
      </c>
      <c r="DO139" s="312">
        <f t="shared" si="372"/>
        <v>0.96241497049513813</v>
      </c>
      <c r="DP139" s="315">
        <f t="shared" si="356"/>
        <v>6.4257239995133511E-2</v>
      </c>
      <c r="DQ139" s="316">
        <f t="shared" si="366"/>
        <v>0.2567948736534767</v>
      </c>
      <c r="DR139" s="316">
        <f t="shared" si="367"/>
        <v>38.233908335206202</v>
      </c>
      <c r="DS139" s="314">
        <f t="shared" si="368"/>
        <v>3.609361585274506</v>
      </c>
      <c r="DT139" s="316">
        <f t="shared" si="369"/>
        <v>38.233908335206202</v>
      </c>
      <c r="DU139" s="314">
        <f t="shared" si="357"/>
        <v>3.609361585274506</v>
      </c>
      <c r="DV139" s="316">
        <f t="shared" si="373"/>
        <v>115.5936410613898</v>
      </c>
      <c r="DW139" s="310">
        <f t="shared" si="358"/>
        <v>4.0054106415257618</v>
      </c>
      <c r="FB139" s="307"/>
      <c r="FC139" s="307"/>
      <c r="FF139" s="307"/>
      <c r="FG139" s="307"/>
      <c r="FH139" s="306"/>
      <c r="FJ139" s="307"/>
      <c r="FK139" s="307"/>
      <c r="FL139" s="306"/>
      <c r="FM139" s="307"/>
      <c r="FN139" s="306"/>
      <c r="FO139" s="307"/>
      <c r="FP139" s="306"/>
    </row>
    <row r="140" spans="29:172">
      <c r="AC140" s="156"/>
      <c r="AI140" s="190">
        <v>387</v>
      </c>
      <c r="AJ140" s="185">
        <v>115</v>
      </c>
      <c r="AK140" s="183">
        <f t="shared" si="344"/>
        <v>387</v>
      </c>
      <c r="AM140" s="188">
        <v>115</v>
      </c>
      <c r="AN140" s="183">
        <v>70</v>
      </c>
      <c r="AO140" s="182">
        <v>5.3699999999999998E-2</v>
      </c>
      <c r="AP140" s="185">
        <v>115</v>
      </c>
      <c r="AQ140" s="184">
        <f t="shared" si="345"/>
        <v>5.3699999999999998E-2</v>
      </c>
      <c r="AR140" s="190">
        <v>387</v>
      </c>
      <c r="AS140" s="185">
        <v>115</v>
      </c>
      <c r="AT140" s="183">
        <f t="shared" si="346"/>
        <v>387</v>
      </c>
      <c r="AV140" s="188">
        <v>115</v>
      </c>
      <c r="AW140" s="183">
        <v>70</v>
      </c>
      <c r="AX140" s="182">
        <v>5.3699999999999998E-2</v>
      </c>
      <c r="AY140" s="185">
        <v>115</v>
      </c>
      <c r="AZ140" s="184">
        <f t="shared" si="347"/>
        <v>5.3699999999999998E-2</v>
      </c>
      <c r="BA140" s="190">
        <v>387</v>
      </c>
      <c r="BB140" s="185">
        <v>115</v>
      </c>
      <c r="BC140" s="183">
        <f t="shared" si="348"/>
        <v>387</v>
      </c>
      <c r="BE140" s="188">
        <v>115</v>
      </c>
      <c r="BF140" s="183">
        <v>70</v>
      </c>
      <c r="BG140" s="182">
        <v>5.3699999999999998E-2</v>
      </c>
      <c r="BH140" s="185">
        <v>115</v>
      </c>
      <c r="BI140" s="184">
        <f t="shared" si="349"/>
        <v>5.3699999999999998E-2</v>
      </c>
      <c r="BK140" s="533">
        <v>115</v>
      </c>
      <c r="BL140" s="183">
        <f t="shared" si="351"/>
        <v>70</v>
      </c>
      <c r="BM140" s="155">
        <v>70</v>
      </c>
      <c r="CW140" s="364"/>
      <c r="CX140" s="309"/>
      <c r="CY140" s="313"/>
      <c r="DA140" s="309">
        <v>139</v>
      </c>
      <c r="DB140" s="313">
        <f t="shared" si="352"/>
        <v>250.59186256300211</v>
      </c>
      <c r="DC140" s="309">
        <f t="shared" si="353"/>
        <v>1</v>
      </c>
      <c r="DD140" s="309">
        <f t="shared" si="354"/>
        <v>260</v>
      </c>
      <c r="DE140" s="308">
        <f t="shared" si="355"/>
        <v>6.5000000000000002E-2</v>
      </c>
      <c r="DF140" s="313">
        <f t="shared" si="370"/>
        <v>139</v>
      </c>
      <c r="DG140" s="313">
        <f t="shared" si="359"/>
        <v>250.59186256300211</v>
      </c>
      <c r="DH140" s="313">
        <f t="shared" si="360"/>
        <v>250.59186256300211</v>
      </c>
      <c r="DI140" s="313">
        <f t="shared" si="361"/>
        <v>0</v>
      </c>
      <c r="DJ140" s="313">
        <f t="shared" si="362"/>
        <v>0</v>
      </c>
      <c r="DK140" s="313">
        <f t="shared" si="371"/>
        <v>31341.430379410114</v>
      </c>
      <c r="DL140" s="313">
        <f t="shared" si="363"/>
        <v>119733.67875277455</v>
      </c>
      <c r="DM140" s="314">
        <f t="shared" si="364"/>
        <v>18.456037002268658</v>
      </c>
      <c r="DN140" s="312">
        <f t="shared" si="365"/>
        <v>0.13277724462063784</v>
      </c>
      <c r="DO140" s="312">
        <f t="shared" si="372"/>
        <v>0.96381485601154659</v>
      </c>
      <c r="DP140" s="315">
        <f t="shared" si="356"/>
        <v>6.4285265439130837E-2</v>
      </c>
      <c r="DQ140" s="316">
        <f t="shared" si="366"/>
        <v>0.25653373091063031</v>
      </c>
      <c r="DR140" s="316">
        <f t="shared" si="367"/>
        <v>38.490442066116834</v>
      </c>
      <c r="DS140" s="314">
        <f t="shared" si="368"/>
        <v>3.6112861411472799</v>
      </c>
      <c r="DT140" s="316">
        <f t="shared" si="369"/>
        <v>38.490442066116834</v>
      </c>
      <c r="DU140" s="314">
        <f t="shared" si="357"/>
        <v>3.6112861411472799</v>
      </c>
      <c r="DV140" s="316">
        <f t="shared" si="373"/>
        <v>115.33684618773633</v>
      </c>
      <c r="DW140" s="310">
        <f t="shared" si="358"/>
        <v>4.005658341376809</v>
      </c>
      <c r="FB140" s="307"/>
      <c r="FC140" s="307"/>
      <c r="FF140" s="307"/>
      <c r="FG140" s="307"/>
      <c r="FH140" s="306"/>
      <c r="FJ140" s="307"/>
      <c r="FK140" s="307"/>
      <c r="FL140" s="306"/>
      <c r="FM140" s="307"/>
      <c r="FN140" s="306"/>
      <c r="FO140" s="307"/>
      <c r="FP140" s="306"/>
    </row>
    <row r="141" spans="29:172">
      <c r="AC141" s="156"/>
      <c r="AI141" s="190">
        <v>386</v>
      </c>
      <c r="AJ141" s="185">
        <v>116</v>
      </c>
      <c r="AK141" s="183">
        <f t="shared" si="344"/>
        <v>386</v>
      </c>
      <c r="AM141" s="188">
        <v>116</v>
      </c>
      <c r="AN141" s="183">
        <v>60</v>
      </c>
      <c r="AO141" s="182">
        <v>5.3600000000000002E-2</v>
      </c>
      <c r="AP141" s="185">
        <v>116</v>
      </c>
      <c r="AQ141" s="184">
        <f t="shared" si="345"/>
        <v>5.3600000000000002E-2</v>
      </c>
      <c r="AR141" s="190">
        <v>386</v>
      </c>
      <c r="AS141" s="185">
        <v>116</v>
      </c>
      <c r="AT141" s="183">
        <f t="shared" si="346"/>
        <v>386</v>
      </c>
      <c r="AV141" s="188">
        <v>116</v>
      </c>
      <c r="AW141" s="183">
        <v>60</v>
      </c>
      <c r="AX141" s="182">
        <v>5.3600000000000002E-2</v>
      </c>
      <c r="AY141" s="185">
        <v>116</v>
      </c>
      <c r="AZ141" s="184">
        <f t="shared" si="347"/>
        <v>5.3600000000000002E-2</v>
      </c>
      <c r="BA141" s="190">
        <v>386</v>
      </c>
      <c r="BB141" s="185">
        <v>116</v>
      </c>
      <c r="BC141" s="183">
        <f t="shared" si="348"/>
        <v>386</v>
      </c>
      <c r="BE141" s="188">
        <v>116</v>
      </c>
      <c r="BF141" s="183">
        <v>60</v>
      </c>
      <c r="BG141" s="182">
        <v>5.3600000000000002E-2</v>
      </c>
      <c r="BH141" s="185">
        <v>116</v>
      </c>
      <c r="BI141" s="184">
        <f t="shared" si="349"/>
        <v>5.3600000000000002E-2</v>
      </c>
      <c r="BK141" s="533">
        <v>116</v>
      </c>
      <c r="BL141" s="183">
        <f t="shared" si="351"/>
        <v>60</v>
      </c>
      <c r="BM141" s="155">
        <v>60</v>
      </c>
      <c r="CW141" s="364"/>
      <c r="CX141" s="309"/>
      <c r="CY141" s="313"/>
      <c r="DA141" s="309">
        <v>140</v>
      </c>
      <c r="DB141" s="313">
        <f t="shared" si="352"/>
        <v>250.95583279726833</v>
      </c>
      <c r="DC141" s="309">
        <f t="shared" si="353"/>
        <v>1</v>
      </c>
      <c r="DD141" s="309">
        <f t="shared" si="354"/>
        <v>260</v>
      </c>
      <c r="DE141" s="308">
        <f t="shared" si="355"/>
        <v>6.5000000000000002E-2</v>
      </c>
      <c r="DF141" s="313">
        <f t="shared" si="370"/>
        <v>140</v>
      </c>
      <c r="DG141" s="313">
        <f t="shared" si="359"/>
        <v>250.95583279726833</v>
      </c>
      <c r="DH141" s="313">
        <f t="shared" si="360"/>
        <v>250.95583279726833</v>
      </c>
      <c r="DI141" s="313">
        <f t="shared" si="361"/>
        <v>0</v>
      </c>
      <c r="DJ141" s="313">
        <f t="shared" si="362"/>
        <v>0</v>
      </c>
      <c r="DK141" s="313">
        <f t="shared" si="371"/>
        <v>31592.386212207384</v>
      </c>
      <c r="DL141" s="313">
        <f t="shared" si="363"/>
        <v>119483.08689021155</v>
      </c>
      <c r="DM141" s="314">
        <f t="shared" si="364"/>
        <v>18.490822260740703</v>
      </c>
      <c r="DN141" s="312">
        <f t="shared" si="365"/>
        <v>0.1320773018624336</v>
      </c>
      <c r="DO141" s="312">
        <f t="shared" si="372"/>
        <v>0.96521474152795506</v>
      </c>
      <c r="DP141" s="315">
        <f t="shared" si="356"/>
        <v>6.4313262403855431E-2</v>
      </c>
      <c r="DQ141" s="316">
        <f t="shared" si="366"/>
        <v>0.25627323217392656</v>
      </c>
      <c r="DR141" s="316">
        <f t="shared" si="367"/>
        <v>38.746715298290759</v>
      </c>
      <c r="DS141" s="314">
        <f t="shared" si="368"/>
        <v>3.6132095049144937</v>
      </c>
      <c r="DT141" s="316">
        <f t="shared" si="369"/>
        <v>38.746715298290759</v>
      </c>
      <c r="DU141" s="314">
        <f t="shared" si="357"/>
        <v>3.6132095049144937</v>
      </c>
      <c r="DV141" s="316">
        <f t="shared" si="373"/>
        <v>115.08031245682569</v>
      </c>
      <c r="DW141" s="310">
        <f t="shared" si="358"/>
        <v>4.0058980563938933</v>
      </c>
      <c r="FB141" s="307"/>
      <c r="FC141" s="307"/>
      <c r="FF141" s="307"/>
      <c r="FG141" s="307"/>
      <c r="FH141" s="306"/>
      <c r="FJ141" s="307"/>
      <c r="FK141" s="307"/>
      <c r="FL141" s="306"/>
      <c r="FM141" s="307"/>
      <c r="FN141" s="306"/>
      <c r="FO141" s="307"/>
      <c r="FP141" s="306"/>
    </row>
    <row r="142" spans="29:172">
      <c r="AC142" s="156"/>
      <c r="AI142" s="190">
        <v>385</v>
      </c>
      <c r="AJ142" s="185">
        <v>117</v>
      </c>
      <c r="AK142" s="183">
        <f t="shared" si="344"/>
        <v>385</v>
      </c>
      <c r="AM142" s="188">
        <v>117</v>
      </c>
      <c r="AN142" s="183">
        <v>50</v>
      </c>
      <c r="AO142" s="182">
        <v>5.3499999999999999E-2</v>
      </c>
      <c r="AP142" s="185">
        <v>117</v>
      </c>
      <c r="AQ142" s="184">
        <f t="shared" si="345"/>
        <v>5.3499999999999999E-2</v>
      </c>
      <c r="AR142" s="190">
        <v>385</v>
      </c>
      <c r="AS142" s="185">
        <v>117</v>
      </c>
      <c r="AT142" s="183">
        <f t="shared" si="346"/>
        <v>385</v>
      </c>
      <c r="AV142" s="188">
        <v>117</v>
      </c>
      <c r="AW142" s="183">
        <v>50</v>
      </c>
      <c r="AX142" s="182">
        <v>5.3499999999999999E-2</v>
      </c>
      <c r="AY142" s="185">
        <v>117</v>
      </c>
      <c r="AZ142" s="184">
        <f t="shared" si="347"/>
        <v>5.3499999999999999E-2</v>
      </c>
      <c r="BA142" s="190">
        <v>385</v>
      </c>
      <c r="BB142" s="185">
        <v>117</v>
      </c>
      <c r="BC142" s="183">
        <f t="shared" si="348"/>
        <v>385</v>
      </c>
      <c r="BE142" s="188">
        <v>117</v>
      </c>
      <c r="BF142" s="183">
        <v>50</v>
      </c>
      <c r="BG142" s="182">
        <v>5.3499999999999999E-2</v>
      </c>
      <c r="BH142" s="185">
        <v>117</v>
      </c>
      <c r="BI142" s="184">
        <f t="shared" si="349"/>
        <v>5.3499999999999999E-2</v>
      </c>
      <c r="BK142" s="533">
        <v>117</v>
      </c>
      <c r="BL142" s="183">
        <f t="shared" si="351"/>
        <v>50</v>
      </c>
      <c r="BM142" s="155">
        <v>50</v>
      </c>
      <c r="CW142" s="364"/>
      <c r="CX142" s="309"/>
      <c r="CY142" s="313"/>
      <c r="DA142" s="309">
        <v>141</v>
      </c>
      <c r="DB142" s="313">
        <f t="shared" si="352"/>
        <v>251.31980303153455</v>
      </c>
      <c r="DC142" s="309">
        <f t="shared" si="353"/>
        <v>1</v>
      </c>
      <c r="DD142" s="309">
        <f t="shared" si="354"/>
        <v>260</v>
      </c>
      <c r="DE142" s="308">
        <f t="shared" si="355"/>
        <v>6.5000000000000002E-2</v>
      </c>
      <c r="DF142" s="313">
        <f t="shared" si="370"/>
        <v>141</v>
      </c>
      <c r="DG142" s="313">
        <f t="shared" si="359"/>
        <v>251.31980303153455</v>
      </c>
      <c r="DH142" s="313">
        <f t="shared" si="360"/>
        <v>251.31980303153455</v>
      </c>
      <c r="DI142" s="313">
        <f t="shared" si="361"/>
        <v>0</v>
      </c>
      <c r="DJ142" s="313">
        <f t="shared" si="362"/>
        <v>0</v>
      </c>
      <c r="DK142" s="313">
        <f t="shared" si="371"/>
        <v>31843.70601523892</v>
      </c>
      <c r="DL142" s="313">
        <f t="shared" si="363"/>
        <v>119232.13105741428</v>
      </c>
      <c r="DM142" s="314">
        <f t="shared" si="364"/>
        <v>18.524207633696339</v>
      </c>
      <c r="DN142" s="312">
        <f t="shared" si="365"/>
        <v>0.13137735910422935</v>
      </c>
      <c r="DO142" s="312">
        <f t="shared" si="372"/>
        <v>0.96661462704436363</v>
      </c>
      <c r="DP142" s="315">
        <f t="shared" si="356"/>
        <v>6.4341230959489348E-2</v>
      </c>
      <c r="DQ142" s="316">
        <f t="shared" si="366"/>
        <v>0.25601337492460191</v>
      </c>
      <c r="DR142" s="316">
        <f t="shared" si="367"/>
        <v>39.002728673215358</v>
      </c>
      <c r="DS142" s="314">
        <f t="shared" si="368"/>
        <v>3.6151316791542847</v>
      </c>
      <c r="DT142" s="316">
        <f t="shared" si="369"/>
        <v>39.002728673215358</v>
      </c>
      <c r="DU142" s="314">
        <f t="shared" si="357"/>
        <v>3.6151316791542847</v>
      </c>
      <c r="DV142" s="316">
        <f t="shared" si="373"/>
        <v>114.82403922465177</v>
      </c>
      <c r="DW142" s="310">
        <f t="shared" si="358"/>
        <v>4.0061297538925267</v>
      </c>
      <c r="FB142" s="307"/>
      <c r="FC142" s="307"/>
      <c r="FF142" s="307"/>
      <c r="FG142" s="307"/>
      <c r="FH142" s="306"/>
      <c r="FJ142" s="307"/>
      <c r="FK142" s="307"/>
      <c r="FL142" s="306"/>
      <c r="FM142" s="307"/>
      <c r="FN142" s="306"/>
      <c r="FO142" s="307"/>
      <c r="FP142" s="306"/>
    </row>
    <row r="143" spans="29:172">
      <c r="AC143" s="156"/>
      <c r="AI143" s="190">
        <v>384</v>
      </c>
      <c r="AJ143" s="185">
        <v>118</v>
      </c>
      <c r="AK143" s="183">
        <f t="shared" si="344"/>
        <v>384</v>
      </c>
      <c r="AM143" s="188">
        <v>118</v>
      </c>
      <c r="AN143" s="183">
        <v>40</v>
      </c>
      <c r="AO143" s="182">
        <v>5.3400000000000003E-2</v>
      </c>
      <c r="AP143" s="185">
        <v>118</v>
      </c>
      <c r="AQ143" s="184">
        <f t="shared" si="345"/>
        <v>5.3400000000000003E-2</v>
      </c>
      <c r="AR143" s="190">
        <v>384</v>
      </c>
      <c r="AS143" s="185">
        <v>118</v>
      </c>
      <c r="AT143" s="183">
        <f t="shared" si="346"/>
        <v>384</v>
      </c>
      <c r="AV143" s="188">
        <v>118</v>
      </c>
      <c r="AW143" s="183">
        <v>40</v>
      </c>
      <c r="AX143" s="182">
        <v>5.3400000000000003E-2</v>
      </c>
      <c r="AY143" s="185">
        <v>118</v>
      </c>
      <c r="AZ143" s="184">
        <f t="shared" si="347"/>
        <v>5.3400000000000003E-2</v>
      </c>
      <c r="BA143" s="190">
        <v>384</v>
      </c>
      <c r="BB143" s="185">
        <v>118</v>
      </c>
      <c r="BC143" s="183">
        <f t="shared" si="348"/>
        <v>384</v>
      </c>
      <c r="BE143" s="188">
        <v>118</v>
      </c>
      <c r="BF143" s="183">
        <v>40</v>
      </c>
      <c r="BG143" s="182">
        <v>5.3400000000000003E-2</v>
      </c>
      <c r="BH143" s="185">
        <v>118</v>
      </c>
      <c r="BI143" s="184">
        <f t="shared" si="349"/>
        <v>5.3400000000000003E-2</v>
      </c>
      <c r="BK143" s="533">
        <v>118</v>
      </c>
      <c r="BL143" s="183">
        <f t="shared" si="351"/>
        <v>40</v>
      </c>
      <c r="BM143" s="155">
        <v>40</v>
      </c>
      <c r="CW143" s="364"/>
      <c r="CX143" s="309"/>
      <c r="CY143" s="313"/>
      <c r="DA143" s="309">
        <v>142</v>
      </c>
      <c r="DB143" s="313">
        <f t="shared" si="352"/>
        <v>251.68377326580074</v>
      </c>
      <c r="DC143" s="309">
        <f t="shared" si="353"/>
        <v>1</v>
      </c>
      <c r="DD143" s="309">
        <f t="shared" si="354"/>
        <v>260</v>
      </c>
      <c r="DE143" s="308">
        <f t="shared" si="355"/>
        <v>6.5000000000000002E-2</v>
      </c>
      <c r="DF143" s="313">
        <f t="shared" si="370"/>
        <v>142</v>
      </c>
      <c r="DG143" s="313">
        <f t="shared" si="359"/>
        <v>251.68377326580074</v>
      </c>
      <c r="DH143" s="313">
        <f t="shared" si="360"/>
        <v>251.68377326580074</v>
      </c>
      <c r="DI143" s="313">
        <f t="shared" si="361"/>
        <v>0</v>
      </c>
      <c r="DJ143" s="313">
        <f t="shared" si="362"/>
        <v>0</v>
      </c>
      <c r="DK143" s="313">
        <f t="shared" si="371"/>
        <v>32095.389788504723</v>
      </c>
      <c r="DL143" s="313">
        <f t="shared" si="363"/>
        <v>118980.81125438274</v>
      </c>
      <c r="DM143" s="314">
        <f t="shared" si="364"/>
        <v>18.556193121135568</v>
      </c>
      <c r="DN143" s="312">
        <f t="shared" si="365"/>
        <v>0.13067741634602512</v>
      </c>
      <c r="DO143" s="312">
        <f t="shared" si="372"/>
        <v>0.96801451256077209</v>
      </c>
      <c r="DP143" s="315">
        <f t="shared" si="356"/>
        <v>6.4369171175940418E-2</v>
      </c>
      <c r="DQ143" s="316">
        <f t="shared" si="366"/>
        <v>0.25575415665737328</v>
      </c>
      <c r="DR143" s="316">
        <f t="shared" si="367"/>
        <v>39.258482829872733</v>
      </c>
      <c r="DS143" s="314">
        <f t="shared" si="368"/>
        <v>3.6170526664354119</v>
      </c>
      <c r="DT143" s="316">
        <f t="shared" si="369"/>
        <v>39.258482829872733</v>
      </c>
      <c r="DU143" s="314">
        <f t="shared" si="357"/>
        <v>3.6170526664354119</v>
      </c>
      <c r="DV143" s="316">
        <f t="shared" si="373"/>
        <v>114.56802584972716</v>
      </c>
      <c r="DW143" s="310">
        <f t="shared" si="358"/>
        <v>4.0063534009222268</v>
      </c>
      <c r="FB143" s="307"/>
      <c r="FC143" s="307"/>
      <c r="FF143" s="307"/>
      <c r="FG143" s="307"/>
      <c r="FH143" s="306"/>
      <c r="FJ143" s="307"/>
      <c r="FK143" s="307"/>
      <c r="FL143" s="306"/>
      <c r="FM143" s="307"/>
      <c r="FN143" s="306"/>
      <c r="FO143" s="307"/>
      <c r="FP143" s="306"/>
    </row>
    <row r="144" spans="29:172">
      <c r="AC144" s="156"/>
      <c r="AI144" s="190">
        <v>383</v>
      </c>
      <c r="AJ144" s="185">
        <v>119</v>
      </c>
      <c r="AK144" s="183">
        <f t="shared" si="344"/>
        <v>383</v>
      </c>
      <c r="AM144" s="188">
        <v>119</v>
      </c>
      <c r="AN144" s="183">
        <v>30</v>
      </c>
      <c r="AO144" s="182">
        <v>5.33E-2</v>
      </c>
      <c r="AP144" s="185">
        <v>119</v>
      </c>
      <c r="AQ144" s="184">
        <f t="shared" si="345"/>
        <v>5.33E-2</v>
      </c>
      <c r="AR144" s="190">
        <v>383</v>
      </c>
      <c r="AS144" s="185">
        <v>119</v>
      </c>
      <c r="AT144" s="183">
        <f t="shared" si="346"/>
        <v>383</v>
      </c>
      <c r="AV144" s="188">
        <v>119</v>
      </c>
      <c r="AW144" s="183">
        <v>30</v>
      </c>
      <c r="AX144" s="182">
        <v>5.33E-2</v>
      </c>
      <c r="AY144" s="185">
        <v>119</v>
      </c>
      <c r="AZ144" s="184">
        <f t="shared" si="347"/>
        <v>5.33E-2</v>
      </c>
      <c r="BA144" s="190">
        <v>383</v>
      </c>
      <c r="BB144" s="185">
        <v>119</v>
      </c>
      <c r="BC144" s="183">
        <f t="shared" si="348"/>
        <v>383</v>
      </c>
      <c r="BE144" s="188">
        <v>119</v>
      </c>
      <c r="BF144" s="183">
        <v>30</v>
      </c>
      <c r="BG144" s="182">
        <v>5.33E-2</v>
      </c>
      <c r="BH144" s="185">
        <v>119</v>
      </c>
      <c r="BI144" s="184">
        <f t="shared" si="349"/>
        <v>5.33E-2</v>
      </c>
      <c r="BK144" s="533">
        <v>119</v>
      </c>
      <c r="BL144" s="183">
        <f t="shared" si="351"/>
        <v>30</v>
      </c>
      <c r="BM144" s="155">
        <v>30</v>
      </c>
      <c r="CW144" s="364"/>
      <c r="CX144" s="309"/>
      <c r="CY144" s="313"/>
      <c r="DA144" s="309">
        <v>143</v>
      </c>
      <c r="DB144" s="313">
        <f t="shared" si="352"/>
        <v>252.04774350006693</v>
      </c>
      <c r="DC144" s="309">
        <f t="shared" si="353"/>
        <v>1</v>
      </c>
      <c r="DD144" s="309">
        <f t="shared" si="354"/>
        <v>260</v>
      </c>
      <c r="DE144" s="308">
        <f t="shared" si="355"/>
        <v>6.5000000000000002E-2</v>
      </c>
      <c r="DF144" s="313">
        <f t="shared" si="370"/>
        <v>143</v>
      </c>
      <c r="DG144" s="313">
        <f t="shared" si="359"/>
        <v>252.04774350006693</v>
      </c>
      <c r="DH144" s="313">
        <f t="shared" si="360"/>
        <v>252.04774350006693</v>
      </c>
      <c r="DI144" s="313">
        <f t="shared" si="361"/>
        <v>0</v>
      </c>
      <c r="DJ144" s="313">
        <f t="shared" si="362"/>
        <v>0</v>
      </c>
      <c r="DK144" s="313">
        <f t="shared" si="371"/>
        <v>32347.437532004791</v>
      </c>
      <c r="DL144" s="313">
        <f t="shared" si="363"/>
        <v>118729.12748111694</v>
      </c>
      <c r="DM144" s="314">
        <f t="shared" si="364"/>
        <v>18.586778723058387</v>
      </c>
      <c r="DN144" s="312">
        <f t="shared" si="365"/>
        <v>0.12997747358782089</v>
      </c>
      <c r="DO144" s="312">
        <f t="shared" si="372"/>
        <v>0.96941439807718055</v>
      </c>
      <c r="DP144" s="315">
        <f t="shared" si="356"/>
        <v>6.4397083122843576E-2</v>
      </c>
      <c r="DQ144" s="316">
        <f t="shared" si="366"/>
        <v>0.25549557488034597</v>
      </c>
      <c r="DR144" s="316">
        <f t="shared" si="367"/>
        <v>39.513978404753082</v>
      </c>
      <c r="DS144" s="314">
        <f t="shared" si="368"/>
        <v>3.6189724693173067</v>
      </c>
      <c r="DT144" s="316">
        <f t="shared" si="369"/>
        <v>39.513978404753082</v>
      </c>
      <c r="DU144" s="314">
        <f t="shared" si="357"/>
        <v>3.6189724693173067</v>
      </c>
      <c r="DV144" s="316">
        <f t="shared" si="373"/>
        <v>114.31227169306979</v>
      </c>
      <c r="DW144" s="310">
        <f t="shared" si="358"/>
        <v>4.0065689642642832</v>
      </c>
      <c r="FB144" s="307"/>
      <c r="FC144" s="307"/>
      <c r="FF144" s="307"/>
      <c r="FG144" s="307"/>
      <c r="FH144" s="306"/>
      <c r="FJ144" s="307"/>
      <c r="FK144" s="307"/>
      <c r="FL144" s="306"/>
      <c r="FM144" s="307"/>
      <c r="FN144" s="306"/>
      <c r="FO144" s="307"/>
      <c r="FP144" s="306"/>
    </row>
    <row r="145" spans="29:172">
      <c r="AC145" s="156"/>
      <c r="AI145" s="190">
        <v>382</v>
      </c>
      <c r="AJ145" s="185">
        <v>120</v>
      </c>
      <c r="AK145" s="183">
        <f t="shared" si="344"/>
        <v>382</v>
      </c>
      <c r="AM145" s="188">
        <v>120</v>
      </c>
      <c r="AN145" s="183">
        <v>20</v>
      </c>
      <c r="AO145" s="182">
        <v>5.3199999999999997E-2</v>
      </c>
      <c r="AP145" s="185">
        <v>120</v>
      </c>
      <c r="AQ145" s="184">
        <f t="shared" si="345"/>
        <v>5.3199999999999997E-2</v>
      </c>
      <c r="AR145" s="190">
        <v>382</v>
      </c>
      <c r="AS145" s="185">
        <v>120</v>
      </c>
      <c r="AT145" s="183">
        <f t="shared" si="346"/>
        <v>382</v>
      </c>
      <c r="AV145" s="188">
        <v>120</v>
      </c>
      <c r="AW145" s="183">
        <v>20</v>
      </c>
      <c r="AX145" s="182">
        <v>5.3199999999999997E-2</v>
      </c>
      <c r="AY145" s="185">
        <v>120</v>
      </c>
      <c r="AZ145" s="184">
        <f t="shared" si="347"/>
        <v>5.3199999999999997E-2</v>
      </c>
      <c r="BA145" s="190">
        <v>382</v>
      </c>
      <c r="BB145" s="185">
        <v>120</v>
      </c>
      <c r="BC145" s="183">
        <f t="shared" si="348"/>
        <v>382</v>
      </c>
      <c r="BE145" s="188">
        <v>120</v>
      </c>
      <c r="BF145" s="183">
        <v>20</v>
      </c>
      <c r="BG145" s="182">
        <v>5.3199999999999997E-2</v>
      </c>
      <c r="BH145" s="185">
        <v>120</v>
      </c>
      <c r="BI145" s="184">
        <f t="shared" si="349"/>
        <v>5.3199999999999997E-2</v>
      </c>
      <c r="BK145" s="533">
        <v>120</v>
      </c>
      <c r="BL145" s="183">
        <f t="shared" si="351"/>
        <v>20</v>
      </c>
      <c r="BM145" s="155">
        <v>20</v>
      </c>
      <c r="CW145" s="364"/>
      <c r="CX145" s="309"/>
      <c r="CY145" s="313"/>
      <c r="DA145" s="309">
        <v>144</v>
      </c>
      <c r="DB145" s="313">
        <f t="shared" si="352"/>
        <v>252.41171373433315</v>
      </c>
      <c r="DC145" s="309">
        <f t="shared" si="353"/>
        <v>1</v>
      </c>
      <c r="DD145" s="309">
        <f t="shared" si="354"/>
        <v>260</v>
      </c>
      <c r="DE145" s="308">
        <f t="shared" si="355"/>
        <v>6.5000000000000002E-2</v>
      </c>
      <c r="DF145" s="313">
        <f t="shared" si="370"/>
        <v>144</v>
      </c>
      <c r="DG145" s="313">
        <f t="shared" si="359"/>
        <v>252.41171373433315</v>
      </c>
      <c r="DH145" s="313">
        <f t="shared" si="360"/>
        <v>252.41171373433315</v>
      </c>
      <c r="DI145" s="313">
        <f t="shared" si="361"/>
        <v>0</v>
      </c>
      <c r="DJ145" s="313">
        <f t="shared" si="362"/>
        <v>0</v>
      </c>
      <c r="DK145" s="313">
        <f t="shared" si="371"/>
        <v>32599.849245739126</v>
      </c>
      <c r="DL145" s="313">
        <f t="shared" si="363"/>
        <v>118477.07973761688</v>
      </c>
      <c r="DM145" s="314">
        <f t="shared" si="364"/>
        <v>18.615964439464797</v>
      </c>
      <c r="DN145" s="312">
        <f t="shared" si="365"/>
        <v>0.12927753082961665</v>
      </c>
      <c r="DO145" s="312">
        <f t="shared" si="372"/>
        <v>0.97081428359358901</v>
      </c>
      <c r="DP145" s="315">
        <f t="shared" si="356"/>
        <v>6.4424966869562436E-2</v>
      </c>
      <c r="DQ145" s="316">
        <f t="shared" si="366"/>
        <v>0.25523762711492309</v>
      </c>
      <c r="DR145" s="316">
        <f t="shared" si="367"/>
        <v>39.769216031868005</v>
      </c>
      <c r="DS145" s="314">
        <f t="shared" si="368"/>
        <v>3.6208910903501197</v>
      </c>
      <c r="DT145" s="316">
        <f t="shared" si="369"/>
        <v>39.769216031868005</v>
      </c>
      <c r="DU145" s="314">
        <f t="shared" si="357"/>
        <v>3.6208910903501197</v>
      </c>
      <c r="DV145" s="316">
        <f t="shared" si="373"/>
        <v>114.05677611818945</v>
      </c>
      <c r="DW145" s="310">
        <f t="shared" si="358"/>
        <v>4.0067764104294978</v>
      </c>
      <c r="FB145" s="307"/>
      <c r="FC145" s="307"/>
      <c r="FF145" s="307"/>
      <c r="FG145" s="307"/>
      <c r="FH145" s="306"/>
      <c r="FJ145" s="307"/>
      <c r="FK145" s="307"/>
      <c r="FL145" s="306"/>
      <c r="FM145" s="307"/>
      <c r="FN145" s="306"/>
      <c r="FO145" s="307"/>
      <c r="FP145" s="306"/>
    </row>
    <row r="146" spans="29:172">
      <c r="AC146" s="156"/>
      <c r="AI146" s="190">
        <v>381</v>
      </c>
      <c r="AJ146" s="185">
        <v>121</v>
      </c>
      <c r="AK146" s="183">
        <f t="shared" si="344"/>
        <v>381</v>
      </c>
      <c r="AM146" s="188">
        <v>121</v>
      </c>
      <c r="AN146" s="183">
        <v>10</v>
      </c>
      <c r="AO146" s="182">
        <v>5.3100000000000001E-2</v>
      </c>
      <c r="AP146" s="185">
        <v>121</v>
      </c>
      <c r="AQ146" s="184">
        <f t="shared" si="345"/>
        <v>5.3100000000000001E-2</v>
      </c>
      <c r="AR146" s="190">
        <v>381</v>
      </c>
      <c r="AS146" s="185">
        <v>121</v>
      </c>
      <c r="AT146" s="183">
        <f t="shared" si="346"/>
        <v>381</v>
      </c>
      <c r="AV146" s="188">
        <v>121</v>
      </c>
      <c r="AW146" s="183">
        <v>10</v>
      </c>
      <c r="AX146" s="182">
        <v>5.3100000000000001E-2</v>
      </c>
      <c r="AY146" s="185">
        <v>121</v>
      </c>
      <c r="AZ146" s="184">
        <f t="shared" si="347"/>
        <v>5.3100000000000001E-2</v>
      </c>
      <c r="BA146" s="190">
        <v>381</v>
      </c>
      <c r="BB146" s="185">
        <v>121</v>
      </c>
      <c r="BC146" s="183">
        <f t="shared" si="348"/>
        <v>381</v>
      </c>
      <c r="BE146" s="188">
        <v>121</v>
      </c>
      <c r="BF146" s="183">
        <v>10</v>
      </c>
      <c r="BG146" s="182">
        <v>5.3100000000000001E-2</v>
      </c>
      <c r="BH146" s="185">
        <v>121</v>
      </c>
      <c r="BI146" s="184">
        <f t="shared" si="349"/>
        <v>5.3100000000000001E-2</v>
      </c>
      <c r="BK146" s="533">
        <v>121</v>
      </c>
      <c r="BL146" s="183">
        <f t="shared" si="351"/>
        <v>10</v>
      </c>
      <c r="BM146" s="155">
        <v>10</v>
      </c>
      <c r="CW146" s="364"/>
      <c r="CX146" s="309"/>
      <c r="CY146" s="313"/>
      <c r="DA146" s="309">
        <v>145</v>
      </c>
      <c r="DB146" s="313">
        <f t="shared" si="352"/>
        <v>252.77568396859934</v>
      </c>
      <c r="DC146" s="309">
        <f t="shared" si="353"/>
        <v>1</v>
      </c>
      <c r="DD146" s="309">
        <f t="shared" si="354"/>
        <v>260</v>
      </c>
      <c r="DE146" s="308">
        <f t="shared" si="355"/>
        <v>6.5000000000000002E-2</v>
      </c>
      <c r="DF146" s="313">
        <f t="shared" si="370"/>
        <v>145</v>
      </c>
      <c r="DG146" s="313">
        <f t="shared" si="359"/>
        <v>252.77568396859934</v>
      </c>
      <c r="DH146" s="313">
        <f t="shared" si="360"/>
        <v>252.77568396859934</v>
      </c>
      <c r="DI146" s="313">
        <f t="shared" si="361"/>
        <v>0</v>
      </c>
      <c r="DJ146" s="313">
        <f t="shared" si="362"/>
        <v>0</v>
      </c>
      <c r="DK146" s="313">
        <f t="shared" si="371"/>
        <v>32852.624929707723</v>
      </c>
      <c r="DL146" s="313">
        <f t="shared" si="363"/>
        <v>118224.66802388255</v>
      </c>
      <c r="DM146" s="314">
        <f t="shared" si="364"/>
        <v>18.643750270354801</v>
      </c>
      <c r="DN146" s="312">
        <f t="shared" si="365"/>
        <v>0.12857758807141242</v>
      </c>
      <c r="DO146" s="312">
        <f t="shared" si="372"/>
        <v>0.97221416910999747</v>
      </c>
      <c r="DP146" s="315">
        <f t="shared" si="356"/>
        <v>6.44528224851907E-2</v>
      </c>
      <c r="DQ146" s="316">
        <f t="shared" si="366"/>
        <v>0.25498031089571593</v>
      </c>
      <c r="DR146" s="316">
        <f t="shared" si="367"/>
        <v>40.024196342763723</v>
      </c>
      <c r="DS146" s="314">
        <f t="shared" si="368"/>
        <v>3.6228085320747643</v>
      </c>
      <c r="DT146" s="316">
        <f t="shared" si="369"/>
        <v>40.024196342763723</v>
      </c>
      <c r="DU146" s="314">
        <f t="shared" si="357"/>
        <v>3.6228085320747643</v>
      </c>
      <c r="DV146" s="316">
        <f t="shared" si="373"/>
        <v>113.80153849107452</v>
      </c>
      <c r="DW146" s="310">
        <f t="shared" si="358"/>
        <v>4.0069757056558961</v>
      </c>
      <c r="FB146" s="307"/>
      <c r="FC146" s="307"/>
      <c r="FF146" s="307"/>
      <c r="FG146" s="307"/>
      <c r="FH146" s="306"/>
      <c r="FJ146" s="307"/>
      <c r="FK146" s="307"/>
      <c r="FL146" s="306"/>
      <c r="FM146" s="307"/>
      <c r="FN146" s="306"/>
      <c r="FO146" s="307"/>
      <c r="FP146" s="306"/>
    </row>
    <row r="147" spans="29:172">
      <c r="AC147" s="156"/>
      <c r="AI147" s="190">
        <v>380</v>
      </c>
      <c r="AJ147" s="185">
        <v>122</v>
      </c>
      <c r="AK147" s="183">
        <f t="shared" si="344"/>
        <v>380</v>
      </c>
      <c r="AO147" s="182">
        <v>5.2999999999999999E-2</v>
      </c>
      <c r="AP147" s="185">
        <v>122</v>
      </c>
      <c r="AQ147" s="184">
        <f t="shared" si="345"/>
        <v>5.2999999999999999E-2</v>
      </c>
      <c r="AR147" s="190">
        <v>380</v>
      </c>
      <c r="AS147" s="185">
        <v>122</v>
      </c>
      <c r="AT147" s="183">
        <f t="shared" si="346"/>
        <v>380</v>
      </c>
      <c r="AX147" s="182">
        <v>5.2999999999999999E-2</v>
      </c>
      <c r="AY147" s="185">
        <v>122</v>
      </c>
      <c r="AZ147" s="184">
        <f t="shared" si="347"/>
        <v>5.2999999999999999E-2</v>
      </c>
      <c r="BA147" s="190">
        <v>380</v>
      </c>
      <c r="BB147" s="185">
        <v>122</v>
      </c>
      <c r="BC147" s="183">
        <f t="shared" si="348"/>
        <v>380</v>
      </c>
      <c r="BG147" s="182">
        <v>5.2999999999999999E-2</v>
      </c>
      <c r="BH147" s="185">
        <v>122</v>
      </c>
      <c r="BI147" s="184">
        <f t="shared" si="349"/>
        <v>5.2999999999999999E-2</v>
      </c>
      <c r="CW147" s="364"/>
      <c r="CX147" s="309"/>
      <c r="CY147" s="313"/>
      <c r="DA147" s="309">
        <v>146</v>
      </c>
      <c r="DB147" s="313">
        <f t="shared" si="352"/>
        <v>253.13965420286553</v>
      </c>
      <c r="DC147" s="309">
        <f t="shared" si="353"/>
        <v>1</v>
      </c>
      <c r="DD147" s="309">
        <f t="shared" si="354"/>
        <v>260</v>
      </c>
      <c r="DE147" s="308">
        <f t="shared" si="355"/>
        <v>6.5000000000000002E-2</v>
      </c>
      <c r="DF147" s="313">
        <f t="shared" si="370"/>
        <v>146</v>
      </c>
      <c r="DG147" s="313">
        <f t="shared" si="359"/>
        <v>253.13965420286553</v>
      </c>
      <c r="DH147" s="313">
        <f t="shared" si="360"/>
        <v>253.13965420286553</v>
      </c>
      <c r="DI147" s="313">
        <f t="shared" si="361"/>
        <v>0</v>
      </c>
      <c r="DJ147" s="313">
        <f t="shared" si="362"/>
        <v>0</v>
      </c>
      <c r="DK147" s="313">
        <f t="shared" si="371"/>
        <v>33105.76458391059</v>
      </c>
      <c r="DL147" s="313">
        <f t="shared" si="363"/>
        <v>117971.89233991395</v>
      </c>
      <c r="DM147" s="314">
        <f t="shared" si="364"/>
        <v>18.670136215728395</v>
      </c>
      <c r="DN147" s="312">
        <f t="shared" si="365"/>
        <v>0.12787764531320819</v>
      </c>
      <c r="DO147" s="312">
        <f t="shared" si="372"/>
        <v>0.97361405462640593</v>
      </c>
      <c r="DP147" s="315">
        <f t="shared" si="356"/>
        <v>6.4480650038553564E-2</v>
      </c>
      <c r="DQ147" s="316">
        <f t="shared" si="366"/>
        <v>0.2547236237704541</v>
      </c>
      <c r="DR147" s="316">
        <f t="shared" si="367"/>
        <v>40.278919966534176</v>
      </c>
      <c r="DS147" s="314">
        <f t="shared" si="368"/>
        <v>3.624724797022969</v>
      </c>
      <c r="DT147" s="316">
        <f t="shared" si="369"/>
        <v>40.278919966534176</v>
      </c>
      <c r="DU147" s="314">
        <f t="shared" si="357"/>
        <v>3.624724797022969</v>
      </c>
      <c r="DV147" s="316">
        <f t="shared" si="373"/>
        <v>113.54655818017881</v>
      </c>
      <c r="DW147" s="310">
        <f t="shared" si="358"/>
        <v>4.0071668159064187</v>
      </c>
      <c r="FB147" s="307"/>
      <c r="FC147" s="307"/>
      <c r="FF147" s="307"/>
      <c r="FG147" s="307"/>
      <c r="FH147" s="306"/>
      <c r="FJ147" s="307"/>
      <c r="FK147" s="307"/>
      <c r="FL147" s="306"/>
      <c r="FM147" s="307"/>
      <c r="FN147" s="306"/>
      <c r="FO147" s="307"/>
      <c r="FP147" s="306"/>
    </row>
    <row r="148" spans="29:172">
      <c r="AC148" s="156"/>
      <c r="AI148" s="190">
        <v>379</v>
      </c>
      <c r="AJ148" s="185">
        <v>123</v>
      </c>
      <c r="AK148" s="183">
        <f t="shared" si="344"/>
        <v>379</v>
      </c>
      <c r="AO148" s="182">
        <v>5.2900000000000003E-2</v>
      </c>
      <c r="AP148" s="185">
        <v>123</v>
      </c>
      <c r="AQ148" s="184">
        <f t="shared" si="345"/>
        <v>5.2900000000000003E-2</v>
      </c>
      <c r="AR148" s="190">
        <v>379</v>
      </c>
      <c r="AS148" s="185">
        <v>123</v>
      </c>
      <c r="AT148" s="183">
        <f t="shared" si="346"/>
        <v>379</v>
      </c>
      <c r="AX148" s="182">
        <v>5.2900000000000003E-2</v>
      </c>
      <c r="AY148" s="185">
        <v>123</v>
      </c>
      <c r="AZ148" s="184">
        <f t="shared" si="347"/>
        <v>5.2900000000000003E-2</v>
      </c>
      <c r="BA148" s="190">
        <v>379</v>
      </c>
      <c r="BB148" s="185">
        <v>123</v>
      </c>
      <c r="BC148" s="183">
        <f t="shared" si="348"/>
        <v>379</v>
      </c>
      <c r="BG148" s="182">
        <v>5.2900000000000003E-2</v>
      </c>
      <c r="BH148" s="185">
        <v>123</v>
      </c>
      <c r="BI148" s="184">
        <f t="shared" si="349"/>
        <v>5.2900000000000003E-2</v>
      </c>
      <c r="CW148" s="364"/>
      <c r="CX148" s="309"/>
      <c r="CY148" s="313"/>
      <c r="DA148" s="309">
        <v>147</v>
      </c>
      <c r="DB148" s="313">
        <f t="shared" si="352"/>
        <v>253.50362443713175</v>
      </c>
      <c r="DC148" s="309">
        <f t="shared" si="353"/>
        <v>1</v>
      </c>
      <c r="DD148" s="309">
        <f t="shared" si="354"/>
        <v>260</v>
      </c>
      <c r="DE148" s="308">
        <f t="shared" si="355"/>
        <v>6.5000000000000002E-2</v>
      </c>
      <c r="DF148" s="313">
        <f t="shared" si="370"/>
        <v>147</v>
      </c>
      <c r="DG148" s="313">
        <f t="shared" si="359"/>
        <v>253.50362443713175</v>
      </c>
      <c r="DH148" s="313">
        <f t="shared" si="360"/>
        <v>253.50362443713175</v>
      </c>
      <c r="DI148" s="313">
        <f t="shared" si="361"/>
        <v>0</v>
      </c>
      <c r="DJ148" s="313">
        <f t="shared" si="362"/>
        <v>0</v>
      </c>
      <c r="DK148" s="313">
        <f t="shared" si="371"/>
        <v>33359.268208347719</v>
      </c>
      <c r="DL148" s="313">
        <f t="shared" si="363"/>
        <v>117718.75268571108</v>
      </c>
      <c r="DM148" s="314">
        <f t="shared" si="364"/>
        <v>18.695122275585579</v>
      </c>
      <c r="DN148" s="312">
        <f t="shared" si="365"/>
        <v>0.12717770255500394</v>
      </c>
      <c r="DO148" s="312">
        <f t="shared" si="372"/>
        <v>0.97501394014281439</v>
      </c>
      <c r="DP148" s="315">
        <f t="shared" si="356"/>
        <v>6.4508449598209172E-2</v>
      </c>
      <c r="DQ148" s="316">
        <f t="shared" si="366"/>
        <v>0.25446756329989711</v>
      </c>
      <c r="DR148" s="316">
        <f t="shared" si="367"/>
        <v>40.533387529834073</v>
      </c>
      <c r="DS148" s="314">
        <f t="shared" si="368"/>
        <v>3.6266398877173187</v>
      </c>
      <c r="DT148" s="316">
        <f t="shared" si="369"/>
        <v>40.533387529834073</v>
      </c>
      <c r="DU148" s="314">
        <f t="shared" si="357"/>
        <v>3.6266398877173187</v>
      </c>
      <c r="DV148" s="316">
        <f t="shared" si="373"/>
        <v>113.29183455640835</v>
      </c>
      <c r="DW148" s="310">
        <f t="shared" si="358"/>
        <v>4.0073497068665791</v>
      </c>
      <c r="FB148" s="307"/>
      <c r="FC148" s="307"/>
      <c r="FF148" s="307"/>
      <c r="FG148" s="307"/>
      <c r="FH148" s="306"/>
      <c r="FJ148" s="307"/>
      <c r="FK148" s="307"/>
      <c r="FL148" s="306"/>
      <c r="FM148" s="307"/>
      <c r="FN148" s="306"/>
      <c r="FO148" s="307"/>
      <c r="FP148" s="306"/>
    </row>
    <row r="149" spans="29:172">
      <c r="AC149" s="156"/>
      <c r="AI149" s="190">
        <v>378</v>
      </c>
      <c r="AJ149" s="185">
        <v>124</v>
      </c>
      <c r="AK149" s="183">
        <f t="shared" si="344"/>
        <v>378</v>
      </c>
      <c r="AO149" s="182">
        <v>5.28E-2</v>
      </c>
      <c r="AP149" s="185">
        <v>124</v>
      </c>
      <c r="AQ149" s="184">
        <f t="shared" si="345"/>
        <v>5.28E-2</v>
      </c>
      <c r="AR149" s="190">
        <v>378</v>
      </c>
      <c r="AS149" s="185">
        <v>124</v>
      </c>
      <c r="AT149" s="183">
        <f t="shared" si="346"/>
        <v>378</v>
      </c>
      <c r="AX149" s="182">
        <v>5.28E-2</v>
      </c>
      <c r="AY149" s="185">
        <v>124</v>
      </c>
      <c r="AZ149" s="184">
        <f t="shared" si="347"/>
        <v>5.28E-2</v>
      </c>
      <c r="BA149" s="190">
        <v>378</v>
      </c>
      <c r="BB149" s="185">
        <v>124</v>
      </c>
      <c r="BC149" s="183">
        <f t="shared" si="348"/>
        <v>378</v>
      </c>
      <c r="BG149" s="182">
        <v>5.28E-2</v>
      </c>
      <c r="BH149" s="185">
        <v>124</v>
      </c>
      <c r="BI149" s="184">
        <f t="shared" si="349"/>
        <v>5.28E-2</v>
      </c>
      <c r="CW149" s="364"/>
      <c r="CX149" s="309"/>
      <c r="CY149" s="313"/>
      <c r="DA149" s="309">
        <v>148</v>
      </c>
      <c r="DB149" s="313">
        <f t="shared" si="352"/>
        <v>253.86759467139794</v>
      </c>
      <c r="DC149" s="309">
        <f t="shared" si="353"/>
        <v>1</v>
      </c>
      <c r="DD149" s="309">
        <f t="shared" si="354"/>
        <v>260</v>
      </c>
      <c r="DE149" s="308">
        <f t="shared" si="355"/>
        <v>6.5000000000000002E-2</v>
      </c>
      <c r="DF149" s="313">
        <f t="shared" si="370"/>
        <v>148</v>
      </c>
      <c r="DG149" s="313">
        <f t="shared" si="359"/>
        <v>253.86759467139794</v>
      </c>
      <c r="DH149" s="313">
        <f t="shared" si="360"/>
        <v>253.86759467139794</v>
      </c>
      <c r="DI149" s="313">
        <f t="shared" si="361"/>
        <v>0</v>
      </c>
      <c r="DJ149" s="313">
        <f t="shared" si="362"/>
        <v>0</v>
      </c>
      <c r="DK149" s="313">
        <f t="shared" si="371"/>
        <v>33613.135803019119</v>
      </c>
      <c r="DL149" s="313">
        <f t="shared" si="363"/>
        <v>117465.24906127395</v>
      </c>
      <c r="DM149" s="314">
        <f t="shared" si="364"/>
        <v>18.718708449926357</v>
      </c>
      <c r="DN149" s="312">
        <f t="shared" si="365"/>
        <v>0.1264777597967997</v>
      </c>
      <c r="DO149" s="312">
        <f t="shared" si="372"/>
        <v>0.97641382565922286</v>
      </c>
      <c r="DP149" s="315">
        <f t="shared" si="356"/>
        <v>6.453622123245005E-2</v>
      </c>
      <c r="DQ149" s="316">
        <f t="shared" si="366"/>
        <v>0.25421212705774709</v>
      </c>
      <c r="DR149" s="316">
        <f t="shared" si="367"/>
        <v>40.787599656891821</v>
      </c>
      <c r="DS149" s="314">
        <f t="shared" si="368"/>
        <v>3.6285538066713041</v>
      </c>
      <c r="DT149" s="316">
        <f t="shared" si="369"/>
        <v>40.787599656891821</v>
      </c>
      <c r="DU149" s="314">
        <f t="shared" si="357"/>
        <v>3.6285538066713041</v>
      </c>
      <c r="DV149" s="316">
        <f t="shared" si="373"/>
        <v>113.03736699310845</v>
      </c>
      <c r="DW149" s="310">
        <f t="shared" si="358"/>
        <v>4.007524343942106</v>
      </c>
      <c r="FB149" s="307"/>
      <c r="FC149" s="307"/>
      <c r="FF149" s="307"/>
      <c r="FG149" s="307"/>
      <c r="FH149" s="306"/>
      <c r="FJ149" s="307"/>
      <c r="FK149" s="307"/>
      <c r="FL149" s="306"/>
      <c r="FM149" s="307"/>
      <c r="FN149" s="306"/>
      <c r="FO149" s="307"/>
      <c r="FP149" s="306"/>
    </row>
    <row r="150" spans="29:172">
      <c r="AC150" s="156"/>
      <c r="AI150" s="190">
        <v>377</v>
      </c>
      <c r="AJ150" s="185">
        <v>125</v>
      </c>
      <c r="AK150" s="183">
        <f t="shared" si="344"/>
        <v>377</v>
      </c>
      <c r="AO150" s="182">
        <v>5.2699999999999997E-2</v>
      </c>
      <c r="AP150" s="185">
        <v>125</v>
      </c>
      <c r="AQ150" s="184">
        <f t="shared" si="345"/>
        <v>5.2699999999999997E-2</v>
      </c>
      <c r="AR150" s="190">
        <v>377</v>
      </c>
      <c r="AS150" s="185">
        <v>125</v>
      </c>
      <c r="AT150" s="183">
        <f t="shared" si="346"/>
        <v>377</v>
      </c>
      <c r="AX150" s="182">
        <v>5.2699999999999997E-2</v>
      </c>
      <c r="AY150" s="185">
        <v>125</v>
      </c>
      <c r="AZ150" s="184">
        <f t="shared" si="347"/>
        <v>5.2699999999999997E-2</v>
      </c>
      <c r="BA150" s="190">
        <v>377</v>
      </c>
      <c r="BB150" s="185">
        <v>125</v>
      </c>
      <c r="BC150" s="183">
        <f t="shared" si="348"/>
        <v>377</v>
      </c>
      <c r="BG150" s="182">
        <v>5.2699999999999997E-2</v>
      </c>
      <c r="BH150" s="185">
        <v>125</v>
      </c>
      <c r="BI150" s="184">
        <f t="shared" si="349"/>
        <v>5.2699999999999997E-2</v>
      </c>
      <c r="CW150" s="364"/>
      <c r="CX150" s="309"/>
      <c r="CY150" s="313"/>
      <c r="DA150" s="309">
        <v>149</v>
      </c>
      <c r="DB150" s="313">
        <f t="shared" si="352"/>
        <v>254.23156490566416</v>
      </c>
      <c r="DC150" s="309">
        <f t="shared" si="353"/>
        <v>1</v>
      </c>
      <c r="DD150" s="309">
        <f t="shared" si="354"/>
        <v>260</v>
      </c>
      <c r="DE150" s="308">
        <f t="shared" si="355"/>
        <v>6.5000000000000002E-2</v>
      </c>
      <c r="DF150" s="313">
        <f t="shared" si="370"/>
        <v>149</v>
      </c>
      <c r="DG150" s="313">
        <f t="shared" si="359"/>
        <v>254.23156490566416</v>
      </c>
      <c r="DH150" s="313">
        <f t="shared" si="360"/>
        <v>254.23156490566416</v>
      </c>
      <c r="DI150" s="313">
        <f t="shared" si="361"/>
        <v>0</v>
      </c>
      <c r="DJ150" s="313">
        <f t="shared" si="362"/>
        <v>0</v>
      </c>
      <c r="DK150" s="313">
        <f t="shared" si="371"/>
        <v>33867.36736792478</v>
      </c>
      <c r="DL150" s="313">
        <f t="shared" si="363"/>
        <v>117211.38146660256</v>
      </c>
      <c r="DM150" s="314">
        <f t="shared" si="364"/>
        <v>18.740894738750725</v>
      </c>
      <c r="DN150" s="312">
        <f t="shared" si="365"/>
        <v>0.12577781703859547</v>
      </c>
      <c r="DO150" s="312">
        <f t="shared" si="372"/>
        <v>0.97781371117563143</v>
      </c>
      <c r="DP150" s="315">
        <f t="shared" si="356"/>
        <v>6.4563965009304475E-2</v>
      </c>
      <c r="DQ150" s="316">
        <f t="shared" si="366"/>
        <v>0.25395731263056082</v>
      </c>
      <c r="DR150" s="316">
        <f t="shared" si="367"/>
        <v>41.041556969522382</v>
      </c>
      <c r="DS150" s="314">
        <f t="shared" si="368"/>
        <v>3.6304665563893681</v>
      </c>
      <c r="DT150" s="316">
        <f t="shared" si="369"/>
        <v>41.041556969522382</v>
      </c>
      <c r="DU150" s="314">
        <f t="shared" si="357"/>
        <v>3.6304665563893681</v>
      </c>
      <c r="DV150" s="316">
        <f t="shared" si="373"/>
        <v>112.78315486605071</v>
      </c>
      <c r="DW150" s="310">
        <f t="shared" si="358"/>
        <v>4.0076906922565456</v>
      </c>
      <c r="FB150" s="307"/>
      <c r="FC150" s="307"/>
      <c r="FF150" s="307"/>
      <c r="FG150" s="307"/>
      <c r="FH150" s="306"/>
      <c r="FJ150" s="307"/>
      <c r="FK150" s="307"/>
      <c r="FL150" s="306"/>
      <c r="FM150" s="307"/>
      <c r="FN150" s="306"/>
      <c r="FO150" s="307"/>
      <c r="FP150" s="306"/>
    </row>
    <row r="151" spans="29:172">
      <c r="AC151" s="156"/>
      <c r="AI151" s="190">
        <v>376</v>
      </c>
      <c r="AJ151" s="185">
        <v>126</v>
      </c>
      <c r="AK151" s="183">
        <f t="shared" si="344"/>
        <v>376</v>
      </c>
      <c r="AO151" s="182">
        <v>5.2600000000000001E-2</v>
      </c>
      <c r="AP151" s="185">
        <v>126</v>
      </c>
      <c r="AQ151" s="184">
        <f t="shared" si="345"/>
        <v>5.2600000000000001E-2</v>
      </c>
      <c r="AR151" s="190">
        <v>376</v>
      </c>
      <c r="AS151" s="185">
        <v>126</v>
      </c>
      <c r="AT151" s="183">
        <f t="shared" si="346"/>
        <v>376</v>
      </c>
      <c r="AX151" s="182">
        <v>5.2600000000000001E-2</v>
      </c>
      <c r="AY151" s="185">
        <v>126</v>
      </c>
      <c r="AZ151" s="184">
        <f t="shared" si="347"/>
        <v>5.2600000000000001E-2</v>
      </c>
      <c r="BA151" s="190">
        <v>376</v>
      </c>
      <c r="BB151" s="185">
        <v>126</v>
      </c>
      <c r="BC151" s="183">
        <f t="shared" si="348"/>
        <v>376</v>
      </c>
      <c r="BG151" s="182">
        <v>5.2600000000000001E-2</v>
      </c>
      <c r="BH151" s="185">
        <v>126</v>
      </c>
      <c r="BI151" s="184">
        <f t="shared" si="349"/>
        <v>5.2600000000000001E-2</v>
      </c>
      <c r="CW151" s="364"/>
      <c r="CX151" s="309"/>
      <c r="CY151" s="313"/>
      <c r="DA151" s="309">
        <v>150</v>
      </c>
      <c r="DB151" s="313">
        <f t="shared" si="352"/>
        <v>254.59553513993035</v>
      </c>
      <c r="DC151" s="309">
        <f t="shared" si="353"/>
        <v>1</v>
      </c>
      <c r="DD151" s="309">
        <f t="shared" si="354"/>
        <v>260</v>
      </c>
      <c r="DE151" s="308">
        <f t="shared" si="355"/>
        <v>6.5000000000000002E-2</v>
      </c>
      <c r="DF151" s="313">
        <f t="shared" si="370"/>
        <v>150</v>
      </c>
      <c r="DG151" s="313">
        <f t="shared" si="359"/>
        <v>254.59553513993035</v>
      </c>
      <c r="DH151" s="313">
        <f t="shared" si="360"/>
        <v>254.59553513993035</v>
      </c>
      <c r="DI151" s="313">
        <f t="shared" si="361"/>
        <v>0</v>
      </c>
      <c r="DJ151" s="313">
        <f t="shared" si="362"/>
        <v>0</v>
      </c>
      <c r="DK151" s="313">
        <f t="shared" si="371"/>
        <v>34121.962903064712</v>
      </c>
      <c r="DL151" s="313">
        <f t="shared" si="363"/>
        <v>116957.14990169689</v>
      </c>
      <c r="DM151" s="314">
        <f t="shared" si="364"/>
        <v>18.761681142058684</v>
      </c>
      <c r="DN151" s="312">
        <f t="shared" si="365"/>
        <v>0.12507787428039122</v>
      </c>
      <c r="DO151" s="312">
        <f t="shared" si="372"/>
        <v>0.97921359669203978</v>
      </c>
      <c r="DP151" s="315">
        <f t="shared" si="356"/>
        <v>6.4591680996537934E-2</v>
      </c>
      <c r="DQ151" s="316">
        <f t="shared" si="366"/>
        <v>0.25370311761766429</v>
      </c>
      <c r="DR151" s="316">
        <f t="shared" si="367"/>
        <v>41.295260087140043</v>
      </c>
      <c r="DS151" s="314">
        <f t="shared" si="368"/>
        <v>3.6323781393669492</v>
      </c>
      <c r="DT151" s="316">
        <f t="shared" si="369"/>
        <v>41.295260087140043</v>
      </c>
      <c r="DU151" s="314">
        <f t="shared" si="357"/>
        <v>3.6323781393669492</v>
      </c>
      <c r="DV151" s="316">
        <f t="shared" si="373"/>
        <v>112.52919755342015</v>
      </c>
      <c r="DW151" s="310">
        <f t="shared" si="358"/>
        <v>4.0078487166488515</v>
      </c>
      <c r="FB151" s="307"/>
      <c r="FC151" s="307"/>
      <c r="FF151" s="307"/>
      <c r="FG151" s="307"/>
      <c r="FH151" s="306"/>
      <c r="FJ151" s="307"/>
      <c r="FK151" s="307"/>
      <c r="FL151" s="306"/>
      <c r="FM151" s="307"/>
      <c r="FN151" s="306"/>
      <c r="FO151" s="307"/>
      <c r="FP151" s="306"/>
    </row>
    <row r="152" spans="29:172">
      <c r="AC152" s="156"/>
      <c r="AI152" s="190">
        <v>375</v>
      </c>
      <c r="AJ152" s="185">
        <v>127</v>
      </c>
      <c r="AK152" s="183">
        <f t="shared" si="344"/>
        <v>375</v>
      </c>
      <c r="AO152" s="182">
        <v>5.2499999999999998E-2</v>
      </c>
      <c r="AP152" s="185">
        <v>127</v>
      </c>
      <c r="AQ152" s="184">
        <f t="shared" si="345"/>
        <v>5.2499999999999998E-2</v>
      </c>
      <c r="AR152" s="190">
        <v>375</v>
      </c>
      <c r="AS152" s="185">
        <v>127</v>
      </c>
      <c r="AT152" s="183">
        <f t="shared" si="346"/>
        <v>375</v>
      </c>
      <c r="AX152" s="182">
        <v>5.2499999999999998E-2</v>
      </c>
      <c r="AY152" s="185">
        <v>127</v>
      </c>
      <c r="AZ152" s="184">
        <f t="shared" si="347"/>
        <v>5.2499999999999998E-2</v>
      </c>
      <c r="BA152" s="190">
        <v>375</v>
      </c>
      <c r="BB152" s="185">
        <v>127</v>
      </c>
      <c r="BC152" s="183">
        <f t="shared" si="348"/>
        <v>375</v>
      </c>
      <c r="BG152" s="182">
        <v>5.2499999999999998E-2</v>
      </c>
      <c r="BH152" s="185">
        <v>127</v>
      </c>
      <c r="BI152" s="184">
        <f t="shared" si="349"/>
        <v>5.2499999999999998E-2</v>
      </c>
      <c r="CW152" s="364"/>
      <c r="CX152" s="309"/>
      <c r="CY152" s="313"/>
      <c r="DA152" s="309">
        <v>151</v>
      </c>
      <c r="DB152" s="313">
        <f t="shared" si="352"/>
        <v>254.95950537419657</v>
      </c>
      <c r="DC152" s="309">
        <f t="shared" si="353"/>
        <v>1</v>
      </c>
      <c r="DD152" s="309">
        <f t="shared" si="354"/>
        <v>260</v>
      </c>
      <c r="DE152" s="308">
        <f t="shared" si="355"/>
        <v>6.5000000000000002E-2</v>
      </c>
      <c r="DF152" s="313">
        <f t="shared" si="370"/>
        <v>151</v>
      </c>
      <c r="DG152" s="313">
        <f t="shared" si="359"/>
        <v>254.95950537419657</v>
      </c>
      <c r="DH152" s="313">
        <f t="shared" si="360"/>
        <v>254.95950537419657</v>
      </c>
      <c r="DI152" s="313">
        <f t="shared" si="361"/>
        <v>0</v>
      </c>
      <c r="DJ152" s="313">
        <f t="shared" si="362"/>
        <v>0</v>
      </c>
      <c r="DK152" s="313">
        <f t="shared" si="371"/>
        <v>34376.922408438906</v>
      </c>
      <c r="DL152" s="313">
        <f t="shared" si="363"/>
        <v>116702.55436655696</v>
      </c>
      <c r="DM152" s="314">
        <f t="shared" si="364"/>
        <v>18.781067659850237</v>
      </c>
      <c r="DN152" s="312">
        <f t="shared" si="365"/>
        <v>0.124377931522187</v>
      </c>
      <c r="DO152" s="312">
        <f t="shared" si="372"/>
        <v>0.98061348220844835</v>
      </c>
      <c r="DP152" s="315">
        <f t="shared" si="356"/>
        <v>6.4619369261654416E-2</v>
      </c>
      <c r="DQ152" s="316">
        <f t="shared" si="366"/>
        <v>0.25344953963106598</v>
      </c>
      <c r="DR152" s="316">
        <f t="shared" si="367"/>
        <v>41.548709626771107</v>
      </c>
      <c r="DS152" s="314">
        <f t="shared" si="368"/>
        <v>3.6342885580905278</v>
      </c>
      <c r="DT152" s="316">
        <f t="shared" si="369"/>
        <v>41.548709626771107</v>
      </c>
      <c r="DU152" s="314">
        <f t="shared" si="357"/>
        <v>3.6342885580905278</v>
      </c>
      <c r="DV152" s="316">
        <f t="shared" si="373"/>
        <v>112.27549443580249</v>
      </c>
      <c r="DW152" s="310">
        <f t="shared" si="358"/>
        <v>4.007998381670931</v>
      </c>
      <c r="FB152" s="307"/>
      <c r="FC152" s="307"/>
      <c r="FF152" s="307"/>
      <c r="FG152" s="307"/>
      <c r="FH152" s="306"/>
      <c r="FJ152" s="307"/>
      <c r="FK152" s="307"/>
      <c r="FL152" s="306"/>
      <c r="FM152" s="307"/>
      <c r="FN152" s="306"/>
      <c r="FO152" s="307"/>
      <c r="FP152" s="306"/>
    </row>
    <row r="153" spans="29:172">
      <c r="AC153" s="156"/>
      <c r="AI153" s="190">
        <v>374</v>
      </c>
      <c r="AJ153" s="185">
        <v>128</v>
      </c>
      <c r="AK153" s="183">
        <f t="shared" si="344"/>
        <v>374</v>
      </c>
      <c r="AO153" s="182">
        <v>5.2400000000000002E-2</v>
      </c>
      <c r="AP153" s="185">
        <v>128</v>
      </c>
      <c r="AQ153" s="184">
        <f t="shared" si="345"/>
        <v>5.2400000000000002E-2</v>
      </c>
      <c r="AR153" s="190">
        <v>374</v>
      </c>
      <c r="AS153" s="185">
        <v>128</v>
      </c>
      <c r="AT153" s="183">
        <f t="shared" si="346"/>
        <v>374</v>
      </c>
      <c r="AX153" s="182">
        <v>5.2400000000000002E-2</v>
      </c>
      <c r="AY153" s="185">
        <v>128</v>
      </c>
      <c r="AZ153" s="184">
        <f t="shared" si="347"/>
        <v>5.2400000000000002E-2</v>
      </c>
      <c r="BA153" s="190">
        <v>374</v>
      </c>
      <c r="BB153" s="185">
        <v>128</v>
      </c>
      <c r="BC153" s="183">
        <f t="shared" si="348"/>
        <v>374</v>
      </c>
      <c r="BG153" s="182">
        <v>5.2400000000000002E-2</v>
      </c>
      <c r="BH153" s="185">
        <v>128</v>
      </c>
      <c r="BI153" s="184">
        <f t="shared" si="349"/>
        <v>5.2400000000000002E-2</v>
      </c>
      <c r="CW153" s="364"/>
      <c r="CX153" s="309"/>
      <c r="CY153" s="313"/>
      <c r="DA153" s="309">
        <v>152</v>
      </c>
      <c r="DB153" s="313">
        <f t="shared" si="352"/>
        <v>255.32347560846276</v>
      </c>
      <c r="DC153" s="309">
        <f t="shared" si="353"/>
        <v>1</v>
      </c>
      <c r="DD153" s="309">
        <f t="shared" si="354"/>
        <v>260</v>
      </c>
      <c r="DE153" s="308">
        <f t="shared" si="355"/>
        <v>6.5000000000000002E-2</v>
      </c>
      <c r="DF153" s="313">
        <f t="shared" si="370"/>
        <v>152</v>
      </c>
      <c r="DG153" s="313">
        <f t="shared" si="359"/>
        <v>255.32347560846276</v>
      </c>
      <c r="DH153" s="313">
        <f t="shared" si="360"/>
        <v>255.32347560846276</v>
      </c>
      <c r="DI153" s="313">
        <f t="shared" si="361"/>
        <v>0</v>
      </c>
      <c r="DJ153" s="313">
        <f t="shared" si="362"/>
        <v>0</v>
      </c>
      <c r="DK153" s="313">
        <f t="shared" si="371"/>
        <v>34632.24588404737</v>
      </c>
      <c r="DL153" s="313">
        <f t="shared" si="363"/>
        <v>116447.59486118276</v>
      </c>
      <c r="DM153" s="314">
        <f t="shared" si="364"/>
        <v>18.79905429212538</v>
      </c>
      <c r="DN153" s="312">
        <f t="shared" si="365"/>
        <v>0.12367798876398277</v>
      </c>
      <c r="DO153" s="312">
        <f t="shared" si="372"/>
        <v>0.98201336772485681</v>
      </c>
      <c r="DP153" s="315">
        <f t="shared" si="356"/>
        <v>6.4647029871897882E-2</v>
      </c>
      <c r="DQ153" s="316">
        <f t="shared" si="366"/>
        <v>0.25319657629537273</v>
      </c>
      <c r="DR153" s="316">
        <f t="shared" si="367"/>
        <v>41.80190620306648</v>
      </c>
      <c r="DS153" s="314">
        <f t="shared" si="368"/>
        <v>3.6361978150376708</v>
      </c>
      <c r="DT153" s="316">
        <f t="shared" si="369"/>
        <v>41.80190620306648</v>
      </c>
      <c r="DU153" s="314">
        <f t="shared" si="357"/>
        <v>3.6361978150376708</v>
      </c>
      <c r="DV153" s="316">
        <f t="shared" si="373"/>
        <v>112.02204489617142</v>
      </c>
      <c r="DW153" s="310">
        <f t="shared" si="358"/>
        <v>4.0081396515851804</v>
      </c>
      <c r="FB153" s="307"/>
      <c r="FC153" s="307"/>
      <c r="FF153" s="307"/>
      <c r="FG153" s="307"/>
      <c r="FH153" s="306"/>
      <c r="FJ153" s="307"/>
      <c r="FK153" s="307"/>
      <c r="FL153" s="306"/>
      <c r="FM153" s="307"/>
      <c r="FN153" s="306"/>
      <c r="FO153" s="307"/>
      <c r="FP153" s="306"/>
    </row>
    <row r="154" spans="29:172">
      <c r="AC154" s="156"/>
      <c r="AI154" s="190">
        <v>373</v>
      </c>
      <c r="AJ154" s="185">
        <v>129</v>
      </c>
      <c r="AK154" s="183">
        <f t="shared" si="344"/>
        <v>373</v>
      </c>
      <c r="AO154" s="182">
        <v>5.2299999999999999E-2</v>
      </c>
      <c r="AP154" s="185">
        <v>129</v>
      </c>
      <c r="AQ154" s="184">
        <f t="shared" si="345"/>
        <v>5.2299999999999999E-2</v>
      </c>
      <c r="AR154" s="190">
        <v>373</v>
      </c>
      <c r="AS154" s="185">
        <v>129</v>
      </c>
      <c r="AT154" s="183">
        <f t="shared" si="346"/>
        <v>373</v>
      </c>
      <c r="AX154" s="182">
        <v>5.2299999999999999E-2</v>
      </c>
      <c r="AY154" s="185">
        <v>129</v>
      </c>
      <c r="AZ154" s="184">
        <f t="shared" si="347"/>
        <v>5.2299999999999999E-2</v>
      </c>
      <c r="BA154" s="190">
        <v>373</v>
      </c>
      <c r="BB154" s="185">
        <v>129</v>
      </c>
      <c r="BC154" s="183">
        <f t="shared" si="348"/>
        <v>373</v>
      </c>
      <c r="BG154" s="182">
        <v>5.2299999999999999E-2</v>
      </c>
      <c r="BH154" s="185">
        <v>129</v>
      </c>
      <c r="BI154" s="184">
        <f t="shared" si="349"/>
        <v>5.2299999999999999E-2</v>
      </c>
      <c r="CW154" s="364"/>
      <c r="CX154" s="309"/>
      <c r="CY154" s="313"/>
      <c r="DA154" s="309">
        <v>153</v>
      </c>
      <c r="DB154" s="313">
        <f t="shared" si="352"/>
        <v>255.68744584272895</v>
      </c>
      <c r="DC154" s="309">
        <f t="shared" si="353"/>
        <v>1</v>
      </c>
      <c r="DD154" s="309">
        <f t="shared" si="354"/>
        <v>260</v>
      </c>
      <c r="DE154" s="308">
        <f t="shared" si="355"/>
        <v>6.5000000000000002E-2</v>
      </c>
      <c r="DF154" s="313">
        <f t="shared" si="370"/>
        <v>153</v>
      </c>
      <c r="DG154" s="313">
        <f t="shared" si="359"/>
        <v>255.68744584272895</v>
      </c>
      <c r="DH154" s="313">
        <f t="shared" si="360"/>
        <v>255.68744584272895</v>
      </c>
      <c r="DI154" s="313">
        <f t="shared" si="361"/>
        <v>0</v>
      </c>
      <c r="DJ154" s="313">
        <f t="shared" si="362"/>
        <v>0</v>
      </c>
      <c r="DK154" s="313">
        <f t="shared" si="371"/>
        <v>34887.933329890097</v>
      </c>
      <c r="DL154" s="313">
        <f t="shared" si="363"/>
        <v>116192.27138557431</v>
      </c>
      <c r="DM154" s="314">
        <f t="shared" si="364"/>
        <v>18.815641038884113</v>
      </c>
      <c r="DN154" s="312">
        <f t="shared" si="365"/>
        <v>0.12297804600577851</v>
      </c>
      <c r="DO154" s="312">
        <f t="shared" si="372"/>
        <v>0.98341325324126516</v>
      </c>
      <c r="DP154" s="315">
        <f t="shared" si="356"/>
        <v>6.4674662894253623E-2</v>
      </c>
      <c r="DQ154" s="316">
        <f t="shared" si="366"/>
        <v>0.2529442252477051</v>
      </c>
      <c r="DR154" s="316">
        <f t="shared" si="367"/>
        <v>42.054850428314182</v>
      </c>
      <c r="DS154" s="314">
        <f t="shared" si="368"/>
        <v>3.6381059126770787</v>
      </c>
      <c r="DT154" s="316">
        <f t="shared" si="369"/>
        <v>42.054850428314182</v>
      </c>
      <c r="DU154" s="314">
        <f t="shared" si="357"/>
        <v>3.6381059126770787</v>
      </c>
      <c r="DV154" s="316">
        <f t="shared" si="373"/>
        <v>111.76884831987606</v>
      </c>
      <c r="DW154" s="310">
        <f t="shared" si="358"/>
        <v>4.0082724903619802</v>
      </c>
      <c r="FB154" s="307"/>
      <c r="FC154" s="307"/>
      <c r="FF154" s="307"/>
      <c r="FG154" s="307"/>
      <c r="FH154" s="306"/>
      <c r="FJ154" s="307"/>
      <c r="FK154" s="307"/>
      <c r="FL154" s="306"/>
      <c r="FM154" s="307"/>
      <c r="FN154" s="306"/>
      <c r="FO154" s="307"/>
      <c r="FP154" s="306"/>
    </row>
    <row r="155" spans="29:172">
      <c r="AC155" s="156"/>
      <c r="AI155" s="190">
        <v>372</v>
      </c>
      <c r="AJ155" s="185">
        <v>130</v>
      </c>
      <c r="AK155" s="183">
        <f t="shared" ref="AK155:AK218" si="374">AI155</f>
        <v>372</v>
      </c>
      <c r="AO155" s="182">
        <v>5.2200000000000003E-2</v>
      </c>
      <c r="AP155" s="185">
        <v>130</v>
      </c>
      <c r="AQ155" s="184">
        <f t="shared" ref="AQ155:AQ218" si="375">AO155</f>
        <v>5.2200000000000003E-2</v>
      </c>
      <c r="AR155" s="190">
        <v>372</v>
      </c>
      <c r="AS155" s="185">
        <v>130</v>
      </c>
      <c r="AT155" s="183">
        <f t="shared" ref="AT155:AT218" si="376">AR155</f>
        <v>372</v>
      </c>
      <c r="AX155" s="182">
        <v>5.2200000000000003E-2</v>
      </c>
      <c r="AY155" s="185">
        <v>130</v>
      </c>
      <c r="AZ155" s="184">
        <f t="shared" ref="AZ155:AZ218" si="377">AX155</f>
        <v>5.2200000000000003E-2</v>
      </c>
      <c r="BA155" s="190">
        <v>372</v>
      </c>
      <c r="BB155" s="185">
        <v>130</v>
      </c>
      <c r="BC155" s="183">
        <f t="shared" ref="BC155:BC218" si="378">BA155</f>
        <v>372</v>
      </c>
      <c r="BG155" s="182">
        <v>5.2200000000000003E-2</v>
      </c>
      <c r="BH155" s="185">
        <v>130</v>
      </c>
      <c r="BI155" s="184">
        <f t="shared" ref="BI155:BI218" si="379">BG155</f>
        <v>5.2200000000000003E-2</v>
      </c>
      <c r="CW155" s="364"/>
      <c r="CX155" s="309"/>
      <c r="CY155" s="313"/>
      <c r="DA155" s="309">
        <v>154</v>
      </c>
      <c r="DB155" s="313">
        <f t="shared" si="352"/>
        <v>256.05141607699517</v>
      </c>
      <c r="DC155" s="309">
        <f t="shared" si="353"/>
        <v>1</v>
      </c>
      <c r="DD155" s="309">
        <f t="shared" si="354"/>
        <v>260</v>
      </c>
      <c r="DE155" s="308">
        <f t="shared" si="355"/>
        <v>6.5000000000000002E-2</v>
      </c>
      <c r="DF155" s="313">
        <f t="shared" si="370"/>
        <v>154</v>
      </c>
      <c r="DG155" s="313">
        <f t="shared" si="359"/>
        <v>256.05141607699517</v>
      </c>
      <c r="DH155" s="313">
        <f t="shared" si="360"/>
        <v>256.05141607699517</v>
      </c>
      <c r="DI155" s="313">
        <f t="shared" si="361"/>
        <v>0</v>
      </c>
      <c r="DJ155" s="313">
        <f t="shared" si="362"/>
        <v>0</v>
      </c>
      <c r="DK155" s="313">
        <f t="shared" si="371"/>
        <v>35143.984745967093</v>
      </c>
      <c r="DL155" s="313">
        <f t="shared" si="363"/>
        <v>115936.58393973157</v>
      </c>
      <c r="DM155" s="314">
        <f t="shared" si="364"/>
        <v>18.83082790012644</v>
      </c>
      <c r="DN155" s="312">
        <f t="shared" si="365"/>
        <v>0.12227810324757429</v>
      </c>
      <c r="DO155" s="312">
        <f t="shared" si="372"/>
        <v>0.98481313875767373</v>
      </c>
      <c r="DP155" s="315">
        <f t="shared" si="356"/>
        <v>6.4702268395449597E-2</v>
      </c>
      <c r="DQ155" s="316">
        <f t="shared" si="366"/>
        <v>0.25269248413761358</v>
      </c>
      <c r="DR155" s="316">
        <f t="shared" si="367"/>
        <v>42.307542912451794</v>
      </c>
      <c r="DS155" s="314">
        <f t="shared" si="368"/>
        <v>3.640012853468626</v>
      </c>
      <c r="DT155" s="316">
        <f t="shared" si="369"/>
        <v>42.307542912451794</v>
      </c>
      <c r="DU155" s="314">
        <f t="shared" si="357"/>
        <v>3.640012853468626</v>
      </c>
      <c r="DV155" s="316">
        <f t="shared" si="373"/>
        <v>111.51590409462835</v>
      </c>
      <c r="DW155" s="310">
        <f t="shared" si="358"/>
        <v>4.0083968616771646</v>
      </c>
      <c r="FB155" s="307"/>
      <c r="FC155" s="307"/>
      <c r="FF155" s="307"/>
      <c r="FG155" s="307"/>
      <c r="FH155" s="306"/>
      <c r="FJ155" s="307"/>
      <c r="FK155" s="307"/>
      <c r="FL155" s="306"/>
      <c r="FM155" s="307"/>
      <c r="FN155" s="306"/>
      <c r="FO155" s="307"/>
      <c r="FP155" s="306"/>
    </row>
    <row r="156" spans="29:172">
      <c r="AC156" s="156"/>
      <c r="AI156" s="190">
        <v>371</v>
      </c>
      <c r="AJ156" s="185">
        <v>131</v>
      </c>
      <c r="AK156" s="183">
        <f t="shared" si="374"/>
        <v>371</v>
      </c>
      <c r="AO156" s="182">
        <v>5.21E-2</v>
      </c>
      <c r="AP156" s="185">
        <v>131</v>
      </c>
      <c r="AQ156" s="184">
        <f t="shared" si="375"/>
        <v>5.21E-2</v>
      </c>
      <c r="AR156" s="190">
        <v>371</v>
      </c>
      <c r="AS156" s="185">
        <v>131</v>
      </c>
      <c r="AT156" s="183">
        <f t="shared" si="376"/>
        <v>371</v>
      </c>
      <c r="AX156" s="182">
        <v>5.21E-2</v>
      </c>
      <c r="AY156" s="185">
        <v>131</v>
      </c>
      <c r="AZ156" s="184">
        <f t="shared" si="377"/>
        <v>5.21E-2</v>
      </c>
      <c r="BA156" s="190">
        <v>371</v>
      </c>
      <c r="BB156" s="185">
        <v>131</v>
      </c>
      <c r="BC156" s="183">
        <f t="shared" si="378"/>
        <v>371</v>
      </c>
      <c r="BG156" s="182">
        <v>5.21E-2</v>
      </c>
      <c r="BH156" s="185">
        <v>131</v>
      </c>
      <c r="BI156" s="184">
        <f t="shared" si="379"/>
        <v>5.21E-2</v>
      </c>
      <c r="CW156" s="364"/>
      <c r="CX156" s="309"/>
      <c r="CY156" s="313"/>
      <c r="DA156" s="309">
        <v>155</v>
      </c>
      <c r="DB156" s="313">
        <f t="shared" si="352"/>
        <v>256.41538631126139</v>
      </c>
      <c r="DC156" s="309">
        <f t="shared" si="353"/>
        <v>1</v>
      </c>
      <c r="DD156" s="309">
        <f t="shared" si="354"/>
        <v>260</v>
      </c>
      <c r="DE156" s="308">
        <f t="shared" si="355"/>
        <v>6.5000000000000002E-2</v>
      </c>
      <c r="DF156" s="313">
        <f t="shared" si="370"/>
        <v>155</v>
      </c>
      <c r="DG156" s="313">
        <f t="shared" si="359"/>
        <v>256.41538631126139</v>
      </c>
      <c r="DH156" s="313">
        <f t="shared" si="360"/>
        <v>256.41538631126139</v>
      </c>
      <c r="DI156" s="313">
        <f t="shared" si="361"/>
        <v>0</v>
      </c>
      <c r="DJ156" s="313">
        <f t="shared" si="362"/>
        <v>0</v>
      </c>
      <c r="DK156" s="313">
        <f t="shared" si="371"/>
        <v>35400.400132278352</v>
      </c>
      <c r="DL156" s="313">
        <f t="shared" si="363"/>
        <v>115680.53252365458</v>
      </c>
      <c r="DM156" s="314">
        <f t="shared" si="364"/>
        <v>18.844614875852358</v>
      </c>
      <c r="DN156" s="312">
        <f t="shared" si="365"/>
        <v>0.12157816048937005</v>
      </c>
      <c r="DO156" s="312">
        <f t="shared" si="372"/>
        <v>0.98621302427408231</v>
      </c>
      <c r="DP156" s="315">
        <f t="shared" si="356"/>
        <v>6.4729846441957756E-2</v>
      </c>
      <c r="DQ156" s="316">
        <f t="shared" si="366"/>
        <v>0.25244135062699596</v>
      </c>
      <c r="DR156" s="316">
        <f t="shared" si="367"/>
        <v>42.559984263078789</v>
      </c>
      <c r="DS156" s="314">
        <f t="shared" si="368"/>
        <v>3.6419186398634089</v>
      </c>
      <c r="DT156" s="316">
        <f t="shared" si="369"/>
        <v>42.559984263078789</v>
      </c>
      <c r="DU156" s="314">
        <f t="shared" si="357"/>
        <v>3.6419186398634089</v>
      </c>
      <c r="DV156" s="316">
        <f t="shared" si="373"/>
        <v>111.26321161049074</v>
      </c>
      <c r="DW156" s="310">
        <f t="shared" si="358"/>
        <v>4.0085127289094693</v>
      </c>
      <c r="FB156" s="307"/>
      <c r="FC156" s="307"/>
      <c r="FF156" s="307"/>
      <c r="FG156" s="307"/>
      <c r="FH156" s="306"/>
      <c r="FJ156" s="307"/>
      <c r="FK156" s="307"/>
      <c r="FL156" s="306"/>
      <c r="FM156" s="307"/>
      <c r="FN156" s="306"/>
      <c r="FO156" s="307"/>
      <c r="FP156" s="306"/>
    </row>
    <row r="157" spans="29:172">
      <c r="AC157" s="156"/>
      <c r="AI157" s="190">
        <v>370</v>
      </c>
      <c r="AJ157" s="185">
        <v>132</v>
      </c>
      <c r="AK157" s="183">
        <f t="shared" si="374"/>
        <v>370</v>
      </c>
      <c r="AO157" s="182">
        <v>5.1999999999999998E-2</v>
      </c>
      <c r="AP157" s="185">
        <v>132</v>
      </c>
      <c r="AQ157" s="184">
        <f t="shared" si="375"/>
        <v>5.1999999999999998E-2</v>
      </c>
      <c r="AR157" s="190">
        <v>370</v>
      </c>
      <c r="AS157" s="185">
        <v>132</v>
      </c>
      <c r="AT157" s="183">
        <f t="shared" si="376"/>
        <v>370</v>
      </c>
      <c r="AX157" s="182">
        <v>5.1999999999999998E-2</v>
      </c>
      <c r="AY157" s="185">
        <v>132</v>
      </c>
      <c r="AZ157" s="184">
        <f t="shared" si="377"/>
        <v>5.1999999999999998E-2</v>
      </c>
      <c r="BA157" s="190">
        <v>370</v>
      </c>
      <c r="BB157" s="185">
        <v>132</v>
      </c>
      <c r="BC157" s="183">
        <f t="shared" si="378"/>
        <v>370</v>
      </c>
      <c r="BG157" s="182">
        <v>5.1999999999999998E-2</v>
      </c>
      <c r="BH157" s="185">
        <v>132</v>
      </c>
      <c r="BI157" s="184">
        <f t="shared" si="379"/>
        <v>5.1999999999999998E-2</v>
      </c>
      <c r="CW157" s="364"/>
      <c r="CX157" s="309"/>
      <c r="CY157" s="313"/>
      <c r="DA157" s="309">
        <v>156</v>
      </c>
      <c r="DB157" s="313">
        <f t="shared" si="352"/>
        <v>256.77935654552755</v>
      </c>
      <c r="DC157" s="309">
        <f t="shared" si="353"/>
        <v>1</v>
      </c>
      <c r="DD157" s="309">
        <f t="shared" si="354"/>
        <v>260</v>
      </c>
      <c r="DE157" s="308">
        <f t="shared" si="355"/>
        <v>6.5000000000000002E-2</v>
      </c>
      <c r="DF157" s="313">
        <f t="shared" si="370"/>
        <v>156</v>
      </c>
      <c r="DG157" s="313">
        <f t="shared" si="359"/>
        <v>256.77935654552755</v>
      </c>
      <c r="DH157" s="313">
        <f t="shared" si="360"/>
        <v>256.77935654552755</v>
      </c>
      <c r="DI157" s="313">
        <f t="shared" si="361"/>
        <v>0</v>
      </c>
      <c r="DJ157" s="313">
        <f t="shared" si="362"/>
        <v>0</v>
      </c>
      <c r="DK157" s="313">
        <f t="shared" si="371"/>
        <v>35657.17948882388</v>
      </c>
      <c r="DL157" s="313">
        <f t="shared" si="363"/>
        <v>115424.11713734332</v>
      </c>
      <c r="DM157" s="314">
        <f t="shared" si="364"/>
        <v>18.857001966061866</v>
      </c>
      <c r="DN157" s="312">
        <f t="shared" si="365"/>
        <v>0.1208782177311658</v>
      </c>
      <c r="DO157" s="312">
        <f t="shared" si="372"/>
        <v>0.98761290979049055</v>
      </c>
      <c r="DP157" s="315">
        <f t="shared" si="356"/>
        <v>6.4757397099995451E-2</v>
      </c>
      <c r="DQ157" s="316">
        <f t="shared" si="366"/>
        <v>0.25219082239001489</v>
      </c>
      <c r="DR157" s="316">
        <f t="shared" si="367"/>
        <v>42.812175085468802</v>
      </c>
      <c r="DS157" s="314">
        <f t="shared" si="368"/>
        <v>3.6438232743037884</v>
      </c>
      <c r="DT157" s="316">
        <f t="shared" si="369"/>
        <v>42.812175085468802</v>
      </c>
      <c r="DU157" s="314">
        <f t="shared" si="357"/>
        <v>3.6438232743037884</v>
      </c>
      <c r="DV157" s="316">
        <f t="shared" si="373"/>
        <v>111.01077025986375</v>
      </c>
      <c r="DW157" s="310">
        <f t="shared" si="358"/>
        <v>4.0086200551379383</v>
      </c>
      <c r="FB157" s="307"/>
      <c r="FC157" s="307"/>
      <c r="FF157" s="307"/>
      <c r="FG157" s="307"/>
      <c r="FH157" s="306"/>
      <c r="FJ157" s="307"/>
      <c r="FK157" s="307"/>
      <c r="FL157" s="306"/>
      <c r="FM157" s="307"/>
      <c r="FN157" s="306"/>
      <c r="FO157" s="307"/>
      <c r="FP157" s="306"/>
    </row>
    <row r="158" spans="29:172">
      <c r="AC158" s="156"/>
      <c r="AI158" s="190">
        <v>369</v>
      </c>
      <c r="AJ158" s="185">
        <v>133</v>
      </c>
      <c r="AK158" s="183">
        <f t="shared" si="374"/>
        <v>369</v>
      </c>
      <c r="AO158" s="182">
        <v>5.1900000000000002E-2</v>
      </c>
      <c r="AP158" s="185">
        <v>133</v>
      </c>
      <c r="AQ158" s="184">
        <f t="shared" si="375"/>
        <v>5.1900000000000002E-2</v>
      </c>
      <c r="AR158" s="190">
        <v>369</v>
      </c>
      <c r="AS158" s="185">
        <v>133</v>
      </c>
      <c r="AT158" s="183">
        <f t="shared" si="376"/>
        <v>369</v>
      </c>
      <c r="AX158" s="182">
        <v>5.1900000000000002E-2</v>
      </c>
      <c r="AY158" s="185">
        <v>133</v>
      </c>
      <c r="AZ158" s="184">
        <f t="shared" si="377"/>
        <v>5.1900000000000002E-2</v>
      </c>
      <c r="BA158" s="190">
        <v>369</v>
      </c>
      <c r="BB158" s="185">
        <v>133</v>
      </c>
      <c r="BC158" s="183">
        <f t="shared" si="378"/>
        <v>369</v>
      </c>
      <c r="BG158" s="182">
        <v>5.1900000000000002E-2</v>
      </c>
      <c r="BH158" s="185">
        <v>133</v>
      </c>
      <c r="BI158" s="184">
        <f t="shared" si="379"/>
        <v>5.1900000000000002E-2</v>
      </c>
      <c r="CW158" s="364"/>
      <c r="CX158" s="309"/>
      <c r="CY158" s="313"/>
      <c r="DA158" s="309">
        <v>157</v>
      </c>
      <c r="DB158" s="313">
        <f t="shared" si="352"/>
        <v>257.14332677979377</v>
      </c>
      <c r="DC158" s="309">
        <f t="shared" si="353"/>
        <v>1</v>
      </c>
      <c r="DD158" s="309">
        <f t="shared" si="354"/>
        <v>260</v>
      </c>
      <c r="DE158" s="308">
        <f t="shared" si="355"/>
        <v>6.5000000000000002E-2</v>
      </c>
      <c r="DF158" s="313">
        <f t="shared" si="370"/>
        <v>157</v>
      </c>
      <c r="DG158" s="313">
        <f t="shared" si="359"/>
        <v>257.14332677979377</v>
      </c>
      <c r="DH158" s="313">
        <f t="shared" si="360"/>
        <v>257.14332677979377</v>
      </c>
      <c r="DI158" s="313">
        <f t="shared" si="361"/>
        <v>0</v>
      </c>
      <c r="DJ158" s="313">
        <f t="shared" si="362"/>
        <v>0</v>
      </c>
      <c r="DK158" s="313">
        <f t="shared" si="371"/>
        <v>35914.322815603671</v>
      </c>
      <c r="DL158" s="313">
        <f t="shared" si="363"/>
        <v>115167.3377807978</v>
      </c>
      <c r="DM158" s="314">
        <f t="shared" si="364"/>
        <v>18.867989170754967</v>
      </c>
      <c r="DN158" s="312">
        <f t="shared" si="365"/>
        <v>0.12017827497296157</v>
      </c>
      <c r="DO158" s="312">
        <f t="shared" si="372"/>
        <v>0.98901279530689912</v>
      </c>
      <c r="DP158" s="315">
        <f t="shared" si="356"/>
        <v>6.4784920435526736E-2</v>
      </c>
      <c r="DQ158" s="316">
        <f t="shared" si="366"/>
        <v>0.2519408971130162</v>
      </c>
      <c r="DR158" s="316">
        <f t="shared" si="367"/>
        <v>43.064115982581818</v>
      </c>
      <c r="DS158" s="314">
        <f t="shared" si="368"/>
        <v>3.6457267592234319</v>
      </c>
      <c r="DT158" s="316">
        <f t="shared" si="369"/>
        <v>43.064115982581818</v>
      </c>
      <c r="DU158" s="314">
        <f t="shared" si="357"/>
        <v>3.6457267592234319</v>
      </c>
      <c r="DV158" s="316">
        <f t="shared" si="373"/>
        <v>110.75857943747373</v>
      </c>
      <c r="DW158" s="310">
        <f t="shared" si="358"/>
        <v>4.0087188031393115</v>
      </c>
      <c r="FB158" s="307"/>
      <c r="FC158" s="307"/>
      <c r="FF158" s="307"/>
      <c r="FG158" s="307"/>
      <c r="FH158" s="306"/>
      <c r="FJ158" s="307"/>
      <c r="FK158" s="307"/>
      <c r="FL158" s="306"/>
      <c r="FM158" s="307"/>
      <c r="FN158" s="306"/>
      <c r="FO158" s="307"/>
      <c r="FP158" s="306"/>
    </row>
    <row r="159" spans="29:172">
      <c r="AC159" s="156"/>
      <c r="AI159" s="190">
        <v>368</v>
      </c>
      <c r="AJ159" s="185">
        <v>134</v>
      </c>
      <c r="AK159" s="183">
        <f t="shared" si="374"/>
        <v>368</v>
      </c>
      <c r="AO159" s="182">
        <v>5.1799999999999999E-2</v>
      </c>
      <c r="AP159" s="185">
        <v>134</v>
      </c>
      <c r="AQ159" s="184">
        <f t="shared" si="375"/>
        <v>5.1799999999999999E-2</v>
      </c>
      <c r="AR159" s="190">
        <v>368</v>
      </c>
      <c r="AS159" s="185">
        <v>134</v>
      </c>
      <c r="AT159" s="183">
        <f t="shared" si="376"/>
        <v>368</v>
      </c>
      <c r="AX159" s="182">
        <v>5.1799999999999999E-2</v>
      </c>
      <c r="AY159" s="185">
        <v>134</v>
      </c>
      <c r="AZ159" s="184">
        <f t="shared" si="377"/>
        <v>5.1799999999999999E-2</v>
      </c>
      <c r="BA159" s="190">
        <v>368</v>
      </c>
      <c r="BB159" s="185">
        <v>134</v>
      </c>
      <c r="BC159" s="183">
        <f t="shared" si="378"/>
        <v>368</v>
      </c>
      <c r="BG159" s="182">
        <v>5.1799999999999999E-2</v>
      </c>
      <c r="BH159" s="185">
        <v>134</v>
      </c>
      <c r="BI159" s="184">
        <f t="shared" si="379"/>
        <v>5.1799999999999999E-2</v>
      </c>
      <c r="CW159" s="364"/>
      <c r="CX159" s="309"/>
      <c r="CY159" s="313"/>
      <c r="DA159" s="309">
        <v>158</v>
      </c>
      <c r="DB159" s="313">
        <f t="shared" si="352"/>
        <v>257.50729701405999</v>
      </c>
      <c r="DC159" s="309">
        <f t="shared" si="353"/>
        <v>1</v>
      </c>
      <c r="DD159" s="309">
        <f t="shared" si="354"/>
        <v>260</v>
      </c>
      <c r="DE159" s="308">
        <f t="shared" si="355"/>
        <v>6.5000000000000002E-2</v>
      </c>
      <c r="DF159" s="313">
        <f t="shared" si="370"/>
        <v>158</v>
      </c>
      <c r="DG159" s="313">
        <f t="shared" si="359"/>
        <v>257.50729701405999</v>
      </c>
      <c r="DH159" s="313">
        <f t="shared" si="360"/>
        <v>257.50729701405999</v>
      </c>
      <c r="DI159" s="313">
        <f t="shared" si="361"/>
        <v>0</v>
      </c>
      <c r="DJ159" s="313">
        <f t="shared" si="362"/>
        <v>0</v>
      </c>
      <c r="DK159" s="313">
        <f t="shared" si="371"/>
        <v>36171.830112617732</v>
      </c>
      <c r="DL159" s="313">
        <f t="shared" si="363"/>
        <v>114910.194454018</v>
      </c>
      <c r="DM159" s="314">
        <f t="shared" si="364"/>
        <v>18.877576489931659</v>
      </c>
      <c r="DN159" s="312">
        <f t="shared" si="365"/>
        <v>0.11947833221475733</v>
      </c>
      <c r="DO159" s="312">
        <f t="shared" si="372"/>
        <v>0.99041268082330769</v>
      </c>
      <c r="DP159" s="315">
        <f t="shared" si="356"/>
        <v>6.4812416514263685E-2</v>
      </c>
      <c r="DQ159" s="316">
        <f t="shared" si="366"/>
        <v>0.25169157249444823</v>
      </c>
      <c r="DR159" s="316">
        <f t="shared" si="367"/>
        <v>43.315807555076269</v>
      </c>
      <c r="DS159" s="314">
        <f t="shared" si="368"/>
        <v>3.6476290970473584</v>
      </c>
      <c r="DT159" s="316">
        <f t="shared" si="369"/>
        <v>43.315807555076269</v>
      </c>
      <c r="DU159" s="314">
        <f t="shared" si="357"/>
        <v>3.6476290970473584</v>
      </c>
      <c r="DV159" s="316">
        <f t="shared" si="373"/>
        <v>110.50663854036071</v>
      </c>
      <c r="DW159" s="310">
        <f t="shared" si="358"/>
        <v>4.0088089353853764</v>
      </c>
      <c r="FB159" s="307"/>
      <c r="FC159" s="307"/>
      <c r="FF159" s="307"/>
      <c r="FG159" s="307"/>
      <c r="FH159" s="306"/>
      <c r="FJ159" s="307"/>
      <c r="FK159" s="307"/>
      <c r="FL159" s="306"/>
      <c r="FM159" s="307"/>
      <c r="FN159" s="306"/>
      <c r="FO159" s="307"/>
      <c r="FP159" s="306"/>
    </row>
    <row r="160" spans="29:172">
      <c r="AC160" s="156"/>
      <c r="AI160" s="190">
        <v>367</v>
      </c>
      <c r="AJ160" s="185">
        <v>135</v>
      </c>
      <c r="AK160" s="183">
        <f t="shared" si="374"/>
        <v>367</v>
      </c>
      <c r="AO160" s="182">
        <v>5.1700000000000003E-2</v>
      </c>
      <c r="AP160" s="185">
        <v>135</v>
      </c>
      <c r="AQ160" s="184">
        <f t="shared" si="375"/>
        <v>5.1700000000000003E-2</v>
      </c>
      <c r="AR160" s="190">
        <v>367</v>
      </c>
      <c r="AS160" s="185">
        <v>135</v>
      </c>
      <c r="AT160" s="183">
        <f t="shared" si="376"/>
        <v>367</v>
      </c>
      <c r="AX160" s="182">
        <v>5.1700000000000003E-2</v>
      </c>
      <c r="AY160" s="185">
        <v>135</v>
      </c>
      <c r="AZ160" s="184">
        <f t="shared" si="377"/>
        <v>5.1700000000000003E-2</v>
      </c>
      <c r="BA160" s="190">
        <v>367</v>
      </c>
      <c r="BB160" s="185">
        <v>135</v>
      </c>
      <c r="BC160" s="183">
        <f t="shared" si="378"/>
        <v>367</v>
      </c>
      <c r="BG160" s="182">
        <v>5.1700000000000003E-2</v>
      </c>
      <c r="BH160" s="185">
        <v>135</v>
      </c>
      <c r="BI160" s="184">
        <f t="shared" si="379"/>
        <v>5.1700000000000003E-2</v>
      </c>
      <c r="CW160" s="364"/>
      <c r="CX160" s="309"/>
      <c r="CY160" s="313"/>
      <c r="DA160" s="309">
        <v>159</v>
      </c>
      <c r="DB160" s="313">
        <f t="shared" si="352"/>
        <v>257.87126724832615</v>
      </c>
      <c r="DC160" s="309">
        <f t="shared" si="353"/>
        <v>1</v>
      </c>
      <c r="DD160" s="309">
        <f t="shared" si="354"/>
        <v>260</v>
      </c>
      <c r="DE160" s="308">
        <f t="shared" si="355"/>
        <v>6.5000000000000002E-2</v>
      </c>
      <c r="DF160" s="313">
        <f t="shared" si="370"/>
        <v>159</v>
      </c>
      <c r="DG160" s="313">
        <f t="shared" si="359"/>
        <v>257.87126724832615</v>
      </c>
      <c r="DH160" s="313">
        <f t="shared" si="360"/>
        <v>257.87126724832615</v>
      </c>
      <c r="DI160" s="313">
        <f t="shared" si="361"/>
        <v>0</v>
      </c>
      <c r="DJ160" s="313">
        <f t="shared" si="362"/>
        <v>0</v>
      </c>
      <c r="DK160" s="313">
        <f t="shared" si="371"/>
        <v>36429.701379866056</v>
      </c>
      <c r="DL160" s="313">
        <f t="shared" si="363"/>
        <v>114652.68715700394</v>
      </c>
      <c r="DM160" s="314">
        <f t="shared" si="364"/>
        <v>18.885763923591945</v>
      </c>
      <c r="DN160" s="312">
        <f t="shared" si="365"/>
        <v>0.11877838945655311</v>
      </c>
      <c r="DO160" s="312">
        <f t="shared" si="372"/>
        <v>0.99181256633971593</v>
      </c>
      <c r="DP160" s="315">
        <f t="shared" si="356"/>
        <v>6.4839885401667741E-2</v>
      </c>
      <c r="DQ160" s="316">
        <f t="shared" si="366"/>
        <v>0.25144284624478114</v>
      </c>
      <c r="DR160" s="316">
        <f t="shared" si="367"/>
        <v>43.567250401321047</v>
      </c>
      <c r="DS160" s="314">
        <f t="shared" si="368"/>
        <v>3.6495302901919833</v>
      </c>
      <c r="DT160" s="316">
        <f t="shared" si="369"/>
        <v>43.567250401321047</v>
      </c>
      <c r="DU160" s="314">
        <f t="shared" si="357"/>
        <v>3.6495302901919833</v>
      </c>
      <c r="DV160" s="316">
        <f t="shared" si="373"/>
        <v>110.25494696786626</v>
      </c>
      <c r="DW160" s="310">
        <f t="shared" si="358"/>
        <v>4.0088904140402937</v>
      </c>
      <c r="FB160" s="307"/>
      <c r="FC160" s="307"/>
      <c r="FF160" s="307"/>
      <c r="FG160" s="307"/>
      <c r="FH160" s="306"/>
      <c r="FJ160" s="307"/>
      <c r="FK160" s="307"/>
      <c r="FL160" s="306"/>
      <c r="FM160" s="307"/>
      <c r="FN160" s="306"/>
      <c r="FO160" s="307"/>
      <c r="FP160" s="306"/>
    </row>
    <row r="161" spans="29:172">
      <c r="AC161" s="156"/>
      <c r="AI161" s="190">
        <v>366</v>
      </c>
      <c r="AJ161" s="185">
        <v>136</v>
      </c>
      <c r="AK161" s="183">
        <f t="shared" si="374"/>
        <v>366</v>
      </c>
      <c r="AO161" s="182">
        <v>5.16E-2</v>
      </c>
      <c r="AP161" s="185">
        <v>136</v>
      </c>
      <c r="AQ161" s="184">
        <f t="shared" si="375"/>
        <v>5.16E-2</v>
      </c>
      <c r="AR161" s="190">
        <v>366</v>
      </c>
      <c r="AS161" s="185">
        <v>136</v>
      </c>
      <c r="AT161" s="183">
        <f t="shared" si="376"/>
        <v>366</v>
      </c>
      <c r="AX161" s="182">
        <v>5.16E-2</v>
      </c>
      <c r="AY161" s="185">
        <v>136</v>
      </c>
      <c r="AZ161" s="184">
        <f t="shared" si="377"/>
        <v>5.16E-2</v>
      </c>
      <c r="BA161" s="190">
        <v>366</v>
      </c>
      <c r="BB161" s="185">
        <v>136</v>
      </c>
      <c r="BC161" s="183">
        <f t="shared" si="378"/>
        <v>366</v>
      </c>
      <c r="BG161" s="182">
        <v>5.16E-2</v>
      </c>
      <c r="BH161" s="185">
        <v>136</v>
      </c>
      <c r="BI161" s="184">
        <f t="shared" si="379"/>
        <v>5.16E-2</v>
      </c>
      <c r="CW161" s="364"/>
      <c r="CX161" s="309"/>
      <c r="CY161" s="313"/>
      <c r="DA161" s="309">
        <v>160</v>
      </c>
      <c r="DB161" s="313">
        <f t="shared" si="352"/>
        <v>258.23523748259237</v>
      </c>
      <c r="DC161" s="309">
        <f t="shared" si="353"/>
        <v>1</v>
      </c>
      <c r="DD161" s="309">
        <f t="shared" si="354"/>
        <v>260</v>
      </c>
      <c r="DE161" s="308">
        <f t="shared" si="355"/>
        <v>6.5000000000000002E-2</v>
      </c>
      <c r="DF161" s="313">
        <f t="shared" si="370"/>
        <v>160</v>
      </c>
      <c r="DG161" s="313">
        <f t="shared" si="359"/>
        <v>258.23523748259237</v>
      </c>
      <c r="DH161" s="313">
        <f t="shared" si="360"/>
        <v>258.23523748259237</v>
      </c>
      <c r="DI161" s="313">
        <f t="shared" si="361"/>
        <v>0</v>
      </c>
      <c r="DJ161" s="313">
        <f t="shared" si="362"/>
        <v>0</v>
      </c>
      <c r="DK161" s="313">
        <f t="shared" si="371"/>
        <v>36687.936617348649</v>
      </c>
      <c r="DL161" s="313">
        <f t="shared" si="363"/>
        <v>114394.81588975561</v>
      </c>
      <c r="DM161" s="314">
        <f t="shared" si="364"/>
        <v>18.892551471735821</v>
      </c>
      <c r="DN161" s="312">
        <f t="shared" si="365"/>
        <v>0.11807844669834888</v>
      </c>
      <c r="DO161" s="312">
        <f t="shared" si="372"/>
        <v>0.9932124518561245</v>
      </c>
      <c r="DP161" s="315">
        <f t="shared" si="356"/>
        <v>6.4867327162950988E-2</v>
      </c>
      <c r="DQ161" s="316">
        <f t="shared" si="366"/>
        <v>0.25119471608642757</v>
      </c>
      <c r="DR161" s="316">
        <f t="shared" si="367"/>
        <v>43.818445117407478</v>
      </c>
      <c r="DS161" s="314">
        <f t="shared" si="368"/>
        <v>3.6514303410651556</v>
      </c>
      <c r="DT161" s="316">
        <f t="shared" si="369"/>
        <v>43.818445117407478</v>
      </c>
      <c r="DU161" s="314">
        <f t="shared" si="357"/>
        <v>3.6514303410651556</v>
      </c>
      <c r="DV161" s="316">
        <f t="shared" si="373"/>
        <v>110.00350412162148</v>
      </c>
      <c r="DW161" s="310">
        <f t="shared" si="358"/>
        <v>4.0089632009578891</v>
      </c>
      <c r="FB161" s="307"/>
      <c r="FC161" s="307"/>
      <c r="FF161" s="307"/>
      <c r="FG161" s="307"/>
      <c r="FH161" s="306"/>
      <c r="FJ161" s="307"/>
      <c r="FK161" s="307"/>
      <c r="FL161" s="306"/>
      <c r="FM161" s="307"/>
      <c r="FN161" s="306"/>
      <c r="FO161" s="307"/>
      <c r="FP161" s="306"/>
    </row>
    <row r="162" spans="29:172">
      <c r="AC162" s="156"/>
      <c r="AI162" s="190">
        <v>365</v>
      </c>
      <c r="AJ162" s="185">
        <v>137</v>
      </c>
      <c r="AK162" s="183">
        <f t="shared" si="374"/>
        <v>365</v>
      </c>
      <c r="AO162" s="182">
        <v>5.1499999999999997E-2</v>
      </c>
      <c r="AP162" s="185">
        <v>137</v>
      </c>
      <c r="AQ162" s="184">
        <f t="shared" si="375"/>
        <v>5.1499999999999997E-2</v>
      </c>
      <c r="AR162" s="190">
        <v>365</v>
      </c>
      <c r="AS162" s="185">
        <v>137</v>
      </c>
      <c r="AT162" s="183">
        <f t="shared" si="376"/>
        <v>365</v>
      </c>
      <c r="AX162" s="182">
        <v>5.1499999999999997E-2</v>
      </c>
      <c r="AY162" s="185">
        <v>137</v>
      </c>
      <c r="AZ162" s="184">
        <f t="shared" si="377"/>
        <v>5.1499999999999997E-2</v>
      </c>
      <c r="BA162" s="190">
        <v>365</v>
      </c>
      <c r="BB162" s="185">
        <v>137</v>
      </c>
      <c r="BC162" s="183">
        <f t="shared" si="378"/>
        <v>365</v>
      </c>
      <c r="BG162" s="182">
        <v>5.1499999999999997E-2</v>
      </c>
      <c r="BH162" s="185">
        <v>137</v>
      </c>
      <c r="BI162" s="184">
        <f t="shared" si="379"/>
        <v>5.1499999999999997E-2</v>
      </c>
      <c r="CW162" s="364"/>
      <c r="CX162" s="309"/>
      <c r="CY162" s="313"/>
      <c r="DA162" s="309">
        <v>161</v>
      </c>
      <c r="DB162" s="313">
        <f t="shared" si="352"/>
        <v>258.59920771685859</v>
      </c>
      <c r="DC162" s="309">
        <f t="shared" si="353"/>
        <v>1</v>
      </c>
      <c r="DD162" s="309">
        <f t="shared" si="354"/>
        <v>260</v>
      </c>
      <c r="DE162" s="308">
        <f t="shared" si="355"/>
        <v>6.5000000000000002E-2</v>
      </c>
      <c r="DF162" s="313">
        <f t="shared" si="370"/>
        <v>161</v>
      </c>
      <c r="DG162" s="313">
        <f t="shared" si="359"/>
        <v>258.59920771685859</v>
      </c>
      <c r="DH162" s="313">
        <f t="shared" si="360"/>
        <v>258.59920771685859</v>
      </c>
      <c r="DI162" s="313">
        <f t="shared" si="361"/>
        <v>0</v>
      </c>
      <c r="DJ162" s="313">
        <f t="shared" si="362"/>
        <v>0</v>
      </c>
      <c r="DK162" s="313">
        <f t="shared" si="371"/>
        <v>36946.535825065504</v>
      </c>
      <c r="DL162" s="313">
        <f t="shared" si="363"/>
        <v>114136.58065227303</v>
      </c>
      <c r="DM162" s="314">
        <f t="shared" si="364"/>
        <v>18.897939134363288</v>
      </c>
      <c r="DN162" s="312">
        <f t="shared" si="365"/>
        <v>0.11737850394014464</v>
      </c>
      <c r="DO162" s="312">
        <f t="shared" si="372"/>
        <v>0.99461233737253307</v>
      </c>
      <c r="DP162" s="315">
        <f t="shared" si="356"/>
        <v>6.4894741863077463E-2</v>
      </c>
      <c r="DQ162" s="316">
        <f t="shared" si="366"/>
        <v>0.25094717975366343</v>
      </c>
      <c r="DR162" s="316">
        <f t="shared" si="367"/>
        <v>44.069392297161144</v>
      </c>
      <c r="DS162" s="314">
        <f t="shared" si="368"/>
        <v>3.6533292520662073</v>
      </c>
      <c r="DT162" s="316">
        <f t="shared" si="369"/>
        <v>44.069392297161144</v>
      </c>
      <c r="DU162" s="314">
        <f t="shared" si="357"/>
        <v>3.6533292520662073</v>
      </c>
      <c r="DV162" s="316">
        <f t="shared" si="373"/>
        <v>109.75230940553504</v>
      </c>
      <c r="DW162" s="310">
        <f t="shared" si="358"/>
        <v>4.0090272576789152</v>
      </c>
      <c r="FB162" s="307"/>
      <c r="FC162" s="307"/>
      <c r="FF162" s="307"/>
      <c r="FG162" s="307"/>
      <c r="FH162" s="306"/>
      <c r="FJ162" s="307"/>
      <c r="FK162" s="307"/>
      <c r="FL162" s="306"/>
      <c r="FM162" s="307"/>
      <c r="FN162" s="306"/>
      <c r="FO162" s="307"/>
      <c r="FP162" s="306"/>
    </row>
    <row r="163" spans="29:172">
      <c r="AC163" s="156"/>
      <c r="AI163" s="190">
        <v>364</v>
      </c>
      <c r="AJ163" s="185">
        <v>138</v>
      </c>
      <c r="AK163" s="183">
        <f t="shared" si="374"/>
        <v>364</v>
      </c>
      <c r="AO163" s="182">
        <v>5.1400000000000001E-2</v>
      </c>
      <c r="AP163" s="185">
        <v>138</v>
      </c>
      <c r="AQ163" s="184">
        <f t="shared" si="375"/>
        <v>5.1400000000000001E-2</v>
      </c>
      <c r="AR163" s="190">
        <v>364</v>
      </c>
      <c r="AS163" s="185">
        <v>138</v>
      </c>
      <c r="AT163" s="183">
        <f t="shared" si="376"/>
        <v>364</v>
      </c>
      <c r="AX163" s="182">
        <v>5.1400000000000001E-2</v>
      </c>
      <c r="AY163" s="185">
        <v>138</v>
      </c>
      <c r="AZ163" s="184">
        <f t="shared" si="377"/>
        <v>5.1400000000000001E-2</v>
      </c>
      <c r="BA163" s="190">
        <v>364</v>
      </c>
      <c r="BB163" s="185">
        <v>138</v>
      </c>
      <c r="BC163" s="183">
        <f t="shared" si="378"/>
        <v>364</v>
      </c>
      <c r="BG163" s="182">
        <v>5.1400000000000001E-2</v>
      </c>
      <c r="BH163" s="185">
        <v>138</v>
      </c>
      <c r="BI163" s="184">
        <f t="shared" si="379"/>
        <v>5.1400000000000001E-2</v>
      </c>
      <c r="CW163" s="364"/>
      <c r="CX163" s="309"/>
      <c r="CY163" s="313"/>
      <c r="DA163" s="309">
        <v>162</v>
      </c>
      <c r="DB163" s="313">
        <f t="shared" si="352"/>
        <v>258.96317795112475</v>
      </c>
      <c r="DC163" s="309">
        <f t="shared" si="353"/>
        <v>1</v>
      </c>
      <c r="DD163" s="309">
        <f t="shared" si="354"/>
        <v>260</v>
      </c>
      <c r="DE163" s="308">
        <f t="shared" si="355"/>
        <v>6.5000000000000002E-2</v>
      </c>
      <c r="DF163" s="313">
        <f t="shared" si="370"/>
        <v>162</v>
      </c>
      <c r="DG163" s="313">
        <f t="shared" si="359"/>
        <v>258.96317795112475</v>
      </c>
      <c r="DH163" s="313">
        <f t="shared" si="360"/>
        <v>258.96317795112475</v>
      </c>
      <c r="DI163" s="313">
        <f t="shared" si="361"/>
        <v>0</v>
      </c>
      <c r="DJ163" s="313">
        <f t="shared" si="362"/>
        <v>0</v>
      </c>
      <c r="DK163" s="313">
        <f t="shared" si="371"/>
        <v>37205.49900301663</v>
      </c>
      <c r="DL163" s="313">
        <f t="shared" si="363"/>
        <v>113877.98144455616</v>
      </c>
      <c r="DM163" s="314">
        <f t="shared" si="364"/>
        <v>18.901926911474348</v>
      </c>
      <c r="DN163" s="312">
        <f t="shared" si="365"/>
        <v>0.11667856118194042</v>
      </c>
      <c r="DO163" s="312">
        <f t="shared" si="372"/>
        <v>0.99601222288894131</v>
      </c>
      <c r="DP163" s="315">
        <f t="shared" si="356"/>
        <v>6.492212956676445E-2</v>
      </c>
      <c r="DQ163" s="316">
        <f t="shared" si="366"/>
        <v>0.25070023499254973</v>
      </c>
      <c r="DR163" s="316">
        <f t="shared" si="367"/>
        <v>44.320092532153694</v>
      </c>
      <c r="DS163" s="314">
        <f t="shared" si="368"/>
        <v>3.6552270255859902</v>
      </c>
      <c r="DT163" s="316">
        <f t="shared" si="369"/>
        <v>44.320092532153694</v>
      </c>
      <c r="DU163" s="314">
        <f t="shared" si="357"/>
        <v>3.6552270255859902</v>
      </c>
      <c r="DV163" s="316">
        <f t="shared" si="373"/>
        <v>109.50136222578138</v>
      </c>
      <c r="DW163" s="310">
        <f t="shared" si="358"/>
        <v>4.0090825454282824</v>
      </c>
      <c r="FB163" s="307"/>
      <c r="FC163" s="307"/>
      <c r="FF163" s="307"/>
      <c r="FG163" s="307"/>
      <c r="FH163" s="306"/>
      <c r="FJ163" s="307"/>
      <c r="FK163" s="307"/>
      <c r="FL163" s="306"/>
      <c r="FM163" s="307"/>
      <c r="FN163" s="306"/>
      <c r="FO163" s="307"/>
      <c r="FP163" s="306"/>
    </row>
    <row r="164" spans="29:172">
      <c r="AC164" s="156"/>
      <c r="AI164" s="190">
        <v>363</v>
      </c>
      <c r="AJ164" s="185">
        <v>139</v>
      </c>
      <c r="AK164" s="183">
        <f t="shared" si="374"/>
        <v>363</v>
      </c>
      <c r="AO164" s="182">
        <v>5.1299999999999998E-2</v>
      </c>
      <c r="AP164" s="185">
        <v>139</v>
      </c>
      <c r="AQ164" s="184">
        <f t="shared" si="375"/>
        <v>5.1299999999999998E-2</v>
      </c>
      <c r="AR164" s="190">
        <v>363</v>
      </c>
      <c r="AS164" s="185">
        <v>139</v>
      </c>
      <c r="AT164" s="183">
        <f t="shared" si="376"/>
        <v>363</v>
      </c>
      <c r="AX164" s="182">
        <v>5.1299999999999998E-2</v>
      </c>
      <c r="AY164" s="185">
        <v>139</v>
      </c>
      <c r="AZ164" s="184">
        <f t="shared" si="377"/>
        <v>5.1299999999999998E-2</v>
      </c>
      <c r="BA164" s="190">
        <v>363</v>
      </c>
      <c r="BB164" s="185">
        <v>139</v>
      </c>
      <c r="BC164" s="183">
        <f t="shared" si="378"/>
        <v>363</v>
      </c>
      <c r="BG164" s="182">
        <v>5.1299999999999998E-2</v>
      </c>
      <c r="BH164" s="185">
        <v>139</v>
      </c>
      <c r="BI164" s="184">
        <f t="shared" si="379"/>
        <v>5.1299999999999998E-2</v>
      </c>
      <c r="CW164" s="364"/>
      <c r="CX164" s="309"/>
      <c r="CY164" s="313"/>
      <c r="DA164" s="309">
        <v>163</v>
      </c>
      <c r="DB164" s="313">
        <f t="shared" si="352"/>
        <v>259.32714818539097</v>
      </c>
      <c r="DC164" s="309">
        <f t="shared" si="353"/>
        <v>1</v>
      </c>
      <c r="DD164" s="309">
        <f t="shared" si="354"/>
        <v>260</v>
      </c>
      <c r="DE164" s="308">
        <f t="shared" si="355"/>
        <v>6.5000000000000002E-2</v>
      </c>
      <c r="DF164" s="313">
        <f t="shared" si="370"/>
        <v>163</v>
      </c>
      <c r="DG164" s="313">
        <f t="shared" si="359"/>
        <v>259.32714818539097</v>
      </c>
      <c r="DH164" s="313">
        <f t="shared" si="360"/>
        <v>259.32714818539097</v>
      </c>
      <c r="DI164" s="313">
        <f t="shared" si="361"/>
        <v>0</v>
      </c>
      <c r="DJ164" s="313">
        <f t="shared" si="362"/>
        <v>0</v>
      </c>
      <c r="DK164" s="313">
        <f t="shared" si="371"/>
        <v>37464.826151202018</v>
      </c>
      <c r="DL164" s="313">
        <f t="shared" si="363"/>
        <v>113619.01826660504</v>
      </c>
      <c r="DM164" s="314">
        <f t="shared" si="364"/>
        <v>18.904514803068999</v>
      </c>
      <c r="DN164" s="312">
        <f t="shared" si="365"/>
        <v>0.11597861842373619</v>
      </c>
      <c r="DO164" s="312">
        <f t="shared" si="372"/>
        <v>0.99741210840534988</v>
      </c>
      <c r="DP164" s="315">
        <f t="shared" si="356"/>
        <v>6.4949490338483781E-2</v>
      </c>
      <c r="DQ164" s="316">
        <f t="shared" si="366"/>
        <v>0.25045387956085452</v>
      </c>
      <c r="DR164" s="316">
        <f t="shared" si="367"/>
        <v>44.570546411714545</v>
      </c>
      <c r="DS164" s="314">
        <f t="shared" si="368"/>
        <v>3.6571236640069205</v>
      </c>
      <c r="DT164" s="316">
        <f t="shared" si="369"/>
        <v>44.570546411714545</v>
      </c>
      <c r="DU164" s="314">
        <f t="shared" si="357"/>
        <v>3.6571236640069205</v>
      </c>
      <c r="DV164" s="316">
        <f t="shared" si="373"/>
        <v>109.25066199078883</v>
      </c>
      <c r="DW164" s="310">
        <f t="shared" si="358"/>
        <v>4.0091290251122578</v>
      </c>
      <c r="FB164" s="307"/>
      <c r="FC164" s="307"/>
      <c r="FF164" s="307"/>
      <c r="FG164" s="307"/>
      <c r="FH164" s="306"/>
      <c r="FJ164" s="307"/>
      <c r="FK164" s="307"/>
      <c r="FL164" s="306"/>
      <c r="FM164" s="307"/>
      <c r="FN164" s="306"/>
      <c r="FO164" s="307"/>
      <c r="FP164" s="306"/>
    </row>
    <row r="165" spans="29:172">
      <c r="AC165" s="156"/>
      <c r="AI165" s="190">
        <v>362</v>
      </c>
      <c r="AJ165" s="185">
        <v>140</v>
      </c>
      <c r="AK165" s="183">
        <f t="shared" si="374"/>
        <v>362</v>
      </c>
      <c r="AO165" s="182">
        <v>5.1200000000000002E-2</v>
      </c>
      <c r="AP165" s="185">
        <v>140</v>
      </c>
      <c r="AQ165" s="184">
        <f t="shared" si="375"/>
        <v>5.1200000000000002E-2</v>
      </c>
      <c r="AR165" s="190">
        <v>362</v>
      </c>
      <c r="AS165" s="185">
        <v>140</v>
      </c>
      <c r="AT165" s="183">
        <f t="shared" si="376"/>
        <v>362</v>
      </c>
      <c r="AX165" s="182">
        <v>5.1200000000000002E-2</v>
      </c>
      <c r="AY165" s="185">
        <v>140</v>
      </c>
      <c r="AZ165" s="184">
        <f t="shared" si="377"/>
        <v>5.1200000000000002E-2</v>
      </c>
      <c r="BA165" s="190">
        <v>362</v>
      </c>
      <c r="BB165" s="185">
        <v>140</v>
      </c>
      <c r="BC165" s="183">
        <f t="shared" si="378"/>
        <v>362</v>
      </c>
      <c r="BG165" s="182">
        <v>5.1200000000000002E-2</v>
      </c>
      <c r="BH165" s="185">
        <v>140</v>
      </c>
      <c r="BI165" s="184">
        <f t="shared" si="379"/>
        <v>5.1200000000000002E-2</v>
      </c>
      <c r="CW165" s="364"/>
      <c r="CX165" s="309"/>
      <c r="CY165" s="313"/>
      <c r="DA165" s="309">
        <v>164</v>
      </c>
      <c r="DB165" s="313">
        <f t="shared" si="352"/>
        <v>259.69111841965719</v>
      </c>
      <c r="DC165" s="309">
        <f t="shared" si="353"/>
        <v>1</v>
      </c>
      <c r="DD165" s="309">
        <f t="shared" si="354"/>
        <v>260</v>
      </c>
      <c r="DE165" s="308">
        <f t="shared" si="355"/>
        <v>6.5000000000000002E-2</v>
      </c>
      <c r="DF165" s="313">
        <f t="shared" si="370"/>
        <v>164</v>
      </c>
      <c r="DG165" s="313">
        <f t="shared" si="359"/>
        <v>259.69111841965719</v>
      </c>
      <c r="DH165" s="313">
        <f t="shared" si="360"/>
        <v>259.69111841965719</v>
      </c>
      <c r="DI165" s="313">
        <f t="shared" si="361"/>
        <v>0</v>
      </c>
      <c r="DJ165" s="313">
        <f t="shared" si="362"/>
        <v>0</v>
      </c>
      <c r="DK165" s="313">
        <f t="shared" si="371"/>
        <v>37724.517269621676</v>
      </c>
      <c r="DL165" s="313">
        <f t="shared" si="363"/>
        <v>113359.69111841965</v>
      </c>
      <c r="DM165" s="314">
        <f t="shared" si="364"/>
        <v>18.90570280914724</v>
      </c>
      <c r="DN165" s="312">
        <f t="shared" si="365"/>
        <v>0.11527867566553195</v>
      </c>
      <c r="DO165" s="312">
        <f t="shared" si="372"/>
        <v>0.99881199392175846</v>
      </c>
      <c r="DP165" s="315">
        <f t="shared" si="356"/>
        <v>6.497682424246308E-2</v>
      </c>
      <c r="DQ165" s="316">
        <f t="shared" si="366"/>
        <v>0.25020811122797604</v>
      </c>
      <c r="DR165" s="316">
        <f t="shared" si="367"/>
        <v>44.820754522942522</v>
      </c>
      <c r="DS165" s="314">
        <f t="shared" si="368"/>
        <v>3.6590191697030194</v>
      </c>
      <c r="DT165" s="316">
        <f t="shared" si="369"/>
        <v>44.820754522942522</v>
      </c>
      <c r="DU165" s="314">
        <f t="shared" si="357"/>
        <v>3.6590191697030194</v>
      </c>
      <c r="DV165" s="316">
        <f t="shared" si="373"/>
        <v>109.00020811122798</v>
      </c>
      <c r="DW165" s="310">
        <f t="shared" si="358"/>
        <v>4.0091666573156308</v>
      </c>
      <c r="FB165" s="307"/>
      <c r="FC165" s="307"/>
      <c r="FF165" s="307"/>
      <c r="FG165" s="307"/>
      <c r="FH165" s="306"/>
      <c r="FJ165" s="307"/>
      <c r="FK165" s="307"/>
      <c r="FL165" s="306"/>
      <c r="FM165" s="307"/>
      <c r="FN165" s="306"/>
      <c r="FO165" s="307"/>
      <c r="FP165" s="306"/>
    </row>
    <row r="166" spans="29:172">
      <c r="AC166" s="156"/>
      <c r="AI166" s="190">
        <v>361</v>
      </c>
      <c r="AJ166" s="185">
        <v>141</v>
      </c>
      <c r="AK166" s="183">
        <f t="shared" si="374"/>
        <v>361</v>
      </c>
      <c r="AO166" s="182">
        <v>5.11E-2</v>
      </c>
      <c r="AP166" s="185">
        <v>141</v>
      </c>
      <c r="AQ166" s="184">
        <f t="shared" si="375"/>
        <v>5.11E-2</v>
      </c>
      <c r="AR166" s="190">
        <v>361</v>
      </c>
      <c r="AS166" s="185">
        <v>141</v>
      </c>
      <c r="AT166" s="183">
        <f t="shared" si="376"/>
        <v>361</v>
      </c>
      <c r="AX166" s="182">
        <v>5.11E-2</v>
      </c>
      <c r="AY166" s="185">
        <v>141</v>
      </c>
      <c r="AZ166" s="184">
        <f t="shared" si="377"/>
        <v>5.11E-2</v>
      </c>
      <c r="BA166" s="190">
        <v>361</v>
      </c>
      <c r="BB166" s="185">
        <v>141</v>
      </c>
      <c r="BC166" s="183">
        <f t="shared" si="378"/>
        <v>361</v>
      </c>
      <c r="BG166" s="182">
        <v>5.11E-2</v>
      </c>
      <c r="BH166" s="185">
        <v>141</v>
      </c>
      <c r="BI166" s="184">
        <f t="shared" si="379"/>
        <v>5.11E-2</v>
      </c>
      <c r="CW166" s="364"/>
      <c r="CX166" s="309"/>
      <c r="CY166" s="313"/>
      <c r="DA166" s="309">
        <v>165</v>
      </c>
      <c r="DB166" s="313">
        <f t="shared" si="352"/>
        <v>260.05508865392341</v>
      </c>
      <c r="DC166" s="309">
        <f t="shared" si="353"/>
        <v>1</v>
      </c>
      <c r="DD166" s="309">
        <f t="shared" si="354"/>
        <v>260</v>
      </c>
      <c r="DE166" s="308">
        <f t="shared" si="355"/>
        <v>6.5000000000000002E-2</v>
      </c>
      <c r="DF166" s="313">
        <f t="shared" si="370"/>
        <v>165</v>
      </c>
      <c r="DG166" s="313">
        <f t="shared" si="359"/>
        <v>260</v>
      </c>
      <c r="DH166" s="313">
        <f t="shared" si="360"/>
        <v>260</v>
      </c>
      <c r="DI166" s="313">
        <f t="shared" si="361"/>
        <v>0</v>
      </c>
      <c r="DJ166" s="313">
        <f t="shared" si="362"/>
        <v>0</v>
      </c>
      <c r="DK166" s="313">
        <f t="shared" si="371"/>
        <v>37984.517269621676</v>
      </c>
      <c r="DL166" s="313">
        <f t="shared" si="363"/>
        <v>113100</v>
      </c>
      <c r="DM166" s="314">
        <f t="shared" si="364"/>
        <v>18.90570280914724</v>
      </c>
      <c r="DN166" s="312">
        <f t="shared" si="365"/>
        <v>0.11458001702513479</v>
      </c>
      <c r="DO166" s="312">
        <f t="shared" si="372"/>
        <v>1</v>
      </c>
      <c r="DP166" s="315">
        <f t="shared" si="356"/>
        <v>6.5000000000000002E-2</v>
      </c>
      <c r="DQ166" s="316">
        <f t="shared" si="366"/>
        <v>0.25</v>
      </c>
      <c r="DR166" s="316">
        <f t="shared" si="367"/>
        <v>45.070754522942522</v>
      </c>
      <c r="DS166" s="314">
        <f t="shared" si="368"/>
        <v>3.6609105338143269</v>
      </c>
      <c r="DT166" s="316">
        <f t="shared" si="369"/>
        <v>45.070754522942522</v>
      </c>
      <c r="DU166" s="314">
        <f t="shared" si="357"/>
        <v>3.6609105338143269</v>
      </c>
      <c r="DV166" s="316">
        <f t="shared" si="373"/>
        <v>108.75</v>
      </c>
      <c r="DW166" s="310">
        <f t="shared" si="358"/>
        <v>4.0091954022988503</v>
      </c>
      <c r="FB166" s="307"/>
      <c r="FC166" s="307"/>
      <c r="FF166" s="307"/>
      <c r="FG166" s="307"/>
      <c r="FH166" s="306"/>
      <c r="FJ166" s="307"/>
      <c r="FK166" s="307"/>
      <c r="FL166" s="306"/>
      <c r="FM166" s="307"/>
      <c r="FN166" s="306"/>
      <c r="FO166" s="307"/>
      <c r="FP166" s="306"/>
    </row>
    <row r="167" spans="29:172">
      <c r="AC167" s="156"/>
      <c r="AI167" s="190">
        <v>360</v>
      </c>
      <c r="AJ167" s="185">
        <v>142</v>
      </c>
      <c r="AK167" s="183">
        <f t="shared" si="374"/>
        <v>360</v>
      </c>
      <c r="AO167" s="182">
        <v>5.0999999999999997E-2</v>
      </c>
      <c r="AP167" s="185">
        <v>142</v>
      </c>
      <c r="AQ167" s="184">
        <f t="shared" si="375"/>
        <v>5.0999999999999997E-2</v>
      </c>
      <c r="AR167" s="190">
        <v>360</v>
      </c>
      <c r="AS167" s="185">
        <v>142</v>
      </c>
      <c r="AT167" s="183">
        <f t="shared" si="376"/>
        <v>360</v>
      </c>
      <c r="AX167" s="182">
        <v>5.0999999999999997E-2</v>
      </c>
      <c r="AY167" s="185">
        <v>142</v>
      </c>
      <c r="AZ167" s="184">
        <f t="shared" si="377"/>
        <v>5.0999999999999997E-2</v>
      </c>
      <c r="BA167" s="190">
        <v>360</v>
      </c>
      <c r="BB167" s="185">
        <v>142</v>
      </c>
      <c r="BC167" s="183">
        <f t="shared" si="378"/>
        <v>360</v>
      </c>
      <c r="BG167" s="182">
        <v>5.0999999999999997E-2</v>
      </c>
      <c r="BH167" s="185">
        <v>142</v>
      </c>
      <c r="BI167" s="184">
        <f t="shared" si="379"/>
        <v>5.0999999999999997E-2</v>
      </c>
      <c r="CW167" s="364"/>
      <c r="CX167" s="309"/>
      <c r="CY167" s="313"/>
      <c r="DA167" s="309">
        <v>166</v>
      </c>
      <c r="DB167" s="313">
        <f t="shared" si="352"/>
        <v>260.41905888818957</v>
      </c>
      <c r="DC167" s="309">
        <f t="shared" si="353"/>
        <v>1</v>
      </c>
      <c r="DD167" s="309">
        <f t="shared" si="354"/>
        <v>260</v>
      </c>
      <c r="DE167" s="308">
        <f t="shared" si="355"/>
        <v>6.5000000000000002E-2</v>
      </c>
      <c r="DF167" s="313">
        <f t="shared" si="370"/>
        <v>166</v>
      </c>
      <c r="DG167" s="313">
        <f t="shared" si="359"/>
        <v>260</v>
      </c>
      <c r="DH167" s="313">
        <f t="shared" si="360"/>
        <v>260</v>
      </c>
      <c r="DI167" s="313">
        <f t="shared" si="361"/>
        <v>0</v>
      </c>
      <c r="DJ167" s="313">
        <f t="shared" si="362"/>
        <v>0</v>
      </c>
      <c r="DK167" s="313">
        <f t="shared" si="371"/>
        <v>38244.517269621676</v>
      </c>
      <c r="DL167" s="313">
        <f t="shared" si="363"/>
        <v>112840</v>
      </c>
      <c r="DM167" s="314">
        <f t="shared" si="364"/>
        <v>18.90570280914724</v>
      </c>
      <c r="DN167" s="312">
        <f t="shared" si="365"/>
        <v>0.11388977595871831</v>
      </c>
      <c r="DO167" s="312">
        <f t="shared" si="372"/>
        <v>1</v>
      </c>
      <c r="DP167" s="315">
        <f t="shared" si="356"/>
        <v>6.5000000000000002E-2</v>
      </c>
      <c r="DQ167" s="316">
        <f t="shared" si="366"/>
        <v>0.25</v>
      </c>
      <c r="DR167" s="316">
        <f t="shared" si="367"/>
        <v>45.320754522942522</v>
      </c>
      <c r="DS167" s="314">
        <f t="shared" si="368"/>
        <v>3.6627810315021692</v>
      </c>
      <c r="DT167" s="316">
        <f t="shared" si="369"/>
        <v>45.320754522942522</v>
      </c>
      <c r="DU167" s="314">
        <f t="shared" si="357"/>
        <v>3.6627810315021692</v>
      </c>
      <c r="DV167" s="316">
        <f t="shared" si="373"/>
        <v>108.5</v>
      </c>
      <c r="DW167" s="310">
        <f t="shared" si="358"/>
        <v>4.0092165898617509</v>
      </c>
      <c r="FB167" s="307"/>
      <c r="FC167" s="307"/>
      <c r="FF167" s="307"/>
      <c r="FG167" s="307"/>
      <c r="FH167" s="306"/>
      <c r="FJ167" s="307"/>
      <c r="FK167" s="307"/>
      <c r="FL167" s="306"/>
      <c r="FM167" s="307"/>
      <c r="FN167" s="306"/>
      <c r="FO167" s="307"/>
      <c r="FP167" s="306"/>
    </row>
    <row r="168" spans="29:172">
      <c r="AC168" s="156"/>
      <c r="AI168" s="190">
        <v>359</v>
      </c>
      <c r="AJ168" s="185">
        <v>143</v>
      </c>
      <c r="AK168" s="183">
        <f t="shared" si="374"/>
        <v>359</v>
      </c>
      <c r="AO168" s="182">
        <v>5.0900000000000001E-2</v>
      </c>
      <c r="AP168" s="185">
        <v>143</v>
      </c>
      <c r="AQ168" s="184">
        <f t="shared" si="375"/>
        <v>5.0900000000000001E-2</v>
      </c>
      <c r="AR168" s="190">
        <v>359</v>
      </c>
      <c r="AS168" s="185">
        <v>143</v>
      </c>
      <c r="AT168" s="183">
        <f t="shared" si="376"/>
        <v>359</v>
      </c>
      <c r="AX168" s="182">
        <v>5.0900000000000001E-2</v>
      </c>
      <c r="AY168" s="185">
        <v>143</v>
      </c>
      <c r="AZ168" s="184">
        <f t="shared" si="377"/>
        <v>5.0900000000000001E-2</v>
      </c>
      <c r="BA168" s="190">
        <v>359</v>
      </c>
      <c r="BB168" s="185">
        <v>143</v>
      </c>
      <c r="BC168" s="183">
        <f t="shared" si="378"/>
        <v>359</v>
      </c>
      <c r="BG168" s="182">
        <v>5.0900000000000001E-2</v>
      </c>
      <c r="BH168" s="185">
        <v>143</v>
      </c>
      <c r="BI168" s="184">
        <f t="shared" si="379"/>
        <v>5.0900000000000001E-2</v>
      </c>
      <c r="CW168" s="364"/>
      <c r="CX168" s="309"/>
      <c r="CY168" s="313"/>
      <c r="DA168" s="309">
        <v>167</v>
      </c>
      <c r="DB168" s="313">
        <f t="shared" si="352"/>
        <v>260.78302912245579</v>
      </c>
      <c r="DC168" s="309">
        <f t="shared" si="353"/>
        <v>1</v>
      </c>
      <c r="DD168" s="309">
        <f t="shared" si="354"/>
        <v>260</v>
      </c>
      <c r="DE168" s="308">
        <f t="shared" si="355"/>
        <v>6.5000000000000002E-2</v>
      </c>
      <c r="DF168" s="313">
        <f t="shared" si="370"/>
        <v>167</v>
      </c>
      <c r="DG168" s="313">
        <f t="shared" si="359"/>
        <v>260</v>
      </c>
      <c r="DH168" s="313">
        <f t="shared" si="360"/>
        <v>260</v>
      </c>
      <c r="DI168" s="313">
        <f t="shared" si="361"/>
        <v>0</v>
      </c>
      <c r="DJ168" s="313">
        <f t="shared" si="362"/>
        <v>0</v>
      </c>
      <c r="DK168" s="313">
        <f t="shared" si="371"/>
        <v>38504.517269621676</v>
      </c>
      <c r="DL168" s="313">
        <f t="shared" si="363"/>
        <v>112580</v>
      </c>
      <c r="DM168" s="314">
        <f t="shared" si="364"/>
        <v>18.90570280914724</v>
      </c>
      <c r="DN168" s="312">
        <f t="shared" si="365"/>
        <v>0.11320780125237868</v>
      </c>
      <c r="DO168" s="312">
        <f t="shared" si="372"/>
        <v>1</v>
      </c>
      <c r="DP168" s="315">
        <f t="shared" si="356"/>
        <v>6.5000000000000002E-2</v>
      </c>
      <c r="DQ168" s="316">
        <f t="shared" si="366"/>
        <v>0.25</v>
      </c>
      <c r="DR168" s="316">
        <f t="shared" si="367"/>
        <v>45.570754522942522</v>
      </c>
      <c r="DS168" s="314">
        <f t="shared" si="368"/>
        <v>3.6646310061845502</v>
      </c>
      <c r="DT168" s="316">
        <f t="shared" si="369"/>
        <v>45.570754522942522</v>
      </c>
      <c r="DU168" s="314">
        <f t="shared" si="357"/>
        <v>3.6646310061845502</v>
      </c>
      <c r="DV168" s="316">
        <f t="shared" si="373"/>
        <v>108.25</v>
      </c>
      <c r="DW168" s="310">
        <f t="shared" si="358"/>
        <v>4.0092378752886839</v>
      </c>
      <c r="FB168" s="307"/>
      <c r="FC168" s="307"/>
      <c r="FF168" s="307"/>
      <c r="FG168" s="307"/>
      <c r="FH168" s="306"/>
      <c r="FJ168" s="307"/>
      <c r="FK168" s="307"/>
      <c r="FL168" s="306"/>
      <c r="FM168" s="307"/>
      <c r="FN168" s="306"/>
      <c r="FO168" s="307"/>
      <c r="FP168" s="306"/>
    </row>
    <row r="169" spans="29:172">
      <c r="AC169" s="156"/>
      <c r="AI169" s="190">
        <v>358</v>
      </c>
      <c r="AJ169" s="185">
        <v>144</v>
      </c>
      <c r="AK169" s="183">
        <f t="shared" si="374"/>
        <v>358</v>
      </c>
      <c r="AO169" s="182">
        <v>5.0799999999999998E-2</v>
      </c>
      <c r="AP169" s="185">
        <v>144</v>
      </c>
      <c r="AQ169" s="184">
        <f t="shared" si="375"/>
        <v>5.0799999999999998E-2</v>
      </c>
      <c r="AR169" s="190">
        <v>358</v>
      </c>
      <c r="AS169" s="185">
        <v>144</v>
      </c>
      <c r="AT169" s="183">
        <f t="shared" si="376"/>
        <v>358</v>
      </c>
      <c r="AX169" s="182">
        <v>5.0799999999999998E-2</v>
      </c>
      <c r="AY169" s="185">
        <v>144</v>
      </c>
      <c r="AZ169" s="184">
        <f t="shared" si="377"/>
        <v>5.0799999999999998E-2</v>
      </c>
      <c r="BA169" s="190">
        <v>358</v>
      </c>
      <c r="BB169" s="185">
        <v>144</v>
      </c>
      <c r="BC169" s="183">
        <f t="shared" si="378"/>
        <v>358</v>
      </c>
      <c r="BG169" s="182">
        <v>5.0799999999999998E-2</v>
      </c>
      <c r="BH169" s="185">
        <v>144</v>
      </c>
      <c r="BI169" s="184">
        <f t="shared" si="379"/>
        <v>5.0799999999999998E-2</v>
      </c>
      <c r="CW169" s="364"/>
      <c r="CX169" s="309"/>
      <c r="CY169" s="313"/>
      <c r="DA169" s="309">
        <v>168</v>
      </c>
      <c r="DB169" s="313">
        <f t="shared" si="352"/>
        <v>261.14699935672201</v>
      </c>
      <c r="DC169" s="309">
        <f t="shared" si="353"/>
        <v>1</v>
      </c>
      <c r="DD169" s="309">
        <f t="shared" si="354"/>
        <v>260</v>
      </c>
      <c r="DE169" s="308">
        <f t="shared" si="355"/>
        <v>6.5000000000000002E-2</v>
      </c>
      <c r="DF169" s="313">
        <f t="shared" si="370"/>
        <v>168</v>
      </c>
      <c r="DG169" s="313">
        <f t="shared" si="359"/>
        <v>260</v>
      </c>
      <c r="DH169" s="313">
        <f t="shared" si="360"/>
        <v>260</v>
      </c>
      <c r="DI169" s="313">
        <f t="shared" si="361"/>
        <v>0</v>
      </c>
      <c r="DJ169" s="313">
        <f t="shared" si="362"/>
        <v>0</v>
      </c>
      <c r="DK169" s="313">
        <f t="shared" si="371"/>
        <v>38764.517269621676</v>
      </c>
      <c r="DL169" s="313">
        <f t="shared" si="363"/>
        <v>112320</v>
      </c>
      <c r="DM169" s="314">
        <f t="shared" si="364"/>
        <v>18.90570280914724</v>
      </c>
      <c r="DN169" s="312">
        <f t="shared" si="365"/>
        <v>0.1125339452925431</v>
      </c>
      <c r="DO169" s="312">
        <f t="shared" si="372"/>
        <v>1</v>
      </c>
      <c r="DP169" s="315">
        <f t="shared" si="356"/>
        <v>6.5000000000000002E-2</v>
      </c>
      <c r="DQ169" s="316">
        <f t="shared" si="366"/>
        <v>0.25</v>
      </c>
      <c r="DR169" s="316">
        <f t="shared" si="367"/>
        <v>45.820754522942522</v>
      </c>
      <c r="DS169" s="314">
        <f t="shared" si="368"/>
        <v>3.6664607937846623</v>
      </c>
      <c r="DT169" s="316">
        <f t="shared" si="369"/>
        <v>45.820754522942522</v>
      </c>
      <c r="DU169" s="314">
        <f t="shared" si="357"/>
        <v>3.6664607937846623</v>
      </c>
      <c r="DV169" s="316">
        <f t="shared" si="373"/>
        <v>108</v>
      </c>
      <c r="DW169" s="310">
        <f t="shared" si="358"/>
        <v>4.0092592592592595</v>
      </c>
      <c r="FB169" s="307"/>
      <c r="FC169" s="307"/>
      <c r="FF169" s="307"/>
      <c r="FG169" s="307"/>
      <c r="FH169" s="306"/>
      <c r="FJ169" s="307"/>
      <c r="FK169" s="307"/>
      <c r="FL169" s="306"/>
      <c r="FM169" s="307"/>
      <c r="FN169" s="306"/>
      <c r="FO169" s="307"/>
      <c r="FP169" s="306"/>
    </row>
    <row r="170" spans="29:172">
      <c r="AC170" s="156"/>
      <c r="AI170" s="190">
        <v>357</v>
      </c>
      <c r="AJ170" s="185">
        <v>145</v>
      </c>
      <c r="AK170" s="183">
        <f t="shared" si="374"/>
        <v>357</v>
      </c>
      <c r="AO170" s="182">
        <v>5.0700000000000002E-2</v>
      </c>
      <c r="AP170" s="185">
        <v>145</v>
      </c>
      <c r="AQ170" s="184">
        <f t="shared" si="375"/>
        <v>5.0700000000000002E-2</v>
      </c>
      <c r="AR170" s="190">
        <v>357</v>
      </c>
      <c r="AS170" s="185">
        <v>145</v>
      </c>
      <c r="AT170" s="183">
        <f t="shared" si="376"/>
        <v>357</v>
      </c>
      <c r="AX170" s="182">
        <v>5.0700000000000002E-2</v>
      </c>
      <c r="AY170" s="185">
        <v>145</v>
      </c>
      <c r="AZ170" s="184">
        <f t="shared" si="377"/>
        <v>5.0700000000000002E-2</v>
      </c>
      <c r="BA170" s="190">
        <v>357</v>
      </c>
      <c r="BB170" s="185">
        <v>145</v>
      </c>
      <c r="BC170" s="183">
        <f t="shared" si="378"/>
        <v>357</v>
      </c>
      <c r="BG170" s="182">
        <v>5.0700000000000002E-2</v>
      </c>
      <c r="BH170" s="185">
        <v>145</v>
      </c>
      <c r="BI170" s="184">
        <f t="shared" si="379"/>
        <v>5.0700000000000002E-2</v>
      </c>
      <c r="CW170" s="364"/>
      <c r="CX170" s="309"/>
      <c r="CY170" s="313"/>
      <c r="DA170" s="309">
        <v>169</v>
      </c>
      <c r="DB170" s="313">
        <f t="shared" si="352"/>
        <v>261.51096959098822</v>
      </c>
      <c r="DC170" s="309">
        <f t="shared" si="353"/>
        <v>1</v>
      </c>
      <c r="DD170" s="309">
        <f t="shared" si="354"/>
        <v>260</v>
      </c>
      <c r="DE170" s="308">
        <f t="shared" si="355"/>
        <v>6.5000000000000002E-2</v>
      </c>
      <c r="DF170" s="313">
        <f t="shared" si="370"/>
        <v>169</v>
      </c>
      <c r="DG170" s="313">
        <f t="shared" si="359"/>
        <v>260</v>
      </c>
      <c r="DH170" s="313">
        <f t="shared" si="360"/>
        <v>260</v>
      </c>
      <c r="DI170" s="313">
        <f t="shared" si="361"/>
        <v>0</v>
      </c>
      <c r="DJ170" s="313">
        <f t="shared" si="362"/>
        <v>0</v>
      </c>
      <c r="DK170" s="313">
        <f t="shared" si="371"/>
        <v>39024.517269621676</v>
      </c>
      <c r="DL170" s="313">
        <f t="shared" si="363"/>
        <v>112060</v>
      </c>
      <c r="DM170" s="314">
        <f t="shared" si="364"/>
        <v>18.90570280914724</v>
      </c>
      <c r="DN170" s="312">
        <f t="shared" si="365"/>
        <v>0.11186806395945112</v>
      </c>
      <c r="DO170" s="312">
        <f t="shared" si="372"/>
        <v>1</v>
      </c>
      <c r="DP170" s="315">
        <f t="shared" si="356"/>
        <v>6.5000000000000002E-2</v>
      </c>
      <c r="DQ170" s="316">
        <f t="shared" si="366"/>
        <v>0.25</v>
      </c>
      <c r="DR170" s="316">
        <f t="shared" si="367"/>
        <v>46.070754522942522</v>
      </c>
      <c r="DS170" s="314">
        <f t="shared" si="368"/>
        <v>3.668270722934234</v>
      </c>
      <c r="DT170" s="316">
        <f t="shared" si="369"/>
        <v>46.070754522942522</v>
      </c>
      <c r="DU170" s="314">
        <f t="shared" si="357"/>
        <v>3.668270722934234</v>
      </c>
      <c r="DV170" s="316">
        <f t="shared" si="373"/>
        <v>107.75</v>
      </c>
      <c r="DW170" s="310">
        <f t="shared" si="358"/>
        <v>4.0092807424593966</v>
      </c>
      <c r="FB170" s="307"/>
      <c r="FC170" s="307"/>
      <c r="FF170" s="307"/>
      <c r="FG170" s="307"/>
      <c r="FH170" s="306"/>
      <c r="FJ170" s="307"/>
      <c r="FK170" s="307"/>
      <c r="FL170" s="306"/>
      <c r="FM170" s="307"/>
      <c r="FN170" s="306"/>
      <c r="FO170" s="307"/>
      <c r="FP170" s="306"/>
    </row>
    <row r="171" spans="29:172">
      <c r="AC171" s="156"/>
      <c r="AI171" s="190">
        <v>356</v>
      </c>
      <c r="AJ171" s="185">
        <v>146</v>
      </c>
      <c r="AK171" s="183">
        <f t="shared" si="374"/>
        <v>356</v>
      </c>
      <c r="AO171" s="182">
        <v>5.0599999999999999E-2</v>
      </c>
      <c r="AP171" s="185">
        <v>146</v>
      </c>
      <c r="AQ171" s="184">
        <f t="shared" si="375"/>
        <v>5.0599999999999999E-2</v>
      </c>
      <c r="AR171" s="190">
        <v>356</v>
      </c>
      <c r="AS171" s="185">
        <v>146</v>
      </c>
      <c r="AT171" s="183">
        <f t="shared" si="376"/>
        <v>356</v>
      </c>
      <c r="AX171" s="182">
        <v>5.0599999999999999E-2</v>
      </c>
      <c r="AY171" s="185">
        <v>146</v>
      </c>
      <c r="AZ171" s="184">
        <f t="shared" si="377"/>
        <v>5.0599999999999999E-2</v>
      </c>
      <c r="BA171" s="190">
        <v>356</v>
      </c>
      <c r="BB171" s="185">
        <v>146</v>
      </c>
      <c r="BC171" s="183">
        <f t="shared" si="378"/>
        <v>356</v>
      </c>
      <c r="BG171" s="182">
        <v>5.0599999999999999E-2</v>
      </c>
      <c r="BH171" s="185">
        <v>146</v>
      </c>
      <c r="BI171" s="184">
        <f t="shared" si="379"/>
        <v>5.0599999999999999E-2</v>
      </c>
      <c r="CW171" s="364"/>
      <c r="CX171" s="309"/>
      <c r="CY171" s="313"/>
      <c r="DA171" s="309">
        <v>170</v>
      </c>
      <c r="DB171" s="313">
        <f t="shared" si="352"/>
        <v>261.87493982525439</v>
      </c>
      <c r="DC171" s="309">
        <f t="shared" si="353"/>
        <v>1</v>
      </c>
      <c r="DD171" s="309">
        <f t="shared" si="354"/>
        <v>260</v>
      </c>
      <c r="DE171" s="308">
        <f t="shared" si="355"/>
        <v>6.5000000000000002E-2</v>
      </c>
      <c r="DF171" s="313">
        <f t="shared" si="370"/>
        <v>170</v>
      </c>
      <c r="DG171" s="313">
        <f t="shared" si="359"/>
        <v>260</v>
      </c>
      <c r="DH171" s="313">
        <f t="shared" si="360"/>
        <v>260</v>
      </c>
      <c r="DI171" s="313">
        <f t="shared" si="361"/>
        <v>0</v>
      </c>
      <c r="DJ171" s="313">
        <f t="shared" si="362"/>
        <v>0</v>
      </c>
      <c r="DK171" s="313">
        <f t="shared" si="371"/>
        <v>39284.517269621676</v>
      </c>
      <c r="DL171" s="313">
        <f t="shared" si="363"/>
        <v>111800</v>
      </c>
      <c r="DM171" s="314">
        <f t="shared" si="364"/>
        <v>18.90570280914724</v>
      </c>
      <c r="DN171" s="312">
        <f t="shared" si="365"/>
        <v>0.11121001652439552</v>
      </c>
      <c r="DO171" s="312">
        <f t="shared" si="372"/>
        <v>1</v>
      </c>
      <c r="DP171" s="315">
        <f t="shared" si="356"/>
        <v>6.5000000000000002E-2</v>
      </c>
      <c r="DQ171" s="316">
        <f t="shared" si="366"/>
        <v>0.25</v>
      </c>
      <c r="DR171" s="316">
        <f t="shared" si="367"/>
        <v>46.320754522942522</v>
      </c>
      <c r="DS171" s="314">
        <f t="shared" si="368"/>
        <v>3.6700611151702969</v>
      </c>
      <c r="DT171" s="316">
        <f t="shared" si="369"/>
        <v>46.320754522942522</v>
      </c>
      <c r="DU171" s="314">
        <f t="shared" si="357"/>
        <v>3.6700611151702969</v>
      </c>
      <c r="DV171" s="316">
        <f t="shared" si="373"/>
        <v>107.5</v>
      </c>
      <c r="DW171" s="310">
        <f t="shared" si="358"/>
        <v>4.0093023255813955</v>
      </c>
      <c r="FB171" s="307"/>
      <c r="FC171" s="307"/>
      <c r="FF171" s="307"/>
      <c r="FG171" s="307"/>
      <c r="FH171" s="306"/>
      <c r="FJ171" s="307"/>
      <c r="FK171" s="307"/>
      <c r="FL171" s="306"/>
      <c r="FM171" s="307"/>
      <c r="FN171" s="306"/>
      <c r="FO171" s="307"/>
      <c r="FP171" s="306"/>
    </row>
    <row r="172" spans="29:172">
      <c r="AC172" s="156"/>
      <c r="AI172" s="190">
        <v>355</v>
      </c>
      <c r="AJ172" s="185">
        <v>147</v>
      </c>
      <c r="AK172" s="183">
        <f t="shared" si="374"/>
        <v>355</v>
      </c>
      <c r="AO172" s="182">
        <v>5.0500000000000003E-2</v>
      </c>
      <c r="AP172" s="185">
        <v>147</v>
      </c>
      <c r="AQ172" s="184">
        <f t="shared" si="375"/>
        <v>5.0500000000000003E-2</v>
      </c>
      <c r="AR172" s="190">
        <v>355</v>
      </c>
      <c r="AS172" s="185">
        <v>147</v>
      </c>
      <c r="AT172" s="183">
        <f t="shared" si="376"/>
        <v>355</v>
      </c>
      <c r="AX172" s="182">
        <v>5.0500000000000003E-2</v>
      </c>
      <c r="AY172" s="185">
        <v>147</v>
      </c>
      <c r="AZ172" s="184">
        <f t="shared" si="377"/>
        <v>5.0500000000000003E-2</v>
      </c>
      <c r="BA172" s="190">
        <v>355</v>
      </c>
      <c r="BB172" s="185">
        <v>147</v>
      </c>
      <c r="BC172" s="183">
        <f t="shared" si="378"/>
        <v>355</v>
      </c>
      <c r="BG172" s="182">
        <v>5.0500000000000003E-2</v>
      </c>
      <c r="BH172" s="185">
        <v>147</v>
      </c>
      <c r="BI172" s="184">
        <f t="shared" si="379"/>
        <v>5.0500000000000003E-2</v>
      </c>
      <c r="CW172" s="364"/>
      <c r="CX172" s="309"/>
      <c r="CY172" s="313"/>
      <c r="DA172" s="309">
        <v>171</v>
      </c>
      <c r="DB172" s="313">
        <f t="shared" si="352"/>
        <v>262.23891005952061</v>
      </c>
      <c r="DC172" s="309">
        <f t="shared" si="353"/>
        <v>1</v>
      </c>
      <c r="DD172" s="309">
        <f t="shared" si="354"/>
        <v>260</v>
      </c>
      <c r="DE172" s="308">
        <f t="shared" si="355"/>
        <v>6.5000000000000002E-2</v>
      </c>
      <c r="DF172" s="313">
        <f t="shared" si="370"/>
        <v>171</v>
      </c>
      <c r="DG172" s="313">
        <f t="shared" si="359"/>
        <v>260</v>
      </c>
      <c r="DH172" s="313">
        <f t="shared" si="360"/>
        <v>260</v>
      </c>
      <c r="DI172" s="313">
        <f t="shared" si="361"/>
        <v>0</v>
      </c>
      <c r="DJ172" s="313">
        <f t="shared" si="362"/>
        <v>0</v>
      </c>
      <c r="DK172" s="313">
        <f t="shared" si="371"/>
        <v>39544.517269621676</v>
      </c>
      <c r="DL172" s="313">
        <f t="shared" si="363"/>
        <v>111540</v>
      </c>
      <c r="DM172" s="314">
        <f t="shared" si="364"/>
        <v>18.90570280914724</v>
      </c>
      <c r="DN172" s="312">
        <f t="shared" si="365"/>
        <v>0.11055966555056865</v>
      </c>
      <c r="DO172" s="312">
        <f t="shared" si="372"/>
        <v>1</v>
      </c>
      <c r="DP172" s="315">
        <f t="shared" si="356"/>
        <v>6.5000000000000002E-2</v>
      </c>
      <c r="DQ172" s="316">
        <f t="shared" si="366"/>
        <v>0.25</v>
      </c>
      <c r="DR172" s="316">
        <f t="shared" si="367"/>
        <v>46.570754522942522</v>
      </c>
      <c r="DS172" s="314">
        <f t="shared" si="368"/>
        <v>3.6718322851256127</v>
      </c>
      <c r="DT172" s="316">
        <f t="shared" si="369"/>
        <v>46.570754522942522</v>
      </c>
      <c r="DU172" s="314">
        <f t="shared" si="357"/>
        <v>3.6718322851256127</v>
      </c>
      <c r="DV172" s="316">
        <f t="shared" si="373"/>
        <v>107.25</v>
      </c>
      <c r="DW172" s="310">
        <f t="shared" si="358"/>
        <v>4.0093240093240095</v>
      </c>
      <c r="FB172" s="307"/>
      <c r="FC172" s="307"/>
      <c r="FF172" s="307"/>
      <c r="FG172" s="307"/>
      <c r="FH172" s="306"/>
      <c r="FJ172" s="307"/>
      <c r="FK172" s="307"/>
      <c r="FL172" s="306"/>
      <c r="FM172" s="307"/>
      <c r="FN172" s="306"/>
      <c r="FO172" s="307"/>
      <c r="FP172" s="306"/>
    </row>
    <row r="173" spans="29:172">
      <c r="AC173" s="156"/>
      <c r="AI173" s="190">
        <v>354</v>
      </c>
      <c r="AJ173" s="185">
        <v>148</v>
      </c>
      <c r="AK173" s="183">
        <f t="shared" si="374"/>
        <v>354</v>
      </c>
      <c r="AO173" s="182">
        <v>5.04E-2</v>
      </c>
      <c r="AP173" s="185">
        <v>148</v>
      </c>
      <c r="AQ173" s="184">
        <f t="shared" si="375"/>
        <v>5.04E-2</v>
      </c>
      <c r="AR173" s="190">
        <v>354</v>
      </c>
      <c r="AS173" s="185">
        <v>148</v>
      </c>
      <c r="AT173" s="183">
        <f t="shared" si="376"/>
        <v>354</v>
      </c>
      <c r="AX173" s="182">
        <v>5.04E-2</v>
      </c>
      <c r="AY173" s="185">
        <v>148</v>
      </c>
      <c r="AZ173" s="184">
        <f t="shared" si="377"/>
        <v>5.04E-2</v>
      </c>
      <c r="BA173" s="190">
        <v>354</v>
      </c>
      <c r="BB173" s="185">
        <v>148</v>
      </c>
      <c r="BC173" s="183">
        <f t="shared" si="378"/>
        <v>354</v>
      </c>
      <c r="BG173" s="182">
        <v>5.04E-2</v>
      </c>
      <c r="BH173" s="185">
        <v>148</v>
      </c>
      <c r="BI173" s="184">
        <f t="shared" si="379"/>
        <v>5.04E-2</v>
      </c>
      <c r="CW173" s="364"/>
      <c r="CX173" s="309"/>
      <c r="CY173" s="313"/>
      <c r="DA173" s="309">
        <v>172</v>
      </c>
      <c r="DB173" s="313">
        <f t="shared" si="352"/>
        <v>262.60288029378682</v>
      </c>
      <c r="DC173" s="309">
        <f t="shared" si="353"/>
        <v>1</v>
      </c>
      <c r="DD173" s="309">
        <f t="shared" si="354"/>
        <v>260</v>
      </c>
      <c r="DE173" s="308">
        <f t="shared" si="355"/>
        <v>6.5000000000000002E-2</v>
      </c>
      <c r="DF173" s="313">
        <f t="shared" si="370"/>
        <v>172</v>
      </c>
      <c r="DG173" s="313">
        <f t="shared" si="359"/>
        <v>260</v>
      </c>
      <c r="DH173" s="313">
        <f t="shared" si="360"/>
        <v>260</v>
      </c>
      <c r="DI173" s="313">
        <f t="shared" si="361"/>
        <v>0</v>
      </c>
      <c r="DJ173" s="313">
        <f t="shared" si="362"/>
        <v>0</v>
      </c>
      <c r="DK173" s="313">
        <f t="shared" si="371"/>
        <v>39804.517269621676</v>
      </c>
      <c r="DL173" s="313">
        <f t="shared" si="363"/>
        <v>111280</v>
      </c>
      <c r="DM173" s="314">
        <f t="shared" si="364"/>
        <v>18.90570280914724</v>
      </c>
      <c r="DN173" s="312">
        <f t="shared" si="365"/>
        <v>0.10991687679736767</v>
      </c>
      <c r="DO173" s="312">
        <f t="shared" si="372"/>
        <v>1</v>
      </c>
      <c r="DP173" s="315">
        <f t="shared" si="356"/>
        <v>6.5000000000000002E-2</v>
      </c>
      <c r="DQ173" s="316">
        <f t="shared" si="366"/>
        <v>0.25</v>
      </c>
      <c r="DR173" s="316">
        <f t="shared" si="367"/>
        <v>46.820754522942522</v>
      </c>
      <c r="DS173" s="314">
        <f t="shared" si="368"/>
        <v>3.6735845407130014</v>
      </c>
      <c r="DT173" s="316">
        <f t="shared" si="369"/>
        <v>46.820754522942522</v>
      </c>
      <c r="DU173" s="314">
        <f t="shared" si="357"/>
        <v>3.6735845407130014</v>
      </c>
      <c r="DV173" s="316">
        <f t="shared" si="373"/>
        <v>107</v>
      </c>
      <c r="DW173" s="310">
        <f t="shared" si="358"/>
        <v>4.009345794392523</v>
      </c>
      <c r="FB173" s="307"/>
      <c r="FC173" s="307"/>
      <c r="FF173" s="307"/>
      <c r="FG173" s="307"/>
      <c r="FH173" s="306"/>
      <c r="FJ173" s="307"/>
      <c r="FK173" s="307"/>
      <c r="FL173" s="306"/>
      <c r="FM173" s="307"/>
      <c r="FN173" s="306"/>
      <c r="FO173" s="307"/>
      <c r="FP173" s="306"/>
    </row>
    <row r="174" spans="29:172">
      <c r="AC174" s="156"/>
      <c r="AI174" s="190">
        <v>353</v>
      </c>
      <c r="AJ174" s="185">
        <v>149</v>
      </c>
      <c r="AK174" s="183">
        <f t="shared" si="374"/>
        <v>353</v>
      </c>
      <c r="AO174" s="182">
        <v>5.0299999999999997E-2</v>
      </c>
      <c r="AP174" s="185">
        <v>149</v>
      </c>
      <c r="AQ174" s="184">
        <f t="shared" si="375"/>
        <v>5.0299999999999997E-2</v>
      </c>
      <c r="AR174" s="190">
        <v>353</v>
      </c>
      <c r="AS174" s="185">
        <v>149</v>
      </c>
      <c r="AT174" s="183">
        <f t="shared" si="376"/>
        <v>353</v>
      </c>
      <c r="AX174" s="182">
        <v>5.0299999999999997E-2</v>
      </c>
      <c r="AY174" s="185">
        <v>149</v>
      </c>
      <c r="AZ174" s="184">
        <f t="shared" si="377"/>
        <v>5.0299999999999997E-2</v>
      </c>
      <c r="BA174" s="190">
        <v>353</v>
      </c>
      <c r="BB174" s="185">
        <v>149</v>
      </c>
      <c r="BC174" s="183">
        <f t="shared" si="378"/>
        <v>353</v>
      </c>
      <c r="BG174" s="182">
        <v>5.0299999999999997E-2</v>
      </c>
      <c r="BH174" s="185">
        <v>149</v>
      </c>
      <c r="BI174" s="184">
        <f t="shared" si="379"/>
        <v>5.0299999999999997E-2</v>
      </c>
      <c r="CW174" s="364"/>
      <c r="CX174" s="309"/>
      <c r="CY174" s="313"/>
      <c r="DA174" s="309">
        <v>173</v>
      </c>
      <c r="DB174" s="313">
        <f t="shared" si="352"/>
        <v>262.96685052805299</v>
      </c>
      <c r="DC174" s="309">
        <f t="shared" si="353"/>
        <v>1</v>
      </c>
      <c r="DD174" s="309">
        <f t="shared" si="354"/>
        <v>260</v>
      </c>
      <c r="DE174" s="308">
        <f t="shared" si="355"/>
        <v>6.5000000000000002E-2</v>
      </c>
      <c r="DF174" s="313">
        <f t="shared" si="370"/>
        <v>173</v>
      </c>
      <c r="DG174" s="313">
        <f t="shared" si="359"/>
        <v>260</v>
      </c>
      <c r="DH174" s="313">
        <f t="shared" si="360"/>
        <v>260</v>
      </c>
      <c r="DI174" s="313">
        <f t="shared" si="361"/>
        <v>0</v>
      </c>
      <c r="DJ174" s="313">
        <f t="shared" si="362"/>
        <v>0</v>
      </c>
      <c r="DK174" s="313">
        <f t="shared" si="371"/>
        <v>40064.517269621676</v>
      </c>
      <c r="DL174" s="313">
        <f t="shared" si="363"/>
        <v>111020</v>
      </c>
      <c r="DM174" s="314">
        <f t="shared" si="364"/>
        <v>18.90570280914724</v>
      </c>
      <c r="DN174" s="312">
        <f t="shared" si="365"/>
        <v>0.10928151912801873</v>
      </c>
      <c r="DO174" s="312">
        <f t="shared" si="372"/>
        <v>1</v>
      </c>
      <c r="DP174" s="315">
        <f t="shared" si="356"/>
        <v>6.5000000000000002E-2</v>
      </c>
      <c r="DQ174" s="316">
        <f t="shared" si="366"/>
        <v>0.25</v>
      </c>
      <c r="DR174" s="316">
        <f t="shared" si="367"/>
        <v>47.070754522942522</v>
      </c>
      <c r="DS174" s="314">
        <f t="shared" si="368"/>
        <v>3.6753181833037951</v>
      </c>
      <c r="DT174" s="316">
        <f t="shared" si="369"/>
        <v>47.070754522942522</v>
      </c>
      <c r="DU174" s="314">
        <f t="shared" si="357"/>
        <v>3.6753181833037951</v>
      </c>
      <c r="DV174" s="316">
        <f t="shared" si="373"/>
        <v>106.75</v>
      </c>
      <c r="DW174" s="310">
        <f t="shared" si="358"/>
        <v>4.0093676814988291</v>
      </c>
      <c r="FB174" s="307"/>
      <c r="FC174" s="307"/>
      <c r="FF174" s="307"/>
      <c r="FG174" s="307"/>
      <c r="FH174" s="306"/>
      <c r="FJ174" s="307"/>
      <c r="FK174" s="307"/>
      <c r="FL174" s="306"/>
      <c r="FM174" s="307"/>
      <c r="FN174" s="306"/>
      <c r="FO174" s="307"/>
      <c r="FP174" s="306"/>
    </row>
    <row r="175" spans="29:172">
      <c r="AC175" s="156"/>
      <c r="AI175" s="190">
        <v>352</v>
      </c>
      <c r="AJ175" s="185">
        <v>150</v>
      </c>
      <c r="AK175" s="183">
        <f t="shared" si="374"/>
        <v>352</v>
      </c>
      <c r="AO175" s="182">
        <v>5.0200000000000002E-2</v>
      </c>
      <c r="AP175" s="185">
        <v>150</v>
      </c>
      <c r="AQ175" s="184">
        <f t="shared" si="375"/>
        <v>5.0200000000000002E-2</v>
      </c>
      <c r="AR175" s="190">
        <v>352</v>
      </c>
      <c r="AS175" s="185">
        <v>150</v>
      </c>
      <c r="AT175" s="183">
        <f t="shared" si="376"/>
        <v>352</v>
      </c>
      <c r="AX175" s="182">
        <v>5.0200000000000002E-2</v>
      </c>
      <c r="AY175" s="185">
        <v>150</v>
      </c>
      <c r="AZ175" s="184">
        <f t="shared" si="377"/>
        <v>5.0200000000000002E-2</v>
      </c>
      <c r="BA175" s="190">
        <v>352</v>
      </c>
      <c r="BB175" s="185">
        <v>150</v>
      </c>
      <c r="BC175" s="183">
        <f t="shared" si="378"/>
        <v>352</v>
      </c>
      <c r="BG175" s="182">
        <v>5.0200000000000002E-2</v>
      </c>
      <c r="BH175" s="185">
        <v>150</v>
      </c>
      <c r="BI175" s="184">
        <f t="shared" si="379"/>
        <v>5.0200000000000002E-2</v>
      </c>
      <c r="CW175" s="364"/>
      <c r="CX175" s="316"/>
      <c r="CY175" s="316"/>
      <c r="DA175" s="309">
        <v>174</v>
      </c>
      <c r="DB175" s="313">
        <f t="shared" si="352"/>
        <v>263.33082076231921</v>
      </c>
      <c r="DC175" s="309">
        <f t="shared" si="353"/>
        <v>1</v>
      </c>
      <c r="DD175" s="309">
        <f t="shared" si="354"/>
        <v>260</v>
      </c>
      <c r="DE175" s="308">
        <f t="shared" si="355"/>
        <v>6.5000000000000002E-2</v>
      </c>
      <c r="DF175" s="313">
        <f t="shared" si="370"/>
        <v>174</v>
      </c>
      <c r="DG175" s="313">
        <f t="shared" si="359"/>
        <v>260</v>
      </c>
      <c r="DH175" s="313">
        <f t="shared" si="360"/>
        <v>260</v>
      </c>
      <c r="DI175" s="313">
        <f t="shared" si="361"/>
        <v>0</v>
      </c>
      <c r="DJ175" s="313">
        <f t="shared" si="362"/>
        <v>0</v>
      </c>
      <c r="DK175" s="313">
        <f t="shared" si="371"/>
        <v>40324.517269621676</v>
      </c>
      <c r="DL175" s="313">
        <f t="shared" si="363"/>
        <v>110760</v>
      </c>
      <c r="DM175" s="314">
        <f t="shared" si="364"/>
        <v>18.90570280914724</v>
      </c>
      <c r="DN175" s="312">
        <f t="shared" si="365"/>
        <v>0.10865346442038644</v>
      </c>
      <c r="DO175" s="312">
        <f t="shared" si="372"/>
        <v>1</v>
      </c>
      <c r="DP175" s="315">
        <f t="shared" si="356"/>
        <v>6.5000000000000002E-2</v>
      </c>
      <c r="DQ175" s="316">
        <f t="shared" si="366"/>
        <v>0.25</v>
      </c>
      <c r="DR175" s="316">
        <f t="shared" si="367"/>
        <v>47.320754522942522</v>
      </c>
      <c r="DS175" s="314">
        <f t="shared" si="368"/>
        <v>3.6770335079006311</v>
      </c>
      <c r="DT175" s="316">
        <f t="shared" si="369"/>
        <v>47.320754522942522</v>
      </c>
      <c r="DU175" s="314">
        <f t="shared" si="357"/>
        <v>3.6770335079006311</v>
      </c>
      <c r="DV175" s="316">
        <f t="shared" si="373"/>
        <v>106.5</v>
      </c>
      <c r="DW175" s="310">
        <f t="shared" si="358"/>
        <v>4.009389671361502</v>
      </c>
      <c r="FB175" s="307"/>
      <c r="FC175" s="307"/>
      <c r="FF175" s="307"/>
      <c r="FG175" s="307"/>
      <c r="FH175" s="306"/>
      <c r="FJ175" s="307"/>
      <c r="FK175" s="307"/>
      <c r="FL175" s="306"/>
      <c r="FM175" s="307"/>
      <c r="FN175" s="306"/>
      <c r="FO175" s="307"/>
      <c r="FP175" s="306"/>
    </row>
    <row r="176" spans="29:172">
      <c r="AC176" s="156"/>
      <c r="AI176" s="190">
        <v>351</v>
      </c>
      <c r="AJ176" s="185">
        <v>151</v>
      </c>
      <c r="AK176" s="183">
        <f t="shared" si="374"/>
        <v>351</v>
      </c>
      <c r="AO176" s="182">
        <v>5.0099999999999999E-2</v>
      </c>
      <c r="AP176" s="185">
        <v>151</v>
      </c>
      <c r="AQ176" s="184">
        <f t="shared" si="375"/>
        <v>5.0099999999999999E-2</v>
      </c>
      <c r="AR176" s="190">
        <v>351</v>
      </c>
      <c r="AS176" s="185">
        <v>151</v>
      </c>
      <c r="AT176" s="183">
        <f t="shared" si="376"/>
        <v>351</v>
      </c>
      <c r="AX176" s="182">
        <v>5.0099999999999999E-2</v>
      </c>
      <c r="AY176" s="185">
        <v>151</v>
      </c>
      <c r="AZ176" s="184">
        <f t="shared" si="377"/>
        <v>5.0099999999999999E-2</v>
      </c>
      <c r="BA176" s="190">
        <v>351</v>
      </c>
      <c r="BB176" s="185">
        <v>151</v>
      </c>
      <c r="BC176" s="183">
        <f t="shared" si="378"/>
        <v>351</v>
      </c>
      <c r="BG176" s="182">
        <v>5.0099999999999999E-2</v>
      </c>
      <c r="BH176" s="185">
        <v>151</v>
      </c>
      <c r="BI176" s="184">
        <f t="shared" si="379"/>
        <v>5.0099999999999999E-2</v>
      </c>
      <c r="CW176" s="364"/>
      <c r="CX176" s="316"/>
      <c r="CY176" s="316"/>
      <c r="DA176" s="309">
        <v>175</v>
      </c>
      <c r="DB176" s="313">
        <f t="shared" si="352"/>
        <v>263.69479099658543</v>
      </c>
      <c r="DC176" s="309">
        <f t="shared" si="353"/>
        <v>1</v>
      </c>
      <c r="DD176" s="309">
        <f t="shared" si="354"/>
        <v>260</v>
      </c>
      <c r="DE176" s="308">
        <f t="shared" si="355"/>
        <v>6.5000000000000002E-2</v>
      </c>
      <c r="DF176" s="313">
        <f t="shared" si="370"/>
        <v>175</v>
      </c>
      <c r="DG176" s="313">
        <f t="shared" si="359"/>
        <v>260</v>
      </c>
      <c r="DH176" s="313">
        <f t="shared" si="360"/>
        <v>260</v>
      </c>
      <c r="DI176" s="313">
        <f t="shared" si="361"/>
        <v>0</v>
      </c>
      <c r="DJ176" s="313">
        <f t="shared" si="362"/>
        <v>0</v>
      </c>
      <c r="DK176" s="313">
        <f t="shared" si="371"/>
        <v>40584.517269621676</v>
      </c>
      <c r="DL176" s="313">
        <f t="shared" si="363"/>
        <v>110500</v>
      </c>
      <c r="DM176" s="314">
        <f t="shared" si="364"/>
        <v>18.90570280914724</v>
      </c>
      <c r="DN176" s="312">
        <f t="shared" si="365"/>
        <v>0.10803258748084137</v>
      </c>
      <c r="DO176" s="312">
        <f t="shared" si="372"/>
        <v>1</v>
      </c>
      <c r="DP176" s="315">
        <f t="shared" si="356"/>
        <v>6.5000000000000002E-2</v>
      </c>
      <c r="DQ176" s="316">
        <f t="shared" si="366"/>
        <v>0.25</v>
      </c>
      <c r="DR176" s="316">
        <f t="shared" si="367"/>
        <v>47.570754522942522</v>
      </c>
      <c r="DS176" s="314">
        <f t="shared" si="368"/>
        <v>3.6787308033048043</v>
      </c>
      <c r="DT176" s="316">
        <f t="shared" si="369"/>
        <v>47.570754522942522</v>
      </c>
      <c r="DU176" s="314">
        <f t="shared" si="357"/>
        <v>3.6787308033048043</v>
      </c>
      <c r="DV176" s="316">
        <f t="shared" si="373"/>
        <v>106.25</v>
      </c>
      <c r="DW176" s="310">
        <f t="shared" si="358"/>
        <v>4.0094117647058827</v>
      </c>
      <c r="FB176" s="307"/>
      <c r="FC176" s="307"/>
      <c r="FF176" s="307"/>
      <c r="FG176" s="307"/>
      <c r="FH176" s="306"/>
      <c r="FJ176" s="307"/>
      <c r="FK176" s="307"/>
      <c r="FL176" s="306"/>
      <c r="FM176" s="307"/>
      <c r="FN176" s="306"/>
      <c r="FO176" s="307"/>
      <c r="FP176" s="306"/>
    </row>
    <row r="177" spans="29:172">
      <c r="AC177" s="156"/>
      <c r="AI177" s="190">
        <v>350</v>
      </c>
      <c r="AJ177" s="185">
        <v>152</v>
      </c>
      <c r="AK177" s="183">
        <f t="shared" si="374"/>
        <v>350</v>
      </c>
      <c r="AO177" s="182">
        <v>0.05</v>
      </c>
      <c r="AP177" s="185">
        <v>152</v>
      </c>
      <c r="AQ177" s="184">
        <f t="shared" si="375"/>
        <v>0.05</v>
      </c>
      <c r="AR177" s="190">
        <v>350</v>
      </c>
      <c r="AS177" s="185">
        <v>152</v>
      </c>
      <c r="AT177" s="183">
        <f t="shared" si="376"/>
        <v>350</v>
      </c>
      <c r="AX177" s="182">
        <v>0.05</v>
      </c>
      <c r="AY177" s="185">
        <v>152</v>
      </c>
      <c r="AZ177" s="184">
        <f t="shared" si="377"/>
        <v>0.05</v>
      </c>
      <c r="BA177" s="190">
        <v>350</v>
      </c>
      <c r="BB177" s="185">
        <v>152</v>
      </c>
      <c r="BC177" s="183">
        <f t="shared" si="378"/>
        <v>350</v>
      </c>
      <c r="BG177" s="182">
        <v>0.05</v>
      </c>
      <c r="BH177" s="185">
        <v>152</v>
      </c>
      <c r="BI177" s="184">
        <f t="shared" si="379"/>
        <v>0.05</v>
      </c>
      <c r="CW177" s="364"/>
      <c r="CX177" s="316"/>
      <c r="CY177" s="316"/>
      <c r="DA177" s="309">
        <v>176</v>
      </c>
      <c r="DB177" s="313">
        <f t="shared" si="352"/>
        <v>264.05876123085159</v>
      </c>
      <c r="DC177" s="309">
        <f t="shared" si="353"/>
        <v>1</v>
      </c>
      <c r="DD177" s="309">
        <f t="shared" si="354"/>
        <v>260</v>
      </c>
      <c r="DE177" s="308">
        <f t="shared" si="355"/>
        <v>6.5000000000000002E-2</v>
      </c>
      <c r="DF177" s="313">
        <f t="shared" si="370"/>
        <v>176</v>
      </c>
      <c r="DG177" s="313">
        <f t="shared" si="359"/>
        <v>260</v>
      </c>
      <c r="DH177" s="313">
        <f t="shared" si="360"/>
        <v>260</v>
      </c>
      <c r="DI177" s="313">
        <f t="shared" si="361"/>
        <v>0</v>
      </c>
      <c r="DJ177" s="313">
        <f t="shared" si="362"/>
        <v>0</v>
      </c>
      <c r="DK177" s="313">
        <f t="shared" si="371"/>
        <v>40844.517269621676</v>
      </c>
      <c r="DL177" s="313">
        <f t="shared" si="363"/>
        <v>110240</v>
      </c>
      <c r="DM177" s="314">
        <f t="shared" si="364"/>
        <v>18.90570280914724</v>
      </c>
      <c r="DN177" s="312">
        <f t="shared" si="365"/>
        <v>0.10741876596106387</v>
      </c>
      <c r="DO177" s="312">
        <f t="shared" si="372"/>
        <v>1</v>
      </c>
      <c r="DP177" s="315">
        <f t="shared" si="356"/>
        <v>6.5000000000000002E-2</v>
      </c>
      <c r="DQ177" s="316">
        <f t="shared" si="366"/>
        <v>0.25</v>
      </c>
      <c r="DR177" s="316">
        <f t="shared" si="367"/>
        <v>47.820754522942522</v>
      </c>
      <c r="DS177" s="314">
        <f t="shared" si="368"/>
        <v>3.6804103522783627</v>
      </c>
      <c r="DT177" s="316">
        <f t="shared" si="369"/>
        <v>47.820754522942522</v>
      </c>
      <c r="DU177" s="314">
        <f t="shared" si="357"/>
        <v>3.6804103522783627</v>
      </c>
      <c r="DV177" s="316">
        <f t="shared" si="373"/>
        <v>106</v>
      </c>
      <c r="DW177" s="310">
        <f t="shared" si="358"/>
        <v>4.0094339622641506</v>
      </c>
      <c r="FB177" s="307"/>
      <c r="FC177" s="307"/>
      <c r="FF177" s="307"/>
      <c r="FG177" s="307"/>
      <c r="FH177" s="306"/>
      <c r="FJ177" s="307"/>
      <c r="FK177" s="307"/>
      <c r="FL177" s="306"/>
      <c r="FM177" s="307"/>
      <c r="FN177" s="306"/>
      <c r="FO177" s="307"/>
      <c r="FP177" s="306"/>
    </row>
    <row r="178" spans="29:172">
      <c r="AC178" s="156"/>
      <c r="AI178" s="190">
        <v>349</v>
      </c>
      <c r="AJ178" s="185">
        <v>153</v>
      </c>
      <c r="AK178" s="183">
        <f t="shared" si="374"/>
        <v>349</v>
      </c>
      <c r="AO178" s="182">
        <v>4.99E-2</v>
      </c>
      <c r="AP178" s="185">
        <v>153</v>
      </c>
      <c r="AQ178" s="184">
        <f t="shared" si="375"/>
        <v>4.99E-2</v>
      </c>
      <c r="AR178" s="190">
        <v>349</v>
      </c>
      <c r="AS178" s="185">
        <v>153</v>
      </c>
      <c r="AT178" s="183">
        <f t="shared" si="376"/>
        <v>349</v>
      </c>
      <c r="AX178" s="182">
        <v>4.99E-2</v>
      </c>
      <c r="AY178" s="185">
        <v>153</v>
      </c>
      <c r="AZ178" s="184">
        <f t="shared" si="377"/>
        <v>4.99E-2</v>
      </c>
      <c r="BA178" s="190">
        <v>349</v>
      </c>
      <c r="BB178" s="185">
        <v>153</v>
      </c>
      <c r="BC178" s="183">
        <f t="shared" si="378"/>
        <v>349</v>
      </c>
      <c r="BG178" s="182">
        <v>4.99E-2</v>
      </c>
      <c r="BH178" s="185">
        <v>153</v>
      </c>
      <c r="BI178" s="184">
        <f t="shared" si="379"/>
        <v>4.99E-2</v>
      </c>
      <c r="CW178" s="364"/>
      <c r="CX178" s="316"/>
      <c r="CY178" s="316"/>
      <c r="DA178" s="309">
        <v>177</v>
      </c>
      <c r="DB178" s="313">
        <f t="shared" si="352"/>
        <v>264.42273146511781</v>
      </c>
      <c r="DC178" s="309">
        <f t="shared" si="353"/>
        <v>1</v>
      </c>
      <c r="DD178" s="309">
        <f t="shared" si="354"/>
        <v>260</v>
      </c>
      <c r="DE178" s="308">
        <f t="shared" si="355"/>
        <v>6.5000000000000002E-2</v>
      </c>
      <c r="DF178" s="313">
        <f t="shared" si="370"/>
        <v>177</v>
      </c>
      <c r="DG178" s="313">
        <f t="shared" si="359"/>
        <v>260</v>
      </c>
      <c r="DH178" s="313">
        <f t="shared" si="360"/>
        <v>260</v>
      </c>
      <c r="DI178" s="313">
        <f t="shared" si="361"/>
        <v>0</v>
      </c>
      <c r="DJ178" s="313">
        <f t="shared" si="362"/>
        <v>0</v>
      </c>
      <c r="DK178" s="313">
        <f t="shared" si="371"/>
        <v>41104.517269621676</v>
      </c>
      <c r="DL178" s="313">
        <f t="shared" si="363"/>
        <v>109980</v>
      </c>
      <c r="DM178" s="314">
        <f t="shared" si="364"/>
        <v>18.90570280914724</v>
      </c>
      <c r="DN178" s="312">
        <f t="shared" si="365"/>
        <v>0.10681188027766803</v>
      </c>
      <c r="DO178" s="312">
        <f t="shared" si="372"/>
        <v>1</v>
      </c>
      <c r="DP178" s="315">
        <f t="shared" si="356"/>
        <v>6.5000000000000002E-2</v>
      </c>
      <c r="DQ178" s="316">
        <f t="shared" si="366"/>
        <v>0.25</v>
      </c>
      <c r="DR178" s="316">
        <f t="shared" si="367"/>
        <v>48.070754522942522</v>
      </c>
      <c r="DS178" s="314">
        <f t="shared" si="368"/>
        <v>3.6820724317011493</v>
      </c>
      <c r="DT178" s="316">
        <f t="shared" si="369"/>
        <v>48.070754522942522</v>
      </c>
      <c r="DU178" s="314">
        <f t="shared" si="357"/>
        <v>3.6820724317011493</v>
      </c>
      <c r="DV178" s="316">
        <f t="shared" si="373"/>
        <v>105.75</v>
      </c>
      <c r="DW178" s="310">
        <f t="shared" si="358"/>
        <v>4.0094562647754133</v>
      </c>
      <c r="FB178" s="307"/>
      <c r="FC178" s="307"/>
      <c r="FF178" s="307"/>
      <c r="FG178" s="307"/>
      <c r="FH178" s="306"/>
      <c r="FJ178" s="307"/>
      <c r="FK178" s="307"/>
      <c r="FL178" s="306"/>
      <c r="FM178" s="307"/>
      <c r="FN178" s="306"/>
      <c r="FO178" s="307"/>
      <c r="FP178" s="306"/>
    </row>
    <row r="179" spans="29:172">
      <c r="AC179" s="156"/>
      <c r="AI179" s="190">
        <v>348</v>
      </c>
      <c r="AJ179" s="185">
        <v>154</v>
      </c>
      <c r="AK179" s="183">
        <f t="shared" si="374"/>
        <v>348</v>
      </c>
      <c r="AO179" s="182">
        <v>4.9799999999999997E-2</v>
      </c>
      <c r="AP179" s="185">
        <v>154</v>
      </c>
      <c r="AQ179" s="184">
        <f t="shared" si="375"/>
        <v>4.9799999999999997E-2</v>
      </c>
      <c r="AR179" s="190">
        <v>348</v>
      </c>
      <c r="AS179" s="185">
        <v>154</v>
      </c>
      <c r="AT179" s="183">
        <f t="shared" si="376"/>
        <v>348</v>
      </c>
      <c r="AX179" s="182">
        <v>4.9799999999999997E-2</v>
      </c>
      <c r="AY179" s="185">
        <v>154</v>
      </c>
      <c r="AZ179" s="184">
        <f t="shared" si="377"/>
        <v>4.9799999999999997E-2</v>
      </c>
      <c r="BA179" s="190">
        <v>348</v>
      </c>
      <c r="BB179" s="185">
        <v>154</v>
      </c>
      <c r="BC179" s="183">
        <f t="shared" si="378"/>
        <v>348</v>
      </c>
      <c r="BG179" s="182">
        <v>4.9799999999999997E-2</v>
      </c>
      <c r="BH179" s="185">
        <v>154</v>
      </c>
      <c r="BI179" s="184">
        <f t="shared" si="379"/>
        <v>4.9799999999999997E-2</v>
      </c>
      <c r="CW179" s="364"/>
      <c r="CX179" s="316"/>
      <c r="CY179" s="316"/>
      <c r="DA179" s="309">
        <v>178</v>
      </c>
      <c r="DB179" s="313">
        <f t="shared" si="352"/>
        <v>264.78670169938403</v>
      </c>
      <c r="DC179" s="309">
        <f t="shared" si="353"/>
        <v>1</v>
      </c>
      <c r="DD179" s="309">
        <f t="shared" si="354"/>
        <v>260</v>
      </c>
      <c r="DE179" s="308">
        <f t="shared" si="355"/>
        <v>6.5000000000000002E-2</v>
      </c>
      <c r="DF179" s="313">
        <f t="shared" si="370"/>
        <v>178</v>
      </c>
      <c r="DG179" s="313">
        <f t="shared" si="359"/>
        <v>260</v>
      </c>
      <c r="DH179" s="313">
        <f t="shared" si="360"/>
        <v>260</v>
      </c>
      <c r="DI179" s="313">
        <f t="shared" si="361"/>
        <v>0</v>
      </c>
      <c r="DJ179" s="313">
        <f t="shared" si="362"/>
        <v>0</v>
      </c>
      <c r="DK179" s="313">
        <f t="shared" si="371"/>
        <v>41364.517269621676</v>
      </c>
      <c r="DL179" s="313">
        <f t="shared" si="363"/>
        <v>109720</v>
      </c>
      <c r="DM179" s="314">
        <f t="shared" si="364"/>
        <v>18.90570280914724</v>
      </c>
      <c r="DN179" s="312">
        <f t="shared" si="365"/>
        <v>0.10621181353453506</v>
      </c>
      <c r="DO179" s="312">
        <f t="shared" si="372"/>
        <v>1</v>
      </c>
      <c r="DP179" s="315">
        <f t="shared" si="356"/>
        <v>6.5000000000000002E-2</v>
      </c>
      <c r="DQ179" s="316">
        <f t="shared" si="366"/>
        <v>0.25</v>
      </c>
      <c r="DR179" s="316">
        <f t="shared" si="367"/>
        <v>48.320754522942522</v>
      </c>
      <c r="DS179" s="314">
        <f t="shared" si="368"/>
        <v>3.6837173127229672</v>
      </c>
      <c r="DT179" s="316">
        <f t="shared" si="369"/>
        <v>48.320754522942522</v>
      </c>
      <c r="DU179" s="314">
        <f t="shared" si="357"/>
        <v>3.6837173127229672</v>
      </c>
      <c r="DV179" s="316">
        <f t="shared" si="373"/>
        <v>105.5</v>
      </c>
      <c r="DW179" s="310">
        <f t="shared" si="358"/>
        <v>4.0094786729857823</v>
      </c>
      <c r="FB179" s="307"/>
      <c r="FC179" s="307"/>
      <c r="FF179" s="307"/>
      <c r="FG179" s="307"/>
      <c r="FH179" s="306"/>
      <c r="FJ179" s="307"/>
      <c r="FK179" s="307"/>
      <c r="FL179" s="306"/>
      <c r="FM179" s="307"/>
      <c r="FN179" s="306"/>
      <c r="FO179" s="307"/>
      <c r="FP179" s="306"/>
    </row>
    <row r="180" spans="29:172">
      <c r="AC180" s="156"/>
      <c r="AI180" s="190">
        <v>347</v>
      </c>
      <c r="AJ180" s="185">
        <v>155</v>
      </c>
      <c r="AK180" s="183">
        <f t="shared" si="374"/>
        <v>347</v>
      </c>
      <c r="AO180" s="182">
        <v>4.9700000000000001E-2</v>
      </c>
      <c r="AP180" s="185">
        <v>155</v>
      </c>
      <c r="AQ180" s="184">
        <f t="shared" si="375"/>
        <v>4.9700000000000001E-2</v>
      </c>
      <c r="AR180" s="190">
        <v>347</v>
      </c>
      <c r="AS180" s="185">
        <v>155</v>
      </c>
      <c r="AT180" s="183">
        <f t="shared" si="376"/>
        <v>347</v>
      </c>
      <c r="AX180" s="182">
        <v>4.9700000000000001E-2</v>
      </c>
      <c r="AY180" s="185">
        <v>155</v>
      </c>
      <c r="AZ180" s="184">
        <f t="shared" si="377"/>
        <v>4.9700000000000001E-2</v>
      </c>
      <c r="BA180" s="190">
        <v>347</v>
      </c>
      <c r="BB180" s="185">
        <v>155</v>
      </c>
      <c r="BC180" s="183">
        <f t="shared" si="378"/>
        <v>347</v>
      </c>
      <c r="BG180" s="182">
        <v>4.9700000000000001E-2</v>
      </c>
      <c r="BH180" s="185">
        <v>155</v>
      </c>
      <c r="BI180" s="184">
        <f t="shared" si="379"/>
        <v>4.9700000000000001E-2</v>
      </c>
      <c r="CW180" s="364"/>
      <c r="CX180" s="316"/>
      <c r="CY180" s="316"/>
      <c r="DA180" s="309">
        <v>179</v>
      </c>
      <c r="DB180" s="313">
        <f t="shared" si="352"/>
        <v>265.15067193365019</v>
      </c>
      <c r="DC180" s="309">
        <f t="shared" si="353"/>
        <v>1</v>
      </c>
      <c r="DD180" s="309">
        <f t="shared" si="354"/>
        <v>260</v>
      </c>
      <c r="DE180" s="308">
        <f t="shared" si="355"/>
        <v>6.5000000000000002E-2</v>
      </c>
      <c r="DF180" s="313">
        <f t="shared" si="370"/>
        <v>179</v>
      </c>
      <c r="DG180" s="313">
        <f t="shared" si="359"/>
        <v>260</v>
      </c>
      <c r="DH180" s="313">
        <f t="shared" si="360"/>
        <v>260</v>
      </c>
      <c r="DI180" s="313">
        <f t="shared" si="361"/>
        <v>0</v>
      </c>
      <c r="DJ180" s="313">
        <f t="shared" si="362"/>
        <v>0</v>
      </c>
      <c r="DK180" s="313">
        <f t="shared" si="371"/>
        <v>41624.517269621676</v>
      </c>
      <c r="DL180" s="313">
        <f t="shared" si="363"/>
        <v>109460</v>
      </c>
      <c r="DM180" s="314">
        <f t="shared" si="364"/>
        <v>18.90570280914724</v>
      </c>
      <c r="DN180" s="312">
        <f t="shared" si="365"/>
        <v>0.10561845144774994</v>
      </c>
      <c r="DO180" s="312">
        <f t="shared" si="372"/>
        <v>1</v>
      </c>
      <c r="DP180" s="315">
        <f t="shared" si="356"/>
        <v>6.5000000000000002E-2</v>
      </c>
      <c r="DQ180" s="316">
        <f t="shared" si="366"/>
        <v>0.25</v>
      </c>
      <c r="DR180" s="316">
        <f t="shared" si="367"/>
        <v>48.570754522942522</v>
      </c>
      <c r="DS180" s="314">
        <f t="shared" si="368"/>
        <v>3.6853452609110464</v>
      </c>
      <c r="DT180" s="316">
        <f t="shared" si="369"/>
        <v>48.570754522942522</v>
      </c>
      <c r="DU180" s="314">
        <f t="shared" si="357"/>
        <v>3.6853452609110464</v>
      </c>
      <c r="DV180" s="316">
        <f t="shared" si="373"/>
        <v>105.25</v>
      </c>
      <c r="DW180" s="310">
        <f t="shared" si="358"/>
        <v>4.0095011876484561</v>
      </c>
      <c r="FB180" s="307"/>
      <c r="FC180" s="307"/>
      <c r="FF180" s="307"/>
      <c r="FG180" s="307"/>
      <c r="FH180" s="306"/>
      <c r="FJ180" s="307"/>
      <c r="FK180" s="307"/>
      <c r="FL180" s="306"/>
      <c r="FM180" s="307"/>
      <c r="FN180" s="306"/>
      <c r="FO180" s="307"/>
      <c r="FP180" s="306"/>
    </row>
    <row r="181" spans="29:172">
      <c r="AC181" s="156"/>
      <c r="AI181" s="190">
        <v>346</v>
      </c>
      <c r="AJ181" s="185">
        <v>156</v>
      </c>
      <c r="AK181" s="183">
        <f t="shared" si="374"/>
        <v>346</v>
      </c>
      <c r="AO181" s="182">
        <v>4.9599999999999998E-2</v>
      </c>
      <c r="AP181" s="185">
        <v>156</v>
      </c>
      <c r="AQ181" s="184">
        <f t="shared" si="375"/>
        <v>4.9599999999999998E-2</v>
      </c>
      <c r="AR181" s="190">
        <v>346</v>
      </c>
      <c r="AS181" s="185">
        <v>156</v>
      </c>
      <c r="AT181" s="183">
        <f t="shared" si="376"/>
        <v>346</v>
      </c>
      <c r="AX181" s="182">
        <v>4.9599999999999998E-2</v>
      </c>
      <c r="AY181" s="185">
        <v>156</v>
      </c>
      <c r="AZ181" s="184">
        <f t="shared" si="377"/>
        <v>4.9599999999999998E-2</v>
      </c>
      <c r="BA181" s="190">
        <v>346</v>
      </c>
      <c r="BB181" s="185">
        <v>156</v>
      </c>
      <c r="BC181" s="183">
        <f t="shared" si="378"/>
        <v>346</v>
      </c>
      <c r="BG181" s="182">
        <v>4.9599999999999998E-2</v>
      </c>
      <c r="BH181" s="185">
        <v>156</v>
      </c>
      <c r="BI181" s="184">
        <f t="shared" si="379"/>
        <v>4.9599999999999998E-2</v>
      </c>
      <c r="CW181" s="364"/>
      <c r="CX181" s="316"/>
      <c r="CY181" s="316"/>
      <c r="DA181" s="309">
        <v>180</v>
      </c>
      <c r="DB181" s="313">
        <f t="shared" si="352"/>
        <v>265.51464216791641</v>
      </c>
      <c r="DC181" s="309">
        <f t="shared" si="353"/>
        <v>1</v>
      </c>
      <c r="DD181" s="309">
        <f t="shared" si="354"/>
        <v>260</v>
      </c>
      <c r="DE181" s="308">
        <f t="shared" si="355"/>
        <v>6.5000000000000002E-2</v>
      </c>
      <c r="DF181" s="313">
        <f t="shared" si="370"/>
        <v>180</v>
      </c>
      <c r="DG181" s="313">
        <f t="shared" si="359"/>
        <v>260</v>
      </c>
      <c r="DH181" s="313">
        <f t="shared" si="360"/>
        <v>260</v>
      </c>
      <c r="DI181" s="313">
        <f t="shared" si="361"/>
        <v>0</v>
      </c>
      <c r="DJ181" s="313">
        <f t="shared" si="362"/>
        <v>0</v>
      </c>
      <c r="DK181" s="313">
        <f t="shared" si="371"/>
        <v>41884.517269621676</v>
      </c>
      <c r="DL181" s="313">
        <f t="shared" si="363"/>
        <v>109200</v>
      </c>
      <c r="DM181" s="314">
        <f t="shared" si="364"/>
        <v>18.90570280914724</v>
      </c>
      <c r="DN181" s="312">
        <f t="shared" si="365"/>
        <v>0.10503168227304022</v>
      </c>
      <c r="DO181" s="312">
        <f t="shared" si="372"/>
        <v>1</v>
      </c>
      <c r="DP181" s="315">
        <f t="shared" si="356"/>
        <v>6.5000000000000002E-2</v>
      </c>
      <c r="DQ181" s="316">
        <f t="shared" si="366"/>
        <v>0.25</v>
      </c>
      <c r="DR181" s="316">
        <f t="shared" si="367"/>
        <v>48.820754522942522</v>
      </c>
      <c r="DS181" s="314">
        <f t="shared" si="368"/>
        <v>3.6869565363929784</v>
      </c>
      <c r="DT181" s="316">
        <f t="shared" si="369"/>
        <v>48.820754522942522</v>
      </c>
      <c r="DU181" s="314">
        <f t="shared" si="357"/>
        <v>3.6869565363929784</v>
      </c>
      <c r="DV181" s="316">
        <f t="shared" si="373"/>
        <v>105</v>
      </c>
      <c r="DW181" s="310">
        <f t="shared" si="358"/>
        <v>4.0095238095238095</v>
      </c>
      <c r="FB181" s="307"/>
      <c r="FC181" s="307"/>
      <c r="FF181" s="307"/>
      <c r="FG181" s="307"/>
      <c r="FH181" s="306"/>
      <c r="FJ181" s="307"/>
      <c r="FK181" s="307"/>
      <c r="FL181" s="306"/>
      <c r="FM181" s="307"/>
      <c r="FN181" s="306"/>
      <c r="FO181" s="307"/>
      <c r="FP181" s="306"/>
    </row>
    <row r="182" spans="29:172">
      <c r="AC182" s="156"/>
      <c r="AI182" s="190">
        <v>345</v>
      </c>
      <c r="AJ182" s="185">
        <v>157</v>
      </c>
      <c r="AK182" s="183">
        <f t="shared" si="374"/>
        <v>345</v>
      </c>
      <c r="AO182" s="182">
        <v>4.9500000000000002E-2</v>
      </c>
      <c r="AP182" s="185">
        <v>157</v>
      </c>
      <c r="AQ182" s="184">
        <f t="shared" si="375"/>
        <v>4.9500000000000002E-2</v>
      </c>
      <c r="AR182" s="190">
        <v>345</v>
      </c>
      <c r="AS182" s="185">
        <v>157</v>
      </c>
      <c r="AT182" s="183">
        <f t="shared" si="376"/>
        <v>345</v>
      </c>
      <c r="AX182" s="182">
        <v>4.9500000000000002E-2</v>
      </c>
      <c r="AY182" s="185">
        <v>157</v>
      </c>
      <c r="AZ182" s="184">
        <f t="shared" si="377"/>
        <v>4.9500000000000002E-2</v>
      </c>
      <c r="BA182" s="190">
        <v>345</v>
      </c>
      <c r="BB182" s="185">
        <v>157</v>
      </c>
      <c r="BC182" s="183">
        <f t="shared" si="378"/>
        <v>345</v>
      </c>
      <c r="BG182" s="182">
        <v>4.9500000000000002E-2</v>
      </c>
      <c r="BH182" s="185">
        <v>157</v>
      </c>
      <c r="BI182" s="184">
        <f t="shared" si="379"/>
        <v>4.9500000000000002E-2</v>
      </c>
      <c r="CW182" s="364"/>
      <c r="CX182" s="316"/>
      <c r="CY182" s="316"/>
      <c r="DA182" s="309">
        <v>181</v>
      </c>
      <c r="DB182" s="313">
        <f t="shared" si="352"/>
        <v>265.87861240218263</v>
      </c>
      <c r="DC182" s="309">
        <f t="shared" si="353"/>
        <v>1</v>
      </c>
      <c r="DD182" s="309">
        <f t="shared" si="354"/>
        <v>260</v>
      </c>
      <c r="DE182" s="308">
        <f t="shared" si="355"/>
        <v>6.5000000000000002E-2</v>
      </c>
      <c r="DF182" s="313">
        <f t="shared" si="370"/>
        <v>181</v>
      </c>
      <c r="DG182" s="313">
        <f t="shared" si="359"/>
        <v>260</v>
      </c>
      <c r="DH182" s="313">
        <f t="shared" si="360"/>
        <v>260</v>
      </c>
      <c r="DI182" s="313">
        <f t="shared" si="361"/>
        <v>0</v>
      </c>
      <c r="DJ182" s="313">
        <f t="shared" si="362"/>
        <v>0</v>
      </c>
      <c r="DK182" s="313">
        <f t="shared" si="371"/>
        <v>42144.517269621676</v>
      </c>
      <c r="DL182" s="313">
        <f t="shared" si="363"/>
        <v>108940</v>
      </c>
      <c r="DM182" s="314">
        <f t="shared" si="364"/>
        <v>18.90570280914724</v>
      </c>
      <c r="DN182" s="312">
        <f t="shared" si="365"/>
        <v>0.10445139673562011</v>
      </c>
      <c r="DO182" s="312">
        <f t="shared" si="372"/>
        <v>1</v>
      </c>
      <c r="DP182" s="315">
        <f t="shared" si="356"/>
        <v>6.5000000000000002E-2</v>
      </c>
      <c r="DQ182" s="316">
        <f t="shared" si="366"/>
        <v>0.25</v>
      </c>
      <c r="DR182" s="316">
        <f t="shared" si="367"/>
        <v>49.070754522942522</v>
      </c>
      <c r="DS182" s="314">
        <f t="shared" si="368"/>
        <v>3.6885513939952834</v>
      </c>
      <c r="DT182" s="316">
        <f t="shared" si="369"/>
        <v>49.070754522942522</v>
      </c>
      <c r="DU182" s="314">
        <f t="shared" si="357"/>
        <v>3.6885513939952834</v>
      </c>
      <c r="DV182" s="316">
        <f t="shared" si="373"/>
        <v>104.75</v>
      </c>
      <c r="DW182" s="310">
        <f t="shared" si="358"/>
        <v>4.0095465393794747</v>
      </c>
      <c r="FB182" s="307"/>
      <c r="FC182" s="307"/>
      <c r="FF182" s="307"/>
      <c r="FG182" s="307"/>
      <c r="FH182" s="306"/>
      <c r="FJ182" s="307"/>
      <c r="FK182" s="307"/>
      <c r="FL182" s="306"/>
      <c r="FM182" s="307"/>
      <c r="FN182" s="306"/>
      <c r="FO182" s="307"/>
      <c r="FP182" s="306"/>
    </row>
    <row r="183" spans="29:172">
      <c r="AC183" s="156"/>
      <c r="AI183" s="190">
        <v>344</v>
      </c>
      <c r="AJ183" s="185">
        <v>158</v>
      </c>
      <c r="AK183" s="183">
        <f t="shared" si="374"/>
        <v>344</v>
      </c>
      <c r="AO183" s="182">
        <v>4.9399999999999999E-2</v>
      </c>
      <c r="AP183" s="185">
        <v>158</v>
      </c>
      <c r="AQ183" s="184">
        <f t="shared" si="375"/>
        <v>4.9399999999999999E-2</v>
      </c>
      <c r="AR183" s="190">
        <v>344</v>
      </c>
      <c r="AS183" s="185">
        <v>158</v>
      </c>
      <c r="AT183" s="183">
        <f t="shared" si="376"/>
        <v>344</v>
      </c>
      <c r="AX183" s="182">
        <v>4.9399999999999999E-2</v>
      </c>
      <c r="AY183" s="185">
        <v>158</v>
      </c>
      <c r="AZ183" s="184">
        <f t="shared" si="377"/>
        <v>4.9399999999999999E-2</v>
      </c>
      <c r="BA183" s="190">
        <v>344</v>
      </c>
      <c r="BB183" s="185">
        <v>158</v>
      </c>
      <c r="BC183" s="183">
        <f t="shared" si="378"/>
        <v>344</v>
      </c>
      <c r="BG183" s="182">
        <v>4.9399999999999999E-2</v>
      </c>
      <c r="BH183" s="185">
        <v>158</v>
      </c>
      <c r="BI183" s="184">
        <f t="shared" si="379"/>
        <v>4.9399999999999999E-2</v>
      </c>
      <c r="CW183" s="364"/>
      <c r="CX183" s="316"/>
      <c r="CY183" s="316"/>
      <c r="DA183" s="309">
        <v>182</v>
      </c>
      <c r="DB183" s="313">
        <f t="shared" si="352"/>
        <v>266.24258263644884</v>
      </c>
      <c r="DC183" s="309">
        <f t="shared" si="353"/>
        <v>1</v>
      </c>
      <c r="DD183" s="309">
        <f t="shared" si="354"/>
        <v>260</v>
      </c>
      <c r="DE183" s="308">
        <f t="shared" si="355"/>
        <v>6.5000000000000002E-2</v>
      </c>
      <c r="DF183" s="313">
        <f t="shared" si="370"/>
        <v>182</v>
      </c>
      <c r="DG183" s="313">
        <f t="shared" si="359"/>
        <v>260</v>
      </c>
      <c r="DH183" s="313">
        <f t="shared" si="360"/>
        <v>260</v>
      </c>
      <c r="DI183" s="313">
        <f t="shared" si="361"/>
        <v>0</v>
      </c>
      <c r="DJ183" s="313">
        <f t="shared" si="362"/>
        <v>0</v>
      </c>
      <c r="DK183" s="313">
        <f t="shared" si="371"/>
        <v>42404.517269621676</v>
      </c>
      <c r="DL183" s="313">
        <f t="shared" si="363"/>
        <v>108680</v>
      </c>
      <c r="DM183" s="314">
        <f t="shared" si="364"/>
        <v>18.90570280914724</v>
      </c>
      <c r="DN183" s="312">
        <f t="shared" si="365"/>
        <v>0.10387748796234747</v>
      </c>
      <c r="DO183" s="312">
        <f t="shared" si="372"/>
        <v>1</v>
      </c>
      <c r="DP183" s="315">
        <f t="shared" si="356"/>
        <v>6.5000000000000002E-2</v>
      </c>
      <c r="DQ183" s="316">
        <f t="shared" si="366"/>
        <v>0.25</v>
      </c>
      <c r="DR183" s="316">
        <f t="shared" si="367"/>
        <v>49.320754522942522</v>
      </c>
      <c r="DS183" s="314">
        <f t="shared" si="368"/>
        <v>3.6901300833777615</v>
      </c>
      <c r="DT183" s="316">
        <f t="shared" si="369"/>
        <v>49.320754522942522</v>
      </c>
      <c r="DU183" s="314">
        <f t="shared" si="357"/>
        <v>3.6901300833777615</v>
      </c>
      <c r="DV183" s="316">
        <f t="shared" si="373"/>
        <v>104.5</v>
      </c>
      <c r="DW183" s="310">
        <f t="shared" si="358"/>
        <v>4.0095693779904309</v>
      </c>
      <c r="FB183" s="307"/>
      <c r="FC183" s="307"/>
      <c r="FF183" s="307"/>
      <c r="FG183" s="307"/>
      <c r="FH183" s="306"/>
      <c r="FJ183" s="307"/>
      <c r="FK183" s="307"/>
      <c r="FL183" s="306"/>
      <c r="FM183" s="307"/>
      <c r="FN183" s="306"/>
      <c r="FO183" s="307"/>
      <c r="FP183" s="306"/>
    </row>
    <row r="184" spans="29:172">
      <c r="AC184" s="156"/>
      <c r="AI184" s="190">
        <v>343</v>
      </c>
      <c r="AJ184" s="185">
        <v>159</v>
      </c>
      <c r="AK184" s="183">
        <f t="shared" si="374"/>
        <v>343</v>
      </c>
      <c r="AO184" s="182">
        <v>4.9299999999999997E-2</v>
      </c>
      <c r="AP184" s="185">
        <v>159</v>
      </c>
      <c r="AQ184" s="184">
        <f t="shared" si="375"/>
        <v>4.9299999999999997E-2</v>
      </c>
      <c r="AR184" s="190">
        <v>343</v>
      </c>
      <c r="AS184" s="185">
        <v>159</v>
      </c>
      <c r="AT184" s="183">
        <f t="shared" si="376"/>
        <v>343</v>
      </c>
      <c r="AX184" s="182">
        <v>4.9299999999999997E-2</v>
      </c>
      <c r="AY184" s="185">
        <v>159</v>
      </c>
      <c r="AZ184" s="184">
        <f t="shared" si="377"/>
        <v>4.9299999999999997E-2</v>
      </c>
      <c r="BA184" s="190">
        <v>343</v>
      </c>
      <c r="BB184" s="185">
        <v>159</v>
      </c>
      <c r="BC184" s="183">
        <f t="shared" si="378"/>
        <v>343</v>
      </c>
      <c r="BG184" s="182">
        <v>4.9299999999999997E-2</v>
      </c>
      <c r="BH184" s="185">
        <v>159</v>
      </c>
      <c r="BI184" s="184">
        <f t="shared" si="379"/>
        <v>4.9299999999999997E-2</v>
      </c>
      <c r="CW184" s="364"/>
      <c r="CX184" s="316"/>
      <c r="CY184" s="316"/>
      <c r="DA184" s="309">
        <v>183</v>
      </c>
      <c r="DB184" s="313">
        <f t="shared" si="352"/>
        <v>266.60655287071506</v>
      </c>
      <c r="DC184" s="309">
        <f t="shared" si="353"/>
        <v>1</v>
      </c>
      <c r="DD184" s="309">
        <f t="shared" si="354"/>
        <v>260</v>
      </c>
      <c r="DE184" s="308">
        <f t="shared" si="355"/>
        <v>6.5000000000000002E-2</v>
      </c>
      <c r="DF184" s="313">
        <f t="shared" si="370"/>
        <v>183</v>
      </c>
      <c r="DG184" s="313">
        <f t="shared" si="359"/>
        <v>260</v>
      </c>
      <c r="DH184" s="313">
        <f t="shared" si="360"/>
        <v>260</v>
      </c>
      <c r="DI184" s="313">
        <f t="shared" si="361"/>
        <v>0</v>
      </c>
      <c r="DJ184" s="313">
        <f t="shared" si="362"/>
        <v>0</v>
      </c>
      <c r="DK184" s="313">
        <f t="shared" si="371"/>
        <v>42664.517269621676</v>
      </c>
      <c r="DL184" s="313">
        <f t="shared" si="363"/>
        <v>108420</v>
      </c>
      <c r="DM184" s="314">
        <f t="shared" si="364"/>
        <v>18.90570280914724</v>
      </c>
      <c r="DN184" s="312">
        <f t="shared" si="365"/>
        <v>0.10330985141610513</v>
      </c>
      <c r="DO184" s="312">
        <f t="shared" si="372"/>
        <v>1</v>
      </c>
      <c r="DP184" s="315">
        <f t="shared" si="356"/>
        <v>6.5000000000000002E-2</v>
      </c>
      <c r="DQ184" s="316">
        <f t="shared" si="366"/>
        <v>0.25</v>
      </c>
      <c r="DR184" s="316">
        <f t="shared" si="367"/>
        <v>49.570754522942522</v>
      </c>
      <c r="DS184" s="314">
        <f t="shared" si="368"/>
        <v>3.6916928491637799</v>
      </c>
      <c r="DT184" s="316">
        <f t="shared" si="369"/>
        <v>49.570754522942522</v>
      </c>
      <c r="DU184" s="314">
        <f t="shared" si="357"/>
        <v>3.6916928491637799</v>
      </c>
      <c r="DV184" s="316">
        <f t="shared" si="373"/>
        <v>104.25</v>
      </c>
      <c r="DW184" s="310">
        <f t="shared" si="358"/>
        <v>4.0095923261390887</v>
      </c>
      <c r="FB184" s="307"/>
      <c r="FC184" s="307"/>
      <c r="FF184" s="307"/>
      <c r="FG184" s="307"/>
      <c r="FH184" s="306"/>
      <c r="FJ184" s="307"/>
      <c r="FK184" s="307"/>
      <c r="FL184" s="306"/>
      <c r="FM184" s="307"/>
      <c r="FN184" s="306"/>
      <c r="FO184" s="307"/>
      <c r="FP184" s="306"/>
    </row>
    <row r="185" spans="29:172">
      <c r="AC185" s="156"/>
      <c r="AI185" s="190">
        <v>342</v>
      </c>
      <c r="AJ185" s="185">
        <v>160</v>
      </c>
      <c r="AK185" s="183">
        <f t="shared" si="374"/>
        <v>342</v>
      </c>
      <c r="AO185" s="182">
        <v>4.9200000000000001E-2</v>
      </c>
      <c r="AP185" s="185">
        <v>160</v>
      </c>
      <c r="AQ185" s="184">
        <f t="shared" si="375"/>
        <v>4.9200000000000001E-2</v>
      </c>
      <c r="AR185" s="190">
        <v>342</v>
      </c>
      <c r="AS185" s="185">
        <v>160</v>
      </c>
      <c r="AT185" s="183">
        <f t="shared" si="376"/>
        <v>342</v>
      </c>
      <c r="AX185" s="182">
        <v>4.9200000000000001E-2</v>
      </c>
      <c r="AY185" s="185">
        <v>160</v>
      </c>
      <c r="AZ185" s="184">
        <f t="shared" si="377"/>
        <v>4.9200000000000001E-2</v>
      </c>
      <c r="BA185" s="190">
        <v>342</v>
      </c>
      <c r="BB185" s="185">
        <v>160</v>
      </c>
      <c r="BC185" s="183">
        <f t="shared" si="378"/>
        <v>342</v>
      </c>
      <c r="BG185" s="182">
        <v>4.9200000000000001E-2</v>
      </c>
      <c r="BH185" s="185">
        <v>160</v>
      </c>
      <c r="BI185" s="184">
        <f t="shared" si="379"/>
        <v>4.9200000000000001E-2</v>
      </c>
      <c r="CW185" s="364"/>
      <c r="CX185" s="316"/>
      <c r="CY185" s="316"/>
      <c r="DA185" s="309">
        <v>184</v>
      </c>
      <c r="DB185" s="313">
        <f t="shared" si="352"/>
        <v>266.97052310498123</v>
      </c>
      <c r="DC185" s="309">
        <f t="shared" si="353"/>
        <v>1</v>
      </c>
      <c r="DD185" s="309">
        <f t="shared" si="354"/>
        <v>260</v>
      </c>
      <c r="DE185" s="308">
        <f t="shared" si="355"/>
        <v>6.5000000000000002E-2</v>
      </c>
      <c r="DF185" s="313">
        <f t="shared" si="370"/>
        <v>184</v>
      </c>
      <c r="DG185" s="313">
        <f t="shared" si="359"/>
        <v>260</v>
      </c>
      <c r="DH185" s="313">
        <f t="shared" si="360"/>
        <v>260</v>
      </c>
      <c r="DI185" s="313">
        <f t="shared" si="361"/>
        <v>0</v>
      </c>
      <c r="DJ185" s="313">
        <f t="shared" si="362"/>
        <v>0</v>
      </c>
      <c r="DK185" s="313">
        <f t="shared" si="371"/>
        <v>42924.517269621676</v>
      </c>
      <c r="DL185" s="313">
        <f t="shared" si="363"/>
        <v>108160</v>
      </c>
      <c r="DM185" s="314">
        <f t="shared" si="364"/>
        <v>18.90570280914724</v>
      </c>
      <c r="DN185" s="312">
        <f t="shared" si="365"/>
        <v>0.10274838483232196</v>
      </c>
      <c r="DO185" s="312">
        <f t="shared" si="372"/>
        <v>1</v>
      </c>
      <c r="DP185" s="315">
        <f t="shared" si="356"/>
        <v>6.5000000000000002E-2</v>
      </c>
      <c r="DQ185" s="316">
        <f t="shared" si="366"/>
        <v>0.25</v>
      </c>
      <c r="DR185" s="316">
        <f t="shared" si="367"/>
        <v>49.820754522942522</v>
      </c>
      <c r="DS185" s="314">
        <f t="shared" si="368"/>
        <v>3.6932399310666355</v>
      </c>
      <c r="DT185" s="316">
        <f t="shared" si="369"/>
        <v>49.820754522942522</v>
      </c>
      <c r="DU185" s="314">
        <f t="shared" si="357"/>
        <v>3.6932399310666355</v>
      </c>
      <c r="DV185" s="316">
        <f t="shared" si="373"/>
        <v>104</v>
      </c>
      <c r="DW185" s="310">
        <f t="shared" si="358"/>
        <v>4.009615384615385</v>
      </c>
      <c r="FB185" s="307"/>
      <c r="FC185" s="307"/>
      <c r="FF185" s="307"/>
      <c r="FG185" s="307"/>
      <c r="FH185" s="306"/>
      <c r="FJ185" s="307"/>
      <c r="FK185" s="307"/>
      <c r="FL185" s="306"/>
      <c r="FM185" s="307"/>
      <c r="FN185" s="306"/>
      <c r="FO185" s="307"/>
      <c r="FP185" s="306"/>
    </row>
    <row r="186" spans="29:172">
      <c r="AC186" s="156"/>
      <c r="AI186" s="190">
        <v>341</v>
      </c>
      <c r="AJ186" s="185">
        <v>161</v>
      </c>
      <c r="AK186" s="183">
        <f t="shared" si="374"/>
        <v>341</v>
      </c>
      <c r="AO186" s="182">
        <v>4.9099999999999998E-2</v>
      </c>
      <c r="AP186" s="185">
        <v>161</v>
      </c>
      <c r="AQ186" s="184">
        <f t="shared" si="375"/>
        <v>4.9099999999999998E-2</v>
      </c>
      <c r="AR186" s="190">
        <v>341</v>
      </c>
      <c r="AS186" s="185">
        <v>161</v>
      </c>
      <c r="AT186" s="183">
        <f t="shared" si="376"/>
        <v>341</v>
      </c>
      <c r="AX186" s="182">
        <v>4.9099999999999998E-2</v>
      </c>
      <c r="AY186" s="185">
        <v>161</v>
      </c>
      <c r="AZ186" s="184">
        <f t="shared" si="377"/>
        <v>4.9099999999999998E-2</v>
      </c>
      <c r="BA186" s="190">
        <v>341</v>
      </c>
      <c r="BB186" s="185">
        <v>161</v>
      </c>
      <c r="BC186" s="183">
        <f t="shared" si="378"/>
        <v>341</v>
      </c>
      <c r="BG186" s="182">
        <v>4.9099999999999998E-2</v>
      </c>
      <c r="BH186" s="185">
        <v>161</v>
      </c>
      <c r="BI186" s="184">
        <f t="shared" si="379"/>
        <v>4.9099999999999998E-2</v>
      </c>
      <c r="CW186" s="364"/>
      <c r="CX186" s="316"/>
      <c r="CY186" s="316"/>
      <c r="DA186" s="309">
        <v>185</v>
      </c>
      <c r="DB186" s="313">
        <f t="shared" si="352"/>
        <v>267.33449333924744</v>
      </c>
      <c r="DC186" s="309">
        <f t="shared" si="353"/>
        <v>1</v>
      </c>
      <c r="DD186" s="309">
        <f t="shared" si="354"/>
        <v>260</v>
      </c>
      <c r="DE186" s="308">
        <f t="shared" si="355"/>
        <v>6.5000000000000002E-2</v>
      </c>
      <c r="DF186" s="313">
        <f t="shared" si="370"/>
        <v>185</v>
      </c>
      <c r="DG186" s="313">
        <f t="shared" si="359"/>
        <v>260</v>
      </c>
      <c r="DH186" s="313">
        <f t="shared" si="360"/>
        <v>260</v>
      </c>
      <c r="DI186" s="313">
        <f t="shared" si="361"/>
        <v>0</v>
      </c>
      <c r="DJ186" s="313">
        <f t="shared" si="362"/>
        <v>0</v>
      </c>
      <c r="DK186" s="313">
        <f t="shared" si="371"/>
        <v>43184.517269621676</v>
      </c>
      <c r="DL186" s="313">
        <f t="shared" si="363"/>
        <v>107900</v>
      </c>
      <c r="DM186" s="314">
        <f t="shared" si="364"/>
        <v>18.90570280914724</v>
      </c>
      <c r="DN186" s="312">
        <f t="shared" si="365"/>
        <v>0.10219298815755265</v>
      </c>
      <c r="DO186" s="312">
        <f t="shared" si="372"/>
        <v>1</v>
      </c>
      <c r="DP186" s="315">
        <f t="shared" si="356"/>
        <v>6.5000000000000002E-2</v>
      </c>
      <c r="DQ186" s="316">
        <f t="shared" si="366"/>
        <v>0.25</v>
      </c>
      <c r="DR186" s="316">
        <f t="shared" si="367"/>
        <v>50.070754522942522</v>
      </c>
      <c r="DS186" s="314">
        <f t="shared" si="368"/>
        <v>3.6947715640121346</v>
      </c>
      <c r="DT186" s="316">
        <f t="shared" si="369"/>
        <v>50.070754522942522</v>
      </c>
      <c r="DU186" s="314">
        <f t="shared" si="357"/>
        <v>3.6947715640121346</v>
      </c>
      <c r="DV186" s="316">
        <f t="shared" si="373"/>
        <v>103.75</v>
      </c>
      <c r="DW186" s="310">
        <f t="shared" si="358"/>
        <v>4.0096385542168678</v>
      </c>
      <c r="FB186" s="307"/>
      <c r="FC186" s="307"/>
      <c r="FF186" s="307"/>
      <c r="FG186" s="307"/>
      <c r="FH186" s="306"/>
      <c r="FJ186" s="307"/>
      <c r="FK186" s="307"/>
      <c r="FL186" s="306"/>
      <c r="FM186" s="307"/>
      <c r="FN186" s="306"/>
      <c r="FO186" s="307"/>
      <c r="FP186" s="306"/>
    </row>
    <row r="187" spans="29:172">
      <c r="AC187" s="156"/>
      <c r="AI187" s="190">
        <v>340</v>
      </c>
      <c r="AJ187" s="185">
        <v>162</v>
      </c>
      <c r="AK187" s="183">
        <f t="shared" si="374"/>
        <v>340</v>
      </c>
      <c r="AO187" s="182">
        <v>4.9000000000000002E-2</v>
      </c>
      <c r="AP187" s="185">
        <v>162</v>
      </c>
      <c r="AQ187" s="184">
        <f t="shared" si="375"/>
        <v>4.9000000000000002E-2</v>
      </c>
      <c r="AR187" s="190">
        <v>340</v>
      </c>
      <c r="AS187" s="185">
        <v>162</v>
      </c>
      <c r="AT187" s="183">
        <f t="shared" si="376"/>
        <v>340</v>
      </c>
      <c r="AX187" s="182">
        <v>4.9000000000000002E-2</v>
      </c>
      <c r="AY187" s="185">
        <v>162</v>
      </c>
      <c r="AZ187" s="184">
        <f t="shared" si="377"/>
        <v>4.9000000000000002E-2</v>
      </c>
      <c r="BA187" s="190">
        <v>340</v>
      </c>
      <c r="BB187" s="185">
        <v>162</v>
      </c>
      <c r="BC187" s="183">
        <f t="shared" si="378"/>
        <v>340</v>
      </c>
      <c r="BG187" s="182">
        <v>4.9000000000000002E-2</v>
      </c>
      <c r="BH187" s="185">
        <v>162</v>
      </c>
      <c r="BI187" s="184">
        <f t="shared" si="379"/>
        <v>4.9000000000000002E-2</v>
      </c>
      <c r="CW187" s="364"/>
      <c r="CX187" s="316"/>
      <c r="CY187" s="316"/>
      <c r="DA187" s="309">
        <v>186</v>
      </c>
      <c r="DB187" s="313">
        <f t="shared" si="352"/>
        <v>267.69846357351366</v>
      </c>
      <c r="DC187" s="309">
        <f t="shared" si="353"/>
        <v>1</v>
      </c>
      <c r="DD187" s="309">
        <f t="shared" si="354"/>
        <v>260</v>
      </c>
      <c r="DE187" s="308">
        <f t="shared" si="355"/>
        <v>6.5000000000000002E-2</v>
      </c>
      <c r="DF187" s="313">
        <f t="shared" si="370"/>
        <v>186</v>
      </c>
      <c r="DG187" s="313">
        <f t="shared" si="359"/>
        <v>260</v>
      </c>
      <c r="DH187" s="313">
        <f t="shared" si="360"/>
        <v>260</v>
      </c>
      <c r="DI187" s="313">
        <f t="shared" si="361"/>
        <v>0</v>
      </c>
      <c r="DJ187" s="313">
        <f t="shared" si="362"/>
        <v>0</v>
      </c>
      <c r="DK187" s="313">
        <f t="shared" si="371"/>
        <v>43444.517269621676</v>
      </c>
      <c r="DL187" s="313">
        <f t="shared" si="363"/>
        <v>107640</v>
      </c>
      <c r="DM187" s="314">
        <f t="shared" si="364"/>
        <v>18.90570280914724</v>
      </c>
      <c r="DN187" s="312">
        <f t="shared" si="365"/>
        <v>0.10164356349003892</v>
      </c>
      <c r="DO187" s="312">
        <f t="shared" si="372"/>
        <v>1</v>
      </c>
      <c r="DP187" s="315">
        <f t="shared" si="356"/>
        <v>6.5000000000000002E-2</v>
      </c>
      <c r="DQ187" s="316">
        <f t="shared" si="366"/>
        <v>0.25</v>
      </c>
      <c r="DR187" s="316">
        <f t="shared" si="367"/>
        <v>50.320754522942522</v>
      </c>
      <c r="DS187" s="314">
        <f t="shared" si="368"/>
        <v>3.6962879782575166</v>
      </c>
      <c r="DT187" s="316">
        <f t="shared" si="369"/>
        <v>50.320754522942522</v>
      </c>
      <c r="DU187" s="314">
        <f t="shared" si="357"/>
        <v>3.6962879782575166</v>
      </c>
      <c r="DV187" s="316">
        <f t="shared" si="373"/>
        <v>103.5</v>
      </c>
      <c r="DW187" s="310">
        <f t="shared" si="358"/>
        <v>4.0096618357487923</v>
      </c>
      <c r="FB187" s="307"/>
      <c r="FC187" s="307"/>
      <c r="FF187" s="307"/>
      <c r="FG187" s="307"/>
      <c r="FH187" s="306"/>
      <c r="FJ187" s="307"/>
      <c r="FK187" s="307"/>
      <c r="FL187" s="306"/>
      <c r="FM187" s="307"/>
      <c r="FN187" s="306"/>
      <c r="FO187" s="307"/>
      <c r="FP187" s="306"/>
    </row>
    <row r="188" spans="29:172">
      <c r="AC188" s="156"/>
      <c r="AI188" s="190">
        <v>339</v>
      </c>
      <c r="AJ188" s="185">
        <v>163</v>
      </c>
      <c r="AK188" s="183">
        <f t="shared" si="374"/>
        <v>339</v>
      </c>
      <c r="AO188" s="182">
        <v>4.8899999999999999E-2</v>
      </c>
      <c r="AP188" s="185">
        <v>163</v>
      </c>
      <c r="AQ188" s="184">
        <f t="shared" si="375"/>
        <v>4.8899999999999999E-2</v>
      </c>
      <c r="AR188" s="190">
        <v>339</v>
      </c>
      <c r="AS188" s="185">
        <v>163</v>
      </c>
      <c r="AT188" s="183">
        <f t="shared" si="376"/>
        <v>339</v>
      </c>
      <c r="AX188" s="182">
        <v>4.8899999999999999E-2</v>
      </c>
      <c r="AY188" s="185">
        <v>163</v>
      </c>
      <c r="AZ188" s="184">
        <f t="shared" si="377"/>
        <v>4.8899999999999999E-2</v>
      </c>
      <c r="BA188" s="190">
        <v>339</v>
      </c>
      <c r="BB188" s="185">
        <v>163</v>
      </c>
      <c r="BC188" s="183">
        <f t="shared" si="378"/>
        <v>339</v>
      </c>
      <c r="BG188" s="182">
        <v>4.8899999999999999E-2</v>
      </c>
      <c r="BH188" s="185">
        <v>163</v>
      </c>
      <c r="BI188" s="184">
        <f t="shared" si="379"/>
        <v>4.8899999999999999E-2</v>
      </c>
      <c r="CW188" s="364"/>
      <c r="CX188" s="316"/>
      <c r="CY188" s="316"/>
      <c r="DA188" s="309">
        <v>187</v>
      </c>
      <c r="DB188" s="313">
        <f t="shared" si="352"/>
        <v>268.06243380777983</v>
      </c>
      <c r="DC188" s="309">
        <f t="shared" si="353"/>
        <v>1</v>
      </c>
      <c r="DD188" s="309">
        <f t="shared" si="354"/>
        <v>260</v>
      </c>
      <c r="DE188" s="308">
        <f t="shared" si="355"/>
        <v>6.5000000000000002E-2</v>
      </c>
      <c r="DF188" s="313">
        <f t="shared" si="370"/>
        <v>187</v>
      </c>
      <c r="DG188" s="313">
        <f t="shared" si="359"/>
        <v>260</v>
      </c>
      <c r="DH188" s="313">
        <f t="shared" si="360"/>
        <v>260</v>
      </c>
      <c r="DI188" s="313">
        <f t="shared" si="361"/>
        <v>0</v>
      </c>
      <c r="DJ188" s="313">
        <f t="shared" si="362"/>
        <v>0</v>
      </c>
      <c r="DK188" s="313">
        <f t="shared" si="371"/>
        <v>43704.517269621676</v>
      </c>
      <c r="DL188" s="313">
        <f t="shared" si="363"/>
        <v>107380</v>
      </c>
      <c r="DM188" s="314">
        <f t="shared" si="364"/>
        <v>18.90570280914724</v>
      </c>
      <c r="DN188" s="312">
        <f t="shared" si="365"/>
        <v>0.10110001502217775</v>
      </c>
      <c r="DO188" s="312">
        <f t="shared" si="372"/>
        <v>1</v>
      </c>
      <c r="DP188" s="315">
        <f t="shared" si="356"/>
        <v>6.5000000000000002E-2</v>
      </c>
      <c r="DQ188" s="316">
        <f t="shared" si="366"/>
        <v>0.25</v>
      </c>
      <c r="DR188" s="316">
        <f t="shared" si="367"/>
        <v>50.570754522942522</v>
      </c>
      <c r="DS188" s="314">
        <f t="shared" si="368"/>
        <v>3.6977893995068509</v>
      </c>
      <c r="DT188" s="316">
        <f t="shared" si="369"/>
        <v>50.570754522942522</v>
      </c>
      <c r="DU188" s="314">
        <f t="shared" si="357"/>
        <v>3.6977893995068509</v>
      </c>
      <c r="DV188" s="316">
        <f t="shared" si="373"/>
        <v>103.25</v>
      </c>
      <c r="DW188" s="310">
        <f t="shared" si="358"/>
        <v>4.0096852300242132</v>
      </c>
      <c r="FB188" s="307"/>
      <c r="FC188" s="307"/>
      <c r="FF188" s="307"/>
      <c r="FG188" s="307"/>
      <c r="FH188" s="306"/>
      <c r="FJ188" s="307"/>
      <c r="FK188" s="307"/>
      <c r="FL188" s="306"/>
      <c r="FM188" s="307"/>
      <c r="FN188" s="306"/>
      <c r="FO188" s="307"/>
      <c r="FP188" s="306"/>
    </row>
    <row r="189" spans="29:172">
      <c r="AC189" s="156"/>
      <c r="AI189" s="190">
        <v>338</v>
      </c>
      <c r="AJ189" s="185">
        <v>164</v>
      </c>
      <c r="AK189" s="183">
        <f t="shared" si="374"/>
        <v>338</v>
      </c>
      <c r="AO189" s="182">
        <v>4.8800000000000003E-2</v>
      </c>
      <c r="AP189" s="185">
        <v>164</v>
      </c>
      <c r="AQ189" s="184">
        <f t="shared" si="375"/>
        <v>4.8800000000000003E-2</v>
      </c>
      <c r="AR189" s="190">
        <v>338</v>
      </c>
      <c r="AS189" s="185">
        <v>164</v>
      </c>
      <c r="AT189" s="183">
        <f t="shared" si="376"/>
        <v>338</v>
      </c>
      <c r="AX189" s="182">
        <v>4.8800000000000003E-2</v>
      </c>
      <c r="AY189" s="185">
        <v>164</v>
      </c>
      <c r="AZ189" s="184">
        <f t="shared" si="377"/>
        <v>4.8800000000000003E-2</v>
      </c>
      <c r="BA189" s="190">
        <v>338</v>
      </c>
      <c r="BB189" s="185">
        <v>164</v>
      </c>
      <c r="BC189" s="183">
        <f t="shared" si="378"/>
        <v>338</v>
      </c>
      <c r="BG189" s="182">
        <v>4.8800000000000003E-2</v>
      </c>
      <c r="BH189" s="185">
        <v>164</v>
      </c>
      <c r="BI189" s="184">
        <f t="shared" si="379"/>
        <v>4.8800000000000003E-2</v>
      </c>
      <c r="CW189" s="364"/>
      <c r="CX189" s="316"/>
      <c r="CY189" s="316"/>
      <c r="DA189" s="309">
        <v>188</v>
      </c>
      <c r="DB189" s="313">
        <f t="shared" si="352"/>
        <v>268.42640404204604</v>
      </c>
      <c r="DC189" s="309">
        <f t="shared" si="353"/>
        <v>1</v>
      </c>
      <c r="DD189" s="309">
        <f t="shared" si="354"/>
        <v>260</v>
      </c>
      <c r="DE189" s="308">
        <f t="shared" si="355"/>
        <v>6.5000000000000002E-2</v>
      </c>
      <c r="DF189" s="313">
        <f t="shared" si="370"/>
        <v>188</v>
      </c>
      <c r="DG189" s="313">
        <f t="shared" si="359"/>
        <v>260</v>
      </c>
      <c r="DH189" s="313">
        <f t="shared" si="360"/>
        <v>260</v>
      </c>
      <c r="DI189" s="313">
        <f t="shared" si="361"/>
        <v>0</v>
      </c>
      <c r="DJ189" s="313">
        <f t="shared" si="362"/>
        <v>0</v>
      </c>
      <c r="DK189" s="313">
        <f t="shared" si="371"/>
        <v>43964.517269621676</v>
      </c>
      <c r="DL189" s="313">
        <f t="shared" si="363"/>
        <v>107120</v>
      </c>
      <c r="DM189" s="314">
        <f t="shared" si="364"/>
        <v>18.90570280914724</v>
      </c>
      <c r="DN189" s="312">
        <f t="shared" si="365"/>
        <v>0.10056224898482574</v>
      </c>
      <c r="DO189" s="312">
        <f t="shared" si="372"/>
        <v>1</v>
      </c>
      <c r="DP189" s="315">
        <f t="shared" si="356"/>
        <v>6.5000000000000002E-2</v>
      </c>
      <c r="DQ189" s="316">
        <f t="shared" si="366"/>
        <v>0.25</v>
      </c>
      <c r="DR189" s="316">
        <f t="shared" si="367"/>
        <v>50.820754522942522</v>
      </c>
      <c r="DS189" s="314">
        <f t="shared" si="368"/>
        <v>3.6992760490230281</v>
      </c>
      <c r="DT189" s="316">
        <f t="shared" si="369"/>
        <v>50.820754522942522</v>
      </c>
      <c r="DU189" s="314">
        <f t="shared" si="357"/>
        <v>3.6992760490230281</v>
      </c>
      <c r="DV189" s="316">
        <f t="shared" si="373"/>
        <v>103</v>
      </c>
      <c r="DW189" s="310">
        <f t="shared" si="358"/>
        <v>4.0097087378640781</v>
      </c>
      <c r="FB189" s="307"/>
      <c r="FC189" s="307"/>
      <c r="FF189" s="307"/>
      <c r="FG189" s="307"/>
      <c r="FH189" s="306"/>
      <c r="FJ189" s="307"/>
      <c r="FK189" s="307"/>
      <c r="FL189" s="306"/>
      <c r="FM189" s="307"/>
      <c r="FN189" s="306"/>
      <c r="FO189" s="307"/>
      <c r="FP189" s="306"/>
    </row>
    <row r="190" spans="29:172">
      <c r="AC190" s="156"/>
      <c r="AI190" s="190">
        <v>337</v>
      </c>
      <c r="AJ190" s="185">
        <v>165</v>
      </c>
      <c r="AK190" s="183">
        <f t="shared" si="374"/>
        <v>337</v>
      </c>
      <c r="AO190" s="182">
        <v>4.87E-2</v>
      </c>
      <c r="AP190" s="185">
        <v>165</v>
      </c>
      <c r="AQ190" s="184">
        <f t="shared" si="375"/>
        <v>4.87E-2</v>
      </c>
      <c r="AR190" s="190">
        <v>337</v>
      </c>
      <c r="AS190" s="185">
        <v>165</v>
      </c>
      <c r="AT190" s="183">
        <f t="shared" si="376"/>
        <v>337</v>
      </c>
      <c r="AX190" s="182">
        <v>4.87E-2</v>
      </c>
      <c r="AY190" s="185">
        <v>165</v>
      </c>
      <c r="AZ190" s="184">
        <f t="shared" si="377"/>
        <v>4.87E-2</v>
      </c>
      <c r="BA190" s="190">
        <v>337</v>
      </c>
      <c r="BB190" s="185">
        <v>165</v>
      </c>
      <c r="BC190" s="183">
        <f t="shared" si="378"/>
        <v>337</v>
      </c>
      <c r="BG190" s="182">
        <v>4.87E-2</v>
      </c>
      <c r="BH190" s="185">
        <v>165</v>
      </c>
      <c r="BI190" s="184">
        <f t="shared" si="379"/>
        <v>4.87E-2</v>
      </c>
      <c r="CW190" s="364"/>
      <c r="CX190" s="316"/>
      <c r="CY190" s="316"/>
      <c r="DA190" s="309">
        <v>189</v>
      </c>
      <c r="DB190" s="313">
        <f t="shared" si="352"/>
        <v>268.79037427631226</v>
      </c>
      <c r="DC190" s="309">
        <f t="shared" si="353"/>
        <v>1</v>
      </c>
      <c r="DD190" s="309">
        <f t="shared" si="354"/>
        <v>260</v>
      </c>
      <c r="DE190" s="308">
        <f t="shared" si="355"/>
        <v>6.5000000000000002E-2</v>
      </c>
      <c r="DF190" s="313">
        <f t="shared" si="370"/>
        <v>189</v>
      </c>
      <c r="DG190" s="313">
        <f t="shared" si="359"/>
        <v>260</v>
      </c>
      <c r="DH190" s="313">
        <f t="shared" si="360"/>
        <v>260</v>
      </c>
      <c r="DI190" s="313">
        <f t="shared" si="361"/>
        <v>0</v>
      </c>
      <c r="DJ190" s="313">
        <f t="shared" si="362"/>
        <v>0</v>
      </c>
      <c r="DK190" s="313">
        <f t="shared" si="371"/>
        <v>44224.517269621676</v>
      </c>
      <c r="DL190" s="313">
        <f t="shared" si="363"/>
        <v>106860</v>
      </c>
      <c r="DM190" s="314">
        <f t="shared" si="364"/>
        <v>18.90570280914724</v>
      </c>
      <c r="DN190" s="312">
        <f t="shared" si="365"/>
        <v>0.10003017359337164</v>
      </c>
      <c r="DO190" s="312">
        <f t="shared" si="372"/>
        <v>1</v>
      </c>
      <c r="DP190" s="315">
        <f t="shared" si="356"/>
        <v>6.5000000000000002E-2</v>
      </c>
      <c r="DQ190" s="316">
        <f t="shared" si="366"/>
        <v>0.25</v>
      </c>
      <c r="DR190" s="316">
        <f t="shared" si="367"/>
        <v>51.070754522942522</v>
      </c>
      <c r="DS190" s="314">
        <f t="shared" si="368"/>
        <v>3.7007481437364609</v>
      </c>
      <c r="DT190" s="316">
        <f t="shared" si="369"/>
        <v>51.070754522942522</v>
      </c>
      <c r="DU190" s="314">
        <f t="shared" si="357"/>
        <v>3.7007481437364609</v>
      </c>
      <c r="DV190" s="316">
        <f t="shared" si="373"/>
        <v>102.75</v>
      </c>
      <c r="DW190" s="310">
        <f t="shared" si="358"/>
        <v>4.009732360097324</v>
      </c>
      <c r="FB190" s="307"/>
      <c r="FC190" s="307"/>
      <c r="FF190" s="307"/>
      <c r="FG190" s="307"/>
      <c r="FH190" s="306"/>
      <c r="FJ190" s="307"/>
      <c r="FK190" s="307"/>
      <c r="FL190" s="306"/>
      <c r="FM190" s="307"/>
      <c r="FN190" s="306"/>
      <c r="FO190" s="307"/>
      <c r="FP190" s="306"/>
    </row>
    <row r="191" spans="29:172">
      <c r="AC191" s="156"/>
      <c r="AI191" s="190">
        <v>336</v>
      </c>
      <c r="AJ191" s="185">
        <v>166</v>
      </c>
      <c r="AK191" s="183">
        <f t="shared" si="374"/>
        <v>336</v>
      </c>
      <c r="AO191" s="182">
        <v>4.8599999999999997E-2</v>
      </c>
      <c r="AP191" s="185">
        <v>166</v>
      </c>
      <c r="AQ191" s="184">
        <f t="shared" si="375"/>
        <v>4.8599999999999997E-2</v>
      </c>
      <c r="AR191" s="190">
        <v>336</v>
      </c>
      <c r="AS191" s="185">
        <v>166</v>
      </c>
      <c r="AT191" s="183">
        <f t="shared" si="376"/>
        <v>336</v>
      </c>
      <c r="AX191" s="182">
        <v>4.8599999999999997E-2</v>
      </c>
      <c r="AY191" s="185">
        <v>166</v>
      </c>
      <c r="AZ191" s="184">
        <f t="shared" si="377"/>
        <v>4.8599999999999997E-2</v>
      </c>
      <c r="BA191" s="190">
        <v>336</v>
      </c>
      <c r="BB191" s="185">
        <v>166</v>
      </c>
      <c r="BC191" s="183">
        <f t="shared" si="378"/>
        <v>336</v>
      </c>
      <c r="BG191" s="182">
        <v>4.8599999999999997E-2</v>
      </c>
      <c r="BH191" s="185">
        <v>166</v>
      </c>
      <c r="BI191" s="184">
        <f t="shared" si="379"/>
        <v>4.8599999999999997E-2</v>
      </c>
      <c r="CW191" s="364"/>
      <c r="CX191" s="316"/>
      <c r="CY191" s="316"/>
      <c r="DA191" s="309">
        <v>190</v>
      </c>
      <c r="DB191" s="313">
        <f t="shared" si="352"/>
        <v>269.15434451057843</v>
      </c>
      <c r="DC191" s="309">
        <f t="shared" si="353"/>
        <v>1</v>
      </c>
      <c r="DD191" s="309">
        <f t="shared" si="354"/>
        <v>260</v>
      </c>
      <c r="DE191" s="308">
        <f t="shared" si="355"/>
        <v>6.5000000000000002E-2</v>
      </c>
      <c r="DF191" s="313">
        <f t="shared" si="370"/>
        <v>190</v>
      </c>
      <c r="DG191" s="313">
        <f t="shared" si="359"/>
        <v>260</v>
      </c>
      <c r="DH191" s="313">
        <f t="shared" si="360"/>
        <v>260</v>
      </c>
      <c r="DI191" s="313">
        <f t="shared" si="361"/>
        <v>0</v>
      </c>
      <c r="DJ191" s="313">
        <f t="shared" si="362"/>
        <v>0</v>
      </c>
      <c r="DK191" s="313">
        <f t="shared" si="371"/>
        <v>44484.517269621676</v>
      </c>
      <c r="DL191" s="313">
        <f t="shared" si="363"/>
        <v>106600</v>
      </c>
      <c r="DM191" s="314">
        <f t="shared" si="364"/>
        <v>18.90570280914724</v>
      </c>
      <c r="DN191" s="312">
        <f t="shared" si="365"/>
        <v>9.9503698995511786E-2</v>
      </c>
      <c r="DO191" s="312">
        <f t="shared" si="372"/>
        <v>1</v>
      </c>
      <c r="DP191" s="315">
        <f t="shared" si="356"/>
        <v>6.5000000000000002E-2</v>
      </c>
      <c r="DQ191" s="316">
        <f t="shared" si="366"/>
        <v>0.25</v>
      </c>
      <c r="DR191" s="316">
        <f t="shared" si="367"/>
        <v>51.320754522942522</v>
      </c>
      <c r="DS191" s="314">
        <f t="shared" si="368"/>
        <v>3.702205896350609</v>
      </c>
      <c r="DT191" s="316">
        <f t="shared" si="369"/>
        <v>51.320754522942522</v>
      </c>
      <c r="DU191" s="314">
        <f t="shared" si="357"/>
        <v>3.702205896350609</v>
      </c>
      <c r="DV191" s="316">
        <f t="shared" si="373"/>
        <v>102.5</v>
      </c>
      <c r="DW191" s="310">
        <f t="shared" si="358"/>
        <v>4.0097560975609756</v>
      </c>
      <c r="FB191" s="307"/>
      <c r="FC191" s="307"/>
      <c r="FF191" s="307"/>
      <c r="FG191" s="307"/>
      <c r="FH191" s="306"/>
      <c r="FJ191" s="307"/>
      <c r="FK191" s="307"/>
      <c r="FL191" s="306"/>
      <c r="FM191" s="307"/>
      <c r="FN191" s="306"/>
      <c r="FO191" s="307"/>
      <c r="FP191" s="306"/>
    </row>
    <row r="192" spans="29:172">
      <c r="AC192" s="156"/>
      <c r="AI192" s="190">
        <v>335</v>
      </c>
      <c r="AJ192" s="185">
        <v>167</v>
      </c>
      <c r="AK192" s="183">
        <f t="shared" si="374"/>
        <v>335</v>
      </c>
      <c r="AO192" s="182">
        <v>4.8500000000000001E-2</v>
      </c>
      <c r="AP192" s="185">
        <v>167</v>
      </c>
      <c r="AQ192" s="184">
        <f t="shared" si="375"/>
        <v>4.8500000000000001E-2</v>
      </c>
      <c r="AR192" s="190">
        <v>335</v>
      </c>
      <c r="AS192" s="185">
        <v>167</v>
      </c>
      <c r="AT192" s="183">
        <f t="shared" si="376"/>
        <v>335</v>
      </c>
      <c r="AX192" s="182">
        <v>4.8500000000000001E-2</v>
      </c>
      <c r="AY192" s="185">
        <v>167</v>
      </c>
      <c r="AZ192" s="184">
        <f t="shared" si="377"/>
        <v>4.8500000000000001E-2</v>
      </c>
      <c r="BA192" s="190">
        <v>335</v>
      </c>
      <c r="BB192" s="185">
        <v>167</v>
      </c>
      <c r="BC192" s="183">
        <f t="shared" si="378"/>
        <v>335</v>
      </c>
      <c r="BG192" s="182">
        <v>4.8500000000000001E-2</v>
      </c>
      <c r="BH192" s="185">
        <v>167</v>
      </c>
      <c r="BI192" s="184">
        <f t="shared" si="379"/>
        <v>4.8500000000000001E-2</v>
      </c>
      <c r="CW192" s="364"/>
      <c r="CX192" s="316"/>
      <c r="CY192" s="316"/>
      <c r="DA192" s="309">
        <v>191</v>
      </c>
      <c r="DB192" s="313">
        <f t="shared" si="352"/>
        <v>269.51831474484464</v>
      </c>
      <c r="DC192" s="309">
        <f t="shared" si="353"/>
        <v>1</v>
      </c>
      <c r="DD192" s="309">
        <f t="shared" si="354"/>
        <v>260</v>
      </c>
      <c r="DE192" s="308">
        <f t="shared" si="355"/>
        <v>6.5000000000000002E-2</v>
      </c>
      <c r="DF192" s="313">
        <f t="shared" si="370"/>
        <v>191</v>
      </c>
      <c r="DG192" s="313">
        <f t="shared" si="359"/>
        <v>260</v>
      </c>
      <c r="DH192" s="313">
        <f t="shared" si="360"/>
        <v>260</v>
      </c>
      <c r="DI192" s="313">
        <f t="shared" si="361"/>
        <v>0</v>
      </c>
      <c r="DJ192" s="313">
        <f t="shared" si="362"/>
        <v>0</v>
      </c>
      <c r="DK192" s="313">
        <f t="shared" si="371"/>
        <v>44744.517269621676</v>
      </c>
      <c r="DL192" s="313">
        <f t="shared" si="363"/>
        <v>106340</v>
      </c>
      <c r="DM192" s="314">
        <f t="shared" si="364"/>
        <v>18.90570280914724</v>
      </c>
      <c r="DN192" s="312">
        <f t="shared" si="365"/>
        <v>9.8982737220666181E-2</v>
      </c>
      <c r="DO192" s="312">
        <f t="shared" si="372"/>
        <v>1</v>
      </c>
      <c r="DP192" s="315">
        <f t="shared" si="356"/>
        <v>6.5000000000000002E-2</v>
      </c>
      <c r="DQ192" s="316">
        <f t="shared" si="366"/>
        <v>0.25</v>
      </c>
      <c r="DR192" s="316">
        <f t="shared" si="367"/>
        <v>51.570754522942522</v>
      </c>
      <c r="DS192" s="314">
        <f t="shared" si="368"/>
        <v>3.7036495154444355</v>
      </c>
      <c r="DT192" s="316">
        <f t="shared" si="369"/>
        <v>51.570754522942522</v>
      </c>
      <c r="DU192" s="314">
        <f t="shared" si="357"/>
        <v>3.7036495154444355</v>
      </c>
      <c r="DV192" s="316">
        <f t="shared" si="373"/>
        <v>102.25</v>
      </c>
      <c r="DW192" s="310">
        <f t="shared" si="358"/>
        <v>4.0097799511002448</v>
      </c>
      <c r="FB192" s="307"/>
      <c r="FC192" s="307"/>
      <c r="FF192" s="307"/>
      <c r="FG192" s="307"/>
      <c r="FH192" s="306"/>
      <c r="FJ192" s="307"/>
      <c r="FK192" s="307"/>
      <c r="FL192" s="306"/>
      <c r="FM192" s="307"/>
      <c r="FN192" s="306"/>
      <c r="FO192" s="307"/>
      <c r="FP192" s="306"/>
    </row>
    <row r="193" spans="29:172">
      <c r="AC193" s="156"/>
      <c r="AI193" s="190">
        <v>334</v>
      </c>
      <c r="AJ193" s="185">
        <v>168</v>
      </c>
      <c r="AK193" s="183">
        <f t="shared" si="374"/>
        <v>334</v>
      </c>
      <c r="AO193" s="182">
        <v>4.8399999999999999E-2</v>
      </c>
      <c r="AP193" s="185">
        <v>168</v>
      </c>
      <c r="AQ193" s="184">
        <f t="shared" si="375"/>
        <v>4.8399999999999999E-2</v>
      </c>
      <c r="AR193" s="190">
        <v>334</v>
      </c>
      <c r="AS193" s="185">
        <v>168</v>
      </c>
      <c r="AT193" s="183">
        <f t="shared" si="376"/>
        <v>334</v>
      </c>
      <c r="AX193" s="182">
        <v>4.8399999999999999E-2</v>
      </c>
      <c r="AY193" s="185">
        <v>168</v>
      </c>
      <c r="AZ193" s="184">
        <f t="shared" si="377"/>
        <v>4.8399999999999999E-2</v>
      </c>
      <c r="BA193" s="190">
        <v>334</v>
      </c>
      <c r="BB193" s="185">
        <v>168</v>
      </c>
      <c r="BC193" s="183">
        <f t="shared" si="378"/>
        <v>334</v>
      </c>
      <c r="BG193" s="182">
        <v>4.8399999999999999E-2</v>
      </c>
      <c r="BH193" s="185">
        <v>168</v>
      </c>
      <c r="BI193" s="184">
        <f t="shared" si="379"/>
        <v>4.8399999999999999E-2</v>
      </c>
      <c r="CW193" s="364"/>
      <c r="CX193" s="316"/>
      <c r="CY193" s="316"/>
      <c r="DA193" s="309">
        <v>192</v>
      </c>
      <c r="DB193" s="313">
        <f t="shared" si="352"/>
        <v>269.88228497911086</v>
      </c>
      <c r="DC193" s="309">
        <f t="shared" si="353"/>
        <v>1</v>
      </c>
      <c r="DD193" s="309">
        <f t="shared" si="354"/>
        <v>260</v>
      </c>
      <c r="DE193" s="308">
        <f t="shared" si="355"/>
        <v>6.5000000000000002E-2</v>
      </c>
      <c r="DF193" s="313">
        <f t="shared" si="370"/>
        <v>192</v>
      </c>
      <c r="DG193" s="313">
        <f t="shared" si="359"/>
        <v>260</v>
      </c>
      <c r="DH193" s="313">
        <f t="shared" si="360"/>
        <v>260</v>
      </c>
      <c r="DI193" s="313">
        <f t="shared" si="361"/>
        <v>0</v>
      </c>
      <c r="DJ193" s="313">
        <f t="shared" si="362"/>
        <v>0</v>
      </c>
      <c r="DK193" s="313">
        <f t="shared" si="371"/>
        <v>45004.517269621676</v>
      </c>
      <c r="DL193" s="313">
        <f t="shared" si="363"/>
        <v>106080</v>
      </c>
      <c r="DM193" s="314">
        <f t="shared" si="364"/>
        <v>18.90570280914724</v>
      </c>
      <c r="DN193" s="312">
        <f t="shared" si="365"/>
        <v>9.8467202130975207E-2</v>
      </c>
      <c r="DO193" s="312">
        <f t="shared" si="372"/>
        <v>1</v>
      </c>
      <c r="DP193" s="315">
        <f t="shared" si="356"/>
        <v>6.5000000000000002E-2</v>
      </c>
      <c r="DQ193" s="316">
        <f t="shared" si="366"/>
        <v>0.25</v>
      </c>
      <c r="DR193" s="316">
        <f t="shared" si="367"/>
        <v>51.820754522942522</v>
      </c>
      <c r="DS193" s="314">
        <f t="shared" si="368"/>
        <v>3.7050792055718937</v>
      </c>
      <c r="DT193" s="316">
        <f t="shared" si="369"/>
        <v>51.820754522942522</v>
      </c>
      <c r="DU193" s="314">
        <f t="shared" si="357"/>
        <v>3.7050792055718937</v>
      </c>
      <c r="DV193" s="316">
        <f t="shared" si="373"/>
        <v>102</v>
      </c>
      <c r="DW193" s="310">
        <f t="shared" si="358"/>
        <v>4.0098039215686274</v>
      </c>
      <c r="FB193" s="307"/>
      <c r="FC193" s="307"/>
      <c r="FF193" s="307"/>
      <c r="FG193" s="307"/>
      <c r="FH193" s="306"/>
      <c r="FJ193" s="307"/>
      <c r="FK193" s="307"/>
      <c r="FL193" s="306"/>
      <c r="FM193" s="307"/>
      <c r="FN193" s="306"/>
      <c r="FO193" s="307"/>
      <c r="FP193" s="306"/>
    </row>
    <row r="194" spans="29:172">
      <c r="AC194" s="156"/>
      <c r="AI194" s="190">
        <v>333</v>
      </c>
      <c r="AJ194" s="185">
        <v>169</v>
      </c>
      <c r="AK194" s="183">
        <f t="shared" si="374"/>
        <v>333</v>
      </c>
      <c r="AO194" s="182">
        <v>4.8300000000000003E-2</v>
      </c>
      <c r="AP194" s="185">
        <v>169</v>
      </c>
      <c r="AQ194" s="184">
        <f t="shared" si="375"/>
        <v>4.8300000000000003E-2</v>
      </c>
      <c r="AR194" s="190">
        <v>333</v>
      </c>
      <c r="AS194" s="185">
        <v>169</v>
      </c>
      <c r="AT194" s="183">
        <f t="shared" si="376"/>
        <v>333</v>
      </c>
      <c r="AX194" s="182">
        <v>4.8300000000000003E-2</v>
      </c>
      <c r="AY194" s="185">
        <v>169</v>
      </c>
      <c r="AZ194" s="184">
        <f t="shared" si="377"/>
        <v>4.8300000000000003E-2</v>
      </c>
      <c r="BA194" s="190">
        <v>333</v>
      </c>
      <c r="BB194" s="185">
        <v>169</v>
      </c>
      <c r="BC194" s="183">
        <f t="shared" si="378"/>
        <v>333</v>
      </c>
      <c r="BG194" s="182">
        <v>4.8300000000000003E-2</v>
      </c>
      <c r="BH194" s="185">
        <v>169</v>
      </c>
      <c r="BI194" s="184">
        <f t="shared" si="379"/>
        <v>4.8300000000000003E-2</v>
      </c>
      <c r="CW194" s="364"/>
      <c r="CX194" s="316"/>
      <c r="CY194" s="316"/>
      <c r="DA194" s="309">
        <v>193</v>
      </c>
      <c r="DB194" s="313">
        <f t="shared" ref="DB194:DB257" si="380">start+DA194*tanO</f>
        <v>270.24625521337703</v>
      </c>
      <c r="DC194" s="309">
        <f t="shared" ref="DC194:DC257" si="381">IF(DA194&lt;edge_width,1,IF(DA194&lt;mid_width,2,IF(DA194&lt;=tot_width,3,4)))</f>
        <v>1</v>
      </c>
      <c r="DD194" s="309">
        <f t="shared" ref="DD194:DD257" si="382">CHOOSE(DC194,edge_thick,second_thick,core_thick,0)</f>
        <v>260</v>
      </c>
      <c r="DE194" s="308">
        <f t="shared" ref="DE194:DE257" si="383">CHOOSE(DC194,edge_k,second_k,core_k,0)</f>
        <v>6.5000000000000002E-2</v>
      </c>
      <c r="DF194" s="313">
        <f t="shared" si="370"/>
        <v>193</v>
      </c>
      <c r="DG194" s="313">
        <f t="shared" si="359"/>
        <v>260</v>
      </c>
      <c r="DH194" s="313">
        <f t="shared" si="360"/>
        <v>260</v>
      </c>
      <c r="DI194" s="313">
        <f t="shared" si="361"/>
        <v>0</v>
      </c>
      <c r="DJ194" s="313">
        <f t="shared" si="362"/>
        <v>0</v>
      </c>
      <c r="DK194" s="313">
        <f t="shared" si="371"/>
        <v>45264.517269621676</v>
      </c>
      <c r="DL194" s="313">
        <f t="shared" si="363"/>
        <v>105820</v>
      </c>
      <c r="DM194" s="314">
        <f t="shared" si="364"/>
        <v>18.90570280914724</v>
      </c>
      <c r="DN194" s="312">
        <f t="shared" si="365"/>
        <v>9.7957009373819889E-2</v>
      </c>
      <c r="DO194" s="312">
        <f t="shared" si="372"/>
        <v>1</v>
      </c>
      <c r="DP194" s="315">
        <f t="shared" ref="DP194:DP257" si="384">DE194*DO194^CHOOSE(DC194,mult1,mult2,mult3,0)</f>
        <v>6.5000000000000002E-2</v>
      </c>
      <c r="DQ194" s="316">
        <f t="shared" si="366"/>
        <v>0.25</v>
      </c>
      <c r="DR194" s="316">
        <f t="shared" si="367"/>
        <v>52.070754522942522</v>
      </c>
      <c r="DS194" s="314">
        <f t="shared" si="368"/>
        <v>3.7064951673585536</v>
      </c>
      <c r="DT194" s="316">
        <f t="shared" si="369"/>
        <v>52.070754522942522</v>
      </c>
      <c r="DU194" s="314">
        <f t="shared" ref="DU194:DU257" si="385">IF(DC194&lt;&gt;4,CHOOSE(DC194,DA194/DT194,(DA194-edge_width+1)/DT194,(DA194-mid_width+1)/DT194),0)</f>
        <v>3.7064951673585536</v>
      </c>
      <c r="DV194" s="316">
        <f t="shared" si="373"/>
        <v>101.75</v>
      </c>
      <c r="DW194" s="310">
        <f t="shared" ref="DW194:DW257" si="386">IF(DC194&lt;&gt;4,(tot_width-DA194+1)/DV194,0)</f>
        <v>4.0098280098280101</v>
      </c>
      <c r="FB194" s="307"/>
      <c r="FC194" s="307"/>
      <c r="FF194" s="307"/>
      <c r="FG194" s="307"/>
      <c r="FH194" s="306"/>
      <c r="FJ194" s="307"/>
      <c r="FK194" s="307"/>
      <c r="FL194" s="306"/>
      <c r="FM194" s="307"/>
      <c r="FN194" s="306"/>
      <c r="FO194" s="307"/>
      <c r="FP194" s="306"/>
    </row>
    <row r="195" spans="29:172">
      <c r="AC195" s="156"/>
      <c r="AI195" s="190">
        <v>332</v>
      </c>
      <c r="AJ195" s="185">
        <v>170</v>
      </c>
      <c r="AK195" s="183">
        <f t="shared" si="374"/>
        <v>332</v>
      </c>
      <c r="AO195" s="182">
        <v>4.82E-2</v>
      </c>
      <c r="AP195" s="185">
        <v>170</v>
      </c>
      <c r="AQ195" s="184">
        <f t="shared" si="375"/>
        <v>4.82E-2</v>
      </c>
      <c r="AR195" s="190">
        <v>332</v>
      </c>
      <c r="AS195" s="185">
        <v>170</v>
      </c>
      <c r="AT195" s="183">
        <f t="shared" si="376"/>
        <v>332</v>
      </c>
      <c r="AX195" s="182">
        <v>4.82E-2</v>
      </c>
      <c r="AY195" s="185">
        <v>170</v>
      </c>
      <c r="AZ195" s="184">
        <f t="shared" si="377"/>
        <v>4.82E-2</v>
      </c>
      <c r="BA195" s="190">
        <v>332</v>
      </c>
      <c r="BB195" s="185">
        <v>170</v>
      </c>
      <c r="BC195" s="183">
        <f t="shared" si="378"/>
        <v>332</v>
      </c>
      <c r="BG195" s="182">
        <v>4.82E-2</v>
      </c>
      <c r="BH195" s="185">
        <v>170</v>
      </c>
      <c r="BI195" s="184">
        <f t="shared" si="379"/>
        <v>4.82E-2</v>
      </c>
      <c r="CW195" s="364"/>
      <c r="CX195" s="316"/>
      <c r="CY195" s="316"/>
      <c r="DA195" s="309">
        <v>194</v>
      </c>
      <c r="DB195" s="313">
        <f t="shared" si="380"/>
        <v>270.61022544764324</v>
      </c>
      <c r="DC195" s="309">
        <f t="shared" si="381"/>
        <v>1</v>
      </c>
      <c r="DD195" s="309">
        <f t="shared" si="382"/>
        <v>260</v>
      </c>
      <c r="DE195" s="308">
        <f t="shared" si="383"/>
        <v>6.5000000000000002E-2</v>
      </c>
      <c r="DF195" s="313">
        <f t="shared" si="370"/>
        <v>194</v>
      </c>
      <c r="DG195" s="313">
        <f t="shared" ref="DG195:DG258" si="387">IF(DC195=4,DG194,MIN(DB195,DD195))</f>
        <v>260</v>
      </c>
      <c r="DH195" s="313">
        <f t="shared" ref="DH195:DH258" si="388">IF(DC195=1,DG195,0)</f>
        <v>260</v>
      </c>
      <c r="DI195" s="313">
        <f t="shared" ref="DI195:DI258" si="389">IF(DC195=2,DG195,0)</f>
        <v>0</v>
      </c>
      <c r="DJ195" s="313">
        <f t="shared" ref="DJ195:DJ258" si="390">IF(DC195=3,DG195,0)</f>
        <v>0</v>
      </c>
      <c r="DK195" s="313">
        <f t="shared" si="371"/>
        <v>45524.517269621676</v>
      </c>
      <c r="DL195" s="313">
        <f t="shared" ref="DL195:DL258" si="391">IF(DC195&lt;4,DL196+DG195,0)</f>
        <v>105560</v>
      </c>
      <c r="DM195" s="314">
        <f t="shared" ref="DM195:DM258" si="392">IF($DC195&lt;&gt;4,IF($DA195=edge_width,$CY$2,IF($DA195=mid_width,$CY$3,1-DO195+DM194)),0)</f>
        <v>18.90570280914724</v>
      </c>
      <c r="DN195" s="312">
        <f t="shared" ref="DN195:DN258" si="393">IF(DC195&lt;&gt;4,CHOOSE(DC195,DM195/DA195,DM195/(DA195-edge_width+1),DM195/(DA195-mid_width+1)),0)</f>
        <v>9.7452076335810517E-2</v>
      </c>
      <c r="DO195" s="312">
        <f t="shared" si="372"/>
        <v>1</v>
      </c>
      <c r="DP195" s="315">
        <f t="shared" si="384"/>
        <v>6.5000000000000002E-2</v>
      </c>
      <c r="DQ195" s="316">
        <f t="shared" ref="DQ195:DQ258" si="394">IF(AND(DC195&lt;&gt;4,DG195&lt;&gt;0),1000*DP195/DG195,0)</f>
        <v>0.25</v>
      </c>
      <c r="DR195" s="316">
        <f t="shared" ref="DR195:DR258" si="395">IF(DC195&lt;&gt;4,DR194+DQ195,0)</f>
        <v>52.320754522942522</v>
      </c>
      <c r="DS195" s="314">
        <f t="shared" ref="DS195:DS258" si="396">IF(AND(DC195&lt;&gt;4,DR195&lt;&gt;0),DA195/DR195,0)</f>
        <v>3.7078975975954527</v>
      </c>
      <c r="DT195" s="316">
        <f t="shared" ref="DT195:DT258" si="397">IF(DC195&lt;&gt;4,IF(DA195=edge_width,$CY$4,IF(DA195=mid_width,$CY$5,DQ195+DT194)),0)</f>
        <v>52.320754522942522</v>
      </c>
      <c r="DU195" s="314">
        <f t="shared" si="385"/>
        <v>3.7078975975954527</v>
      </c>
      <c r="DV195" s="316">
        <f t="shared" si="373"/>
        <v>101.5</v>
      </c>
      <c r="DW195" s="310">
        <f t="shared" si="386"/>
        <v>4.0098522167487687</v>
      </c>
      <c r="FB195" s="307"/>
      <c r="FC195" s="307"/>
      <c r="FF195" s="307"/>
      <c r="FG195" s="307"/>
      <c r="FH195" s="306"/>
      <c r="FJ195" s="307"/>
      <c r="FK195" s="307"/>
      <c r="FL195" s="306"/>
      <c r="FM195" s="307"/>
      <c r="FN195" s="306"/>
      <c r="FO195" s="307"/>
      <c r="FP195" s="306"/>
    </row>
    <row r="196" spans="29:172">
      <c r="AC196" s="156"/>
      <c r="AI196" s="190">
        <v>331</v>
      </c>
      <c r="AJ196" s="185">
        <v>171</v>
      </c>
      <c r="AK196" s="183">
        <f t="shared" si="374"/>
        <v>331</v>
      </c>
      <c r="AO196" s="182">
        <v>4.8099999999999997E-2</v>
      </c>
      <c r="AP196" s="185">
        <v>171</v>
      </c>
      <c r="AQ196" s="184">
        <f t="shared" si="375"/>
        <v>4.8099999999999997E-2</v>
      </c>
      <c r="AR196" s="190">
        <v>331</v>
      </c>
      <c r="AS196" s="185">
        <v>171</v>
      </c>
      <c r="AT196" s="183">
        <f t="shared" si="376"/>
        <v>331</v>
      </c>
      <c r="AX196" s="182">
        <v>4.8099999999999997E-2</v>
      </c>
      <c r="AY196" s="185">
        <v>171</v>
      </c>
      <c r="AZ196" s="184">
        <f t="shared" si="377"/>
        <v>4.8099999999999997E-2</v>
      </c>
      <c r="BA196" s="190">
        <v>331</v>
      </c>
      <c r="BB196" s="185">
        <v>171</v>
      </c>
      <c r="BC196" s="183">
        <f t="shared" si="378"/>
        <v>331</v>
      </c>
      <c r="BG196" s="182">
        <v>4.8099999999999997E-2</v>
      </c>
      <c r="BH196" s="185">
        <v>171</v>
      </c>
      <c r="BI196" s="184">
        <f t="shared" si="379"/>
        <v>4.8099999999999997E-2</v>
      </c>
      <c r="CW196" s="364"/>
      <c r="CX196" s="316"/>
      <c r="CY196" s="316"/>
      <c r="DA196" s="309">
        <v>195</v>
      </c>
      <c r="DB196" s="313">
        <f t="shared" si="380"/>
        <v>270.97419568190946</v>
      </c>
      <c r="DC196" s="309">
        <f t="shared" si="381"/>
        <v>1</v>
      </c>
      <c r="DD196" s="309">
        <f t="shared" si="382"/>
        <v>260</v>
      </c>
      <c r="DE196" s="308">
        <f t="shared" si="383"/>
        <v>6.5000000000000002E-2</v>
      </c>
      <c r="DF196" s="313">
        <f t="shared" ref="DF196:DF259" si="398">IF(DC196&lt;4,DF195+1,DF195)</f>
        <v>195</v>
      </c>
      <c r="DG196" s="313">
        <f t="shared" si="387"/>
        <v>260</v>
      </c>
      <c r="DH196" s="313">
        <f t="shared" si="388"/>
        <v>260</v>
      </c>
      <c r="DI196" s="313">
        <f t="shared" si="389"/>
        <v>0</v>
      </c>
      <c r="DJ196" s="313">
        <f t="shared" si="390"/>
        <v>0</v>
      </c>
      <c r="DK196" s="313">
        <f t="shared" ref="DK196:DK259" si="399">IF(DC196&lt;4,DK195+DG196,0)</f>
        <v>45784.517269621676</v>
      </c>
      <c r="DL196" s="313">
        <f t="shared" si="391"/>
        <v>105300</v>
      </c>
      <c r="DM196" s="314">
        <f t="shared" si="392"/>
        <v>18.90570280914724</v>
      </c>
      <c r="DN196" s="312">
        <f t="shared" si="393"/>
        <v>9.6952322098190977E-2</v>
      </c>
      <c r="DO196" s="312">
        <f t="shared" ref="DO196:DO259" si="400">IF(AND(DC196&lt;&gt;4,DD196&lt;&gt;0),DG196/DD196,0)</f>
        <v>1</v>
      </c>
      <c r="DP196" s="315">
        <f t="shared" si="384"/>
        <v>6.5000000000000002E-2</v>
      </c>
      <c r="DQ196" s="316">
        <f t="shared" si="394"/>
        <v>0.25</v>
      </c>
      <c r="DR196" s="316">
        <f t="shared" si="395"/>
        <v>52.570754522942522</v>
      </c>
      <c r="DS196" s="314">
        <f t="shared" si="396"/>
        <v>3.7092866893302743</v>
      </c>
      <c r="DT196" s="316">
        <f t="shared" si="397"/>
        <v>52.570754522942522</v>
      </c>
      <c r="DU196" s="314">
        <f t="shared" si="385"/>
        <v>3.7092866893302743</v>
      </c>
      <c r="DV196" s="316">
        <f t="shared" ref="DV196:DV259" si="401">DV197+DQ196</f>
        <v>101.25</v>
      </c>
      <c r="DW196" s="310">
        <f t="shared" si="386"/>
        <v>4.0098765432098764</v>
      </c>
      <c r="FB196" s="307"/>
      <c r="FC196" s="307"/>
      <c r="FF196" s="307"/>
      <c r="FG196" s="307"/>
      <c r="FH196" s="306"/>
      <c r="FJ196" s="307"/>
      <c r="FK196" s="307"/>
      <c r="FL196" s="306"/>
      <c r="FM196" s="307"/>
      <c r="FN196" s="306"/>
      <c r="FO196" s="307"/>
      <c r="FP196" s="306"/>
    </row>
    <row r="197" spans="29:172">
      <c r="AC197" s="156"/>
      <c r="AI197" s="190">
        <v>330</v>
      </c>
      <c r="AJ197" s="185">
        <v>172</v>
      </c>
      <c r="AK197" s="183">
        <f t="shared" si="374"/>
        <v>330</v>
      </c>
      <c r="AO197" s="182">
        <v>4.8000000000000001E-2</v>
      </c>
      <c r="AP197" s="185">
        <v>172</v>
      </c>
      <c r="AQ197" s="184">
        <f t="shared" si="375"/>
        <v>4.8000000000000001E-2</v>
      </c>
      <c r="AR197" s="190">
        <v>330</v>
      </c>
      <c r="AS197" s="185">
        <v>172</v>
      </c>
      <c r="AT197" s="183">
        <f t="shared" si="376"/>
        <v>330</v>
      </c>
      <c r="AX197" s="182">
        <v>4.8000000000000001E-2</v>
      </c>
      <c r="AY197" s="185">
        <v>172</v>
      </c>
      <c r="AZ197" s="184">
        <f t="shared" si="377"/>
        <v>4.8000000000000001E-2</v>
      </c>
      <c r="BA197" s="190">
        <v>330</v>
      </c>
      <c r="BB197" s="185">
        <v>172</v>
      </c>
      <c r="BC197" s="183">
        <f t="shared" si="378"/>
        <v>330</v>
      </c>
      <c r="BG197" s="182">
        <v>4.8000000000000001E-2</v>
      </c>
      <c r="BH197" s="185">
        <v>172</v>
      </c>
      <c r="BI197" s="184">
        <f t="shared" si="379"/>
        <v>4.8000000000000001E-2</v>
      </c>
      <c r="CW197" s="364"/>
      <c r="CX197" s="316"/>
      <c r="CY197" s="316"/>
      <c r="DA197" s="309">
        <v>196</v>
      </c>
      <c r="DB197" s="313">
        <f t="shared" si="380"/>
        <v>271.33816591617563</v>
      </c>
      <c r="DC197" s="309">
        <f t="shared" si="381"/>
        <v>1</v>
      </c>
      <c r="DD197" s="309">
        <f t="shared" si="382"/>
        <v>260</v>
      </c>
      <c r="DE197" s="308">
        <f t="shared" si="383"/>
        <v>6.5000000000000002E-2</v>
      </c>
      <c r="DF197" s="313">
        <f t="shared" si="398"/>
        <v>196</v>
      </c>
      <c r="DG197" s="313">
        <f t="shared" si="387"/>
        <v>260</v>
      </c>
      <c r="DH197" s="313">
        <f t="shared" si="388"/>
        <v>260</v>
      </c>
      <c r="DI197" s="313">
        <f t="shared" si="389"/>
        <v>0</v>
      </c>
      <c r="DJ197" s="313">
        <f t="shared" si="390"/>
        <v>0</v>
      </c>
      <c r="DK197" s="313">
        <f t="shared" si="399"/>
        <v>46044.517269621676</v>
      </c>
      <c r="DL197" s="313">
        <f t="shared" si="391"/>
        <v>105040</v>
      </c>
      <c r="DM197" s="314">
        <f t="shared" si="392"/>
        <v>18.90570280914724</v>
      </c>
      <c r="DN197" s="312">
        <f t="shared" si="393"/>
        <v>9.6457667393608365E-2</v>
      </c>
      <c r="DO197" s="312">
        <f t="shared" si="400"/>
        <v>1</v>
      </c>
      <c r="DP197" s="315">
        <f t="shared" si="384"/>
        <v>6.5000000000000002E-2</v>
      </c>
      <c r="DQ197" s="316">
        <f t="shared" si="394"/>
        <v>0.25</v>
      </c>
      <c r="DR197" s="316">
        <f t="shared" si="395"/>
        <v>52.820754522942522</v>
      </c>
      <c r="DS197" s="314">
        <f t="shared" si="396"/>
        <v>3.7106626319559299</v>
      </c>
      <c r="DT197" s="316">
        <f t="shared" si="397"/>
        <v>52.820754522942522</v>
      </c>
      <c r="DU197" s="314">
        <f t="shared" si="385"/>
        <v>3.7106626319559299</v>
      </c>
      <c r="DV197" s="316">
        <f t="shared" si="401"/>
        <v>101</v>
      </c>
      <c r="DW197" s="310">
        <f t="shared" si="386"/>
        <v>4.0099009900990099</v>
      </c>
      <c r="FB197" s="307"/>
      <c r="FC197" s="307"/>
      <c r="FF197" s="307"/>
      <c r="FG197" s="307"/>
      <c r="FH197" s="306"/>
      <c r="FJ197" s="307"/>
      <c r="FK197" s="307"/>
      <c r="FL197" s="306"/>
      <c r="FM197" s="307"/>
      <c r="FN197" s="306"/>
      <c r="FO197" s="307"/>
      <c r="FP197" s="306"/>
    </row>
    <row r="198" spans="29:172">
      <c r="AC198" s="156"/>
      <c r="AI198" s="190">
        <v>329</v>
      </c>
      <c r="AJ198" s="185">
        <v>173</v>
      </c>
      <c r="AK198" s="183">
        <f t="shared" si="374"/>
        <v>329</v>
      </c>
      <c r="AO198" s="182">
        <v>4.7899999999999998E-2</v>
      </c>
      <c r="AP198" s="185">
        <v>173</v>
      </c>
      <c r="AQ198" s="184">
        <f t="shared" si="375"/>
        <v>4.7899999999999998E-2</v>
      </c>
      <c r="AR198" s="190">
        <v>329</v>
      </c>
      <c r="AS198" s="185">
        <v>173</v>
      </c>
      <c r="AT198" s="183">
        <f t="shared" si="376"/>
        <v>329</v>
      </c>
      <c r="AX198" s="182">
        <v>4.7899999999999998E-2</v>
      </c>
      <c r="AY198" s="185">
        <v>173</v>
      </c>
      <c r="AZ198" s="184">
        <f t="shared" si="377"/>
        <v>4.7899999999999998E-2</v>
      </c>
      <c r="BA198" s="190">
        <v>329</v>
      </c>
      <c r="BB198" s="185">
        <v>173</v>
      </c>
      <c r="BC198" s="183">
        <f t="shared" si="378"/>
        <v>329</v>
      </c>
      <c r="BG198" s="182">
        <v>4.7899999999999998E-2</v>
      </c>
      <c r="BH198" s="185">
        <v>173</v>
      </c>
      <c r="BI198" s="184">
        <f t="shared" si="379"/>
        <v>4.7899999999999998E-2</v>
      </c>
      <c r="CW198" s="364"/>
      <c r="CX198" s="316"/>
      <c r="CY198" s="316"/>
      <c r="DA198" s="309">
        <v>197</v>
      </c>
      <c r="DB198" s="313">
        <f t="shared" si="380"/>
        <v>271.70213615044185</v>
      </c>
      <c r="DC198" s="309">
        <f t="shared" si="381"/>
        <v>1</v>
      </c>
      <c r="DD198" s="309">
        <f t="shared" si="382"/>
        <v>260</v>
      </c>
      <c r="DE198" s="308">
        <f t="shared" si="383"/>
        <v>6.5000000000000002E-2</v>
      </c>
      <c r="DF198" s="313">
        <f t="shared" si="398"/>
        <v>197</v>
      </c>
      <c r="DG198" s="313">
        <f t="shared" si="387"/>
        <v>260</v>
      </c>
      <c r="DH198" s="313">
        <f t="shared" si="388"/>
        <v>260</v>
      </c>
      <c r="DI198" s="313">
        <f t="shared" si="389"/>
        <v>0</v>
      </c>
      <c r="DJ198" s="313">
        <f t="shared" si="390"/>
        <v>0</v>
      </c>
      <c r="DK198" s="313">
        <f t="shared" si="399"/>
        <v>46304.517269621676</v>
      </c>
      <c r="DL198" s="313">
        <f t="shared" si="391"/>
        <v>104780</v>
      </c>
      <c r="DM198" s="314">
        <f t="shared" si="392"/>
        <v>18.90570280914724</v>
      </c>
      <c r="DN198" s="312">
        <f t="shared" si="393"/>
        <v>9.5968034564199181E-2</v>
      </c>
      <c r="DO198" s="312">
        <f t="shared" si="400"/>
        <v>1</v>
      </c>
      <c r="DP198" s="315">
        <f t="shared" si="384"/>
        <v>6.5000000000000002E-2</v>
      </c>
      <c r="DQ198" s="316">
        <f t="shared" si="394"/>
        <v>0.25</v>
      </c>
      <c r="DR198" s="316">
        <f t="shared" si="395"/>
        <v>53.070754522942522</v>
      </c>
      <c r="DS198" s="314">
        <f t="shared" si="396"/>
        <v>3.7120256112966468</v>
      </c>
      <c r="DT198" s="316">
        <f t="shared" si="397"/>
        <v>53.070754522942522</v>
      </c>
      <c r="DU198" s="314">
        <f t="shared" si="385"/>
        <v>3.7120256112966468</v>
      </c>
      <c r="DV198" s="316">
        <f t="shared" si="401"/>
        <v>100.75</v>
      </c>
      <c r="DW198" s="310">
        <f t="shared" si="386"/>
        <v>4.0099255583126547</v>
      </c>
      <c r="FB198" s="307"/>
      <c r="FC198" s="307"/>
      <c r="FF198" s="307"/>
      <c r="FG198" s="307"/>
      <c r="FH198" s="306"/>
      <c r="FJ198" s="307"/>
      <c r="FK198" s="307"/>
      <c r="FL198" s="306"/>
      <c r="FM198" s="307"/>
      <c r="FN198" s="306"/>
      <c r="FO198" s="307"/>
      <c r="FP198" s="306"/>
    </row>
    <row r="199" spans="29:172">
      <c r="AC199" s="156"/>
      <c r="AI199" s="190">
        <v>328</v>
      </c>
      <c r="AJ199" s="185">
        <v>174</v>
      </c>
      <c r="AK199" s="183">
        <f t="shared" si="374"/>
        <v>328</v>
      </c>
      <c r="AO199" s="182">
        <v>4.7800000000000002E-2</v>
      </c>
      <c r="AP199" s="185">
        <v>174</v>
      </c>
      <c r="AQ199" s="184">
        <f t="shared" si="375"/>
        <v>4.7800000000000002E-2</v>
      </c>
      <c r="AR199" s="190">
        <v>328</v>
      </c>
      <c r="AS199" s="185">
        <v>174</v>
      </c>
      <c r="AT199" s="183">
        <f t="shared" si="376"/>
        <v>328</v>
      </c>
      <c r="AX199" s="182">
        <v>4.7800000000000002E-2</v>
      </c>
      <c r="AY199" s="185">
        <v>174</v>
      </c>
      <c r="AZ199" s="184">
        <f t="shared" si="377"/>
        <v>4.7800000000000002E-2</v>
      </c>
      <c r="BA199" s="190">
        <v>328</v>
      </c>
      <c r="BB199" s="185">
        <v>174</v>
      </c>
      <c r="BC199" s="183">
        <f t="shared" si="378"/>
        <v>328</v>
      </c>
      <c r="BG199" s="182">
        <v>4.7800000000000002E-2</v>
      </c>
      <c r="BH199" s="185">
        <v>174</v>
      </c>
      <c r="BI199" s="184">
        <f t="shared" si="379"/>
        <v>4.7800000000000002E-2</v>
      </c>
      <c r="CW199" s="364"/>
      <c r="CX199" s="316"/>
      <c r="CY199" s="316"/>
      <c r="DA199" s="309">
        <v>198</v>
      </c>
      <c r="DB199" s="313">
        <f t="shared" si="380"/>
        <v>272.06610638470806</v>
      </c>
      <c r="DC199" s="309">
        <f t="shared" si="381"/>
        <v>1</v>
      </c>
      <c r="DD199" s="309">
        <f t="shared" si="382"/>
        <v>260</v>
      </c>
      <c r="DE199" s="308">
        <f t="shared" si="383"/>
        <v>6.5000000000000002E-2</v>
      </c>
      <c r="DF199" s="313">
        <f t="shared" si="398"/>
        <v>198</v>
      </c>
      <c r="DG199" s="313">
        <f t="shared" si="387"/>
        <v>260</v>
      </c>
      <c r="DH199" s="313">
        <f t="shared" si="388"/>
        <v>260</v>
      </c>
      <c r="DI199" s="313">
        <f t="shared" si="389"/>
        <v>0</v>
      </c>
      <c r="DJ199" s="313">
        <f t="shared" si="390"/>
        <v>0</v>
      </c>
      <c r="DK199" s="313">
        <f t="shared" si="399"/>
        <v>46564.517269621676</v>
      </c>
      <c r="DL199" s="313">
        <f t="shared" si="391"/>
        <v>104520</v>
      </c>
      <c r="DM199" s="314">
        <f t="shared" si="392"/>
        <v>18.90570280914724</v>
      </c>
      <c r="DN199" s="312">
        <f t="shared" si="393"/>
        <v>9.5483347520945658E-2</v>
      </c>
      <c r="DO199" s="312">
        <f t="shared" si="400"/>
        <v>1</v>
      </c>
      <c r="DP199" s="315">
        <f t="shared" si="384"/>
        <v>6.5000000000000002E-2</v>
      </c>
      <c r="DQ199" s="316">
        <f t="shared" si="394"/>
        <v>0.25</v>
      </c>
      <c r="DR199" s="316">
        <f t="shared" si="395"/>
        <v>53.320754522942522</v>
      </c>
      <c r="DS199" s="314">
        <f t="shared" si="396"/>
        <v>3.7133758096916236</v>
      </c>
      <c r="DT199" s="316">
        <f t="shared" si="397"/>
        <v>53.320754522942522</v>
      </c>
      <c r="DU199" s="314">
        <f t="shared" si="385"/>
        <v>3.7133758096916236</v>
      </c>
      <c r="DV199" s="316">
        <f t="shared" si="401"/>
        <v>100.5</v>
      </c>
      <c r="DW199" s="310">
        <f t="shared" si="386"/>
        <v>4.0099502487562191</v>
      </c>
      <c r="FB199" s="307"/>
      <c r="FC199" s="307"/>
      <c r="FF199" s="307"/>
      <c r="FG199" s="307"/>
      <c r="FH199" s="306"/>
      <c r="FJ199" s="307"/>
      <c r="FK199" s="307"/>
      <c r="FL199" s="306"/>
      <c r="FM199" s="307"/>
      <c r="FN199" s="306"/>
      <c r="FO199" s="307"/>
      <c r="FP199" s="306"/>
    </row>
    <row r="200" spans="29:172">
      <c r="AC200" s="156"/>
      <c r="AI200" s="190">
        <v>327</v>
      </c>
      <c r="AJ200" s="185">
        <v>175</v>
      </c>
      <c r="AK200" s="183">
        <f t="shared" si="374"/>
        <v>327</v>
      </c>
      <c r="AO200" s="182">
        <v>4.7699999999999999E-2</v>
      </c>
      <c r="AP200" s="185">
        <v>175</v>
      </c>
      <c r="AQ200" s="184">
        <f t="shared" si="375"/>
        <v>4.7699999999999999E-2</v>
      </c>
      <c r="AR200" s="190">
        <v>327</v>
      </c>
      <c r="AS200" s="185">
        <v>175</v>
      </c>
      <c r="AT200" s="183">
        <f t="shared" si="376"/>
        <v>327</v>
      </c>
      <c r="AX200" s="182">
        <v>4.7699999999999999E-2</v>
      </c>
      <c r="AY200" s="185">
        <v>175</v>
      </c>
      <c r="AZ200" s="184">
        <f t="shared" si="377"/>
        <v>4.7699999999999999E-2</v>
      </c>
      <c r="BA200" s="190">
        <v>327</v>
      </c>
      <c r="BB200" s="185">
        <v>175</v>
      </c>
      <c r="BC200" s="183">
        <f t="shared" si="378"/>
        <v>327</v>
      </c>
      <c r="BG200" s="182">
        <v>4.7699999999999999E-2</v>
      </c>
      <c r="BH200" s="185">
        <v>175</v>
      </c>
      <c r="BI200" s="184">
        <f t="shared" si="379"/>
        <v>4.7699999999999999E-2</v>
      </c>
      <c r="CW200" s="364"/>
      <c r="CX200" s="316"/>
      <c r="CY200" s="316"/>
      <c r="DA200" s="309">
        <v>199</v>
      </c>
      <c r="DB200" s="313">
        <f t="shared" si="380"/>
        <v>272.43007661897428</v>
      </c>
      <c r="DC200" s="309">
        <f t="shared" si="381"/>
        <v>1</v>
      </c>
      <c r="DD200" s="309">
        <f t="shared" si="382"/>
        <v>260</v>
      </c>
      <c r="DE200" s="308">
        <f t="shared" si="383"/>
        <v>6.5000000000000002E-2</v>
      </c>
      <c r="DF200" s="313">
        <f t="shared" si="398"/>
        <v>199</v>
      </c>
      <c r="DG200" s="313">
        <f t="shared" si="387"/>
        <v>260</v>
      </c>
      <c r="DH200" s="313">
        <f t="shared" si="388"/>
        <v>260</v>
      </c>
      <c r="DI200" s="313">
        <f t="shared" si="389"/>
        <v>0</v>
      </c>
      <c r="DJ200" s="313">
        <f t="shared" si="390"/>
        <v>0</v>
      </c>
      <c r="DK200" s="313">
        <f t="shared" si="399"/>
        <v>46824.517269621676</v>
      </c>
      <c r="DL200" s="313">
        <f t="shared" si="391"/>
        <v>104260</v>
      </c>
      <c r="DM200" s="314">
        <f t="shared" si="392"/>
        <v>18.90570280914724</v>
      </c>
      <c r="DN200" s="312">
        <f t="shared" si="393"/>
        <v>9.5003531704257488E-2</v>
      </c>
      <c r="DO200" s="312">
        <f t="shared" si="400"/>
        <v>1</v>
      </c>
      <c r="DP200" s="315">
        <f t="shared" si="384"/>
        <v>6.5000000000000002E-2</v>
      </c>
      <c r="DQ200" s="316">
        <f t="shared" si="394"/>
        <v>0.25</v>
      </c>
      <c r="DR200" s="316">
        <f t="shared" si="395"/>
        <v>53.570754522942522</v>
      </c>
      <c r="DS200" s="314">
        <f t="shared" si="396"/>
        <v>3.7147134060763527</v>
      </c>
      <c r="DT200" s="316">
        <f t="shared" si="397"/>
        <v>53.570754522942522</v>
      </c>
      <c r="DU200" s="314">
        <f t="shared" si="385"/>
        <v>3.7147134060763527</v>
      </c>
      <c r="DV200" s="316">
        <f t="shared" si="401"/>
        <v>100.25</v>
      </c>
      <c r="DW200" s="310">
        <f t="shared" si="386"/>
        <v>4.0099750623441395</v>
      </c>
      <c r="FB200" s="307"/>
      <c r="FC200" s="307"/>
      <c r="FF200" s="307"/>
      <c r="FG200" s="307"/>
      <c r="FH200" s="306"/>
      <c r="FJ200" s="307"/>
      <c r="FK200" s="307"/>
      <c r="FL200" s="306"/>
      <c r="FM200" s="307"/>
      <c r="FN200" s="306"/>
      <c r="FO200" s="307"/>
      <c r="FP200" s="306"/>
    </row>
    <row r="201" spans="29:172">
      <c r="AC201" s="156"/>
      <c r="AI201" s="190">
        <v>326</v>
      </c>
      <c r="AJ201" s="185">
        <v>176</v>
      </c>
      <c r="AK201" s="183">
        <f t="shared" si="374"/>
        <v>326</v>
      </c>
      <c r="AO201" s="182">
        <v>4.7600000000000003E-2</v>
      </c>
      <c r="AP201" s="185">
        <v>176</v>
      </c>
      <c r="AQ201" s="184">
        <f t="shared" si="375"/>
        <v>4.7600000000000003E-2</v>
      </c>
      <c r="AR201" s="190">
        <v>326</v>
      </c>
      <c r="AS201" s="185">
        <v>176</v>
      </c>
      <c r="AT201" s="183">
        <f t="shared" si="376"/>
        <v>326</v>
      </c>
      <c r="AX201" s="182">
        <v>4.7600000000000003E-2</v>
      </c>
      <c r="AY201" s="185">
        <v>176</v>
      </c>
      <c r="AZ201" s="184">
        <f t="shared" si="377"/>
        <v>4.7600000000000003E-2</v>
      </c>
      <c r="BA201" s="190">
        <v>326</v>
      </c>
      <c r="BB201" s="185">
        <v>176</v>
      </c>
      <c r="BC201" s="183">
        <f t="shared" si="378"/>
        <v>326</v>
      </c>
      <c r="BG201" s="182">
        <v>4.7600000000000003E-2</v>
      </c>
      <c r="BH201" s="185">
        <v>176</v>
      </c>
      <c r="BI201" s="184">
        <f t="shared" si="379"/>
        <v>4.7600000000000003E-2</v>
      </c>
      <c r="CW201" s="364"/>
      <c r="CX201" s="316"/>
      <c r="CY201" s="316"/>
      <c r="DA201" s="309">
        <v>200</v>
      </c>
      <c r="DB201" s="313">
        <f t="shared" si="380"/>
        <v>272.7940468532405</v>
      </c>
      <c r="DC201" s="309">
        <f t="shared" si="381"/>
        <v>1</v>
      </c>
      <c r="DD201" s="309">
        <f t="shared" si="382"/>
        <v>260</v>
      </c>
      <c r="DE201" s="308">
        <f t="shared" si="383"/>
        <v>6.5000000000000002E-2</v>
      </c>
      <c r="DF201" s="313">
        <f t="shared" si="398"/>
        <v>200</v>
      </c>
      <c r="DG201" s="313">
        <f t="shared" si="387"/>
        <v>260</v>
      </c>
      <c r="DH201" s="313">
        <f t="shared" si="388"/>
        <v>260</v>
      </c>
      <c r="DI201" s="313">
        <f t="shared" si="389"/>
        <v>0</v>
      </c>
      <c r="DJ201" s="313">
        <f t="shared" si="390"/>
        <v>0</v>
      </c>
      <c r="DK201" s="313">
        <f t="shared" si="399"/>
        <v>47084.517269621676</v>
      </c>
      <c r="DL201" s="313">
        <f t="shared" si="391"/>
        <v>104000</v>
      </c>
      <c r="DM201" s="314">
        <f t="shared" si="392"/>
        <v>18.90570280914724</v>
      </c>
      <c r="DN201" s="312">
        <f t="shared" si="393"/>
        <v>9.4528514045736201E-2</v>
      </c>
      <c r="DO201" s="312">
        <f t="shared" si="400"/>
        <v>1</v>
      </c>
      <c r="DP201" s="315">
        <f t="shared" si="384"/>
        <v>6.5000000000000002E-2</v>
      </c>
      <c r="DQ201" s="316">
        <f t="shared" si="394"/>
        <v>0.25</v>
      </c>
      <c r="DR201" s="316">
        <f t="shared" si="395"/>
        <v>53.820754522942522</v>
      </c>
      <c r="DS201" s="314">
        <f t="shared" si="396"/>
        <v>3.7160385760616697</v>
      </c>
      <c r="DT201" s="316">
        <f t="shared" si="397"/>
        <v>53.820754522942522</v>
      </c>
      <c r="DU201" s="314">
        <f t="shared" si="385"/>
        <v>3.7160385760616697</v>
      </c>
      <c r="DV201" s="316">
        <f t="shared" si="401"/>
        <v>100</v>
      </c>
      <c r="DW201" s="310">
        <f t="shared" si="386"/>
        <v>4.01</v>
      </c>
      <c r="FB201" s="307"/>
      <c r="FC201" s="307"/>
      <c r="FF201" s="307"/>
      <c r="FG201" s="307"/>
      <c r="FH201" s="306"/>
      <c r="FJ201" s="307"/>
      <c r="FK201" s="307"/>
      <c r="FL201" s="306"/>
      <c r="FM201" s="307"/>
      <c r="FN201" s="306"/>
      <c r="FO201" s="307"/>
      <c r="FP201" s="306"/>
    </row>
    <row r="202" spans="29:172">
      <c r="AC202" s="156"/>
      <c r="AI202" s="190">
        <v>325</v>
      </c>
      <c r="AJ202" s="185">
        <v>177</v>
      </c>
      <c r="AK202" s="183">
        <f t="shared" si="374"/>
        <v>325</v>
      </c>
      <c r="AO202" s="182">
        <v>4.7500000000000001E-2</v>
      </c>
      <c r="AP202" s="185">
        <v>177</v>
      </c>
      <c r="AQ202" s="184">
        <f t="shared" si="375"/>
        <v>4.7500000000000001E-2</v>
      </c>
      <c r="AR202" s="190">
        <v>325</v>
      </c>
      <c r="AS202" s="185">
        <v>177</v>
      </c>
      <c r="AT202" s="183">
        <f t="shared" si="376"/>
        <v>325</v>
      </c>
      <c r="AX202" s="182">
        <v>4.7500000000000001E-2</v>
      </c>
      <c r="AY202" s="185">
        <v>177</v>
      </c>
      <c r="AZ202" s="184">
        <f t="shared" si="377"/>
        <v>4.7500000000000001E-2</v>
      </c>
      <c r="BA202" s="190">
        <v>325</v>
      </c>
      <c r="BB202" s="185">
        <v>177</v>
      </c>
      <c r="BC202" s="183">
        <f t="shared" si="378"/>
        <v>325</v>
      </c>
      <c r="BG202" s="182">
        <v>4.7500000000000001E-2</v>
      </c>
      <c r="BH202" s="185">
        <v>177</v>
      </c>
      <c r="BI202" s="184">
        <f t="shared" si="379"/>
        <v>4.7500000000000001E-2</v>
      </c>
      <c r="CW202" s="364"/>
      <c r="CX202" s="316"/>
      <c r="CY202" s="316"/>
      <c r="DA202" s="309">
        <v>201</v>
      </c>
      <c r="DB202" s="313">
        <f t="shared" si="380"/>
        <v>273.15801708750666</v>
      </c>
      <c r="DC202" s="309">
        <f t="shared" si="381"/>
        <v>1</v>
      </c>
      <c r="DD202" s="309">
        <f t="shared" si="382"/>
        <v>260</v>
      </c>
      <c r="DE202" s="308">
        <f t="shared" si="383"/>
        <v>6.5000000000000002E-2</v>
      </c>
      <c r="DF202" s="313">
        <f t="shared" si="398"/>
        <v>201</v>
      </c>
      <c r="DG202" s="313">
        <f t="shared" si="387"/>
        <v>260</v>
      </c>
      <c r="DH202" s="313">
        <f t="shared" si="388"/>
        <v>260</v>
      </c>
      <c r="DI202" s="313">
        <f t="shared" si="389"/>
        <v>0</v>
      </c>
      <c r="DJ202" s="313">
        <f t="shared" si="390"/>
        <v>0</v>
      </c>
      <c r="DK202" s="313">
        <f t="shared" si="399"/>
        <v>47344.517269621676</v>
      </c>
      <c r="DL202" s="313">
        <f t="shared" si="391"/>
        <v>103740</v>
      </c>
      <c r="DM202" s="314">
        <f t="shared" si="392"/>
        <v>18.90570280914724</v>
      </c>
      <c r="DN202" s="312">
        <f t="shared" si="393"/>
        <v>9.4058222931080793E-2</v>
      </c>
      <c r="DO202" s="312">
        <f t="shared" si="400"/>
        <v>1</v>
      </c>
      <c r="DP202" s="315">
        <f t="shared" si="384"/>
        <v>6.5000000000000002E-2</v>
      </c>
      <c r="DQ202" s="316">
        <f t="shared" si="394"/>
        <v>0.25</v>
      </c>
      <c r="DR202" s="316">
        <f t="shared" si="395"/>
        <v>54.070754522942522</v>
      </c>
      <c r="DS202" s="314">
        <f t="shared" si="396"/>
        <v>3.7173514920106134</v>
      </c>
      <c r="DT202" s="316">
        <f t="shared" si="397"/>
        <v>54.070754522942522</v>
      </c>
      <c r="DU202" s="314">
        <f t="shared" si="385"/>
        <v>3.7173514920106134</v>
      </c>
      <c r="DV202" s="316">
        <f t="shared" si="401"/>
        <v>99.75</v>
      </c>
      <c r="DW202" s="310">
        <f t="shared" si="386"/>
        <v>4.0100250626566414</v>
      </c>
      <c r="FB202" s="307"/>
      <c r="FC202" s="307"/>
      <c r="FF202" s="307"/>
      <c r="FG202" s="307"/>
      <c r="FH202" s="306"/>
      <c r="FJ202" s="307"/>
      <c r="FK202" s="307"/>
      <c r="FL202" s="306"/>
      <c r="FM202" s="307"/>
      <c r="FN202" s="306"/>
      <c r="FO202" s="307"/>
      <c r="FP202" s="306"/>
    </row>
    <row r="203" spans="29:172">
      <c r="AC203" s="156"/>
      <c r="AI203" s="190">
        <v>324</v>
      </c>
      <c r="AJ203" s="185">
        <v>178</v>
      </c>
      <c r="AK203" s="183">
        <f t="shared" si="374"/>
        <v>324</v>
      </c>
      <c r="AO203" s="182">
        <v>4.7399999999999998E-2</v>
      </c>
      <c r="AP203" s="185">
        <v>178</v>
      </c>
      <c r="AQ203" s="184">
        <f t="shared" si="375"/>
        <v>4.7399999999999998E-2</v>
      </c>
      <c r="AR203" s="190">
        <v>324</v>
      </c>
      <c r="AS203" s="185">
        <v>178</v>
      </c>
      <c r="AT203" s="183">
        <f t="shared" si="376"/>
        <v>324</v>
      </c>
      <c r="AX203" s="182">
        <v>4.7399999999999998E-2</v>
      </c>
      <c r="AY203" s="185">
        <v>178</v>
      </c>
      <c r="AZ203" s="184">
        <f t="shared" si="377"/>
        <v>4.7399999999999998E-2</v>
      </c>
      <c r="BA203" s="190">
        <v>324</v>
      </c>
      <c r="BB203" s="185">
        <v>178</v>
      </c>
      <c r="BC203" s="183">
        <f t="shared" si="378"/>
        <v>324</v>
      </c>
      <c r="BG203" s="182">
        <v>4.7399999999999998E-2</v>
      </c>
      <c r="BH203" s="185">
        <v>178</v>
      </c>
      <c r="BI203" s="184">
        <f t="shared" si="379"/>
        <v>4.7399999999999998E-2</v>
      </c>
      <c r="CW203" s="364"/>
      <c r="CX203" s="316"/>
      <c r="CY203" s="316"/>
      <c r="DA203" s="309">
        <v>202</v>
      </c>
      <c r="DB203" s="313">
        <f t="shared" si="380"/>
        <v>273.52198732177288</v>
      </c>
      <c r="DC203" s="309">
        <f t="shared" si="381"/>
        <v>1</v>
      </c>
      <c r="DD203" s="309">
        <f t="shared" si="382"/>
        <v>260</v>
      </c>
      <c r="DE203" s="308">
        <f t="shared" si="383"/>
        <v>6.5000000000000002E-2</v>
      </c>
      <c r="DF203" s="313">
        <f t="shared" si="398"/>
        <v>202</v>
      </c>
      <c r="DG203" s="313">
        <f t="shared" si="387"/>
        <v>260</v>
      </c>
      <c r="DH203" s="313">
        <f t="shared" si="388"/>
        <v>260</v>
      </c>
      <c r="DI203" s="313">
        <f t="shared" si="389"/>
        <v>0</v>
      </c>
      <c r="DJ203" s="313">
        <f t="shared" si="390"/>
        <v>0</v>
      </c>
      <c r="DK203" s="313">
        <f t="shared" si="399"/>
        <v>47604.517269621676</v>
      </c>
      <c r="DL203" s="313">
        <f t="shared" si="391"/>
        <v>103480</v>
      </c>
      <c r="DM203" s="314">
        <f t="shared" si="392"/>
        <v>18.90570280914724</v>
      </c>
      <c r="DN203" s="312">
        <f t="shared" si="393"/>
        <v>9.3592588164095242E-2</v>
      </c>
      <c r="DO203" s="312">
        <f t="shared" si="400"/>
        <v>1</v>
      </c>
      <c r="DP203" s="315">
        <f t="shared" si="384"/>
        <v>6.5000000000000002E-2</v>
      </c>
      <c r="DQ203" s="316">
        <f t="shared" si="394"/>
        <v>0.25</v>
      </c>
      <c r="DR203" s="316">
        <f t="shared" si="395"/>
        <v>54.320754522942522</v>
      </c>
      <c r="DS203" s="314">
        <f t="shared" si="396"/>
        <v>3.7186523231131616</v>
      </c>
      <c r="DT203" s="316">
        <f t="shared" si="397"/>
        <v>54.320754522942522</v>
      </c>
      <c r="DU203" s="314">
        <f t="shared" si="385"/>
        <v>3.7186523231131616</v>
      </c>
      <c r="DV203" s="316">
        <f t="shared" si="401"/>
        <v>99.5</v>
      </c>
      <c r="DW203" s="310">
        <f t="shared" si="386"/>
        <v>4.0100502512562812</v>
      </c>
      <c r="FB203" s="307"/>
      <c r="FC203" s="307"/>
      <c r="FF203" s="307"/>
      <c r="FG203" s="307"/>
      <c r="FH203" s="306"/>
      <c r="FJ203" s="307"/>
      <c r="FK203" s="307"/>
      <c r="FL203" s="306"/>
      <c r="FM203" s="307"/>
      <c r="FN203" s="306"/>
      <c r="FO203" s="307"/>
      <c r="FP203" s="306"/>
    </row>
    <row r="204" spans="29:172">
      <c r="AC204" s="156"/>
      <c r="AI204" s="190">
        <v>323</v>
      </c>
      <c r="AJ204" s="185">
        <v>179</v>
      </c>
      <c r="AK204" s="183">
        <f t="shared" si="374"/>
        <v>323</v>
      </c>
      <c r="AO204" s="182">
        <v>4.7300000000000002E-2</v>
      </c>
      <c r="AP204" s="185">
        <v>179</v>
      </c>
      <c r="AQ204" s="184">
        <f t="shared" si="375"/>
        <v>4.7300000000000002E-2</v>
      </c>
      <c r="AR204" s="190">
        <v>323</v>
      </c>
      <c r="AS204" s="185">
        <v>179</v>
      </c>
      <c r="AT204" s="183">
        <f t="shared" si="376"/>
        <v>323</v>
      </c>
      <c r="AX204" s="182">
        <v>4.7300000000000002E-2</v>
      </c>
      <c r="AY204" s="185">
        <v>179</v>
      </c>
      <c r="AZ204" s="184">
        <f t="shared" si="377"/>
        <v>4.7300000000000002E-2</v>
      </c>
      <c r="BA204" s="190">
        <v>323</v>
      </c>
      <c r="BB204" s="185">
        <v>179</v>
      </c>
      <c r="BC204" s="183">
        <f t="shared" si="378"/>
        <v>323</v>
      </c>
      <c r="BG204" s="182">
        <v>4.7300000000000002E-2</v>
      </c>
      <c r="BH204" s="185">
        <v>179</v>
      </c>
      <c r="BI204" s="184">
        <f t="shared" si="379"/>
        <v>4.7300000000000002E-2</v>
      </c>
      <c r="CW204" s="364"/>
      <c r="CX204" s="316"/>
      <c r="CY204" s="316"/>
      <c r="DA204" s="309">
        <v>203</v>
      </c>
      <c r="DB204" s="313">
        <f t="shared" si="380"/>
        <v>273.8859575560391</v>
      </c>
      <c r="DC204" s="309">
        <f t="shared" si="381"/>
        <v>1</v>
      </c>
      <c r="DD204" s="309">
        <f t="shared" si="382"/>
        <v>260</v>
      </c>
      <c r="DE204" s="308">
        <f t="shared" si="383"/>
        <v>6.5000000000000002E-2</v>
      </c>
      <c r="DF204" s="313">
        <f t="shared" si="398"/>
        <v>203</v>
      </c>
      <c r="DG204" s="313">
        <f t="shared" si="387"/>
        <v>260</v>
      </c>
      <c r="DH204" s="313">
        <f t="shared" si="388"/>
        <v>260</v>
      </c>
      <c r="DI204" s="313">
        <f t="shared" si="389"/>
        <v>0</v>
      </c>
      <c r="DJ204" s="313">
        <f t="shared" si="390"/>
        <v>0</v>
      </c>
      <c r="DK204" s="313">
        <f t="shared" si="399"/>
        <v>47864.517269621676</v>
      </c>
      <c r="DL204" s="313">
        <f t="shared" si="391"/>
        <v>103220</v>
      </c>
      <c r="DM204" s="314">
        <f t="shared" si="392"/>
        <v>18.90570280914724</v>
      </c>
      <c r="DN204" s="312">
        <f t="shared" si="393"/>
        <v>9.3131540931759807E-2</v>
      </c>
      <c r="DO204" s="312">
        <f t="shared" si="400"/>
        <v>1</v>
      </c>
      <c r="DP204" s="315">
        <f t="shared" si="384"/>
        <v>6.5000000000000002E-2</v>
      </c>
      <c r="DQ204" s="316">
        <f t="shared" si="394"/>
        <v>0.25</v>
      </c>
      <c r="DR204" s="316">
        <f t="shared" si="395"/>
        <v>54.570754522942522</v>
      </c>
      <c r="DS204" s="314">
        <f t="shared" si="396"/>
        <v>3.7199412354589154</v>
      </c>
      <c r="DT204" s="316">
        <f t="shared" si="397"/>
        <v>54.570754522942522</v>
      </c>
      <c r="DU204" s="314">
        <f t="shared" si="385"/>
        <v>3.7199412354589154</v>
      </c>
      <c r="DV204" s="316">
        <f t="shared" si="401"/>
        <v>99.25</v>
      </c>
      <c r="DW204" s="310">
        <f t="shared" si="386"/>
        <v>4.01007556675063</v>
      </c>
      <c r="FB204" s="307"/>
      <c r="FC204" s="307"/>
      <c r="FF204" s="307"/>
      <c r="FG204" s="307"/>
      <c r="FH204" s="306"/>
      <c r="FJ204" s="307"/>
      <c r="FK204" s="307"/>
      <c r="FL204" s="306"/>
      <c r="FM204" s="307"/>
      <c r="FN204" s="306"/>
      <c r="FO204" s="307"/>
      <c r="FP204" s="306"/>
    </row>
    <row r="205" spans="29:172">
      <c r="AC205" s="156"/>
      <c r="AI205" s="190">
        <v>322</v>
      </c>
      <c r="AJ205" s="185">
        <v>180</v>
      </c>
      <c r="AK205" s="183">
        <f t="shared" si="374"/>
        <v>322</v>
      </c>
      <c r="AO205" s="182">
        <v>4.7199999999999999E-2</v>
      </c>
      <c r="AP205" s="185">
        <v>180</v>
      </c>
      <c r="AQ205" s="184">
        <f t="shared" si="375"/>
        <v>4.7199999999999999E-2</v>
      </c>
      <c r="AR205" s="190">
        <v>322</v>
      </c>
      <c r="AS205" s="185">
        <v>180</v>
      </c>
      <c r="AT205" s="183">
        <f t="shared" si="376"/>
        <v>322</v>
      </c>
      <c r="AX205" s="182">
        <v>4.7199999999999999E-2</v>
      </c>
      <c r="AY205" s="185">
        <v>180</v>
      </c>
      <c r="AZ205" s="184">
        <f t="shared" si="377"/>
        <v>4.7199999999999999E-2</v>
      </c>
      <c r="BA205" s="190">
        <v>322</v>
      </c>
      <c r="BB205" s="185">
        <v>180</v>
      </c>
      <c r="BC205" s="183">
        <f t="shared" si="378"/>
        <v>322</v>
      </c>
      <c r="BG205" s="182">
        <v>4.7199999999999999E-2</v>
      </c>
      <c r="BH205" s="185">
        <v>180</v>
      </c>
      <c r="BI205" s="184">
        <f t="shared" si="379"/>
        <v>4.7199999999999999E-2</v>
      </c>
      <c r="CW205" s="364"/>
      <c r="CX205" s="316"/>
      <c r="CY205" s="316"/>
      <c r="DA205" s="309">
        <v>204</v>
      </c>
      <c r="DB205" s="313">
        <f t="shared" si="380"/>
        <v>274.24992779030526</v>
      </c>
      <c r="DC205" s="309">
        <f t="shared" si="381"/>
        <v>1</v>
      </c>
      <c r="DD205" s="309">
        <f t="shared" si="382"/>
        <v>260</v>
      </c>
      <c r="DE205" s="308">
        <f t="shared" si="383"/>
        <v>6.5000000000000002E-2</v>
      </c>
      <c r="DF205" s="313">
        <f t="shared" si="398"/>
        <v>204</v>
      </c>
      <c r="DG205" s="313">
        <f t="shared" si="387"/>
        <v>260</v>
      </c>
      <c r="DH205" s="313">
        <f t="shared" si="388"/>
        <v>260</v>
      </c>
      <c r="DI205" s="313">
        <f t="shared" si="389"/>
        <v>0</v>
      </c>
      <c r="DJ205" s="313">
        <f t="shared" si="390"/>
        <v>0</v>
      </c>
      <c r="DK205" s="313">
        <f t="shared" si="399"/>
        <v>48124.517269621676</v>
      </c>
      <c r="DL205" s="313">
        <f t="shared" si="391"/>
        <v>102960</v>
      </c>
      <c r="DM205" s="314">
        <f t="shared" si="392"/>
        <v>18.90570280914724</v>
      </c>
      <c r="DN205" s="312">
        <f t="shared" si="393"/>
        <v>9.2675013770329606E-2</v>
      </c>
      <c r="DO205" s="312">
        <f t="shared" si="400"/>
        <v>1</v>
      </c>
      <c r="DP205" s="315">
        <f t="shared" si="384"/>
        <v>6.5000000000000002E-2</v>
      </c>
      <c r="DQ205" s="316">
        <f t="shared" si="394"/>
        <v>0.25</v>
      </c>
      <c r="DR205" s="316">
        <f t="shared" si="395"/>
        <v>54.820754522942522</v>
      </c>
      <c r="DS205" s="314">
        <f t="shared" si="396"/>
        <v>3.7212183921077893</v>
      </c>
      <c r="DT205" s="316">
        <f t="shared" si="397"/>
        <v>54.820754522942522</v>
      </c>
      <c r="DU205" s="314">
        <f t="shared" si="385"/>
        <v>3.7212183921077893</v>
      </c>
      <c r="DV205" s="316">
        <f t="shared" si="401"/>
        <v>99</v>
      </c>
      <c r="DW205" s="310">
        <f t="shared" si="386"/>
        <v>4.0101010101010104</v>
      </c>
      <c r="FB205" s="307"/>
      <c r="FC205" s="307"/>
      <c r="FF205" s="307"/>
      <c r="FG205" s="307"/>
      <c r="FH205" s="306"/>
      <c r="FJ205" s="307"/>
      <c r="FK205" s="307"/>
      <c r="FL205" s="306"/>
      <c r="FM205" s="307"/>
      <c r="FN205" s="306"/>
      <c r="FO205" s="307"/>
      <c r="FP205" s="306"/>
    </row>
    <row r="206" spans="29:172">
      <c r="AC206" s="156"/>
      <c r="AI206" s="190">
        <v>321</v>
      </c>
      <c r="AJ206" s="185">
        <v>181</v>
      </c>
      <c r="AK206" s="183">
        <f t="shared" si="374"/>
        <v>321</v>
      </c>
      <c r="AO206" s="182">
        <v>4.7100000000000003E-2</v>
      </c>
      <c r="AP206" s="185">
        <v>181</v>
      </c>
      <c r="AQ206" s="184">
        <f t="shared" si="375"/>
        <v>4.7100000000000003E-2</v>
      </c>
      <c r="AR206" s="190">
        <v>321</v>
      </c>
      <c r="AS206" s="185">
        <v>181</v>
      </c>
      <c r="AT206" s="183">
        <f t="shared" si="376"/>
        <v>321</v>
      </c>
      <c r="AX206" s="182">
        <v>4.7100000000000003E-2</v>
      </c>
      <c r="AY206" s="185">
        <v>181</v>
      </c>
      <c r="AZ206" s="184">
        <f t="shared" si="377"/>
        <v>4.7100000000000003E-2</v>
      </c>
      <c r="BA206" s="190">
        <v>321</v>
      </c>
      <c r="BB206" s="185">
        <v>181</v>
      </c>
      <c r="BC206" s="183">
        <f t="shared" si="378"/>
        <v>321</v>
      </c>
      <c r="BG206" s="182">
        <v>4.7100000000000003E-2</v>
      </c>
      <c r="BH206" s="185">
        <v>181</v>
      </c>
      <c r="BI206" s="184">
        <f t="shared" si="379"/>
        <v>4.7100000000000003E-2</v>
      </c>
      <c r="CW206" s="364"/>
      <c r="CX206" s="316"/>
      <c r="CY206" s="316"/>
      <c r="DA206" s="309">
        <v>205</v>
      </c>
      <c r="DB206" s="313">
        <f t="shared" si="380"/>
        <v>274.61389802457148</v>
      </c>
      <c r="DC206" s="309">
        <f t="shared" si="381"/>
        <v>1</v>
      </c>
      <c r="DD206" s="309">
        <f t="shared" si="382"/>
        <v>260</v>
      </c>
      <c r="DE206" s="308">
        <f t="shared" si="383"/>
        <v>6.5000000000000002E-2</v>
      </c>
      <c r="DF206" s="313">
        <f t="shared" si="398"/>
        <v>205</v>
      </c>
      <c r="DG206" s="313">
        <f t="shared" si="387"/>
        <v>260</v>
      </c>
      <c r="DH206" s="313">
        <f t="shared" si="388"/>
        <v>260</v>
      </c>
      <c r="DI206" s="313">
        <f t="shared" si="389"/>
        <v>0</v>
      </c>
      <c r="DJ206" s="313">
        <f t="shared" si="390"/>
        <v>0</v>
      </c>
      <c r="DK206" s="313">
        <f t="shared" si="399"/>
        <v>48384.517269621676</v>
      </c>
      <c r="DL206" s="313">
        <f t="shared" si="391"/>
        <v>102700</v>
      </c>
      <c r="DM206" s="314">
        <f t="shared" si="392"/>
        <v>18.90570280914724</v>
      </c>
      <c r="DN206" s="312">
        <f t="shared" si="393"/>
        <v>9.2222940532425565E-2</v>
      </c>
      <c r="DO206" s="312">
        <f t="shared" si="400"/>
        <v>1</v>
      </c>
      <c r="DP206" s="315">
        <f t="shared" si="384"/>
        <v>6.5000000000000002E-2</v>
      </c>
      <c r="DQ206" s="316">
        <f t="shared" si="394"/>
        <v>0.25</v>
      </c>
      <c r="DR206" s="316">
        <f t="shared" si="395"/>
        <v>55.070754522942522</v>
      </c>
      <c r="DS206" s="314">
        <f t="shared" si="396"/>
        <v>3.722483953158783</v>
      </c>
      <c r="DT206" s="316">
        <f t="shared" si="397"/>
        <v>55.070754522942522</v>
      </c>
      <c r="DU206" s="314">
        <f t="shared" si="385"/>
        <v>3.722483953158783</v>
      </c>
      <c r="DV206" s="316">
        <f t="shared" si="401"/>
        <v>98.75</v>
      </c>
      <c r="DW206" s="310">
        <f t="shared" si="386"/>
        <v>4.0101265822784811</v>
      </c>
      <c r="FB206" s="307"/>
      <c r="FC206" s="307"/>
      <c r="FF206" s="307"/>
      <c r="FG206" s="307"/>
      <c r="FH206" s="306"/>
      <c r="FJ206" s="307"/>
      <c r="FK206" s="307"/>
      <c r="FL206" s="306"/>
      <c r="FM206" s="307"/>
      <c r="FN206" s="306"/>
      <c r="FO206" s="307"/>
      <c r="FP206" s="306"/>
    </row>
    <row r="207" spans="29:172">
      <c r="AC207" s="156"/>
      <c r="AI207" s="190">
        <v>320</v>
      </c>
      <c r="AJ207" s="185">
        <v>182</v>
      </c>
      <c r="AK207" s="183">
        <f t="shared" si="374"/>
        <v>320</v>
      </c>
      <c r="AO207" s="182">
        <v>4.7E-2</v>
      </c>
      <c r="AP207" s="185">
        <v>182</v>
      </c>
      <c r="AQ207" s="184">
        <f t="shared" si="375"/>
        <v>4.7E-2</v>
      </c>
      <c r="AR207" s="190">
        <v>320</v>
      </c>
      <c r="AS207" s="185">
        <v>182</v>
      </c>
      <c r="AT207" s="183">
        <f t="shared" si="376"/>
        <v>320</v>
      </c>
      <c r="AX207" s="182">
        <v>4.7E-2</v>
      </c>
      <c r="AY207" s="185">
        <v>182</v>
      </c>
      <c r="AZ207" s="184">
        <f t="shared" si="377"/>
        <v>4.7E-2</v>
      </c>
      <c r="BA207" s="190">
        <v>320</v>
      </c>
      <c r="BB207" s="185">
        <v>182</v>
      </c>
      <c r="BC207" s="183">
        <f t="shared" si="378"/>
        <v>320</v>
      </c>
      <c r="BG207" s="182">
        <v>4.7E-2</v>
      </c>
      <c r="BH207" s="185">
        <v>182</v>
      </c>
      <c r="BI207" s="184">
        <f t="shared" si="379"/>
        <v>4.7E-2</v>
      </c>
      <c r="CW207" s="364"/>
      <c r="CX207" s="316"/>
      <c r="CY207" s="316"/>
      <c r="DA207" s="309">
        <v>206</v>
      </c>
      <c r="DB207" s="313">
        <f t="shared" si="380"/>
        <v>274.9778682588377</v>
      </c>
      <c r="DC207" s="309">
        <f t="shared" si="381"/>
        <v>1</v>
      </c>
      <c r="DD207" s="309">
        <f t="shared" si="382"/>
        <v>260</v>
      </c>
      <c r="DE207" s="308">
        <f t="shared" si="383"/>
        <v>6.5000000000000002E-2</v>
      </c>
      <c r="DF207" s="313">
        <f t="shared" si="398"/>
        <v>206</v>
      </c>
      <c r="DG207" s="313">
        <f t="shared" si="387"/>
        <v>260</v>
      </c>
      <c r="DH207" s="313">
        <f t="shared" si="388"/>
        <v>260</v>
      </c>
      <c r="DI207" s="313">
        <f t="shared" si="389"/>
        <v>0</v>
      </c>
      <c r="DJ207" s="313">
        <f t="shared" si="390"/>
        <v>0</v>
      </c>
      <c r="DK207" s="313">
        <f t="shared" si="399"/>
        <v>48644.517269621676</v>
      </c>
      <c r="DL207" s="313">
        <f t="shared" si="391"/>
        <v>102440</v>
      </c>
      <c r="DM207" s="314">
        <f t="shared" si="392"/>
        <v>18.90570280914724</v>
      </c>
      <c r="DN207" s="312">
        <f t="shared" si="393"/>
        <v>9.1775256355083684E-2</v>
      </c>
      <c r="DO207" s="312">
        <f t="shared" si="400"/>
        <v>1</v>
      </c>
      <c r="DP207" s="315">
        <f t="shared" si="384"/>
        <v>6.5000000000000002E-2</v>
      </c>
      <c r="DQ207" s="316">
        <f t="shared" si="394"/>
        <v>0.25</v>
      </c>
      <c r="DR207" s="316">
        <f t="shared" si="395"/>
        <v>55.320754522942522</v>
      </c>
      <c r="DS207" s="314">
        <f t="shared" si="396"/>
        <v>3.7237380758168808</v>
      </c>
      <c r="DT207" s="316">
        <f t="shared" si="397"/>
        <v>55.320754522942522</v>
      </c>
      <c r="DU207" s="314">
        <f t="shared" si="385"/>
        <v>3.7237380758168808</v>
      </c>
      <c r="DV207" s="316">
        <f t="shared" si="401"/>
        <v>98.5</v>
      </c>
      <c r="DW207" s="310">
        <f t="shared" si="386"/>
        <v>4.0101522842639596</v>
      </c>
      <c r="FB207" s="307"/>
      <c r="FC207" s="307"/>
      <c r="FF207" s="307"/>
      <c r="FG207" s="307"/>
      <c r="FH207" s="306"/>
      <c r="FJ207" s="307"/>
      <c r="FK207" s="307"/>
      <c r="FL207" s="306"/>
      <c r="FM207" s="307"/>
      <c r="FN207" s="306"/>
      <c r="FO207" s="307"/>
      <c r="FP207" s="306"/>
    </row>
    <row r="208" spans="29:172">
      <c r="AC208" s="156"/>
      <c r="AI208" s="190">
        <v>319</v>
      </c>
      <c r="AJ208" s="185">
        <v>183</v>
      </c>
      <c r="AK208" s="183">
        <f t="shared" si="374"/>
        <v>319</v>
      </c>
      <c r="AO208" s="182">
        <v>4.6899999999999997E-2</v>
      </c>
      <c r="AP208" s="185">
        <v>183</v>
      </c>
      <c r="AQ208" s="184">
        <f t="shared" si="375"/>
        <v>4.6899999999999997E-2</v>
      </c>
      <c r="AR208" s="190">
        <v>319</v>
      </c>
      <c r="AS208" s="185">
        <v>183</v>
      </c>
      <c r="AT208" s="183">
        <f t="shared" si="376"/>
        <v>319</v>
      </c>
      <c r="AX208" s="182">
        <v>4.6899999999999997E-2</v>
      </c>
      <c r="AY208" s="185">
        <v>183</v>
      </c>
      <c r="AZ208" s="184">
        <f t="shared" si="377"/>
        <v>4.6899999999999997E-2</v>
      </c>
      <c r="BA208" s="190">
        <v>319</v>
      </c>
      <c r="BB208" s="185">
        <v>183</v>
      </c>
      <c r="BC208" s="183">
        <f t="shared" si="378"/>
        <v>319</v>
      </c>
      <c r="BG208" s="182">
        <v>4.6899999999999997E-2</v>
      </c>
      <c r="BH208" s="185">
        <v>183</v>
      </c>
      <c r="BI208" s="184">
        <f t="shared" si="379"/>
        <v>4.6899999999999997E-2</v>
      </c>
      <c r="CW208" s="364"/>
      <c r="CX208" s="316"/>
      <c r="CY208" s="316"/>
      <c r="DA208" s="309">
        <v>207</v>
      </c>
      <c r="DB208" s="313">
        <f t="shared" si="380"/>
        <v>275.34183849310386</v>
      </c>
      <c r="DC208" s="309">
        <f t="shared" si="381"/>
        <v>1</v>
      </c>
      <c r="DD208" s="309">
        <f t="shared" si="382"/>
        <v>260</v>
      </c>
      <c r="DE208" s="308">
        <f t="shared" si="383"/>
        <v>6.5000000000000002E-2</v>
      </c>
      <c r="DF208" s="313">
        <f t="shared" si="398"/>
        <v>207</v>
      </c>
      <c r="DG208" s="313">
        <f t="shared" si="387"/>
        <v>260</v>
      </c>
      <c r="DH208" s="313">
        <f t="shared" si="388"/>
        <v>260</v>
      </c>
      <c r="DI208" s="313">
        <f t="shared" si="389"/>
        <v>0</v>
      </c>
      <c r="DJ208" s="313">
        <f t="shared" si="390"/>
        <v>0</v>
      </c>
      <c r="DK208" s="313">
        <f t="shared" si="399"/>
        <v>48904.517269621676</v>
      </c>
      <c r="DL208" s="313">
        <f t="shared" si="391"/>
        <v>102180</v>
      </c>
      <c r="DM208" s="314">
        <f t="shared" si="392"/>
        <v>18.90570280914724</v>
      </c>
      <c r="DN208" s="312">
        <f t="shared" si="393"/>
        <v>9.1331897628730632E-2</v>
      </c>
      <c r="DO208" s="312">
        <f t="shared" si="400"/>
        <v>1</v>
      </c>
      <c r="DP208" s="315">
        <f t="shared" si="384"/>
        <v>6.5000000000000002E-2</v>
      </c>
      <c r="DQ208" s="316">
        <f t="shared" si="394"/>
        <v>0.25</v>
      </c>
      <c r="DR208" s="316">
        <f t="shared" si="395"/>
        <v>55.570754522942522</v>
      </c>
      <c r="DS208" s="314">
        <f t="shared" si="396"/>
        <v>3.7249809144581536</v>
      </c>
      <c r="DT208" s="316">
        <f t="shared" si="397"/>
        <v>55.570754522942522</v>
      </c>
      <c r="DU208" s="314">
        <f t="shared" si="385"/>
        <v>3.7249809144581536</v>
      </c>
      <c r="DV208" s="316">
        <f t="shared" si="401"/>
        <v>98.25</v>
      </c>
      <c r="DW208" s="310">
        <f t="shared" si="386"/>
        <v>4.0101781170483459</v>
      </c>
      <c r="FB208" s="307"/>
      <c r="FC208" s="307"/>
      <c r="FF208" s="307"/>
      <c r="FG208" s="307"/>
      <c r="FH208" s="306"/>
      <c r="FJ208" s="307"/>
      <c r="FK208" s="307"/>
      <c r="FL208" s="306"/>
      <c r="FM208" s="307"/>
      <c r="FN208" s="306"/>
      <c r="FO208" s="307"/>
      <c r="FP208" s="306"/>
    </row>
    <row r="209" spans="29:172">
      <c r="AC209" s="156"/>
      <c r="AI209" s="190">
        <v>318</v>
      </c>
      <c r="AJ209" s="185">
        <v>184</v>
      </c>
      <c r="AK209" s="183">
        <f t="shared" si="374"/>
        <v>318</v>
      </c>
      <c r="AO209" s="182">
        <v>4.6800000000000001E-2</v>
      </c>
      <c r="AP209" s="185">
        <v>184</v>
      </c>
      <c r="AQ209" s="184">
        <f t="shared" si="375"/>
        <v>4.6800000000000001E-2</v>
      </c>
      <c r="AR209" s="190">
        <v>318</v>
      </c>
      <c r="AS209" s="185">
        <v>184</v>
      </c>
      <c r="AT209" s="183">
        <f t="shared" si="376"/>
        <v>318</v>
      </c>
      <c r="AX209" s="182">
        <v>4.6800000000000001E-2</v>
      </c>
      <c r="AY209" s="185">
        <v>184</v>
      </c>
      <c r="AZ209" s="184">
        <f t="shared" si="377"/>
        <v>4.6800000000000001E-2</v>
      </c>
      <c r="BA209" s="190">
        <v>318</v>
      </c>
      <c r="BB209" s="185">
        <v>184</v>
      </c>
      <c r="BC209" s="183">
        <f t="shared" si="378"/>
        <v>318</v>
      </c>
      <c r="BG209" s="182">
        <v>4.6800000000000001E-2</v>
      </c>
      <c r="BH209" s="185">
        <v>184</v>
      </c>
      <c r="BI209" s="184">
        <f t="shared" si="379"/>
        <v>4.6800000000000001E-2</v>
      </c>
      <c r="CW209" s="364"/>
      <c r="CX209" s="316"/>
      <c r="CY209" s="316"/>
      <c r="DA209" s="309">
        <v>208</v>
      </c>
      <c r="DB209" s="313">
        <f t="shared" si="380"/>
        <v>275.70580872737008</v>
      </c>
      <c r="DC209" s="309">
        <f t="shared" si="381"/>
        <v>1</v>
      </c>
      <c r="DD209" s="309">
        <f t="shared" si="382"/>
        <v>260</v>
      </c>
      <c r="DE209" s="308">
        <f t="shared" si="383"/>
        <v>6.5000000000000002E-2</v>
      </c>
      <c r="DF209" s="313">
        <f t="shared" si="398"/>
        <v>208</v>
      </c>
      <c r="DG209" s="313">
        <f t="shared" si="387"/>
        <v>260</v>
      </c>
      <c r="DH209" s="313">
        <f t="shared" si="388"/>
        <v>260</v>
      </c>
      <c r="DI209" s="313">
        <f t="shared" si="389"/>
        <v>0</v>
      </c>
      <c r="DJ209" s="313">
        <f t="shared" si="390"/>
        <v>0</v>
      </c>
      <c r="DK209" s="313">
        <f t="shared" si="399"/>
        <v>49164.517269621676</v>
      </c>
      <c r="DL209" s="313">
        <f t="shared" si="391"/>
        <v>101920</v>
      </c>
      <c r="DM209" s="314">
        <f t="shared" si="392"/>
        <v>18.90570280914724</v>
      </c>
      <c r="DN209" s="312">
        <f t="shared" si="393"/>
        <v>9.0892801967054043E-2</v>
      </c>
      <c r="DO209" s="312">
        <f t="shared" si="400"/>
        <v>1</v>
      </c>
      <c r="DP209" s="315">
        <f t="shared" si="384"/>
        <v>6.5000000000000002E-2</v>
      </c>
      <c r="DQ209" s="316">
        <f t="shared" si="394"/>
        <v>0.25</v>
      </c>
      <c r="DR209" s="316">
        <f t="shared" si="395"/>
        <v>55.820754522942522</v>
      </c>
      <c r="DS209" s="314">
        <f t="shared" si="396"/>
        <v>3.7262126206931021</v>
      </c>
      <c r="DT209" s="316">
        <f t="shared" si="397"/>
        <v>55.820754522942522</v>
      </c>
      <c r="DU209" s="314">
        <f t="shared" si="385"/>
        <v>3.7262126206931021</v>
      </c>
      <c r="DV209" s="316">
        <f t="shared" si="401"/>
        <v>98</v>
      </c>
      <c r="DW209" s="310">
        <f t="shared" si="386"/>
        <v>4.0102040816326534</v>
      </c>
      <c r="FB209" s="307"/>
      <c r="FC209" s="307"/>
      <c r="FF209" s="307"/>
      <c r="FG209" s="307"/>
      <c r="FH209" s="306"/>
      <c r="FJ209" s="307"/>
      <c r="FK209" s="307"/>
      <c r="FL209" s="306"/>
      <c r="FM209" s="307"/>
      <c r="FN209" s="306"/>
      <c r="FO209" s="307"/>
      <c r="FP209" s="306"/>
    </row>
    <row r="210" spans="29:172">
      <c r="AC210" s="156"/>
      <c r="AI210" s="190">
        <v>317</v>
      </c>
      <c r="AJ210" s="185">
        <v>185</v>
      </c>
      <c r="AK210" s="183">
        <f t="shared" si="374"/>
        <v>317</v>
      </c>
      <c r="AO210" s="182">
        <v>4.6699999999999998E-2</v>
      </c>
      <c r="AP210" s="185">
        <v>185</v>
      </c>
      <c r="AQ210" s="184">
        <f t="shared" si="375"/>
        <v>4.6699999999999998E-2</v>
      </c>
      <c r="AR210" s="190">
        <v>317</v>
      </c>
      <c r="AS210" s="185">
        <v>185</v>
      </c>
      <c r="AT210" s="183">
        <f t="shared" si="376"/>
        <v>317</v>
      </c>
      <c r="AX210" s="182">
        <v>4.6699999999999998E-2</v>
      </c>
      <c r="AY210" s="185">
        <v>185</v>
      </c>
      <c r="AZ210" s="184">
        <f t="shared" si="377"/>
        <v>4.6699999999999998E-2</v>
      </c>
      <c r="BA210" s="190">
        <v>317</v>
      </c>
      <c r="BB210" s="185">
        <v>185</v>
      </c>
      <c r="BC210" s="183">
        <f t="shared" si="378"/>
        <v>317</v>
      </c>
      <c r="BG210" s="182">
        <v>4.6699999999999998E-2</v>
      </c>
      <c r="BH210" s="185">
        <v>185</v>
      </c>
      <c r="BI210" s="184">
        <f t="shared" si="379"/>
        <v>4.6699999999999998E-2</v>
      </c>
      <c r="CW210" s="364"/>
      <c r="CX210" s="316"/>
      <c r="CY210" s="316"/>
      <c r="DA210" s="309">
        <v>209</v>
      </c>
      <c r="DB210" s="313">
        <f t="shared" si="380"/>
        <v>276.0697789616363</v>
      </c>
      <c r="DC210" s="309">
        <f t="shared" si="381"/>
        <v>1</v>
      </c>
      <c r="DD210" s="309">
        <f t="shared" si="382"/>
        <v>260</v>
      </c>
      <c r="DE210" s="308">
        <f t="shared" si="383"/>
        <v>6.5000000000000002E-2</v>
      </c>
      <c r="DF210" s="313">
        <f t="shared" si="398"/>
        <v>209</v>
      </c>
      <c r="DG210" s="313">
        <f t="shared" si="387"/>
        <v>260</v>
      </c>
      <c r="DH210" s="313">
        <f t="shared" si="388"/>
        <v>260</v>
      </c>
      <c r="DI210" s="313">
        <f t="shared" si="389"/>
        <v>0</v>
      </c>
      <c r="DJ210" s="313">
        <f t="shared" si="390"/>
        <v>0</v>
      </c>
      <c r="DK210" s="313">
        <f t="shared" si="399"/>
        <v>49424.517269621676</v>
      </c>
      <c r="DL210" s="313">
        <f t="shared" si="391"/>
        <v>101660</v>
      </c>
      <c r="DM210" s="314">
        <f t="shared" si="392"/>
        <v>18.90570280914724</v>
      </c>
      <c r="DN210" s="312">
        <f t="shared" si="393"/>
        <v>9.0457908177737995E-2</v>
      </c>
      <c r="DO210" s="312">
        <f t="shared" si="400"/>
        <v>1</v>
      </c>
      <c r="DP210" s="315">
        <f t="shared" si="384"/>
        <v>6.5000000000000002E-2</v>
      </c>
      <c r="DQ210" s="316">
        <f t="shared" si="394"/>
        <v>0.25</v>
      </c>
      <c r="DR210" s="316">
        <f t="shared" si="395"/>
        <v>56.070754522942522</v>
      </c>
      <c r="DS210" s="314">
        <f t="shared" si="396"/>
        <v>3.7274333434283156</v>
      </c>
      <c r="DT210" s="316">
        <f t="shared" si="397"/>
        <v>56.070754522942522</v>
      </c>
      <c r="DU210" s="314">
        <f t="shared" si="385"/>
        <v>3.7274333434283156</v>
      </c>
      <c r="DV210" s="316">
        <f t="shared" si="401"/>
        <v>97.75</v>
      </c>
      <c r="DW210" s="310">
        <f t="shared" si="386"/>
        <v>4.0102301790281327</v>
      </c>
      <c r="FB210" s="307"/>
      <c r="FC210" s="307"/>
      <c r="FF210" s="307"/>
      <c r="FG210" s="307"/>
      <c r="FH210" s="306"/>
      <c r="FJ210" s="307"/>
      <c r="FK210" s="307"/>
      <c r="FL210" s="306"/>
      <c r="FM210" s="307"/>
      <c r="FN210" s="306"/>
      <c r="FO210" s="307"/>
      <c r="FP210" s="306"/>
    </row>
    <row r="211" spans="29:172">
      <c r="AC211" s="156"/>
      <c r="AI211" s="190">
        <v>316</v>
      </c>
      <c r="AJ211" s="185">
        <v>186</v>
      </c>
      <c r="AK211" s="183">
        <f t="shared" si="374"/>
        <v>316</v>
      </c>
      <c r="AO211" s="182">
        <v>4.6600000000000003E-2</v>
      </c>
      <c r="AP211" s="185">
        <v>186</v>
      </c>
      <c r="AQ211" s="184">
        <f t="shared" si="375"/>
        <v>4.6600000000000003E-2</v>
      </c>
      <c r="AR211" s="190">
        <v>316</v>
      </c>
      <c r="AS211" s="185">
        <v>186</v>
      </c>
      <c r="AT211" s="183">
        <f t="shared" si="376"/>
        <v>316</v>
      </c>
      <c r="AX211" s="182">
        <v>4.6600000000000003E-2</v>
      </c>
      <c r="AY211" s="185">
        <v>186</v>
      </c>
      <c r="AZ211" s="184">
        <f t="shared" si="377"/>
        <v>4.6600000000000003E-2</v>
      </c>
      <c r="BA211" s="190">
        <v>316</v>
      </c>
      <c r="BB211" s="185">
        <v>186</v>
      </c>
      <c r="BC211" s="183">
        <f t="shared" si="378"/>
        <v>316</v>
      </c>
      <c r="BG211" s="182">
        <v>4.6600000000000003E-2</v>
      </c>
      <c r="BH211" s="185">
        <v>186</v>
      </c>
      <c r="BI211" s="184">
        <f t="shared" si="379"/>
        <v>4.6600000000000003E-2</v>
      </c>
      <c r="CW211" s="364"/>
      <c r="CX211" s="316"/>
      <c r="CY211" s="316"/>
      <c r="DA211" s="309">
        <v>210</v>
      </c>
      <c r="DB211" s="313">
        <f t="shared" si="380"/>
        <v>276.43374919590246</v>
      </c>
      <c r="DC211" s="309">
        <f t="shared" si="381"/>
        <v>1</v>
      </c>
      <c r="DD211" s="309">
        <f t="shared" si="382"/>
        <v>260</v>
      </c>
      <c r="DE211" s="308">
        <f t="shared" si="383"/>
        <v>6.5000000000000002E-2</v>
      </c>
      <c r="DF211" s="313">
        <f t="shared" si="398"/>
        <v>210</v>
      </c>
      <c r="DG211" s="313">
        <f t="shared" si="387"/>
        <v>260</v>
      </c>
      <c r="DH211" s="313">
        <f t="shared" si="388"/>
        <v>260</v>
      </c>
      <c r="DI211" s="313">
        <f t="shared" si="389"/>
        <v>0</v>
      </c>
      <c r="DJ211" s="313">
        <f t="shared" si="390"/>
        <v>0</v>
      </c>
      <c r="DK211" s="313">
        <f t="shared" si="399"/>
        <v>49684.517269621676</v>
      </c>
      <c r="DL211" s="313">
        <f t="shared" si="391"/>
        <v>101400</v>
      </c>
      <c r="DM211" s="314">
        <f t="shared" si="392"/>
        <v>18.90570280914724</v>
      </c>
      <c r="DN211" s="312">
        <f t="shared" si="393"/>
        <v>9.0027156234034469E-2</v>
      </c>
      <c r="DO211" s="312">
        <f t="shared" si="400"/>
        <v>1</v>
      </c>
      <c r="DP211" s="315">
        <f t="shared" si="384"/>
        <v>6.5000000000000002E-2</v>
      </c>
      <c r="DQ211" s="316">
        <f t="shared" si="394"/>
        <v>0.25</v>
      </c>
      <c r="DR211" s="316">
        <f t="shared" si="395"/>
        <v>56.320754522942522</v>
      </c>
      <c r="DS211" s="314">
        <f t="shared" si="396"/>
        <v>3.728643228926479</v>
      </c>
      <c r="DT211" s="316">
        <f t="shared" si="397"/>
        <v>56.320754522942522</v>
      </c>
      <c r="DU211" s="314">
        <f t="shared" si="385"/>
        <v>3.728643228926479</v>
      </c>
      <c r="DV211" s="316">
        <f t="shared" si="401"/>
        <v>97.5</v>
      </c>
      <c r="DW211" s="310">
        <f t="shared" si="386"/>
        <v>4.0102564102564102</v>
      </c>
      <c r="FB211" s="307"/>
      <c r="FC211" s="307"/>
      <c r="FF211" s="307"/>
      <c r="FG211" s="307"/>
      <c r="FH211" s="306"/>
      <c r="FJ211" s="307"/>
      <c r="FK211" s="307"/>
      <c r="FL211" s="306"/>
      <c r="FM211" s="307"/>
      <c r="FN211" s="306"/>
      <c r="FO211" s="307"/>
      <c r="FP211" s="306"/>
    </row>
    <row r="212" spans="29:172">
      <c r="AC212" s="156"/>
      <c r="AI212" s="190">
        <v>315</v>
      </c>
      <c r="AJ212" s="185">
        <v>187</v>
      </c>
      <c r="AK212" s="183">
        <f t="shared" si="374"/>
        <v>315</v>
      </c>
      <c r="AO212" s="182">
        <v>4.65E-2</v>
      </c>
      <c r="AP212" s="185">
        <v>187</v>
      </c>
      <c r="AQ212" s="184">
        <f t="shared" si="375"/>
        <v>4.65E-2</v>
      </c>
      <c r="AR212" s="190">
        <v>315</v>
      </c>
      <c r="AS212" s="185">
        <v>187</v>
      </c>
      <c r="AT212" s="183">
        <f t="shared" si="376"/>
        <v>315</v>
      </c>
      <c r="AX212" s="182">
        <v>4.65E-2</v>
      </c>
      <c r="AY212" s="185">
        <v>187</v>
      </c>
      <c r="AZ212" s="184">
        <f t="shared" si="377"/>
        <v>4.65E-2</v>
      </c>
      <c r="BA212" s="190">
        <v>315</v>
      </c>
      <c r="BB212" s="185">
        <v>187</v>
      </c>
      <c r="BC212" s="183">
        <f t="shared" si="378"/>
        <v>315</v>
      </c>
      <c r="BG212" s="182">
        <v>4.65E-2</v>
      </c>
      <c r="BH212" s="185">
        <v>187</v>
      </c>
      <c r="BI212" s="184">
        <f t="shared" si="379"/>
        <v>4.65E-2</v>
      </c>
      <c r="CW212" s="364"/>
      <c r="CX212" s="316"/>
      <c r="CY212" s="316"/>
      <c r="DA212" s="309">
        <v>211</v>
      </c>
      <c r="DB212" s="313">
        <f t="shared" si="380"/>
        <v>276.79771943016868</v>
      </c>
      <c r="DC212" s="309">
        <f t="shared" si="381"/>
        <v>1</v>
      </c>
      <c r="DD212" s="309">
        <f t="shared" si="382"/>
        <v>260</v>
      </c>
      <c r="DE212" s="308">
        <f t="shared" si="383"/>
        <v>6.5000000000000002E-2</v>
      </c>
      <c r="DF212" s="313">
        <f t="shared" si="398"/>
        <v>211</v>
      </c>
      <c r="DG212" s="313">
        <f t="shared" si="387"/>
        <v>260</v>
      </c>
      <c r="DH212" s="313">
        <f t="shared" si="388"/>
        <v>260</v>
      </c>
      <c r="DI212" s="313">
        <f t="shared" si="389"/>
        <v>0</v>
      </c>
      <c r="DJ212" s="313">
        <f t="shared" si="390"/>
        <v>0</v>
      </c>
      <c r="DK212" s="313">
        <f t="shared" si="399"/>
        <v>49944.517269621676</v>
      </c>
      <c r="DL212" s="313">
        <f t="shared" si="391"/>
        <v>101140</v>
      </c>
      <c r="DM212" s="314">
        <f t="shared" si="392"/>
        <v>18.90570280914724</v>
      </c>
      <c r="DN212" s="312">
        <f t="shared" si="393"/>
        <v>8.9600487247143312E-2</v>
      </c>
      <c r="DO212" s="312">
        <f t="shared" si="400"/>
        <v>1</v>
      </c>
      <c r="DP212" s="315">
        <f t="shared" si="384"/>
        <v>6.5000000000000002E-2</v>
      </c>
      <c r="DQ212" s="316">
        <f t="shared" si="394"/>
        <v>0.25</v>
      </c>
      <c r="DR212" s="316">
        <f t="shared" si="395"/>
        <v>56.570754522942522</v>
      </c>
      <c r="DS212" s="314">
        <f t="shared" si="396"/>
        <v>3.7298424208647951</v>
      </c>
      <c r="DT212" s="316">
        <f t="shared" si="397"/>
        <v>56.570754522942522</v>
      </c>
      <c r="DU212" s="314">
        <f t="shared" si="385"/>
        <v>3.7298424208647951</v>
      </c>
      <c r="DV212" s="316">
        <f t="shared" si="401"/>
        <v>97.25</v>
      </c>
      <c r="DW212" s="310">
        <f t="shared" si="386"/>
        <v>4.0102827763496141</v>
      </c>
      <c r="FB212" s="307"/>
      <c r="FC212" s="307"/>
      <c r="FF212" s="307"/>
      <c r="FG212" s="307"/>
      <c r="FH212" s="306"/>
      <c r="FJ212" s="307"/>
      <c r="FK212" s="307"/>
      <c r="FL212" s="306"/>
      <c r="FM212" s="307"/>
      <c r="FN212" s="306"/>
      <c r="FO212" s="307"/>
      <c r="FP212" s="306"/>
    </row>
    <row r="213" spans="29:172">
      <c r="AC213" s="156"/>
      <c r="AI213" s="190">
        <v>314</v>
      </c>
      <c r="AJ213" s="185">
        <v>188</v>
      </c>
      <c r="AK213" s="183">
        <f t="shared" si="374"/>
        <v>314</v>
      </c>
      <c r="AO213" s="182">
        <v>4.6399999999999997E-2</v>
      </c>
      <c r="AP213" s="185">
        <v>188</v>
      </c>
      <c r="AQ213" s="184">
        <f t="shared" si="375"/>
        <v>4.6399999999999997E-2</v>
      </c>
      <c r="AR213" s="190">
        <v>314</v>
      </c>
      <c r="AS213" s="185">
        <v>188</v>
      </c>
      <c r="AT213" s="183">
        <f t="shared" si="376"/>
        <v>314</v>
      </c>
      <c r="AX213" s="182">
        <v>4.6399999999999997E-2</v>
      </c>
      <c r="AY213" s="185">
        <v>188</v>
      </c>
      <c r="AZ213" s="184">
        <f t="shared" si="377"/>
        <v>4.6399999999999997E-2</v>
      </c>
      <c r="BA213" s="190">
        <v>314</v>
      </c>
      <c r="BB213" s="185">
        <v>188</v>
      </c>
      <c r="BC213" s="183">
        <f t="shared" si="378"/>
        <v>314</v>
      </c>
      <c r="BG213" s="182">
        <v>4.6399999999999997E-2</v>
      </c>
      <c r="BH213" s="185">
        <v>188</v>
      </c>
      <c r="BI213" s="184">
        <f t="shared" si="379"/>
        <v>4.6399999999999997E-2</v>
      </c>
      <c r="CW213" s="364"/>
      <c r="CX213" s="316"/>
      <c r="CY213" s="316"/>
      <c r="DA213" s="309">
        <v>212</v>
      </c>
      <c r="DB213" s="313">
        <f t="shared" si="380"/>
        <v>277.1616896644349</v>
      </c>
      <c r="DC213" s="309">
        <f t="shared" si="381"/>
        <v>1</v>
      </c>
      <c r="DD213" s="309">
        <f t="shared" si="382"/>
        <v>260</v>
      </c>
      <c r="DE213" s="308">
        <f t="shared" si="383"/>
        <v>6.5000000000000002E-2</v>
      </c>
      <c r="DF213" s="313">
        <f t="shared" si="398"/>
        <v>212</v>
      </c>
      <c r="DG213" s="313">
        <f t="shared" si="387"/>
        <v>260</v>
      </c>
      <c r="DH213" s="313">
        <f t="shared" si="388"/>
        <v>260</v>
      </c>
      <c r="DI213" s="313">
        <f t="shared" si="389"/>
        <v>0</v>
      </c>
      <c r="DJ213" s="313">
        <f t="shared" si="390"/>
        <v>0</v>
      </c>
      <c r="DK213" s="313">
        <f t="shared" si="399"/>
        <v>50204.517269621676</v>
      </c>
      <c r="DL213" s="313">
        <f t="shared" si="391"/>
        <v>100880</v>
      </c>
      <c r="DM213" s="314">
        <f t="shared" si="392"/>
        <v>18.90570280914724</v>
      </c>
      <c r="DN213" s="312">
        <f t="shared" si="393"/>
        <v>8.9177843439373766E-2</v>
      </c>
      <c r="DO213" s="312">
        <f t="shared" si="400"/>
        <v>1</v>
      </c>
      <c r="DP213" s="315">
        <f t="shared" si="384"/>
        <v>6.5000000000000002E-2</v>
      </c>
      <c r="DQ213" s="316">
        <f t="shared" si="394"/>
        <v>0.25</v>
      </c>
      <c r="DR213" s="316">
        <f t="shared" si="395"/>
        <v>56.820754522942522</v>
      </c>
      <c r="DS213" s="314">
        <f t="shared" si="396"/>
        <v>3.7310310603918633</v>
      </c>
      <c r="DT213" s="316">
        <f t="shared" si="397"/>
        <v>56.820754522942522</v>
      </c>
      <c r="DU213" s="314">
        <f t="shared" si="385"/>
        <v>3.7310310603918633</v>
      </c>
      <c r="DV213" s="316">
        <f t="shared" si="401"/>
        <v>97</v>
      </c>
      <c r="DW213" s="310">
        <f t="shared" si="386"/>
        <v>4.0103092783505154</v>
      </c>
      <c r="FB213" s="307"/>
      <c r="FC213" s="307"/>
      <c r="FF213" s="307"/>
      <c r="FG213" s="307"/>
      <c r="FH213" s="306"/>
      <c r="FJ213" s="307"/>
      <c r="FK213" s="307"/>
      <c r="FL213" s="306"/>
      <c r="FM213" s="307"/>
      <c r="FN213" s="306"/>
      <c r="FO213" s="307"/>
      <c r="FP213" s="306"/>
    </row>
    <row r="214" spans="29:172">
      <c r="AC214" s="156"/>
      <c r="AI214" s="190">
        <v>313</v>
      </c>
      <c r="AJ214" s="185">
        <v>189</v>
      </c>
      <c r="AK214" s="183">
        <f t="shared" si="374"/>
        <v>313</v>
      </c>
      <c r="AO214" s="182">
        <v>4.6300000000000001E-2</v>
      </c>
      <c r="AP214" s="185">
        <v>189</v>
      </c>
      <c r="AQ214" s="184">
        <f t="shared" si="375"/>
        <v>4.6300000000000001E-2</v>
      </c>
      <c r="AR214" s="190">
        <v>313</v>
      </c>
      <c r="AS214" s="185">
        <v>189</v>
      </c>
      <c r="AT214" s="183">
        <f t="shared" si="376"/>
        <v>313</v>
      </c>
      <c r="AX214" s="182">
        <v>4.6300000000000001E-2</v>
      </c>
      <c r="AY214" s="185">
        <v>189</v>
      </c>
      <c r="AZ214" s="184">
        <f t="shared" si="377"/>
        <v>4.6300000000000001E-2</v>
      </c>
      <c r="BA214" s="190">
        <v>313</v>
      </c>
      <c r="BB214" s="185">
        <v>189</v>
      </c>
      <c r="BC214" s="183">
        <f t="shared" si="378"/>
        <v>313</v>
      </c>
      <c r="BG214" s="182">
        <v>4.6300000000000001E-2</v>
      </c>
      <c r="BH214" s="185">
        <v>189</v>
      </c>
      <c r="BI214" s="184">
        <f t="shared" si="379"/>
        <v>4.6300000000000001E-2</v>
      </c>
      <c r="CW214" s="364"/>
      <c r="CX214" s="316"/>
      <c r="CY214" s="316"/>
      <c r="DA214" s="309">
        <v>213</v>
      </c>
      <c r="DB214" s="313">
        <f t="shared" si="380"/>
        <v>277.52565989870106</v>
      </c>
      <c r="DC214" s="309">
        <f t="shared" si="381"/>
        <v>1</v>
      </c>
      <c r="DD214" s="309">
        <f t="shared" si="382"/>
        <v>260</v>
      </c>
      <c r="DE214" s="308">
        <f t="shared" si="383"/>
        <v>6.5000000000000002E-2</v>
      </c>
      <c r="DF214" s="313">
        <f t="shared" si="398"/>
        <v>213</v>
      </c>
      <c r="DG214" s="313">
        <f t="shared" si="387"/>
        <v>260</v>
      </c>
      <c r="DH214" s="313">
        <f t="shared" si="388"/>
        <v>260</v>
      </c>
      <c r="DI214" s="313">
        <f t="shared" si="389"/>
        <v>0</v>
      </c>
      <c r="DJ214" s="313">
        <f t="shared" si="390"/>
        <v>0</v>
      </c>
      <c r="DK214" s="313">
        <f t="shared" si="399"/>
        <v>50464.517269621676</v>
      </c>
      <c r="DL214" s="313">
        <f t="shared" si="391"/>
        <v>100620</v>
      </c>
      <c r="DM214" s="314">
        <f t="shared" si="392"/>
        <v>18.90570280914724</v>
      </c>
      <c r="DN214" s="312">
        <f t="shared" si="393"/>
        <v>8.8759168118062157E-2</v>
      </c>
      <c r="DO214" s="312">
        <f t="shared" si="400"/>
        <v>1</v>
      </c>
      <c r="DP214" s="315">
        <f t="shared" si="384"/>
        <v>6.5000000000000002E-2</v>
      </c>
      <c r="DQ214" s="316">
        <f t="shared" si="394"/>
        <v>0.25</v>
      </c>
      <c r="DR214" s="316">
        <f t="shared" si="395"/>
        <v>57.070754522942522</v>
      </c>
      <c r="DS214" s="314">
        <f t="shared" si="396"/>
        <v>3.7322092861830609</v>
      </c>
      <c r="DT214" s="316">
        <f t="shared" si="397"/>
        <v>57.070754522942522</v>
      </c>
      <c r="DU214" s="314">
        <f t="shared" si="385"/>
        <v>3.7322092861830609</v>
      </c>
      <c r="DV214" s="316">
        <f t="shared" si="401"/>
        <v>96.75</v>
      </c>
      <c r="DW214" s="310">
        <f t="shared" si="386"/>
        <v>4.0103359173126618</v>
      </c>
      <c r="FB214" s="307"/>
      <c r="FC214" s="307"/>
      <c r="FF214" s="307"/>
      <c r="FG214" s="307"/>
      <c r="FH214" s="306"/>
      <c r="FJ214" s="307"/>
      <c r="FK214" s="307"/>
      <c r="FL214" s="306"/>
      <c r="FM214" s="307"/>
      <c r="FN214" s="306"/>
      <c r="FO214" s="307"/>
      <c r="FP214" s="306"/>
    </row>
    <row r="215" spans="29:172">
      <c r="AC215" s="156"/>
      <c r="AI215" s="190">
        <v>312</v>
      </c>
      <c r="AJ215" s="185">
        <v>190</v>
      </c>
      <c r="AK215" s="183">
        <f t="shared" si="374"/>
        <v>312</v>
      </c>
      <c r="AO215" s="182">
        <v>4.6199999999999998E-2</v>
      </c>
      <c r="AP215" s="185">
        <v>190</v>
      </c>
      <c r="AQ215" s="184">
        <f t="shared" si="375"/>
        <v>4.6199999999999998E-2</v>
      </c>
      <c r="AR215" s="190">
        <v>312</v>
      </c>
      <c r="AS215" s="185">
        <v>190</v>
      </c>
      <c r="AT215" s="183">
        <f t="shared" si="376"/>
        <v>312</v>
      </c>
      <c r="AX215" s="182">
        <v>4.6199999999999998E-2</v>
      </c>
      <c r="AY215" s="185">
        <v>190</v>
      </c>
      <c r="AZ215" s="184">
        <f t="shared" si="377"/>
        <v>4.6199999999999998E-2</v>
      </c>
      <c r="BA215" s="190">
        <v>312</v>
      </c>
      <c r="BB215" s="185">
        <v>190</v>
      </c>
      <c r="BC215" s="183">
        <f t="shared" si="378"/>
        <v>312</v>
      </c>
      <c r="BG215" s="182">
        <v>4.6199999999999998E-2</v>
      </c>
      <c r="BH215" s="185">
        <v>190</v>
      </c>
      <c r="BI215" s="184">
        <f t="shared" si="379"/>
        <v>4.6199999999999998E-2</v>
      </c>
      <c r="CW215" s="364"/>
      <c r="CX215" s="316"/>
      <c r="CY215" s="316"/>
      <c r="DA215" s="309">
        <v>214</v>
      </c>
      <c r="DB215" s="313">
        <f t="shared" si="380"/>
        <v>277.88963013296728</v>
      </c>
      <c r="DC215" s="309">
        <f t="shared" si="381"/>
        <v>1</v>
      </c>
      <c r="DD215" s="309">
        <f t="shared" si="382"/>
        <v>260</v>
      </c>
      <c r="DE215" s="308">
        <f t="shared" si="383"/>
        <v>6.5000000000000002E-2</v>
      </c>
      <c r="DF215" s="313">
        <f t="shared" si="398"/>
        <v>214</v>
      </c>
      <c r="DG215" s="313">
        <f t="shared" si="387"/>
        <v>260</v>
      </c>
      <c r="DH215" s="313">
        <f t="shared" si="388"/>
        <v>260</v>
      </c>
      <c r="DI215" s="313">
        <f t="shared" si="389"/>
        <v>0</v>
      </c>
      <c r="DJ215" s="313">
        <f t="shared" si="390"/>
        <v>0</v>
      </c>
      <c r="DK215" s="313">
        <f t="shared" si="399"/>
        <v>50724.517269621676</v>
      </c>
      <c r="DL215" s="313">
        <f t="shared" si="391"/>
        <v>100360</v>
      </c>
      <c r="DM215" s="314">
        <f t="shared" si="392"/>
        <v>18.90570280914724</v>
      </c>
      <c r="DN215" s="312">
        <f t="shared" si="393"/>
        <v>8.8344405650220739E-2</v>
      </c>
      <c r="DO215" s="312">
        <f t="shared" si="400"/>
        <v>1</v>
      </c>
      <c r="DP215" s="315">
        <f t="shared" si="384"/>
        <v>6.5000000000000002E-2</v>
      </c>
      <c r="DQ215" s="316">
        <f t="shared" si="394"/>
        <v>0.25</v>
      </c>
      <c r="DR215" s="316">
        <f t="shared" si="395"/>
        <v>57.320754522942522</v>
      </c>
      <c r="DS215" s="314">
        <f t="shared" si="396"/>
        <v>3.733377234494478</v>
      </c>
      <c r="DT215" s="316">
        <f t="shared" si="397"/>
        <v>57.320754522942522</v>
      </c>
      <c r="DU215" s="314">
        <f t="shared" si="385"/>
        <v>3.733377234494478</v>
      </c>
      <c r="DV215" s="316">
        <f t="shared" si="401"/>
        <v>96.5</v>
      </c>
      <c r="DW215" s="310">
        <f t="shared" si="386"/>
        <v>4.0103626943005182</v>
      </c>
      <c r="FB215" s="307"/>
      <c r="FC215" s="307"/>
      <c r="FF215" s="307"/>
      <c r="FG215" s="307"/>
      <c r="FH215" s="306"/>
      <c r="FJ215" s="307"/>
      <c r="FK215" s="307"/>
      <c r="FL215" s="306"/>
      <c r="FM215" s="307"/>
      <c r="FN215" s="306"/>
      <c r="FO215" s="307"/>
      <c r="FP215" s="306"/>
    </row>
    <row r="216" spans="29:172">
      <c r="AC216" s="156"/>
      <c r="AI216" s="190">
        <v>311</v>
      </c>
      <c r="AJ216" s="185">
        <v>191</v>
      </c>
      <c r="AK216" s="183">
        <f t="shared" si="374"/>
        <v>311</v>
      </c>
      <c r="AO216" s="182">
        <v>4.6100000000000002E-2</v>
      </c>
      <c r="AP216" s="185">
        <v>191</v>
      </c>
      <c r="AQ216" s="184">
        <f t="shared" si="375"/>
        <v>4.6100000000000002E-2</v>
      </c>
      <c r="AR216" s="190">
        <v>311</v>
      </c>
      <c r="AS216" s="185">
        <v>191</v>
      </c>
      <c r="AT216" s="183">
        <f t="shared" si="376"/>
        <v>311</v>
      </c>
      <c r="AX216" s="182">
        <v>4.6100000000000002E-2</v>
      </c>
      <c r="AY216" s="185">
        <v>191</v>
      </c>
      <c r="AZ216" s="184">
        <f t="shared" si="377"/>
        <v>4.6100000000000002E-2</v>
      </c>
      <c r="BA216" s="190">
        <v>311</v>
      </c>
      <c r="BB216" s="185">
        <v>191</v>
      </c>
      <c r="BC216" s="183">
        <f t="shared" si="378"/>
        <v>311</v>
      </c>
      <c r="BG216" s="182">
        <v>4.6100000000000002E-2</v>
      </c>
      <c r="BH216" s="185">
        <v>191</v>
      </c>
      <c r="BI216" s="184">
        <f t="shared" si="379"/>
        <v>4.6100000000000002E-2</v>
      </c>
      <c r="CW216" s="364"/>
      <c r="CX216" s="316"/>
      <c r="CY216" s="316"/>
      <c r="DA216" s="309">
        <v>215</v>
      </c>
      <c r="DB216" s="313">
        <f t="shared" si="380"/>
        <v>278.2536003672335</v>
      </c>
      <c r="DC216" s="309">
        <f t="shared" si="381"/>
        <v>1</v>
      </c>
      <c r="DD216" s="309">
        <f t="shared" si="382"/>
        <v>260</v>
      </c>
      <c r="DE216" s="308">
        <f t="shared" si="383"/>
        <v>6.5000000000000002E-2</v>
      </c>
      <c r="DF216" s="313">
        <f t="shared" si="398"/>
        <v>215</v>
      </c>
      <c r="DG216" s="313">
        <f t="shared" si="387"/>
        <v>260</v>
      </c>
      <c r="DH216" s="313">
        <f t="shared" si="388"/>
        <v>260</v>
      </c>
      <c r="DI216" s="313">
        <f t="shared" si="389"/>
        <v>0</v>
      </c>
      <c r="DJ216" s="313">
        <f t="shared" si="390"/>
        <v>0</v>
      </c>
      <c r="DK216" s="313">
        <f t="shared" si="399"/>
        <v>50984.517269621676</v>
      </c>
      <c r="DL216" s="313">
        <f t="shared" si="391"/>
        <v>100100</v>
      </c>
      <c r="DM216" s="314">
        <f t="shared" si="392"/>
        <v>18.90570280914724</v>
      </c>
      <c r="DN216" s="312">
        <f t="shared" si="393"/>
        <v>8.7933501437894135E-2</v>
      </c>
      <c r="DO216" s="312">
        <f t="shared" si="400"/>
        <v>1</v>
      </c>
      <c r="DP216" s="315">
        <f t="shared" si="384"/>
        <v>6.5000000000000002E-2</v>
      </c>
      <c r="DQ216" s="316">
        <f t="shared" si="394"/>
        <v>0.25</v>
      </c>
      <c r="DR216" s="316">
        <f t="shared" si="395"/>
        <v>57.570754522942522</v>
      </c>
      <c r="DS216" s="314">
        <f t="shared" si="396"/>
        <v>3.7345350392154466</v>
      </c>
      <c r="DT216" s="316">
        <f t="shared" si="397"/>
        <v>57.570754522942522</v>
      </c>
      <c r="DU216" s="314">
        <f t="shared" si="385"/>
        <v>3.7345350392154466</v>
      </c>
      <c r="DV216" s="316">
        <f t="shared" si="401"/>
        <v>96.25</v>
      </c>
      <c r="DW216" s="310">
        <f t="shared" si="386"/>
        <v>4.0103896103896099</v>
      </c>
      <c r="FB216" s="307"/>
      <c r="FC216" s="307"/>
      <c r="FF216" s="307"/>
      <c r="FG216" s="307"/>
      <c r="FH216" s="306"/>
      <c r="FJ216" s="307"/>
      <c r="FK216" s="307"/>
      <c r="FL216" s="306"/>
      <c r="FM216" s="307"/>
      <c r="FN216" s="306"/>
      <c r="FO216" s="307"/>
      <c r="FP216" s="306"/>
    </row>
    <row r="217" spans="29:172">
      <c r="AC217" s="156"/>
      <c r="AI217" s="190">
        <v>310</v>
      </c>
      <c r="AJ217" s="185">
        <v>192</v>
      </c>
      <c r="AK217" s="183">
        <f t="shared" si="374"/>
        <v>310</v>
      </c>
      <c r="AO217" s="182">
        <v>4.5999999999999999E-2</v>
      </c>
      <c r="AP217" s="185">
        <v>192</v>
      </c>
      <c r="AQ217" s="184">
        <f t="shared" si="375"/>
        <v>4.5999999999999999E-2</v>
      </c>
      <c r="AR217" s="190">
        <v>310</v>
      </c>
      <c r="AS217" s="185">
        <v>192</v>
      </c>
      <c r="AT217" s="183">
        <f t="shared" si="376"/>
        <v>310</v>
      </c>
      <c r="AX217" s="182">
        <v>4.5999999999999999E-2</v>
      </c>
      <c r="AY217" s="185">
        <v>192</v>
      </c>
      <c r="AZ217" s="184">
        <f t="shared" si="377"/>
        <v>4.5999999999999999E-2</v>
      </c>
      <c r="BA217" s="190">
        <v>310</v>
      </c>
      <c r="BB217" s="185">
        <v>192</v>
      </c>
      <c r="BC217" s="183">
        <f t="shared" si="378"/>
        <v>310</v>
      </c>
      <c r="BG217" s="182">
        <v>4.5999999999999999E-2</v>
      </c>
      <c r="BH217" s="185">
        <v>192</v>
      </c>
      <c r="BI217" s="184">
        <f t="shared" si="379"/>
        <v>4.5999999999999999E-2</v>
      </c>
      <c r="CW217" s="364"/>
      <c r="CX217" s="316"/>
      <c r="CY217" s="316"/>
      <c r="DA217" s="309">
        <v>216</v>
      </c>
      <c r="DB217" s="313">
        <f t="shared" si="380"/>
        <v>278.61757060149972</v>
      </c>
      <c r="DC217" s="309">
        <f t="shared" si="381"/>
        <v>1</v>
      </c>
      <c r="DD217" s="309">
        <f t="shared" si="382"/>
        <v>260</v>
      </c>
      <c r="DE217" s="308">
        <f t="shared" si="383"/>
        <v>6.5000000000000002E-2</v>
      </c>
      <c r="DF217" s="313">
        <f t="shared" si="398"/>
        <v>216</v>
      </c>
      <c r="DG217" s="313">
        <f t="shared" si="387"/>
        <v>260</v>
      </c>
      <c r="DH217" s="313">
        <f t="shared" si="388"/>
        <v>260</v>
      </c>
      <c r="DI217" s="313">
        <f t="shared" si="389"/>
        <v>0</v>
      </c>
      <c r="DJ217" s="313">
        <f t="shared" si="390"/>
        <v>0</v>
      </c>
      <c r="DK217" s="313">
        <f t="shared" si="399"/>
        <v>51244.517269621676</v>
      </c>
      <c r="DL217" s="313">
        <f t="shared" si="391"/>
        <v>99840</v>
      </c>
      <c r="DM217" s="314">
        <f t="shared" si="392"/>
        <v>18.90570280914724</v>
      </c>
      <c r="DN217" s="312">
        <f t="shared" si="393"/>
        <v>8.752640189420019E-2</v>
      </c>
      <c r="DO217" s="312">
        <f t="shared" si="400"/>
        <v>1</v>
      </c>
      <c r="DP217" s="315">
        <f t="shared" si="384"/>
        <v>6.5000000000000002E-2</v>
      </c>
      <c r="DQ217" s="316">
        <f t="shared" si="394"/>
        <v>0.25</v>
      </c>
      <c r="DR217" s="316">
        <f t="shared" si="395"/>
        <v>57.820754522942522</v>
      </c>
      <c r="DS217" s="314">
        <f t="shared" si="396"/>
        <v>3.7356828319197048</v>
      </c>
      <c r="DT217" s="316">
        <f t="shared" si="397"/>
        <v>57.820754522942522</v>
      </c>
      <c r="DU217" s="314">
        <f t="shared" si="385"/>
        <v>3.7356828319197048</v>
      </c>
      <c r="DV217" s="316">
        <f t="shared" si="401"/>
        <v>96</v>
      </c>
      <c r="DW217" s="310">
        <f t="shared" si="386"/>
        <v>4.010416666666667</v>
      </c>
      <c r="FB217" s="307"/>
      <c r="FC217" s="307"/>
      <c r="FF217" s="307"/>
      <c r="FG217" s="307"/>
      <c r="FH217" s="306"/>
      <c r="FJ217" s="307"/>
      <c r="FK217" s="307"/>
      <c r="FL217" s="306"/>
      <c r="FM217" s="307"/>
      <c r="FN217" s="306"/>
      <c r="FO217" s="307"/>
      <c r="FP217" s="306"/>
    </row>
    <row r="218" spans="29:172">
      <c r="AC218" s="156"/>
      <c r="AI218" s="190">
        <v>309</v>
      </c>
      <c r="AJ218" s="185">
        <v>193</v>
      </c>
      <c r="AK218" s="183">
        <f t="shared" si="374"/>
        <v>309</v>
      </c>
      <c r="AO218" s="182">
        <v>4.5900000000000003E-2</v>
      </c>
      <c r="AP218" s="185">
        <v>193</v>
      </c>
      <c r="AQ218" s="184">
        <f t="shared" si="375"/>
        <v>4.5900000000000003E-2</v>
      </c>
      <c r="AR218" s="190">
        <v>309</v>
      </c>
      <c r="AS218" s="185">
        <v>193</v>
      </c>
      <c r="AT218" s="183">
        <f t="shared" si="376"/>
        <v>309</v>
      </c>
      <c r="AX218" s="182">
        <v>4.5900000000000003E-2</v>
      </c>
      <c r="AY218" s="185">
        <v>193</v>
      </c>
      <c r="AZ218" s="184">
        <f t="shared" si="377"/>
        <v>4.5900000000000003E-2</v>
      </c>
      <c r="BA218" s="190">
        <v>309</v>
      </c>
      <c r="BB218" s="185">
        <v>193</v>
      </c>
      <c r="BC218" s="183">
        <f t="shared" si="378"/>
        <v>309</v>
      </c>
      <c r="BG218" s="182">
        <v>4.5900000000000003E-2</v>
      </c>
      <c r="BH218" s="185">
        <v>193</v>
      </c>
      <c r="BI218" s="184">
        <f t="shared" si="379"/>
        <v>4.5900000000000003E-2</v>
      </c>
      <c r="CW218" s="364"/>
      <c r="CX218" s="316"/>
      <c r="CY218" s="316"/>
      <c r="DA218" s="309">
        <v>217</v>
      </c>
      <c r="DB218" s="313">
        <f t="shared" si="380"/>
        <v>278.98154083576594</v>
      </c>
      <c r="DC218" s="309">
        <f t="shared" si="381"/>
        <v>1</v>
      </c>
      <c r="DD218" s="309">
        <f t="shared" si="382"/>
        <v>260</v>
      </c>
      <c r="DE218" s="308">
        <f t="shared" si="383"/>
        <v>6.5000000000000002E-2</v>
      </c>
      <c r="DF218" s="313">
        <f t="shared" si="398"/>
        <v>217</v>
      </c>
      <c r="DG218" s="313">
        <f t="shared" si="387"/>
        <v>260</v>
      </c>
      <c r="DH218" s="313">
        <f t="shared" si="388"/>
        <v>260</v>
      </c>
      <c r="DI218" s="313">
        <f t="shared" si="389"/>
        <v>0</v>
      </c>
      <c r="DJ218" s="313">
        <f t="shared" si="390"/>
        <v>0</v>
      </c>
      <c r="DK218" s="313">
        <f t="shared" si="399"/>
        <v>51504.517269621676</v>
      </c>
      <c r="DL218" s="313">
        <f t="shared" si="391"/>
        <v>99580</v>
      </c>
      <c r="DM218" s="314">
        <f t="shared" si="392"/>
        <v>18.90570280914724</v>
      </c>
      <c r="DN218" s="312">
        <f t="shared" si="393"/>
        <v>8.7123054420033361E-2</v>
      </c>
      <c r="DO218" s="312">
        <f t="shared" si="400"/>
        <v>1</v>
      </c>
      <c r="DP218" s="315">
        <f t="shared" si="384"/>
        <v>6.5000000000000002E-2</v>
      </c>
      <c r="DQ218" s="316">
        <f t="shared" si="394"/>
        <v>0.25</v>
      </c>
      <c r="DR218" s="316">
        <f t="shared" si="395"/>
        <v>58.070754522942522</v>
      </c>
      <c r="DS218" s="314">
        <f t="shared" si="396"/>
        <v>3.7368207419152424</v>
      </c>
      <c r="DT218" s="316">
        <f t="shared" si="397"/>
        <v>58.070754522942522</v>
      </c>
      <c r="DU218" s="314">
        <f t="shared" si="385"/>
        <v>3.7368207419152424</v>
      </c>
      <c r="DV218" s="316">
        <f t="shared" si="401"/>
        <v>95.75</v>
      </c>
      <c r="DW218" s="310">
        <f t="shared" si="386"/>
        <v>4.0104438642297646</v>
      </c>
      <c r="FB218" s="307"/>
      <c r="FC218" s="307"/>
      <c r="FF218" s="307"/>
      <c r="FG218" s="307"/>
      <c r="FH218" s="306"/>
      <c r="FJ218" s="307"/>
      <c r="FK218" s="307"/>
      <c r="FL218" s="306"/>
      <c r="FM218" s="307"/>
      <c r="FN218" s="306"/>
      <c r="FO218" s="307"/>
      <c r="FP218" s="306"/>
    </row>
    <row r="219" spans="29:172">
      <c r="AC219" s="156"/>
      <c r="AI219" s="190">
        <v>308</v>
      </c>
      <c r="AJ219" s="185">
        <v>194</v>
      </c>
      <c r="AK219" s="183">
        <f t="shared" ref="AK219:AK282" si="402">AI219</f>
        <v>308</v>
      </c>
      <c r="AO219" s="182">
        <v>4.58E-2</v>
      </c>
      <c r="AP219" s="185">
        <v>194</v>
      </c>
      <c r="AQ219" s="184">
        <f t="shared" ref="AQ219:AQ282" si="403">AO219</f>
        <v>4.58E-2</v>
      </c>
      <c r="AR219" s="190">
        <v>308</v>
      </c>
      <c r="AS219" s="185">
        <v>194</v>
      </c>
      <c r="AT219" s="183">
        <f t="shared" ref="AT219:AT282" si="404">AR219</f>
        <v>308</v>
      </c>
      <c r="AX219" s="182">
        <v>4.58E-2</v>
      </c>
      <c r="AY219" s="185">
        <v>194</v>
      </c>
      <c r="AZ219" s="184">
        <f t="shared" ref="AZ219:AZ282" si="405">AX219</f>
        <v>4.58E-2</v>
      </c>
      <c r="BA219" s="190">
        <v>308</v>
      </c>
      <c r="BB219" s="185">
        <v>194</v>
      </c>
      <c r="BC219" s="183">
        <f t="shared" ref="BC219:BC282" si="406">BA219</f>
        <v>308</v>
      </c>
      <c r="BG219" s="182">
        <v>4.58E-2</v>
      </c>
      <c r="BH219" s="185">
        <v>194</v>
      </c>
      <c r="BI219" s="184">
        <f t="shared" ref="BI219:BI282" si="407">BG219</f>
        <v>4.58E-2</v>
      </c>
      <c r="CW219" s="364"/>
      <c r="CX219" s="316"/>
      <c r="CY219" s="316"/>
      <c r="DA219" s="309">
        <v>218</v>
      </c>
      <c r="DB219" s="313">
        <f t="shared" si="380"/>
        <v>279.3455110700321</v>
      </c>
      <c r="DC219" s="309">
        <f t="shared" si="381"/>
        <v>1</v>
      </c>
      <c r="DD219" s="309">
        <f t="shared" si="382"/>
        <v>260</v>
      </c>
      <c r="DE219" s="308">
        <f t="shared" si="383"/>
        <v>6.5000000000000002E-2</v>
      </c>
      <c r="DF219" s="313">
        <f t="shared" si="398"/>
        <v>218</v>
      </c>
      <c r="DG219" s="313">
        <f t="shared" si="387"/>
        <v>260</v>
      </c>
      <c r="DH219" s="313">
        <f t="shared" si="388"/>
        <v>260</v>
      </c>
      <c r="DI219" s="313">
        <f t="shared" si="389"/>
        <v>0</v>
      </c>
      <c r="DJ219" s="313">
        <f t="shared" si="390"/>
        <v>0</v>
      </c>
      <c r="DK219" s="313">
        <f t="shared" si="399"/>
        <v>51764.517269621676</v>
      </c>
      <c r="DL219" s="313">
        <f t="shared" si="391"/>
        <v>99320</v>
      </c>
      <c r="DM219" s="314">
        <f t="shared" si="392"/>
        <v>18.90570280914724</v>
      </c>
      <c r="DN219" s="312">
        <f t="shared" si="393"/>
        <v>8.6723407381409351E-2</v>
      </c>
      <c r="DO219" s="312">
        <f t="shared" si="400"/>
        <v>1</v>
      </c>
      <c r="DP219" s="315">
        <f t="shared" si="384"/>
        <v>6.5000000000000002E-2</v>
      </c>
      <c r="DQ219" s="316">
        <f t="shared" si="394"/>
        <v>0.25</v>
      </c>
      <c r="DR219" s="316">
        <f t="shared" si="395"/>
        <v>58.320754522942522</v>
      </c>
      <c r="DS219" s="314">
        <f t="shared" si="396"/>
        <v>3.7379488962928629</v>
      </c>
      <c r="DT219" s="316">
        <f t="shared" si="397"/>
        <v>58.320754522942522</v>
      </c>
      <c r="DU219" s="314">
        <f t="shared" si="385"/>
        <v>3.7379488962928629</v>
      </c>
      <c r="DV219" s="316">
        <f t="shared" si="401"/>
        <v>95.5</v>
      </c>
      <c r="DW219" s="310">
        <f t="shared" si="386"/>
        <v>4.010471204188482</v>
      </c>
      <c r="FB219" s="307"/>
      <c r="FC219" s="307"/>
      <c r="FF219" s="307"/>
      <c r="FG219" s="307"/>
      <c r="FH219" s="306"/>
      <c r="FJ219" s="307"/>
      <c r="FK219" s="307"/>
      <c r="FL219" s="306"/>
      <c r="FM219" s="307"/>
      <c r="FN219" s="306"/>
      <c r="FO219" s="307"/>
      <c r="FP219" s="306"/>
    </row>
    <row r="220" spans="29:172">
      <c r="AC220" s="156"/>
      <c r="AI220" s="190">
        <v>307</v>
      </c>
      <c r="AJ220" s="185">
        <v>195</v>
      </c>
      <c r="AK220" s="183">
        <f t="shared" si="402"/>
        <v>307</v>
      </c>
      <c r="AO220" s="182">
        <v>4.5699999999999998E-2</v>
      </c>
      <c r="AP220" s="185">
        <v>195</v>
      </c>
      <c r="AQ220" s="184">
        <f t="shared" si="403"/>
        <v>4.5699999999999998E-2</v>
      </c>
      <c r="AR220" s="190">
        <v>307</v>
      </c>
      <c r="AS220" s="185">
        <v>195</v>
      </c>
      <c r="AT220" s="183">
        <f t="shared" si="404"/>
        <v>307</v>
      </c>
      <c r="AX220" s="182">
        <v>4.5699999999999998E-2</v>
      </c>
      <c r="AY220" s="185">
        <v>195</v>
      </c>
      <c r="AZ220" s="184">
        <f t="shared" si="405"/>
        <v>4.5699999999999998E-2</v>
      </c>
      <c r="BA220" s="190">
        <v>307</v>
      </c>
      <c r="BB220" s="185">
        <v>195</v>
      </c>
      <c r="BC220" s="183">
        <f t="shared" si="406"/>
        <v>307</v>
      </c>
      <c r="BG220" s="182">
        <v>4.5699999999999998E-2</v>
      </c>
      <c r="BH220" s="185">
        <v>195</v>
      </c>
      <c r="BI220" s="184">
        <f t="shared" si="407"/>
        <v>4.5699999999999998E-2</v>
      </c>
      <c r="CW220" s="364"/>
      <c r="CX220" s="316"/>
      <c r="CY220" s="316"/>
      <c r="DA220" s="309">
        <v>219</v>
      </c>
      <c r="DB220" s="313">
        <f t="shared" si="380"/>
        <v>279.70948130429832</v>
      </c>
      <c r="DC220" s="309">
        <f t="shared" si="381"/>
        <v>1</v>
      </c>
      <c r="DD220" s="309">
        <f t="shared" si="382"/>
        <v>260</v>
      </c>
      <c r="DE220" s="308">
        <f t="shared" si="383"/>
        <v>6.5000000000000002E-2</v>
      </c>
      <c r="DF220" s="313">
        <f t="shared" si="398"/>
        <v>219</v>
      </c>
      <c r="DG220" s="313">
        <f t="shared" si="387"/>
        <v>260</v>
      </c>
      <c r="DH220" s="313">
        <f t="shared" si="388"/>
        <v>260</v>
      </c>
      <c r="DI220" s="313">
        <f t="shared" si="389"/>
        <v>0</v>
      </c>
      <c r="DJ220" s="313">
        <f t="shared" si="390"/>
        <v>0</v>
      </c>
      <c r="DK220" s="313">
        <f t="shared" si="399"/>
        <v>52024.517269621676</v>
      </c>
      <c r="DL220" s="313">
        <f t="shared" si="391"/>
        <v>99060</v>
      </c>
      <c r="DM220" s="314">
        <f t="shared" si="392"/>
        <v>18.90570280914724</v>
      </c>
      <c r="DN220" s="312">
        <f t="shared" si="393"/>
        <v>8.632741008743032E-2</v>
      </c>
      <c r="DO220" s="312">
        <f t="shared" si="400"/>
        <v>1</v>
      </c>
      <c r="DP220" s="315">
        <f t="shared" si="384"/>
        <v>6.5000000000000002E-2</v>
      </c>
      <c r="DQ220" s="316">
        <f t="shared" si="394"/>
        <v>0.25</v>
      </c>
      <c r="DR220" s="316">
        <f t="shared" si="395"/>
        <v>58.570754522942522</v>
      </c>
      <c r="DS220" s="314">
        <f t="shared" si="396"/>
        <v>3.7390674199735017</v>
      </c>
      <c r="DT220" s="316">
        <f t="shared" si="397"/>
        <v>58.570754522942522</v>
      </c>
      <c r="DU220" s="314">
        <f t="shared" si="385"/>
        <v>3.7390674199735017</v>
      </c>
      <c r="DV220" s="316">
        <f t="shared" si="401"/>
        <v>95.25</v>
      </c>
      <c r="DW220" s="310">
        <f t="shared" si="386"/>
        <v>4.0104986876640423</v>
      </c>
      <c r="FB220" s="307"/>
      <c r="FC220" s="307"/>
      <c r="FF220" s="307"/>
      <c r="FG220" s="307"/>
      <c r="FH220" s="306"/>
      <c r="FJ220" s="307"/>
      <c r="FK220" s="307"/>
      <c r="FL220" s="306"/>
      <c r="FM220" s="307"/>
      <c r="FN220" s="306"/>
      <c r="FO220" s="307"/>
      <c r="FP220" s="306"/>
    </row>
    <row r="221" spans="29:172">
      <c r="AC221" s="156"/>
      <c r="AI221" s="190">
        <v>306</v>
      </c>
      <c r="AJ221" s="185">
        <v>196</v>
      </c>
      <c r="AK221" s="183">
        <f t="shared" si="402"/>
        <v>306</v>
      </c>
      <c r="AO221" s="182">
        <v>4.5600000000000002E-2</v>
      </c>
      <c r="AP221" s="185">
        <v>196</v>
      </c>
      <c r="AQ221" s="184">
        <f t="shared" si="403"/>
        <v>4.5600000000000002E-2</v>
      </c>
      <c r="AR221" s="190">
        <v>306</v>
      </c>
      <c r="AS221" s="185">
        <v>196</v>
      </c>
      <c r="AT221" s="183">
        <f t="shared" si="404"/>
        <v>306</v>
      </c>
      <c r="AX221" s="182">
        <v>4.5600000000000002E-2</v>
      </c>
      <c r="AY221" s="185">
        <v>196</v>
      </c>
      <c r="AZ221" s="184">
        <f t="shared" si="405"/>
        <v>4.5600000000000002E-2</v>
      </c>
      <c r="BA221" s="190">
        <v>306</v>
      </c>
      <c r="BB221" s="185">
        <v>196</v>
      </c>
      <c r="BC221" s="183">
        <f t="shared" si="406"/>
        <v>306</v>
      </c>
      <c r="BG221" s="182">
        <v>4.5600000000000002E-2</v>
      </c>
      <c r="BH221" s="185">
        <v>196</v>
      </c>
      <c r="BI221" s="184">
        <f t="shared" si="407"/>
        <v>4.5600000000000002E-2</v>
      </c>
      <c r="CW221" s="364"/>
      <c r="CX221" s="316"/>
      <c r="CY221" s="316"/>
      <c r="DA221" s="309">
        <v>220</v>
      </c>
      <c r="DB221" s="313">
        <f t="shared" si="380"/>
        <v>280.07345153856454</v>
      </c>
      <c r="DC221" s="309">
        <f t="shared" si="381"/>
        <v>1</v>
      </c>
      <c r="DD221" s="309">
        <f t="shared" si="382"/>
        <v>260</v>
      </c>
      <c r="DE221" s="308">
        <f t="shared" si="383"/>
        <v>6.5000000000000002E-2</v>
      </c>
      <c r="DF221" s="313">
        <f t="shared" si="398"/>
        <v>220</v>
      </c>
      <c r="DG221" s="313">
        <f t="shared" si="387"/>
        <v>260</v>
      </c>
      <c r="DH221" s="313">
        <f t="shared" si="388"/>
        <v>260</v>
      </c>
      <c r="DI221" s="313">
        <f t="shared" si="389"/>
        <v>0</v>
      </c>
      <c r="DJ221" s="313">
        <f t="shared" si="390"/>
        <v>0</v>
      </c>
      <c r="DK221" s="313">
        <f t="shared" si="399"/>
        <v>52284.517269621676</v>
      </c>
      <c r="DL221" s="313">
        <f t="shared" si="391"/>
        <v>98800</v>
      </c>
      <c r="DM221" s="314">
        <f t="shared" si="392"/>
        <v>18.90570280914724</v>
      </c>
      <c r="DN221" s="312">
        <f t="shared" si="393"/>
        <v>8.5935012768851085E-2</v>
      </c>
      <c r="DO221" s="312">
        <f t="shared" si="400"/>
        <v>1</v>
      </c>
      <c r="DP221" s="315">
        <f t="shared" si="384"/>
        <v>6.5000000000000002E-2</v>
      </c>
      <c r="DQ221" s="316">
        <f t="shared" si="394"/>
        <v>0.25</v>
      </c>
      <c r="DR221" s="316">
        <f t="shared" si="395"/>
        <v>58.820754522942522</v>
      </c>
      <c r="DS221" s="314">
        <f t="shared" si="396"/>
        <v>3.7401764357543379</v>
      </c>
      <c r="DT221" s="316">
        <f t="shared" si="397"/>
        <v>58.820754522942522</v>
      </c>
      <c r="DU221" s="314">
        <f t="shared" si="385"/>
        <v>3.7401764357543379</v>
      </c>
      <c r="DV221" s="316">
        <f t="shared" si="401"/>
        <v>95</v>
      </c>
      <c r="DW221" s="310">
        <f t="shared" si="386"/>
        <v>4.0105263157894733</v>
      </c>
      <c r="FB221" s="307"/>
      <c r="FC221" s="307"/>
      <c r="FF221" s="307"/>
      <c r="FG221" s="307"/>
      <c r="FH221" s="306"/>
      <c r="FJ221" s="307"/>
      <c r="FK221" s="307"/>
      <c r="FL221" s="306"/>
      <c r="FM221" s="307"/>
      <c r="FN221" s="306"/>
      <c r="FO221" s="307"/>
      <c r="FP221" s="306"/>
    </row>
    <row r="222" spans="29:172">
      <c r="AC222" s="156"/>
      <c r="AI222" s="190">
        <v>305</v>
      </c>
      <c r="AJ222" s="185">
        <v>197</v>
      </c>
      <c r="AK222" s="183">
        <f t="shared" si="402"/>
        <v>305</v>
      </c>
      <c r="AO222" s="182">
        <v>4.5499999999999999E-2</v>
      </c>
      <c r="AP222" s="185">
        <v>197</v>
      </c>
      <c r="AQ222" s="184">
        <f t="shared" si="403"/>
        <v>4.5499999999999999E-2</v>
      </c>
      <c r="AR222" s="190">
        <v>305</v>
      </c>
      <c r="AS222" s="185">
        <v>197</v>
      </c>
      <c r="AT222" s="183">
        <f t="shared" si="404"/>
        <v>305</v>
      </c>
      <c r="AX222" s="182">
        <v>4.5499999999999999E-2</v>
      </c>
      <c r="AY222" s="185">
        <v>197</v>
      </c>
      <c r="AZ222" s="184">
        <f t="shared" si="405"/>
        <v>4.5499999999999999E-2</v>
      </c>
      <c r="BA222" s="190">
        <v>305</v>
      </c>
      <c r="BB222" s="185">
        <v>197</v>
      </c>
      <c r="BC222" s="183">
        <f t="shared" si="406"/>
        <v>305</v>
      </c>
      <c r="BG222" s="182">
        <v>4.5499999999999999E-2</v>
      </c>
      <c r="BH222" s="185">
        <v>197</v>
      </c>
      <c r="BI222" s="184">
        <f t="shared" si="407"/>
        <v>4.5499999999999999E-2</v>
      </c>
      <c r="CW222" s="364"/>
      <c r="CX222" s="316"/>
      <c r="CY222" s="316"/>
      <c r="DA222" s="309">
        <v>221</v>
      </c>
      <c r="DB222" s="313">
        <f t="shared" si="380"/>
        <v>280.4374217728307</v>
      </c>
      <c r="DC222" s="309">
        <f t="shared" si="381"/>
        <v>1</v>
      </c>
      <c r="DD222" s="309">
        <f t="shared" si="382"/>
        <v>260</v>
      </c>
      <c r="DE222" s="308">
        <f t="shared" si="383"/>
        <v>6.5000000000000002E-2</v>
      </c>
      <c r="DF222" s="313">
        <f t="shared" si="398"/>
        <v>221</v>
      </c>
      <c r="DG222" s="313">
        <f t="shared" si="387"/>
        <v>260</v>
      </c>
      <c r="DH222" s="313">
        <f t="shared" si="388"/>
        <v>260</v>
      </c>
      <c r="DI222" s="313">
        <f t="shared" si="389"/>
        <v>0</v>
      </c>
      <c r="DJ222" s="313">
        <f t="shared" si="390"/>
        <v>0</v>
      </c>
      <c r="DK222" s="313">
        <f t="shared" si="399"/>
        <v>52544.517269621676</v>
      </c>
      <c r="DL222" s="313">
        <f t="shared" si="391"/>
        <v>98540</v>
      </c>
      <c r="DM222" s="314">
        <f t="shared" si="392"/>
        <v>18.90570280914724</v>
      </c>
      <c r="DN222" s="312">
        <f t="shared" si="393"/>
        <v>8.5546166557227327E-2</v>
      </c>
      <c r="DO222" s="312">
        <f t="shared" si="400"/>
        <v>1</v>
      </c>
      <c r="DP222" s="315">
        <f t="shared" si="384"/>
        <v>6.5000000000000002E-2</v>
      </c>
      <c r="DQ222" s="316">
        <f t="shared" si="394"/>
        <v>0.25</v>
      </c>
      <c r="DR222" s="316">
        <f t="shared" si="395"/>
        <v>59.070754522942522</v>
      </c>
      <c r="DS222" s="314">
        <f t="shared" si="396"/>
        <v>3.7412760643537353</v>
      </c>
      <c r="DT222" s="316">
        <f t="shared" si="397"/>
        <v>59.070754522942522</v>
      </c>
      <c r="DU222" s="314">
        <f t="shared" si="385"/>
        <v>3.7412760643537353</v>
      </c>
      <c r="DV222" s="316">
        <f t="shared" si="401"/>
        <v>94.75</v>
      </c>
      <c r="DW222" s="310">
        <f t="shared" si="386"/>
        <v>4.0105540897097622</v>
      </c>
      <c r="FB222" s="307"/>
      <c r="FC222" s="307"/>
      <c r="FF222" s="307"/>
      <c r="FG222" s="307"/>
      <c r="FH222" s="306"/>
      <c r="FJ222" s="307"/>
      <c r="FK222" s="307"/>
      <c r="FL222" s="306"/>
      <c r="FM222" s="307"/>
      <c r="FN222" s="306"/>
      <c r="FO222" s="307"/>
      <c r="FP222" s="306"/>
    </row>
    <row r="223" spans="29:172">
      <c r="AC223" s="156"/>
      <c r="AI223" s="190">
        <v>304</v>
      </c>
      <c r="AJ223" s="185">
        <v>198</v>
      </c>
      <c r="AK223" s="183">
        <f t="shared" si="402"/>
        <v>304</v>
      </c>
      <c r="AO223" s="182">
        <v>4.5400000000000003E-2</v>
      </c>
      <c r="AP223" s="185">
        <v>198</v>
      </c>
      <c r="AQ223" s="184">
        <f t="shared" si="403"/>
        <v>4.5400000000000003E-2</v>
      </c>
      <c r="AR223" s="190">
        <v>304</v>
      </c>
      <c r="AS223" s="185">
        <v>198</v>
      </c>
      <c r="AT223" s="183">
        <f t="shared" si="404"/>
        <v>304</v>
      </c>
      <c r="AX223" s="182">
        <v>4.5400000000000003E-2</v>
      </c>
      <c r="AY223" s="185">
        <v>198</v>
      </c>
      <c r="AZ223" s="184">
        <f t="shared" si="405"/>
        <v>4.5400000000000003E-2</v>
      </c>
      <c r="BA223" s="190">
        <v>304</v>
      </c>
      <c r="BB223" s="185">
        <v>198</v>
      </c>
      <c r="BC223" s="183">
        <f t="shared" si="406"/>
        <v>304</v>
      </c>
      <c r="BG223" s="182">
        <v>4.5400000000000003E-2</v>
      </c>
      <c r="BH223" s="185">
        <v>198</v>
      </c>
      <c r="BI223" s="184">
        <f t="shared" si="407"/>
        <v>4.5400000000000003E-2</v>
      </c>
      <c r="CW223" s="364"/>
      <c r="CX223" s="316"/>
      <c r="CY223" s="316"/>
      <c r="DA223" s="309">
        <v>222</v>
      </c>
      <c r="DB223" s="313">
        <f t="shared" si="380"/>
        <v>280.80139200709692</v>
      </c>
      <c r="DC223" s="309">
        <f t="shared" si="381"/>
        <v>1</v>
      </c>
      <c r="DD223" s="309">
        <f t="shared" si="382"/>
        <v>260</v>
      </c>
      <c r="DE223" s="308">
        <f t="shared" si="383"/>
        <v>6.5000000000000002E-2</v>
      </c>
      <c r="DF223" s="313">
        <f t="shared" si="398"/>
        <v>222</v>
      </c>
      <c r="DG223" s="313">
        <f t="shared" si="387"/>
        <v>260</v>
      </c>
      <c r="DH223" s="313">
        <f t="shared" si="388"/>
        <v>260</v>
      </c>
      <c r="DI223" s="313">
        <f t="shared" si="389"/>
        <v>0</v>
      </c>
      <c r="DJ223" s="313">
        <f t="shared" si="390"/>
        <v>0</v>
      </c>
      <c r="DK223" s="313">
        <f t="shared" si="399"/>
        <v>52804.517269621676</v>
      </c>
      <c r="DL223" s="313">
        <f t="shared" si="391"/>
        <v>98280</v>
      </c>
      <c r="DM223" s="314">
        <f t="shared" si="392"/>
        <v>18.90570280914724</v>
      </c>
      <c r="DN223" s="312">
        <f t="shared" si="393"/>
        <v>8.5160823464627208E-2</v>
      </c>
      <c r="DO223" s="312">
        <f t="shared" si="400"/>
        <v>1</v>
      </c>
      <c r="DP223" s="315">
        <f t="shared" si="384"/>
        <v>6.5000000000000002E-2</v>
      </c>
      <c r="DQ223" s="316">
        <f t="shared" si="394"/>
        <v>0.25</v>
      </c>
      <c r="DR223" s="316">
        <f t="shared" si="395"/>
        <v>59.320754522942522</v>
      </c>
      <c r="DS223" s="314">
        <f t="shared" si="396"/>
        <v>3.7423664244550476</v>
      </c>
      <c r="DT223" s="316">
        <f t="shared" si="397"/>
        <v>59.320754522942522</v>
      </c>
      <c r="DU223" s="314">
        <f t="shared" si="385"/>
        <v>3.7423664244550476</v>
      </c>
      <c r="DV223" s="316">
        <f t="shared" si="401"/>
        <v>94.5</v>
      </c>
      <c r="DW223" s="310">
        <f t="shared" si="386"/>
        <v>4.0105820105820102</v>
      </c>
      <c r="FB223" s="307"/>
      <c r="FC223" s="307"/>
      <c r="FF223" s="307"/>
      <c r="FG223" s="307"/>
      <c r="FH223" s="306"/>
      <c r="FJ223" s="307"/>
      <c r="FK223" s="307"/>
      <c r="FL223" s="306"/>
      <c r="FM223" s="307"/>
      <c r="FN223" s="306"/>
      <c r="FO223" s="307"/>
      <c r="FP223" s="306"/>
    </row>
    <row r="224" spans="29:172">
      <c r="AC224" s="156"/>
      <c r="AI224" s="190">
        <v>303</v>
      </c>
      <c r="AJ224" s="185">
        <v>199</v>
      </c>
      <c r="AK224" s="183">
        <f t="shared" si="402"/>
        <v>303</v>
      </c>
      <c r="AO224" s="182">
        <v>4.53E-2</v>
      </c>
      <c r="AP224" s="185">
        <v>199</v>
      </c>
      <c r="AQ224" s="184">
        <f t="shared" si="403"/>
        <v>4.53E-2</v>
      </c>
      <c r="AR224" s="190">
        <v>303</v>
      </c>
      <c r="AS224" s="185">
        <v>199</v>
      </c>
      <c r="AT224" s="183">
        <f t="shared" si="404"/>
        <v>303</v>
      </c>
      <c r="AX224" s="182">
        <v>4.53E-2</v>
      </c>
      <c r="AY224" s="185">
        <v>199</v>
      </c>
      <c r="AZ224" s="184">
        <f t="shared" si="405"/>
        <v>4.53E-2</v>
      </c>
      <c r="BA224" s="190">
        <v>303</v>
      </c>
      <c r="BB224" s="185">
        <v>199</v>
      </c>
      <c r="BC224" s="183">
        <f t="shared" si="406"/>
        <v>303</v>
      </c>
      <c r="BG224" s="182">
        <v>4.53E-2</v>
      </c>
      <c r="BH224" s="185">
        <v>199</v>
      </c>
      <c r="BI224" s="184">
        <f t="shared" si="407"/>
        <v>4.53E-2</v>
      </c>
      <c r="CW224" s="364"/>
      <c r="CX224" s="316"/>
      <c r="CY224" s="316"/>
      <c r="DA224" s="309">
        <v>223</v>
      </c>
      <c r="DB224" s="313">
        <f t="shared" si="380"/>
        <v>281.16536224136314</v>
      </c>
      <c r="DC224" s="309">
        <f t="shared" si="381"/>
        <v>1</v>
      </c>
      <c r="DD224" s="309">
        <f t="shared" si="382"/>
        <v>260</v>
      </c>
      <c r="DE224" s="308">
        <f t="shared" si="383"/>
        <v>6.5000000000000002E-2</v>
      </c>
      <c r="DF224" s="313">
        <f t="shared" si="398"/>
        <v>223</v>
      </c>
      <c r="DG224" s="313">
        <f t="shared" si="387"/>
        <v>260</v>
      </c>
      <c r="DH224" s="313">
        <f t="shared" si="388"/>
        <v>260</v>
      </c>
      <c r="DI224" s="313">
        <f t="shared" si="389"/>
        <v>0</v>
      </c>
      <c r="DJ224" s="313">
        <f t="shared" si="390"/>
        <v>0</v>
      </c>
      <c r="DK224" s="313">
        <f t="shared" si="399"/>
        <v>53064.517269621676</v>
      </c>
      <c r="DL224" s="313">
        <f t="shared" si="391"/>
        <v>98020</v>
      </c>
      <c r="DM224" s="314">
        <f t="shared" si="392"/>
        <v>18.90570280914724</v>
      </c>
      <c r="DN224" s="312">
        <f t="shared" si="393"/>
        <v>8.4778936363888974E-2</v>
      </c>
      <c r="DO224" s="312">
        <f t="shared" si="400"/>
        <v>1</v>
      </c>
      <c r="DP224" s="315">
        <f t="shared" si="384"/>
        <v>6.5000000000000002E-2</v>
      </c>
      <c r="DQ224" s="316">
        <f t="shared" si="394"/>
        <v>0.25</v>
      </c>
      <c r="DR224" s="316">
        <f t="shared" si="395"/>
        <v>59.570754522942522</v>
      </c>
      <c r="DS224" s="314">
        <f t="shared" si="396"/>
        <v>3.7434476327493194</v>
      </c>
      <c r="DT224" s="316">
        <f t="shared" si="397"/>
        <v>59.570754522942522</v>
      </c>
      <c r="DU224" s="314">
        <f t="shared" si="385"/>
        <v>3.7434476327493194</v>
      </c>
      <c r="DV224" s="316">
        <f t="shared" si="401"/>
        <v>94.25</v>
      </c>
      <c r="DW224" s="310">
        <f t="shared" si="386"/>
        <v>4.0106100795755966</v>
      </c>
      <c r="FB224" s="307"/>
      <c r="FC224" s="307"/>
      <c r="FF224" s="307"/>
      <c r="FG224" s="307"/>
      <c r="FH224" s="306"/>
      <c r="FJ224" s="307"/>
      <c r="FK224" s="307"/>
      <c r="FL224" s="306"/>
      <c r="FM224" s="307"/>
      <c r="FN224" s="306"/>
      <c r="FO224" s="307"/>
      <c r="FP224" s="306"/>
    </row>
    <row r="225" spans="29:172">
      <c r="AC225" s="156"/>
      <c r="AI225" s="190">
        <v>302</v>
      </c>
      <c r="AJ225" s="185">
        <v>200</v>
      </c>
      <c r="AK225" s="183">
        <f t="shared" si="402"/>
        <v>302</v>
      </c>
      <c r="AO225" s="182">
        <v>4.5199999999999997E-2</v>
      </c>
      <c r="AP225" s="185">
        <v>200</v>
      </c>
      <c r="AQ225" s="184">
        <f t="shared" si="403"/>
        <v>4.5199999999999997E-2</v>
      </c>
      <c r="AR225" s="190">
        <v>302</v>
      </c>
      <c r="AS225" s="185">
        <v>200</v>
      </c>
      <c r="AT225" s="183">
        <f t="shared" si="404"/>
        <v>302</v>
      </c>
      <c r="AX225" s="182">
        <v>4.5199999999999997E-2</v>
      </c>
      <c r="AY225" s="185">
        <v>200</v>
      </c>
      <c r="AZ225" s="184">
        <f t="shared" si="405"/>
        <v>4.5199999999999997E-2</v>
      </c>
      <c r="BA225" s="190">
        <v>302</v>
      </c>
      <c r="BB225" s="185">
        <v>200</v>
      </c>
      <c r="BC225" s="183">
        <f t="shared" si="406"/>
        <v>302</v>
      </c>
      <c r="BG225" s="182">
        <v>4.5199999999999997E-2</v>
      </c>
      <c r="BH225" s="185">
        <v>200</v>
      </c>
      <c r="BI225" s="184">
        <f t="shared" si="407"/>
        <v>4.5199999999999997E-2</v>
      </c>
      <c r="CW225" s="364"/>
      <c r="CX225" s="316"/>
      <c r="CY225" s="316"/>
      <c r="DA225" s="309">
        <v>224</v>
      </c>
      <c r="DB225" s="313">
        <f t="shared" si="380"/>
        <v>281.5293324756293</v>
      </c>
      <c r="DC225" s="309">
        <f t="shared" si="381"/>
        <v>1</v>
      </c>
      <c r="DD225" s="309">
        <f t="shared" si="382"/>
        <v>260</v>
      </c>
      <c r="DE225" s="308">
        <f t="shared" si="383"/>
        <v>6.5000000000000002E-2</v>
      </c>
      <c r="DF225" s="313">
        <f t="shared" si="398"/>
        <v>224</v>
      </c>
      <c r="DG225" s="313">
        <f t="shared" si="387"/>
        <v>260</v>
      </c>
      <c r="DH225" s="313">
        <f t="shared" si="388"/>
        <v>260</v>
      </c>
      <c r="DI225" s="313">
        <f t="shared" si="389"/>
        <v>0</v>
      </c>
      <c r="DJ225" s="313">
        <f t="shared" si="390"/>
        <v>0</v>
      </c>
      <c r="DK225" s="313">
        <f t="shared" si="399"/>
        <v>53324.517269621676</v>
      </c>
      <c r="DL225" s="313">
        <f t="shared" si="391"/>
        <v>97760</v>
      </c>
      <c r="DM225" s="314">
        <f t="shared" si="392"/>
        <v>18.90570280914724</v>
      </c>
      <c r="DN225" s="312">
        <f t="shared" si="393"/>
        <v>8.4400458969407316E-2</v>
      </c>
      <c r="DO225" s="312">
        <f t="shared" si="400"/>
        <v>1</v>
      </c>
      <c r="DP225" s="315">
        <f t="shared" si="384"/>
        <v>6.5000000000000002E-2</v>
      </c>
      <c r="DQ225" s="316">
        <f t="shared" si="394"/>
        <v>0.25</v>
      </c>
      <c r="DR225" s="316">
        <f t="shared" si="395"/>
        <v>59.820754522942522</v>
      </c>
      <c r="DS225" s="314">
        <f t="shared" si="396"/>
        <v>3.744519803976917</v>
      </c>
      <c r="DT225" s="316">
        <f t="shared" si="397"/>
        <v>59.820754522942522</v>
      </c>
      <c r="DU225" s="314">
        <f t="shared" si="385"/>
        <v>3.744519803976917</v>
      </c>
      <c r="DV225" s="316">
        <f t="shared" si="401"/>
        <v>94</v>
      </c>
      <c r="DW225" s="310">
        <f t="shared" si="386"/>
        <v>4.0106382978723403</v>
      </c>
      <c r="FB225" s="307"/>
      <c r="FC225" s="307"/>
      <c r="FF225" s="307"/>
      <c r="FG225" s="307"/>
      <c r="FH225" s="306"/>
      <c r="FJ225" s="307"/>
      <c r="FK225" s="307"/>
      <c r="FL225" s="306"/>
      <c r="FM225" s="307"/>
      <c r="FN225" s="306"/>
      <c r="FO225" s="307"/>
      <c r="FP225" s="306"/>
    </row>
    <row r="226" spans="29:172">
      <c r="AC226" s="156"/>
      <c r="AI226" s="190">
        <v>301</v>
      </c>
      <c r="AJ226" s="185">
        <v>201</v>
      </c>
      <c r="AK226" s="183">
        <f t="shared" si="402"/>
        <v>301</v>
      </c>
      <c r="AO226" s="182">
        <v>4.5100000000000001E-2</v>
      </c>
      <c r="AP226" s="185">
        <v>201</v>
      </c>
      <c r="AQ226" s="184">
        <f t="shared" si="403"/>
        <v>4.5100000000000001E-2</v>
      </c>
      <c r="AR226" s="190">
        <v>301</v>
      </c>
      <c r="AS226" s="185">
        <v>201</v>
      </c>
      <c r="AT226" s="183">
        <f t="shared" si="404"/>
        <v>301</v>
      </c>
      <c r="AX226" s="182">
        <v>4.5100000000000001E-2</v>
      </c>
      <c r="AY226" s="185">
        <v>201</v>
      </c>
      <c r="AZ226" s="184">
        <f t="shared" si="405"/>
        <v>4.5100000000000001E-2</v>
      </c>
      <c r="BA226" s="190">
        <v>301</v>
      </c>
      <c r="BB226" s="185">
        <v>201</v>
      </c>
      <c r="BC226" s="183">
        <f t="shared" si="406"/>
        <v>301</v>
      </c>
      <c r="BG226" s="182">
        <v>4.5100000000000001E-2</v>
      </c>
      <c r="BH226" s="185">
        <v>201</v>
      </c>
      <c r="BI226" s="184">
        <f t="shared" si="407"/>
        <v>4.5100000000000001E-2</v>
      </c>
      <c r="CW226" s="364"/>
      <c r="CX226" s="316"/>
      <c r="CY226" s="316"/>
      <c r="DA226" s="309">
        <v>225</v>
      </c>
      <c r="DB226" s="313">
        <f t="shared" si="380"/>
        <v>281.89330270989552</v>
      </c>
      <c r="DC226" s="309">
        <f t="shared" si="381"/>
        <v>1</v>
      </c>
      <c r="DD226" s="309">
        <f t="shared" si="382"/>
        <v>260</v>
      </c>
      <c r="DE226" s="308">
        <f t="shared" si="383"/>
        <v>6.5000000000000002E-2</v>
      </c>
      <c r="DF226" s="313">
        <f t="shared" si="398"/>
        <v>225</v>
      </c>
      <c r="DG226" s="313">
        <f t="shared" si="387"/>
        <v>260</v>
      </c>
      <c r="DH226" s="313">
        <f t="shared" si="388"/>
        <v>260</v>
      </c>
      <c r="DI226" s="313">
        <f t="shared" si="389"/>
        <v>0</v>
      </c>
      <c r="DJ226" s="313">
        <f t="shared" si="390"/>
        <v>0</v>
      </c>
      <c r="DK226" s="313">
        <f t="shared" si="399"/>
        <v>53584.517269621676</v>
      </c>
      <c r="DL226" s="313">
        <f t="shared" si="391"/>
        <v>97500</v>
      </c>
      <c r="DM226" s="314">
        <f t="shared" si="392"/>
        <v>18.90570280914724</v>
      </c>
      <c r="DN226" s="312">
        <f t="shared" si="393"/>
        <v>8.4025345818432171E-2</v>
      </c>
      <c r="DO226" s="312">
        <f t="shared" si="400"/>
        <v>1</v>
      </c>
      <c r="DP226" s="315">
        <f t="shared" si="384"/>
        <v>6.5000000000000002E-2</v>
      </c>
      <c r="DQ226" s="316">
        <f t="shared" si="394"/>
        <v>0.25</v>
      </c>
      <c r="DR226" s="316">
        <f t="shared" si="395"/>
        <v>60.070754522942522</v>
      </c>
      <c r="DS226" s="314">
        <f t="shared" si="396"/>
        <v>3.7455830509681194</v>
      </c>
      <c r="DT226" s="316">
        <f t="shared" si="397"/>
        <v>60.070754522942522</v>
      </c>
      <c r="DU226" s="314">
        <f t="shared" si="385"/>
        <v>3.7455830509681194</v>
      </c>
      <c r="DV226" s="316">
        <f t="shared" si="401"/>
        <v>93.75</v>
      </c>
      <c r="DW226" s="310">
        <f t="shared" si="386"/>
        <v>4.0106666666666664</v>
      </c>
      <c r="FB226" s="307"/>
      <c r="FC226" s="307"/>
      <c r="FF226" s="307"/>
      <c r="FG226" s="307"/>
      <c r="FH226" s="306"/>
      <c r="FJ226" s="307"/>
      <c r="FK226" s="307"/>
      <c r="FL226" s="306"/>
      <c r="FM226" s="307"/>
      <c r="FN226" s="306"/>
      <c r="FO226" s="307"/>
      <c r="FP226" s="306"/>
    </row>
    <row r="227" spans="29:172">
      <c r="AC227" s="156"/>
      <c r="AI227" s="190">
        <v>300</v>
      </c>
      <c r="AJ227" s="185">
        <v>202</v>
      </c>
      <c r="AK227" s="183">
        <f t="shared" si="402"/>
        <v>300</v>
      </c>
      <c r="AO227" s="182">
        <v>4.4999999999999998E-2</v>
      </c>
      <c r="AP227" s="185">
        <v>202</v>
      </c>
      <c r="AQ227" s="184">
        <f t="shared" si="403"/>
        <v>4.4999999999999998E-2</v>
      </c>
      <c r="AR227" s="190">
        <v>300</v>
      </c>
      <c r="AS227" s="185">
        <v>202</v>
      </c>
      <c r="AT227" s="183">
        <f t="shared" si="404"/>
        <v>300</v>
      </c>
      <c r="AX227" s="182">
        <v>4.4999999999999998E-2</v>
      </c>
      <c r="AY227" s="185">
        <v>202</v>
      </c>
      <c r="AZ227" s="184">
        <f t="shared" si="405"/>
        <v>4.4999999999999998E-2</v>
      </c>
      <c r="BA227" s="190">
        <v>300</v>
      </c>
      <c r="BB227" s="185">
        <v>202</v>
      </c>
      <c r="BC227" s="183">
        <f t="shared" si="406"/>
        <v>300</v>
      </c>
      <c r="BG227" s="182">
        <v>4.4999999999999998E-2</v>
      </c>
      <c r="BH227" s="185">
        <v>202</v>
      </c>
      <c r="BI227" s="184">
        <f t="shared" si="407"/>
        <v>4.4999999999999998E-2</v>
      </c>
      <c r="CW227" s="364"/>
      <c r="CX227" s="316"/>
      <c r="CY227" s="316"/>
      <c r="DA227" s="309">
        <v>226</v>
      </c>
      <c r="DB227" s="313">
        <f t="shared" si="380"/>
        <v>282.25727294416174</v>
      </c>
      <c r="DC227" s="309">
        <f t="shared" si="381"/>
        <v>1</v>
      </c>
      <c r="DD227" s="309">
        <f t="shared" si="382"/>
        <v>260</v>
      </c>
      <c r="DE227" s="308">
        <f t="shared" si="383"/>
        <v>6.5000000000000002E-2</v>
      </c>
      <c r="DF227" s="313">
        <f t="shared" si="398"/>
        <v>226</v>
      </c>
      <c r="DG227" s="313">
        <f t="shared" si="387"/>
        <v>260</v>
      </c>
      <c r="DH227" s="313">
        <f t="shared" si="388"/>
        <v>260</v>
      </c>
      <c r="DI227" s="313">
        <f t="shared" si="389"/>
        <v>0</v>
      </c>
      <c r="DJ227" s="313">
        <f t="shared" si="390"/>
        <v>0</v>
      </c>
      <c r="DK227" s="313">
        <f t="shared" si="399"/>
        <v>53844.517269621676</v>
      </c>
      <c r="DL227" s="313">
        <f t="shared" si="391"/>
        <v>97240</v>
      </c>
      <c r="DM227" s="314">
        <f t="shared" si="392"/>
        <v>18.90570280914724</v>
      </c>
      <c r="DN227" s="312">
        <f t="shared" si="393"/>
        <v>8.3653552252863889E-2</v>
      </c>
      <c r="DO227" s="312">
        <f t="shared" si="400"/>
        <v>1</v>
      </c>
      <c r="DP227" s="315">
        <f t="shared" si="384"/>
        <v>6.5000000000000002E-2</v>
      </c>
      <c r="DQ227" s="316">
        <f t="shared" si="394"/>
        <v>0.25</v>
      </c>
      <c r="DR227" s="316">
        <f t="shared" si="395"/>
        <v>60.320754522942522</v>
      </c>
      <c r="DS227" s="314">
        <f t="shared" si="396"/>
        <v>3.7466374846827004</v>
      </c>
      <c r="DT227" s="316">
        <f t="shared" si="397"/>
        <v>60.320754522942522</v>
      </c>
      <c r="DU227" s="314">
        <f t="shared" si="385"/>
        <v>3.7466374846827004</v>
      </c>
      <c r="DV227" s="316">
        <f t="shared" si="401"/>
        <v>93.5</v>
      </c>
      <c r="DW227" s="310">
        <f t="shared" si="386"/>
        <v>4.0106951871657754</v>
      </c>
      <c r="FB227" s="307"/>
      <c r="FC227" s="307"/>
      <c r="FF227" s="307"/>
      <c r="FG227" s="307"/>
      <c r="FH227" s="306"/>
      <c r="FJ227" s="307"/>
      <c r="FK227" s="307"/>
      <c r="FL227" s="306"/>
      <c r="FM227" s="307"/>
      <c r="FN227" s="306"/>
      <c r="FO227" s="307"/>
      <c r="FP227" s="306"/>
    </row>
    <row r="228" spans="29:172">
      <c r="AC228" s="156"/>
      <c r="AI228" s="190">
        <v>299</v>
      </c>
      <c r="AJ228" s="185">
        <v>203</v>
      </c>
      <c r="AK228" s="183">
        <f t="shared" si="402"/>
        <v>299</v>
      </c>
      <c r="AO228" s="182">
        <v>4.4900000000000002E-2</v>
      </c>
      <c r="AP228" s="185">
        <v>203</v>
      </c>
      <c r="AQ228" s="184">
        <f t="shared" si="403"/>
        <v>4.4900000000000002E-2</v>
      </c>
      <c r="AR228" s="190">
        <v>299</v>
      </c>
      <c r="AS228" s="185">
        <v>203</v>
      </c>
      <c r="AT228" s="183">
        <f t="shared" si="404"/>
        <v>299</v>
      </c>
      <c r="AX228" s="182">
        <v>4.4900000000000002E-2</v>
      </c>
      <c r="AY228" s="185">
        <v>203</v>
      </c>
      <c r="AZ228" s="184">
        <f t="shared" si="405"/>
        <v>4.4900000000000002E-2</v>
      </c>
      <c r="BA228" s="190">
        <v>299</v>
      </c>
      <c r="BB228" s="185">
        <v>203</v>
      </c>
      <c r="BC228" s="183">
        <f t="shared" si="406"/>
        <v>299</v>
      </c>
      <c r="BG228" s="182">
        <v>4.4900000000000002E-2</v>
      </c>
      <c r="BH228" s="185">
        <v>203</v>
      </c>
      <c r="BI228" s="184">
        <f t="shared" si="407"/>
        <v>4.4900000000000002E-2</v>
      </c>
      <c r="CW228" s="364"/>
      <c r="CX228" s="316"/>
      <c r="CY228" s="316"/>
      <c r="DA228" s="309">
        <v>227</v>
      </c>
      <c r="DB228" s="313">
        <f t="shared" si="380"/>
        <v>282.6212431784279</v>
      </c>
      <c r="DC228" s="309">
        <f t="shared" si="381"/>
        <v>1</v>
      </c>
      <c r="DD228" s="309">
        <f t="shared" si="382"/>
        <v>260</v>
      </c>
      <c r="DE228" s="308">
        <f t="shared" si="383"/>
        <v>6.5000000000000002E-2</v>
      </c>
      <c r="DF228" s="313">
        <f t="shared" si="398"/>
        <v>227</v>
      </c>
      <c r="DG228" s="313">
        <f t="shared" si="387"/>
        <v>260</v>
      </c>
      <c r="DH228" s="313">
        <f t="shared" si="388"/>
        <v>260</v>
      </c>
      <c r="DI228" s="313">
        <f t="shared" si="389"/>
        <v>0</v>
      </c>
      <c r="DJ228" s="313">
        <f t="shared" si="390"/>
        <v>0</v>
      </c>
      <c r="DK228" s="313">
        <f t="shared" si="399"/>
        <v>54104.517269621676</v>
      </c>
      <c r="DL228" s="313">
        <f t="shared" si="391"/>
        <v>96980</v>
      </c>
      <c r="DM228" s="314">
        <f t="shared" si="392"/>
        <v>18.90570280914724</v>
      </c>
      <c r="DN228" s="312">
        <f t="shared" si="393"/>
        <v>8.3285034401529692E-2</v>
      </c>
      <c r="DO228" s="312">
        <f t="shared" si="400"/>
        <v>1</v>
      </c>
      <c r="DP228" s="315">
        <f t="shared" si="384"/>
        <v>6.5000000000000002E-2</v>
      </c>
      <c r="DQ228" s="316">
        <f t="shared" si="394"/>
        <v>0.25</v>
      </c>
      <c r="DR228" s="316">
        <f t="shared" si="395"/>
        <v>60.570754522942522</v>
      </c>
      <c r="DS228" s="314">
        <f t="shared" si="396"/>
        <v>3.7476832142485312</v>
      </c>
      <c r="DT228" s="316">
        <f t="shared" si="397"/>
        <v>60.570754522942522</v>
      </c>
      <c r="DU228" s="314">
        <f t="shared" si="385"/>
        <v>3.7476832142485312</v>
      </c>
      <c r="DV228" s="316">
        <f t="shared" si="401"/>
        <v>93.25</v>
      </c>
      <c r="DW228" s="310">
        <f t="shared" si="386"/>
        <v>4.0107238605898123</v>
      </c>
      <c r="FB228" s="307"/>
      <c r="FC228" s="307"/>
      <c r="FF228" s="307"/>
      <c r="FG228" s="307"/>
      <c r="FH228" s="306"/>
      <c r="FJ228" s="307"/>
      <c r="FK228" s="307"/>
      <c r="FL228" s="306"/>
      <c r="FM228" s="307"/>
      <c r="FN228" s="306"/>
      <c r="FO228" s="307"/>
      <c r="FP228" s="306"/>
    </row>
    <row r="229" spans="29:172">
      <c r="AC229" s="156"/>
      <c r="AI229" s="190">
        <v>298</v>
      </c>
      <c r="AJ229" s="185">
        <v>204</v>
      </c>
      <c r="AK229" s="183">
        <f t="shared" si="402"/>
        <v>298</v>
      </c>
      <c r="AO229" s="182">
        <v>4.48E-2</v>
      </c>
      <c r="AP229" s="185">
        <v>204</v>
      </c>
      <c r="AQ229" s="184">
        <f t="shared" si="403"/>
        <v>4.48E-2</v>
      </c>
      <c r="AR229" s="190">
        <v>298</v>
      </c>
      <c r="AS229" s="185">
        <v>204</v>
      </c>
      <c r="AT229" s="183">
        <f t="shared" si="404"/>
        <v>298</v>
      </c>
      <c r="AX229" s="182">
        <v>4.48E-2</v>
      </c>
      <c r="AY229" s="185">
        <v>204</v>
      </c>
      <c r="AZ229" s="184">
        <f t="shared" si="405"/>
        <v>4.48E-2</v>
      </c>
      <c r="BA229" s="190">
        <v>298</v>
      </c>
      <c r="BB229" s="185">
        <v>204</v>
      </c>
      <c r="BC229" s="183">
        <f t="shared" si="406"/>
        <v>298</v>
      </c>
      <c r="BG229" s="182">
        <v>4.48E-2</v>
      </c>
      <c r="BH229" s="185">
        <v>204</v>
      </c>
      <c r="BI229" s="184">
        <f t="shared" si="407"/>
        <v>4.48E-2</v>
      </c>
      <c r="CW229" s="364"/>
      <c r="CX229" s="316"/>
      <c r="CY229" s="316"/>
      <c r="DA229" s="309">
        <v>228</v>
      </c>
      <c r="DB229" s="313">
        <f t="shared" si="380"/>
        <v>282.98521341269412</v>
      </c>
      <c r="DC229" s="309">
        <f t="shared" si="381"/>
        <v>1</v>
      </c>
      <c r="DD229" s="309">
        <f t="shared" si="382"/>
        <v>260</v>
      </c>
      <c r="DE229" s="308">
        <f t="shared" si="383"/>
        <v>6.5000000000000002E-2</v>
      </c>
      <c r="DF229" s="313">
        <f t="shared" si="398"/>
        <v>228</v>
      </c>
      <c r="DG229" s="313">
        <f t="shared" si="387"/>
        <v>260</v>
      </c>
      <c r="DH229" s="313">
        <f t="shared" si="388"/>
        <v>260</v>
      </c>
      <c r="DI229" s="313">
        <f t="shared" si="389"/>
        <v>0</v>
      </c>
      <c r="DJ229" s="313">
        <f t="shared" si="390"/>
        <v>0</v>
      </c>
      <c r="DK229" s="313">
        <f t="shared" si="399"/>
        <v>54364.517269621676</v>
      </c>
      <c r="DL229" s="313">
        <f t="shared" si="391"/>
        <v>96720</v>
      </c>
      <c r="DM229" s="314">
        <f t="shared" si="392"/>
        <v>18.90570280914724</v>
      </c>
      <c r="DN229" s="312">
        <f t="shared" si="393"/>
        <v>8.2919749162926493E-2</v>
      </c>
      <c r="DO229" s="312">
        <f t="shared" si="400"/>
        <v>1</v>
      </c>
      <c r="DP229" s="315">
        <f t="shared" si="384"/>
        <v>6.5000000000000002E-2</v>
      </c>
      <c r="DQ229" s="316">
        <f t="shared" si="394"/>
        <v>0.25</v>
      </c>
      <c r="DR229" s="316">
        <f t="shared" si="395"/>
        <v>60.820754522942522</v>
      </c>
      <c r="DS229" s="314">
        <f t="shared" si="396"/>
        <v>3.7487203469992285</v>
      </c>
      <c r="DT229" s="316">
        <f t="shared" si="397"/>
        <v>60.820754522942522</v>
      </c>
      <c r="DU229" s="314">
        <f t="shared" si="385"/>
        <v>3.7487203469992285</v>
      </c>
      <c r="DV229" s="316">
        <f t="shared" si="401"/>
        <v>93</v>
      </c>
      <c r="DW229" s="310">
        <f t="shared" si="386"/>
        <v>4.010752688172043</v>
      </c>
      <c r="FB229" s="307"/>
      <c r="FC229" s="307"/>
      <c r="FF229" s="307"/>
      <c r="FG229" s="307"/>
      <c r="FH229" s="306"/>
      <c r="FJ229" s="307"/>
      <c r="FK229" s="307"/>
      <c r="FL229" s="306"/>
      <c r="FM229" s="307"/>
      <c r="FN229" s="306"/>
      <c r="FO229" s="307"/>
      <c r="FP229" s="306"/>
    </row>
    <row r="230" spans="29:172">
      <c r="AC230" s="156"/>
      <c r="AI230" s="190">
        <v>297</v>
      </c>
      <c r="AJ230" s="185">
        <v>205</v>
      </c>
      <c r="AK230" s="183">
        <f t="shared" si="402"/>
        <v>297</v>
      </c>
      <c r="AO230" s="182">
        <v>4.4699999999999997E-2</v>
      </c>
      <c r="AP230" s="185">
        <v>205</v>
      </c>
      <c r="AQ230" s="184">
        <f t="shared" si="403"/>
        <v>4.4699999999999997E-2</v>
      </c>
      <c r="AR230" s="190">
        <v>297</v>
      </c>
      <c r="AS230" s="185">
        <v>205</v>
      </c>
      <c r="AT230" s="183">
        <f t="shared" si="404"/>
        <v>297</v>
      </c>
      <c r="AX230" s="182">
        <v>4.4699999999999997E-2</v>
      </c>
      <c r="AY230" s="185">
        <v>205</v>
      </c>
      <c r="AZ230" s="184">
        <f t="shared" si="405"/>
        <v>4.4699999999999997E-2</v>
      </c>
      <c r="BA230" s="190">
        <v>297</v>
      </c>
      <c r="BB230" s="185">
        <v>205</v>
      </c>
      <c r="BC230" s="183">
        <f t="shared" si="406"/>
        <v>297</v>
      </c>
      <c r="BG230" s="182">
        <v>4.4699999999999997E-2</v>
      </c>
      <c r="BH230" s="185">
        <v>205</v>
      </c>
      <c r="BI230" s="184">
        <f t="shared" si="407"/>
        <v>4.4699999999999997E-2</v>
      </c>
      <c r="CW230" s="364"/>
      <c r="CX230" s="316"/>
      <c r="CY230" s="316"/>
      <c r="DA230" s="309">
        <v>229</v>
      </c>
      <c r="DB230" s="313">
        <f t="shared" si="380"/>
        <v>283.34918364696034</v>
      </c>
      <c r="DC230" s="309">
        <f t="shared" si="381"/>
        <v>1</v>
      </c>
      <c r="DD230" s="309">
        <f t="shared" si="382"/>
        <v>260</v>
      </c>
      <c r="DE230" s="308">
        <f t="shared" si="383"/>
        <v>6.5000000000000002E-2</v>
      </c>
      <c r="DF230" s="313">
        <f t="shared" si="398"/>
        <v>229</v>
      </c>
      <c r="DG230" s="313">
        <f t="shared" si="387"/>
        <v>260</v>
      </c>
      <c r="DH230" s="313">
        <f t="shared" si="388"/>
        <v>260</v>
      </c>
      <c r="DI230" s="313">
        <f t="shared" si="389"/>
        <v>0</v>
      </c>
      <c r="DJ230" s="313">
        <f t="shared" si="390"/>
        <v>0</v>
      </c>
      <c r="DK230" s="313">
        <f t="shared" si="399"/>
        <v>54624.517269621676</v>
      </c>
      <c r="DL230" s="313">
        <f t="shared" si="391"/>
        <v>96460</v>
      </c>
      <c r="DM230" s="314">
        <f t="shared" si="392"/>
        <v>18.90570280914724</v>
      </c>
      <c r="DN230" s="312">
        <f t="shared" si="393"/>
        <v>8.2557654188415888E-2</v>
      </c>
      <c r="DO230" s="312">
        <f t="shared" si="400"/>
        <v>1</v>
      </c>
      <c r="DP230" s="315">
        <f t="shared" si="384"/>
        <v>6.5000000000000002E-2</v>
      </c>
      <c r="DQ230" s="316">
        <f t="shared" si="394"/>
        <v>0.25</v>
      </c>
      <c r="DR230" s="316">
        <f t="shared" si="395"/>
        <v>61.070754522942522</v>
      </c>
      <c r="DS230" s="314">
        <f t="shared" si="396"/>
        <v>3.7497489885108806</v>
      </c>
      <c r="DT230" s="316">
        <f t="shared" si="397"/>
        <v>61.070754522942522</v>
      </c>
      <c r="DU230" s="314">
        <f t="shared" si="385"/>
        <v>3.7497489885108806</v>
      </c>
      <c r="DV230" s="316">
        <f t="shared" si="401"/>
        <v>92.75</v>
      </c>
      <c r="DW230" s="310">
        <f t="shared" si="386"/>
        <v>4.0107816711590294</v>
      </c>
      <c r="FB230" s="307"/>
      <c r="FC230" s="307"/>
      <c r="FF230" s="307"/>
      <c r="FG230" s="307"/>
      <c r="FH230" s="306"/>
      <c r="FJ230" s="307"/>
      <c r="FK230" s="307"/>
      <c r="FL230" s="306"/>
      <c r="FM230" s="307"/>
      <c r="FN230" s="306"/>
      <c r="FO230" s="307"/>
      <c r="FP230" s="306"/>
    </row>
    <row r="231" spans="29:172">
      <c r="AC231" s="156"/>
      <c r="AI231" s="190">
        <v>296</v>
      </c>
      <c r="AJ231" s="185">
        <v>206</v>
      </c>
      <c r="AK231" s="183">
        <f t="shared" si="402"/>
        <v>296</v>
      </c>
      <c r="AO231" s="182">
        <v>4.4600000000000001E-2</v>
      </c>
      <c r="AP231" s="185">
        <v>206</v>
      </c>
      <c r="AQ231" s="184">
        <f t="shared" si="403"/>
        <v>4.4600000000000001E-2</v>
      </c>
      <c r="AR231" s="190">
        <v>296</v>
      </c>
      <c r="AS231" s="185">
        <v>206</v>
      </c>
      <c r="AT231" s="183">
        <f t="shared" si="404"/>
        <v>296</v>
      </c>
      <c r="AX231" s="182">
        <v>4.4600000000000001E-2</v>
      </c>
      <c r="AY231" s="185">
        <v>206</v>
      </c>
      <c r="AZ231" s="184">
        <f t="shared" si="405"/>
        <v>4.4600000000000001E-2</v>
      </c>
      <c r="BA231" s="190">
        <v>296</v>
      </c>
      <c r="BB231" s="185">
        <v>206</v>
      </c>
      <c r="BC231" s="183">
        <f t="shared" si="406"/>
        <v>296</v>
      </c>
      <c r="BG231" s="182">
        <v>4.4600000000000001E-2</v>
      </c>
      <c r="BH231" s="185">
        <v>206</v>
      </c>
      <c r="BI231" s="184">
        <f t="shared" si="407"/>
        <v>4.4600000000000001E-2</v>
      </c>
      <c r="CW231" s="364"/>
      <c r="CX231" s="316"/>
      <c r="CY231" s="316"/>
      <c r="DA231" s="309">
        <v>230</v>
      </c>
      <c r="DB231" s="313">
        <f t="shared" si="380"/>
        <v>283.7131538812265</v>
      </c>
      <c r="DC231" s="309">
        <f t="shared" si="381"/>
        <v>1</v>
      </c>
      <c r="DD231" s="309">
        <f t="shared" si="382"/>
        <v>260</v>
      </c>
      <c r="DE231" s="308">
        <f t="shared" si="383"/>
        <v>6.5000000000000002E-2</v>
      </c>
      <c r="DF231" s="313">
        <f t="shared" si="398"/>
        <v>230</v>
      </c>
      <c r="DG231" s="313">
        <f t="shared" si="387"/>
        <v>260</v>
      </c>
      <c r="DH231" s="313">
        <f t="shared" si="388"/>
        <v>260</v>
      </c>
      <c r="DI231" s="313">
        <f t="shared" si="389"/>
        <v>0</v>
      </c>
      <c r="DJ231" s="313">
        <f t="shared" si="390"/>
        <v>0</v>
      </c>
      <c r="DK231" s="313">
        <f t="shared" si="399"/>
        <v>54884.517269621676</v>
      </c>
      <c r="DL231" s="313">
        <f t="shared" si="391"/>
        <v>96200</v>
      </c>
      <c r="DM231" s="314">
        <f t="shared" si="392"/>
        <v>18.90570280914724</v>
      </c>
      <c r="DN231" s="312">
        <f t="shared" si="393"/>
        <v>8.2198707865857562E-2</v>
      </c>
      <c r="DO231" s="312">
        <f t="shared" si="400"/>
        <v>1</v>
      </c>
      <c r="DP231" s="315">
        <f t="shared" si="384"/>
        <v>6.5000000000000002E-2</v>
      </c>
      <c r="DQ231" s="316">
        <f t="shared" si="394"/>
        <v>0.25</v>
      </c>
      <c r="DR231" s="316">
        <f t="shared" si="395"/>
        <v>61.320754522942522</v>
      </c>
      <c r="DS231" s="314">
        <f t="shared" si="396"/>
        <v>3.750769242637872</v>
      </c>
      <c r="DT231" s="316">
        <f t="shared" si="397"/>
        <v>61.320754522942522</v>
      </c>
      <c r="DU231" s="314">
        <f t="shared" si="385"/>
        <v>3.750769242637872</v>
      </c>
      <c r="DV231" s="316">
        <f t="shared" si="401"/>
        <v>92.5</v>
      </c>
      <c r="DW231" s="310">
        <f t="shared" si="386"/>
        <v>4.0108108108108107</v>
      </c>
      <c r="FB231" s="307"/>
      <c r="FC231" s="307"/>
      <c r="FF231" s="307"/>
      <c r="FG231" s="307"/>
      <c r="FH231" s="306"/>
      <c r="FJ231" s="307"/>
      <c r="FK231" s="307"/>
      <c r="FL231" s="306"/>
      <c r="FM231" s="307"/>
      <c r="FN231" s="306"/>
      <c r="FO231" s="307"/>
      <c r="FP231" s="306"/>
    </row>
    <row r="232" spans="29:172">
      <c r="AC232" s="156"/>
      <c r="AI232" s="190">
        <v>295</v>
      </c>
      <c r="AJ232" s="185">
        <v>207</v>
      </c>
      <c r="AK232" s="183">
        <f t="shared" si="402"/>
        <v>295</v>
      </c>
      <c r="AO232" s="182">
        <v>4.4499999999999998E-2</v>
      </c>
      <c r="AP232" s="185">
        <v>207</v>
      </c>
      <c r="AQ232" s="184">
        <f t="shared" si="403"/>
        <v>4.4499999999999998E-2</v>
      </c>
      <c r="AR232" s="190">
        <v>295</v>
      </c>
      <c r="AS232" s="185">
        <v>207</v>
      </c>
      <c r="AT232" s="183">
        <f t="shared" si="404"/>
        <v>295</v>
      </c>
      <c r="AX232" s="182">
        <v>4.4499999999999998E-2</v>
      </c>
      <c r="AY232" s="185">
        <v>207</v>
      </c>
      <c r="AZ232" s="184">
        <f t="shared" si="405"/>
        <v>4.4499999999999998E-2</v>
      </c>
      <c r="BA232" s="190">
        <v>295</v>
      </c>
      <c r="BB232" s="185">
        <v>207</v>
      </c>
      <c r="BC232" s="183">
        <f t="shared" si="406"/>
        <v>295</v>
      </c>
      <c r="BG232" s="182">
        <v>4.4499999999999998E-2</v>
      </c>
      <c r="BH232" s="185">
        <v>207</v>
      </c>
      <c r="BI232" s="184">
        <f t="shared" si="407"/>
        <v>4.4499999999999998E-2</v>
      </c>
      <c r="CW232" s="364"/>
      <c r="CX232" s="316"/>
      <c r="CY232" s="316"/>
      <c r="DA232" s="309">
        <v>231</v>
      </c>
      <c r="DB232" s="313">
        <f t="shared" si="380"/>
        <v>284.07712411549272</v>
      </c>
      <c r="DC232" s="309">
        <f t="shared" si="381"/>
        <v>1</v>
      </c>
      <c r="DD232" s="309">
        <f t="shared" si="382"/>
        <v>260</v>
      </c>
      <c r="DE232" s="308">
        <f t="shared" si="383"/>
        <v>6.5000000000000002E-2</v>
      </c>
      <c r="DF232" s="313">
        <f t="shared" si="398"/>
        <v>231</v>
      </c>
      <c r="DG232" s="313">
        <f t="shared" si="387"/>
        <v>260</v>
      </c>
      <c r="DH232" s="313">
        <f t="shared" si="388"/>
        <v>260</v>
      </c>
      <c r="DI232" s="313">
        <f t="shared" si="389"/>
        <v>0</v>
      </c>
      <c r="DJ232" s="313">
        <f t="shared" si="390"/>
        <v>0</v>
      </c>
      <c r="DK232" s="313">
        <f t="shared" si="399"/>
        <v>55144.517269621676</v>
      </c>
      <c r="DL232" s="313">
        <f t="shared" si="391"/>
        <v>95940</v>
      </c>
      <c r="DM232" s="314">
        <f t="shared" si="392"/>
        <v>18.90570280914724</v>
      </c>
      <c r="DN232" s="312">
        <f t="shared" si="393"/>
        <v>8.1842869303667701E-2</v>
      </c>
      <c r="DO232" s="312">
        <f t="shared" si="400"/>
        <v>1</v>
      </c>
      <c r="DP232" s="315">
        <f t="shared" si="384"/>
        <v>6.5000000000000002E-2</v>
      </c>
      <c r="DQ232" s="316">
        <f t="shared" si="394"/>
        <v>0.25</v>
      </c>
      <c r="DR232" s="316">
        <f t="shared" si="395"/>
        <v>61.570754522942522</v>
      </c>
      <c r="DS232" s="314">
        <f t="shared" si="396"/>
        <v>3.7517812115478408</v>
      </c>
      <c r="DT232" s="316">
        <f t="shared" si="397"/>
        <v>61.570754522942522</v>
      </c>
      <c r="DU232" s="314">
        <f t="shared" si="385"/>
        <v>3.7517812115478408</v>
      </c>
      <c r="DV232" s="316">
        <f t="shared" si="401"/>
        <v>92.25</v>
      </c>
      <c r="DW232" s="310">
        <f t="shared" si="386"/>
        <v>4.0108401084010836</v>
      </c>
      <c r="FB232" s="307"/>
      <c r="FC232" s="307"/>
      <c r="FF232" s="307"/>
      <c r="FG232" s="307"/>
      <c r="FH232" s="306"/>
      <c r="FJ232" s="307"/>
      <c r="FK232" s="307"/>
      <c r="FL232" s="306"/>
      <c r="FM232" s="307"/>
      <c r="FN232" s="306"/>
      <c r="FO232" s="307"/>
      <c r="FP232" s="306"/>
    </row>
    <row r="233" spans="29:172">
      <c r="AC233" s="156"/>
      <c r="AI233" s="190">
        <v>294</v>
      </c>
      <c r="AJ233" s="185">
        <v>208</v>
      </c>
      <c r="AK233" s="183">
        <f t="shared" si="402"/>
        <v>294</v>
      </c>
      <c r="AO233" s="182">
        <v>4.4400000000000002E-2</v>
      </c>
      <c r="AP233" s="185">
        <v>208</v>
      </c>
      <c r="AQ233" s="184">
        <f t="shared" si="403"/>
        <v>4.4400000000000002E-2</v>
      </c>
      <c r="AR233" s="190">
        <v>294</v>
      </c>
      <c r="AS233" s="185">
        <v>208</v>
      </c>
      <c r="AT233" s="183">
        <f t="shared" si="404"/>
        <v>294</v>
      </c>
      <c r="AX233" s="182">
        <v>4.4400000000000002E-2</v>
      </c>
      <c r="AY233" s="185">
        <v>208</v>
      </c>
      <c r="AZ233" s="184">
        <f t="shared" si="405"/>
        <v>4.4400000000000002E-2</v>
      </c>
      <c r="BA233" s="190">
        <v>294</v>
      </c>
      <c r="BB233" s="185">
        <v>208</v>
      </c>
      <c r="BC233" s="183">
        <f t="shared" si="406"/>
        <v>294</v>
      </c>
      <c r="BG233" s="182">
        <v>4.4400000000000002E-2</v>
      </c>
      <c r="BH233" s="185">
        <v>208</v>
      </c>
      <c r="BI233" s="184">
        <f t="shared" si="407"/>
        <v>4.4400000000000002E-2</v>
      </c>
      <c r="CW233" s="364"/>
      <c r="CX233" s="316"/>
      <c r="CY233" s="316"/>
      <c r="DA233" s="309">
        <v>232</v>
      </c>
      <c r="DB233" s="313">
        <f t="shared" si="380"/>
        <v>284.44109434975894</v>
      </c>
      <c r="DC233" s="309">
        <f t="shared" si="381"/>
        <v>1</v>
      </c>
      <c r="DD233" s="309">
        <f t="shared" si="382"/>
        <v>260</v>
      </c>
      <c r="DE233" s="308">
        <f t="shared" si="383"/>
        <v>6.5000000000000002E-2</v>
      </c>
      <c r="DF233" s="313">
        <f t="shared" si="398"/>
        <v>232</v>
      </c>
      <c r="DG233" s="313">
        <f t="shared" si="387"/>
        <v>260</v>
      </c>
      <c r="DH233" s="313">
        <f t="shared" si="388"/>
        <v>260</v>
      </c>
      <c r="DI233" s="313">
        <f t="shared" si="389"/>
        <v>0</v>
      </c>
      <c r="DJ233" s="313">
        <f t="shared" si="390"/>
        <v>0</v>
      </c>
      <c r="DK233" s="313">
        <f t="shared" si="399"/>
        <v>55404.517269621676</v>
      </c>
      <c r="DL233" s="313">
        <f t="shared" si="391"/>
        <v>95680</v>
      </c>
      <c r="DM233" s="314">
        <f t="shared" si="392"/>
        <v>18.90570280914724</v>
      </c>
      <c r="DN233" s="312">
        <f t="shared" si="393"/>
        <v>8.1490098315289833E-2</v>
      </c>
      <c r="DO233" s="312">
        <f t="shared" si="400"/>
        <v>1</v>
      </c>
      <c r="DP233" s="315">
        <f t="shared" si="384"/>
        <v>6.5000000000000002E-2</v>
      </c>
      <c r="DQ233" s="316">
        <f t="shared" si="394"/>
        <v>0.25</v>
      </c>
      <c r="DR233" s="316">
        <f t="shared" si="395"/>
        <v>61.820754522942522</v>
      </c>
      <c r="DS233" s="314">
        <f t="shared" si="396"/>
        <v>3.7527849957557806</v>
      </c>
      <c r="DT233" s="316">
        <f t="shared" si="397"/>
        <v>61.820754522942522</v>
      </c>
      <c r="DU233" s="314">
        <f t="shared" si="385"/>
        <v>3.7527849957557806</v>
      </c>
      <c r="DV233" s="316">
        <f t="shared" si="401"/>
        <v>92</v>
      </c>
      <c r="DW233" s="310">
        <f t="shared" si="386"/>
        <v>4.0108695652173916</v>
      </c>
      <c r="FB233" s="307"/>
      <c r="FC233" s="307"/>
      <c r="FF233" s="307"/>
      <c r="FG233" s="307"/>
      <c r="FH233" s="306"/>
      <c r="FJ233" s="307"/>
      <c r="FK233" s="307"/>
      <c r="FL233" s="306"/>
      <c r="FM233" s="307"/>
      <c r="FN233" s="306"/>
      <c r="FO233" s="307"/>
      <c r="FP233" s="306"/>
    </row>
    <row r="234" spans="29:172">
      <c r="AC234" s="156"/>
      <c r="AI234" s="190">
        <v>293</v>
      </c>
      <c r="AJ234" s="185">
        <v>209</v>
      </c>
      <c r="AK234" s="183">
        <f t="shared" si="402"/>
        <v>293</v>
      </c>
      <c r="AO234" s="182">
        <v>4.4299999999999999E-2</v>
      </c>
      <c r="AP234" s="185">
        <v>209</v>
      </c>
      <c r="AQ234" s="184">
        <f t="shared" si="403"/>
        <v>4.4299999999999999E-2</v>
      </c>
      <c r="AR234" s="190">
        <v>293</v>
      </c>
      <c r="AS234" s="185">
        <v>209</v>
      </c>
      <c r="AT234" s="183">
        <f t="shared" si="404"/>
        <v>293</v>
      </c>
      <c r="AX234" s="182">
        <v>4.4299999999999999E-2</v>
      </c>
      <c r="AY234" s="185">
        <v>209</v>
      </c>
      <c r="AZ234" s="184">
        <f t="shared" si="405"/>
        <v>4.4299999999999999E-2</v>
      </c>
      <c r="BA234" s="190">
        <v>293</v>
      </c>
      <c r="BB234" s="185">
        <v>209</v>
      </c>
      <c r="BC234" s="183">
        <f t="shared" si="406"/>
        <v>293</v>
      </c>
      <c r="BG234" s="182">
        <v>4.4299999999999999E-2</v>
      </c>
      <c r="BH234" s="185">
        <v>209</v>
      </c>
      <c r="BI234" s="184">
        <f t="shared" si="407"/>
        <v>4.4299999999999999E-2</v>
      </c>
      <c r="CW234" s="364"/>
      <c r="CX234" s="316"/>
      <c r="CY234" s="316"/>
      <c r="DA234" s="309">
        <v>233</v>
      </c>
      <c r="DB234" s="313">
        <f t="shared" si="380"/>
        <v>284.80506458402516</v>
      </c>
      <c r="DC234" s="309">
        <f t="shared" si="381"/>
        <v>1</v>
      </c>
      <c r="DD234" s="309">
        <f t="shared" si="382"/>
        <v>260</v>
      </c>
      <c r="DE234" s="308">
        <f t="shared" si="383"/>
        <v>6.5000000000000002E-2</v>
      </c>
      <c r="DF234" s="313">
        <f t="shared" si="398"/>
        <v>233</v>
      </c>
      <c r="DG234" s="313">
        <f t="shared" si="387"/>
        <v>260</v>
      </c>
      <c r="DH234" s="313">
        <f t="shared" si="388"/>
        <v>260</v>
      </c>
      <c r="DI234" s="313">
        <f t="shared" si="389"/>
        <v>0</v>
      </c>
      <c r="DJ234" s="313">
        <f t="shared" si="390"/>
        <v>0</v>
      </c>
      <c r="DK234" s="313">
        <f t="shared" si="399"/>
        <v>55664.517269621676</v>
      </c>
      <c r="DL234" s="313">
        <f t="shared" si="391"/>
        <v>95420</v>
      </c>
      <c r="DM234" s="314">
        <f t="shared" si="392"/>
        <v>18.90570280914724</v>
      </c>
      <c r="DN234" s="312">
        <f t="shared" si="393"/>
        <v>8.1140355404065403E-2</v>
      </c>
      <c r="DO234" s="312">
        <f t="shared" si="400"/>
        <v>1</v>
      </c>
      <c r="DP234" s="315">
        <f t="shared" si="384"/>
        <v>6.5000000000000002E-2</v>
      </c>
      <c r="DQ234" s="316">
        <f t="shared" si="394"/>
        <v>0.25</v>
      </c>
      <c r="DR234" s="316">
        <f t="shared" si="395"/>
        <v>62.070754522942522</v>
      </c>
      <c r="DS234" s="314">
        <f t="shared" si="396"/>
        <v>3.7537806941573235</v>
      </c>
      <c r="DT234" s="316">
        <f t="shared" si="397"/>
        <v>62.070754522942522</v>
      </c>
      <c r="DU234" s="314">
        <f t="shared" si="385"/>
        <v>3.7537806941573235</v>
      </c>
      <c r="DV234" s="316">
        <f t="shared" si="401"/>
        <v>91.75</v>
      </c>
      <c r="DW234" s="310">
        <f t="shared" si="386"/>
        <v>4.0108991825613076</v>
      </c>
      <c r="FB234" s="307"/>
      <c r="FC234" s="307"/>
      <c r="FF234" s="307"/>
      <c r="FG234" s="307"/>
      <c r="FH234" s="306"/>
      <c r="FJ234" s="307"/>
      <c r="FK234" s="307"/>
      <c r="FL234" s="306"/>
      <c r="FM234" s="307"/>
      <c r="FN234" s="306"/>
      <c r="FO234" s="307"/>
      <c r="FP234" s="306"/>
    </row>
    <row r="235" spans="29:172">
      <c r="AC235" s="156"/>
      <c r="AI235" s="190">
        <v>292</v>
      </c>
      <c r="AJ235" s="185">
        <v>210</v>
      </c>
      <c r="AK235" s="183">
        <f t="shared" si="402"/>
        <v>292</v>
      </c>
      <c r="AO235" s="182">
        <v>4.4200000000000003E-2</v>
      </c>
      <c r="AP235" s="185">
        <v>210</v>
      </c>
      <c r="AQ235" s="184">
        <f t="shared" si="403"/>
        <v>4.4200000000000003E-2</v>
      </c>
      <c r="AR235" s="190">
        <v>292</v>
      </c>
      <c r="AS235" s="185">
        <v>210</v>
      </c>
      <c r="AT235" s="183">
        <f t="shared" si="404"/>
        <v>292</v>
      </c>
      <c r="AX235" s="182">
        <v>4.4200000000000003E-2</v>
      </c>
      <c r="AY235" s="185">
        <v>210</v>
      </c>
      <c r="AZ235" s="184">
        <f t="shared" si="405"/>
        <v>4.4200000000000003E-2</v>
      </c>
      <c r="BA235" s="190">
        <v>292</v>
      </c>
      <c r="BB235" s="185">
        <v>210</v>
      </c>
      <c r="BC235" s="183">
        <f t="shared" si="406"/>
        <v>292</v>
      </c>
      <c r="BG235" s="182">
        <v>4.4200000000000003E-2</v>
      </c>
      <c r="BH235" s="185">
        <v>210</v>
      </c>
      <c r="BI235" s="184">
        <f t="shared" si="407"/>
        <v>4.4200000000000003E-2</v>
      </c>
      <c r="CW235" s="364"/>
      <c r="CX235" s="316"/>
      <c r="CY235" s="316"/>
      <c r="DA235" s="309">
        <v>234</v>
      </c>
      <c r="DB235" s="313">
        <f t="shared" si="380"/>
        <v>285.16903481829138</v>
      </c>
      <c r="DC235" s="309">
        <f t="shared" si="381"/>
        <v>1</v>
      </c>
      <c r="DD235" s="309">
        <f t="shared" si="382"/>
        <v>260</v>
      </c>
      <c r="DE235" s="308">
        <f t="shared" si="383"/>
        <v>6.5000000000000002E-2</v>
      </c>
      <c r="DF235" s="313">
        <f t="shared" si="398"/>
        <v>234</v>
      </c>
      <c r="DG235" s="313">
        <f t="shared" si="387"/>
        <v>260</v>
      </c>
      <c r="DH235" s="313">
        <f t="shared" si="388"/>
        <v>260</v>
      </c>
      <c r="DI235" s="313">
        <f t="shared" si="389"/>
        <v>0</v>
      </c>
      <c r="DJ235" s="313">
        <f t="shared" si="390"/>
        <v>0</v>
      </c>
      <c r="DK235" s="313">
        <f t="shared" si="399"/>
        <v>55924.517269621676</v>
      </c>
      <c r="DL235" s="313">
        <f t="shared" si="391"/>
        <v>95160</v>
      </c>
      <c r="DM235" s="314">
        <f t="shared" si="392"/>
        <v>18.90570280914724</v>
      </c>
      <c r="DN235" s="312">
        <f t="shared" si="393"/>
        <v>8.0793601748492483E-2</v>
      </c>
      <c r="DO235" s="312">
        <f t="shared" si="400"/>
        <v>1</v>
      </c>
      <c r="DP235" s="315">
        <f t="shared" si="384"/>
        <v>6.5000000000000002E-2</v>
      </c>
      <c r="DQ235" s="316">
        <f t="shared" si="394"/>
        <v>0.25</v>
      </c>
      <c r="DR235" s="316">
        <f t="shared" si="395"/>
        <v>62.320754522942522</v>
      </c>
      <c r="DS235" s="314">
        <f t="shared" si="396"/>
        <v>3.7547684040612208</v>
      </c>
      <c r="DT235" s="316">
        <f t="shared" si="397"/>
        <v>62.320754522942522</v>
      </c>
      <c r="DU235" s="314">
        <f t="shared" si="385"/>
        <v>3.7547684040612208</v>
      </c>
      <c r="DV235" s="316">
        <f t="shared" si="401"/>
        <v>91.5</v>
      </c>
      <c r="DW235" s="310">
        <f t="shared" si="386"/>
        <v>4.0109289617486334</v>
      </c>
      <c r="FB235" s="307"/>
      <c r="FC235" s="307"/>
      <c r="FF235" s="307"/>
      <c r="FG235" s="307"/>
      <c r="FH235" s="306"/>
      <c r="FJ235" s="307"/>
      <c r="FK235" s="307"/>
      <c r="FL235" s="306"/>
      <c r="FM235" s="307"/>
      <c r="FN235" s="306"/>
      <c r="FO235" s="307"/>
      <c r="FP235" s="306"/>
    </row>
    <row r="236" spans="29:172">
      <c r="AC236" s="156"/>
      <c r="AI236" s="190">
        <v>291</v>
      </c>
      <c r="AJ236" s="185">
        <v>211</v>
      </c>
      <c r="AK236" s="183">
        <f t="shared" si="402"/>
        <v>291</v>
      </c>
      <c r="AO236" s="182">
        <v>4.41E-2</v>
      </c>
      <c r="AP236" s="185">
        <v>211</v>
      </c>
      <c r="AQ236" s="184">
        <f t="shared" si="403"/>
        <v>4.41E-2</v>
      </c>
      <c r="AR236" s="190">
        <v>291</v>
      </c>
      <c r="AS236" s="185">
        <v>211</v>
      </c>
      <c r="AT236" s="183">
        <f t="shared" si="404"/>
        <v>291</v>
      </c>
      <c r="AX236" s="182">
        <v>4.41E-2</v>
      </c>
      <c r="AY236" s="185">
        <v>211</v>
      </c>
      <c r="AZ236" s="184">
        <f t="shared" si="405"/>
        <v>4.41E-2</v>
      </c>
      <c r="BA236" s="190">
        <v>291</v>
      </c>
      <c r="BB236" s="185">
        <v>211</v>
      </c>
      <c r="BC236" s="183">
        <f t="shared" si="406"/>
        <v>291</v>
      </c>
      <c r="BG236" s="182">
        <v>4.41E-2</v>
      </c>
      <c r="BH236" s="185">
        <v>211</v>
      </c>
      <c r="BI236" s="184">
        <f t="shared" si="407"/>
        <v>4.41E-2</v>
      </c>
      <c r="CW236" s="364"/>
      <c r="CX236" s="316"/>
      <c r="CY236" s="316"/>
      <c r="DA236" s="309">
        <v>235</v>
      </c>
      <c r="DB236" s="313">
        <f t="shared" si="380"/>
        <v>285.53300505255754</v>
      </c>
      <c r="DC236" s="309">
        <f t="shared" si="381"/>
        <v>1</v>
      </c>
      <c r="DD236" s="309">
        <f t="shared" si="382"/>
        <v>260</v>
      </c>
      <c r="DE236" s="308">
        <f t="shared" si="383"/>
        <v>6.5000000000000002E-2</v>
      </c>
      <c r="DF236" s="313">
        <f t="shared" si="398"/>
        <v>235</v>
      </c>
      <c r="DG236" s="313">
        <f t="shared" si="387"/>
        <v>260</v>
      </c>
      <c r="DH236" s="313">
        <f t="shared" si="388"/>
        <v>260</v>
      </c>
      <c r="DI236" s="313">
        <f t="shared" si="389"/>
        <v>0</v>
      </c>
      <c r="DJ236" s="313">
        <f t="shared" si="390"/>
        <v>0</v>
      </c>
      <c r="DK236" s="313">
        <f t="shared" si="399"/>
        <v>56184.517269621676</v>
      </c>
      <c r="DL236" s="313">
        <f t="shared" si="391"/>
        <v>94900</v>
      </c>
      <c r="DM236" s="314">
        <f t="shared" si="392"/>
        <v>18.90570280914724</v>
      </c>
      <c r="DN236" s="312">
        <f t="shared" si="393"/>
        <v>8.0449799187860591E-2</v>
      </c>
      <c r="DO236" s="312">
        <f t="shared" si="400"/>
        <v>1</v>
      </c>
      <c r="DP236" s="315">
        <f t="shared" si="384"/>
        <v>6.5000000000000002E-2</v>
      </c>
      <c r="DQ236" s="316">
        <f t="shared" si="394"/>
        <v>0.25</v>
      </c>
      <c r="DR236" s="316">
        <f t="shared" si="395"/>
        <v>62.570754522942522</v>
      </c>
      <c r="DS236" s="314">
        <f t="shared" si="396"/>
        <v>3.7557482212210447</v>
      </c>
      <c r="DT236" s="316">
        <f t="shared" si="397"/>
        <v>62.570754522942522</v>
      </c>
      <c r="DU236" s="314">
        <f t="shared" si="385"/>
        <v>3.7557482212210447</v>
      </c>
      <c r="DV236" s="316">
        <f t="shared" si="401"/>
        <v>91.25</v>
      </c>
      <c r="DW236" s="310">
        <f t="shared" si="386"/>
        <v>4.0109589041095894</v>
      </c>
      <c r="FB236" s="307"/>
      <c r="FC236" s="307"/>
      <c r="FF236" s="307"/>
      <c r="FG236" s="307"/>
      <c r="FH236" s="306"/>
      <c r="FJ236" s="307"/>
      <c r="FK236" s="307"/>
      <c r="FL236" s="306"/>
      <c r="FM236" s="307"/>
      <c r="FN236" s="306"/>
      <c r="FO236" s="307"/>
      <c r="FP236" s="306"/>
    </row>
    <row r="237" spans="29:172">
      <c r="AC237" s="156"/>
      <c r="AI237" s="190">
        <v>290</v>
      </c>
      <c r="AJ237" s="185">
        <v>212</v>
      </c>
      <c r="AK237" s="183">
        <f t="shared" si="402"/>
        <v>290</v>
      </c>
      <c r="AO237" s="182">
        <v>4.3999999999999997E-2</v>
      </c>
      <c r="AP237" s="185">
        <v>212</v>
      </c>
      <c r="AQ237" s="184">
        <f t="shared" si="403"/>
        <v>4.3999999999999997E-2</v>
      </c>
      <c r="AR237" s="190">
        <v>290</v>
      </c>
      <c r="AS237" s="185">
        <v>212</v>
      </c>
      <c r="AT237" s="183">
        <f t="shared" si="404"/>
        <v>290</v>
      </c>
      <c r="AX237" s="182">
        <v>4.3999999999999997E-2</v>
      </c>
      <c r="AY237" s="185">
        <v>212</v>
      </c>
      <c r="AZ237" s="184">
        <f t="shared" si="405"/>
        <v>4.3999999999999997E-2</v>
      </c>
      <c r="BA237" s="190">
        <v>290</v>
      </c>
      <c r="BB237" s="185">
        <v>212</v>
      </c>
      <c r="BC237" s="183">
        <f t="shared" si="406"/>
        <v>290</v>
      </c>
      <c r="BG237" s="182">
        <v>4.3999999999999997E-2</v>
      </c>
      <c r="BH237" s="185">
        <v>212</v>
      </c>
      <c r="BI237" s="184">
        <f t="shared" si="407"/>
        <v>4.3999999999999997E-2</v>
      </c>
      <c r="CW237" s="364"/>
      <c r="CX237" s="316"/>
      <c r="CY237" s="316"/>
      <c r="DA237" s="309">
        <v>236</v>
      </c>
      <c r="DB237" s="313">
        <f t="shared" si="380"/>
        <v>285.89697528682376</v>
      </c>
      <c r="DC237" s="309">
        <f t="shared" si="381"/>
        <v>1</v>
      </c>
      <c r="DD237" s="309">
        <f t="shared" si="382"/>
        <v>260</v>
      </c>
      <c r="DE237" s="308">
        <f t="shared" si="383"/>
        <v>6.5000000000000002E-2</v>
      </c>
      <c r="DF237" s="313">
        <f t="shared" si="398"/>
        <v>236</v>
      </c>
      <c r="DG237" s="313">
        <f t="shared" si="387"/>
        <v>260</v>
      </c>
      <c r="DH237" s="313">
        <f t="shared" si="388"/>
        <v>260</v>
      </c>
      <c r="DI237" s="313">
        <f t="shared" si="389"/>
        <v>0</v>
      </c>
      <c r="DJ237" s="313">
        <f t="shared" si="390"/>
        <v>0</v>
      </c>
      <c r="DK237" s="313">
        <f t="shared" si="399"/>
        <v>56444.517269621676</v>
      </c>
      <c r="DL237" s="313">
        <f t="shared" si="391"/>
        <v>94640</v>
      </c>
      <c r="DM237" s="314">
        <f t="shared" si="392"/>
        <v>18.90570280914724</v>
      </c>
      <c r="DN237" s="312">
        <f t="shared" si="393"/>
        <v>8.0108910208251019E-2</v>
      </c>
      <c r="DO237" s="312">
        <f t="shared" si="400"/>
        <v>1</v>
      </c>
      <c r="DP237" s="315">
        <f t="shared" si="384"/>
        <v>6.5000000000000002E-2</v>
      </c>
      <c r="DQ237" s="316">
        <f t="shared" si="394"/>
        <v>0.25</v>
      </c>
      <c r="DR237" s="316">
        <f t="shared" si="395"/>
        <v>62.820754522942522</v>
      </c>
      <c r="DS237" s="314">
        <f t="shared" si="396"/>
        <v>3.7567202398661315</v>
      </c>
      <c r="DT237" s="316">
        <f t="shared" si="397"/>
        <v>62.820754522942522</v>
      </c>
      <c r="DU237" s="314">
        <f t="shared" si="385"/>
        <v>3.7567202398661315</v>
      </c>
      <c r="DV237" s="316">
        <f t="shared" si="401"/>
        <v>91</v>
      </c>
      <c r="DW237" s="310">
        <f t="shared" si="386"/>
        <v>4.0109890109890109</v>
      </c>
      <c r="FB237" s="307"/>
      <c r="FC237" s="307"/>
      <c r="FF237" s="307"/>
      <c r="FG237" s="307"/>
      <c r="FH237" s="306"/>
      <c r="FJ237" s="307"/>
      <c r="FK237" s="307"/>
      <c r="FL237" s="306"/>
      <c r="FM237" s="307"/>
      <c r="FN237" s="306"/>
      <c r="FO237" s="307"/>
      <c r="FP237" s="306"/>
    </row>
    <row r="238" spans="29:172">
      <c r="AC238" s="156"/>
      <c r="AI238" s="190">
        <v>289</v>
      </c>
      <c r="AJ238" s="185">
        <v>213</v>
      </c>
      <c r="AK238" s="183">
        <f t="shared" si="402"/>
        <v>289</v>
      </c>
      <c r="AO238" s="182">
        <v>4.3900000000000002E-2</v>
      </c>
      <c r="AP238" s="185">
        <v>213</v>
      </c>
      <c r="AQ238" s="184">
        <f t="shared" si="403"/>
        <v>4.3900000000000002E-2</v>
      </c>
      <c r="AR238" s="190">
        <v>289</v>
      </c>
      <c r="AS238" s="185">
        <v>213</v>
      </c>
      <c r="AT238" s="183">
        <f t="shared" si="404"/>
        <v>289</v>
      </c>
      <c r="AX238" s="182">
        <v>4.3900000000000002E-2</v>
      </c>
      <c r="AY238" s="185">
        <v>213</v>
      </c>
      <c r="AZ238" s="184">
        <f t="shared" si="405"/>
        <v>4.3900000000000002E-2</v>
      </c>
      <c r="BA238" s="190">
        <v>289</v>
      </c>
      <c r="BB238" s="185">
        <v>213</v>
      </c>
      <c r="BC238" s="183">
        <f t="shared" si="406"/>
        <v>289</v>
      </c>
      <c r="BG238" s="182">
        <v>4.3900000000000002E-2</v>
      </c>
      <c r="BH238" s="185">
        <v>213</v>
      </c>
      <c r="BI238" s="184">
        <f t="shared" si="407"/>
        <v>4.3900000000000002E-2</v>
      </c>
      <c r="CW238" s="364"/>
      <c r="CX238" s="316"/>
      <c r="CY238" s="316"/>
      <c r="DA238" s="309">
        <v>237</v>
      </c>
      <c r="DB238" s="313">
        <f t="shared" si="380"/>
        <v>286.26094552108998</v>
      </c>
      <c r="DC238" s="309">
        <f t="shared" si="381"/>
        <v>1</v>
      </c>
      <c r="DD238" s="309">
        <f t="shared" si="382"/>
        <v>260</v>
      </c>
      <c r="DE238" s="308">
        <f t="shared" si="383"/>
        <v>6.5000000000000002E-2</v>
      </c>
      <c r="DF238" s="313">
        <f t="shared" si="398"/>
        <v>237</v>
      </c>
      <c r="DG238" s="313">
        <f t="shared" si="387"/>
        <v>260</v>
      </c>
      <c r="DH238" s="313">
        <f t="shared" si="388"/>
        <v>260</v>
      </c>
      <c r="DI238" s="313">
        <f t="shared" si="389"/>
        <v>0</v>
      </c>
      <c r="DJ238" s="313">
        <f t="shared" si="390"/>
        <v>0</v>
      </c>
      <c r="DK238" s="313">
        <f t="shared" si="399"/>
        <v>56704.517269621676</v>
      </c>
      <c r="DL238" s="313">
        <f t="shared" si="391"/>
        <v>94380</v>
      </c>
      <c r="DM238" s="314">
        <f t="shared" si="392"/>
        <v>18.90570280914724</v>
      </c>
      <c r="DN238" s="312">
        <f t="shared" si="393"/>
        <v>7.9770897928891304E-2</v>
      </c>
      <c r="DO238" s="312">
        <f t="shared" si="400"/>
        <v>1</v>
      </c>
      <c r="DP238" s="315">
        <f t="shared" si="384"/>
        <v>6.5000000000000002E-2</v>
      </c>
      <c r="DQ238" s="316">
        <f t="shared" si="394"/>
        <v>0.25</v>
      </c>
      <c r="DR238" s="316">
        <f t="shared" si="395"/>
        <v>63.070754522942522</v>
      </c>
      <c r="DS238" s="314">
        <f t="shared" si="396"/>
        <v>3.7576845527317935</v>
      </c>
      <c r="DT238" s="316">
        <f t="shared" si="397"/>
        <v>63.070754522942522</v>
      </c>
      <c r="DU238" s="314">
        <f t="shared" si="385"/>
        <v>3.7576845527317935</v>
      </c>
      <c r="DV238" s="316">
        <f t="shared" si="401"/>
        <v>90.75</v>
      </c>
      <c r="DW238" s="310">
        <f t="shared" si="386"/>
        <v>4.0110192837465561</v>
      </c>
      <c r="FB238" s="307"/>
      <c r="FC238" s="307"/>
      <c r="FF238" s="307"/>
      <c r="FG238" s="307"/>
      <c r="FH238" s="306"/>
      <c r="FJ238" s="307"/>
      <c r="FK238" s="307"/>
      <c r="FL238" s="306"/>
      <c r="FM238" s="307"/>
      <c r="FN238" s="306"/>
      <c r="FO238" s="307"/>
      <c r="FP238" s="306"/>
    </row>
    <row r="239" spans="29:172">
      <c r="AC239" s="156"/>
      <c r="AI239" s="190">
        <v>288</v>
      </c>
      <c r="AJ239" s="185">
        <v>214</v>
      </c>
      <c r="AK239" s="183">
        <f t="shared" si="402"/>
        <v>288</v>
      </c>
      <c r="AO239" s="182">
        <v>4.3799999999999999E-2</v>
      </c>
      <c r="AP239" s="185">
        <v>214</v>
      </c>
      <c r="AQ239" s="184">
        <f t="shared" si="403"/>
        <v>4.3799999999999999E-2</v>
      </c>
      <c r="AR239" s="190">
        <v>288</v>
      </c>
      <c r="AS239" s="185">
        <v>214</v>
      </c>
      <c r="AT239" s="183">
        <f t="shared" si="404"/>
        <v>288</v>
      </c>
      <c r="AX239" s="182">
        <v>4.3799999999999999E-2</v>
      </c>
      <c r="AY239" s="185">
        <v>214</v>
      </c>
      <c r="AZ239" s="184">
        <f t="shared" si="405"/>
        <v>4.3799999999999999E-2</v>
      </c>
      <c r="BA239" s="190">
        <v>288</v>
      </c>
      <c r="BB239" s="185">
        <v>214</v>
      </c>
      <c r="BC239" s="183">
        <f t="shared" si="406"/>
        <v>288</v>
      </c>
      <c r="BG239" s="182">
        <v>4.3799999999999999E-2</v>
      </c>
      <c r="BH239" s="185">
        <v>214</v>
      </c>
      <c r="BI239" s="184">
        <f t="shared" si="407"/>
        <v>4.3799999999999999E-2</v>
      </c>
      <c r="CW239" s="364"/>
      <c r="CX239" s="316"/>
      <c r="CY239" s="316"/>
      <c r="DA239" s="309">
        <v>238</v>
      </c>
      <c r="DB239" s="313">
        <f t="shared" si="380"/>
        <v>286.62491575535614</v>
      </c>
      <c r="DC239" s="309">
        <f t="shared" si="381"/>
        <v>1</v>
      </c>
      <c r="DD239" s="309">
        <f t="shared" si="382"/>
        <v>260</v>
      </c>
      <c r="DE239" s="308">
        <f t="shared" si="383"/>
        <v>6.5000000000000002E-2</v>
      </c>
      <c r="DF239" s="313">
        <f t="shared" si="398"/>
        <v>238</v>
      </c>
      <c r="DG239" s="313">
        <f t="shared" si="387"/>
        <v>260</v>
      </c>
      <c r="DH239" s="313">
        <f t="shared" si="388"/>
        <v>260</v>
      </c>
      <c r="DI239" s="313">
        <f t="shared" si="389"/>
        <v>0</v>
      </c>
      <c r="DJ239" s="313">
        <f t="shared" si="390"/>
        <v>0</v>
      </c>
      <c r="DK239" s="313">
        <f t="shared" si="399"/>
        <v>56964.517269621676</v>
      </c>
      <c r="DL239" s="313">
        <f t="shared" si="391"/>
        <v>94120</v>
      </c>
      <c r="DM239" s="314">
        <f t="shared" si="392"/>
        <v>18.90570280914724</v>
      </c>
      <c r="DN239" s="312">
        <f t="shared" si="393"/>
        <v>7.943572608885395E-2</v>
      </c>
      <c r="DO239" s="312">
        <f t="shared" si="400"/>
        <v>1</v>
      </c>
      <c r="DP239" s="315">
        <f t="shared" si="384"/>
        <v>6.5000000000000002E-2</v>
      </c>
      <c r="DQ239" s="316">
        <f t="shared" si="394"/>
        <v>0.25</v>
      </c>
      <c r="DR239" s="316">
        <f t="shared" si="395"/>
        <v>63.320754522942522</v>
      </c>
      <c r="DS239" s="314">
        <f t="shared" si="396"/>
        <v>3.7586412510888083</v>
      </c>
      <c r="DT239" s="316">
        <f t="shared" si="397"/>
        <v>63.320754522942522</v>
      </c>
      <c r="DU239" s="314">
        <f t="shared" si="385"/>
        <v>3.7586412510888083</v>
      </c>
      <c r="DV239" s="316">
        <f t="shared" si="401"/>
        <v>90.5</v>
      </c>
      <c r="DW239" s="310">
        <f t="shared" si="386"/>
        <v>4.0110497237569058</v>
      </c>
      <c r="FB239" s="307"/>
      <c r="FC239" s="307"/>
      <c r="FF239" s="307"/>
      <c r="FG239" s="307"/>
      <c r="FH239" s="306"/>
      <c r="FJ239" s="307"/>
      <c r="FK239" s="307"/>
      <c r="FL239" s="306"/>
      <c r="FM239" s="307"/>
      <c r="FN239" s="306"/>
      <c r="FO239" s="307"/>
      <c r="FP239" s="306"/>
    </row>
    <row r="240" spans="29:172">
      <c r="AC240" s="156"/>
      <c r="AI240" s="190">
        <v>287</v>
      </c>
      <c r="AJ240" s="185">
        <v>215</v>
      </c>
      <c r="AK240" s="183">
        <f t="shared" si="402"/>
        <v>287</v>
      </c>
      <c r="AO240" s="182">
        <v>4.3700000000000003E-2</v>
      </c>
      <c r="AP240" s="185">
        <v>215</v>
      </c>
      <c r="AQ240" s="184">
        <f t="shared" si="403"/>
        <v>4.3700000000000003E-2</v>
      </c>
      <c r="AR240" s="190">
        <v>287</v>
      </c>
      <c r="AS240" s="185">
        <v>215</v>
      </c>
      <c r="AT240" s="183">
        <f t="shared" si="404"/>
        <v>287</v>
      </c>
      <c r="AX240" s="182">
        <v>4.3700000000000003E-2</v>
      </c>
      <c r="AY240" s="185">
        <v>215</v>
      </c>
      <c r="AZ240" s="184">
        <f t="shared" si="405"/>
        <v>4.3700000000000003E-2</v>
      </c>
      <c r="BA240" s="190">
        <v>287</v>
      </c>
      <c r="BB240" s="185">
        <v>215</v>
      </c>
      <c r="BC240" s="183">
        <f t="shared" si="406"/>
        <v>287</v>
      </c>
      <c r="BG240" s="182">
        <v>4.3700000000000003E-2</v>
      </c>
      <c r="BH240" s="185">
        <v>215</v>
      </c>
      <c r="BI240" s="184">
        <f t="shared" si="407"/>
        <v>4.3700000000000003E-2</v>
      </c>
      <c r="CW240" s="364"/>
      <c r="CX240" s="316"/>
      <c r="CY240" s="316"/>
      <c r="DA240" s="309">
        <v>239</v>
      </c>
      <c r="DB240" s="313">
        <f t="shared" si="380"/>
        <v>286.98888598962236</v>
      </c>
      <c r="DC240" s="309">
        <f t="shared" si="381"/>
        <v>1</v>
      </c>
      <c r="DD240" s="309">
        <f t="shared" si="382"/>
        <v>260</v>
      </c>
      <c r="DE240" s="308">
        <f t="shared" si="383"/>
        <v>6.5000000000000002E-2</v>
      </c>
      <c r="DF240" s="313">
        <f t="shared" si="398"/>
        <v>239</v>
      </c>
      <c r="DG240" s="313">
        <f t="shared" si="387"/>
        <v>260</v>
      </c>
      <c r="DH240" s="313">
        <f t="shared" si="388"/>
        <v>260</v>
      </c>
      <c r="DI240" s="313">
        <f t="shared" si="389"/>
        <v>0</v>
      </c>
      <c r="DJ240" s="313">
        <f t="shared" si="390"/>
        <v>0</v>
      </c>
      <c r="DK240" s="313">
        <f t="shared" si="399"/>
        <v>57224.517269621676</v>
      </c>
      <c r="DL240" s="313">
        <f t="shared" si="391"/>
        <v>93860</v>
      </c>
      <c r="DM240" s="314">
        <f t="shared" si="392"/>
        <v>18.90570280914724</v>
      </c>
      <c r="DN240" s="312">
        <f t="shared" si="393"/>
        <v>7.9103359034088869E-2</v>
      </c>
      <c r="DO240" s="312">
        <f t="shared" si="400"/>
        <v>1</v>
      </c>
      <c r="DP240" s="315">
        <f t="shared" si="384"/>
        <v>6.5000000000000002E-2</v>
      </c>
      <c r="DQ240" s="316">
        <f t="shared" si="394"/>
        <v>0.25</v>
      </c>
      <c r="DR240" s="316">
        <f t="shared" si="395"/>
        <v>63.570754522942522</v>
      </c>
      <c r="DS240" s="314">
        <f t="shared" si="396"/>
        <v>3.7595904247722198</v>
      </c>
      <c r="DT240" s="316">
        <f t="shared" si="397"/>
        <v>63.570754522942522</v>
      </c>
      <c r="DU240" s="314">
        <f t="shared" si="385"/>
        <v>3.7595904247722198</v>
      </c>
      <c r="DV240" s="316">
        <f t="shared" si="401"/>
        <v>90.25</v>
      </c>
      <c r="DW240" s="310">
        <f t="shared" si="386"/>
        <v>4.0110803324099722</v>
      </c>
      <c r="FB240" s="307"/>
      <c r="FC240" s="307"/>
      <c r="FF240" s="307"/>
      <c r="FG240" s="307"/>
      <c r="FH240" s="306"/>
      <c r="FJ240" s="307"/>
      <c r="FK240" s="307"/>
      <c r="FL240" s="306"/>
      <c r="FM240" s="307"/>
      <c r="FN240" s="306"/>
      <c r="FO240" s="307"/>
      <c r="FP240" s="306"/>
    </row>
    <row r="241" spans="29:172">
      <c r="AC241" s="156"/>
      <c r="AI241" s="190">
        <v>286</v>
      </c>
      <c r="AJ241" s="185">
        <v>216</v>
      </c>
      <c r="AK241" s="183">
        <f t="shared" si="402"/>
        <v>286</v>
      </c>
      <c r="AO241" s="182">
        <v>4.36E-2</v>
      </c>
      <c r="AP241" s="185">
        <v>216</v>
      </c>
      <c r="AQ241" s="184">
        <f t="shared" si="403"/>
        <v>4.36E-2</v>
      </c>
      <c r="AR241" s="190">
        <v>286</v>
      </c>
      <c r="AS241" s="185">
        <v>216</v>
      </c>
      <c r="AT241" s="183">
        <f t="shared" si="404"/>
        <v>286</v>
      </c>
      <c r="AX241" s="182">
        <v>4.36E-2</v>
      </c>
      <c r="AY241" s="185">
        <v>216</v>
      </c>
      <c r="AZ241" s="184">
        <f t="shared" si="405"/>
        <v>4.36E-2</v>
      </c>
      <c r="BA241" s="190">
        <v>286</v>
      </c>
      <c r="BB241" s="185">
        <v>216</v>
      </c>
      <c r="BC241" s="183">
        <f t="shared" si="406"/>
        <v>286</v>
      </c>
      <c r="BG241" s="182">
        <v>4.36E-2</v>
      </c>
      <c r="BH241" s="185">
        <v>216</v>
      </c>
      <c r="BI241" s="184">
        <f t="shared" si="407"/>
        <v>4.36E-2</v>
      </c>
      <c r="CW241" s="364"/>
      <c r="CX241" s="316"/>
      <c r="CY241" s="316"/>
      <c r="DA241" s="309">
        <v>240</v>
      </c>
      <c r="DB241" s="313">
        <f t="shared" si="380"/>
        <v>287.35285622388858</v>
      </c>
      <c r="DC241" s="309">
        <f t="shared" si="381"/>
        <v>1</v>
      </c>
      <c r="DD241" s="309">
        <f t="shared" si="382"/>
        <v>260</v>
      </c>
      <c r="DE241" s="308">
        <f t="shared" si="383"/>
        <v>6.5000000000000002E-2</v>
      </c>
      <c r="DF241" s="313">
        <f t="shared" si="398"/>
        <v>240</v>
      </c>
      <c r="DG241" s="313">
        <f t="shared" si="387"/>
        <v>260</v>
      </c>
      <c r="DH241" s="313">
        <f t="shared" si="388"/>
        <v>260</v>
      </c>
      <c r="DI241" s="313">
        <f t="shared" si="389"/>
        <v>0</v>
      </c>
      <c r="DJ241" s="313">
        <f t="shared" si="390"/>
        <v>0</v>
      </c>
      <c r="DK241" s="313">
        <f t="shared" si="399"/>
        <v>57484.517269621676</v>
      </c>
      <c r="DL241" s="313">
        <f t="shared" si="391"/>
        <v>93600</v>
      </c>
      <c r="DM241" s="314">
        <f t="shared" si="392"/>
        <v>18.90570280914724</v>
      </c>
      <c r="DN241" s="312">
        <f t="shared" si="393"/>
        <v>7.8773761704780162E-2</v>
      </c>
      <c r="DO241" s="312">
        <f t="shared" si="400"/>
        <v>1</v>
      </c>
      <c r="DP241" s="315">
        <f t="shared" si="384"/>
        <v>6.5000000000000002E-2</v>
      </c>
      <c r="DQ241" s="316">
        <f t="shared" si="394"/>
        <v>0.25</v>
      </c>
      <c r="DR241" s="316">
        <f t="shared" si="395"/>
        <v>63.820754522942522</v>
      </c>
      <c r="DS241" s="314">
        <f t="shared" si="396"/>
        <v>3.7605321622094565</v>
      </c>
      <c r="DT241" s="316">
        <f t="shared" si="397"/>
        <v>63.820754522942522</v>
      </c>
      <c r="DU241" s="314">
        <f t="shared" si="385"/>
        <v>3.7605321622094565</v>
      </c>
      <c r="DV241" s="316">
        <f t="shared" si="401"/>
        <v>90</v>
      </c>
      <c r="DW241" s="310">
        <f t="shared" si="386"/>
        <v>4.0111111111111111</v>
      </c>
      <c r="FB241" s="307"/>
      <c r="FC241" s="307"/>
      <c r="FF241" s="307"/>
      <c r="FG241" s="307"/>
      <c r="FH241" s="306"/>
      <c r="FJ241" s="307"/>
      <c r="FK241" s="307"/>
      <c r="FL241" s="306"/>
      <c r="FM241" s="307"/>
      <c r="FN241" s="306"/>
      <c r="FO241" s="307"/>
      <c r="FP241" s="306"/>
    </row>
    <row r="242" spans="29:172">
      <c r="AC242" s="156"/>
      <c r="AI242" s="190">
        <v>285</v>
      </c>
      <c r="AJ242" s="185">
        <v>217</v>
      </c>
      <c r="AK242" s="183">
        <f t="shared" si="402"/>
        <v>285</v>
      </c>
      <c r="AO242" s="182">
        <v>4.3499999999999997E-2</v>
      </c>
      <c r="AP242" s="185">
        <v>217</v>
      </c>
      <c r="AQ242" s="184">
        <f t="shared" si="403"/>
        <v>4.3499999999999997E-2</v>
      </c>
      <c r="AR242" s="190">
        <v>285</v>
      </c>
      <c r="AS242" s="185">
        <v>217</v>
      </c>
      <c r="AT242" s="183">
        <f t="shared" si="404"/>
        <v>285</v>
      </c>
      <c r="AX242" s="182">
        <v>4.3499999999999997E-2</v>
      </c>
      <c r="AY242" s="185">
        <v>217</v>
      </c>
      <c r="AZ242" s="184">
        <f t="shared" si="405"/>
        <v>4.3499999999999997E-2</v>
      </c>
      <c r="BA242" s="190">
        <v>285</v>
      </c>
      <c r="BB242" s="185">
        <v>217</v>
      </c>
      <c r="BC242" s="183">
        <f t="shared" si="406"/>
        <v>285</v>
      </c>
      <c r="BG242" s="182">
        <v>4.3499999999999997E-2</v>
      </c>
      <c r="BH242" s="185">
        <v>217</v>
      </c>
      <c r="BI242" s="184">
        <f t="shared" si="407"/>
        <v>4.3499999999999997E-2</v>
      </c>
      <c r="CW242" s="364"/>
      <c r="CX242" s="316"/>
      <c r="CY242" s="316"/>
      <c r="DA242" s="309">
        <v>241</v>
      </c>
      <c r="DB242" s="313">
        <f t="shared" si="380"/>
        <v>287.71682645815474</v>
      </c>
      <c r="DC242" s="309">
        <f t="shared" si="381"/>
        <v>1</v>
      </c>
      <c r="DD242" s="309">
        <f t="shared" si="382"/>
        <v>260</v>
      </c>
      <c r="DE242" s="308">
        <f t="shared" si="383"/>
        <v>6.5000000000000002E-2</v>
      </c>
      <c r="DF242" s="313">
        <f t="shared" si="398"/>
        <v>241</v>
      </c>
      <c r="DG242" s="313">
        <f t="shared" si="387"/>
        <v>260</v>
      </c>
      <c r="DH242" s="313">
        <f t="shared" si="388"/>
        <v>260</v>
      </c>
      <c r="DI242" s="313">
        <f t="shared" si="389"/>
        <v>0</v>
      </c>
      <c r="DJ242" s="313">
        <f t="shared" si="390"/>
        <v>0</v>
      </c>
      <c r="DK242" s="313">
        <f t="shared" si="399"/>
        <v>57744.517269621676</v>
      </c>
      <c r="DL242" s="313">
        <f t="shared" si="391"/>
        <v>93340</v>
      </c>
      <c r="DM242" s="314">
        <f t="shared" si="392"/>
        <v>18.90570280914724</v>
      </c>
      <c r="DN242" s="312">
        <f t="shared" si="393"/>
        <v>7.8446899623017596E-2</v>
      </c>
      <c r="DO242" s="312">
        <f t="shared" si="400"/>
        <v>1</v>
      </c>
      <c r="DP242" s="315">
        <f t="shared" si="384"/>
        <v>6.5000000000000002E-2</v>
      </c>
      <c r="DQ242" s="316">
        <f t="shared" si="394"/>
        <v>0.25</v>
      </c>
      <c r="DR242" s="316">
        <f t="shared" si="395"/>
        <v>64.070754522942522</v>
      </c>
      <c r="DS242" s="314">
        <f t="shared" si="396"/>
        <v>3.761466550447794</v>
      </c>
      <c r="DT242" s="316">
        <f t="shared" si="397"/>
        <v>64.070754522942522</v>
      </c>
      <c r="DU242" s="314">
        <f t="shared" si="385"/>
        <v>3.761466550447794</v>
      </c>
      <c r="DV242" s="316">
        <f t="shared" si="401"/>
        <v>89.75</v>
      </c>
      <c r="DW242" s="310">
        <f t="shared" si="386"/>
        <v>4.0111420612813369</v>
      </c>
      <c r="FB242" s="307"/>
      <c r="FC242" s="307"/>
      <c r="FF242" s="307"/>
      <c r="FG242" s="307"/>
      <c r="FH242" s="306"/>
      <c r="FJ242" s="307"/>
      <c r="FK242" s="307"/>
      <c r="FL242" s="306"/>
      <c r="FM242" s="307"/>
      <c r="FN242" s="306"/>
      <c r="FO242" s="307"/>
      <c r="FP242" s="306"/>
    </row>
    <row r="243" spans="29:172">
      <c r="AC243" s="156"/>
      <c r="AI243" s="190">
        <v>284</v>
      </c>
      <c r="AJ243" s="185">
        <v>218</v>
      </c>
      <c r="AK243" s="183">
        <f t="shared" si="402"/>
        <v>284</v>
      </c>
      <c r="AO243" s="182">
        <v>4.3400000000000001E-2</v>
      </c>
      <c r="AP243" s="185">
        <v>218</v>
      </c>
      <c r="AQ243" s="184">
        <f t="shared" si="403"/>
        <v>4.3400000000000001E-2</v>
      </c>
      <c r="AR243" s="190">
        <v>284</v>
      </c>
      <c r="AS243" s="185">
        <v>218</v>
      </c>
      <c r="AT243" s="183">
        <f t="shared" si="404"/>
        <v>284</v>
      </c>
      <c r="AX243" s="182">
        <v>4.3400000000000001E-2</v>
      </c>
      <c r="AY243" s="185">
        <v>218</v>
      </c>
      <c r="AZ243" s="184">
        <f t="shared" si="405"/>
        <v>4.3400000000000001E-2</v>
      </c>
      <c r="BA243" s="190">
        <v>284</v>
      </c>
      <c r="BB243" s="185">
        <v>218</v>
      </c>
      <c r="BC243" s="183">
        <f t="shared" si="406"/>
        <v>284</v>
      </c>
      <c r="BG243" s="182">
        <v>4.3400000000000001E-2</v>
      </c>
      <c r="BH243" s="185">
        <v>218</v>
      </c>
      <c r="BI243" s="184">
        <f t="shared" si="407"/>
        <v>4.3400000000000001E-2</v>
      </c>
      <c r="CW243" s="364"/>
      <c r="CX243" s="316"/>
      <c r="CY243" s="316"/>
      <c r="DA243" s="309">
        <v>242</v>
      </c>
      <c r="DB243" s="313">
        <f t="shared" si="380"/>
        <v>288.08079669242096</v>
      </c>
      <c r="DC243" s="309">
        <f t="shared" si="381"/>
        <v>1</v>
      </c>
      <c r="DD243" s="309">
        <f t="shared" si="382"/>
        <v>260</v>
      </c>
      <c r="DE243" s="308">
        <f t="shared" si="383"/>
        <v>6.5000000000000002E-2</v>
      </c>
      <c r="DF243" s="313">
        <f t="shared" si="398"/>
        <v>242</v>
      </c>
      <c r="DG243" s="313">
        <f t="shared" si="387"/>
        <v>260</v>
      </c>
      <c r="DH243" s="313">
        <f t="shared" si="388"/>
        <v>260</v>
      </c>
      <c r="DI243" s="313">
        <f t="shared" si="389"/>
        <v>0</v>
      </c>
      <c r="DJ243" s="313">
        <f t="shared" si="390"/>
        <v>0</v>
      </c>
      <c r="DK243" s="313">
        <f t="shared" si="399"/>
        <v>58004.517269621676</v>
      </c>
      <c r="DL243" s="313">
        <f t="shared" si="391"/>
        <v>93080</v>
      </c>
      <c r="DM243" s="314">
        <f t="shared" si="392"/>
        <v>18.90570280914724</v>
      </c>
      <c r="DN243" s="312">
        <f t="shared" si="393"/>
        <v>7.8122738880773715E-2</v>
      </c>
      <c r="DO243" s="312">
        <f t="shared" si="400"/>
        <v>1</v>
      </c>
      <c r="DP243" s="315">
        <f t="shared" si="384"/>
        <v>6.5000000000000002E-2</v>
      </c>
      <c r="DQ243" s="316">
        <f t="shared" si="394"/>
        <v>0.25</v>
      </c>
      <c r="DR243" s="316">
        <f t="shared" si="395"/>
        <v>64.320754522942522</v>
      </c>
      <c r="DS243" s="314">
        <f t="shared" si="396"/>
        <v>3.7623936751811766</v>
      </c>
      <c r="DT243" s="316">
        <f t="shared" si="397"/>
        <v>64.320754522942522</v>
      </c>
      <c r="DU243" s="314">
        <f t="shared" si="385"/>
        <v>3.7623936751811766</v>
      </c>
      <c r="DV243" s="316">
        <f t="shared" si="401"/>
        <v>89.5</v>
      </c>
      <c r="DW243" s="310">
        <f t="shared" si="386"/>
        <v>4.011173184357542</v>
      </c>
      <c r="FB243" s="307"/>
      <c r="FC243" s="307"/>
      <c r="FF243" s="307"/>
      <c r="FG243" s="307"/>
      <c r="FH243" s="306"/>
      <c r="FJ243" s="307"/>
      <c r="FK243" s="307"/>
      <c r="FL243" s="306"/>
      <c r="FM243" s="307"/>
      <c r="FN243" s="306"/>
      <c r="FO243" s="307"/>
      <c r="FP243" s="306"/>
    </row>
    <row r="244" spans="29:172">
      <c r="AC244" s="156"/>
      <c r="AI244" s="190">
        <v>283</v>
      </c>
      <c r="AJ244" s="185">
        <v>219</v>
      </c>
      <c r="AK244" s="183">
        <f t="shared" si="402"/>
        <v>283</v>
      </c>
      <c r="AO244" s="182">
        <v>4.3299999999999998E-2</v>
      </c>
      <c r="AP244" s="185">
        <v>219</v>
      </c>
      <c r="AQ244" s="184">
        <f t="shared" si="403"/>
        <v>4.3299999999999998E-2</v>
      </c>
      <c r="AR244" s="190">
        <v>283</v>
      </c>
      <c r="AS244" s="185">
        <v>219</v>
      </c>
      <c r="AT244" s="183">
        <f t="shared" si="404"/>
        <v>283</v>
      </c>
      <c r="AX244" s="182">
        <v>4.3299999999999998E-2</v>
      </c>
      <c r="AY244" s="185">
        <v>219</v>
      </c>
      <c r="AZ244" s="184">
        <f t="shared" si="405"/>
        <v>4.3299999999999998E-2</v>
      </c>
      <c r="BA244" s="190">
        <v>283</v>
      </c>
      <c r="BB244" s="185">
        <v>219</v>
      </c>
      <c r="BC244" s="183">
        <f t="shared" si="406"/>
        <v>283</v>
      </c>
      <c r="BG244" s="182">
        <v>4.3299999999999998E-2</v>
      </c>
      <c r="BH244" s="185">
        <v>219</v>
      </c>
      <c r="BI244" s="184">
        <f t="shared" si="407"/>
        <v>4.3299999999999998E-2</v>
      </c>
      <c r="CW244" s="364"/>
      <c r="CX244" s="316"/>
      <c r="CY244" s="316"/>
      <c r="DA244" s="309">
        <v>243</v>
      </c>
      <c r="DB244" s="313">
        <f t="shared" si="380"/>
        <v>288.44476692668718</v>
      </c>
      <c r="DC244" s="309">
        <f t="shared" si="381"/>
        <v>1</v>
      </c>
      <c r="DD244" s="309">
        <f t="shared" si="382"/>
        <v>260</v>
      </c>
      <c r="DE244" s="308">
        <f t="shared" si="383"/>
        <v>6.5000000000000002E-2</v>
      </c>
      <c r="DF244" s="313">
        <f t="shared" si="398"/>
        <v>243</v>
      </c>
      <c r="DG244" s="313">
        <f t="shared" si="387"/>
        <v>260</v>
      </c>
      <c r="DH244" s="313">
        <f t="shared" si="388"/>
        <v>260</v>
      </c>
      <c r="DI244" s="313">
        <f t="shared" si="389"/>
        <v>0</v>
      </c>
      <c r="DJ244" s="313">
        <f t="shared" si="390"/>
        <v>0</v>
      </c>
      <c r="DK244" s="313">
        <f t="shared" si="399"/>
        <v>58264.517269621676</v>
      </c>
      <c r="DL244" s="313">
        <f t="shared" si="391"/>
        <v>92820</v>
      </c>
      <c r="DM244" s="314">
        <f t="shared" si="392"/>
        <v>18.90570280914724</v>
      </c>
      <c r="DN244" s="312">
        <f t="shared" si="393"/>
        <v>7.7801246128177945E-2</v>
      </c>
      <c r="DO244" s="312">
        <f t="shared" si="400"/>
        <v>1</v>
      </c>
      <c r="DP244" s="315">
        <f t="shared" si="384"/>
        <v>6.5000000000000002E-2</v>
      </c>
      <c r="DQ244" s="316">
        <f t="shared" si="394"/>
        <v>0.25</v>
      </c>
      <c r="DR244" s="316">
        <f t="shared" si="395"/>
        <v>64.570754522942522</v>
      </c>
      <c r="DS244" s="314">
        <f t="shared" si="396"/>
        <v>3.7633136207764166</v>
      </c>
      <c r="DT244" s="316">
        <f t="shared" si="397"/>
        <v>64.570754522942522</v>
      </c>
      <c r="DU244" s="314">
        <f t="shared" si="385"/>
        <v>3.7633136207764166</v>
      </c>
      <c r="DV244" s="316">
        <f t="shared" si="401"/>
        <v>89.25</v>
      </c>
      <c r="DW244" s="310">
        <f t="shared" si="386"/>
        <v>4.011204481792717</v>
      </c>
      <c r="FB244" s="307"/>
      <c r="FC244" s="307"/>
      <c r="FF244" s="307"/>
      <c r="FG244" s="307"/>
      <c r="FH244" s="306"/>
      <c r="FJ244" s="307"/>
      <c r="FK244" s="307"/>
      <c r="FL244" s="306"/>
      <c r="FM244" s="307"/>
      <c r="FN244" s="306"/>
      <c r="FO244" s="307"/>
      <c r="FP244" s="306"/>
    </row>
    <row r="245" spans="29:172">
      <c r="AC245" s="156"/>
      <c r="AI245" s="190">
        <v>282</v>
      </c>
      <c r="AJ245" s="185">
        <v>220</v>
      </c>
      <c r="AK245" s="183">
        <f t="shared" si="402"/>
        <v>282</v>
      </c>
      <c r="AO245" s="182">
        <v>4.3200000000000002E-2</v>
      </c>
      <c r="AP245" s="185">
        <v>220</v>
      </c>
      <c r="AQ245" s="184">
        <f t="shared" si="403"/>
        <v>4.3200000000000002E-2</v>
      </c>
      <c r="AR245" s="190">
        <v>282</v>
      </c>
      <c r="AS245" s="185">
        <v>220</v>
      </c>
      <c r="AT245" s="183">
        <f t="shared" si="404"/>
        <v>282</v>
      </c>
      <c r="AX245" s="182">
        <v>4.3200000000000002E-2</v>
      </c>
      <c r="AY245" s="185">
        <v>220</v>
      </c>
      <c r="AZ245" s="184">
        <f t="shared" si="405"/>
        <v>4.3200000000000002E-2</v>
      </c>
      <c r="BA245" s="190">
        <v>282</v>
      </c>
      <c r="BB245" s="185">
        <v>220</v>
      </c>
      <c r="BC245" s="183">
        <f t="shared" si="406"/>
        <v>282</v>
      </c>
      <c r="BG245" s="182">
        <v>4.3200000000000002E-2</v>
      </c>
      <c r="BH245" s="185">
        <v>220</v>
      </c>
      <c r="BI245" s="184">
        <f t="shared" si="407"/>
        <v>4.3200000000000002E-2</v>
      </c>
      <c r="CW245" s="364"/>
      <c r="CX245" s="316"/>
      <c r="CY245" s="316"/>
      <c r="DA245" s="309">
        <v>244</v>
      </c>
      <c r="DB245" s="313">
        <f t="shared" si="380"/>
        <v>288.80873716095334</v>
      </c>
      <c r="DC245" s="309">
        <f t="shared" si="381"/>
        <v>1</v>
      </c>
      <c r="DD245" s="309">
        <f t="shared" si="382"/>
        <v>260</v>
      </c>
      <c r="DE245" s="308">
        <f t="shared" si="383"/>
        <v>6.5000000000000002E-2</v>
      </c>
      <c r="DF245" s="313">
        <f t="shared" si="398"/>
        <v>244</v>
      </c>
      <c r="DG245" s="313">
        <f t="shared" si="387"/>
        <v>260</v>
      </c>
      <c r="DH245" s="313">
        <f t="shared" si="388"/>
        <v>260</v>
      </c>
      <c r="DI245" s="313">
        <f t="shared" si="389"/>
        <v>0</v>
      </c>
      <c r="DJ245" s="313">
        <f t="shared" si="390"/>
        <v>0</v>
      </c>
      <c r="DK245" s="313">
        <f t="shared" si="399"/>
        <v>58524.517269621676</v>
      </c>
      <c r="DL245" s="313">
        <f t="shared" si="391"/>
        <v>92560</v>
      </c>
      <c r="DM245" s="314">
        <f t="shared" si="392"/>
        <v>18.90570280914724</v>
      </c>
      <c r="DN245" s="312">
        <f t="shared" si="393"/>
        <v>7.7482388562078855E-2</v>
      </c>
      <c r="DO245" s="312">
        <f t="shared" si="400"/>
        <v>1</v>
      </c>
      <c r="DP245" s="315">
        <f t="shared" si="384"/>
        <v>6.5000000000000002E-2</v>
      </c>
      <c r="DQ245" s="316">
        <f t="shared" si="394"/>
        <v>0.25</v>
      </c>
      <c r="DR245" s="316">
        <f t="shared" si="395"/>
        <v>64.820754522942522</v>
      </c>
      <c r="DS245" s="314">
        <f t="shared" si="396"/>
        <v>3.764226470298786</v>
      </c>
      <c r="DT245" s="316">
        <f t="shared" si="397"/>
        <v>64.820754522942522</v>
      </c>
      <c r="DU245" s="314">
        <f t="shared" si="385"/>
        <v>3.764226470298786</v>
      </c>
      <c r="DV245" s="316">
        <f t="shared" si="401"/>
        <v>89</v>
      </c>
      <c r="DW245" s="310">
        <f t="shared" si="386"/>
        <v>4.01123595505618</v>
      </c>
      <c r="FB245" s="307"/>
      <c r="FC245" s="307"/>
      <c r="FF245" s="307"/>
      <c r="FG245" s="307"/>
      <c r="FH245" s="306"/>
      <c r="FJ245" s="307"/>
      <c r="FK245" s="307"/>
      <c r="FL245" s="306"/>
      <c r="FM245" s="307"/>
      <c r="FN245" s="306"/>
      <c r="FO245" s="307"/>
      <c r="FP245" s="306"/>
    </row>
    <row r="246" spans="29:172">
      <c r="AC246" s="156"/>
      <c r="AI246" s="190">
        <v>281</v>
      </c>
      <c r="AJ246" s="185">
        <v>221</v>
      </c>
      <c r="AK246" s="183">
        <f t="shared" si="402"/>
        <v>281</v>
      </c>
      <c r="AO246" s="182">
        <v>4.3099999999999999E-2</v>
      </c>
      <c r="AP246" s="185">
        <v>221</v>
      </c>
      <c r="AQ246" s="184">
        <f t="shared" si="403"/>
        <v>4.3099999999999999E-2</v>
      </c>
      <c r="AR246" s="190">
        <v>281</v>
      </c>
      <c r="AS246" s="185">
        <v>221</v>
      </c>
      <c r="AT246" s="183">
        <f t="shared" si="404"/>
        <v>281</v>
      </c>
      <c r="AX246" s="182">
        <v>4.3099999999999999E-2</v>
      </c>
      <c r="AY246" s="185">
        <v>221</v>
      </c>
      <c r="AZ246" s="184">
        <f t="shared" si="405"/>
        <v>4.3099999999999999E-2</v>
      </c>
      <c r="BA246" s="190">
        <v>281</v>
      </c>
      <c r="BB246" s="185">
        <v>221</v>
      </c>
      <c r="BC246" s="183">
        <f t="shared" si="406"/>
        <v>281</v>
      </c>
      <c r="BG246" s="182">
        <v>4.3099999999999999E-2</v>
      </c>
      <c r="BH246" s="185">
        <v>221</v>
      </c>
      <c r="BI246" s="184">
        <f t="shared" si="407"/>
        <v>4.3099999999999999E-2</v>
      </c>
      <c r="CW246" s="364"/>
      <c r="CX246" s="316"/>
      <c r="CY246" s="316"/>
      <c r="DA246" s="309">
        <v>245</v>
      </c>
      <c r="DB246" s="313">
        <f t="shared" si="380"/>
        <v>289.17270739521956</v>
      </c>
      <c r="DC246" s="309">
        <f t="shared" si="381"/>
        <v>1</v>
      </c>
      <c r="DD246" s="309">
        <f t="shared" si="382"/>
        <v>260</v>
      </c>
      <c r="DE246" s="308">
        <f t="shared" si="383"/>
        <v>6.5000000000000002E-2</v>
      </c>
      <c r="DF246" s="313">
        <f t="shared" si="398"/>
        <v>245</v>
      </c>
      <c r="DG246" s="313">
        <f t="shared" si="387"/>
        <v>260</v>
      </c>
      <c r="DH246" s="313">
        <f t="shared" si="388"/>
        <v>260</v>
      </c>
      <c r="DI246" s="313">
        <f t="shared" si="389"/>
        <v>0</v>
      </c>
      <c r="DJ246" s="313">
        <f t="shared" si="390"/>
        <v>0</v>
      </c>
      <c r="DK246" s="313">
        <f t="shared" si="399"/>
        <v>58784.517269621676</v>
      </c>
      <c r="DL246" s="313">
        <f t="shared" si="391"/>
        <v>92300</v>
      </c>
      <c r="DM246" s="314">
        <f t="shared" si="392"/>
        <v>18.90570280914724</v>
      </c>
      <c r="DN246" s="312">
        <f t="shared" si="393"/>
        <v>7.7166133914886692E-2</v>
      </c>
      <c r="DO246" s="312">
        <f t="shared" si="400"/>
        <v>1</v>
      </c>
      <c r="DP246" s="315">
        <f t="shared" si="384"/>
        <v>6.5000000000000002E-2</v>
      </c>
      <c r="DQ246" s="316">
        <f t="shared" si="394"/>
        <v>0.25</v>
      </c>
      <c r="DR246" s="316">
        <f t="shared" si="395"/>
        <v>65.070754522942522</v>
      </c>
      <c r="DS246" s="314">
        <f t="shared" si="396"/>
        <v>3.7651323055370192</v>
      </c>
      <c r="DT246" s="316">
        <f t="shared" si="397"/>
        <v>65.070754522942522</v>
      </c>
      <c r="DU246" s="314">
        <f t="shared" si="385"/>
        <v>3.7651323055370192</v>
      </c>
      <c r="DV246" s="316">
        <f t="shared" si="401"/>
        <v>88.75</v>
      </c>
      <c r="DW246" s="310">
        <f t="shared" si="386"/>
        <v>4.0112676056338028</v>
      </c>
      <c r="FB246" s="307"/>
      <c r="FC246" s="307"/>
      <c r="FF246" s="307"/>
      <c r="FG246" s="307"/>
      <c r="FH246" s="306"/>
      <c r="FJ246" s="307"/>
      <c r="FK246" s="307"/>
      <c r="FL246" s="306"/>
      <c r="FM246" s="307"/>
      <c r="FN246" s="306"/>
      <c r="FO246" s="307"/>
      <c r="FP246" s="306"/>
    </row>
    <row r="247" spans="29:172">
      <c r="AC247" s="156"/>
      <c r="AI247" s="190">
        <v>280</v>
      </c>
      <c r="AJ247" s="185">
        <v>222</v>
      </c>
      <c r="AK247" s="183">
        <f t="shared" si="402"/>
        <v>280</v>
      </c>
      <c r="AO247" s="182">
        <v>4.2999999999999997E-2</v>
      </c>
      <c r="AP247" s="185">
        <v>222</v>
      </c>
      <c r="AQ247" s="184">
        <f t="shared" si="403"/>
        <v>4.2999999999999997E-2</v>
      </c>
      <c r="AR247" s="190">
        <v>280</v>
      </c>
      <c r="AS247" s="185">
        <v>222</v>
      </c>
      <c r="AT247" s="183">
        <f t="shared" si="404"/>
        <v>280</v>
      </c>
      <c r="AX247" s="182">
        <v>4.2999999999999997E-2</v>
      </c>
      <c r="AY247" s="185">
        <v>222</v>
      </c>
      <c r="AZ247" s="184">
        <f t="shared" si="405"/>
        <v>4.2999999999999997E-2</v>
      </c>
      <c r="BA247" s="190">
        <v>280</v>
      </c>
      <c r="BB247" s="185">
        <v>222</v>
      </c>
      <c r="BC247" s="183">
        <f t="shared" si="406"/>
        <v>280</v>
      </c>
      <c r="BG247" s="182">
        <v>4.2999999999999997E-2</v>
      </c>
      <c r="BH247" s="185">
        <v>222</v>
      </c>
      <c r="BI247" s="184">
        <f t="shared" si="407"/>
        <v>4.2999999999999997E-2</v>
      </c>
      <c r="CW247" s="364"/>
      <c r="CX247" s="316"/>
      <c r="CY247" s="316"/>
      <c r="DA247" s="309">
        <v>246</v>
      </c>
      <c r="DB247" s="313">
        <f t="shared" si="380"/>
        <v>289.53667762948578</v>
      </c>
      <c r="DC247" s="309">
        <f t="shared" si="381"/>
        <v>1</v>
      </c>
      <c r="DD247" s="309">
        <f t="shared" si="382"/>
        <v>260</v>
      </c>
      <c r="DE247" s="308">
        <f t="shared" si="383"/>
        <v>6.5000000000000002E-2</v>
      </c>
      <c r="DF247" s="313">
        <f t="shared" si="398"/>
        <v>246</v>
      </c>
      <c r="DG247" s="313">
        <f t="shared" si="387"/>
        <v>260</v>
      </c>
      <c r="DH247" s="313">
        <f t="shared" si="388"/>
        <v>260</v>
      </c>
      <c r="DI247" s="313">
        <f t="shared" si="389"/>
        <v>0</v>
      </c>
      <c r="DJ247" s="313">
        <f t="shared" si="390"/>
        <v>0</v>
      </c>
      <c r="DK247" s="313">
        <f t="shared" si="399"/>
        <v>59044.517269621676</v>
      </c>
      <c r="DL247" s="313">
        <f t="shared" si="391"/>
        <v>92040</v>
      </c>
      <c r="DM247" s="314">
        <f t="shared" si="392"/>
        <v>18.90570280914724</v>
      </c>
      <c r="DN247" s="312">
        <f t="shared" si="393"/>
        <v>7.6852450443687964E-2</v>
      </c>
      <c r="DO247" s="312">
        <f t="shared" si="400"/>
        <v>1</v>
      </c>
      <c r="DP247" s="315">
        <f t="shared" si="384"/>
        <v>6.5000000000000002E-2</v>
      </c>
      <c r="DQ247" s="316">
        <f t="shared" si="394"/>
        <v>0.25</v>
      </c>
      <c r="DR247" s="316">
        <f t="shared" si="395"/>
        <v>65.320754522942522</v>
      </c>
      <c r="DS247" s="314">
        <f t="shared" si="396"/>
        <v>3.7660312070277411</v>
      </c>
      <c r="DT247" s="316">
        <f t="shared" si="397"/>
        <v>65.320754522942522</v>
      </c>
      <c r="DU247" s="314">
        <f t="shared" si="385"/>
        <v>3.7660312070277411</v>
      </c>
      <c r="DV247" s="316">
        <f t="shared" si="401"/>
        <v>88.5</v>
      </c>
      <c r="DW247" s="310">
        <f t="shared" si="386"/>
        <v>4.0112994350282483</v>
      </c>
      <c r="FB247" s="307"/>
      <c r="FC247" s="307"/>
      <c r="FF247" s="307"/>
      <c r="FG247" s="307"/>
      <c r="FH247" s="306"/>
      <c r="FJ247" s="307"/>
      <c r="FK247" s="307"/>
      <c r="FL247" s="306"/>
      <c r="FM247" s="307"/>
      <c r="FN247" s="306"/>
      <c r="FO247" s="307"/>
      <c r="FP247" s="306"/>
    </row>
    <row r="248" spans="29:172">
      <c r="AC248" s="156"/>
      <c r="AI248" s="190">
        <v>279</v>
      </c>
      <c r="AJ248" s="185">
        <v>223</v>
      </c>
      <c r="AK248" s="183">
        <f t="shared" si="402"/>
        <v>279</v>
      </c>
      <c r="AO248" s="182">
        <v>4.2900000000000001E-2</v>
      </c>
      <c r="AP248" s="185">
        <v>223</v>
      </c>
      <c r="AQ248" s="184">
        <f t="shared" si="403"/>
        <v>4.2900000000000001E-2</v>
      </c>
      <c r="AR248" s="190">
        <v>279</v>
      </c>
      <c r="AS248" s="185">
        <v>223</v>
      </c>
      <c r="AT248" s="183">
        <f t="shared" si="404"/>
        <v>279</v>
      </c>
      <c r="AX248" s="182">
        <v>4.2900000000000001E-2</v>
      </c>
      <c r="AY248" s="185">
        <v>223</v>
      </c>
      <c r="AZ248" s="184">
        <f t="shared" si="405"/>
        <v>4.2900000000000001E-2</v>
      </c>
      <c r="BA248" s="190">
        <v>279</v>
      </c>
      <c r="BB248" s="185">
        <v>223</v>
      </c>
      <c r="BC248" s="183">
        <f t="shared" si="406"/>
        <v>279</v>
      </c>
      <c r="BG248" s="182">
        <v>4.2900000000000001E-2</v>
      </c>
      <c r="BH248" s="185">
        <v>223</v>
      </c>
      <c r="BI248" s="184">
        <f t="shared" si="407"/>
        <v>4.2900000000000001E-2</v>
      </c>
      <c r="CW248" s="364"/>
      <c r="CX248" s="316"/>
      <c r="CY248" s="316"/>
      <c r="DA248" s="309">
        <v>247</v>
      </c>
      <c r="DB248" s="313">
        <f t="shared" si="380"/>
        <v>289.900647863752</v>
      </c>
      <c r="DC248" s="309">
        <f t="shared" si="381"/>
        <v>1</v>
      </c>
      <c r="DD248" s="309">
        <f t="shared" si="382"/>
        <v>260</v>
      </c>
      <c r="DE248" s="308">
        <f t="shared" si="383"/>
        <v>6.5000000000000002E-2</v>
      </c>
      <c r="DF248" s="313">
        <f t="shared" si="398"/>
        <v>247</v>
      </c>
      <c r="DG248" s="313">
        <f t="shared" si="387"/>
        <v>260</v>
      </c>
      <c r="DH248" s="313">
        <f t="shared" si="388"/>
        <v>260</v>
      </c>
      <c r="DI248" s="313">
        <f t="shared" si="389"/>
        <v>0</v>
      </c>
      <c r="DJ248" s="313">
        <f t="shared" si="390"/>
        <v>0</v>
      </c>
      <c r="DK248" s="313">
        <f t="shared" si="399"/>
        <v>59304.517269621676</v>
      </c>
      <c r="DL248" s="313">
        <f t="shared" si="391"/>
        <v>91780</v>
      </c>
      <c r="DM248" s="314">
        <f t="shared" si="392"/>
        <v>18.90570280914724</v>
      </c>
      <c r="DN248" s="312">
        <f t="shared" si="393"/>
        <v>7.6541306919624449E-2</v>
      </c>
      <c r="DO248" s="312">
        <f t="shared" si="400"/>
        <v>1</v>
      </c>
      <c r="DP248" s="315">
        <f t="shared" si="384"/>
        <v>6.5000000000000002E-2</v>
      </c>
      <c r="DQ248" s="316">
        <f t="shared" si="394"/>
        <v>0.25</v>
      </c>
      <c r="DR248" s="316">
        <f t="shared" si="395"/>
        <v>65.570754522942522</v>
      </c>
      <c r="DS248" s="314">
        <f t="shared" si="396"/>
        <v>3.766923254079336</v>
      </c>
      <c r="DT248" s="316">
        <f t="shared" si="397"/>
        <v>65.570754522942522</v>
      </c>
      <c r="DU248" s="314">
        <f t="shared" si="385"/>
        <v>3.766923254079336</v>
      </c>
      <c r="DV248" s="316">
        <f t="shared" si="401"/>
        <v>88.25</v>
      </c>
      <c r="DW248" s="310">
        <f t="shared" si="386"/>
        <v>4.0113314447592066</v>
      </c>
      <c r="FB248" s="307"/>
      <c r="FC248" s="307"/>
      <c r="FF248" s="307"/>
      <c r="FG248" s="307"/>
      <c r="FH248" s="306"/>
      <c r="FJ248" s="307"/>
      <c r="FK248" s="307"/>
      <c r="FL248" s="306"/>
      <c r="FM248" s="307"/>
      <c r="FN248" s="306"/>
      <c r="FO248" s="307"/>
      <c r="FP248" s="306"/>
    </row>
    <row r="249" spans="29:172">
      <c r="AC249" s="156"/>
      <c r="AI249" s="190">
        <v>278</v>
      </c>
      <c r="AJ249" s="185">
        <v>224</v>
      </c>
      <c r="AK249" s="183">
        <f t="shared" si="402"/>
        <v>278</v>
      </c>
      <c r="AO249" s="182">
        <v>4.2799999999999998E-2</v>
      </c>
      <c r="AP249" s="185">
        <v>224</v>
      </c>
      <c r="AQ249" s="184">
        <f t="shared" si="403"/>
        <v>4.2799999999999998E-2</v>
      </c>
      <c r="AR249" s="190">
        <v>278</v>
      </c>
      <c r="AS249" s="185">
        <v>224</v>
      </c>
      <c r="AT249" s="183">
        <f t="shared" si="404"/>
        <v>278</v>
      </c>
      <c r="AX249" s="182">
        <v>4.2799999999999998E-2</v>
      </c>
      <c r="AY249" s="185">
        <v>224</v>
      </c>
      <c r="AZ249" s="184">
        <f t="shared" si="405"/>
        <v>4.2799999999999998E-2</v>
      </c>
      <c r="BA249" s="190">
        <v>278</v>
      </c>
      <c r="BB249" s="185">
        <v>224</v>
      </c>
      <c r="BC249" s="183">
        <f t="shared" si="406"/>
        <v>278</v>
      </c>
      <c r="BG249" s="182">
        <v>4.2799999999999998E-2</v>
      </c>
      <c r="BH249" s="185">
        <v>224</v>
      </c>
      <c r="BI249" s="184">
        <f t="shared" si="407"/>
        <v>4.2799999999999998E-2</v>
      </c>
      <c r="CW249" s="364"/>
      <c r="CX249" s="316"/>
      <c r="CY249" s="316"/>
      <c r="DA249" s="309">
        <v>248</v>
      </c>
      <c r="DB249" s="313">
        <f t="shared" si="380"/>
        <v>290.26461809801816</v>
      </c>
      <c r="DC249" s="309">
        <f t="shared" si="381"/>
        <v>1</v>
      </c>
      <c r="DD249" s="309">
        <f t="shared" si="382"/>
        <v>260</v>
      </c>
      <c r="DE249" s="308">
        <f t="shared" si="383"/>
        <v>6.5000000000000002E-2</v>
      </c>
      <c r="DF249" s="313">
        <f t="shared" si="398"/>
        <v>248</v>
      </c>
      <c r="DG249" s="313">
        <f t="shared" si="387"/>
        <v>260</v>
      </c>
      <c r="DH249" s="313">
        <f t="shared" si="388"/>
        <v>260</v>
      </c>
      <c r="DI249" s="313">
        <f t="shared" si="389"/>
        <v>0</v>
      </c>
      <c r="DJ249" s="313">
        <f t="shared" si="390"/>
        <v>0</v>
      </c>
      <c r="DK249" s="313">
        <f t="shared" si="399"/>
        <v>59564.517269621676</v>
      </c>
      <c r="DL249" s="313">
        <f t="shared" si="391"/>
        <v>91520</v>
      </c>
      <c r="DM249" s="314">
        <f t="shared" si="392"/>
        <v>18.90570280914724</v>
      </c>
      <c r="DN249" s="312">
        <f t="shared" si="393"/>
        <v>7.6232672617529196E-2</v>
      </c>
      <c r="DO249" s="312">
        <f t="shared" si="400"/>
        <v>1</v>
      </c>
      <c r="DP249" s="315">
        <f t="shared" si="384"/>
        <v>6.5000000000000002E-2</v>
      </c>
      <c r="DQ249" s="316">
        <f t="shared" si="394"/>
        <v>0.25</v>
      </c>
      <c r="DR249" s="316">
        <f t="shared" si="395"/>
        <v>65.820754522942522</v>
      </c>
      <c r="DS249" s="314">
        <f t="shared" si="396"/>
        <v>3.7678085247952753</v>
      </c>
      <c r="DT249" s="316">
        <f t="shared" si="397"/>
        <v>65.820754522942522</v>
      </c>
      <c r="DU249" s="314">
        <f t="shared" si="385"/>
        <v>3.7678085247952753</v>
      </c>
      <c r="DV249" s="316">
        <f t="shared" si="401"/>
        <v>88</v>
      </c>
      <c r="DW249" s="310">
        <f t="shared" si="386"/>
        <v>4.0113636363636367</v>
      </c>
      <c r="FB249" s="307"/>
      <c r="FC249" s="307"/>
      <c r="FF249" s="307"/>
      <c r="FG249" s="307"/>
      <c r="FH249" s="306"/>
      <c r="FJ249" s="307"/>
      <c r="FK249" s="307"/>
      <c r="FL249" s="306"/>
      <c r="FM249" s="307"/>
      <c r="FN249" s="306"/>
      <c r="FO249" s="307"/>
      <c r="FP249" s="306"/>
    </row>
    <row r="250" spans="29:172">
      <c r="AC250" s="156"/>
      <c r="AI250" s="190">
        <v>277</v>
      </c>
      <c r="AJ250" s="185">
        <v>225</v>
      </c>
      <c r="AK250" s="183">
        <f t="shared" si="402"/>
        <v>277</v>
      </c>
      <c r="AO250" s="182">
        <v>4.2700000000000002E-2</v>
      </c>
      <c r="AP250" s="185">
        <v>225</v>
      </c>
      <c r="AQ250" s="184">
        <f t="shared" si="403"/>
        <v>4.2700000000000002E-2</v>
      </c>
      <c r="AR250" s="190">
        <v>277</v>
      </c>
      <c r="AS250" s="185">
        <v>225</v>
      </c>
      <c r="AT250" s="183">
        <f t="shared" si="404"/>
        <v>277</v>
      </c>
      <c r="AX250" s="182">
        <v>4.2700000000000002E-2</v>
      </c>
      <c r="AY250" s="185">
        <v>225</v>
      </c>
      <c r="AZ250" s="184">
        <f t="shared" si="405"/>
        <v>4.2700000000000002E-2</v>
      </c>
      <c r="BA250" s="190">
        <v>277</v>
      </c>
      <c r="BB250" s="185">
        <v>225</v>
      </c>
      <c r="BC250" s="183">
        <f t="shared" si="406"/>
        <v>277</v>
      </c>
      <c r="BG250" s="182">
        <v>4.2700000000000002E-2</v>
      </c>
      <c r="BH250" s="185">
        <v>225</v>
      </c>
      <c r="BI250" s="184">
        <f t="shared" si="407"/>
        <v>4.2700000000000002E-2</v>
      </c>
      <c r="CW250" s="364"/>
      <c r="CX250" s="316"/>
      <c r="CY250" s="316"/>
      <c r="DA250" s="309">
        <v>249</v>
      </c>
      <c r="DB250" s="313">
        <f t="shared" si="380"/>
        <v>290.62858833228438</v>
      </c>
      <c r="DC250" s="309">
        <f t="shared" si="381"/>
        <v>1</v>
      </c>
      <c r="DD250" s="309">
        <f t="shared" si="382"/>
        <v>260</v>
      </c>
      <c r="DE250" s="308">
        <f t="shared" si="383"/>
        <v>6.5000000000000002E-2</v>
      </c>
      <c r="DF250" s="313">
        <f t="shared" si="398"/>
        <v>249</v>
      </c>
      <c r="DG250" s="313">
        <f t="shared" si="387"/>
        <v>260</v>
      </c>
      <c r="DH250" s="313">
        <f t="shared" si="388"/>
        <v>260</v>
      </c>
      <c r="DI250" s="313">
        <f t="shared" si="389"/>
        <v>0</v>
      </c>
      <c r="DJ250" s="313">
        <f t="shared" si="390"/>
        <v>0</v>
      </c>
      <c r="DK250" s="313">
        <f t="shared" si="399"/>
        <v>59824.517269621676</v>
      </c>
      <c r="DL250" s="313">
        <f t="shared" si="391"/>
        <v>91260</v>
      </c>
      <c r="DM250" s="314">
        <f t="shared" si="392"/>
        <v>18.90570280914724</v>
      </c>
      <c r="DN250" s="312">
        <f t="shared" si="393"/>
        <v>7.5926517305812208E-2</v>
      </c>
      <c r="DO250" s="312">
        <f t="shared" si="400"/>
        <v>1</v>
      </c>
      <c r="DP250" s="315">
        <f t="shared" si="384"/>
        <v>6.5000000000000002E-2</v>
      </c>
      <c r="DQ250" s="316">
        <f t="shared" si="394"/>
        <v>0.25</v>
      </c>
      <c r="DR250" s="316">
        <f t="shared" si="395"/>
        <v>66.070754522942522</v>
      </c>
      <c r="DS250" s="314">
        <f t="shared" si="396"/>
        <v>3.7686870960969094</v>
      </c>
      <c r="DT250" s="316">
        <f t="shared" si="397"/>
        <v>66.070754522942522</v>
      </c>
      <c r="DU250" s="314">
        <f t="shared" si="385"/>
        <v>3.7686870960969094</v>
      </c>
      <c r="DV250" s="316">
        <f t="shared" si="401"/>
        <v>87.75</v>
      </c>
      <c r="DW250" s="310">
        <f t="shared" si="386"/>
        <v>4.0113960113960117</v>
      </c>
      <c r="FB250" s="307"/>
      <c r="FC250" s="307"/>
      <c r="FF250" s="307"/>
      <c r="FG250" s="307"/>
      <c r="FH250" s="306"/>
      <c r="FJ250" s="307"/>
      <c r="FK250" s="307"/>
      <c r="FL250" s="306"/>
      <c r="FM250" s="307"/>
      <c r="FN250" s="306"/>
      <c r="FO250" s="307"/>
      <c r="FP250" s="306"/>
    </row>
    <row r="251" spans="29:172">
      <c r="AC251" s="156"/>
      <c r="AI251" s="190">
        <v>276</v>
      </c>
      <c r="AJ251" s="185">
        <v>226</v>
      </c>
      <c r="AK251" s="183">
        <f t="shared" si="402"/>
        <v>276</v>
      </c>
      <c r="AO251" s="182">
        <v>4.2599999999999999E-2</v>
      </c>
      <c r="AP251" s="185">
        <v>226</v>
      </c>
      <c r="AQ251" s="184">
        <f t="shared" si="403"/>
        <v>4.2599999999999999E-2</v>
      </c>
      <c r="AR251" s="190">
        <v>276</v>
      </c>
      <c r="AS251" s="185">
        <v>226</v>
      </c>
      <c r="AT251" s="183">
        <f t="shared" si="404"/>
        <v>276</v>
      </c>
      <c r="AX251" s="182">
        <v>4.2599999999999999E-2</v>
      </c>
      <c r="AY251" s="185">
        <v>226</v>
      </c>
      <c r="AZ251" s="184">
        <f t="shared" si="405"/>
        <v>4.2599999999999999E-2</v>
      </c>
      <c r="BA251" s="190">
        <v>276</v>
      </c>
      <c r="BB251" s="185">
        <v>226</v>
      </c>
      <c r="BC251" s="183">
        <f t="shared" si="406"/>
        <v>276</v>
      </c>
      <c r="BG251" s="182">
        <v>4.2599999999999999E-2</v>
      </c>
      <c r="BH251" s="185">
        <v>226</v>
      </c>
      <c r="BI251" s="184">
        <f t="shared" si="407"/>
        <v>4.2599999999999999E-2</v>
      </c>
      <c r="CW251" s="364"/>
      <c r="CX251" s="316"/>
      <c r="CY251" s="316"/>
      <c r="DA251" s="309">
        <v>250</v>
      </c>
      <c r="DB251" s="313">
        <f t="shared" si="380"/>
        <v>290.9925585665506</v>
      </c>
      <c r="DC251" s="309">
        <f t="shared" si="381"/>
        <v>1</v>
      </c>
      <c r="DD251" s="309">
        <f t="shared" si="382"/>
        <v>260</v>
      </c>
      <c r="DE251" s="308">
        <f t="shared" si="383"/>
        <v>6.5000000000000002E-2</v>
      </c>
      <c r="DF251" s="313">
        <f t="shared" si="398"/>
        <v>250</v>
      </c>
      <c r="DG251" s="313">
        <f t="shared" si="387"/>
        <v>260</v>
      </c>
      <c r="DH251" s="313">
        <f t="shared" si="388"/>
        <v>260</v>
      </c>
      <c r="DI251" s="313">
        <f t="shared" si="389"/>
        <v>0</v>
      </c>
      <c r="DJ251" s="313">
        <f t="shared" si="390"/>
        <v>0</v>
      </c>
      <c r="DK251" s="313">
        <f t="shared" si="399"/>
        <v>60084.517269621676</v>
      </c>
      <c r="DL251" s="313">
        <f t="shared" si="391"/>
        <v>91000</v>
      </c>
      <c r="DM251" s="314">
        <f t="shared" si="392"/>
        <v>18.90570280914724</v>
      </c>
      <c r="DN251" s="312">
        <f t="shared" si="393"/>
        <v>7.5622811236588955E-2</v>
      </c>
      <c r="DO251" s="312">
        <f t="shared" si="400"/>
        <v>1</v>
      </c>
      <c r="DP251" s="315">
        <f t="shared" si="384"/>
        <v>6.5000000000000002E-2</v>
      </c>
      <c r="DQ251" s="316">
        <f t="shared" si="394"/>
        <v>0.25</v>
      </c>
      <c r="DR251" s="316">
        <f t="shared" si="395"/>
        <v>66.320754522942522</v>
      </c>
      <c r="DS251" s="314">
        <f t="shared" si="396"/>
        <v>3.7695590437457525</v>
      </c>
      <c r="DT251" s="316">
        <f t="shared" si="397"/>
        <v>66.320754522942522</v>
      </c>
      <c r="DU251" s="314">
        <f t="shared" si="385"/>
        <v>3.7695590437457525</v>
      </c>
      <c r="DV251" s="316">
        <f t="shared" si="401"/>
        <v>87.5</v>
      </c>
      <c r="DW251" s="310">
        <f t="shared" si="386"/>
        <v>4.0114285714285716</v>
      </c>
      <c r="FB251" s="307"/>
      <c r="FC251" s="307"/>
      <c r="FF251" s="307"/>
      <c r="FG251" s="307"/>
      <c r="FH251" s="306"/>
      <c r="FJ251" s="307"/>
      <c r="FK251" s="307"/>
      <c r="FL251" s="306"/>
      <c r="FM251" s="307"/>
      <c r="FN251" s="306"/>
      <c r="FO251" s="307"/>
      <c r="FP251" s="306"/>
    </row>
    <row r="252" spans="29:172">
      <c r="AC252" s="156"/>
      <c r="AI252" s="190">
        <v>275</v>
      </c>
      <c r="AJ252" s="185">
        <v>227</v>
      </c>
      <c r="AK252" s="183">
        <f t="shared" si="402"/>
        <v>275</v>
      </c>
      <c r="AO252" s="182">
        <v>4.2500000000000003E-2</v>
      </c>
      <c r="AP252" s="185">
        <v>227</v>
      </c>
      <c r="AQ252" s="184">
        <f t="shared" si="403"/>
        <v>4.2500000000000003E-2</v>
      </c>
      <c r="AR252" s="190">
        <v>275</v>
      </c>
      <c r="AS252" s="185">
        <v>227</v>
      </c>
      <c r="AT252" s="183">
        <f t="shared" si="404"/>
        <v>275</v>
      </c>
      <c r="AX252" s="182">
        <v>4.2500000000000003E-2</v>
      </c>
      <c r="AY252" s="185">
        <v>227</v>
      </c>
      <c r="AZ252" s="184">
        <f t="shared" si="405"/>
        <v>4.2500000000000003E-2</v>
      </c>
      <c r="BA252" s="190">
        <v>275</v>
      </c>
      <c r="BB252" s="185">
        <v>227</v>
      </c>
      <c r="BC252" s="183">
        <f t="shared" si="406"/>
        <v>275</v>
      </c>
      <c r="BG252" s="182">
        <v>4.2500000000000003E-2</v>
      </c>
      <c r="BH252" s="185">
        <v>227</v>
      </c>
      <c r="BI252" s="184">
        <f t="shared" si="407"/>
        <v>4.2500000000000003E-2</v>
      </c>
      <c r="CW252" s="364"/>
      <c r="CX252" s="316"/>
      <c r="CY252" s="316"/>
      <c r="DA252" s="309">
        <v>251</v>
      </c>
      <c r="DB252" s="313">
        <f t="shared" si="380"/>
        <v>291.35652880081682</v>
      </c>
      <c r="DC252" s="309">
        <f t="shared" si="381"/>
        <v>1</v>
      </c>
      <c r="DD252" s="309">
        <f t="shared" si="382"/>
        <v>260</v>
      </c>
      <c r="DE252" s="308">
        <f t="shared" si="383"/>
        <v>6.5000000000000002E-2</v>
      </c>
      <c r="DF252" s="313">
        <f t="shared" si="398"/>
        <v>251</v>
      </c>
      <c r="DG252" s="313">
        <f t="shared" si="387"/>
        <v>260</v>
      </c>
      <c r="DH252" s="313">
        <f t="shared" si="388"/>
        <v>260</v>
      </c>
      <c r="DI252" s="313">
        <f t="shared" si="389"/>
        <v>0</v>
      </c>
      <c r="DJ252" s="313">
        <f t="shared" si="390"/>
        <v>0</v>
      </c>
      <c r="DK252" s="313">
        <f t="shared" si="399"/>
        <v>60344.517269621676</v>
      </c>
      <c r="DL252" s="313">
        <f t="shared" si="391"/>
        <v>90740</v>
      </c>
      <c r="DM252" s="314">
        <f t="shared" si="392"/>
        <v>18.90570280914724</v>
      </c>
      <c r="DN252" s="312">
        <f t="shared" si="393"/>
        <v>7.5321525136044773E-2</v>
      </c>
      <c r="DO252" s="312">
        <f t="shared" si="400"/>
        <v>1</v>
      </c>
      <c r="DP252" s="315">
        <f t="shared" si="384"/>
        <v>6.5000000000000002E-2</v>
      </c>
      <c r="DQ252" s="316">
        <f t="shared" si="394"/>
        <v>0.25</v>
      </c>
      <c r="DR252" s="316">
        <f t="shared" si="395"/>
        <v>66.570754522942522</v>
      </c>
      <c r="DS252" s="314">
        <f t="shared" si="396"/>
        <v>3.7704244423652575</v>
      </c>
      <c r="DT252" s="316">
        <f t="shared" si="397"/>
        <v>66.570754522942522</v>
      </c>
      <c r="DU252" s="314">
        <f t="shared" si="385"/>
        <v>3.7704244423652575</v>
      </c>
      <c r="DV252" s="316">
        <f t="shared" si="401"/>
        <v>87.25</v>
      </c>
      <c r="DW252" s="310">
        <f t="shared" si="386"/>
        <v>4.0114613180515759</v>
      </c>
      <c r="FB252" s="307"/>
      <c r="FC252" s="307"/>
      <c r="FF252" s="307"/>
      <c r="FG252" s="307"/>
      <c r="FH252" s="306"/>
      <c r="FJ252" s="307"/>
      <c r="FK252" s="307"/>
      <c r="FL252" s="306"/>
      <c r="FM252" s="307"/>
      <c r="FN252" s="306"/>
      <c r="FO252" s="307"/>
      <c r="FP252" s="306"/>
    </row>
    <row r="253" spans="29:172">
      <c r="AC253" s="156"/>
      <c r="AI253" s="190">
        <v>274</v>
      </c>
      <c r="AJ253" s="185">
        <v>228</v>
      </c>
      <c r="AK253" s="183">
        <f t="shared" si="402"/>
        <v>274</v>
      </c>
      <c r="AO253" s="182">
        <v>4.24E-2</v>
      </c>
      <c r="AP253" s="185">
        <v>228</v>
      </c>
      <c r="AQ253" s="184">
        <f t="shared" si="403"/>
        <v>4.24E-2</v>
      </c>
      <c r="AR253" s="190">
        <v>274</v>
      </c>
      <c r="AS253" s="185">
        <v>228</v>
      </c>
      <c r="AT253" s="183">
        <f t="shared" si="404"/>
        <v>274</v>
      </c>
      <c r="AX253" s="182">
        <v>4.24E-2</v>
      </c>
      <c r="AY253" s="185">
        <v>228</v>
      </c>
      <c r="AZ253" s="184">
        <f t="shared" si="405"/>
        <v>4.24E-2</v>
      </c>
      <c r="BA253" s="190">
        <v>274</v>
      </c>
      <c r="BB253" s="185">
        <v>228</v>
      </c>
      <c r="BC253" s="183">
        <f t="shared" si="406"/>
        <v>274</v>
      </c>
      <c r="BG253" s="182">
        <v>4.24E-2</v>
      </c>
      <c r="BH253" s="185">
        <v>228</v>
      </c>
      <c r="BI253" s="184">
        <f t="shared" si="407"/>
        <v>4.24E-2</v>
      </c>
      <c r="CW253" s="364"/>
      <c r="CX253" s="316"/>
      <c r="CY253" s="316"/>
      <c r="DA253" s="309">
        <v>252</v>
      </c>
      <c r="DB253" s="313">
        <f t="shared" si="380"/>
        <v>291.72049903508298</v>
      </c>
      <c r="DC253" s="309">
        <f t="shared" si="381"/>
        <v>1</v>
      </c>
      <c r="DD253" s="309">
        <f t="shared" si="382"/>
        <v>260</v>
      </c>
      <c r="DE253" s="308">
        <f t="shared" si="383"/>
        <v>6.5000000000000002E-2</v>
      </c>
      <c r="DF253" s="313">
        <f t="shared" si="398"/>
        <v>252</v>
      </c>
      <c r="DG253" s="313">
        <f t="shared" si="387"/>
        <v>260</v>
      </c>
      <c r="DH253" s="313">
        <f t="shared" si="388"/>
        <v>260</v>
      </c>
      <c r="DI253" s="313">
        <f t="shared" si="389"/>
        <v>0</v>
      </c>
      <c r="DJ253" s="313">
        <f t="shared" si="390"/>
        <v>0</v>
      </c>
      <c r="DK253" s="313">
        <f t="shared" si="399"/>
        <v>60604.517269621676</v>
      </c>
      <c r="DL253" s="313">
        <f t="shared" si="391"/>
        <v>90480</v>
      </c>
      <c r="DM253" s="314">
        <f t="shared" si="392"/>
        <v>18.90570280914724</v>
      </c>
      <c r="DN253" s="312">
        <f t="shared" si="393"/>
        <v>7.5022630195028722E-2</v>
      </c>
      <c r="DO253" s="312">
        <f t="shared" si="400"/>
        <v>1</v>
      </c>
      <c r="DP253" s="315">
        <f t="shared" si="384"/>
        <v>6.5000000000000002E-2</v>
      </c>
      <c r="DQ253" s="316">
        <f t="shared" si="394"/>
        <v>0.25</v>
      </c>
      <c r="DR253" s="316">
        <f t="shared" si="395"/>
        <v>66.820754522942522</v>
      </c>
      <c r="DS253" s="314">
        <f t="shared" si="396"/>
        <v>3.7712833654621072</v>
      </c>
      <c r="DT253" s="316">
        <f t="shared" si="397"/>
        <v>66.820754522942522</v>
      </c>
      <c r="DU253" s="314">
        <f t="shared" si="385"/>
        <v>3.7712833654621072</v>
      </c>
      <c r="DV253" s="316">
        <f t="shared" si="401"/>
        <v>87</v>
      </c>
      <c r="DW253" s="310">
        <f t="shared" si="386"/>
        <v>4.0114942528735629</v>
      </c>
      <c r="FB253" s="307"/>
      <c r="FC253" s="307"/>
      <c r="FF253" s="307"/>
      <c r="FG253" s="307"/>
      <c r="FH253" s="306"/>
      <c r="FJ253" s="307"/>
      <c r="FK253" s="307"/>
      <c r="FL253" s="306"/>
      <c r="FM253" s="307"/>
      <c r="FN253" s="306"/>
      <c r="FO253" s="307"/>
      <c r="FP253" s="306"/>
    </row>
    <row r="254" spans="29:172">
      <c r="AC254" s="156"/>
      <c r="AI254" s="190">
        <v>273</v>
      </c>
      <c r="AJ254" s="185">
        <v>229</v>
      </c>
      <c r="AK254" s="183">
        <f t="shared" si="402"/>
        <v>273</v>
      </c>
      <c r="AO254" s="182">
        <v>4.2299999999999997E-2</v>
      </c>
      <c r="AP254" s="185">
        <v>229</v>
      </c>
      <c r="AQ254" s="184">
        <f t="shared" si="403"/>
        <v>4.2299999999999997E-2</v>
      </c>
      <c r="AR254" s="190">
        <v>273</v>
      </c>
      <c r="AS254" s="185">
        <v>229</v>
      </c>
      <c r="AT254" s="183">
        <f t="shared" si="404"/>
        <v>273</v>
      </c>
      <c r="AX254" s="182">
        <v>4.2299999999999997E-2</v>
      </c>
      <c r="AY254" s="185">
        <v>229</v>
      </c>
      <c r="AZ254" s="184">
        <f t="shared" si="405"/>
        <v>4.2299999999999997E-2</v>
      </c>
      <c r="BA254" s="190">
        <v>273</v>
      </c>
      <c r="BB254" s="185">
        <v>229</v>
      </c>
      <c r="BC254" s="183">
        <f t="shared" si="406"/>
        <v>273</v>
      </c>
      <c r="BG254" s="182">
        <v>4.2299999999999997E-2</v>
      </c>
      <c r="BH254" s="185">
        <v>229</v>
      </c>
      <c r="BI254" s="184">
        <f t="shared" si="407"/>
        <v>4.2299999999999997E-2</v>
      </c>
      <c r="CW254" s="364"/>
      <c r="CX254" s="316"/>
      <c r="CY254" s="316"/>
      <c r="DA254" s="309">
        <v>253</v>
      </c>
      <c r="DB254" s="313">
        <f t="shared" si="380"/>
        <v>292.0844692693492</v>
      </c>
      <c r="DC254" s="309">
        <f t="shared" si="381"/>
        <v>1</v>
      </c>
      <c r="DD254" s="309">
        <f t="shared" si="382"/>
        <v>260</v>
      </c>
      <c r="DE254" s="308">
        <f t="shared" si="383"/>
        <v>6.5000000000000002E-2</v>
      </c>
      <c r="DF254" s="313">
        <f t="shared" si="398"/>
        <v>253</v>
      </c>
      <c r="DG254" s="313">
        <f t="shared" si="387"/>
        <v>260</v>
      </c>
      <c r="DH254" s="313">
        <f t="shared" si="388"/>
        <v>260</v>
      </c>
      <c r="DI254" s="313">
        <f t="shared" si="389"/>
        <v>0</v>
      </c>
      <c r="DJ254" s="313">
        <f t="shared" si="390"/>
        <v>0</v>
      </c>
      <c r="DK254" s="313">
        <f t="shared" si="399"/>
        <v>60864.517269621676</v>
      </c>
      <c r="DL254" s="313">
        <f t="shared" si="391"/>
        <v>90220</v>
      </c>
      <c r="DM254" s="314">
        <f t="shared" si="392"/>
        <v>18.90570280914724</v>
      </c>
      <c r="DN254" s="312">
        <f t="shared" si="393"/>
        <v>7.4726098059870516E-2</v>
      </c>
      <c r="DO254" s="312">
        <f t="shared" si="400"/>
        <v>1</v>
      </c>
      <c r="DP254" s="315">
        <f t="shared" si="384"/>
        <v>6.5000000000000002E-2</v>
      </c>
      <c r="DQ254" s="316">
        <f t="shared" si="394"/>
        <v>0.25</v>
      </c>
      <c r="DR254" s="316">
        <f t="shared" si="395"/>
        <v>67.070754522942522</v>
      </c>
      <c r="DS254" s="314">
        <f t="shared" si="396"/>
        <v>3.7721358854470273</v>
      </c>
      <c r="DT254" s="316">
        <f t="shared" si="397"/>
        <v>67.070754522942522</v>
      </c>
      <c r="DU254" s="314">
        <f t="shared" si="385"/>
        <v>3.7721358854470273</v>
      </c>
      <c r="DV254" s="316">
        <f t="shared" si="401"/>
        <v>86.75</v>
      </c>
      <c r="DW254" s="310">
        <f t="shared" si="386"/>
        <v>4.011527377521614</v>
      </c>
      <c r="FB254" s="307"/>
      <c r="FC254" s="307"/>
      <c r="FF254" s="307"/>
      <c r="FG254" s="307"/>
      <c r="FH254" s="306"/>
      <c r="FJ254" s="307"/>
      <c r="FK254" s="307"/>
      <c r="FL254" s="306"/>
      <c r="FM254" s="307"/>
      <c r="FN254" s="306"/>
      <c r="FO254" s="307"/>
      <c r="FP254" s="306"/>
    </row>
    <row r="255" spans="29:172">
      <c r="AC255" s="156"/>
      <c r="AI255" s="190">
        <v>272</v>
      </c>
      <c r="AJ255" s="185">
        <v>230</v>
      </c>
      <c r="AK255" s="183">
        <f t="shared" si="402"/>
        <v>272</v>
      </c>
      <c r="AO255" s="182">
        <v>4.2200000000000001E-2</v>
      </c>
      <c r="AP255" s="185">
        <v>230</v>
      </c>
      <c r="AQ255" s="184">
        <f t="shared" si="403"/>
        <v>4.2200000000000001E-2</v>
      </c>
      <c r="AR255" s="190">
        <v>272</v>
      </c>
      <c r="AS255" s="185">
        <v>230</v>
      </c>
      <c r="AT255" s="183">
        <f t="shared" si="404"/>
        <v>272</v>
      </c>
      <c r="AX255" s="182">
        <v>4.2200000000000001E-2</v>
      </c>
      <c r="AY255" s="185">
        <v>230</v>
      </c>
      <c r="AZ255" s="184">
        <f t="shared" si="405"/>
        <v>4.2200000000000001E-2</v>
      </c>
      <c r="BA255" s="190">
        <v>272</v>
      </c>
      <c r="BB255" s="185">
        <v>230</v>
      </c>
      <c r="BC255" s="183">
        <f t="shared" si="406"/>
        <v>272</v>
      </c>
      <c r="BG255" s="182">
        <v>4.2200000000000001E-2</v>
      </c>
      <c r="BH255" s="185">
        <v>230</v>
      </c>
      <c r="BI255" s="184">
        <f t="shared" si="407"/>
        <v>4.2200000000000001E-2</v>
      </c>
      <c r="CW255" s="364"/>
      <c r="CX255" s="316"/>
      <c r="CY255" s="316"/>
      <c r="DA255" s="309">
        <v>254</v>
      </c>
      <c r="DB255" s="313">
        <f t="shared" si="380"/>
        <v>292.44843950361542</v>
      </c>
      <c r="DC255" s="309">
        <f t="shared" si="381"/>
        <v>1</v>
      </c>
      <c r="DD255" s="309">
        <f t="shared" si="382"/>
        <v>260</v>
      </c>
      <c r="DE255" s="308">
        <f t="shared" si="383"/>
        <v>6.5000000000000002E-2</v>
      </c>
      <c r="DF255" s="313">
        <f t="shared" si="398"/>
        <v>254</v>
      </c>
      <c r="DG255" s="313">
        <f t="shared" si="387"/>
        <v>260</v>
      </c>
      <c r="DH255" s="313">
        <f t="shared" si="388"/>
        <v>260</v>
      </c>
      <c r="DI255" s="313">
        <f t="shared" si="389"/>
        <v>0</v>
      </c>
      <c r="DJ255" s="313">
        <f t="shared" si="390"/>
        <v>0</v>
      </c>
      <c r="DK255" s="313">
        <f t="shared" si="399"/>
        <v>61124.517269621676</v>
      </c>
      <c r="DL255" s="313">
        <f t="shared" si="391"/>
        <v>89960</v>
      </c>
      <c r="DM255" s="314">
        <f t="shared" si="392"/>
        <v>18.90570280914724</v>
      </c>
      <c r="DN255" s="312">
        <f t="shared" si="393"/>
        <v>7.4431900823414332E-2</v>
      </c>
      <c r="DO255" s="312">
        <f t="shared" si="400"/>
        <v>1</v>
      </c>
      <c r="DP255" s="315">
        <f t="shared" si="384"/>
        <v>6.5000000000000002E-2</v>
      </c>
      <c r="DQ255" s="316">
        <f t="shared" si="394"/>
        <v>0.25</v>
      </c>
      <c r="DR255" s="316">
        <f t="shared" si="395"/>
        <v>67.320754522942522</v>
      </c>
      <c r="DS255" s="314">
        <f t="shared" si="396"/>
        <v>3.7729820736551352</v>
      </c>
      <c r="DT255" s="316">
        <f t="shared" si="397"/>
        <v>67.320754522942522</v>
      </c>
      <c r="DU255" s="314">
        <f t="shared" si="385"/>
        <v>3.7729820736551352</v>
      </c>
      <c r="DV255" s="316">
        <f t="shared" si="401"/>
        <v>86.5</v>
      </c>
      <c r="DW255" s="310">
        <f t="shared" si="386"/>
        <v>4.0115606936416182</v>
      </c>
      <c r="FB255" s="307"/>
      <c r="FC255" s="307"/>
      <c r="FF255" s="307"/>
      <c r="FG255" s="307"/>
      <c r="FH255" s="306"/>
      <c r="FJ255" s="307"/>
      <c r="FK255" s="307"/>
      <c r="FL255" s="306"/>
      <c r="FM255" s="307"/>
      <c r="FN255" s="306"/>
      <c r="FO255" s="307"/>
      <c r="FP255" s="306"/>
    </row>
    <row r="256" spans="29:172">
      <c r="AC256" s="156"/>
      <c r="AI256" s="190">
        <v>271</v>
      </c>
      <c r="AJ256" s="185">
        <v>231</v>
      </c>
      <c r="AK256" s="183">
        <f t="shared" si="402"/>
        <v>271</v>
      </c>
      <c r="AO256" s="182">
        <v>4.2099999999999999E-2</v>
      </c>
      <c r="AP256" s="185">
        <v>231</v>
      </c>
      <c r="AQ256" s="184">
        <f t="shared" si="403"/>
        <v>4.2099999999999999E-2</v>
      </c>
      <c r="AR256" s="190">
        <v>271</v>
      </c>
      <c r="AS256" s="185">
        <v>231</v>
      </c>
      <c r="AT256" s="183">
        <f t="shared" si="404"/>
        <v>271</v>
      </c>
      <c r="AX256" s="182">
        <v>4.2099999999999999E-2</v>
      </c>
      <c r="AY256" s="185">
        <v>231</v>
      </c>
      <c r="AZ256" s="184">
        <f t="shared" si="405"/>
        <v>4.2099999999999999E-2</v>
      </c>
      <c r="BA256" s="190">
        <v>271</v>
      </c>
      <c r="BB256" s="185">
        <v>231</v>
      </c>
      <c r="BC256" s="183">
        <f t="shared" si="406"/>
        <v>271</v>
      </c>
      <c r="BG256" s="182">
        <v>4.2099999999999999E-2</v>
      </c>
      <c r="BH256" s="185">
        <v>231</v>
      </c>
      <c r="BI256" s="184">
        <f t="shared" si="407"/>
        <v>4.2099999999999999E-2</v>
      </c>
      <c r="CW256" s="364"/>
      <c r="CX256" s="316"/>
      <c r="CY256" s="316"/>
      <c r="DA256" s="309">
        <v>255</v>
      </c>
      <c r="DB256" s="313">
        <f t="shared" si="380"/>
        <v>292.81240973788158</v>
      </c>
      <c r="DC256" s="309">
        <f t="shared" si="381"/>
        <v>1</v>
      </c>
      <c r="DD256" s="309">
        <f t="shared" si="382"/>
        <v>260</v>
      </c>
      <c r="DE256" s="308">
        <f t="shared" si="383"/>
        <v>6.5000000000000002E-2</v>
      </c>
      <c r="DF256" s="313">
        <f t="shared" si="398"/>
        <v>255</v>
      </c>
      <c r="DG256" s="313">
        <f t="shared" si="387"/>
        <v>260</v>
      </c>
      <c r="DH256" s="313">
        <f t="shared" si="388"/>
        <v>260</v>
      </c>
      <c r="DI256" s="313">
        <f t="shared" si="389"/>
        <v>0</v>
      </c>
      <c r="DJ256" s="313">
        <f t="shared" si="390"/>
        <v>0</v>
      </c>
      <c r="DK256" s="313">
        <f t="shared" si="399"/>
        <v>61384.517269621676</v>
      </c>
      <c r="DL256" s="313">
        <f t="shared" si="391"/>
        <v>89700</v>
      </c>
      <c r="DM256" s="314">
        <f t="shared" si="392"/>
        <v>18.90570280914724</v>
      </c>
      <c r="DN256" s="312">
        <f t="shared" si="393"/>
        <v>7.4140011016263691E-2</v>
      </c>
      <c r="DO256" s="312">
        <f t="shared" si="400"/>
        <v>1</v>
      </c>
      <c r="DP256" s="315">
        <f t="shared" si="384"/>
        <v>6.5000000000000002E-2</v>
      </c>
      <c r="DQ256" s="316">
        <f t="shared" si="394"/>
        <v>0.25</v>
      </c>
      <c r="DR256" s="316">
        <f t="shared" si="395"/>
        <v>67.570754522942522</v>
      </c>
      <c r="DS256" s="314">
        <f t="shared" si="396"/>
        <v>3.7738220003658389</v>
      </c>
      <c r="DT256" s="316">
        <f t="shared" si="397"/>
        <v>67.570754522942522</v>
      </c>
      <c r="DU256" s="314">
        <f t="shared" si="385"/>
        <v>3.7738220003658389</v>
      </c>
      <c r="DV256" s="316">
        <f t="shared" si="401"/>
        <v>86.25</v>
      </c>
      <c r="DW256" s="310">
        <f t="shared" si="386"/>
        <v>4.011594202898551</v>
      </c>
      <c r="FB256" s="307"/>
      <c r="FC256" s="307"/>
      <c r="FF256" s="307"/>
      <c r="FG256" s="307"/>
      <c r="FH256" s="306"/>
      <c r="FJ256" s="307"/>
      <c r="FK256" s="307"/>
      <c r="FL256" s="306"/>
      <c r="FM256" s="307"/>
      <c r="FN256" s="306"/>
      <c r="FO256" s="307"/>
      <c r="FP256" s="306"/>
    </row>
    <row r="257" spans="29:172">
      <c r="AC257" s="156"/>
      <c r="AI257" s="190">
        <v>270</v>
      </c>
      <c r="AJ257" s="185">
        <v>232</v>
      </c>
      <c r="AK257" s="183">
        <f t="shared" si="402"/>
        <v>270</v>
      </c>
      <c r="AO257" s="182">
        <v>4.2000000000000003E-2</v>
      </c>
      <c r="AP257" s="185">
        <v>232</v>
      </c>
      <c r="AQ257" s="184">
        <f t="shared" si="403"/>
        <v>4.2000000000000003E-2</v>
      </c>
      <c r="AR257" s="190">
        <v>270</v>
      </c>
      <c r="AS257" s="185">
        <v>232</v>
      </c>
      <c r="AT257" s="183">
        <f t="shared" si="404"/>
        <v>270</v>
      </c>
      <c r="AX257" s="182">
        <v>4.2000000000000003E-2</v>
      </c>
      <c r="AY257" s="185">
        <v>232</v>
      </c>
      <c r="AZ257" s="184">
        <f t="shared" si="405"/>
        <v>4.2000000000000003E-2</v>
      </c>
      <c r="BA257" s="190">
        <v>270</v>
      </c>
      <c r="BB257" s="185">
        <v>232</v>
      </c>
      <c r="BC257" s="183">
        <f t="shared" si="406"/>
        <v>270</v>
      </c>
      <c r="BG257" s="182">
        <v>4.2000000000000003E-2</v>
      </c>
      <c r="BH257" s="185">
        <v>232</v>
      </c>
      <c r="BI257" s="184">
        <f t="shared" si="407"/>
        <v>4.2000000000000003E-2</v>
      </c>
      <c r="CW257" s="364"/>
      <c r="CX257" s="316"/>
      <c r="CY257" s="316"/>
      <c r="DA257" s="309">
        <v>256</v>
      </c>
      <c r="DB257" s="313">
        <f t="shared" si="380"/>
        <v>293.1763799721478</v>
      </c>
      <c r="DC257" s="309">
        <f t="shared" si="381"/>
        <v>1</v>
      </c>
      <c r="DD257" s="309">
        <f t="shared" si="382"/>
        <v>260</v>
      </c>
      <c r="DE257" s="308">
        <f t="shared" si="383"/>
        <v>6.5000000000000002E-2</v>
      </c>
      <c r="DF257" s="313">
        <f t="shared" si="398"/>
        <v>256</v>
      </c>
      <c r="DG257" s="313">
        <f t="shared" si="387"/>
        <v>260</v>
      </c>
      <c r="DH257" s="313">
        <f t="shared" si="388"/>
        <v>260</v>
      </c>
      <c r="DI257" s="313">
        <f t="shared" si="389"/>
        <v>0</v>
      </c>
      <c r="DJ257" s="313">
        <f t="shared" si="390"/>
        <v>0</v>
      </c>
      <c r="DK257" s="313">
        <f t="shared" si="399"/>
        <v>61644.517269621676</v>
      </c>
      <c r="DL257" s="313">
        <f t="shared" si="391"/>
        <v>89440</v>
      </c>
      <c r="DM257" s="314">
        <f t="shared" si="392"/>
        <v>18.90570280914724</v>
      </c>
      <c r="DN257" s="312">
        <f t="shared" si="393"/>
        <v>7.3850401598231405E-2</v>
      </c>
      <c r="DO257" s="312">
        <f t="shared" si="400"/>
        <v>1</v>
      </c>
      <c r="DP257" s="315">
        <f t="shared" si="384"/>
        <v>6.5000000000000002E-2</v>
      </c>
      <c r="DQ257" s="316">
        <f t="shared" si="394"/>
        <v>0.25</v>
      </c>
      <c r="DR257" s="316">
        <f t="shared" si="395"/>
        <v>67.820754522942522</v>
      </c>
      <c r="DS257" s="314">
        <f t="shared" si="396"/>
        <v>3.7746557348222938</v>
      </c>
      <c r="DT257" s="316">
        <f t="shared" si="397"/>
        <v>67.820754522942522</v>
      </c>
      <c r="DU257" s="314">
        <f t="shared" si="385"/>
        <v>3.7746557348222938</v>
      </c>
      <c r="DV257" s="316">
        <f t="shared" si="401"/>
        <v>86</v>
      </c>
      <c r="DW257" s="310">
        <f t="shared" si="386"/>
        <v>4.0116279069767442</v>
      </c>
      <c r="FB257" s="307"/>
      <c r="FC257" s="307"/>
      <c r="FF257" s="307"/>
      <c r="FG257" s="307"/>
      <c r="FH257" s="306"/>
      <c r="FJ257" s="307"/>
      <c r="FK257" s="307"/>
      <c r="FL257" s="306"/>
      <c r="FM257" s="307"/>
      <c r="FN257" s="306"/>
      <c r="FO257" s="307"/>
      <c r="FP257" s="306"/>
    </row>
    <row r="258" spans="29:172">
      <c r="AC258" s="156"/>
      <c r="AI258" s="190">
        <v>269</v>
      </c>
      <c r="AJ258" s="185">
        <v>233</v>
      </c>
      <c r="AK258" s="183">
        <f t="shared" si="402"/>
        <v>269</v>
      </c>
      <c r="AO258" s="182">
        <v>4.19E-2</v>
      </c>
      <c r="AP258" s="185">
        <v>233</v>
      </c>
      <c r="AQ258" s="184">
        <f t="shared" si="403"/>
        <v>4.19E-2</v>
      </c>
      <c r="AR258" s="190">
        <v>269</v>
      </c>
      <c r="AS258" s="185">
        <v>233</v>
      </c>
      <c r="AT258" s="183">
        <f t="shared" si="404"/>
        <v>269</v>
      </c>
      <c r="AX258" s="182">
        <v>4.19E-2</v>
      </c>
      <c r="AY258" s="185">
        <v>233</v>
      </c>
      <c r="AZ258" s="184">
        <f t="shared" si="405"/>
        <v>4.19E-2</v>
      </c>
      <c r="BA258" s="190">
        <v>269</v>
      </c>
      <c r="BB258" s="185">
        <v>233</v>
      </c>
      <c r="BC258" s="183">
        <f t="shared" si="406"/>
        <v>269</v>
      </c>
      <c r="BG258" s="182">
        <v>4.19E-2</v>
      </c>
      <c r="BH258" s="185">
        <v>233</v>
      </c>
      <c r="BI258" s="184">
        <f t="shared" si="407"/>
        <v>4.19E-2</v>
      </c>
      <c r="CW258" s="364"/>
      <c r="CX258" s="316"/>
      <c r="CY258" s="316"/>
      <c r="DA258" s="309">
        <v>257</v>
      </c>
      <c r="DB258" s="313">
        <f t="shared" ref="DB258:DB321" si="408">start+DA258*tanO</f>
        <v>293.54035020641402</v>
      </c>
      <c r="DC258" s="309">
        <f t="shared" ref="DC258:DC321" si="409">IF(DA258&lt;edge_width,1,IF(DA258&lt;mid_width,2,IF(DA258&lt;=tot_width,3,4)))</f>
        <v>1</v>
      </c>
      <c r="DD258" s="309">
        <f t="shared" ref="DD258:DD321" si="410">CHOOSE(DC258,edge_thick,second_thick,core_thick,0)</f>
        <v>260</v>
      </c>
      <c r="DE258" s="308">
        <f t="shared" ref="DE258:DE321" si="411">CHOOSE(DC258,edge_k,second_k,core_k,0)</f>
        <v>6.5000000000000002E-2</v>
      </c>
      <c r="DF258" s="313">
        <f t="shared" si="398"/>
        <v>257</v>
      </c>
      <c r="DG258" s="313">
        <f t="shared" si="387"/>
        <v>260</v>
      </c>
      <c r="DH258" s="313">
        <f t="shared" si="388"/>
        <v>260</v>
      </c>
      <c r="DI258" s="313">
        <f t="shared" si="389"/>
        <v>0</v>
      </c>
      <c r="DJ258" s="313">
        <f t="shared" si="390"/>
        <v>0</v>
      </c>
      <c r="DK258" s="313">
        <f t="shared" si="399"/>
        <v>61904.517269621676</v>
      </c>
      <c r="DL258" s="313">
        <f t="shared" si="391"/>
        <v>89180</v>
      </c>
      <c r="DM258" s="314">
        <f t="shared" si="392"/>
        <v>18.90570280914724</v>
      </c>
      <c r="DN258" s="312">
        <f t="shared" si="393"/>
        <v>7.3563045949989261E-2</v>
      </c>
      <c r="DO258" s="312">
        <f t="shared" si="400"/>
        <v>1</v>
      </c>
      <c r="DP258" s="315">
        <f t="shared" ref="DP258:DP321" si="412">DE258*DO258^CHOOSE(DC258,mult1,mult2,mult3,0)</f>
        <v>6.5000000000000002E-2</v>
      </c>
      <c r="DQ258" s="316">
        <f t="shared" si="394"/>
        <v>0.25</v>
      </c>
      <c r="DR258" s="316">
        <f t="shared" si="395"/>
        <v>68.070754522942522</v>
      </c>
      <c r="DS258" s="314">
        <f t="shared" si="396"/>
        <v>3.7754833452504317</v>
      </c>
      <c r="DT258" s="316">
        <f t="shared" si="397"/>
        <v>68.070754522942522</v>
      </c>
      <c r="DU258" s="314">
        <f t="shared" ref="DU258:DU321" si="413">IF(DC258&lt;&gt;4,CHOOSE(DC258,DA258/DT258,(DA258-edge_width+1)/DT258,(DA258-mid_width+1)/DT258),0)</f>
        <v>3.7754833452504317</v>
      </c>
      <c r="DV258" s="316">
        <f t="shared" si="401"/>
        <v>85.75</v>
      </c>
      <c r="DW258" s="310">
        <f t="shared" ref="DW258:DW321" si="414">IF(DC258&lt;&gt;4,(tot_width-DA258+1)/DV258,0)</f>
        <v>4.0116618075801753</v>
      </c>
      <c r="FB258" s="307"/>
      <c r="FC258" s="307"/>
      <c r="FF258" s="307"/>
      <c r="FG258" s="307"/>
      <c r="FH258" s="306"/>
      <c r="FJ258" s="307"/>
      <c r="FK258" s="307"/>
      <c r="FL258" s="306"/>
      <c r="FM258" s="307"/>
      <c r="FN258" s="306"/>
      <c r="FO258" s="307"/>
      <c r="FP258" s="306"/>
    </row>
    <row r="259" spans="29:172">
      <c r="AC259" s="156"/>
      <c r="AI259" s="190">
        <v>268</v>
      </c>
      <c r="AJ259" s="185">
        <v>234</v>
      </c>
      <c r="AK259" s="183">
        <f t="shared" si="402"/>
        <v>268</v>
      </c>
      <c r="AO259" s="182">
        <v>4.1799999999999997E-2</v>
      </c>
      <c r="AP259" s="185">
        <v>234</v>
      </c>
      <c r="AQ259" s="184">
        <f t="shared" si="403"/>
        <v>4.1799999999999997E-2</v>
      </c>
      <c r="AR259" s="190">
        <v>268</v>
      </c>
      <c r="AS259" s="185">
        <v>234</v>
      </c>
      <c r="AT259" s="183">
        <f t="shared" si="404"/>
        <v>268</v>
      </c>
      <c r="AX259" s="182">
        <v>4.1799999999999997E-2</v>
      </c>
      <c r="AY259" s="185">
        <v>234</v>
      </c>
      <c r="AZ259" s="184">
        <f t="shared" si="405"/>
        <v>4.1799999999999997E-2</v>
      </c>
      <c r="BA259" s="190">
        <v>268</v>
      </c>
      <c r="BB259" s="185">
        <v>234</v>
      </c>
      <c r="BC259" s="183">
        <f t="shared" si="406"/>
        <v>268</v>
      </c>
      <c r="BG259" s="182">
        <v>4.1799999999999997E-2</v>
      </c>
      <c r="BH259" s="185">
        <v>234</v>
      </c>
      <c r="BI259" s="184">
        <f t="shared" si="407"/>
        <v>4.1799999999999997E-2</v>
      </c>
      <c r="CW259" s="364"/>
      <c r="CX259" s="316"/>
      <c r="CY259" s="316"/>
      <c r="DA259" s="309">
        <v>258</v>
      </c>
      <c r="DB259" s="313">
        <f t="shared" si="408"/>
        <v>293.90432044068018</v>
      </c>
      <c r="DC259" s="309">
        <f t="shared" si="409"/>
        <v>1</v>
      </c>
      <c r="DD259" s="309">
        <f t="shared" si="410"/>
        <v>260</v>
      </c>
      <c r="DE259" s="308">
        <f t="shared" si="411"/>
        <v>6.5000000000000002E-2</v>
      </c>
      <c r="DF259" s="313">
        <f t="shared" si="398"/>
        <v>258</v>
      </c>
      <c r="DG259" s="313">
        <f t="shared" ref="DG259:DG322" si="415">IF(DC259=4,DG258,MIN(DB259,DD259))</f>
        <v>260</v>
      </c>
      <c r="DH259" s="313">
        <f t="shared" ref="DH259:DH322" si="416">IF(DC259=1,DG259,0)</f>
        <v>260</v>
      </c>
      <c r="DI259" s="313">
        <f t="shared" ref="DI259:DI322" si="417">IF(DC259=2,DG259,0)</f>
        <v>0</v>
      </c>
      <c r="DJ259" s="313">
        <f t="shared" ref="DJ259:DJ322" si="418">IF(DC259=3,DG259,0)</f>
        <v>0</v>
      </c>
      <c r="DK259" s="313">
        <f t="shared" si="399"/>
        <v>62164.517269621676</v>
      </c>
      <c r="DL259" s="313">
        <f t="shared" ref="DL259:DL322" si="419">IF(DC259&lt;4,DL260+DG259,0)</f>
        <v>88920</v>
      </c>
      <c r="DM259" s="314">
        <f t="shared" ref="DM259:DM322" si="420">IF($DC259&lt;&gt;4,IF($DA259=edge_width,$CY$2,IF($DA259=mid_width,$CY$3,1-DO259+DM258)),0)</f>
        <v>18.90570280914724</v>
      </c>
      <c r="DN259" s="312">
        <f t="shared" ref="DN259:DN322" si="421">IF(DC259&lt;&gt;4,CHOOSE(DC259,DM259/DA259,DM259/(DA259-edge_width+1),DM259/(DA259-mid_width+1)),0)</f>
        <v>7.3277917864911779E-2</v>
      </c>
      <c r="DO259" s="312">
        <f t="shared" si="400"/>
        <v>1</v>
      </c>
      <c r="DP259" s="315">
        <f t="shared" si="412"/>
        <v>6.5000000000000002E-2</v>
      </c>
      <c r="DQ259" s="316">
        <f t="shared" ref="DQ259:DQ322" si="422">IF(AND(DC259&lt;&gt;4,DG259&lt;&gt;0),1000*DP259/DG259,0)</f>
        <v>0.25</v>
      </c>
      <c r="DR259" s="316">
        <f t="shared" ref="DR259:DR322" si="423">IF(DC259&lt;&gt;4,DR258+DQ259,0)</f>
        <v>68.320754522942522</v>
      </c>
      <c r="DS259" s="314">
        <f t="shared" ref="DS259:DS322" si="424">IF(AND(DC259&lt;&gt;4,DR259&lt;&gt;0),DA259/DR259,0)</f>
        <v>3.7763048988775738</v>
      </c>
      <c r="DT259" s="316">
        <f t="shared" ref="DT259:DT322" si="425">IF(DC259&lt;&gt;4,IF(DA259=edge_width,$CY$4,IF(DA259=mid_width,$CY$5,DQ259+DT258)),0)</f>
        <v>68.320754522942522</v>
      </c>
      <c r="DU259" s="314">
        <f t="shared" si="413"/>
        <v>3.7763048988775738</v>
      </c>
      <c r="DV259" s="316">
        <f t="shared" si="401"/>
        <v>85.5</v>
      </c>
      <c r="DW259" s="310">
        <f t="shared" si="414"/>
        <v>4.0116959064327489</v>
      </c>
      <c r="FB259" s="307"/>
      <c r="FC259" s="307"/>
      <c r="FF259" s="307"/>
      <c r="FG259" s="307"/>
      <c r="FH259" s="306"/>
      <c r="FJ259" s="307"/>
      <c r="FK259" s="307"/>
      <c r="FL259" s="306"/>
      <c r="FM259" s="307"/>
      <c r="FN259" s="306"/>
      <c r="FO259" s="307"/>
      <c r="FP259" s="306"/>
    </row>
    <row r="260" spans="29:172">
      <c r="AC260" s="156"/>
      <c r="AI260" s="190">
        <v>267</v>
      </c>
      <c r="AJ260" s="185">
        <v>235</v>
      </c>
      <c r="AK260" s="183">
        <f t="shared" si="402"/>
        <v>267</v>
      </c>
      <c r="AO260" s="182">
        <v>4.1700000000000001E-2</v>
      </c>
      <c r="AP260" s="185">
        <v>235</v>
      </c>
      <c r="AQ260" s="184">
        <f t="shared" si="403"/>
        <v>4.1700000000000001E-2</v>
      </c>
      <c r="AR260" s="190">
        <v>267</v>
      </c>
      <c r="AS260" s="185">
        <v>235</v>
      </c>
      <c r="AT260" s="183">
        <f t="shared" si="404"/>
        <v>267</v>
      </c>
      <c r="AX260" s="182">
        <v>4.1700000000000001E-2</v>
      </c>
      <c r="AY260" s="185">
        <v>235</v>
      </c>
      <c r="AZ260" s="184">
        <f t="shared" si="405"/>
        <v>4.1700000000000001E-2</v>
      </c>
      <c r="BA260" s="190">
        <v>267</v>
      </c>
      <c r="BB260" s="185">
        <v>235</v>
      </c>
      <c r="BC260" s="183">
        <f t="shared" si="406"/>
        <v>267</v>
      </c>
      <c r="BG260" s="182">
        <v>4.1700000000000001E-2</v>
      </c>
      <c r="BH260" s="185">
        <v>235</v>
      </c>
      <c r="BI260" s="184">
        <f t="shared" si="407"/>
        <v>4.1700000000000001E-2</v>
      </c>
      <c r="CW260" s="364"/>
      <c r="CX260" s="316"/>
      <c r="CY260" s="316"/>
      <c r="DA260" s="309">
        <v>259</v>
      </c>
      <c r="DB260" s="313">
        <f t="shared" si="408"/>
        <v>294.2682906749464</v>
      </c>
      <c r="DC260" s="309">
        <f t="shared" si="409"/>
        <v>1</v>
      </c>
      <c r="DD260" s="309">
        <f t="shared" si="410"/>
        <v>260</v>
      </c>
      <c r="DE260" s="308">
        <f t="shared" si="411"/>
        <v>6.5000000000000002E-2</v>
      </c>
      <c r="DF260" s="313">
        <f t="shared" ref="DF260:DF323" si="426">IF(DC260&lt;4,DF259+1,DF259)</f>
        <v>259</v>
      </c>
      <c r="DG260" s="313">
        <f t="shared" si="415"/>
        <v>260</v>
      </c>
      <c r="DH260" s="313">
        <f t="shared" si="416"/>
        <v>260</v>
      </c>
      <c r="DI260" s="313">
        <f t="shared" si="417"/>
        <v>0</v>
      </c>
      <c r="DJ260" s="313">
        <f t="shared" si="418"/>
        <v>0</v>
      </c>
      <c r="DK260" s="313">
        <f t="shared" ref="DK260:DK323" si="427">IF(DC260&lt;4,DK259+DG260,0)</f>
        <v>62424.517269621676</v>
      </c>
      <c r="DL260" s="313">
        <f t="shared" si="419"/>
        <v>88660</v>
      </c>
      <c r="DM260" s="314">
        <f t="shared" si="420"/>
        <v>18.90570280914724</v>
      </c>
      <c r="DN260" s="312">
        <f t="shared" si="421"/>
        <v>7.2994991541109028E-2</v>
      </c>
      <c r="DO260" s="312">
        <f t="shared" ref="DO260:DO323" si="428">IF(AND(DC260&lt;&gt;4,DD260&lt;&gt;0),DG260/DD260,0)</f>
        <v>1</v>
      </c>
      <c r="DP260" s="315">
        <f t="shared" si="412"/>
        <v>6.5000000000000002E-2</v>
      </c>
      <c r="DQ260" s="316">
        <f t="shared" si="422"/>
        <v>0.25</v>
      </c>
      <c r="DR260" s="316">
        <f t="shared" si="423"/>
        <v>68.570754522942522</v>
      </c>
      <c r="DS260" s="314">
        <f t="shared" si="424"/>
        <v>3.7771204619506311</v>
      </c>
      <c r="DT260" s="316">
        <f t="shared" si="425"/>
        <v>68.570754522942522</v>
      </c>
      <c r="DU260" s="314">
        <f t="shared" si="413"/>
        <v>3.7771204619506311</v>
      </c>
      <c r="DV260" s="316">
        <f t="shared" ref="DV260:DV323" si="429">DV261+DQ260</f>
        <v>85.25</v>
      </c>
      <c r="DW260" s="310">
        <f t="shared" si="414"/>
        <v>4.0117302052785924</v>
      </c>
      <c r="FB260" s="307"/>
      <c r="FC260" s="307"/>
      <c r="FF260" s="307"/>
      <c r="FG260" s="307"/>
      <c r="FH260" s="306"/>
      <c r="FJ260" s="307"/>
      <c r="FK260" s="307"/>
      <c r="FL260" s="306"/>
      <c r="FM260" s="307"/>
      <c r="FN260" s="306"/>
      <c r="FO260" s="307"/>
      <c r="FP260" s="306"/>
    </row>
    <row r="261" spans="29:172">
      <c r="AC261" s="156"/>
      <c r="AI261" s="190">
        <v>266</v>
      </c>
      <c r="AJ261" s="185">
        <v>236</v>
      </c>
      <c r="AK261" s="183">
        <f t="shared" si="402"/>
        <v>266</v>
      </c>
      <c r="AO261" s="182">
        <v>4.1599999999999998E-2</v>
      </c>
      <c r="AP261" s="185">
        <v>236</v>
      </c>
      <c r="AQ261" s="184">
        <f t="shared" si="403"/>
        <v>4.1599999999999998E-2</v>
      </c>
      <c r="AR261" s="190">
        <v>266</v>
      </c>
      <c r="AS261" s="185">
        <v>236</v>
      </c>
      <c r="AT261" s="183">
        <f t="shared" si="404"/>
        <v>266</v>
      </c>
      <c r="AX261" s="182">
        <v>4.1599999999999998E-2</v>
      </c>
      <c r="AY261" s="185">
        <v>236</v>
      </c>
      <c r="AZ261" s="184">
        <f t="shared" si="405"/>
        <v>4.1599999999999998E-2</v>
      </c>
      <c r="BA261" s="190">
        <v>266</v>
      </c>
      <c r="BB261" s="185">
        <v>236</v>
      </c>
      <c r="BC261" s="183">
        <f t="shared" si="406"/>
        <v>266</v>
      </c>
      <c r="BG261" s="182">
        <v>4.1599999999999998E-2</v>
      </c>
      <c r="BH261" s="185">
        <v>236</v>
      </c>
      <c r="BI261" s="184">
        <f t="shared" si="407"/>
        <v>4.1599999999999998E-2</v>
      </c>
      <c r="CW261" s="364"/>
      <c r="CX261" s="316"/>
      <c r="CY261" s="316"/>
      <c r="DA261" s="309">
        <v>260</v>
      </c>
      <c r="DB261" s="313">
        <f t="shared" si="408"/>
        <v>294.63226090921262</v>
      </c>
      <c r="DC261" s="309">
        <f t="shared" si="409"/>
        <v>1</v>
      </c>
      <c r="DD261" s="309">
        <f t="shared" si="410"/>
        <v>260</v>
      </c>
      <c r="DE261" s="308">
        <f t="shared" si="411"/>
        <v>6.5000000000000002E-2</v>
      </c>
      <c r="DF261" s="313">
        <f t="shared" si="426"/>
        <v>260</v>
      </c>
      <c r="DG261" s="313">
        <f t="shared" si="415"/>
        <v>260</v>
      </c>
      <c r="DH261" s="313">
        <f t="shared" si="416"/>
        <v>260</v>
      </c>
      <c r="DI261" s="313">
        <f t="shared" si="417"/>
        <v>0</v>
      </c>
      <c r="DJ261" s="313">
        <f t="shared" si="418"/>
        <v>0</v>
      </c>
      <c r="DK261" s="313">
        <f t="shared" si="427"/>
        <v>62684.517269621676</v>
      </c>
      <c r="DL261" s="313">
        <f t="shared" si="419"/>
        <v>88400</v>
      </c>
      <c r="DM261" s="314">
        <f t="shared" si="420"/>
        <v>18.90570280914724</v>
      </c>
      <c r="DN261" s="312">
        <f t="shared" si="421"/>
        <v>7.2714241573643229E-2</v>
      </c>
      <c r="DO261" s="312">
        <f t="shared" si="428"/>
        <v>1</v>
      </c>
      <c r="DP261" s="315">
        <f t="shared" si="412"/>
        <v>6.5000000000000002E-2</v>
      </c>
      <c r="DQ261" s="316">
        <f t="shared" si="422"/>
        <v>0.25</v>
      </c>
      <c r="DR261" s="316">
        <f t="shared" si="423"/>
        <v>68.820754522942522</v>
      </c>
      <c r="DS261" s="314">
        <f t="shared" si="424"/>
        <v>3.7779300997539158</v>
      </c>
      <c r="DT261" s="316">
        <f t="shared" si="425"/>
        <v>68.820754522942522</v>
      </c>
      <c r="DU261" s="314">
        <f t="shared" si="413"/>
        <v>3.7779300997539158</v>
      </c>
      <c r="DV261" s="316">
        <f t="shared" si="429"/>
        <v>85</v>
      </c>
      <c r="DW261" s="310">
        <f t="shared" si="414"/>
        <v>4.0117647058823529</v>
      </c>
      <c r="FB261" s="307"/>
      <c r="FC261" s="307"/>
      <c r="FF261" s="307"/>
      <c r="FG261" s="307"/>
      <c r="FH261" s="306"/>
      <c r="FJ261" s="307"/>
      <c r="FK261" s="307"/>
      <c r="FL261" s="306"/>
      <c r="FM261" s="307"/>
      <c r="FN261" s="306"/>
      <c r="FO261" s="307"/>
      <c r="FP261" s="306"/>
    </row>
    <row r="262" spans="29:172">
      <c r="AC262" s="156"/>
      <c r="AI262" s="190">
        <v>265</v>
      </c>
      <c r="AJ262" s="185">
        <v>237</v>
      </c>
      <c r="AK262" s="183">
        <f t="shared" si="402"/>
        <v>265</v>
      </c>
      <c r="AO262" s="182">
        <v>4.1500000000000002E-2</v>
      </c>
      <c r="AP262" s="185">
        <v>237</v>
      </c>
      <c r="AQ262" s="184">
        <f t="shared" si="403"/>
        <v>4.1500000000000002E-2</v>
      </c>
      <c r="AR262" s="190">
        <v>265</v>
      </c>
      <c r="AS262" s="185">
        <v>237</v>
      </c>
      <c r="AT262" s="183">
        <f t="shared" si="404"/>
        <v>265</v>
      </c>
      <c r="AX262" s="182">
        <v>4.1500000000000002E-2</v>
      </c>
      <c r="AY262" s="185">
        <v>237</v>
      </c>
      <c r="AZ262" s="184">
        <f t="shared" si="405"/>
        <v>4.1500000000000002E-2</v>
      </c>
      <c r="BA262" s="190">
        <v>265</v>
      </c>
      <c r="BB262" s="185">
        <v>237</v>
      </c>
      <c r="BC262" s="183">
        <f t="shared" si="406"/>
        <v>265</v>
      </c>
      <c r="BG262" s="182">
        <v>4.1500000000000002E-2</v>
      </c>
      <c r="BH262" s="185">
        <v>237</v>
      </c>
      <c r="BI262" s="184">
        <f t="shared" si="407"/>
        <v>4.1500000000000002E-2</v>
      </c>
      <c r="CW262" s="364"/>
      <c r="CX262" s="316"/>
      <c r="CY262" s="316"/>
      <c r="DA262" s="309">
        <v>261</v>
      </c>
      <c r="DB262" s="313">
        <f t="shared" si="408"/>
        <v>294.99623114347878</v>
      </c>
      <c r="DC262" s="309">
        <f t="shared" si="409"/>
        <v>1</v>
      </c>
      <c r="DD262" s="309">
        <f t="shared" si="410"/>
        <v>260</v>
      </c>
      <c r="DE262" s="308">
        <f t="shared" si="411"/>
        <v>6.5000000000000002E-2</v>
      </c>
      <c r="DF262" s="313">
        <f t="shared" si="426"/>
        <v>261</v>
      </c>
      <c r="DG262" s="313">
        <f t="shared" si="415"/>
        <v>260</v>
      </c>
      <c r="DH262" s="313">
        <f t="shared" si="416"/>
        <v>260</v>
      </c>
      <c r="DI262" s="313">
        <f t="shared" si="417"/>
        <v>0</v>
      </c>
      <c r="DJ262" s="313">
        <f t="shared" si="418"/>
        <v>0</v>
      </c>
      <c r="DK262" s="313">
        <f t="shared" si="427"/>
        <v>62944.517269621676</v>
      </c>
      <c r="DL262" s="313">
        <f t="shared" si="419"/>
        <v>88140</v>
      </c>
      <c r="DM262" s="314">
        <f t="shared" si="420"/>
        <v>18.90570280914724</v>
      </c>
      <c r="DN262" s="312">
        <f t="shared" si="421"/>
        <v>7.2435642946924284E-2</v>
      </c>
      <c r="DO262" s="312">
        <f t="shared" si="428"/>
        <v>1</v>
      </c>
      <c r="DP262" s="315">
        <f t="shared" si="412"/>
        <v>6.5000000000000002E-2</v>
      </c>
      <c r="DQ262" s="316">
        <f t="shared" si="422"/>
        <v>0.25</v>
      </c>
      <c r="DR262" s="316">
        <f t="shared" si="423"/>
        <v>69.070754522942522</v>
      </c>
      <c r="DS262" s="314">
        <f t="shared" si="424"/>
        <v>3.7787338766265584</v>
      </c>
      <c r="DT262" s="316">
        <f t="shared" si="425"/>
        <v>69.070754522942522</v>
      </c>
      <c r="DU262" s="314">
        <f t="shared" si="413"/>
        <v>3.7787338766265584</v>
      </c>
      <c r="DV262" s="316">
        <f t="shared" si="429"/>
        <v>84.75</v>
      </c>
      <c r="DW262" s="310">
        <f t="shared" si="414"/>
        <v>4.0117994100294982</v>
      </c>
      <c r="FB262" s="307"/>
      <c r="FC262" s="307"/>
      <c r="FF262" s="307"/>
      <c r="FG262" s="307"/>
      <c r="FH262" s="306"/>
      <c r="FJ262" s="307"/>
      <c r="FK262" s="307"/>
      <c r="FL262" s="306"/>
      <c r="FM262" s="307"/>
      <c r="FN262" s="306"/>
      <c r="FO262" s="307"/>
      <c r="FP262" s="306"/>
    </row>
    <row r="263" spans="29:172">
      <c r="AC263" s="156"/>
      <c r="AI263" s="190">
        <v>264</v>
      </c>
      <c r="AJ263" s="185">
        <v>238</v>
      </c>
      <c r="AK263" s="183">
        <f t="shared" si="402"/>
        <v>264</v>
      </c>
      <c r="AO263" s="182">
        <v>4.1399999999999999E-2</v>
      </c>
      <c r="AP263" s="185">
        <v>238</v>
      </c>
      <c r="AQ263" s="184">
        <f t="shared" si="403"/>
        <v>4.1399999999999999E-2</v>
      </c>
      <c r="AR263" s="190">
        <v>264</v>
      </c>
      <c r="AS263" s="185">
        <v>238</v>
      </c>
      <c r="AT263" s="183">
        <f t="shared" si="404"/>
        <v>264</v>
      </c>
      <c r="AX263" s="182">
        <v>4.1399999999999999E-2</v>
      </c>
      <c r="AY263" s="185">
        <v>238</v>
      </c>
      <c r="AZ263" s="184">
        <f t="shared" si="405"/>
        <v>4.1399999999999999E-2</v>
      </c>
      <c r="BA263" s="190">
        <v>264</v>
      </c>
      <c r="BB263" s="185">
        <v>238</v>
      </c>
      <c r="BC263" s="183">
        <f t="shared" si="406"/>
        <v>264</v>
      </c>
      <c r="BG263" s="182">
        <v>4.1399999999999999E-2</v>
      </c>
      <c r="BH263" s="185">
        <v>238</v>
      </c>
      <c r="BI263" s="184">
        <f t="shared" si="407"/>
        <v>4.1399999999999999E-2</v>
      </c>
      <c r="CW263" s="364"/>
      <c r="CX263" s="316"/>
      <c r="CY263" s="316"/>
      <c r="DA263" s="309">
        <v>262</v>
      </c>
      <c r="DB263" s="313">
        <f t="shared" si="408"/>
        <v>295.360201377745</v>
      </c>
      <c r="DC263" s="309">
        <f t="shared" si="409"/>
        <v>1</v>
      </c>
      <c r="DD263" s="309">
        <f t="shared" si="410"/>
        <v>260</v>
      </c>
      <c r="DE263" s="308">
        <f t="shared" si="411"/>
        <v>6.5000000000000002E-2</v>
      </c>
      <c r="DF263" s="313">
        <f t="shared" si="426"/>
        <v>262</v>
      </c>
      <c r="DG263" s="313">
        <f t="shared" si="415"/>
        <v>260</v>
      </c>
      <c r="DH263" s="313">
        <f t="shared" si="416"/>
        <v>260</v>
      </c>
      <c r="DI263" s="313">
        <f t="shared" si="417"/>
        <v>0</v>
      </c>
      <c r="DJ263" s="313">
        <f t="shared" si="418"/>
        <v>0</v>
      </c>
      <c r="DK263" s="313">
        <f t="shared" si="427"/>
        <v>63204.517269621676</v>
      </c>
      <c r="DL263" s="313">
        <f t="shared" si="419"/>
        <v>87880</v>
      </c>
      <c r="DM263" s="314">
        <f t="shared" si="420"/>
        <v>18.90570280914724</v>
      </c>
      <c r="DN263" s="312">
        <f t="shared" si="421"/>
        <v>7.2159171027279534E-2</v>
      </c>
      <c r="DO263" s="312">
        <f t="shared" si="428"/>
        <v>1</v>
      </c>
      <c r="DP263" s="315">
        <f t="shared" si="412"/>
        <v>6.5000000000000002E-2</v>
      </c>
      <c r="DQ263" s="316">
        <f t="shared" si="422"/>
        <v>0.25</v>
      </c>
      <c r="DR263" s="316">
        <f t="shared" si="423"/>
        <v>69.320754522942522</v>
      </c>
      <c r="DS263" s="314">
        <f t="shared" si="424"/>
        <v>3.7795318559795539</v>
      </c>
      <c r="DT263" s="316">
        <f t="shared" si="425"/>
        <v>69.320754522942522</v>
      </c>
      <c r="DU263" s="314">
        <f t="shared" si="413"/>
        <v>3.7795318559795539</v>
      </c>
      <c r="DV263" s="316">
        <f t="shared" si="429"/>
        <v>84.5</v>
      </c>
      <c r="DW263" s="310">
        <f t="shared" si="414"/>
        <v>4.0118343195266268</v>
      </c>
      <c r="FB263" s="307"/>
      <c r="FC263" s="307"/>
      <c r="FF263" s="307"/>
      <c r="FG263" s="307"/>
      <c r="FH263" s="306"/>
      <c r="FJ263" s="307"/>
      <c r="FK263" s="307"/>
      <c r="FL263" s="306"/>
      <c r="FM263" s="307"/>
      <c r="FN263" s="306"/>
      <c r="FO263" s="307"/>
      <c r="FP263" s="306"/>
    </row>
    <row r="264" spans="29:172">
      <c r="AC264" s="156"/>
      <c r="AI264" s="190">
        <v>263</v>
      </c>
      <c r="AJ264" s="185">
        <v>239</v>
      </c>
      <c r="AK264" s="183">
        <f t="shared" si="402"/>
        <v>263</v>
      </c>
      <c r="AO264" s="182">
        <v>4.1300000000000003E-2</v>
      </c>
      <c r="AP264" s="185">
        <v>239</v>
      </c>
      <c r="AQ264" s="184">
        <f t="shared" si="403"/>
        <v>4.1300000000000003E-2</v>
      </c>
      <c r="AR264" s="190">
        <v>263</v>
      </c>
      <c r="AS264" s="185">
        <v>239</v>
      </c>
      <c r="AT264" s="183">
        <f t="shared" si="404"/>
        <v>263</v>
      </c>
      <c r="AX264" s="182">
        <v>4.1300000000000003E-2</v>
      </c>
      <c r="AY264" s="185">
        <v>239</v>
      </c>
      <c r="AZ264" s="184">
        <f t="shared" si="405"/>
        <v>4.1300000000000003E-2</v>
      </c>
      <c r="BA264" s="190">
        <v>263</v>
      </c>
      <c r="BB264" s="185">
        <v>239</v>
      </c>
      <c r="BC264" s="183">
        <f t="shared" si="406"/>
        <v>263</v>
      </c>
      <c r="BG264" s="182">
        <v>4.1300000000000003E-2</v>
      </c>
      <c r="BH264" s="185">
        <v>239</v>
      </c>
      <c r="BI264" s="184">
        <f t="shared" si="407"/>
        <v>4.1300000000000003E-2</v>
      </c>
      <c r="CW264" s="364"/>
      <c r="CX264" s="316"/>
      <c r="CY264" s="316"/>
      <c r="DA264" s="309">
        <v>263</v>
      </c>
      <c r="DB264" s="313">
        <f t="shared" si="408"/>
        <v>295.72417161201122</v>
      </c>
      <c r="DC264" s="309">
        <f t="shared" si="409"/>
        <v>1</v>
      </c>
      <c r="DD264" s="309">
        <f t="shared" si="410"/>
        <v>260</v>
      </c>
      <c r="DE264" s="308">
        <f t="shared" si="411"/>
        <v>6.5000000000000002E-2</v>
      </c>
      <c r="DF264" s="313">
        <f t="shared" si="426"/>
        <v>263</v>
      </c>
      <c r="DG264" s="313">
        <f t="shared" si="415"/>
        <v>260</v>
      </c>
      <c r="DH264" s="313">
        <f t="shared" si="416"/>
        <v>260</v>
      </c>
      <c r="DI264" s="313">
        <f t="shared" si="417"/>
        <v>0</v>
      </c>
      <c r="DJ264" s="313">
        <f t="shared" si="418"/>
        <v>0</v>
      </c>
      <c r="DK264" s="313">
        <f t="shared" si="427"/>
        <v>63464.517269621676</v>
      </c>
      <c r="DL264" s="313">
        <f t="shared" si="419"/>
        <v>87620</v>
      </c>
      <c r="DM264" s="314">
        <f t="shared" si="420"/>
        <v>18.90570280914724</v>
      </c>
      <c r="DN264" s="312">
        <f t="shared" si="421"/>
        <v>7.188480155569292E-2</v>
      </c>
      <c r="DO264" s="312">
        <f t="shared" si="428"/>
        <v>1</v>
      </c>
      <c r="DP264" s="315">
        <f t="shared" si="412"/>
        <v>6.5000000000000002E-2</v>
      </c>
      <c r="DQ264" s="316">
        <f t="shared" si="422"/>
        <v>0.25</v>
      </c>
      <c r="DR264" s="316">
        <f t="shared" si="423"/>
        <v>69.570754522942522</v>
      </c>
      <c r="DS264" s="314">
        <f t="shared" si="424"/>
        <v>3.7803241003124355</v>
      </c>
      <c r="DT264" s="316">
        <f t="shared" si="425"/>
        <v>69.570754522942522</v>
      </c>
      <c r="DU264" s="314">
        <f t="shared" si="413"/>
        <v>3.7803241003124355</v>
      </c>
      <c r="DV264" s="316">
        <f t="shared" si="429"/>
        <v>84.25</v>
      </c>
      <c r="DW264" s="310">
        <f t="shared" si="414"/>
        <v>4.0118694362017804</v>
      </c>
      <c r="FB264" s="307"/>
      <c r="FC264" s="307"/>
      <c r="FF264" s="307"/>
      <c r="FG264" s="307"/>
      <c r="FH264" s="306"/>
      <c r="FJ264" s="307"/>
      <c r="FK264" s="307"/>
      <c r="FL264" s="306"/>
      <c r="FM264" s="307"/>
      <c r="FN264" s="306"/>
      <c r="FO264" s="307"/>
      <c r="FP264" s="306"/>
    </row>
    <row r="265" spans="29:172">
      <c r="AC265" s="156"/>
      <c r="AI265" s="190">
        <v>262</v>
      </c>
      <c r="AJ265" s="185">
        <v>240</v>
      </c>
      <c r="AK265" s="183">
        <f t="shared" si="402"/>
        <v>262</v>
      </c>
      <c r="AO265" s="182">
        <v>4.1200000000000001E-2</v>
      </c>
      <c r="AP265" s="185">
        <v>240</v>
      </c>
      <c r="AQ265" s="184">
        <f t="shared" si="403"/>
        <v>4.1200000000000001E-2</v>
      </c>
      <c r="AR265" s="190">
        <v>262</v>
      </c>
      <c r="AS265" s="185">
        <v>240</v>
      </c>
      <c r="AT265" s="183">
        <f t="shared" si="404"/>
        <v>262</v>
      </c>
      <c r="AX265" s="182">
        <v>4.1200000000000001E-2</v>
      </c>
      <c r="AY265" s="185">
        <v>240</v>
      </c>
      <c r="AZ265" s="184">
        <f t="shared" si="405"/>
        <v>4.1200000000000001E-2</v>
      </c>
      <c r="BA265" s="190">
        <v>262</v>
      </c>
      <c r="BB265" s="185">
        <v>240</v>
      </c>
      <c r="BC265" s="183">
        <f t="shared" si="406"/>
        <v>262</v>
      </c>
      <c r="BG265" s="182">
        <v>4.1200000000000001E-2</v>
      </c>
      <c r="BH265" s="185">
        <v>240</v>
      </c>
      <c r="BI265" s="184">
        <f t="shared" si="407"/>
        <v>4.1200000000000001E-2</v>
      </c>
      <c r="CW265" s="364"/>
      <c r="CX265" s="316"/>
      <c r="CY265" s="316"/>
      <c r="DA265" s="309">
        <v>264</v>
      </c>
      <c r="DB265" s="313">
        <f t="shared" si="408"/>
        <v>296.08814184627744</v>
      </c>
      <c r="DC265" s="309">
        <f t="shared" si="409"/>
        <v>1</v>
      </c>
      <c r="DD265" s="309">
        <f t="shared" si="410"/>
        <v>260</v>
      </c>
      <c r="DE265" s="308">
        <f t="shared" si="411"/>
        <v>6.5000000000000002E-2</v>
      </c>
      <c r="DF265" s="313">
        <f t="shared" si="426"/>
        <v>264</v>
      </c>
      <c r="DG265" s="313">
        <f t="shared" si="415"/>
        <v>260</v>
      </c>
      <c r="DH265" s="313">
        <f t="shared" si="416"/>
        <v>260</v>
      </c>
      <c r="DI265" s="313">
        <f t="shared" si="417"/>
        <v>0</v>
      </c>
      <c r="DJ265" s="313">
        <f t="shared" si="418"/>
        <v>0</v>
      </c>
      <c r="DK265" s="313">
        <f t="shared" si="427"/>
        <v>63724.517269621676</v>
      </c>
      <c r="DL265" s="313">
        <f t="shared" si="419"/>
        <v>87360</v>
      </c>
      <c r="DM265" s="314">
        <f t="shared" si="420"/>
        <v>18.90570280914724</v>
      </c>
      <c r="DN265" s="312">
        <f t="shared" si="421"/>
        <v>7.161251064070924E-2</v>
      </c>
      <c r="DO265" s="312">
        <f t="shared" si="428"/>
        <v>1</v>
      </c>
      <c r="DP265" s="315">
        <f t="shared" si="412"/>
        <v>6.5000000000000002E-2</v>
      </c>
      <c r="DQ265" s="316">
        <f t="shared" si="422"/>
        <v>0.25</v>
      </c>
      <c r="DR265" s="316">
        <f t="shared" si="423"/>
        <v>69.820754522942522</v>
      </c>
      <c r="DS265" s="314">
        <f t="shared" si="424"/>
        <v>3.7811106712295954</v>
      </c>
      <c r="DT265" s="316">
        <f t="shared" si="425"/>
        <v>69.820754522942522</v>
      </c>
      <c r="DU265" s="314">
        <f t="shared" si="413"/>
        <v>3.7811106712295954</v>
      </c>
      <c r="DV265" s="316">
        <f t="shared" si="429"/>
        <v>84</v>
      </c>
      <c r="DW265" s="310">
        <f t="shared" si="414"/>
        <v>4.0119047619047619</v>
      </c>
      <c r="FB265" s="307"/>
      <c r="FC265" s="307"/>
      <c r="FF265" s="307"/>
      <c r="FG265" s="307"/>
      <c r="FH265" s="306"/>
      <c r="FJ265" s="307"/>
      <c r="FK265" s="307"/>
      <c r="FL265" s="306"/>
      <c r="FM265" s="307"/>
      <c r="FN265" s="306"/>
      <c r="FO265" s="307"/>
      <c r="FP265" s="306"/>
    </row>
    <row r="266" spans="29:172">
      <c r="AC266" s="156"/>
      <c r="AI266" s="190">
        <v>261</v>
      </c>
      <c r="AJ266" s="185">
        <v>241</v>
      </c>
      <c r="AK266" s="183">
        <f t="shared" si="402"/>
        <v>261</v>
      </c>
      <c r="AO266" s="182">
        <v>4.1099999999999998E-2</v>
      </c>
      <c r="AP266" s="185">
        <v>241</v>
      </c>
      <c r="AQ266" s="184">
        <f t="shared" si="403"/>
        <v>4.1099999999999998E-2</v>
      </c>
      <c r="AR266" s="190">
        <v>261</v>
      </c>
      <c r="AS266" s="185">
        <v>241</v>
      </c>
      <c r="AT266" s="183">
        <f t="shared" si="404"/>
        <v>261</v>
      </c>
      <c r="AX266" s="182">
        <v>4.1099999999999998E-2</v>
      </c>
      <c r="AY266" s="185">
        <v>241</v>
      </c>
      <c r="AZ266" s="184">
        <f t="shared" si="405"/>
        <v>4.1099999999999998E-2</v>
      </c>
      <c r="BA266" s="190">
        <v>261</v>
      </c>
      <c r="BB266" s="185">
        <v>241</v>
      </c>
      <c r="BC266" s="183">
        <f t="shared" si="406"/>
        <v>261</v>
      </c>
      <c r="BG266" s="182">
        <v>4.1099999999999998E-2</v>
      </c>
      <c r="BH266" s="185">
        <v>241</v>
      </c>
      <c r="BI266" s="184">
        <f t="shared" si="407"/>
        <v>4.1099999999999998E-2</v>
      </c>
      <c r="CW266" s="364"/>
      <c r="CX266" s="316"/>
      <c r="CY266" s="316"/>
      <c r="DA266" s="309">
        <v>265</v>
      </c>
      <c r="DB266" s="313">
        <f t="shared" si="408"/>
        <v>296.4521120805436</v>
      </c>
      <c r="DC266" s="309">
        <f t="shared" si="409"/>
        <v>1</v>
      </c>
      <c r="DD266" s="309">
        <f t="shared" si="410"/>
        <v>260</v>
      </c>
      <c r="DE266" s="308">
        <f t="shared" si="411"/>
        <v>6.5000000000000002E-2</v>
      </c>
      <c r="DF266" s="313">
        <f t="shared" si="426"/>
        <v>265</v>
      </c>
      <c r="DG266" s="313">
        <f t="shared" si="415"/>
        <v>260</v>
      </c>
      <c r="DH266" s="313">
        <f t="shared" si="416"/>
        <v>260</v>
      </c>
      <c r="DI266" s="313">
        <f t="shared" si="417"/>
        <v>0</v>
      </c>
      <c r="DJ266" s="313">
        <f t="shared" si="418"/>
        <v>0</v>
      </c>
      <c r="DK266" s="313">
        <f t="shared" si="427"/>
        <v>63984.517269621676</v>
      </c>
      <c r="DL266" s="313">
        <f t="shared" si="419"/>
        <v>87100</v>
      </c>
      <c r="DM266" s="314">
        <f t="shared" si="420"/>
        <v>18.90570280914724</v>
      </c>
      <c r="DN266" s="312">
        <f t="shared" si="421"/>
        <v>7.1342274751499013E-2</v>
      </c>
      <c r="DO266" s="312">
        <f t="shared" si="428"/>
        <v>1</v>
      </c>
      <c r="DP266" s="315">
        <f t="shared" si="412"/>
        <v>6.5000000000000002E-2</v>
      </c>
      <c r="DQ266" s="316">
        <f t="shared" si="422"/>
        <v>0.25</v>
      </c>
      <c r="DR266" s="316">
        <f t="shared" si="423"/>
        <v>70.070754522942522</v>
      </c>
      <c r="DS266" s="314">
        <f t="shared" si="424"/>
        <v>3.7818916294562501</v>
      </c>
      <c r="DT266" s="316">
        <f t="shared" si="425"/>
        <v>70.070754522942522</v>
      </c>
      <c r="DU266" s="314">
        <f t="shared" si="413"/>
        <v>3.7818916294562501</v>
      </c>
      <c r="DV266" s="316">
        <f t="shared" si="429"/>
        <v>83.75</v>
      </c>
      <c r="DW266" s="310">
        <f t="shared" si="414"/>
        <v>4.0119402985074624</v>
      </c>
      <c r="FB266" s="307"/>
      <c r="FC266" s="307"/>
      <c r="FF266" s="307"/>
      <c r="FG266" s="307"/>
      <c r="FH266" s="306"/>
      <c r="FJ266" s="307"/>
      <c r="FK266" s="307"/>
      <c r="FL266" s="306"/>
      <c r="FM266" s="307"/>
      <c r="FN266" s="306"/>
      <c r="FO266" s="307"/>
      <c r="FP266" s="306"/>
    </row>
    <row r="267" spans="29:172">
      <c r="AC267" s="156"/>
      <c r="AI267" s="190">
        <v>260</v>
      </c>
      <c r="AJ267" s="185">
        <v>242</v>
      </c>
      <c r="AK267" s="183">
        <f t="shared" si="402"/>
        <v>260</v>
      </c>
      <c r="AO267" s="182">
        <v>4.1000000000000002E-2</v>
      </c>
      <c r="AP267" s="185">
        <v>242</v>
      </c>
      <c r="AQ267" s="184">
        <f t="shared" si="403"/>
        <v>4.1000000000000002E-2</v>
      </c>
      <c r="AR267" s="190">
        <v>260</v>
      </c>
      <c r="AS267" s="185">
        <v>242</v>
      </c>
      <c r="AT267" s="183">
        <f t="shared" si="404"/>
        <v>260</v>
      </c>
      <c r="AX267" s="182">
        <v>4.1000000000000002E-2</v>
      </c>
      <c r="AY267" s="185">
        <v>242</v>
      </c>
      <c r="AZ267" s="184">
        <f t="shared" si="405"/>
        <v>4.1000000000000002E-2</v>
      </c>
      <c r="BA267" s="190">
        <v>260</v>
      </c>
      <c r="BB267" s="185">
        <v>242</v>
      </c>
      <c r="BC267" s="183">
        <f t="shared" si="406"/>
        <v>260</v>
      </c>
      <c r="BG267" s="182">
        <v>4.1000000000000002E-2</v>
      </c>
      <c r="BH267" s="185">
        <v>242</v>
      </c>
      <c r="BI267" s="184">
        <f t="shared" si="407"/>
        <v>4.1000000000000002E-2</v>
      </c>
      <c r="CW267" s="364"/>
      <c r="CX267" s="316"/>
      <c r="CY267" s="316"/>
      <c r="DA267" s="309">
        <v>266</v>
      </c>
      <c r="DB267" s="313">
        <f t="shared" si="408"/>
        <v>296.81608231480982</v>
      </c>
      <c r="DC267" s="309">
        <f t="shared" si="409"/>
        <v>1</v>
      </c>
      <c r="DD267" s="309">
        <f t="shared" si="410"/>
        <v>260</v>
      </c>
      <c r="DE267" s="308">
        <f t="shared" si="411"/>
        <v>6.5000000000000002E-2</v>
      </c>
      <c r="DF267" s="313">
        <f t="shared" si="426"/>
        <v>266</v>
      </c>
      <c r="DG267" s="313">
        <f t="shared" si="415"/>
        <v>260</v>
      </c>
      <c r="DH267" s="313">
        <f t="shared" si="416"/>
        <v>260</v>
      </c>
      <c r="DI267" s="313">
        <f t="shared" si="417"/>
        <v>0</v>
      </c>
      <c r="DJ267" s="313">
        <f t="shared" si="418"/>
        <v>0</v>
      </c>
      <c r="DK267" s="313">
        <f t="shared" si="427"/>
        <v>64244.517269621676</v>
      </c>
      <c r="DL267" s="313">
        <f t="shared" si="419"/>
        <v>86840</v>
      </c>
      <c r="DM267" s="314">
        <f t="shared" si="420"/>
        <v>18.90570280914724</v>
      </c>
      <c r="DN267" s="312">
        <f t="shared" si="421"/>
        <v>7.1074070711079851E-2</v>
      </c>
      <c r="DO267" s="312">
        <f t="shared" si="428"/>
        <v>1</v>
      </c>
      <c r="DP267" s="315">
        <f t="shared" si="412"/>
        <v>6.5000000000000002E-2</v>
      </c>
      <c r="DQ267" s="316">
        <f t="shared" si="422"/>
        <v>0.25</v>
      </c>
      <c r="DR267" s="316">
        <f t="shared" si="423"/>
        <v>70.320754522942522</v>
      </c>
      <c r="DS267" s="314">
        <f t="shared" si="424"/>
        <v>3.7826670348540712</v>
      </c>
      <c r="DT267" s="316">
        <f t="shared" si="425"/>
        <v>70.320754522942522</v>
      </c>
      <c r="DU267" s="314">
        <f t="shared" si="413"/>
        <v>3.7826670348540712</v>
      </c>
      <c r="DV267" s="316">
        <f t="shared" si="429"/>
        <v>83.5</v>
      </c>
      <c r="DW267" s="310">
        <f t="shared" si="414"/>
        <v>4.0119760479041915</v>
      </c>
      <c r="FB267" s="307"/>
      <c r="FC267" s="307"/>
      <c r="FF267" s="307"/>
      <c r="FG267" s="307"/>
      <c r="FH267" s="306"/>
      <c r="FJ267" s="307"/>
      <c r="FK267" s="307"/>
      <c r="FL267" s="306"/>
      <c r="FM267" s="307"/>
      <c r="FN267" s="306"/>
      <c r="FO267" s="307"/>
      <c r="FP267" s="306"/>
    </row>
    <row r="268" spans="29:172">
      <c r="AC268" s="156"/>
      <c r="AI268" s="190">
        <v>259</v>
      </c>
      <c r="AJ268" s="185">
        <v>243</v>
      </c>
      <c r="AK268" s="183">
        <f t="shared" si="402"/>
        <v>259</v>
      </c>
      <c r="AO268" s="182">
        <v>4.0899999999999999E-2</v>
      </c>
      <c r="AP268" s="185">
        <v>243</v>
      </c>
      <c r="AQ268" s="184">
        <f t="shared" si="403"/>
        <v>4.0899999999999999E-2</v>
      </c>
      <c r="AR268" s="190">
        <v>259</v>
      </c>
      <c r="AS268" s="185">
        <v>243</v>
      </c>
      <c r="AT268" s="183">
        <f t="shared" si="404"/>
        <v>259</v>
      </c>
      <c r="AX268" s="182">
        <v>4.0899999999999999E-2</v>
      </c>
      <c r="AY268" s="185">
        <v>243</v>
      </c>
      <c r="AZ268" s="184">
        <f t="shared" si="405"/>
        <v>4.0899999999999999E-2</v>
      </c>
      <c r="BA268" s="190">
        <v>259</v>
      </c>
      <c r="BB268" s="185">
        <v>243</v>
      </c>
      <c r="BC268" s="183">
        <f t="shared" si="406"/>
        <v>259</v>
      </c>
      <c r="BG268" s="182">
        <v>4.0899999999999999E-2</v>
      </c>
      <c r="BH268" s="185">
        <v>243</v>
      </c>
      <c r="BI268" s="184">
        <f t="shared" si="407"/>
        <v>4.0899999999999999E-2</v>
      </c>
      <c r="CW268" s="364"/>
      <c r="CX268" s="316"/>
      <c r="CY268" s="316"/>
      <c r="DA268" s="309">
        <v>267</v>
      </c>
      <c r="DB268" s="313">
        <f t="shared" si="408"/>
        <v>297.18005254907604</v>
      </c>
      <c r="DC268" s="309">
        <f t="shared" si="409"/>
        <v>1</v>
      </c>
      <c r="DD268" s="309">
        <f t="shared" si="410"/>
        <v>260</v>
      </c>
      <c r="DE268" s="308">
        <f t="shared" si="411"/>
        <v>6.5000000000000002E-2</v>
      </c>
      <c r="DF268" s="313">
        <f t="shared" si="426"/>
        <v>267</v>
      </c>
      <c r="DG268" s="313">
        <f t="shared" si="415"/>
        <v>260</v>
      </c>
      <c r="DH268" s="313">
        <f t="shared" si="416"/>
        <v>260</v>
      </c>
      <c r="DI268" s="313">
        <f t="shared" si="417"/>
        <v>0</v>
      </c>
      <c r="DJ268" s="313">
        <f t="shared" si="418"/>
        <v>0</v>
      </c>
      <c r="DK268" s="313">
        <f t="shared" si="427"/>
        <v>64504.517269621676</v>
      </c>
      <c r="DL268" s="313">
        <f t="shared" si="419"/>
        <v>86580</v>
      </c>
      <c r="DM268" s="314">
        <f t="shared" si="420"/>
        <v>18.90570280914724</v>
      </c>
      <c r="DN268" s="312">
        <f t="shared" si="421"/>
        <v>7.0807875689690034E-2</v>
      </c>
      <c r="DO268" s="312">
        <f t="shared" si="428"/>
        <v>1</v>
      </c>
      <c r="DP268" s="315">
        <f t="shared" si="412"/>
        <v>6.5000000000000002E-2</v>
      </c>
      <c r="DQ268" s="316">
        <f t="shared" si="422"/>
        <v>0.25</v>
      </c>
      <c r="DR268" s="316">
        <f t="shared" si="423"/>
        <v>70.570754522942522</v>
      </c>
      <c r="DS268" s="314">
        <f t="shared" si="424"/>
        <v>3.783436946436479</v>
      </c>
      <c r="DT268" s="316">
        <f t="shared" si="425"/>
        <v>70.570754522942522</v>
      </c>
      <c r="DU268" s="314">
        <f t="shared" si="413"/>
        <v>3.783436946436479</v>
      </c>
      <c r="DV268" s="316">
        <f t="shared" si="429"/>
        <v>83.25</v>
      </c>
      <c r="DW268" s="310">
        <f t="shared" si="414"/>
        <v>4.0120120120120122</v>
      </c>
      <c r="FB268" s="307"/>
      <c r="FC268" s="307"/>
      <c r="FF268" s="307"/>
      <c r="FG268" s="307"/>
      <c r="FH268" s="306"/>
      <c r="FJ268" s="307"/>
      <c r="FK268" s="307"/>
      <c r="FL268" s="306"/>
      <c r="FM268" s="307"/>
      <c r="FN268" s="306"/>
      <c r="FO268" s="307"/>
      <c r="FP268" s="306"/>
    </row>
    <row r="269" spans="29:172">
      <c r="AC269" s="156"/>
      <c r="AI269" s="190">
        <v>258</v>
      </c>
      <c r="AJ269" s="185">
        <v>244</v>
      </c>
      <c r="AK269" s="183">
        <f t="shared" si="402"/>
        <v>258</v>
      </c>
      <c r="AO269" s="182">
        <v>4.0800000000000003E-2</v>
      </c>
      <c r="AP269" s="185">
        <v>244</v>
      </c>
      <c r="AQ269" s="184">
        <f t="shared" si="403"/>
        <v>4.0800000000000003E-2</v>
      </c>
      <c r="AR269" s="190">
        <v>258</v>
      </c>
      <c r="AS269" s="185">
        <v>244</v>
      </c>
      <c r="AT269" s="183">
        <f t="shared" si="404"/>
        <v>258</v>
      </c>
      <c r="AX269" s="182">
        <v>4.0800000000000003E-2</v>
      </c>
      <c r="AY269" s="185">
        <v>244</v>
      </c>
      <c r="AZ269" s="184">
        <f t="shared" si="405"/>
        <v>4.0800000000000003E-2</v>
      </c>
      <c r="BA269" s="190">
        <v>258</v>
      </c>
      <c r="BB269" s="185">
        <v>244</v>
      </c>
      <c r="BC269" s="183">
        <f t="shared" si="406"/>
        <v>258</v>
      </c>
      <c r="BG269" s="182">
        <v>4.0800000000000003E-2</v>
      </c>
      <c r="BH269" s="185">
        <v>244</v>
      </c>
      <c r="BI269" s="184">
        <f t="shared" si="407"/>
        <v>4.0800000000000003E-2</v>
      </c>
      <c r="CW269" s="364"/>
      <c r="CX269" s="316"/>
      <c r="CY269" s="316"/>
      <c r="DA269" s="309">
        <v>268</v>
      </c>
      <c r="DB269" s="313">
        <f t="shared" si="408"/>
        <v>297.54402278334226</v>
      </c>
      <c r="DC269" s="309">
        <f t="shared" si="409"/>
        <v>1</v>
      </c>
      <c r="DD269" s="309">
        <f t="shared" si="410"/>
        <v>260</v>
      </c>
      <c r="DE269" s="308">
        <f t="shared" si="411"/>
        <v>6.5000000000000002E-2</v>
      </c>
      <c r="DF269" s="313">
        <f t="shared" si="426"/>
        <v>268</v>
      </c>
      <c r="DG269" s="313">
        <f t="shared" si="415"/>
        <v>260</v>
      </c>
      <c r="DH269" s="313">
        <f t="shared" si="416"/>
        <v>260</v>
      </c>
      <c r="DI269" s="313">
        <f t="shared" si="417"/>
        <v>0</v>
      </c>
      <c r="DJ269" s="313">
        <f t="shared" si="418"/>
        <v>0</v>
      </c>
      <c r="DK269" s="313">
        <f t="shared" si="427"/>
        <v>64764.517269621676</v>
      </c>
      <c r="DL269" s="313">
        <f t="shared" si="419"/>
        <v>86320</v>
      </c>
      <c r="DM269" s="314">
        <f t="shared" si="420"/>
        <v>18.90570280914724</v>
      </c>
      <c r="DN269" s="312">
        <f t="shared" si="421"/>
        <v>7.0543667198310595E-2</v>
      </c>
      <c r="DO269" s="312">
        <f t="shared" si="428"/>
        <v>1</v>
      </c>
      <c r="DP269" s="315">
        <f t="shared" si="412"/>
        <v>6.5000000000000002E-2</v>
      </c>
      <c r="DQ269" s="316">
        <f t="shared" si="422"/>
        <v>0.25</v>
      </c>
      <c r="DR269" s="316">
        <f t="shared" si="423"/>
        <v>70.820754522942522</v>
      </c>
      <c r="DS269" s="314">
        <f t="shared" si="424"/>
        <v>3.784201422383616</v>
      </c>
      <c r="DT269" s="316">
        <f t="shared" si="425"/>
        <v>70.820754522942522</v>
      </c>
      <c r="DU269" s="314">
        <f t="shared" si="413"/>
        <v>3.784201422383616</v>
      </c>
      <c r="DV269" s="316">
        <f t="shared" si="429"/>
        <v>83</v>
      </c>
      <c r="DW269" s="310">
        <f t="shared" si="414"/>
        <v>4.0120481927710845</v>
      </c>
      <c r="FB269" s="307"/>
      <c r="FC269" s="307"/>
      <c r="FF269" s="307"/>
      <c r="FG269" s="307"/>
      <c r="FH269" s="306"/>
      <c r="FJ269" s="307"/>
      <c r="FK269" s="307"/>
      <c r="FL269" s="306"/>
      <c r="FM269" s="307"/>
      <c r="FN269" s="306"/>
      <c r="FO269" s="307"/>
      <c r="FP269" s="306"/>
    </row>
    <row r="270" spans="29:172">
      <c r="AC270" s="156"/>
      <c r="AI270" s="190">
        <v>257</v>
      </c>
      <c r="AJ270" s="185">
        <v>245</v>
      </c>
      <c r="AK270" s="183">
        <f t="shared" si="402"/>
        <v>257</v>
      </c>
      <c r="AO270" s="182">
        <v>4.07E-2</v>
      </c>
      <c r="AP270" s="185">
        <v>245</v>
      </c>
      <c r="AQ270" s="184">
        <f t="shared" si="403"/>
        <v>4.07E-2</v>
      </c>
      <c r="AR270" s="190">
        <v>257</v>
      </c>
      <c r="AS270" s="185">
        <v>245</v>
      </c>
      <c r="AT270" s="183">
        <f t="shared" si="404"/>
        <v>257</v>
      </c>
      <c r="AX270" s="182">
        <v>4.07E-2</v>
      </c>
      <c r="AY270" s="185">
        <v>245</v>
      </c>
      <c r="AZ270" s="184">
        <f t="shared" si="405"/>
        <v>4.07E-2</v>
      </c>
      <c r="BA270" s="190">
        <v>257</v>
      </c>
      <c r="BB270" s="185">
        <v>245</v>
      </c>
      <c r="BC270" s="183">
        <f t="shared" si="406"/>
        <v>257</v>
      </c>
      <c r="BG270" s="182">
        <v>4.07E-2</v>
      </c>
      <c r="BH270" s="185">
        <v>245</v>
      </c>
      <c r="BI270" s="184">
        <f t="shared" si="407"/>
        <v>4.07E-2</v>
      </c>
      <c r="CW270" s="364"/>
      <c r="CX270" s="316"/>
      <c r="CY270" s="316"/>
      <c r="DA270" s="309">
        <v>269</v>
      </c>
      <c r="DB270" s="313">
        <f t="shared" si="408"/>
        <v>297.90799301760842</v>
      </c>
      <c r="DC270" s="309">
        <f t="shared" si="409"/>
        <v>1</v>
      </c>
      <c r="DD270" s="309">
        <f t="shared" si="410"/>
        <v>260</v>
      </c>
      <c r="DE270" s="308">
        <f t="shared" si="411"/>
        <v>6.5000000000000002E-2</v>
      </c>
      <c r="DF270" s="313">
        <f t="shared" si="426"/>
        <v>269</v>
      </c>
      <c r="DG270" s="313">
        <f t="shared" si="415"/>
        <v>260</v>
      </c>
      <c r="DH270" s="313">
        <f t="shared" si="416"/>
        <v>260</v>
      </c>
      <c r="DI270" s="313">
        <f t="shared" si="417"/>
        <v>0</v>
      </c>
      <c r="DJ270" s="313">
        <f t="shared" si="418"/>
        <v>0</v>
      </c>
      <c r="DK270" s="313">
        <f t="shared" si="427"/>
        <v>65024.517269621676</v>
      </c>
      <c r="DL270" s="313">
        <f t="shared" si="419"/>
        <v>86060</v>
      </c>
      <c r="DM270" s="314">
        <f t="shared" si="420"/>
        <v>18.90570280914724</v>
      </c>
      <c r="DN270" s="312">
        <f t="shared" si="421"/>
        <v>7.0281423082331748E-2</v>
      </c>
      <c r="DO270" s="312">
        <f t="shared" si="428"/>
        <v>1</v>
      </c>
      <c r="DP270" s="315">
        <f t="shared" si="412"/>
        <v>6.5000000000000002E-2</v>
      </c>
      <c r="DQ270" s="316">
        <f t="shared" si="422"/>
        <v>0.25</v>
      </c>
      <c r="DR270" s="316">
        <f t="shared" si="423"/>
        <v>71.070754522942522</v>
      </c>
      <c r="DS270" s="314">
        <f t="shared" si="424"/>
        <v>3.7849605200570013</v>
      </c>
      <c r="DT270" s="316">
        <f t="shared" si="425"/>
        <v>71.070754522942522</v>
      </c>
      <c r="DU270" s="314">
        <f t="shared" si="413"/>
        <v>3.7849605200570013</v>
      </c>
      <c r="DV270" s="316">
        <f t="shared" si="429"/>
        <v>82.75</v>
      </c>
      <c r="DW270" s="310">
        <f t="shared" si="414"/>
        <v>4.0120845921450154</v>
      </c>
      <c r="FB270" s="307"/>
      <c r="FC270" s="307"/>
      <c r="FF270" s="307"/>
      <c r="FG270" s="307"/>
      <c r="FH270" s="306"/>
      <c r="FJ270" s="307"/>
      <c r="FK270" s="307"/>
      <c r="FL270" s="306"/>
      <c r="FM270" s="307"/>
      <c r="FN270" s="306"/>
      <c r="FO270" s="307"/>
      <c r="FP270" s="306"/>
    </row>
    <row r="271" spans="29:172">
      <c r="AC271" s="156"/>
      <c r="AI271" s="190">
        <v>256</v>
      </c>
      <c r="AJ271" s="185">
        <v>246</v>
      </c>
      <c r="AK271" s="183">
        <f t="shared" si="402"/>
        <v>256</v>
      </c>
      <c r="AO271" s="182">
        <v>4.0599999999999997E-2</v>
      </c>
      <c r="AP271" s="185">
        <v>246</v>
      </c>
      <c r="AQ271" s="184">
        <f t="shared" si="403"/>
        <v>4.0599999999999997E-2</v>
      </c>
      <c r="AR271" s="190">
        <v>256</v>
      </c>
      <c r="AS271" s="185">
        <v>246</v>
      </c>
      <c r="AT271" s="183">
        <f t="shared" si="404"/>
        <v>256</v>
      </c>
      <c r="AX271" s="182">
        <v>4.0599999999999997E-2</v>
      </c>
      <c r="AY271" s="185">
        <v>246</v>
      </c>
      <c r="AZ271" s="184">
        <f t="shared" si="405"/>
        <v>4.0599999999999997E-2</v>
      </c>
      <c r="BA271" s="190">
        <v>256</v>
      </c>
      <c r="BB271" s="185">
        <v>246</v>
      </c>
      <c r="BC271" s="183">
        <f t="shared" si="406"/>
        <v>256</v>
      </c>
      <c r="BG271" s="182">
        <v>4.0599999999999997E-2</v>
      </c>
      <c r="BH271" s="185">
        <v>246</v>
      </c>
      <c r="BI271" s="184">
        <f t="shared" si="407"/>
        <v>4.0599999999999997E-2</v>
      </c>
      <c r="CW271" s="364"/>
      <c r="CX271" s="316"/>
      <c r="CY271" s="316"/>
      <c r="DA271" s="309">
        <v>270</v>
      </c>
      <c r="DB271" s="313">
        <f t="shared" si="408"/>
        <v>298.27196325187464</v>
      </c>
      <c r="DC271" s="309">
        <f t="shared" si="409"/>
        <v>1</v>
      </c>
      <c r="DD271" s="309">
        <f t="shared" si="410"/>
        <v>260</v>
      </c>
      <c r="DE271" s="308">
        <f t="shared" si="411"/>
        <v>6.5000000000000002E-2</v>
      </c>
      <c r="DF271" s="313">
        <f t="shared" si="426"/>
        <v>270</v>
      </c>
      <c r="DG271" s="313">
        <f t="shared" si="415"/>
        <v>260</v>
      </c>
      <c r="DH271" s="313">
        <f t="shared" si="416"/>
        <v>260</v>
      </c>
      <c r="DI271" s="313">
        <f t="shared" si="417"/>
        <v>0</v>
      </c>
      <c r="DJ271" s="313">
        <f t="shared" si="418"/>
        <v>0</v>
      </c>
      <c r="DK271" s="313">
        <f t="shared" si="427"/>
        <v>65284.517269621676</v>
      </c>
      <c r="DL271" s="313">
        <f t="shared" si="419"/>
        <v>85800</v>
      </c>
      <c r="DM271" s="314">
        <f t="shared" si="420"/>
        <v>18.90570280914724</v>
      </c>
      <c r="DN271" s="312">
        <f t="shared" si="421"/>
        <v>7.0021121515360149E-2</v>
      </c>
      <c r="DO271" s="312">
        <f t="shared" si="428"/>
        <v>1</v>
      </c>
      <c r="DP271" s="315">
        <f t="shared" si="412"/>
        <v>6.5000000000000002E-2</v>
      </c>
      <c r="DQ271" s="316">
        <f t="shared" si="422"/>
        <v>0.25</v>
      </c>
      <c r="DR271" s="316">
        <f t="shared" si="423"/>
        <v>71.320754522942522</v>
      </c>
      <c r="DS271" s="314">
        <f t="shared" si="424"/>
        <v>3.7857142960138788</v>
      </c>
      <c r="DT271" s="316">
        <f t="shared" si="425"/>
        <v>71.320754522942522</v>
      </c>
      <c r="DU271" s="314">
        <f t="shared" si="413"/>
        <v>3.7857142960138788</v>
      </c>
      <c r="DV271" s="316">
        <f t="shared" si="429"/>
        <v>82.5</v>
      </c>
      <c r="DW271" s="310">
        <f t="shared" si="414"/>
        <v>4.0121212121212118</v>
      </c>
      <c r="FB271" s="307"/>
      <c r="FC271" s="307"/>
      <c r="FF271" s="307"/>
      <c r="FG271" s="307"/>
      <c r="FH271" s="306"/>
      <c r="FJ271" s="307"/>
      <c r="FK271" s="307"/>
      <c r="FL271" s="306"/>
      <c r="FM271" s="307"/>
      <c r="FN271" s="306"/>
      <c r="FO271" s="307"/>
      <c r="FP271" s="306"/>
    </row>
    <row r="272" spans="29:172">
      <c r="AC272" s="156"/>
      <c r="AI272" s="190">
        <v>255</v>
      </c>
      <c r="AJ272" s="185">
        <v>247</v>
      </c>
      <c r="AK272" s="183">
        <f t="shared" si="402"/>
        <v>255</v>
      </c>
      <c r="AO272" s="182">
        <v>4.0500000000000001E-2</v>
      </c>
      <c r="AP272" s="185">
        <v>247</v>
      </c>
      <c r="AQ272" s="184">
        <f t="shared" si="403"/>
        <v>4.0500000000000001E-2</v>
      </c>
      <c r="AR272" s="190">
        <v>255</v>
      </c>
      <c r="AS272" s="185">
        <v>247</v>
      </c>
      <c r="AT272" s="183">
        <f t="shared" si="404"/>
        <v>255</v>
      </c>
      <c r="AX272" s="182">
        <v>4.0500000000000001E-2</v>
      </c>
      <c r="AY272" s="185">
        <v>247</v>
      </c>
      <c r="AZ272" s="184">
        <f t="shared" si="405"/>
        <v>4.0500000000000001E-2</v>
      </c>
      <c r="BA272" s="190">
        <v>255</v>
      </c>
      <c r="BB272" s="185">
        <v>247</v>
      </c>
      <c r="BC272" s="183">
        <f t="shared" si="406"/>
        <v>255</v>
      </c>
      <c r="BG272" s="182">
        <v>4.0500000000000001E-2</v>
      </c>
      <c r="BH272" s="185">
        <v>247</v>
      </c>
      <c r="BI272" s="184">
        <f t="shared" si="407"/>
        <v>4.0500000000000001E-2</v>
      </c>
      <c r="CW272" s="364"/>
      <c r="CX272" s="316"/>
      <c r="CY272" s="316"/>
      <c r="DA272" s="309">
        <v>271</v>
      </c>
      <c r="DB272" s="313">
        <f t="shared" si="408"/>
        <v>298.63593348614086</v>
      </c>
      <c r="DC272" s="309">
        <f t="shared" si="409"/>
        <v>1</v>
      </c>
      <c r="DD272" s="309">
        <f t="shared" si="410"/>
        <v>260</v>
      </c>
      <c r="DE272" s="308">
        <f t="shared" si="411"/>
        <v>6.5000000000000002E-2</v>
      </c>
      <c r="DF272" s="313">
        <f t="shared" si="426"/>
        <v>271</v>
      </c>
      <c r="DG272" s="313">
        <f t="shared" si="415"/>
        <v>260</v>
      </c>
      <c r="DH272" s="313">
        <f t="shared" si="416"/>
        <v>260</v>
      </c>
      <c r="DI272" s="313">
        <f t="shared" si="417"/>
        <v>0</v>
      </c>
      <c r="DJ272" s="313">
        <f t="shared" si="418"/>
        <v>0</v>
      </c>
      <c r="DK272" s="313">
        <f t="shared" si="427"/>
        <v>65544.517269621676</v>
      </c>
      <c r="DL272" s="313">
        <f t="shared" si="419"/>
        <v>85540</v>
      </c>
      <c r="DM272" s="314">
        <f t="shared" si="420"/>
        <v>18.90570280914724</v>
      </c>
      <c r="DN272" s="312">
        <f t="shared" si="421"/>
        <v>6.976274099316325E-2</v>
      </c>
      <c r="DO272" s="312">
        <f t="shared" si="428"/>
        <v>1</v>
      </c>
      <c r="DP272" s="315">
        <f t="shared" si="412"/>
        <v>6.5000000000000002E-2</v>
      </c>
      <c r="DQ272" s="316">
        <f t="shared" si="422"/>
        <v>0.25</v>
      </c>
      <c r="DR272" s="316">
        <f t="shared" si="423"/>
        <v>71.570754522942522</v>
      </c>
      <c r="DS272" s="314">
        <f t="shared" si="424"/>
        <v>3.7864628060212637</v>
      </c>
      <c r="DT272" s="316">
        <f t="shared" si="425"/>
        <v>71.570754522942522</v>
      </c>
      <c r="DU272" s="314">
        <f t="shared" si="413"/>
        <v>3.7864628060212637</v>
      </c>
      <c r="DV272" s="316">
        <f t="shared" si="429"/>
        <v>82.25</v>
      </c>
      <c r="DW272" s="310">
        <f t="shared" si="414"/>
        <v>4.0121580547112465</v>
      </c>
      <c r="FB272" s="307"/>
      <c r="FC272" s="307"/>
      <c r="FF272" s="307"/>
      <c r="FG272" s="307"/>
      <c r="FH272" s="306"/>
      <c r="FJ272" s="307"/>
      <c r="FK272" s="307"/>
      <c r="FL272" s="306"/>
      <c r="FM272" s="307"/>
      <c r="FN272" s="306"/>
      <c r="FO272" s="307"/>
      <c r="FP272" s="306"/>
    </row>
    <row r="273" spans="29:172">
      <c r="AC273" s="156"/>
      <c r="AI273" s="190">
        <v>254</v>
      </c>
      <c r="AJ273" s="185">
        <v>248</v>
      </c>
      <c r="AK273" s="183">
        <f t="shared" si="402"/>
        <v>254</v>
      </c>
      <c r="AO273" s="182">
        <v>4.0399999999999998E-2</v>
      </c>
      <c r="AP273" s="185">
        <v>248</v>
      </c>
      <c r="AQ273" s="184">
        <f t="shared" si="403"/>
        <v>4.0399999999999998E-2</v>
      </c>
      <c r="AR273" s="190">
        <v>254</v>
      </c>
      <c r="AS273" s="185">
        <v>248</v>
      </c>
      <c r="AT273" s="183">
        <f t="shared" si="404"/>
        <v>254</v>
      </c>
      <c r="AX273" s="182">
        <v>4.0399999999999998E-2</v>
      </c>
      <c r="AY273" s="185">
        <v>248</v>
      </c>
      <c r="AZ273" s="184">
        <f t="shared" si="405"/>
        <v>4.0399999999999998E-2</v>
      </c>
      <c r="BA273" s="190">
        <v>254</v>
      </c>
      <c r="BB273" s="185">
        <v>248</v>
      </c>
      <c r="BC273" s="183">
        <f t="shared" si="406"/>
        <v>254</v>
      </c>
      <c r="BG273" s="182">
        <v>4.0399999999999998E-2</v>
      </c>
      <c r="BH273" s="185">
        <v>248</v>
      </c>
      <c r="BI273" s="184">
        <f t="shared" si="407"/>
        <v>4.0399999999999998E-2</v>
      </c>
      <c r="CW273" s="364"/>
      <c r="CX273" s="316"/>
      <c r="CY273" s="316"/>
      <c r="DA273" s="309">
        <v>272</v>
      </c>
      <c r="DB273" s="313">
        <f t="shared" si="408"/>
        <v>298.99990372040702</v>
      </c>
      <c r="DC273" s="309">
        <f t="shared" si="409"/>
        <v>1</v>
      </c>
      <c r="DD273" s="309">
        <f t="shared" si="410"/>
        <v>260</v>
      </c>
      <c r="DE273" s="308">
        <f t="shared" si="411"/>
        <v>6.5000000000000002E-2</v>
      </c>
      <c r="DF273" s="313">
        <f t="shared" si="426"/>
        <v>272</v>
      </c>
      <c r="DG273" s="313">
        <f t="shared" si="415"/>
        <v>260</v>
      </c>
      <c r="DH273" s="313">
        <f t="shared" si="416"/>
        <v>260</v>
      </c>
      <c r="DI273" s="313">
        <f t="shared" si="417"/>
        <v>0</v>
      </c>
      <c r="DJ273" s="313">
        <f t="shared" si="418"/>
        <v>0</v>
      </c>
      <c r="DK273" s="313">
        <f t="shared" si="427"/>
        <v>65804.517269621676</v>
      </c>
      <c r="DL273" s="313">
        <f t="shared" si="419"/>
        <v>85280</v>
      </c>
      <c r="DM273" s="314">
        <f t="shared" si="420"/>
        <v>18.90570280914724</v>
      </c>
      <c r="DN273" s="312">
        <f t="shared" si="421"/>
        <v>6.9506260327747205E-2</v>
      </c>
      <c r="DO273" s="312">
        <f t="shared" si="428"/>
        <v>1</v>
      </c>
      <c r="DP273" s="315">
        <f t="shared" si="412"/>
        <v>6.5000000000000002E-2</v>
      </c>
      <c r="DQ273" s="316">
        <f t="shared" si="422"/>
        <v>0.25</v>
      </c>
      <c r="DR273" s="316">
        <f t="shared" si="423"/>
        <v>71.820754522942522</v>
      </c>
      <c r="DS273" s="314">
        <f t="shared" si="424"/>
        <v>3.7872061050696972</v>
      </c>
      <c r="DT273" s="316">
        <f t="shared" si="425"/>
        <v>71.820754522942522</v>
      </c>
      <c r="DU273" s="314">
        <f t="shared" si="413"/>
        <v>3.7872061050696972</v>
      </c>
      <c r="DV273" s="316">
        <f t="shared" si="429"/>
        <v>82</v>
      </c>
      <c r="DW273" s="310">
        <f t="shared" si="414"/>
        <v>4.0121951219512191</v>
      </c>
      <c r="FB273" s="307"/>
      <c r="FC273" s="307"/>
      <c r="FF273" s="307"/>
      <c r="FG273" s="307"/>
      <c r="FH273" s="306"/>
      <c r="FJ273" s="307"/>
      <c r="FK273" s="307"/>
      <c r="FL273" s="306"/>
      <c r="FM273" s="307"/>
      <c r="FN273" s="306"/>
      <c r="FO273" s="307"/>
      <c r="FP273" s="306"/>
    </row>
    <row r="274" spans="29:172">
      <c r="AC274" s="156"/>
      <c r="AI274" s="190">
        <v>253</v>
      </c>
      <c r="AJ274" s="185">
        <v>249</v>
      </c>
      <c r="AK274" s="183">
        <f t="shared" si="402"/>
        <v>253</v>
      </c>
      <c r="AO274" s="182">
        <v>4.0300000000000002E-2</v>
      </c>
      <c r="AP274" s="185">
        <v>249</v>
      </c>
      <c r="AQ274" s="184">
        <f t="shared" si="403"/>
        <v>4.0300000000000002E-2</v>
      </c>
      <c r="AR274" s="190">
        <v>253</v>
      </c>
      <c r="AS274" s="185">
        <v>249</v>
      </c>
      <c r="AT274" s="183">
        <f t="shared" si="404"/>
        <v>253</v>
      </c>
      <c r="AX274" s="182">
        <v>4.0300000000000002E-2</v>
      </c>
      <c r="AY274" s="185">
        <v>249</v>
      </c>
      <c r="AZ274" s="184">
        <f t="shared" si="405"/>
        <v>4.0300000000000002E-2</v>
      </c>
      <c r="BA274" s="190">
        <v>253</v>
      </c>
      <c r="BB274" s="185">
        <v>249</v>
      </c>
      <c r="BC274" s="183">
        <f t="shared" si="406"/>
        <v>253</v>
      </c>
      <c r="BG274" s="182">
        <v>4.0300000000000002E-2</v>
      </c>
      <c r="BH274" s="185">
        <v>249</v>
      </c>
      <c r="BI274" s="184">
        <f t="shared" si="407"/>
        <v>4.0300000000000002E-2</v>
      </c>
      <c r="CW274" s="364"/>
      <c r="CX274" s="316"/>
      <c r="CY274" s="316"/>
      <c r="DA274" s="309">
        <v>273</v>
      </c>
      <c r="DB274" s="313">
        <f t="shared" si="408"/>
        <v>299.36387395467324</v>
      </c>
      <c r="DC274" s="309">
        <f t="shared" si="409"/>
        <v>1</v>
      </c>
      <c r="DD274" s="309">
        <f t="shared" si="410"/>
        <v>260</v>
      </c>
      <c r="DE274" s="308">
        <f t="shared" si="411"/>
        <v>6.5000000000000002E-2</v>
      </c>
      <c r="DF274" s="313">
        <f t="shared" si="426"/>
        <v>273</v>
      </c>
      <c r="DG274" s="313">
        <f t="shared" si="415"/>
        <v>260</v>
      </c>
      <c r="DH274" s="313">
        <f t="shared" si="416"/>
        <v>260</v>
      </c>
      <c r="DI274" s="313">
        <f t="shared" si="417"/>
        <v>0</v>
      </c>
      <c r="DJ274" s="313">
        <f t="shared" si="418"/>
        <v>0</v>
      </c>
      <c r="DK274" s="313">
        <f t="shared" si="427"/>
        <v>66064.517269621676</v>
      </c>
      <c r="DL274" s="313">
        <f t="shared" si="419"/>
        <v>85020</v>
      </c>
      <c r="DM274" s="314">
        <f t="shared" si="420"/>
        <v>18.90570280914724</v>
      </c>
      <c r="DN274" s="312">
        <f t="shared" si="421"/>
        <v>6.9251658641564975E-2</v>
      </c>
      <c r="DO274" s="312">
        <f t="shared" si="428"/>
        <v>1</v>
      </c>
      <c r="DP274" s="315">
        <f t="shared" si="412"/>
        <v>6.5000000000000002E-2</v>
      </c>
      <c r="DQ274" s="316">
        <f t="shared" si="422"/>
        <v>0.25</v>
      </c>
      <c r="DR274" s="316">
        <f t="shared" si="423"/>
        <v>72.070754522942522</v>
      </c>
      <c r="DS274" s="314">
        <f t="shared" si="424"/>
        <v>3.7879442473867124</v>
      </c>
      <c r="DT274" s="316">
        <f t="shared" si="425"/>
        <v>72.070754522942522</v>
      </c>
      <c r="DU274" s="314">
        <f t="shared" si="413"/>
        <v>3.7879442473867124</v>
      </c>
      <c r="DV274" s="316">
        <f t="shared" si="429"/>
        <v>81.75</v>
      </c>
      <c r="DW274" s="310">
        <f t="shared" si="414"/>
        <v>4.0122324159021403</v>
      </c>
      <c r="FB274" s="307"/>
      <c r="FC274" s="307"/>
      <c r="FF274" s="307"/>
      <c r="FG274" s="307"/>
      <c r="FH274" s="306"/>
      <c r="FJ274" s="307"/>
      <c r="FK274" s="307"/>
      <c r="FL274" s="306"/>
      <c r="FM274" s="307"/>
      <c r="FN274" s="306"/>
      <c r="FO274" s="307"/>
      <c r="FP274" s="306"/>
    </row>
    <row r="275" spans="29:172">
      <c r="AC275" s="156"/>
      <c r="AI275" s="190">
        <v>252</v>
      </c>
      <c r="AJ275" s="185">
        <v>250</v>
      </c>
      <c r="AK275" s="183">
        <f t="shared" si="402"/>
        <v>252</v>
      </c>
      <c r="AO275" s="182">
        <v>4.02E-2</v>
      </c>
      <c r="AP275" s="185">
        <v>250</v>
      </c>
      <c r="AQ275" s="184">
        <f t="shared" si="403"/>
        <v>4.02E-2</v>
      </c>
      <c r="AR275" s="190">
        <v>252</v>
      </c>
      <c r="AS275" s="185">
        <v>250</v>
      </c>
      <c r="AT275" s="183">
        <f t="shared" si="404"/>
        <v>252</v>
      </c>
      <c r="AX275" s="182">
        <v>4.02E-2</v>
      </c>
      <c r="AY275" s="185">
        <v>250</v>
      </c>
      <c r="AZ275" s="184">
        <f t="shared" si="405"/>
        <v>4.02E-2</v>
      </c>
      <c r="BA275" s="190">
        <v>252</v>
      </c>
      <c r="BB275" s="185">
        <v>250</v>
      </c>
      <c r="BC275" s="183">
        <f t="shared" si="406"/>
        <v>252</v>
      </c>
      <c r="BG275" s="182">
        <v>4.02E-2</v>
      </c>
      <c r="BH275" s="185">
        <v>250</v>
      </c>
      <c r="BI275" s="184">
        <f t="shared" si="407"/>
        <v>4.02E-2</v>
      </c>
      <c r="CW275" s="364"/>
      <c r="CX275" s="316"/>
      <c r="CY275" s="316"/>
      <c r="DA275" s="309">
        <v>274</v>
      </c>
      <c r="DB275" s="313">
        <f t="shared" si="408"/>
        <v>299.72784418893946</v>
      </c>
      <c r="DC275" s="309">
        <f t="shared" si="409"/>
        <v>1</v>
      </c>
      <c r="DD275" s="309">
        <f t="shared" si="410"/>
        <v>260</v>
      </c>
      <c r="DE275" s="308">
        <f t="shared" si="411"/>
        <v>6.5000000000000002E-2</v>
      </c>
      <c r="DF275" s="313">
        <f t="shared" si="426"/>
        <v>274</v>
      </c>
      <c r="DG275" s="313">
        <f t="shared" si="415"/>
        <v>260</v>
      </c>
      <c r="DH275" s="313">
        <f t="shared" si="416"/>
        <v>260</v>
      </c>
      <c r="DI275" s="313">
        <f t="shared" si="417"/>
        <v>0</v>
      </c>
      <c r="DJ275" s="313">
        <f t="shared" si="418"/>
        <v>0</v>
      </c>
      <c r="DK275" s="313">
        <f t="shared" si="427"/>
        <v>66324.517269621676</v>
      </c>
      <c r="DL275" s="313">
        <f t="shared" si="419"/>
        <v>84760</v>
      </c>
      <c r="DM275" s="314">
        <f t="shared" si="420"/>
        <v>18.90570280914724</v>
      </c>
      <c r="DN275" s="312">
        <f t="shared" si="421"/>
        <v>6.8998915361851237E-2</v>
      </c>
      <c r="DO275" s="312">
        <f t="shared" si="428"/>
        <v>1</v>
      </c>
      <c r="DP275" s="315">
        <f t="shared" si="412"/>
        <v>6.5000000000000002E-2</v>
      </c>
      <c r="DQ275" s="316">
        <f t="shared" si="422"/>
        <v>0.25</v>
      </c>
      <c r="DR275" s="316">
        <f t="shared" si="423"/>
        <v>72.320754522942522</v>
      </c>
      <c r="DS275" s="314">
        <f t="shared" si="424"/>
        <v>3.7886772864500218</v>
      </c>
      <c r="DT275" s="316">
        <f t="shared" si="425"/>
        <v>72.320754522942522</v>
      </c>
      <c r="DU275" s="314">
        <f t="shared" si="413"/>
        <v>3.7886772864500218</v>
      </c>
      <c r="DV275" s="316">
        <f t="shared" si="429"/>
        <v>81.5</v>
      </c>
      <c r="DW275" s="310">
        <f t="shared" si="414"/>
        <v>4.0122699386503067</v>
      </c>
      <c r="FB275" s="307"/>
      <c r="FC275" s="307"/>
      <c r="FF275" s="307"/>
      <c r="FG275" s="307"/>
      <c r="FH275" s="306"/>
      <c r="FJ275" s="307"/>
      <c r="FK275" s="307"/>
      <c r="FL275" s="306"/>
      <c r="FM275" s="307"/>
      <c r="FN275" s="306"/>
      <c r="FO275" s="307"/>
      <c r="FP275" s="306"/>
    </row>
    <row r="276" spans="29:172">
      <c r="AC276" s="156"/>
      <c r="AI276" s="190">
        <v>251</v>
      </c>
      <c r="AJ276" s="185">
        <v>251</v>
      </c>
      <c r="AK276" s="183">
        <f t="shared" si="402"/>
        <v>251</v>
      </c>
      <c r="AO276" s="182">
        <v>4.0099999999999997E-2</v>
      </c>
      <c r="AP276" s="185">
        <v>251</v>
      </c>
      <c r="AQ276" s="184">
        <f t="shared" si="403"/>
        <v>4.0099999999999997E-2</v>
      </c>
      <c r="AR276" s="190">
        <v>251</v>
      </c>
      <c r="AS276" s="185">
        <v>251</v>
      </c>
      <c r="AT276" s="183">
        <f t="shared" si="404"/>
        <v>251</v>
      </c>
      <c r="AX276" s="182">
        <v>4.0099999999999997E-2</v>
      </c>
      <c r="AY276" s="185">
        <v>251</v>
      </c>
      <c r="AZ276" s="184">
        <f t="shared" si="405"/>
        <v>4.0099999999999997E-2</v>
      </c>
      <c r="BA276" s="190">
        <v>251</v>
      </c>
      <c r="BB276" s="185">
        <v>251</v>
      </c>
      <c r="BC276" s="183">
        <f t="shared" si="406"/>
        <v>251</v>
      </c>
      <c r="BG276" s="182">
        <v>4.0099999999999997E-2</v>
      </c>
      <c r="BH276" s="185">
        <v>251</v>
      </c>
      <c r="BI276" s="184">
        <f t="shared" si="407"/>
        <v>4.0099999999999997E-2</v>
      </c>
      <c r="CW276" s="364"/>
      <c r="CX276" s="316"/>
      <c r="CY276" s="316"/>
      <c r="DA276" s="309">
        <v>275</v>
      </c>
      <c r="DB276" s="313">
        <f t="shared" si="408"/>
        <v>300.09181442320562</v>
      </c>
      <c r="DC276" s="309">
        <f t="shared" si="409"/>
        <v>1</v>
      </c>
      <c r="DD276" s="309">
        <f t="shared" si="410"/>
        <v>260</v>
      </c>
      <c r="DE276" s="308">
        <f t="shared" si="411"/>
        <v>6.5000000000000002E-2</v>
      </c>
      <c r="DF276" s="313">
        <f t="shared" si="426"/>
        <v>275</v>
      </c>
      <c r="DG276" s="313">
        <f t="shared" si="415"/>
        <v>260</v>
      </c>
      <c r="DH276" s="313">
        <f t="shared" si="416"/>
        <v>260</v>
      </c>
      <c r="DI276" s="313">
        <f t="shared" si="417"/>
        <v>0</v>
      </c>
      <c r="DJ276" s="313">
        <f t="shared" si="418"/>
        <v>0</v>
      </c>
      <c r="DK276" s="313">
        <f t="shared" si="427"/>
        <v>66584.517269621676</v>
      </c>
      <c r="DL276" s="313">
        <f t="shared" si="419"/>
        <v>84500</v>
      </c>
      <c r="DM276" s="314">
        <f t="shared" si="420"/>
        <v>18.90570280914724</v>
      </c>
      <c r="DN276" s="312">
        <f t="shared" si="421"/>
        <v>6.8748010215080868E-2</v>
      </c>
      <c r="DO276" s="312">
        <f t="shared" si="428"/>
        <v>1</v>
      </c>
      <c r="DP276" s="315">
        <f t="shared" si="412"/>
        <v>6.5000000000000002E-2</v>
      </c>
      <c r="DQ276" s="316">
        <f t="shared" si="422"/>
        <v>0.25</v>
      </c>
      <c r="DR276" s="316">
        <f t="shared" si="423"/>
        <v>72.570754522942522</v>
      </c>
      <c r="DS276" s="314">
        <f t="shared" si="424"/>
        <v>3.7894052750004339</v>
      </c>
      <c r="DT276" s="316">
        <f t="shared" si="425"/>
        <v>72.570754522942522</v>
      </c>
      <c r="DU276" s="314">
        <f t="shared" si="413"/>
        <v>3.7894052750004339</v>
      </c>
      <c r="DV276" s="316">
        <f t="shared" si="429"/>
        <v>81.25</v>
      </c>
      <c r="DW276" s="310">
        <f t="shared" si="414"/>
        <v>4.0123076923076919</v>
      </c>
      <c r="FB276" s="307"/>
      <c r="FC276" s="307"/>
      <c r="FF276" s="307"/>
      <c r="FG276" s="307"/>
      <c r="FH276" s="306"/>
      <c r="FJ276" s="307"/>
      <c r="FK276" s="307"/>
      <c r="FL276" s="306"/>
      <c r="FM276" s="307"/>
      <c r="FN276" s="306"/>
      <c r="FO276" s="307"/>
      <c r="FP276" s="306"/>
    </row>
    <row r="277" spans="29:172">
      <c r="AC277" s="156"/>
      <c r="AI277" s="190">
        <v>250</v>
      </c>
      <c r="AJ277" s="185">
        <v>252</v>
      </c>
      <c r="AK277" s="183">
        <f t="shared" si="402"/>
        <v>250</v>
      </c>
      <c r="AO277" s="182">
        <v>0.04</v>
      </c>
      <c r="AP277" s="185">
        <v>252</v>
      </c>
      <c r="AQ277" s="184">
        <f t="shared" si="403"/>
        <v>0.04</v>
      </c>
      <c r="AR277" s="190">
        <v>250</v>
      </c>
      <c r="AS277" s="185">
        <v>252</v>
      </c>
      <c r="AT277" s="183">
        <f t="shared" si="404"/>
        <v>250</v>
      </c>
      <c r="AX277" s="182">
        <v>0.04</v>
      </c>
      <c r="AY277" s="185">
        <v>252</v>
      </c>
      <c r="AZ277" s="184">
        <f t="shared" si="405"/>
        <v>0.04</v>
      </c>
      <c r="BA277" s="190">
        <v>250</v>
      </c>
      <c r="BB277" s="185">
        <v>252</v>
      </c>
      <c r="BC277" s="183">
        <f t="shared" si="406"/>
        <v>250</v>
      </c>
      <c r="BG277" s="182">
        <v>0.04</v>
      </c>
      <c r="BH277" s="185">
        <v>252</v>
      </c>
      <c r="BI277" s="184">
        <f t="shared" si="407"/>
        <v>0.04</v>
      </c>
      <c r="CW277" s="364"/>
      <c r="CX277" s="316"/>
      <c r="CY277" s="316"/>
      <c r="DA277" s="309">
        <v>276</v>
      </c>
      <c r="DB277" s="313">
        <f t="shared" si="408"/>
        <v>300.45578465747184</v>
      </c>
      <c r="DC277" s="309">
        <f t="shared" si="409"/>
        <v>1</v>
      </c>
      <c r="DD277" s="309">
        <f t="shared" si="410"/>
        <v>260</v>
      </c>
      <c r="DE277" s="308">
        <f t="shared" si="411"/>
        <v>6.5000000000000002E-2</v>
      </c>
      <c r="DF277" s="313">
        <f t="shared" si="426"/>
        <v>276</v>
      </c>
      <c r="DG277" s="313">
        <f t="shared" si="415"/>
        <v>260</v>
      </c>
      <c r="DH277" s="313">
        <f t="shared" si="416"/>
        <v>260</v>
      </c>
      <c r="DI277" s="313">
        <f t="shared" si="417"/>
        <v>0</v>
      </c>
      <c r="DJ277" s="313">
        <f t="shared" si="418"/>
        <v>0</v>
      </c>
      <c r="DK277" s="313">
        <f t="shared" si="427"/>
        <v>66844.517269621676</v>
      </c>
      <c r="DL277" s="313">
        <f t="shared" si="419"/>
        <v>84240</v>
      </c>
      <c r="DM277" s="314">
        <f t="shared" si="420"/>
        <v>18.90570280914724</v>
      </c>
      <c r="DN277" s="312">
        <f t="shared" si="421"/>
        <v>6.8498923221547964E-2</v>
      </c>
      <c r="DO277" s="312">
        <f t="shared" si="428"/>
        <v>1</v>
      </c>
      <c r="DP277" s="315">
        <f t="shared" si="412"/>
        <v>6.5000000000000002E-2</v>
      </c>
      <c r="DQ277" s="316">
        <f t="shared" si="422"/>
        <v>0.25</v>
      </c>
      <c r="DR277" s="316">
        <f t="shared" si="423"/>
        <v>72.820754522942522</v>
      </c>
      <c r="DS277" s="314">
        <f t="shared" si="424"/>
        <v>3.790128265054503</v>
      </c>
      <c r="DT277" s="316">
        <f t="shared" si="425"/>
        <v>72.820754522942522</v>
      </c>
      <c r="DU277" s="314">
        <f t="shared" si="413"/>
        <v>3.790128265054503</v>
      </c>
      <c r="DV277" s="316">
        <f t="shared" si="429"/>
        <v>81</v>
      </c>
      <c r="DW277" s="310">
        <f t="shared" si="414"/>
        <v>4.0123456790123457</v>
      </c>
      <c r="FB277" s="307"/>
      <c r="FC277" s="307"/>
      <c r="FF277" s="307"/>
      <c r="FG277" s="307"/>
      <c r="FH277" s="306"/>
      <c r="FJ277" s="307"/>
      <c r="FK277" s="307"/>
      <c r="FL277" s="306"/>
      <c r="FM277" s="307"/>
      <c r="FN277" s="306"/>
      <c r="FO277" s="307"/>
      <c r="FP277" s="306"/>
    </row>
    <row r="278" spans="29:172">
      <c r="AC278" s="156"/>
      <c r="AI278" s="190">
        <v>249</v>
      </c>
      <c r="AJ278" s="185">
        <v>253</v>
      </c>
      <c r="AK278" s="183">
        <f t="shared" si="402"/>
        <v>249</v>
      </c>
      <c r="AO278" s="182">
        <v>3.9899999999999998E-2</v>
      </c>
      <c r="AP278" s="185">
        <v>253</v>
      </c>
      <c r="AQ278" s="184">
        <f t="shared" si="403"/>
        <v>3.9899999999999998E-2</v>
      </c>
      <c r="AR278" s="190">
        <v>249</v>
      </c>
      <c r="AS278" s="185">
        <v>253</v>
      </c>
      <c r="AT278" s="183">
        <f t="shared" si="404"/>
        <v>249</v>
      </c>
      <c r="AX278" s="182">
        <v>3.9899999999999998E-2</v>
      </c>
      <c r="AY278" s="185">
        <v>253</v>
      </c>
      <c r="AZ278" s="184">
        <f t="shared" si="405"/>
        <v>3.9899999999999998E-2</v>
      </c>
      <c r="BA278" s="190">
        <v>249</v>
      </c>
      <c r="BB278" s="185">
        <v>253</v>
      </c>
      <c r="BC278" s="183">
        <f t="shared" si="406"/>
        <v>249</v>
      </c>
      <c r="BG278" s="182">
        <v>3.9899999999999998E-2</v>
      </c>
      <c r="BH278" s="185">
        <v>253</v>
      </c>
      <c r="BI278" s="184">
        <f t="shared" si="407"/>
        <v>3.9899999999999998E-2</v>
      </c>
      <c r="CW278" s="364"/>
      <c r="CX278" s="316"/>
      <c r="CY278" s="316"/>
      <c r="DA278" s="309">
        <v>277</v>
      </c>
      <c r="DB278" s="313">
        <f t="shared" si="408"/>
        <v>300.81975489173806</v>
      </c>
      <c r="DC278" s="309">
        <f t="shared" si="409"/>
        <v>1</v>
      </c>
      <c r="DD278" s="309">
        <f t="shared" si="410"/>
        <v>260</v>
      </c>
      <c r="DE278" s="308">
        <f t="shared" si="411"/>
        <v>6.5000000000000002E-2</v>
      </c>
      <c r="DF278" s="313">
        <f t="shared" si="426"/>
        <v>277</v>
      </c>
      <c r="DG278" s="313">
        <f t="shared" si="415"/>
        <v>260</v>
      </c>
      <c r="DH278" s="313">
        <f t="shared" si="416"/>
        <v>260</v>
      </c>
      <c r="DI278" s="313">
        <f t="shared" si="417"/>
        <v>0</v>
      </c>
      <c r="DJ278" s="313">
        <f t="shared" si="418"/>
        <v>0</v>
      </c>
      <c r="DK278" s="313">
        <f t="shared" si="427"/>
        <v>67104.517269621676</v>
      </c>
      <c r="DL278" s="313">
        <f t="shared" si="419"/>
        <v>83980</v>
      </c>
      <c r="DM278" s="314">
        <f t="shared" si="420"/>
        <v>18.90570280914724</v>
      </c>
      <c r="DN278" s="312">
        <f t="shared" si="421"/>
        <v>6.8251634690062235E-2</v>
      </c>
      <c r="DO278" s="312">
        <f t="shared" si="428"/>
        <v>1</v>
      </c>
      <c r="DP278" s="315">
        <f t="shared" si="412"/>
        <v>6.5000000000000002E-2</v>
      </c>
      <c r="DQ278" s="316">
        <f t="shared" si="422"/>
        <v>0.25</v>
      </c>
      <c r="DR278" s="316">
        <f t="shared" si="423"/>
        <v>73.070754522942522</v>
      </c>
      <c r="DS278" s="314">
        <f t="shared" si="424"/>
        <v>3.7908463079169166</v>
      </c>
      <c r="DT278" s="316">
        <f t="shared" si="425"/>
        <v>73.070754522942522</v>
      </c>
      <c r="DU278" s="314">
        <f t="shared" si="413"/>
        <v>3.7908463079169166</v>
      </c>
      <c r="DV278" s="316">
        <f t="shared" si="429"/>
        <v>80.75</v>
      </c>
      <c r="DW278" s="310">
        <f t="shared" si="414"/>
        <v>4.0123839009287927</v>
      </c>
      <c r="FB278" s="307"/>
      <c r="FC278" s="307"/>
      <c r="FF278" s="307"/>
      <c r="FG278" s="307"/>
      <c r="FH278" s="306"/>
      <c r="FJ278" s="307"/>
      <c r="FK278" s="307"/>
      <c r="FL278" s="306"/>
      <c r="FM278" s="307"/>
      <c r="FN278" s="306"/>
      <c r="FO278" s="307"/>
      <c r="FP278" s="306"/>
    </row>
    <row r="279" spans="29:172">
      <c r="AC279" s="156"/>
      <c r="AI279" s="190">
        <v>248</v>
      </c>
      <c r="AJ279" s="185">
        <v>254</v>
      </c>
      <c r="AK279" s="183">
        <f t="shared" si="402"/>
        <v>248</v>
      </c>
      <c r="AO279" s="182">
        <v>3.9800000000000002E-2</v>
      </c>
      <c r="AP279" s="185">
        <v>254</v>
      </c>
      <c r="AQ279" s="184">
        <f t="shared" si="403"/>
        <v>3.9800000000000002E-2</v>
      </c>
      <c r="AR279" s="190">
        <v>248</v>
      </c>
      <c r="AS279" s="185">
        <v>254</v>
      </c>
      <c r="AT279" s="183">
        <f t="shared" si="404"/>
        <v>248</v>
      </c>
      <c r="AX279" s="182">
        <v>3.9800000000000002E-2</v>
      </c>
      <c r="AY279" s="185">
        <v>254</v>
      </c>
      <c r="AZ279" s="184">
        <f t="shared" si="405"/>
        <v>3.9800000000000002E-2</v>
      </c>
      <c r="BA279" s="190">
        <v>248</v>
      </c>
      <c r="BB279" s="185">
        <v>254</v>
      </c>
      <c r="BC279" s="183">
        <f t="shared" si="406"/>
        <v>248</v>
      </c>
      <c r="BG279" s="182">
        <v>3.9800000000000002E-2</v>
      </c>
      <c r="BH279" s="185">
        <v>254</v>
      </c>
      <c r="BI279" s="184">
        <f t="shared" si="407"/>
        <v>3.9800000000000002E-2</v>
      </c>
      <c r="CW279" s="364"/>
      <c r="CX279" s="316"/>
      <c r="CY279" s="316"/>
      <c r="DA279" s="309">
        <v>278</v>
      </c>
      <c r="DB279" s="313">
        <f t="shared" si="408"/>
        <v>301.18372512600422</v>
      </c>
      <c r="DC279" s="309">
        <f t="shared" si="409"/>
        <v>1</v>
      </c>
      <c r="DD279" s="309">
        <f t="shared" si="410"/>
        <v>260</v>
      </c>
      <c r="DE279" s="308">
        <f t="shared" si="411"/>
        <v>6.5000000000000002E-2</v>
      </c>
      <c r="DF279" s="313">
        <f t="shared" si="426"/>
        <v>278</v>
      </c>
      <c r="DG279" s="313">
        <f t="shared" si="415"/>
        <v>260</v>
      </c>
      <c r="DH279" s="313">
        <f t="shared" si="416"/>
        <v>260</v>
      </c>
      <c r="DI279" s="313">
        <f t="shared" si="417"/>
        <v>0</v>
      </c>
      <c r="DJ279" s="313">
        <f t="shared" si="418"/>
        <v>0</v>
      </c>
      <c r="DK279" s="313">
        <f t="shared" si="427"/>
        <v>67364.517269621676</v>
      </c>
      <c r="DL279" s="313">
        <f t="shared" si="419"/>
        <v>83720</v>
      </c>
      <c r="DM279" s="314">
        <f t="shared" si="420"/>
        <v>18.90570280914724</v>
      </c>
      <c r="DN279" s="312">
        <f t="shared" si="421"/>
        <v>6.8006125212759852E-2</v>
      </c>
      <c r="DO279" s="312">
        <f t="shared" si="428"/>
        <v>1</v>
      </c>
      <c r="DP279" s="315">
        <f t="shared" si="412"/>
        <v>6.5000000000000002E-2</v>
      </c>
      <c r="DQ279" s="316">
        <f t="shared" si="422"/>
        <v>0.25</v>
      </c>
      <c r="DR279" s="316">
        <f t="shared" si="423"/>
        <v>73.320754522942522</v>
      </c>
      <c r="DS279" s="314">
        <f t="shared" si="424"/>
        <v>3.7915594541926332</v>
      </c>
      <c r="DT279" s="316">
        <f t="shared" si="425"/>
        <v>73.320754522942522</v>
      </c>
      <c r="DU279" s="314">
        <f t="shared" si="413"/>
        <v>3.7915594541926332</v>
      </c>
      <c r="DV279" s="316">
        <f t="shared" si="429"/>
        <v>80.5</v>
      </c>
      <c r="DW279" s="310">
        <f t="shared" si="414"/>
        <v>4.012422360248447</v>
      </c>
      <c r="FB279" s="307"/>
      <c r="FC279" s="307"/>
      <c r="FF279" s="307"/>
      <c r="FG279" s="307"/>
      <c r="FH279" s="306"/>
      <c r="FJ279" s="307"/>
      <c r="FK279" s="307"/>
      <c r="FL279" s="306"/>
      <c r="FM279" s="307"/>
      <c r="FN279" s="306"/>
      <c r="FO279" s="307"/>
      <c r="FP279" s="306"/>
    </row>
    <row r="280" spans="29:172">
      <c r="AC280" s="156"/>
      <c r="AI280" s="190">
        <v>247</v>
      </c>
      <c r="AJ280" s="185">
        <v>255</v>
      </c>
      <c r="AK280" s="183">
        <f t="shared" si="402"/>
        <v>247</v>
      </c>
      <c r="AO280" s="182">
        <v>3.9699999999999999E-2</v>
      </c>
      <c r="AP280" s="185">
        <v>255</v>
      </c>
      <c r="AQ280" s="184">
        <f t="shared" si="403"/>
        <v>3.9699999999999999E-2</v>
      </c>
      <c r="AR280" s="190">
        <v>247</v>
      </c>
      <c r="AS280" s="185">
        <v>255</v>
      </c>
      <c r="AT280" s="183">
        <f t="shared" si="404"/>
        <v>247</v>
      </c>
      <c r="AX280" s="182">
        <v>3.9699999999999999E-2</v>
      </c>
      <c r="AY280" s="185">
        <v>255</v>
      </c>
      <c r="AZ280" s="184">
        <f t="shared" si="405"/>
        <v>3.9699999999999999E-2</v>
      </c>
      <c r="BA280" s="190">
        <v>247</v>
      </c>
      <c r="BB280" s="185">
        <v>255</v>
      </c>
      <c r="BC280" s="183">
        <f t="shared" si="406"/>
        <v>247</v>
      </c>
      <c r="BG280" s="182">
        <v>3.9699999999999999E-2</v>
      </c>
      <c r="BH280" s="185">
        <v>255</v>
      </c>
      <c r="BI280" s="184">
        <f t="shared" si="407"/>
        <v>3.9699999999999999E-2</v>
      </c>
      <c r="CW280" s="364"/>
      <c r="CX280" s="316"/>
      <c r="CY280" s="316"/>
      <c r="DA280" s="309">
        <v>279</v>
      </c>
      <c r="DB280" s="313">
        <f t="shared" si="408"/>
        <v>301.54769536027044</v>
      </c>
      <c r="DC280" s="309">
        <f t="shared" si="409"/>
        <v>1</v>
      </c>
      <c r="DD280" s="309">
        <f t="shared" si="410"/>
        <v>260</v>
      </c>
      <c r="DE280" s="308">
        <f t="shared" si="411"/>
        <v>6.5000000000000002E-2</v>
      </c>
      <c r="DF280" s="313">
        <f t="shared" si="426"/>
        <v>279</v>
      </c>
      <c r="DG280" s="313">
        <f t="shared" si="415"/>
        <v>260</v>
      </c>
      <c r="DH280" s="313">
        <f t="shared" si="416"/>
        <v>260</v>
      </c>
      <c r="DI280" s="313">
        <f t="shared" si="417"/>
        <v>0</v>
      </c>
      <c r="DJ280" s="313">
        <f t="shared" si="418"/>
        <v>0</v>
      </c>
      <c r="DK280" s="313">
        <f t="shared" si="427"/>
        <v>67624.517269621676</v>
      </c>
      <c r="DL280" s="313">
        <f t="shared" si="419"/>
        <v>83460</v>
      </c>
      <c r="DM280" s="314">
        <f t="shared" si="420"/>
        <v>18.90570280914724</v>
      </c>
      <c r="DN280" s="312">
        <f t="shared" si="421"/>
        <v>6.776237566002595E-2</v>
      </c>
      <c r="DO280" s="312">
        <f t="shared" si="428"/>
        <v>1</v>
      </c>
      <c r="DP280" s="315">
        <f t="shared" si="412"/>
        <v>6.5000000000000002E-2</v>
      </c>
      <c r="DQ280" s="316">
        <f t="shared" si="422"/>
        <v>0.25</v>
      </c>
      <c r="DR280" s="316">
        <f t="shared" si="423"/>
        <v>73.570754522942522</v>
      </c>
      <c r="DS280" s="314">
        <f t="shared" si="424"/>
        <v>3.7922677537987708</v>
      </c>
      <c r="DT280" s="316">
        <f t="shared" si="425"/>
        <v>73.570754522942522</v>
      </c>
      <c r="DU280" s="314">
        <f t="shared" si="413"/>
        <v>3.7922677537987708</v>
      </c>
      <c r="DV280" s="316">
        <f t="shared" si="429"/>
        <v>80.25</v>
      </c>
      <c r="DW280" s="310">
        <f t="shared" si="414"/>
        <v>4.0124610591900307</v>
      </c>
      <c r="FB280" s="307"/>
      <c r="FC280" s="307"/>
      <c r="FF280" s="307"/>
      <c r="FG280" s="307"/>
      <c r="FH280" s="306"/>
      <c r="FJ280" s="307"/>
      <c r="FK280" s="307"/>
      <c r="FL280" s="306"/>
      <c r="FM280" s="307"/>
      <c r="FN280" s="306"/>
      <c r="FO280" s="307"/>
      <c r="FP280" s="306"/>
    </row>
    <row r="281" spans="29:172">
      <c r="AC281" s="156"/>
      <c r="AI281" s="190">
        <v>246</v>
      </c>
      <c r="AJ281" s="185">
        <v>256</v>
      </c>
      <c r="AK281" s="183">
        <f t="shared" si="402"/>
        <v>246</v>
      </c>
      <c r="AO281" s="182">
        <v>3.9600000000000003E-2</v>
      </c>
      <c r="AP281" s="185">
        <v>256</v>
      </c>
      <c r="AQ281" s="184">
        <f t="shared" si="403"/>
        <v>3.9600000000000003E-2</v>
      </c>
      <c r="AR281" s="190">
        <v>246</v>
      </c>
      <c r="AS281" s="185">
        <v>256</v>
      </c>
      <c r="AT281" s="183">
        <f t="shared" si="404"/>
        <v>246</v>
      </c>
      <c r="AX281" s="182">
        <v>3.9600000000000003E-2</v>
      </c>
      <c r="AY281" s="185">
        <v>256</v>
      </c>
      <c r="AZ281" s="184">
        <f t="shared" si="405"/>
        <v>3.9600000000000003E-2</v>
      </c>
      <c r="BA281" s="190">
        <v>246</v>
      </c>
      <c r="BB281" s="185">
        <v>256</v>
      </c>
      <c r="BC281" s="183">
        <f t="shared" si="406"/>
        <v>246</v>
      </c>
      <c r="BG281" s="182">
        <v>3.9600000000000003E-2</v>
      </c>
      <c r="BH281" s="185">
        <v>256</v>
      </c>
      <c r="BI281" s="184">
        <f t="shared" si="407"/>
        <v>3.9600000000000003E-2</v>
      </c>
      <c r="CW281" s="364"/>
      <c r="CX281" s="316"/>
      <c r="CY281" s="316"/>
      <c r="DA281" s="309">
        <v>280</v>
      </c>
      <c r="DB281" s="313">
        <f t="shared" si="408"/>
        <v>301.91166559453666</v>
      </c>
      <c r="DC281" s="309">
        <f t="shared" si="409"/>
        <v>1</v>
      </c>
      <c r="DD281" s="309">
        <f t="shared" si="410"/>
        <v>260</v>
      </c>
      <c r="DE281" s="308">
        <f t="shared" si="411"/>
        <v>6.5000000000000002E-2</v>
      </c>
      <c r="DF281" s="313">
        <f t="shared" si="426"/>
        <v>280</v>
      </c>
      <c r="DG281" s="313">
        <f t="shared" si="415"/>
        <v>260</v>
      </c>
      <c r="DH281" s="313">
        <f t="shared" si="416"/>
        <v>260</v>
      </c>
      <c r="DI281" s="313">
        <f t="shared" si="417"/>
        <v>0</v>
      </c>
      <c r="DJ281" s="313">
        <f t="shared" si="418"/>
        <v>0</v>
      </c>
      <c r="DK281" s="313">
        <f t="shared" si="427"/>
        <v>67884.517269621676</v>
      </c>
      <c r="DL281" s="313">
        <f t="shared" si="419"/>
        <v>83200</v>
      </c>
      <c r="DM281" s="314">
        <f t="shared" si="420"/>
        <v>18.90570280914724</v>
      </c>
      <c r="DN281" s="312">
        <f t="shared" si="421"/>
        <v>6.7520367175525856E-2</v>
      </c>
      <c r="DO281" s="312">
        <f t="shared" si="428"/>
        <v>1</v>
      </c>
      <c r="DP281" s="315">
        <f t="shared" si="412"/>
        <v>6.5000000000000002E-2</v>
      </c>
      <c r="DQ281" s="316">
        <f t="shared" si="422"/>
        <v>0.25</v>
      </c>
      <c r="DR281" s="316">
        <f t="shared" si="423"/>
        <v>73.820754522942522</v>
      </c>
      <c r="DS281" s="314">
        <f t="shared" si="424"/>
        <v>3.7929712559762536</v>
      </c>
      <c r="DT281" s="316">
        <f t="shared" si="425"/>
        <v>73.820754522942522</v>
      </c>
      <c r="DU281" s="314">
        <f t="shared" si="413"/>
        <v>3.7929712559762536</v>
      </c>
      <c r="DV281" s="316">
        <f t="shared" si="429"/>
        <v>80</v>
      </c>
      <c r="DW281" s="310">
        <f t="shared" si="414"/>
        <v>4.0125000000000002</v>
      </c>
      <c r="FB281" s="307"/>
      <c r="FC281" s="307"/>
      <c r="FF281" s="307"/>
      <c r="FG281" s="307"/>
      <c r="FH281" s="306"/>
      <c r="FJ281" s="307"/>
      <c r="FK281" s="307"/>
      <c r="FL281" s="306"/>
      <c r="FM281" s="307"/>
      <c r="FN281" s="306"/>
      <c r="FO281" s="307"/>
      <c r="FP281" s="306"/>
    </row>
    <row r="282" spans="29:172">
      <c r="AC282" s="156"/>
      <c r="AI282" s="190">
        <v>245</v>
      </c>
      <c r="AJ282" s="185">
        <v>257</v>
      </c>
      <c r="AK282" s="183">
        <f t="shared" si="402"/>
        <v>245</v>
      </c>
      <c r="AO282" s="182">
        <v>3.95E-2</v>
      </c>
      <c r="AP282" s="185">
        <v>257</v>
      </c>
      <c r="AQ282" s="184">
        <f t="shared" si="403"/>
        <v>3.95E-2</v>
      </c>
      <c r="AR282" s="190">
        <v>245</v>
      </c>
      <c r="AS282" s="185">
        <v>257</v>
      </c>
      <c r="AT282" s="183">
        <f t="shared" si="404"/>
        <v>245</v>
      </c>
      <c r="AX282" s="182">
        <v>3.95E-2</v>
      </c>
      <c r="AY282" s="185">
        <v>257</v>
      </c>
      <c r="AZ282" s="184">
        <f t="shared" si="405"/>
        <v>3.95E-2</v>
      </c>
      <c r="BA282" s="190">
        <v>245</v>
      </c>
      <c r="BB282" s="185">
        <v>257</v>
      </c>
      <c r="BC282" s="183">
        <f t="shared" si="406"/>
        <v>245</v>
      </c>
      <c r="BG282" s="182">
        <v>3.95E-2</v>
      </c>
      <c r="BH282" s="185">
        <v>257</v>
      </c>
      <c r="BI282" s="184">
        <f t="shared" si="407"/>
        <v>3.95E-2</v>
      </c>
      <c r="CW282" s="364"/>
      <c r="CX282" s="316"/>
      <c r="CY282" s="316"/>
      <c r="DA282" s="309">
        <v>281</v>
      </c>
      <c r="DB282" s="313">
        <f t="shared" si="408"/>
        <v>302.27563582880288</v>
      </c>
      <c r="DC282" s="309">
        <f t="shared" si="409"/>
        <v>1</v>
      </c>
      <c r="DD282" s="309">
        <f t="shared" si="410"/>
        <v>260</v>
      </c>
      <c r="DE282" s="308">
        <f t="shared" si="411"/>
        <v>6.5000000000000002E-2</v>
      </c>
      <c r="DF282" s="313">
        <f t="shared" si="426"/>
        <v>281</v>
      </c>
      <c r="DG282" s="313">
        <f t="shared" si="415"/>
        <v>260</v>
      </c>
      <c r="DH282" s="313">
        <f t="shared" si="416"/>
        <v>260</v>
      </c>
      <c r="DI282" s="313">
        <f t="shared" si="417"/>
        <v>0</v>
      </c>
      <c r="DJ282" s="313">
        <f t="shared" si="418"/>
        <v>0</v>
      </c>
      <c r="DK282" s="313">
        <f t="shared" si="427"/>
        <v>68144.517269621676</v>
      </c>
      <c r="DL282" s="313">
        <f t="shared" si="419"/>
        <v>82940</v>
      </c>
      <c r="DM282" s="314">
        <f t="shared" si="420"/>
        <v>18.90570280914724</v>
      </c>
      <c r="DN282" s="312">
        <f t="shared" si="421"/>
        <v>6.7280081171342487E-2</v>
      </c>
      <c r="DO282" s="312">
        <f t="shared" si="428"/>
        <v>1</v>
      </c>
      <c r="DP282" s="315">
        <f t="shared" si="412"/>
        <v>6.5000000000000002E-2</v>
      </c>
      <c r="DQ282" s="316">
        <f t="shared" si="422"/>
        <v>0.25</v>
      </c>
      <c r="DR282" s="316">
        <f t="shared" si="423"/>
        <v>74.070754522942522</v>
      </c>
      <c r="DS282" s="314">
        <f t="shared" si="424"/>
        <v>3.7936700093012234</v>
      </c>
      <c r="DT282" s="316">
        <f t="shared" si="425"/>
        <v>74.070754522942522</v>
      </c>
      <c r="DU282" s="314">
        <f t="shared" si="413"/>
        <v>3.7936700093012234</v>
      </c>
      <c r="DV282" s="316">
        <f t="shared" si="429"/>
        <v>79.75</v>
      </c>
      <c r="DW282" s="310">
        <f t="shared" si="414"/>
        <v>4.0125391849529777</v>
      </c>
      <c r="FB282" s="307"/>
      <c r="FC282" s="307"/>
      <c r="FF282" s="307"/>
      <c r="FG282" s="307"/>
      <c r="FH282" s="306"/>
      <c r="FJ282" s="307"/>
      <c r="FK282" s="307"/>
      <c r="FL282" s="306"/>
      <c r="FM282" s="307"/>
      <c r="FN282" s="306"/>
      <c r="FO282" s="307"/>
      <c r="FP282" s="306"/>
    </row>
    <row r="283" spans="29:172">
      <c r="AC283" s="156"/>
      <c r="AI283" s="190">
        <v>244</v>
      </c>
      <c r="AJ283" s="185">
        <v>258</v>
      </c>
      <c r="AK283" s="183">
        <f t="shared" ref="AK283:AK346" si="430">AI283</f>
        <v>244</v>
      </c>
      <c r="AO283" s="182">
        <v>3.9399999999999998E-2</v>
      </c>
      <c r="AP283" s="185">
        <v>258</v>
      </c>
      <c r="AQ283" s="184">
        <f t="shared" ref="AQ283:AQ346" si="431">AO283</f>
        <v>3.9399999999999998E-2</v>
      </c>
      <c r="AR283" s="190">
        <v>244</v>
      </c>
      <c r="AS283" s="185">
        <v>258</v>
      </c>
      <c r="AT283" s="183">
        <f t="shared" ref="AT283:AT346" si="432">AR283</f>
        <v>244</v>
      </c>
      <c r="AX283" s="182">
        <v>3.9399999999999998E-2</v>
      </c>
      <c r="AY283" s="185">
        <v>258</v>
      </c>
      <c r="AZ283" s="184">
        <f t="shared" ref="AZ283:AZ346" si="433">AX283</f>
        <v>3.9399999999999998E-2</v>
      </c>
      <c r="BA283" s="190">
        <v>244</v>
      </c>
      <c r="BB283" s="185">
        <v>258</v>
      </c>
      <c r="BC283" s="183">
        <f t="shared" ref="BC283:BC346" si="434">BA283</f>
        <v>244</v>
      </c>
      <c r="BG283" s="182">
        <v>3.9399999999999998E-2</v>
      </c>
      <c r="BH283" s="185">
        <v>258</v>
      </c>
      <c r="BI283" s="184">
        <f t="shared" ref="BI283:BI346" si="435">BG283</f>
        <v>3.9399999999999998E-2</v>
      </c>
      <c r="CW283" s="364"/>
      <c r="CX283" s="316"/>
      <c r="CY283" s="316"/>
      <c r="DA283" s="309">
        <v>282</v>
      </c>
      <c r="DB283" s="313">
        <f t="shared" si="408"/>
        <v>302.6396060630691</v>
      </c>
      <c r="DC283" s="309">
        <f t="shared" si="409"/>
        <v>1</v>
      </c>
      <c r="DD283" s="309">
        <f t="shared" si="410"/>
        <v>260</v>
      </c>
      <c r="DE283" s="308">
        <f t="shared" si="411"/>
        <v>6.5000000000000002E-2</v>
      </c>
      <c r="DF283" s="313">
        <f t="shared" si="426"/>
        <v>282</v>
      </c>
      <c r="DG283" s="313">
        <f t="shared" si="415"/>
        <v>260</v>
      </c>
      <c r="DH283" s="313">
        <f t="shared" si="416"/>
        <v>260</v>
      </c>
      <c r="DI283" s="313">
        <f t="shared" si="417"/>
        <v>0</v>
      </c>
      <c r="DJ283" s="313">
        <f t="shared" si="418"/>
        <v>0</v>
      </c>
      <c r="DK283" s="313">
        <f t="shared" si="427"/>
        <v>68404.517269621676</v>
      </c>
      <c r="DL283" s="313">
        <f t="shared" si="419"/>
        <v>82680</v>
      </c>
      <c r="DM283" s="314">
        <f t="shared" si="420"/>
        <v>18.90570280914724</v>
      </c>
      <c r="DN283" s="312">
        <f t="shared" si="421"/>
        <v>6.7041499323217166E-2</v>
      </c>
      <c r="DO283" s="312">
        <f t="shared" si="428"/>
        <v>1</v>
      </c>
      <c r="DP283" s="315">
        <f t="shared" si="412"/>
        <v>6.5000000000000002E-2</v>
      </c>
      <c r="DQ283" s="316">
        <f t="shared" si="422"/>
        <v>0.25</v>
      </c>
      <c r="DR283" s="316">
        <f t="shared" si="423"/>
        <v>74.320754522942522</v>
      </c>
      <c r="DS283" s="314">
        <f t="shared" si="424"/>
        <v>3.7943640616962213</v>
      </c>
      <c r="DT283" s="316">
        <f t="shared" si="425"/>
        <v>74.320754522942522</v>
      </c>
      <c r="DU283" s="314">
        <f t="shared" si="413"/>
        <v>3.7943640616962213</v>
      </c>
      <c r="DV283" s="316">
        <f t="shared" si="429"/>
        <v>79.5</v>
      </c>
      <c r="DW283" s="310">
        <f t="shared" si="414"/>
        <v>4.0125786163522017</v>
      </c>
      <c r="FB283" s="307"/>
      <c r="FC283" s="307"/>
      <c r="FF283" s="307"/>
      <c r="FG283" s="307"/>
      <c r="FH283" s="306"/>
      <c r="FJ283" s="307"/>
      <c r="FK283" s="307"/>
      <c r="FL283" s="306"/>
      <c r="FM283" s="307"/>
      <c r="FN283" s="306"/>
      <c r="FO283" s="307"/>
      <c r="FP283" s="306"/>
    </row>
    <row r="284" spans="29:172">
      <c r="AC284" s="156"/>
      <c r="AI284" s="190">
        <v>243</v>
      </c>
      <c r="AJ284" s="185">
        <v>259</v>
      </c>
      <c r="AK284" s="183">
        <f t="shared" si="430"/>
        <v>243</v>
      </c>
      <c r="AO284" s="182">
        <v>3.9300000000000002E-2</v>
      </c>
      <c r="AP284" s="185">
        <v>259</v>
      </c>
      <c r="AQ284" s="184">
        <f t="shared" si="431"/>
        <v>3.9300000000000002E-2</v>
      </c>
      <c r="AR284" s="190">
        <v>243</v>
      </c>
      <c r="AS284" s="185">
        <v>259</v>
      </c>
      <c r="AT284" s="183">
        <f t="shared" si="432"/>
        <v>243</v>
      </c>
      <c r="AX284" s="182">
        <v>3.9300000000000002E-2</v>
      </c>
      <c r="AY284" s="185">
        <v>259</v>
      </c>
      <c r="AZ284" s="184">
        <f t="shared" si="433"/>
        <v>3.9300000000000002E-2</v>
      </c>
      <c r="BA284" s="190">
        <v>243</v>
      </c>
      <c r="BB284" s="185">
        <v>259</v>
      </c>
      <c r="BC284" s="183">
        <f t="shared" si="434"/>
        <v>243</v>
      </c>
      <c r="BG284" s="182">
        <v>3.9300000000000002E-2</v>
      </c>
      <c r="BH284" s="185">
        <v>259</v>
      </c>
      <c r="BI284" s="184">
        <f t="shared" si="435"/>
        <v>3.9300000000000002E-2</v>
      </c>
      <c r="CW284" s="364"/>
      <c r="CX284" s="316"/>
      <c r="CY284" s="316"/>
      <c r="DA284" s="309">
        <v>283</v>
      </c>
      <c r="DB284" s="313">
        <f t="shared" si="408"/>
        <v>303.00357629733526</v>
      </c>
      <c r="DC284" s="309">
        <f t="shared" si="409"/>
        <v>1</v>
      </c>
      <c r="DD284" s="309">
        <f t="shared" si="410"/>
        <v>260</v>
      </c>
      <c r="DE284" s="308">
        <f t="shared" si="411"/>
        <v>6.5000000000000002E-2</v>
      </c>
      <c r="DF284" s="313">
        <f t="shared" si="426"/>
        <v>283</v>
      </c>
      <c r="DG284" s="313">
        <f t="shared" si="415"/>
        <v>260</v>
      </c>
      <c r="DH284" s="313">
        <f t="shared" si="416"/>
        <v>260</v>
      </c>
      <c r="DI284" s="313">
        <f t="shared" si="417"/>
        <v>0</v>
      </c>
      <c r="DJ284" s="313">
        <f t="shared" si="418"/>
        <v>0</v>
      </c>
      <c r="DK284" s="313">
        <f t="shared" si="427"/>
        <v>68664.517269621676</v>
      </c>
      <c r="DL284" s="313">
        <f t="shared" si="419"/>
        <v>82420</v>
      </c>
      <c r="DM284" s="314">
        <f t="shared" si="420"/>
        <v>18.90570280914724</v>
      </c>
      <c r="DN284" s="312">
        <f t="shared" si="421"/>
        <v>6.680460356589131E-2</v>
      </c>
      <c r="DO284" s="312">
        <f t="shared" si="428"/>
        <v>1</v>
      </c>
      <c r="DP284" s="315">
        <f t="shared" si="412"/>
        <v>6.5000000000000002E-2</v>
      </c>
      <c r="DQ284" s="316">
        <f t="shared" si="422"/>
        <v>0.25</v>
      </c>
      <c r="DR284" s="316">
        <f t="shared" si="423"/>
        <v>74.570754522942522</v>
      </c>
      <c r="DS284" s="314">
        <f t="shared" si="424"/>
        <v>3.7950534604411423</v>
      </c>
      <c r="DT284" s="316">
        <f t="shared" si="425"/>
        <v>74.570754522942522</v>
      </c>
      <c r="DU284" s="314">
        <f t="shared" si="413"/>
        <v>3.7950534604411423</v>
      </c>
      <c r="DV284" s="316">
        <f t="shared" si="429"/>
        <v>79.25</v>
      </c>
      <c r="DW284" s="310">
        <f t="shared" si="414"/>
        <v>4.0126182965299684</v>
      </c>
      <c r="FB284" s="307"/>
      <c r="FC284" s="307"/>
      <c r="FF284" s="307"/>
      <c r="FG284" s="307"/>
      <c r="FH284" s="306"/>
      <c r="FJ284" s="307"/>
      <c r="FK284" s="307"/>
      <c r="FL284" s="306"/>
      <c r="FM284" s="307"/>
      <c r="FN284" s="306"/>
      <c r="FO284" s="307"/>
      <c r="FP284" s="306"/>
    </row>
    <row r="285" spans="29:172">
      <c r="AC285" s="156"/>
      <c r="AI285" s="190">
        <v>242</v>
      </c>
      <c r="AJ285" s="185">
        <v>260</v>
      </c>
      <c r="AK285" s="183">
        <f t="shared" si="430"/>
        <v>242</v>
      </c>
      <c r="AO285" s="182">
        <v>3.9199999999999999E-2</v>
      </c>
      <c r="AP285" s="185">
        <v>260</v>
      </c>
      <c r="AQ285" s="184">
        <f t="shared" si="431"/>
        <v>3.9199999999999999E-2</v>
      </c>
      <c r="AR285" s="190">
        <v>242</v>
      </c>
      <c r="AS285" s="185">
        <v>260</v>
      </c>
      <c r="AT285" s="183">
        <f t="shared" si="432"/>
        <v>242</v>
      </c>
      <c r="AX285" s="182">
        <v>3.9199999999999999E-2</v>
      </c>
      <c r="AY285" s="185">
        <v>260</v>
      </c>
      <c r="AZ285" s="184">
        <f t="shared" si="433"/>
        <v>3.9199999999999999E-2</v>
      </c>
      <c r="BA285" s="190">
        <v>242</v>
      </c>
      <c r="BB285" s="185">
        <v>260</v>
      </c>
      <c r="BC285" s="183">
        <f t="shared" si="434"/>
        <v>242</v>
      </c>
      <c r="BG285" s="182">
        <v>3.9199999999999999E-2</v>
      </c>
      <c r="BH285" s="185">
        <v>260</v>
      </c>
      <c r="BI285" s="184">
        <f t="shared" si="435"/>
        <v>3.9199999999999999E-2</v>
      </c>
      <c r="CW285" s="364"/>
      <c r="CX285" s="316"/>
      <c r="CY285" s="316"/>
      <c r="DA285" s="309">
        <v>284</v>
      </c>
      <c r="DB285" s="313">
        <f t="shared" si="408"/>
        <v>303.36754653160148</v>
      </c>
      <c r="DC285" s="309">
        <f t="shared" si="409"/>
        <v>1</v>
      </c>
      <c r="DD285" s="309">
        <f t="shared" si="410"/>
        <v>260</v>
      </c>
      <c r="DE285" s="308">
        <f t="shared" si="411"/>
        <v>6.5000000000000002E-2</v>
      </c>
      <c r="DF285" s="313">
        <f t="shared" si="426"/>
        <v>284</v>
      </c>
      <c r="DG285" s="313">
        <f t="shared" si="415"/>
        <v>260</v>
      </c>
      <c r="DH285" s="313">
        <f t="shared" si="416"/>
        <v>260</v>
      </c>
      <c r="DI285" s="313">
        <f t="shared" si="417"/>
        <v>0</v>
      </c>
      <c r="DJ285" s="313">
        <f t="shared" si="418"/>
        <v>0</v>
      </c>
      <c r="DK285" s="313">
        <f t="shared" si="427"/>
        <v>68924.517269621676</v>
      </c>
      <c r="DL285" s="313">
        <f t="shared" si="419"/>
        <v>82160</v>
      </c>
      <c r="DM285" s="314">
        <f t="shared" si="420"/>
        <v>18.90570280914724</v>
      </c>
      <c r="DN285" s="312">
        <f t="shared" si="421"/>
        <v>6.6569376088546614E-2</v>
      </c>
      <c r="DO285" s="312">
        <f t="shared" si="428"/>
        <v>1</v>
      </c>
      <c r="DP285" s="315">
        <f t="shared" si="412"/>
        <v>6.5000000000000002E-2</v>
      </c>
      <c r="DQ285" s="316">
        <f t="shared" si="422"/>
        <v>0.25</v>
      </c>
      <c r="DR285" s="316">
        <f t="shared" si="423"/>
        <v>74.820754522942522</v>
      </c>
      <c r="DS285" s="314">
        <f t="shared" si="424"/>
        <v>3.7957382521839738</v>
      </c>
      <c r="DT285" s="316">
        <f t="shared" si="425"/>
        <v>74.820754522942522</v>
      </c>
      <c r="DU285" s="314">
        <f t="shared" si="413"/>
        <v>3.7957382521839738</v>
      </c>
      <c r="DV285" s="316">
        <f t="shared" si="429"/>
        <v>79</v>
      </c>
      <c r="DW285" s="310">
        <f t="shared" si="414"/>
        <v>4.0126582278481013</v>
      </c>
      <c r="FB285" s="307"/>
      <c r="FC285" s="307"/>
      <c r="FF285" s="307"/>
      <c r="FG285" s="307"/>
      <c r="FH285" s="306"/>
      <c r="FJ285" s="307"/>
      <c r="FK285" s="307"/>
      <c r="FL285" s="306"/>
      <c r="FM285" s="307"/>
      <c r="FN285" s="306"/>
      <c r="FO285" s="307"/>
      <c r="FP285" s="306"/>
    </row>
    <row r="286" spans="29:172">
      <c r="AC286" s="156"/>
      <c r="AI286" s="190">
        <v>241</v>
      </c>
      <c r="AJ286" s="185">
        <v>261</v>
      </c>
      <c r="AK286" s="183">
        <f t="shared" si="430"/>
        <v>241</v>
      </c>
      <c r="AO286" s="182">
        <v>3.9100000000000003E-2</v>
      </c>
      <c r="AP286" s="185">
        <v>261</v>
      </c>
      <c r="AQ286" s="184">
        <f t="shared" si="431"/>
        <v>3.9100000000000003E-2</v>
      </c>
      <c r="AR286" s="190">
        <v>241</v>
      </c>
      <c r="AS286" s="185">
        <v>261</v>
      </c>
      <c r="AT286" s="183">
        <f t="shared" si="432"/>
        <v>241</v>
      </c>
      <c r="AX286" s="182">
        <v>3.9100000000000003E-2</v>
      </c>
      <c r="AY286" s="185">
        <v>261</v>
      </c>
      <c r="AZ286" s="184">
        <f t="shared" si="433"/>
        <v>3.9100000000000003E-2</v>
      </c>
      <c r="BA286" s="190">
        <v>241</v>
      </c>
      <c r="BB286" s="185">
        <v>261</v>
      </c>
      <c r="BC286" s="183">
        <f t="shared" si="434"/>
        <v>241</v>
      </c>
      <c r="BG286" s="182">
        <v>3.9100000000000003E-2</v>
      </c>
      <c r="BH286" s="185">
        <v>261</v>
      </c>
      <c r="BI286" s="184">
        <f t="shared" si="435"/>
        <v>3.9100000000000003E-2</v>
      </c>
      <c r="CW286" s="364"/>
      <c r="CX286" s="316"/>
      <c r="CY286" s="316"/>
      <c r="DA286" s="309">
        <v>285</v>
      </c>
      <c r="DB286" s="313">
        <f t="shared" si="408"/>
        <v>303.7315167658677</v>
      </c>
      <c r="DC286" s="309">
        <f t="shared" si="409"/>
        <v>1</v>
      </c>
      <c r="DD286" s="309">
        <f t="shared" si="410"/>
        <v>260</v>
      </c>
      <c r="DE286" s="308">
        <f t="shared" si="411"/>
        <v>6.5000000000000002E-2</v>
      </c>
      <c r="DF286" s="313">
        <f t="shared" si="426"/>
        <v>285</v>
      </c>
      <c r="DG286" s="313">
        <f t="shared" si="415"/>
        <v>260</v>
      </c>
      <c r="DH286" s="313">
        <f t="shared" si="416"/>
        <v>260</v>
      </c>
      <c r="DI286" s="313">
        <f t="shared" si="417"/>
        <v>0</v>
      </c>
      <c r="DJ286" s="313">
        <f t="shared" si="418"/>
        <v>0</v>
      </c>
      <c r="DK286" s="313">
        <f t="shared" si="427"/>
        <v>69184.517269621676</v>
      </c>
      <c r="DL286" s="313">
        <f t="shared" si="419"/>
        <v>81900</v>
      </c>
      <c r="DM286" s="314">
        <f t="shared" si="420"/>
        <v>18.90570280914724</v>
      </c>
      <c r="DN286" s="312">
        <f t="shared" si="421"/>
        <v>6.6335799330341186E-2</v>
      </c>
      <c r="DO286" s="312">
        <f t="shared" si="428"/>
        <v>1</v>
      </c>
      <c r="DP286" s="315">
        <f t="shared" si="412"/>
        <v>6.5000000000000002E-2</v>
      </c>
      <c r="DQ286" s="316">
        <f t="shared" si="422"/>
        <v>0.25</v>
      </c>
      <c r="DR286" s="316">
        <f t="shared" si="423"/>
        <v>75.070754522942522</v>
      </c>
      <c r="DS286" s="314">
        <f t="shared" si="424"/>
        <v>3.7964184829513146</v>
      </c>
      <c r="DT286" s="316">
        <f t="shared" si="425"/>
        <v>75.070754522942522</v>
      </c>
      <c r="DU286" s="314">
        <f t="shared" si="413"/>
        <v>3.7964184829513146</v>
      </c>
      <c r="DV286" s="316">
        <f t="shared" si="429"/>
        <v>78.75</v>
      </c>
      <c r="DW286" s="310">
        <f t="shared" si="414"/>
        <v>4.0126984126984127</v>
      </c>
      <c r="FB286" s="307"/>
      <c r="FC286" s="307"/>
      <c r="FF286" s="307"/>
      <c r="FG286" s="307"/>
      <c r="FH286" s="306"/>
      <c r="FJ286" s="307"/>
      <c r="FK286" s="307"/>
      <c r="FL286" s="306"/>
      <c r="FM286" s="307"/>
      <c r="FN286" s="306"/>
      <c r="FO286" s="307"/>
      <c r="FP286" s="306"/>
    </row>
    <row r="287" spans="29:172">
      <c r="AC287" s="156"/>
      <c r="AI287" s="190">
        <v>240</v>
      </c>
      <c r="AJ287" s="185">
        <v>262</v>
      </c>
      <c r="AK287" s="183">
        <f t="shared" si="430"/>
        <v>240</v>
      </c>
      <c r="AO287" s="182">
        <v>3.9E-2</v>
      </c>
      <c r="AP287" s="185">
        <v>262</v>
      </c>
      <c r="AQ287" s="184">
        <f t="shared" si="431"/>
        <v>3.9E-2</v>
      </c>
      <c r="AR287" s="190">
        <v>240</v>
      </c>
      <c r="AS287" s="185">
        <v>262</v>
      </c>
      <c r="AT287" s="183">
        <f t="shared" si="432"/>
        <v>240</v>
      </c>
      <c r="AX287" s="182">
        <v>3.9E-2</v>
      </c>
      <c r="AY287" s="185">
        <v>262</v>
      </c>
      <c r="AZ287" s="184">
        <f t="shared" si="433"/>
        <v>3.9E-2</v>
      </c>
      <c r="BA287" s="190">
        <v>240</v>
      </c>
      <c r="BB287" s="185">
        <v>262</v>
      </c>
      <c r="BC287" s="183">
        <f t="shared" si="434"/>
        <v>240</v>
      </c>
      <c r="BG287" s="182">
        <v>3.9E-2</v>
      </c>
      <c r="BH287" s="185">
        <v>262</v>
      </c>
      <c r="BI287" s="184">
        <f t="shared" si="435"/>
        <v>3.9E-2</v>
      </c>
      <c r="CW287" s="364"/>
      <c r="CX287" s="316"/>
      <c r="CY287" s="316"/>
      <c r="DA287" s="309">
        <v>286</v>
      </c>
      <c r="DB287" s="313">
        <f t="shared" si="408"/>
        <v>304.09548700013386</v>
      </c>
      <c r="DC287" s="309">
        <f t="shared" si="409"/>
        <v>1</v>
      </c>
      <c r="DD287" s="309">
        <f t="shared" si="410"/>
        <v>260</v>
      </c>
      <c r="DE287" s="308">
        <f t="shared" si="411"/>
        <v>6.5000000000000002E-2</v>
      </c>
      <c r="DF287" s="313">
        <f t="shared" si="426"/>
        <v>286</v>
      </c>
      <c r="DG287" s="313">
        <f t="shared" si="415"/>
        <v>260</v>
      </c>
      <c r="DH287" s="313">
        <f t="shared" si="416"/>
        <v>260</v>
      </c>
      <c r="DI287" s="313">
        <f t="shared" si="417"/>
        <v>0</v>
      </c>
      <c r="DJ287" s="313">
        <f t="shared" si="418"/>
        <v>0</v>
      </c>
      <c r="DK287" s="313">
        <f t="shared" si="427"/>
        <v>69444.517269621676</v>
      </c>
      <c r="DL287" s="313">
        <f t="shared" si="419"/>
        <v>81640</v>
      </c>
      <c r="DM287" s="314">
        <f t="shared" si="420"/>
        <v>18.90570280914724</v>
      </c>
      <c r="DN287" s="312">
        <f t="shared" si="421"/>
        <v>6.6103855976039294E-2</v>
      </c>
      <c r="DO287" s="312">
        <f t="shared" si="428"/>
        <v>1</v>
      </c>
      <c r="DP287" s="315">
        <f t="shared" si="412"/>
        <v>6.5000000000000002E-2</v>
      </c>
      <c r="DQ287" s="316">
        <f t="shared" si="422"/>
        <v>0.25</v>
      </c>
      <c r="DR287" s="316">
        <f t="shared" si="423"/>
        <v>75.320754522942522</v>
      </c>
      <c r="DS287" s="314">
        <f t="shared" si="424"/>
        <v>3.7970941981586908</v>
      </c>
      <c r="DT287" s="316">
        <f t="shared" si="425"/>
        <v>75.320754522942522</v>
      </c>
      <c r="DU287" s="314">
        <f t="shared" si="413"/>
        <v>3.7970941981586908</v>
      </c>
      <c r="DV287" s="316">
        <f t="shared" si="429"/>
        <v>78.5</v>
      </c>
      <c r="DW287" s="310">
        <f t="shared" si="414"/>
        <v>4.0127388535031852</v>
      </c>
      <c r="FB287" s="307"/>
      <c r="FC287" s="307"/>
      <c r="FF287" s="307"/>
      <c r="FG287" s="307"/>
      <c r="FH287" s="306"/>
      <c r="FJ287" s="307"/>
      <c r="FK287" s="307"/>
      <c r="FL287" s="306"/>
      <c r="FM287" s="307"/>
      <c r="FN287" s="306"/>
      <c r="FO287" s="307"/>
      <c r="FP287" s="306"/>
    </row>
    <row r="288" spans="29:172">
      <c r="AC288" s="156"/>
      <c r="AI288" s="190">
        <v>239</v>
      </c>
      <c r="AJ288" s="185">
        <v>263</v>
      </c>
      <c r="AK288" s="183">
        <f t="shared" si="430"/>
        <v>239</v>
      </c>
      <c r="AO288" s="182">
        <v>3.8899999999999997E-2</v>
      </c>
      <c r="AP288" s="185">
        <v>263</v>
      </c>
      <c r="AQ288" s="184">
        <f t="shared" si="431"/>
        <v>3.8899999999999997E-2</v>
      </c>
      <c r="AR288" s="190">
        <v>239</v>
      </c>
      <c r="AS288" s="185">
        <v>263</v>
      </c>
      <c r="AT288" s="183">
        <f t="shared" si="432"/>
        <v>239</v>
      </c>
      <c r="AX288" s="182">
        <v>3.8899999999999997E-2</v>
      </c>
      <c r="AY288" s="185">
        <v>263</v>
      </c>
      <c r="AZ288" s="184">
        <f t="shared" si="433"/>
        <v>3.8899999999999997E-2</v>
      </c>
      <c r="BA288" s="190">
        <v>239</v>
      </c>
      <c r="BB288" s="185">
        <v>263</v>
      </c>
      <c r="BC288" s="183">
        <f t="shared" si="434"/>
        <v>239</v>
      </c>
      <c r="BG288" s="182">
        <v>3.8899999999999997E-2</v>
      </c>
      <c r="BH288" s="185">
        <v>263</v>
      </c>
      <c r="BI288" s="184">
        <f t="shared" si="435"/>
        <v>3.8899999999999997E-2</v>
      </c>
      <c r="CW288" s="364"/>
      <c r="CX288" s="316"/>
      <c r="CY288" s="316"/>
      <c r="DA288" s="309">
        <v>287</v>
      </c>
      <c r="DB288" s="313">
        <f t="shared" si="408"/>
        <v>304.45945723440008</v>
      </c>
      <c r="DC288" s="309">
        <f t="shared" si="409"/>
        <v>1</v>
      </c>
      <c r="DD288" s="309">
        <f t="shared" si="410"/>
        <v>260</v>
      </c>
      <c r="DE288" s="308">
        <f t="shared" si="411"/>
        <v>6.5000000000000002E-2</v>
      </c>
      <c r="DF288" s="313">
        <f t="shared" si="426"/>
        <v>287</v>
      </c>
      <c r="DG288" s="313">
        <f t="shared" si="415"/>
        <v>260</v>
      </c>
      <c r="DH288" s="313">
        <f t="shared" si="416"/>
        <v>260</v>
      </c>
      <c r="DI288" s="313">
        <f t="shared" si="417"/>
        <v>0</v>
      </c>
      <c r="DJ288" s="313">
        <f t="shared" si="418"/>
        <v>0</v>
      </c>
      <c r="DK288" s="313">
        <f t="shared" si="427"/>
        <v>69704.517269621676</v>
      </c>
      <c r="DL288" s="313">
        <f t="shared" si="419"/>
        <v>81380</v>
      </c>
      <c r="DM288" s="314">
        <f t="shared" si="420"/>
        <v>18.90570280914724</v>
      </c>
      <c r="DN288" s="312">
        <f t="shared" si="421"/>
        <v>6.5873528951732541E-2</v>
      </c>
      <c r="DO288" s="312">
        <f t="shared" si="428"/>
        <v>1</v>
      </c>
      <c r="DP288" s="315">
        <f t="shared" si="412"/>
        <v>6.5000000000000002E-2</v>
      </c>
      <c r="DQ288" s="316">
        <f t="shared" si="422"/>
        <v>0.25</v>
      </c>
      <c r="DR288" s="316">
        <f t="shared" si="423"/>
        <v>75.570754522942522</v>
      </c>
      <c r="DS288" s="314">
        <f t="shared" si="424"/>
        <v>3.7977654426206593</v>
      </c>
      <c r="DT288" s="316">
        <f t="shared" si="425"/>
        <v>75.570754522942522</v>
      </c>
      <c r="DU288" s="314">
        <f t="shared" si="413"/>
        <v>3.7977654426206593</v>
      </c>
      <c r="DV288" s="316">
        <f t="shared" si="429"/>
        <v>78.25</v>
      </c>
      <c r="DW288" s="310">
        <f t="shared" si="414"/>
        <v>4.0127795527156547</v>
      </c>
      <c r="FB288" s="307"/>
      <c r="FC288" s="307"/>
      <c r="FF288" s="307"/>
      <c r="FG288" s="307"/>
      <c r="FH288" s="306"/>
      <c r="FJ288" s="307"/>
      <c r="FK288" s="307"/>
      <c r="FL288" s="306"/>
      <c r="FM288" s="307"/>
      <c r="FN288" s="306"/>
      <c r="FO288" s="307"/>
      <c r="FP288" s="306"/>
    </row>
    <row r="289" spans="29:172">
      <c r="AC289" s="156"/>
      <c r="AI289" s="190">
        <v>238</v>
      </c>
      <c r="AJ289" s="185">
        <v>264</v>
      </c>
      <c r="AK289" s="183">
        <f t="shared" si="430"/>
        <v>238</v>
      </c>
      <c r="AO289" s="182">
        <v>3.8800000000000001E-2</v>
      </c>
      <c r="AP289" s="185">
        <v>264</v>
      </c>
      <c r="AQ289" s="184">
        <f t="shared" si="431"/>
        <v>3.8800000000000001E-2</v>
      </c>
      <c r="AR289" s="190">
        <v>238</v>
      </c>
      <c r="AS289" s="185">
        <v>264</v>
      </c>
      <c r="AT289" s="183">
        <f t="shared" si="432"/>
        <v>238</v>
      </c>
      <c r="AX289" s="182">
        <v>3.8800000000000001E-2</v>
      </c>
      <c r="AY289" s="185">
        <v>264</v>
      </c>
      <c r="AZ289" s="184">
        <f t="shared" si="433"/>
        <v>3.8800000000000001E-2</v>
      </c>
      <c r="BA289" s="190">
        <v>238</v>
      </c>
      <c r="BB289" s="185">
        <v>264</v>
      </c>
      <c r="BC289" s="183">
        <f t="shared" si="434"/>
        <v>238</v>
      </c>
      <c r="BG289" s="182">
        <v>3.8800000000000001E-2</v>
      </c>
      <c r="BH289" s="185">
        <v>264</v>
      </c>
      <c r="BI289" s="184">
        <f t="shared" si="435"/>
        <v>3.8800000000000001E-2</v>
      </c>
      <c r="CW289" s="364"/>
      <c r="CX289" s="316"/>
      <c r="CY289" s="316"/>
      <c r="DA289" s="309">
        <v>288</v>
      </c>
      <c r="DB289" s="313">
        <f t="shared" si="408"/>
        <v>304.8234274686663</v>
      </c>
      <c r="DC289" s="309">
        <f t="shared" si="409"/>
        <v>1</v>
      </c>
      <c r="DD289" s="309">
        <f t="shared" si="410"/>
        <v>260</v>
      </c>
      <c r="DE289" s="308">
        <f t="shared" si="411"/>
        <v>6.5000000000000002E-2</v>
      </c>
      <c r="DF289" s="313">
        <f t="shared" si="426"/>
        <v>288</v>
      </c>
      <c r="DG289" s="313">
        <f t="shared" si="415"/>
        <v>260</v>
      </c>
      <c r="DH289" s="313">
        <f t="shared" si="416"/>
        <v>260</v>
      </c>
      <c r="DI289" s="313">
        <f t="shared" si="417"/>
        <v>0</v>
      </c>
      <c r="DJ289" s="313">
        <f t="shared" si="418"/>
        <v>0</v>
      </c>
      <c r="DK289" s="313">
        <f t="shared" si="427"/>
        <v>69964.517269621676</v>
      </c>
      <c r="DL289" s="313">
        <f t="shared" si="419"/>
        <v>81120</v>
      </c>
      <c r="DM289" s="314">
        <f t="shared" si="420"/>
        <v>18.90570280914724</v>
      </c>
      <c r="DN289" s="312">
        <f t="shared" si="421"/>
        <v>6.5644801420650142E-2</v>
      </c>
      <c r="DO289" s="312">
        <f t="shared" si="428"/>
        <v>1</v>
      </c>
      <c r="DP289" s="315">
        <f t="shared" si="412"/>
        <v>6.5000000000000002E-2</v>
      </c>
      <c r="DQ289" s="316">
        <f t="shared" si="422"/>
        <v>0.25</v>
      </c>
      <c r="DR289" s="316">
        <f t="shared" si="423"/>
        <v>75.820754522942522</v>
      </c>
      <c r="DS289" s="314">
        <f t="shared" si="424"/>
        <v>3.7984322605607201</v>
      </c>
      <c r="DT289" s="316">
        <f t="shared" si="425"/>
        <v>75.820754522942522</v>
      </c>
      <c r="DU289" s="314">
        <f t="shared" si="413"/>
        <v>3.7984322605607201</v>
      </c>
      <c r="DV289" s="316">
        <f t="shared" si="429"/>
        <v>78</v>
      </c>
      <c r="DW289" s="310">
        <f t="shared" si="414"/>
        <v>4.0128205128205128</v>
      </c>
      <c r="FB289" s="307"/>
      <c r="FC289" s="307"/>
      <c r="FF289" s="307"/>
      <c r="FG289" s="307"/>
      <c r="FH289" s="306"/>
      <c r="FJ289" s="307"/>
      <c r="FK289" s="307"/>
      <c r="FL289" s="306"/>
      <c r="FM289" s="307"/>
      <c r="FN289" s="306"/>
      <c r="FO289" s="307"/>
      <c r="FP289" s="306"/>
    </row>
    <row r="290" spans="29:172">
      <c r="AC290" s="156"/>
      <c r="AI290" s="190">
        <v>237</v>
      </c>
      <c r="AJ290" s="185">
        <v>265</v>
      </c>
      <c r="AK290" s="183">
        <f t="shared" si="430"/>
        <v>237</v>
      </c>
      <c r="AO290" s="182">
        <v>3.8699999999999998E-2</v>
      </c>
      <c r="AP290" s="185">
        <v>265</v>
      </c>
      <c r="AQ290" s="184">
        <f t="shared" si="431"/>
        <v>3.8699999999999998E-2</v>
      </c>
      <c r="AR290" s="190">
        <v>237</v>
      </c>
      <c r="AS290" s="185">
        <v>265</v>
      </c>
      <c r="AT290" s="183">
        <f t="shared" si="432"/>
        <v>237</v>
      </c>
      <c r="AX290" s="182">
        <v>3.8699999999999998E-2</v>
      </c>
      <c r="AY290" s="185">
        <v>265</v>
      </c>
      <c r="AZ290" s="184">
        <f t="shared" si="433"/>
        <v>3.8699999999999998E-2</v>
      </c>
      <c r="BA290" s="190">
        <v>237</v>
      </c>
      <c r="BB290" s="185">
        <v>265</v>
      </c>
      <c r="BC290" s="183">
        <f t="shared" si="434"/>
        <v>237</v>
      </c>
      <c r="BG290" s="182">
        <v>3.8699999999999998E-2</v>
      </c>
      <c r="BH290" s="185">
        <v>265</v>
      </c>
      <c r="BI290" s="184">
        <f t="shared" si="435"/>
        <v>3.8699999999999998E-2</v>
      </c>
      <c r="CW290" s="364"/>
      <c r="CX290" s="316"/>
      <c r="CY290" s="316"/>
      <c r="DA290" s="309">
        <v>289</v>
      </c>
      <c r="DB290" s="313">
        <f t="shared" si="408"/>
        <v>305.18739770293246</v>
      </c>
      <c r="DC290" s="309">
        <f t="shared" si="409"/>
        <v>1</v>
      </c>
      <c r="DD290" s="309">
        <f t="shared" si="410"/>
        <v>260</v>
      </c>
      <c r="DE290" s="308">
        <f t="shared" si="411"/>
        <v>6.5000000000000002E-2</v>
      </c>
      <c r="DF290" s="313">
        <f t="shared" si="426"/>
        <v>289</v>
      </c>
      <c r="DG290" s="313">
        <f t="shared" si="415"/>
        <v>260</v>
      </c>
      <c r="DH290" s="313">
        <f t="shared" si="416"/>
        <v>260</v>
      </c>
      <c r="DI290" s="313">
        <f t="shared" si="417"/>
        <v>0</v>
      </c>
      <c r="DJ290" s="313">
        <f t="shared" si="418"/>
        <v>0</v>
      </c>
      <c r="DK290" s="313">
        <f t="shared" si="427"/>
        <v>70224.517269621676</v>
      </c>
      <c r="DL290" s="313">
        <f t="shared" si="419"/>
        <v>80860</v>
      </c>
      <c r="DM290" s="314">
        <f t="shared" si="420"/>
        <v>18.90570280914724</v>
      </c>
      <c r="DN290" s="312">
        <f t="shared" si="421"/>
        <v>6.5417656779056199E-2</v>
      </c>
      <c r="DO290" s="312">
        <f t="shared" si="428"/>
        <v>1</v>
      </c>
      <c r="DP290" s="315">
        <f t="shared" si="412"/>
        <v>6.5000000000000002E-2</v>
      </c>
      <c r="DQ290" s="316">
        <f t="shared" si="422"/>
        <v>0.25</v>
      </c>
      <c r="DR290" s="316">
        <f t="shared" si="423"/>
        <v>76.070754522942522</v>
      </c>
      <c r="DS290" s="314">
        <f t="shared" si="424"/>
        <v>3.7990946956210245</v>
      </c>
      <c r="DT290" s="316">
        <f t="shared" si="425"/>
        <v>76.070754522942522</v>
      </c>
      <c r="DU290" s="314">
        <f t="shared" si="413"/>
        <v>3.7990946956210245</v>
      </c>
      <c r="DV290" s="316">
        <f t="shared" si="429"/>
        <v>77.75</v>
      </c>
      <c r="DW290" s="310">
        <f t="shared" si="414"/>
        <v>4.012861736334405</v>
      </c>
      <c r="FB290" s="307"/>
      <c r="FC290" s="307"/>
      <c r="FF290" s="307"/>
      <c r="FG290" s="307"/>
      <c r="FH290" s="306"/>
      <c r="FJ290" s="307"/>
      <c r="FK290" s="307"/>
      <c r="FL290" s="306"/>
      <c r="FM290" s="307"/>
      <c r="FN290" s="306"/>
      <c r="FO290" s="307"/>
      <c r="FP290" s="306"/>
    </row>
    <row r="291" spans="29:172">
      <c r="AC291" s="156"/>
      <c r="AI291" s="190">
        <v>236</v>
      </c>
      <c r="AJ291" s="185">
        <v>266</v>
      </c>
      <c r="AK291" s="183">
        <f t="shared" si="430"/>
        <v>236</v>
      </c>
      <c r="AO291" s="182">
        <v>3.8600000000000002E-2</v>
      </c>
      <c r="AP291" s="185">
        <v>266</v>
      </c>
      <c r="AQ291" s="184">
        <f t="shared" si="431"/>
        <v>3.8600000000000002E-2</v>
      </c>
      <c r="AR291" s="190">
        <v>236</v>
      </c>
      <c r="AS291" s="185">
        <v>266</v>
      </c>
      <c r="AT291" s="183">
        <f t="shared" si="432"/>
        <v>236</v>
      </c>
      <c r="AX291" s="182">
        <v>3.8600000000000002E-2</v>
      </c>
      <c r="AY291" s="185">
        <v>266</v>
      </c>
      <c r="AZ291" s="184">
        <f t="shared" si="433"/>
        <v>3.8600000000000002E-2</v>
      </c>
      <c r="BA291" s="190">
        <v>236</v>
      </c>
      <c r="BB291" s="185">
        <v>266</v>
      </c>
      <c r="BC291" s="183">
        <f t="shared" si="434"/>
        <v>236</v>
      </c>
      <c r="BG291" s="182">
        <v>3.8600000000000002E-2</v>
      </c>
      <c r="BH291" s="185">
        <v>266</v>
      </c>
      <c r="BI291" s="184">
        <f t="shared" si="435"/>
        <v>3.8600000000000002E-2</v>
      </c>
      <c r="CW291" s="364"/>
      <c r="CX291" s="316"/>
      <c r="CY291" s="316"/>
      <c r="DA291" s="309">
        <v>290</v>
      </c>
      <c r="DB291" s="313">
        <f t="shared" si="408"/>
        <v>305.55136793719868</v>
      </c>
      <c r="DC291" s="309">
        <f t="shared" si="409"/>
        <v>1</v>
      </c>
      <c r="DD291" s="309">
        <f t="shared" si="410"/>
        <v>260</v>
      </c>
      <c r="DE291" s="308">
        <f t="shared" si="411"/>
        <v>6.5000000000000002E-2</v>
      </c>
      <c r="DF291" s="313">
        <f t="shared" si="426"/>
        <v>290</v>
      </c>
      <c r="DG291" s="313">
        <f t="shared" si="415"/>
        <v>260</v>
      </c>
      <c r="DH291" s="313">
        <f t="shared" si="416"/>
        <v>260</v>
      </c>
      <c r="DI291" s="313">
        <f t="shared" si="417"/>
        <v>0</v>
      </c>
      <c r="DJ291" s="313">
        <f t="shared" si="418"/>
        <v>0</v>
      </c>
      <c r="DK291" s="313">
        <f t="shared" si="427"/>
        <v>70484.517269621676</v>
      </c>
      <c r="DL291" s="313">
        <f t="shared" si="419"/>
        <v>80600</v>
      </c>
      <c r="DM291" s="314">
        <f t="shared" si="420"/>
        <v>18.90570280914724</v>
      </c>
      <c r="DN291" s="312">
        <f t="shared" si="421"/>
        <v>6.5192078652231866E-2</v>
      </c>
      <c r="DO291" s="312">
        <f t="shared" si="428"/>
        <v>1</v>
      </c>
      <c r="DP291" s="315">
        <f t="shared" si="412"/>
        <v>6.5000000000000002E-2</v>
      </c>
      <c r="DQ291" s="316">
        <f t="shared" si="422"/>
        <v>0.25</v>
      </c>
      <c r="DR291" s="316">
        <f t="shared" si="423"/>
        <v>76.320754522942522</v>
      </c>
      <c r="DS291" s="314">
        <f t="shared" si="424"/>
        <v>3.7997527908718998</v>
      </c>
      <c r="DT291" s="316">
        <f t="shared" si="425"/>
        <v>76.320754522942522</v>
      </c>
      <c r="DU291" s="314">
        <f t="shared" si="413"/>
        <v>3.7997527908718998</v>
      </c>
      <c r="DV291" s="316">
        <f t="shared" si="429"/>
        <v>77.5</v>
      </c>
      <c r="DW291" s="310">
        <f t="shared" si="414"/>
        <v>4.0129032258064514</v>
      </c>
      <c r="FB291" s="307"/>
      <c r="FC291" s="307"/>
      <c r="FF291" s="307"/>
      <c r="FG291" s="307"/>
      <c r="FH291" s="306"/>
      <c r="FJ291" s="307"/>
      <c r="FK291" s="307"/>
      <c r="FL291" s="306"/>
      <c r="FM291" s="307"/>
      <c r="FN291" s="306"/>
      <c r="FO291" s="307"/>
      <c r="FP291" s="306"/>
    </row>
    <row r="292" spans="29:172">
      <c r="AC292" s="156"/>
      <c r="AI292" s="190">
        <v>235</v>
      </c>
      <c r="AJ292" s="185">
        <v>267</v>
      </c>
      <c r="AK292" s="183">
        <f t="shared" si="430"/>
        <v>235</v>
      </c>
      <c r="AO292" s="182">
        <v>3.85E-2</v>
      </c>
      <c r="AP292" s="185">
        <v>267</v>
      </c>
      <c r="AQ292" s="184">
        <f t="shared" si="431"/>
        <v>3.85E-2</v>
      </c>
      <c r="AR292" s="190">
        <v>235</v>
      </c>
      <c r="AS292" s="185">
        <v>267</v>
      </c>
      <c r="AT292" s="183">
        <f t="shared" si="432"/>
        <v>235</v>
      </c>
      <c r="AX292" s="182">
        <v>3.85E-2</v>
      </c>
      <c r="AY292" s="185">
        <v>267</v>
      </c>
      <c r="AZ292" s="184">
        <f t="shared" si="433"/>
        <v>3.85E-2</v>
      </c>
      <c r="BA292" s="190">
        <v>235</v>
      </c>
      <c r="BB292" s="185">
        <v>267</v>
      </c>
      <c r="BC292" s="183">
        <f t="shared" si="434"/>
        <v>235</v>
      </c>
      <c r="BG292" s="182">
        <v>3.85E-2</v>
      </c>
      <c r="BH292" s="185">
        <v>267</v>
      </c>
      <c r="BI292" s="184">
        <f t="shared" si="435"/>
        <v>3.85E-2</v>
      </c>
      <c r="CW292" s="364"/>
      <c r="CX292" s="316"/>
      <c r="CY292" s="316"/>
      <c r="DA292" s="309">
        <v>291</v>
      </c>
      <c r="DB292" s="313">
        <f t="shared" si="408"/>
        <v>305.9153381714649</v>
      </c>
      <c r="DC292" s="309">
        <f t="shared" si="409"/>
        <v>1</v>
      </c>
      <c r="DD292" s="309">
        <f t="shared" si="410"/>
        <v>260</v>
      </c>
      <c r="DE292" s="308">
        <f t="shared" si="411"/>
        <v>6.5000000000000002E-2</v>
      </c>
      <c r="DF292" s="313">
        <f t="shared" si="426"/>
        <v>291</v>
      </c>
      <c r="DG292" s="313">
        <f t="shared" si="415"/>
        <v>260</v>
      </c>
      <c r="DH292" s="313">
        <f t="shared" si="416"/>
        <v>260</v>
      </c>
      <c r="DI292" s="313">
        <f t="shared" si="417"/>
        <v>0</v>
      </c>
      <c r="DJ292" s="313">
        <f t="shared" si="418"/>
        <v>0</v>
      </c>
      <c r="DK292" s="313">
        <f t="shared" si="427"/>
        <v>70744.517269621676</v>
      </c>
      <c r="DL292" s="313">
        <f t="shared" si="419"/>
        <v>80340</v>
      </c>
      <c r="DM292" s="314">
        <f t="shared" si="420"/>
        <v>18.90570280914724</v>
      </c>
      <c r="DN292" s="312">
        <f t="shared" si="421"/>
        <v>6.4968050890540349E-2</v>
      </c>
      <c r="DO292" s="312">
        <f t="shared" si="428"/>
        <v>1</v>
      </c>
      <c r="DP292" s="315">
        <f t="shared" si="412"/>
        <v>6.5000000000000002E-2</v>
      </c>
      <c r="DQ292" s="316">
        <f t="shared" si="422"/>
        <v>0.25</v>
      </c>
      <c r="DR292" s="316">
        <f t="shared" si="423"/>
        <v>76.570754522942522</v>
      </c>
      <c r="DS292" s="314">
        <f t="shared" si="424"/>
        <v>3.8004065888211809</v>
      </c>
      <c r="DT292" s="316">
        <f t="shared" si="425"/>
        <v>76.570754522942522</v>
      </c>
      <c r="DU292" s="314">
        <f t="shared" si="413"/>
        <v>3.8004065888211809</v>
      </c>
      <c r="DV292" s="316">
        <f t="shared" si="429"/>
        <v>77.25</v>
      </c>
      <c r="DW292" s="310">
        <f t="shared" si="414"/>
        <v>4.0129449838187705</v>
      </c>
      <c r="FB292" s="307"/>
      <c r="FC292" s="307"/>
      <c r="FF292" s="307"/>
      <c r="FG292" s="307"/>
      <c r="FH292" s="306"/>
      <c r="FJ292" s="307"/>
      <c r="FK292" s="307"/>
      <c r="FL292" s="306"/>
      <c r="FM292" s="307"/>
      <c r="FN292" s="306"/>
      <c r="FO292" s="307"/>
      <c r="FP292" s="306"/>
    </row>
    <row r="293" spans="29:172">
      <c r="AC293" s="156"/>
      <c r="AI293" s="190">
        <v>234</v>
      </c>
      <c r="AJ293" s="185">
        <v>268</v>
      </c>
      <c r="AK293" s="183">
        <f t="shared" si="430"/>
        <v>234</v>
      </c>
      <c r="AO293" s="182">
        <v>3.8399999999999997E-2</v>
      </c>
      <c r="AP293" s="185">
        <v>268</v>
      </c>
      <c r="AQ293" s="184">
        <f t="shared" si="431"/>
        <v>3.8399999999999997E-2</v>
      </c>
      <c r="AR293" s="190">
        <v>234</v>
      </c>
      <c r="AS293" s="185">
        <v>268</v>
      </c>
      <c r="AT293" s="183">
        <f t="shared" si="432"/>
        <v>234</v>
      </c>
      <c r="AX293" s="182">
        <v>3.8399999999999997E-2</v>
      </c>
      <c r="AY293" s="185">
        <v>268</v>
      </c>
      <c r="AZ293" s="184">
        <f t="shared" si="433"/>
        <v>3.8399999999999997E-2</v>
      </c>
      <c r="BA293" s="190">
        <v>234</v>
      </c>
      <c r="BB293" s="185">
        <v>268</v>
      </c>
      <c r="BC293" s="183">
        <f t="shared" si="434"/>
        <v>234</v>
      </c>
      <c r="BG293" s="182">
        <v>3.8399999999999997E-2</v>
      </c>
      <c r="BH293" s="185">
        <v>268</v>
      </c>
      <c r="BI293" s="184">
        <f t="shared" si="435"/>
        <v>3.8399999999999997E-2</v>
      </c>
      <c r="CW293" s="364"/>
      <c r="CX293" s="316"/>
      <c r="CY293" s="316"/>
      <c r="DA293" s="309">
        <v>292</v>
      </c>
      <c r="DB293" s="313">
        <f t="shared" si="408"/>
        <v>306.27930840573106</v>
      </c>
      <c r="DC293" s="309">
        <f t="shared" si="409"/>
        <v>1</v>
      </c>
      <c r="DD293" s="309">
        <f t="shared" si="410"/>
        <v>260</v>
      </c>
      <c r="DE293" s="308">
        <f t="shared" si="411"/>
        <v>6.5000000000000002E-2</v>
      </c>
      <c r="DF293" s="313">
        <f t="shared" si="426"/>
        <v>292</v>
      </c>
      <c r="DG293" s="313">
        <f t="shared" si="415"/>
        <v>260</v>
      </c>
      <c r="DH293" s="313">
        <f t="shared" si="416"/>
        <v>260</v>
      </c>
      <c r="DI293" s="313">
        <f t="shared" si="417"/>
        <v>0</v>
      </c>
      <c r="DJ293" s="313">
        <f t="shared" si="418"/>
        <v>0</v>
      </c>
      <c r="DK293" s="313">
        <f t="shared" si="427"/>
        <v>71004.517269621676</v>
      </c>
      <c r="DL293" s="313">
        <f t="shared" si="419"/>
        <v>80080</v>
      </c>
      <c r="DM293" s="314">
        <f t="shared" si="420"/>
        <v>18.90570280914724</v>
      </c>
      <c r="DN293" s="312">
        <f t="shared" si="421"/>
        <v>6.4745557565572737E-2</v>
      </c>
      <c r="DO293" s="312">
        <f t="shared" si="428"/>
        <v>1</v>
      </c>
      <c r="DP293" s="315">
        <f t="shared" si="412"/>
        <v>6.5000000000000002E-2</v>
      </c>
      <c r="DQ293" s="316">
        <f t="shared" si="422"/>
        <v>0.25</v>
      </c>
      <c r="DR293" s="316">
        <f t="shared" si="423"/>
        <v>76.820754522942522</v>
      </c>
      <c r="DS293" s="314">
        <f t="shared" si="424"/>
        <v>3.8010561314233668</v>
      </c>
      <c r="DT293" s="316">
        <f t="shared" si="425"/>
        <v>76.820754522942522</v>
      </c>
      <c r="DU293" s="314">
        <f t="shared" si="413"/>
        <v>3.8010561314233668</v>
      </c>
      <c r="DV293" s="316">
        <f t="shared" si="429"/>
        <v>77</v>
      </c>
      <c r="DW293" s="310">
        <f t="shared" si="414"/>
        <v>4.0129870129870131</v>
      </c>
      <c r="FB293" s="307"/>
      <c r="FC293" s="307"/>
      <c r="FF293" s="307"/>
      <c r="FG293" s="307"/>
      <c r="FH293" s="306"/>
      <c r="FJ293" s="307"/>
      <c r="FK293" s="307"/>
      <c r="FL293" s="306"/>
      <c r="FM293" s="307"/>
      <c r="FN293" s="306"/>
      <c r="FO293" s="307"/>
      <c r="FP293" s="306"/>
    </row>
    <row r="294" spans="29:172">
      <c r="AC294" s="156"/>
      <c r="AI294" s="190">
        <v>233</v>
      </c>
      <c r="AJ294" s="185">
        <v>269</v>
      </c>
      <c r="AK294" s="183">
        <f t="shared" si="430"/>
        <v>233</v>
      </c>
      <c r="AO294" s="182">
        <v>3.8300000000000001E-2</v>
      </c>
      <c r="AP294" s="185">
        <v>269</v>
      </c>
      <c r="AQ294" s="184">
        <f t="shared" si="431"/>
        <v>3.8300000000000001E-2</v>
      </c>
      <c r="AR294" s="190">
        <v>233</v>
      </c>
      <c r="AS294" s="185">
        <v>269</v>
      </c>
      <c r="AT294" s="183">
        <f t="shared" si="432"/>
        <v>233</v>
      </c>
      <c r="AX294" s="182">
        <v>3.8300000000000001E-2</v>
      </c>
      <c r="AY294" s="185">
        <v>269</v>
      </c>
      <c r="AZ294" s="184">
        <f t="shared" si="433"/>
        <v>3.8300000000000001E-2</v>
      </c>
      <c r="BA294" s="190">
        <v>233</v>
      </c>
      <c r="BB294" s="185">
        <v>269</v>
      </c>
      <c r="BC294" s="183">
        <f t="shared" si="434"/>
        <v>233</v>
      </c>
      <c r="BG294" s="182">
        <v>3.8300000000000001E-2</v>
      </c>
      <c r="BH294" s="185">
        <v>269</v>
      </c>
      <c r="BI294" s="184">
        <f t="shared" si="435"/>
        <v>3.8300000000000001E-2</v>
      </c>
      <c r="CW294" s="364"/>
      <c r="CX294" s="316"/>
      <c r="CY294" s="316"/>
      <c r="DA294" s="309">
        <v>293</v>
      </c>
      <c r="DB294" s="313">
        <f t="shared" si="408"/>
        <v>306.64327863999728</v>
      </c>
      <c r="DC294" s="309">
        <f t="shared" si="409"/>
        <v>1</v>
      </c>
      <c r="DD294" s="309">
        <f t="shared" si="410"/>
        <v>260</v>
      </c>
      <c r="DE294" s="308">
        <f t="shared" si="411"/>
        <v>6.5000000000000002E-2</v>
      </c>
      <c r="DF294" s="313">
        <f t="shared" si="426"/>
        <v>293</v>
      </c>
      <c r="DG294" s="313">
        <f t="shared" si="415"/>
        <v>260</v>
      </c>
      <c r="DH294" s="313">
        <f t="shared" si="416"/>
        <v>260</v>
      </c>
      <c r="DI294" s="313">
        <f t="shared" si="417"/>
        <v>0</v>
      </c>
      <c r="DJ294" s="313">
        <f t="shared" si="418"/>
        <v>0</v>
      </c>
      <c r="DK294" s="313">
        <f t="shared" si="427"/>
        <v>71264.517269621676</v>
      </c>
      <c r="DL294" s="313">
        <f t="shared" si="419"/>
        <v>79820</v>
      </c>
      <c r="DM294" s="314">
        <f t="shared" si="420"/>
        <v>18.90570280914724</v>
      </c>
      <c r="DN294" s="312">
        <f t="shared" si="421"/>
        <v>6.4524582966372826E-2</v>
      </c>
      <c r="DO294" s="312">
        <f t="shared" si="428"/>
        <v>1</v>
      </c>
      <c r="DP294" s="315">
        <f t="shared" si="412"/>
        <v>6.5000000000000002E-2</v>
      </c>
      <c r="DQ294" s="316">
        <f t="shared" si="422"/>
        <v>0.25</v>
      </c>
      <c r="DR294" s="316">
        <f t="shared" si="423"/>
        <v>77.070754522942522</v>
      </c>
      <c r="DS294" s="314">
        <f t="shared" si="424"/>
        <v>3.8017014600885917</v>
      </c>
      <c r="DT294" s="316">
        <f t="shared" si="425"/>
        <v>77.070754522942522</v>
      </c>
      <c r="DU294" s="314">
        <f t="shared" si="413"/>
        <v>3.8017014600885917</v>
      </c>
      <c r="DV294" s="316">
        <f t="shared" si="429"/>
        <v>76.75</v>
      </c>
      <c r="DW294" s="310">
        <f t="shared" si="414"/>
        <v>4.0130293159609121</v>
      </c>
      <c r="FB294" s="307"/>
      <c r="FC294" s="307"/>
      <c r="FF294" s="307"/>
      <c r="FG294" s="307"/>
      <c r="FH294" s="306"/>
      <c r="FJ294" s="307"/>
      <c r="FK294" s="307"/>
      <c r="FL294" s="306"/>
      <c r="FM294" s="307"/>
      <c r="FN294" s="306"/>
      <c r="FO294" s="307"/>
      <c r="FP294" s="306"/>
    </row>
    <row r="295" spans="29:172">
      <c r="AC295" s="156"/>
      <c r="AI295" s="190">
        <v>232</v>
      </c>
      <c r="AJ295" s="185">
        <v>270</v>
      </c>
      <c r="AK295" s="183">
        <f t="shared" si="430"/>
        <v>232</v>
      </c>
      <c r="AO295" s="182">
        <v>3.8199999999999998E-2</v>
      </c>
      <c r="AP295" s="185">
        <v>270</v>
      </c>
      <c r="AQ295" s="184">
        <f t="shared" si="431"/>
        <v>3.8199999999999998E-2</v>
      </c>
      <c r="AR295" s="190">
        <v>232</v>
      </c>
      <c r="AS295" s="185">
        <v>270</v>
      </c>
      <c r="AT295" s="183">
        <f t="shared" si="432"/>
        <v>232</v>
      </c>
      <c r="AX295" s="182">
        <v>3.8199999999999998E-2</v>
      </c>
      <c r="AY295" s="185">
        <v>270</v>
      </c>
      <c r="AZ295" s="184">
        <f t="shared" si="433"/>
        <v>3.8199999999999998E-2</v>
      </c>
      <c r="BA295" s="190">
        <v>232</v>
      </c>
      <c r="BB295" s="185">
        <v>270</v>
      </c>
      <c r="BC295" s="183">
        <f t="shared" si="434"/>
        <v>232</v>
      </c>
      <c r="BG295" s="182">
        <v>3.8199999999999998E-2</v>
      </c>
      <c r="BH295" s="185">
        <v>270</v>
      </c>
      <c r="BI295" s="184">
        <f t="shared" si="435"/>
        <v>3.8199999999999998E-2</v>
      </c>
      <c r="CW295" s="364"/>
      <c r="CX295" s="316"/>
      <c r="CY295" s="316"/>
      <c r="DA295" s="309">
        <v>294</v>
      </c>
      <c r="DB295" s="313">
        <f t="shared" si="408"/>
        <v>307.0072488742635</v>
      </c>
      <c r="DC295" s="309">
        <f t="shared" si="409"/>
        <v>1</v>
      </c>
      <c r="DD295" s="309">
        <f t="shared" si="410"/>
        <v>260</v>
      </c>
      <c r="DE295" s="308">
        <f t="shared" si="411"/>
        <v>6.5000000000000002E-2</v>
      </c>
      <c r="DF295" s="313">
        <f t="shared" si="426"/>
        <v>294</v>
      </c>
      <c r="DG295" s="313">
        <f t="shared" si="415"/>
        <v>260</v>
      </c>
      <c r="DH295" s="313">
        <f t="shared" si="416"/>
        <v>260</v>
      </c>
      <c r="DI295" s="313">
        <f t="shared" si="417"/>
        <v>0</v>
      </c>
      <c r="DJ295" s="313">
        <f t="shared" si="418"/>
        <v>0</v>
      </c>
      <c r="DK295" s="313">
        <f t="shared" si="427"/>
        <v>71524.517269621676</v>
      </c>
      <c r="DL295" s="313">
        <f t="shared" si="419"/>
        <v>79560</v>
      </c>
      <c r="DM295" s="314">
        <f t="shared" si="420"/>
        <v>18.90570280914724</v>
      </c>
      <c r="DN295" s="312">
        <f t="shared" si="421"/>
        <v>6.4305111595738915E-2</v>
      </c>
      <c r="DO295" s="312">
        <f t="shared" si="428"/>
        <v>1</v>
      </c>
      <c r="DP295" s="315">
        <f t="shared" si="412"/>
        <v>6.5000000000000002E-2</v>
      </c>
      <c r="DQ295" s="316">
        <f t="shared" si="422"/>
        <v>0.25</v>
      </c>
      <c r="DR295" s="316">
        <f t="shared" si="423"/>
        <v>77.320754522942522</v>
      </c>
      <c r="DS295" s="314">
        <f t="shared" si="424"/>
        <v>3.8023426156914271</v>
      </c>
      <c r="DT295" s="316">
        <f t="shared" si="425"/>
        <v>77.320754522942522</v>
      </c>
      <c r="DU295" s="314">
        <f t="shared" si="413"/>
        <v>3.8023426156914271</v>
      </c>
      <c r="DV295" s="316">
        <f t="shared" si="429"/>
        <v>76.5</v>
      </c>
      <c r="DW295" s="310">
        <f t="shared" si="414"/>
        <v>4.0130718954248366</v>
      </c>
      <c r="FB295" s="307"/>
      <c r="FC295" s="307"/>
      <c r="FF295" s="307"/>
      <c r="FG295" s="307"/>
      <c r="FH295" s="306"/>
      <c r="FJ295" s="307"/>
      <c r="FK295" s="307"/>
      <c r="FL295" s="306"/>
      <c r="FM295" s="307"/>
      <c r="FN295" s="306"/>
      <c r="FO295" s="307"/>
      <c r="FP295" s="306"/>
    </row>
    <row r="296" spans="29:172">
      <c r="AC296" s="156"/>
      <c r="AI296" s="190">
        <v>231</v>
      </c>
      <c r="AJ296" s="185">
        <v>271</v>
      </c>
      <c r="AK296" s="183">
        <f t="shared" si="430"/>
        <v>231</v>
      </c>
      <c r="AO296" s="182">
        <v>3.8100000000000002E-2</v>
      </c>
      <c r="AP296" s="185">
        <v>271</v>
      </c>
      <c r="AQ296" s="184">
        <f t="shared" si="431"/>
        <v>3.8100000000000002E-2</v>
      </c>
      <c r="AR296" s="190">
        <v>231</v>
      </c>
      <c r="AS296" s="185">
        <v>271</v>
      </c>
      <c r="AT296" s="183">
        <f t="shared" si="432"/>
        <v>231</v>
      </c>
      <c r="AX296" s="182">
        <v>3.8100000000000002E-2</v>
      </c>
      <c r="AY296" s="185">
        <v>271</v>
      </c>
      <c r="AZ296" s="184">
        <f t="shared" si="433"/>
        <v>3.8100000000000002E-2</v>
      </c>
      <c r="BA296" s="190">
        <v>231</v>
      </c>
      <c r="BB296" s="185">
        <v>271</v>
      </c>
      <c r="BC296" s="183">
        <f t="shared" si="434"/>
        <v>231</v>
      </c>
      <c r="BG296" s="182">
        <v>3.8100000000000002E-2</v>
      </c>
      <c r="BH296" s="185">
        <v>271</v>
      </c>
      <c r="BI296" s="184">
        <f t="shared" si="435"/>
        <v>3.8100000000000002E-2</v>
      </c>
      <c r="CW296" s="364"/>
      <c r="CX296" s="316"/>
      <c r="CY296" s="316"/>
      <c r="DA296" s="309">
        <v>295</v>
      </c>
      <c r="DB296" s="313">
        <f t="shared" si="408"/>
        <v>307.37121910852966</v>
      </c>
      <c r="DC296" s="309">
        <f t="shared" si="409"/>
        <v>1</v>
      </c>
      <c r="DD296" s="309">
        <f t="shared" si="410"/>
        <v>260</v>
      </c>
      <c r="DE296" s="308">
        <f t="shared" si="411"/>
        <v>6.5000000000000002E-2</v>
      </c>
      <c r="DF296" s="313">
        <f t="shared" si="426"/>
        <v>295</v>
      </c>
      <c r="DG296" s="313">
        <f t="shared" si="415"/>
        <v>260</v>
      </c>
      <c r="DH296" s="313">
        <f t="shared" si="416"/>
        <v>260</v>
      </c>
      <c r="DI296" s="313">
        <f t="shared" si="417"/>
        <v>0</v>
      </c>
      <c r="DJ296" s="313">
        <f t="shared" si="418"/>
        <v>0</v>
      </c>
      <c r="DK296" s="313">
        <f t="shared" si="427"/>
        <v>71784.517269621676</v>
      </c>
      <c r="DL296" s="313">
        <f t="shared" si="419"/>
        <v>79300</v>
      </c>
      <c r="DM296" s="314">
        <f t="shared" si="420"/>
        <v>18.90570280914724</v>
      </c>
      <c r="DN296" s="312">
        <f t="shared" si="421"/>
        <v>6.408712816660081E-2</v>
      </c>
      <c r="DO296" s="312">
        <f t="shared" si="428"/>
        <v>1</v>
      </c>
      <c r="DP296" s="315">
        <f t="shared" si="412"/>
        <v>6.5000000000000002E-2</v>
      </c>
      <c r="DQ296" s="316">
        <f t="shared" si="422"/>
        <v>0.25</v>
      </c>
      <c r="DR296" s="316">
        <f t="shared" si="423"/>
        <v>77.570754522942522</v>
      </c>
      <c r="DS296" s="314">
        <f t="shared" si="424"/>
        <v>3.802979638579512</v>
      </c>
      <c r="DT296" s="316">
        <f t="shared" si="425"/>
        <v>77.570754522942522</v>
      </c>
      <c r="DU296" s="314">
        <f t="shared" si="413"/>
        <v>3.802979638579512</v>
      </c>
      <c r="DV296" s="316">
        <f t="shared" si="429"/>
        <v>76.25</v>
      </c>
      <c r="DW296" s="310">
        <f t="shared" si="414"/>
        <v>4.0131147540983605</v>
      </c>
      <c r="FB296" s="307"/>
      <c r="FC296" s="307"/>
      <c r="FF296" s="307"/>
      <c r="FG296" s="307"/>
      <c r="FH296" s="306"/>
      <c r="FJ296" s="307"/>
      <c r="FK296" s="307"/>
      <c r="FL296" s="306"/>
      <c r="FM296" s="307"/>
      <c r="FN296" s="306"/>
      <c r="FO296" s="307"/>
      <c r="FP296" s="306"/>
    </row>
    <row r="297" spans="29:172">
      <c r="AC297" s="156"/>
      <c r="AI297" s="190">
        <v>230</v>
      </c>
      <c r="AJ297" s="185">
        <v>272</v>
      </c>
      <c r="AK297" s="183">
        <f t="shared" si="430"/>
        <v>230</v>
      </c>
      <c r="AO297" s="182">
        <v>3.7999999999999999E-2</v>
      </c>
      <c r="AP297" s="185">
        <v>272</v>
      </c>
      <c r="AQ297" s="184">
        <f t="shared" si="431"/>
        <v>3.7999999999999999E-2</v>
      </c>
      <c r="AR297" s="190">
        <v>230</v>
      </c>
      <c r="AS297" s="185">
        <v>272</v>
      </c>
      <c r="AT297" s="183">
        <f t="shared" si="432"/>
        <v>230</v>
      </c>
      <c r="AX297" s="182">
        <v>3.7999999999999999E-2</v>
      </c>
      <c r="AY297" s="185">
        <v>272</v>
      </c>
      <c r="AZ297" s="184">
        <f t="shared" si="433"/>
        <v>3.7999999999999999E-2</v>
      </c>
      <c r="BA297" s="190">
        <v>230</v>
      </c>
      <c r="BB297" s="185">
        <v>272</v>
      </c>
      <c r="BC297" s="183">
        <f t="shared" si="434"/>
        <v>230</v>
      </c>
      <c r="BG297" s="182">
        <v>3.7999999999999999E-2</v>
      </c>
      <c r="BH297" s="185">
        <v>272</v>
      </c>
      <c r="BI297" s="184">
        <f t="shared" si="435"/>
        <v>3.7999999999999999E-2</v>
      </c>
      <c r="CW297" s="364"/>
      <c r="CX297" s="316"/>
      <c r="CY297" s="316"/>
      <c r="DA297" s="309">
        <v>296</v>
      </c>
      <c r="DB297" s="313">
        <f t="shared" si="408"/>
        <v>307.73518934279588</v>
      </c>
      <c r="DC297" s="309">
        <f t="shared" si="409"/>
        <v>1</v>
      </c>
      <c r="DD297" s="309">
        <f t="shared" si="410"/>
        <v>260</v>
      </c>
      <c r="DE297" s="308">
        <f t="shared" si="411"/>
        <v>6.5000000000000002E-2</v>
      </c>
      <c r="DF297" s="313">
        <f t="shared" si="426"/>
        <v>296</v>
      </c>
      <c r="DG297" s="313">
        <f t="shared" si="415"/>
        <v>260</v>
      </c>
      <c r="DH297" s="313">
        <f t="shared" si="416"/>
        <v>260</v>
      </c>
      <c r="DI297" s="313">
        <f t="shared" si="417"/>
        <v>0</v>
      </c>
      <c r="DJ297" s="313">
        <f t="shared" si="418"/>
        <v>0</v>
      </c>
      <c r="DK297" s="313">
        <f t="shared" si="427"/>
        <v>72044.517269621676</v>
      </c>
      <c r="DL297" s="313">
        <f t="shared" si="419"/>
        <v>79040</v>
      </c>
      <c r="DM297" s="314">
        <f t="shared" si="420"/>
        <v>18.90570280914724</v>
      </c>
      <c r="DN297" s="312">
        <f t="shared" si="421"/>
        <v>6.3870617598470403E-2</v>
      </c>
      <c r="DO297" s="312">
        <f t="shared" si="428"/>
        <v>1</v>
      </c>
      <c r="DP297" s="315">
        <f t="shared" si="412"/>
        <v>6.5000000000000002E-2</v>
      </c>
      <c r="DQ297" s="316">
        <f t="shared" si="422"/>
        <v>0.25</v>
      </c>
      <c r="DR297" s="316">
        <f t="shared" si="423"/>
        <v>77.820754522942522</v>
      </c>
      <c r="DS297" s="314">
        <f t="shared" si="424"/>
        <v>3.8036125685820168</v>
      </c>
      <c r="DT297" s="316">
        <f t="shared" si="425"/>
        <v>77.820754522942522</v>
      </c>
      <c r="DU297" s="314">
        <f t="shared" si="413"/>
        <v>3.8036125685820168</v>
      </c>
      <c r="DV297" s="316">
        <f t="shared" si="429"/>
        <v>76</v>
      </c>
      <c r="DW297" s="310">
        <f t="shared" si="414"/>
        <v>4.0131578947368425</v>
      </c>
      <c r="FB297" s="307"/>
      <c r="FC297" s="307"/>
      <c r="FF297" s="307"/>
      <c r="FG297" s="307"/>
      <c r="FH297" s="306"/>
      <c r="FJ297" s="307"/>
      <c r="FK297" s="307"/>
      <c r="FL297" s="306"/>
      <c r="FM297" s="307"/>
      <c r="FN297" s="306"/>
      <c r="FO297" s="307"/>
      <c r="FP297" s="306"/>
    </row>
    <row r="298" spans="29:172">
      <c r="AC298" s="156"/>
      <c r="AI298" s="190">
        <v>229</v>
      </c>
      <c r="AJ298" s="185">
        <v>273</v>
      </c>
      <c r="AK298" s="183">
        <f t="shared" si="430"/>
        <v>229</v>
      </c>
      <c r="AO298" s="182">
        <v>3.7900000000000003E-2</v>
      </c>
      <c r="AP298" s="185">
        <v>273</v>
      </c>
      <c r="AQ298" s="184">
        <f t="shared" si="431"/>
        <v>3.7900000000000003E-2</v>
      </c>
      <c r="AR298" s="190">
        <v>229</v>
      </c>
      <c r="AS298" s="185">
        <v>273</v>
      </c>
      <c r="AT298" s="183">
        <f t="shared" si="432"/>
        <v>229</v>
      </c>
      <c r="AX298" s="182">
        <v>3.7900000000000003E-2</v>
      </c>
      <c r="AY298" s="185">
        <v>273</v>
      </c>
      <c r="AZ298" s="184">
        <f t="shared" si="433"/>
        <v>3.7900000000000003E-2</v>
      </c>
      <c r="BA298" s="190">
        <v>229</v>
      </c>
      <c r="BB298" s="185">
        <v>273</v>
      </c>
      <c r="BC298" s="183">
        <f t="shared" si="434"/>
        <v>229</v>
      </c>
      <c r="BG298" s="182">
        <v>3.7900000000000003E-2</v>
      </c>
      <c r="BH298" s="185">
        <v>273</v>
      </c>
      <c r="BI298" s="184">
        <f t="shared" si="435"/>
        <v>3.7900000000000003E-2</v>
      </c>
      <c r="CW298" s="364"/>
      <c r="CX298" s="316"/>
      <c r="CY298" s="316"/>
      <c r="DA298" s="309">
        <v>297</v>
      </c>
      <c r="DB298" s="313">
        <f t="shared" si="408"/>
        <v>308.0991595770621</v>
      </c>
      <c r="DC298" s="309">
        <f t="shared" si="409"/>
        <v>1</v>
      </c>
      <c r="DD298" s="309">
        <f t="shared" si="410"/>
        <v>260</v>
      </c>
      <c r="DE298" s="308">
        <f t="shared" si="411"/>
        <v>6.5000000000000002E-2</v>
      </c>
      <c r="DF298" s="313">
        <f t="shared" si="426"/>
        <v>297</v>
      </c>
      <c r="DG298" s="313">
        <f t="shared" si="415"/>
        <v>260</v>
      </c>
      <c r="DH298" s="313">
        <f t="shared" si="416"/>
        <v>260</v>
      </c>
      <c r="DI298" s="313">
        <f t="shared" si="417"/>
        <v>0</v>
      </c>
      <c r="DJ298" s="313">
        <f t="shared" si="418"/>
        <v>0</v>
      </c>
      <c r="DK298" s="313">
        <f t="shared" si="427"/>
        <v>72304.517269621676</v>
      </c>
      <c r="DL298" s="313">
        <f t="shared" si="419"/>
        <v>78780</v>
      </c>
      <c r="DM298" s="314">
        <f t="shared" si="420"/>
        <v>18.90570280914724</v>
      </c>
      <c r="DN298" s="312">
        <f t="shared" si="421"/>
        <v>6.3655565013963772E-2</v>
      </c>
      <c r="DO298" s="312">
        <f t="shared" si="428"/>
        <v>1</v>
      </c>
      <c r="DP298" s="315">
        <f t="shared" si="412"/>
        <v>6.5000000000000002E-2</v>
      </c>
      <c r="DQ298" s="316">
        <f t="shared" si="422"/>
        <v>0.25</v>
      </c>
      <c r="DR298" s="316">
        <f t="shared" si="423"/>
        <v>78.070754522942522</v>
      </c>
      <c r="DS298" s="314">
        <f t="shared" si="424"/>
        <v>3.8042414450179436</v>
      </c>
      <c r="DT298" s="316">
        <f t="shared" si="425"/>
        <v>78.070754522942522</v>
      </c>
      <c r="DU298" s="314">
        <f t="shared" si="413"/>
        <v>3.8042414450179436</v>
      </c>
      <c r="DV298" s="316">
        <f t="shared" si="429"/>
        <v>75.75</v>
      </c>
      <c r="DW298" s="310">
        <f t="shared" si="414"/>
        <v>4.0132013201320129</v>
      </c>
      <c r="FB298" s="307"/>
      <c r="FC298" s="307"/>
      <c r="FF298" s="307"/>
      <c r="FG298" s="307"/>
      <c r="FH298" s="306"/>
      <c r="FJ298" s="307"/>
      <c r="FK298" s="307"/>
      <c r="FL298" s="306"/>
      <c r="FM298" s="307"/>
      <c r="FN298" s="306"/>
      <c r="FO298" s="307"/>
      <c r="FP298" s="306"/>
    </row>
    <row r="299" spans="29:172">
      <c r="AC299" s="156"/>
      <c r="AI299" s="190">
        <v>228</v>
      </c>
      <c r="AJ299" s="185">
        <v>274</v>
      </c>
      <c r="AK299" s="183">
        <f t="shared" si="430"/>
        <v>228</v>
      </c>
      <c r="AO299" s="182">
        <v>3.78E-2</v>
      </c>
      <c r="AP299" s="185">
        <v>274</v>
      </c>
      <c r="AQ299" s="184">
        <f t="shared" si="431"/>
        <v>3.78E-2</v>
      </c>
      <c r="AR299" s="190">
        <v>228</v>
      </c>
      <c r="AS299" s="185">
        <v>274</v>
      </c>
      <c r="AT299" s="183">
        <f t="shared" si="432"/>
        <v>228</v>
      </c>
      <c r="AX299" s="182">
        <v>3.78E-2</v>
      </c>
      <c r="AY299" s="185">
        <v>274</v>
      </c>
      <c r="AZ299" s="184">
        <f t="shared" si="433"/>
        <v>3.78E-2</v>
      </c>
      <c r="BA299" s="190">
        <v>228</v>
      </c>
      <c r="BB299" s="185">
        <v>274</v>
      </c>
      <c r="BC299" s="183">
        <f t="shared" si="434"/>
        <v>228</v>
      </c>
      <c r="BG299" s="182">
        <v>3.78E-2</v>
      </c>
      <c r="BH299" s="185">
        <v>274</v>
      </c>
      <c r="BI299" s="184">
        <f t="shared" si="435"/>
        <v>3.78E-2</v>
      </c>
      <c r="CW299" s="364"/>
      <c r="CX299" s="316"/>
      <c r="CY299" s="316"/>
      <c r="DA299" s="309">
        <v>298</v>
      </c>
      <c r="DB299" s="313">
        <f t="shared" si="408"/>
        <v>308.46312981132832</v>
      </c>
      <c r="DC299" s="309">
        <f t="shared" si="409"/>
        <v>1</v>
      </c>
      <c r="DD299" s="309">
        <f t="shared" si="410"/>
        <v>260</v>
      </c>
      <c r="DE299" s="308">
        <f t="shared" si="411"/>
        <v>6.5000000000000002E-2</v>
      </c>
      <c r="DF299" s="313">
        <f t="shared" si="426"/>
        <v>298</v>
      </c>
      <c r="DG299" s="313">
        <f t="shared" si="415"/>
        <v>260</v>
      </c>
      <c r="DH299" s="313">
        <f t="shared" si="416"/>
        <v>260</v>
      </c>
      <c r="DI299" s="313">
        <f t="shared" si="417"/>
        <v>0</v>
      </c>
      <c r="DJ299" s="313">
        <f t="shared" si="418"/>
        <v>0</v>
      </c>
      <c r="DK299" s="313">
        <f t="shared" si="427"/>
        <v>72564.517269621676</v>
      </c>
      <c r="DL299" s="313">
        <f t="shared" si="419"/>
        <v>78520</v>
      </c>
      <c r="DM299" s="314">
        <f t="shared" si="420"/>
        <v>18.90570280914724</v>
      </c>
      <c r="DN299" s="312">
        <f t="shared" si="421"/>
        <v>6.3441955735393421E-2</v>
      </c>
      <c r="DO299" s="312">
        <f t="shared" si="428"/>
        <v>1</v>
      </c>
      <c r="DP299" s="315">
        <f t="shared" si="412"/>
        <v>6.5000000000000002E-2</v>
      </c>
      <c r="DQ299" s="316">
        <f t="shared" si="422"/>
        <v>0.25</v>
      </c>
      <c r="DR299" s="316">
        <f t="shared" si="423"/>
        <v>78.320754522942522</v>
      </c>
      <c r="DS299" s="314">
        <f t="shared" si="424"/>
        <v>3.8048663067042692</v>
      </c>
      <c r="DT299" s="316">
        <f t="shared" si="425"/>
        <v>78.320754522942522</v>
      </c>
      <c r="DU299" s="314">
        <f t="shared" si="413"/>
        <v>3.8048663067042692</v>
      </c>
      <c r="DV299" s="316">
        <f t="shared" si="429"/>
        <v>75.5</v>
      </c>
      <c r="DW299" s="310">
        <f t="shared" si="414"/>
        <v>4.0132450331125824</v>
      </c>
      <c r="FB299" s="307"/>
      <c r="FC299" s="307"/>
      <c r="FF299" s="307"/>
      <c r="FG299" s="307"/>
      <c r="FH299" s="306"/>
      <c r="FJ299" s="307"/>
      <c r="FK299" s="307"/>
      <c r="FL299" s="306"/>
      <c r="FM299" s="307"/>
      <c r="FN299" s="306"/>
      <c r="FO299" s="307"/>
      <c r="FP299" s="306"/>
    </row>
    <row r="300" spans="29:172">
      <c r="AC300" s="156"/>
      <c r="AI300" s="190">
        <v>227</v>
      </c>
      <c r="AJ300" s="185">
        <v>275</v>
      </c>
      <c r="AK300" s="183">
        <f t="shared" si="430"/>
        <v>227</v>
      </c>
      <c r="AO300" s="182">
        <v>3.7699999999999997E-2</v>
      </c>
      <c r="AP300" s="185">
        <v>275</v>
      </c>
      <c r="AQ300" s="184">
        <f t="shared" si="431"/>
        <v>3.7699999999999997E-2</v>
      </c>
      <c r="AR300" s="190">
        <v>227</v>
      </c>
      <c r="AS300" s="185">
        <v>275</v>
      </c>
      <c r="AT300" s="183">
        <f t="shared" si="432"/>
        <v>227</v>
      </c>
      <c r="AX300" s="182">
        <v>3.7699999999999997E-2</v>
      </c>
      <c r="AY300" s="185">
        <v>275</v>
      </c>
      <c r="AZ300" s="184">
        <f t="shared" si="433"/>
        <v>3.7699999999999997E-2</v>
      </c>
      <c r="BA300" s="190">
        <v>227</v>
      </c>
      <c r="BB300" s="185">
        <v>275</v>
      </c>
      <c r="BC300" s="183">
        <f t="shared" si="434"/>
        <v>227</v>
      </c>
      <c r="BG300" s="182">
        <v>3.7699999999999997E-2</v>
      </c>
      <c r="BH300" s="185">
        <v>275</v>
      </c>
      <c r="BI300" s="184">
        <f t="shared" si="435"/>
        <v>3.7699999999999997E-2</v>
      </c>
      <c r="CW300" s="364"/>
      <c r="CX300" s="316"/>
      <c r="CY300" s="316"/>
      <c r="DA300" s="309">
        <v>299</v>
      </c>
      <c r="DB300" s="313">
        <f t="shared" si="408"/>
        <v>308.82710004559453</v>
      </c>
      <c r="DC300" s="309">
        <f t="shared" si="409"/>
        <v>1</v>
      </c>
      <c r="DD300" s="309">
        <f t="shared" si="410"/>
        <v>260</v>
      </c>
      <c r="DE300" s="308">
        <f t="shared" si="411"/>
        <v>6.5000000000000002E-2</v>
      </c>
      <c r="DF300" s="313">
        <f t="shared" si="426"/>
        <v>299</v>
      </c>
      <c r="DG300" s="313">
        <f t="shared" si="415"/>
        <v>260</v>
      </c>
      <c r="DH300" s="313">
        <f t="shared" si="416"/>
        <v>260</v>
      </c>
      <c r="DI300" s="313">
        <f t="shared" si="417"/>
        <v>0</v>
      </c>
      <c r="DJ300" s="313">
        <f t="shared" si="418"/>
        <v>0</v>
      </c>
      <c r="DK300" s="313">
        <f t="shared" si="427"/>
        <v>72824.517269621676</v>
      </c>
      <c r="DL300" s="313">
        <f t="shared" si="419"/>
        <v>78260</v>
      </c>
      <c r="DM300" s="314">
        <f t="shared" si="420"/>
        <v>18.90570280914724</v>
      </c>
      <c r="DN300" s="312">
        <f t="shared" si="421"/>
        <v>6.3229775281428896E-2</v>
      </c>
      <c r="DO300" s="312">
        <f t="shared" si="428"/>
        <v>1</v>
      </c>
      <c r="DP300" s="315">
        <f t="shared" si="412"/>
        <v>6.5000000000000002E-2</v>
      </c>
      <c r="DQ300" s="316">
        <f t="shared" si="422"/>
        <v>0.25</v>
      </c>
      <c r="DR300" s="316">
        <f t="shared" si="423"/>
        <v>78.570754522942522</v>
      </c>
      <c r="DS300" s="314">
        <f t="shared" si="424"/>
        <v>3.8054871919639326</v>
      </c>
      <c r="DT300" s="316">
        <f t="shared" si="425"/>
        <v>78.570754522942522</v>
      </c>
      <c r="DU300" s="314">
        <f t="shared" si="413"/>
        <v>3.8054871919639326</v>
      </c>
      <c r="DV300" s="316">
        <f t="shared" si="429"/>
        <v>75.25</v>
      </c>
      <c r="DW300" s="310">
        <f t="shared" si="414"/>
        <v>4.0132890365448501</v>
      </c>
      <c r="FB300" s="307"/>
      <c r="FC300" s="307"/>
      <c r="FF300" s="307"/>
      <c r="FG300" s="307"/>
      <c r="FH300" s="306"/>
      <c r="FJ300" s="307"/>
      <c r="FK300" s="307"/>
      <c r="FL300" s="306"/>
      <c r="FM300" s="307"/>
      <c r="FN300" s="306"/>
      <c r="FO300" s="307"/>
      <c r="FP300" s="306"/>
    </row>
    <row r="301" spans="29:172">
      <c r="AC301" s="156"/>
      <c r="AI301" s="190">
        <v>226</v>
      </c>
      <c r="AJ301" s="185">
        <v>276</v>
      </c>
      <c r="AK301" s="183">
        <f t="shared" si="430"/>
        <v>226</v>
      </c>
      <c r="AO301" s="182">
        <v>3.7600000000000001E-2</v>
      </c>
      <c r="AP301" s="185">
        <v>276</v>
      </c>
      <c r="AQ301" s="184">
        <f t="shared" si="431"/>
        <v>3.7600000000000001E-2</v>
      </c>
      <c r="AR301" s="190">
        <v>226</v>
      </c>
      <c r="AS301" s="185">
        <v>276</v>
      </c>
      <c r="AT301" s="183">
        <f t="shared" si="432"/>
        <v>226</v>
      </c>
      <c r="AX301" s="182">
        <v>3.7600000000000001E-2</v>
      </c>
      <c r="AY301" s="185">
        <v>276</v>
      </c>
      <c r="AZ301" s="184">
        <f t="shared" si="433"/>
        <v>3.7600000000000001E-2</v>
      </c>
      <c r="BA301" s="190">
        <v>226</v>
      </c>
      <c r="BB301" s="185">
        <v>276</v>
      </c>
      <c r="BC301" s="183">
        <f t="shared" si="434"/>
        <v>226</v>
      </c>
      <c r="BG301" s="182">
        <v>3.7600000000000001E-2</v>
      </c>
      <c r="BH301" s="185">
        <v>276</v>
      </c>
      <c r="BI301" s="184">
        <f t="shared" si="435"/>
        <v>3.7600000000000001E-2</v>
      </c>
      <c r="CW301" s="364"/>
      <c r="CX301" s="316"/>
      <c r="CY301" s="316"/>
      <c r="DA301" s="309">
        <v>300</v>
      </c>
      <c r="DB301" s="313">
        <f t="shared" si="408"/>
        <v>309.1910702798607</v>
      </c>
      <c r="DC301" s="309">
        <f t="shared" si="409"/>
        <v>1</v>
      </c>
      <c r="DD301" s="309">
        <f t="shared" si="410"/>
        <v>260</v>
      </c>
      <c r="DE301" s="308">
        <f t="shared" si="411"/>
        <v>6.5000000000000002E-2</v>
      </c>
      <c r="DF301" s="313">
        <f t="shared" si="426"/>
        <v>300</v>
      </c>
      <c r="DG301" s="313">
        <f t="shared" si="415"/>
        <v>260</v>
      </c>
      <c r="DH301" s="313">
        <f t="shared" si="416"/>
        <v>260</v>
      </c>
      <c r="DI301" s="313">
        <f t="shared" si="417"/>
        <v>0</v>
      </c>
      <c r="DJ301" s="313">
        <f t="shared" si="418"/>
        <v>0</v>
      </c>
      <c r="DK301" s="313">
        <f t="shared" si="427"/>
        <v>73084.517269621676</v>
      </c>
      <c r="DL301" s="313">
        <f t="shared" si="419"/>
        <v>78000</v>
      </c>
      <c r="DM301" s="314">
        <f t="shared" si="420"/>
        <v>18.90570280914724</v>
      </c>
      <c r="DN301" s="312">
        <f t="shared" si="421"/>
        <v>6.3019009363824138E-2</v>
      </c>
      <c r="DO301" s="312">
        <f t="shared" si="428"/>
        <v>1</v>
      </c>
      <c r="DP301" s="315">
        <f t="shared" si="412"/>
        <v>6.5000000000000002E-2</v>
      </c>
      <c r="DQ301" s="316">
        <f t="shared" si="422"/>
        <v>0.25</v>
      </c>
      <c r="DR301" s="316">
        <f t="shared" si="423"/>
        <v>78.820754522942522</v>
      </c>
      <c r="DS301" s="314">
        <f t="shared" si="424"/>
        <v>3.8061041386336689</v>
      </c>
      <c r="DT301" s="316">
        <f t="shared" si="425"/>
        <v>78.820754522942522</v>
      </c>
      <c r="DU301" s="314">
        <f t="shared" si="413"/>
        <v>3.8061041386336689</v>
      </c>
      <c r="DV301" s="316">
        <f t="shared" si="429"/>
        <v>75</v>
      </c>
      <c r="DW301" s="310">
        <f t="shared" si="414"/>
        <v>4.0133333333333336</v>
      </c>
      <c r="FB301" s="307"/>
      <c r="FC301" s="307"/>
      <c r="FF301" s="307"/>
      <c r="FG301" s="307"/>
      <c r="FH301" s="306"/>
      <c r="FJ301" s="307"/>
      <c r="FK301" s="307"/>
      <c r="FL301" s="306"/>
      <c r="FM301" s="307"/>
      <c r="FN301" s="306"/>
      <c r="FO301" s="307"/>
      <c r="FP301" s="306"/>
    </row>
    <row r="302" spans="29:172">
      <c r="AC302" s="156"/>
      <c r="AI302" s="190">
        <v>225</v>
      </c>
      <c r="AJ302" s="185">
        <v>277</v>
      </c>
      <c r="AK302" s="183">
        <f t="shared" si="430"/>
        <v>225</v>
      </c>
      <c r="AO302" s="182">
        <v>3.7499999999999999E-2</v>
      </c>
      <c r="AP302" s="185">
        <v>277</v>
      </c>
      <c r="AQ302" s="184">
        <f t="shared" si="431"/>
        <v>3.7499999999999999E-2</v>
      </c>
      <c r="AR302" s="190">
        <v>225</v>
      </c>
      <c r="AS302" s="185">
        <v>277</v>
      </c>
      <c r="AT302" s="183">
        <f t="shared" si="432"/>
        <v>225</v>
      </c>
      <c r="AX302" s="182">
        <v>3.7499999999999999E-2</v>
      </c>
      <c r="AY302" s="185">
        <v>277</v>
      </c>
      <c r="AZ302" s="184">
        <f t="shared" si="433"/>
        <v>3.7499999999999999E-2</v>
      </c>
      <c r="BA302" s="190">
        <v>225</v>
      </c>
      <c r="BB302" s="185">
        <v>277</v>
      </c>
      <c r="BC302" s="183">
        <f t="shared" si="434"/>
        <v>225</v>
      </c>
      <c r="BG302" s="182">
        <v>3.7499999999999999E-2</v>
      </c>
      <c r="BH302" s="185">
        <v>277</v>
      </c>
      <c r="BI302" s="184">
        <f t="shared" si="435"/>
        <v>3.7499999999999999E-2</v>
      </c>
      <c r="CW302" s="364"/>
      <c r="CX302" s="316"/>
      <c r="CY302" s="316"/>
      <c r="DA302" s="309">
        <v>301</v>
      </c>
      <c r="DB302" s="313">
        <f t="shared" si="408"/>
        <v>309.55504051412692</v>
      </c>
      <c r="DC302" s="309">
        <f t="shared" si="409"/>
        <v>1</v>
      </c>
      <c r="DD302" s="309">
        <f t="shared" si="410"/>
        <v>260</v>
      </c>
      <c r="DE302" s="308">
        <f t="shared" si="411"/>
        <v>6.5000000000000002E-2</v>
      </c>
      <c r="DF302" s="313">
        <f t="shared" si="426"/>
        <v>301</v>
      </c>
      <c r="DG302" s="313">
        <f t="shared" si="415"/>
        <v>260</v>
      </c>
      <c r="DH302" s="313">
        <f t="shared" si="416"/>
        <v>260</v>
      </c>
      <c r="DI302" s="313">
        <f t="shared" si="417"/>
        <v>0</v>
      </c>
      <c r="DJ302" s="313">
        <f t="shared" si="418"/>
        <v>0</v>
      </c>
      <c r="DK302" s="313">
        <f t="shared" si="427"/>
        <v>73344.517269621676</v>
      </c>
      <c r="DL302" s="313">
        <f t="shared" si="419"/>
        <v>77740</v>
      </c>
      <c r="DM302" s="314">
        <f t="shared" si="420"/>
        <v>18.90570280914724</v>
      </c>
      <c r="DN302" s="312">
        <f t="shared" si="421"/>
        <v>6.2809643884210092E-2</v>
      </c>
      <c r="DO302" s="312">
        <f t="shared" si="428"/>
        <v>1</v>
      </c>
      <c r="DP302" s="315">
        <f t="shared" si="412"/>
        <v>6.5000000000000002E-2</v>
      </c>
      <c r="DQ302" s="316">
        <f t="shared" si="422"/>
        <v>0.25</v>
      </c>
      <c r="DR302" s="316">
        <f t="shared" si="423"/>
        <v>79.070754522942522</v>
      </c>
      <c r="DS302" s="314">
        <f t="shared" si="424"/>
        <v>3.8067171840716951</v>
      </c>
      <c r="DT302" s="316">
        <f t="shared" si="425"/>
        <v>79.070754522942522</v>
      </c>
      <c r="DU302" s="314">
        <f t="shared" si="413"/>
        <v>3.8067171840716951</v>
      </c>
      <c r="DV302" s="316">
        <f t="shared" si="429"/>
        <v>74.75</v>
      </c>
      <c r="DW302" s="310">
        <f t="shared" si="414"/>
        <v>4.0133779264214047</v>
      </c>
      <c r="FB302" s="307"/>
      <c r="FC302" s="307"/>
      <c r="FF302" s="307"/>
      <c r="FG302" s="307"/>
      <c r="FH302" s="306"/>
      <c r="FJ302" s="307"/>
      <c r="FK302" s="307"/>
      <c r="FL302" s="306"/>
      <c r="FM302" s="307"/>
      <c r="FN302" s="306"/>
      <c r="FO302" s="307"/>
      <c r="FP302" s="306"/>
    </row>
    <row r="303" spans="29:172">
      <c r="AC303" s="156"/>
      <c r="AI303" s="190">
        <v>224</v>
      </c>
      <c r="AJ303" s="185">
        <v>278</v>
      </c>
      <c r="AK303" s="183">
        <f t="shared" si="430"/>
        <v>224</v>
      </c>
      <c r="AO303" s="182">
        <v>3.7400000000000003E-2</v>
      </c>
      <c r="AP303" s="185">
        <v>278</v>
      </c>
      <c r="AQ303" s="184">
        <f t="shared" si="431"/>
        <v>3.7400000000000003E-2</v>
      </c>
      <c r="AR303" s="190">
        <v>224</v>
      </c>
      <c r="AS303" s="185">
        <v>278</v>
      </c>
      <c r="AT303" s="183">
        <f t="shared" si="432"/>
        <v>224</v>
      </c>
      <c r="AX303" s="182">
        <v>3.7400000000000003E-2</v>
      </c>
      <c r="AY303" s="185">
        <v>278</v>
      </c>
      <c r="AZ303" s="184">
        <f t="shared" si="433"/>
        <v>3.7400000000000003E-2</v>
      </c>
      <c r="BA303" s="190">
        <v>224</v>
      </c>
      <c r="BB303" s="185">
        <v>278</v>
      </c>
      <c r="BC303" s="183">
        <f t="shared" si="434"/>
        <v>224</v>
      </c>
      <c r="BG303" s="182">
        <v>3.7400000000000003E-2</v>
      </c>
      <c r="BH303" s="185">
        <v>278</v>
      </c>
      <c r="BI303" s="184">
        <f t="shared" si="435"/>
        <v>3.7400000000000003E-2</v>
      </c>
      <c r="CW303" s="364"/>
      <c r="CX303" s="316"/>
      <c r="CY303" s="316"/>
      <c r="DA303" s="309">
        <v>302</v>
      </c>
      <c r="DB303" s="313">
        <f t="shared" si="408"/>
        <v>309.91901074839313</v>
      </c>
      <c r="DC303" s="309">
        <f t="shared" si="409"/>
        <v>1</v>
      </c>
      <c r="DD303" s="309">
        <f t="shared" si="410"/>
        <v>260</v>
      </c>
      <c r="DE303" s="308">
        <f t="shared" si="411"/>
        <v>6.5000000000000002E-2</v>
      </c>
      <c r="DF303" s="313">
        <f t="shared" si="426"/>
        <v>302</v>
      </c>
      <c r="DG303" s="313">
        <f t="shared" si="415"/>
        <v>260</v>
      </c>
      <c r="DH303" s="313">
        <f t="shared" si="416"/>
        <v>260</v>
      </c>
      <c r="DI303" s="313">
        <f t="shared" si="417"/>
        <v>0</v>
      </c>
      <c r="DJ303" s="313">
        <f t="shared" si="418"/>
        <v>0</v>
      </c>
      <c r="DK303" s="313">
        <f t="shared" si="427"/>
        <v>73604.517269621676</v>
      </c>
      <c r="DL303" s="313">
        <f t="shared" si="419"/>
        <v>77480</v>
      </c>
      <c r="DM303" s="314">
        <f t="shared" si="420"/>
        <v>18.90570280914724</v>
      </c>
      <c r="DN303" s="312">
        <f t="shared" si="421"/>
        <v>6.2601664930951123E-2</v>
      </c>
      <c r="DO303" s="312">
        <f t="shared" si="428"/>
        <v>1</v>
      </c>
      <c r="DP303" s="315">
        <f t="shared" si="412"/>
        <v>6.5000000000000002E-2</v>
      </c>
      <c r="DQ303" s="316">
        <f t="shared" si="422"/>
        <v>0.25</v>
      </c>
      <c r="DR303" s="316">
        <f t="shared" si="423"/>
        <v>79.320754522942522</v>
      </c>
      <c r="DS303" s="314">
        <f t="shared" si="424"/>
        <v>3.8073263651652525</v>
      </c>
      <c r="DT303" s="316">
        <f t="shared" si="425"/>
        <v>79.320754522942522</v>
      </c>
      <c r="DU303" s="314">
        <f t="shared" si="413"/>
        <v>3.8073263651652525</v>
      </c>
      <c r="DV303" s="316">
        <f t="shared" si="429"/>
        <v>74.5</v>
      </c>
      <c r="DW303" s="310">
        <f t="shared" si="414"/>
        <v>4.0134228187919465</v>
      </c>
      <c r="FB303" s="307"/>
      <c r="FC303" s="307"/>
      <c r="FF303" s="307"/>
      <c r="FG303" s="307"/>
      <c r="FH303" s="306"/>
      <c r="FJ303" s="307"/>
      <c r="FK303" s="307"/>
      <c r="FL303" s="306"/>
      <c r="FM303" s="307"/>
      <c r="FN303" s="306"/>
      <c r="FO303" s="307"/>
      <c r="FP303" s="306"/>
    </row>
    <row r="304" spans="29:172">
      <c r="AC304" s="156"/>
      <c r="AI304" s="190">
        <v>223</v>
      </c>
      <c r="AJ304" s="185">
        <v>279</v>
      </c>
      <c r="AK304" s="183">
        <f t="shared" si="430"/>
        <v>223</v>
      </c>
      <c r="AO304" s="182">
        <v>3.73E-2</v>
      </c>
      <c r="AP304" s="185">
        <v>279</v>
      </c>
      <c r="AQ304" s="184">
        <f t="shared" si="431"/>
        <v>3.73E-2</v>
      </c>
      <c r="AR304" s="190">
        <v>223</v>
      </c>
      <c r="AS304" s="185">
        <v>279</v>
      </c>
      <c r="AT304" s="183">
        <f t="shared" si="432"/>
        <v>223</v>
      </c>
      <c r="AX304" s="182">
        <v>3.73E-2</v>
      </c>
      <c r="AY304" s="185">
        <v>279</v>
      </c>
      <c r="AZ304" s="184">
        <f t="shared" si="433"/>
        <v>3.73E-2</v>
      </c>
      <c r="BA304" s="190">
        <v>223</v>
      </c>
      <c r="BB304" s="185">
        <v>279</v>
      </c>
      <c r="BC304" s="183">
        <f t="shared" si="434"/>
        <v>223</v>
      </c>
      <c r="BG304" s="182">
        <v>3.73E-2</v>
      </c>
      <c r="BH304" s="185">
        <v>279</v>
      </c>
      <c r="BI304" s="184">
        <f t="shared" si="435"/>
        <v>3.73E-2</v>
      </c>
      <c r="CW304" s="364"/>
      <c r="CX304" s="316"/>
      <c r="CY304" s="316"/>
      <c r="DA304" s="309">
        <v>303</v>
      </c>
      <c r="DB304" s="313">
        <f t="shared" si="408"/>
        <v>310.2829809826593</v>
      </c>
      <c r="DC304" s="309">
        <f t="shared" si="409"/>
        <v>1</v>
      </c>
      <c r="DD304" s="309">
        <f t="shared" si="410"/>
        <v>260</v>
      </c>
      <c r="DE304" s="308">
        <f t="shared" si="411"/>
        <v>6.5000000000000002E-2</v>
      </c>
      <c r="DF304" s="313">
        <f t="shared" si="426"/>
        <v>303</v>
      </c>
      <c r="DG304" s="313">
        <f t="shared" si="415"/>
        <v>260</v>
      </c>
      <c r="DH304" s="313">
        <f t="shared" si="416"/>
        <v>260</v>
      </c>
      <c r="DI304" s="313">
        <f t="shared" si="417"/>
        <v>0</v>
      </c>
      <c r="DJ304" s="313">
        <f t="shared" si="418"/>
        <v>0</v>
      </c>
      <c r="DK304" s="313">
        <f t="shared" si="427"/>
        <v>73864.517269621676</v>
      </c>
      <c r="DL304" s="313">
        <f t="shared" si="419"/>
        <v>77220</v>
      </c>
      <c r="DM304" s="314">
        <f t="shared" si="420"/>
        <v>18.90570280914724</v>
      </c>
      <c r="DN304" s="312">
        <f t="shared" si="421"/>
        <v>6.2395058776063494E-2</v>
      </c>
      <c r="DO304" s="312">
        <f t="shared" si="428"/>
        <v>1</v>
      </c>
      <c r="DP304" s="315">
        <f t="shared" si="412"/>
        <v>6.5000000000000002E-2</v>
      </c>
      <c r="DQ304" s="316">
        <f t="shared" si="422"/>
        <v>0.25</v>
      </c>
      <c r="DR304" s="316">
        <f t="shared" si="423"/>
        <v>79.570754522942522</v>
      </c>
      <c r="DS304" s="314">
        <f t="shared" si="424"/>
        <v>3.8079317183380037</v>
      </c>
      <c r="DT304" s="316">
        <f t="shared" si="425"/>
        <v>79.570754522942522</v>
      </c>
      <c r="DU304" s="314">
        <f t="shared" si="413"/>
        <v>3.8079317183380037</v>
      </c>
      <c r="DV304" s="316">
        <f t="shared" si="429"/>
        <v>74.25</v>
      </c>
      <c r="DW304" s="310">
        <f t="shared" si="414"/>
        <v>4.0134680134680139</v>
      </c>
      <c r="FB304" s="307"/>
      <c r="FC304" s="307"/>
      <c r="FF304" s="307"/>
      <c r="FG304" s="307"/>
      <c r="FH304" s="306"/>
      <c r="FJ304" s="307"/>
      <c r="FK304" s="307"/>
      <c r="FL304" s="306"/>
      <c r="FM304" s="307"/>
      <c r="FN304" s="306"/>
      <c r="FO304" s="307"/>
      <c r="FP304" s="306"/>
    </row>
    <row r="305" spans="29:172">
      <c r="AC305" s="156"/>
      <c r="AI305" s="190">
        <v>222</v>
      </c>
      <c r="AJ305" s="185">
        <v>280</v>
      </c>
      <c r="AK305" s="183">
        <f t="shared" si="430"/>
        <v>222</v>
      </c>
      <c r="AO305" s="182">
        <v>3.7199999999999997E-2</v>
      </c>
      <c r="AP305" s="185">
        <v>280</v>
      </c>
      <c r="AQ305" s="184">
        <f t="shared" si="431"/>
        <v>3.7199999999999997E-2</v>
      </c>
      <c r="AR305" s="190">
        <v>222</v>
      </c>
      <c r="AS305" s="185">
        <v>280</v>
      </c>
      <c r="AT305" s="183">
        <f t="shared" si="432"/>
        <v>222</v>
      </c>
      <c r="AX305" s="182">
        <v>3.7199999999999997E-2</v>
      </c>
      <c r="AY305" s="185">
        <v>280</v>
      </c>
      <c r="AZ305" s="184">
        <f t="shared" si="433"/>
        <v>3.7199999999999997E-2</v>
      </c>
      <c r="BA305" s="190">
        <v>222</v>
      </c>
      <c r="BB305" s="185">
        <v>280</v>
      </c>
      <c r="BC305" s="183">
        <f t="shared" si="434"/>
        <v>222</v>
      </c>
      <c r="BG305" s="182">
        <v>3.7199999999999997E-2</v>
      </c>
      <c r="BH305" s="185">
        <v>280</v>
      </c>
      <c r="BI305" s="184">
        <f t="shared" si="435"/>
        <v>3.7199999999999997E-2</v>
      </c>
      <c r="CW305" s="364"/>
      <c r="CX305" s="316"/>
      <c r="CY305" s="316"/>
      <c r="DA305" s="309">
        <v>304</v>
      </c>
      <c r="DB305" s="313">
        <f t="shared" si="408"/>
        <v>310.64695121692552</v>
      </c>
      <c r="DC305" s="309">
        <f t="shared" si="409"/>
        <v>1</v>
      </c>
      <c r="DD305" s="309">
        <f t="shared" si="410"/>
        <v>260</v>
      </c>
      <c r="DE305" s="308">
        <f t="shared" si="411"/>
        <v>6.5000000000000002E-2</v>
      </c>
      <c r="DF305" s="313">
        <f t="shared" si="426"/>
        <v>304</v>
      </c>
      <c r="DG305" s="313">
        <f t="shared" si="415"/>
        <v>260</v>
      </c>
      <c r="DH305" s="313">
        <f t="shared" si="416"/>
        <v>260</v>
      </c>
      <c r="DI305" s="313">
        <f t="shared" si="417"/>
        <v>0</v>
      </c>
      <c r="DJ305" s="313">
        <f t="shared" si="418"/>
        <v>0</v>
      </c>
      <c r="DK305" s="313">
        <f t="shared" si="427"/>
        <v>74124.517269621676</v>
      </c>
      <c r="DL305" s="313">
        <f t="shared" si="419"/>
        <v>76960</v>
      </c>
      <c r="DM305" s="314">
        <f t="shared" si="420"/>
        <v>18.90570280914724</v>
      </c>
      <c r="DN305" s="312">
        <f t="shared" si="421"/>
        <v>6.218981187219487E-2</v>
      </c>
      <c r="DO305" s="312">
        <f t="shared" si="428"/>
        <v>1</v>
      </c>
      <c r="DP305" s="315">
        <f t="shared" si="412"/>
        <v>6.5000000000000002E-2</v>
      </c>
      <c r="DQ305" s="316">
        <f t="shared" si="422"/>
        <v>0.25</v>
      </c>
      <c r="DR305" s="316">
        <f t="shared" si="423"/>
        <v>79.820754522942522</v>
      </c>
      <c r="DS305" s="314">
        <f t="shared" si="424"/>
        <v>3.8085332795572939</v>
      </c>
      <c r="DT305" s="316">
        <f t="shared" si="425"/>
        <v>79.820754522942522</v>
      </c>
      <c r="DU305" s="314">
        <f t="shared" si="413"/>
        <v>3.8085332795572939</v>
      </c>
      <c r="DV305" s="316">
        <f t="shared" si="429"/>
        <v>74</v>
      </c>
      <c r="DW305" s="310">
        <f t="shared" si="414"/>
        <v>4.0135135135135132</v>
      </c>
      <c r="FB305" s="307"/>
      <c r="FC305" s="307"/>
      <c r="FF305" s="307"/>
      <c r="FG305" s="307"/>
      <c r="FH305" s="306"/>
      <c r="FJ305" s="307"/>
      <c r="FK305" s="307"/>
      <c r="FL305" s="306"/>
      <c r="FM305" s="307"/>
      <c r="FN305" s="306"/>
      <c r="FO305" s="307"/>
      <c r="FP305" s="306"/>
    </row>
    <row r="306" spans="29:172">
      <c r="AC306" s="156"/>
      <c r="AI306" s="190">
        <v>221</v>
      </c>
      <c r="AJ306" s="185">
        <v>281</v>
      </c>
      <c r="AK306" s="183">
        <f t="shared" si="430"/>
        <v>221</v>
      </c>
      <c r="AO306" s="182">
        <v>3.7100000000000001E-2</v>
      </c>
      <c r="AP306" s="185">
        <v>281</v>
      </c>
      <c r="AQ306" s="184">
        <f t="shared" si="431"/>
        <v>3.7100000000000001E-2</v>
      </c>
      <c r="AR306" s="190">
        <v>221</v>
      </c>
      <c r="AS306" s="185">
        <v>281</v>
      </c>
      <c r="AT306" s="183">
        <f t="shared" si="432"/>
        <v>221</v>
      </c>
      <c r="AX306" s="182">
        <v>3.7100000000000001E-2</v>
      </c>
      <c r="AY306" s="185">
        <v>281</v>
      </c>
      <c r="AZ306" s="184">
        <f t="shared" si="433"/>
        <v>3.7100000000000001E-2</v>
      </c>
      <c r="BA306" s="190">
        <v>221</v>
      </c>
      <c r="BB306" s="185">
        <v>281</v>
      </c>
      <c r="BC306" s="183">
        <f t="shared" si="434"/>
        <v>221</v>
      </c>
      <c r="BG306" s="182">
        <v>3.7100000000000001E-2</v>
      </c>
      <c r="BH306" s="185">
        <v>281</v>
      </c>
      <c r="BI306" s="184">
        <f t="shared" si="435"/>
        <v>3.7100000000000001E-2</v>
      </c>
      <c r="CW306" s="364"/>
      <c r="CX306" s="316"/>
      <c r="CY306" s="316"/>
      <c r="DA306" s="309">
        <v>305</v>
      </c>
      <c r="DB306" s="313">
        <f t="shared" si="408"/>
        <v>311.01092145119173</v>
      </c>
      <c r="DC306" s="309">
        <f t="shared" si="409"/>
        <v>1</v>
      </c>
      <c r="DD306" s="309">
        <f t="shared" si="410"/>
        <v>260</v>
      </c>
      <c r="DE306" s="308">
        <f t="shared" si="411"/>
        <v>6.5000000000000002E-2</v>
      </c>
      <c r="DF306" s="313">
        <f t="shared" si="426"/>
        <v>305</v>
      </c>
      <c r="DG306" s="313">
        <f t="shared" si="415"/>
        <v>260</v>
      </c>
      <c r="DH306" s="313">
        <f t="shared" si="416"/>
        <v>260</v>
      </c>
      <c r="DI306" s="313">
        <f t="shared" si="417"/>
        <v>0</v>
      </c>
      <c r="DJ306" s="313">
        <f t="shared" si="418"/>
        <v>0</v>
      </c>
      <c r="DK306" s="313">
        <f t="shared" si="427"/>
        <v>74384.517269621676</v>
      </c>
      <c r="DL306" s="313">
        <f t="shared" si="419"/>
        <v>76700</v>
      </c>
      <c r="DM306" s="314">
        <f t="shared" si="420"/>
        <v>18.90570280914724</v>
      </c>
      <c r="DN306" s="312">
        <f t="shared" si="421"/>
        <v>6.1985910849663081E-2</v>
      </c>
      <c r="DO306" s="312">
        <f t="shared" si="428"/>
        <v>1</v>
      </c>
      <c r="DP306" s="315">
        <f t="shared" si="412"/>
        <v>6.5000000000000002E-2</v>
      </c>
      <c r="DQ306" s="316">
        <f t="shared" si="422"/>
        <v>0.25</v>
      </c>
      <c r="DR306" s="316">
        <f t="shared" si="423"/>
        <v>80.070754522942522</v>
      </c>
      <c r="DS306" s="314">
        <f t="shared" si="424"/>
        <v>3.8091310843412738</v>
      </c>
      <c r="DT306" s="316">
        <f t="shared" si="425"/>
        <v>80.070754522942522</v>
      </c>
      <c r="DU306" s="314">
        <f t="shared" si="413"/>
        <v>3.8091310843412738</v>
      </c>
      <c r="DV306" s="316">
        <f t="shared" si="429"/>
        <v>73.75</v>
      </c>
      <c r="DW306" s="310">
        <f t="shared" si="414"/>
        <v>4.0135593220338981</v>
      </c>
      <c r="FB306" s="307"/>
      <c r="FC306" s="307"/>
      <c r="FF306" s="307"/>
      <c r="FG306" s="307"/>
      <c r="FH306" s="306"/>
      <c r="FJ306" s="307"/>
      <c r="FK306" s="307"/>
      <c r="FL306" s="306"/>
      <c r="FM306" s="307"/>
      <c r="FN306" s="306"/>
      <c r="FO306" s="307"/>
      <c r="FP306" s="306"/>
    </row>
    <row r="307" spans="29:172">
      <c r="AC307" s="156"/>
      <c r="AI307" s="190">
        <v>220</v>
      </c>
      <c r="AJ307" s="185">
        <v>282</v>
      </c>
      <c r="AK307" s="183">
        <f t="shared" si="430"/>
        <v>220</v>
      </c>
      <c r="AO307" s="182">
        <v>3.6999999999999998E-2</v>
      </c>
      <c r="AP307" s="185">
        <v>282</v>
      </c>
      <c r="AQ307" s="184">
        <f t="shared" si="431"/>
        <v>3.6999999999999998E-2</v>
      </c>
      <c r="AR307" s="190">
        <v>220</v>
      </c>
      <c r="AS307" s="185">
        <v>282</v>
      </c>
      <c r="AT307" s="183">
        <f t="shared" si="432"/>
        <v>220</v>
      </c>
      <c r="AX307" s="182">
        <v>3.6999999999999998E-2</v>
      </c>
      <c r="AY307" s="185">
        <v>282</v>
      </c>
      <c r="AZ307" s="184">
        <f t="shared" si="433"/>
        <v>3.6999999999999998E-2</v>
      </c>
      <c r="BA307" s="190">
        <v>220</v>
      </c>
      <c r="BB307" s="185">
        <v>282</v>
      </c>
      <c r="BC307" s="183">
        <f t="shared" si="434"/>
        <v>220</v>
      </c>
      <c r="BG307" s="182">
        <v>3.6999999999999998E-2</v>
      </c>
      <c r="BH307" s="185">
        <v>282</v>
      </c>
      <c r="BI307" s="184">
        <f t="shared" si="435"/>
        <v>3.6999999999999998E-2</v>
      </c>
      <c r="CW307" s="364"/>
      <c r="CX307" s="316"/>
      <c r="CY307" s="316"/>
      <c r="DA307" s="309">
        <v>306</v>
      </c>
      <c r="DB307" s="313">
        <f t="shared" si="408"/>
        <v>311.3748916854579</v>
      </c>
      <c r="DC307" s="309">
        <f t="shared" si="409"/>
        <v>1</v>
      </c>
      <c r="DD307" s="309">
        <f t="shared" si="410"/>
        <v>260</v>
      </c>
      <c r="DE307" s="308">
        <f t="shared" si="411"/>
        <v>6.5000000000000002E-2</v>
      </c>
      <c r="DF307" s="313">
        <f t="shared" si="426"/>
        <v>306</v>
      </c>
      <c r="DG307" s="313">
        <f t="shared" si="415"/>
        <v>260</v>
      </c>
      <c r="DH307" s="313">
        <f t="shared" si="416"/>
        <v>260</v>
      </c>
      <c r="DI307" s="313">
        <f t="shared" si="417"/>
        <v>0</v>
      </c>
      <c r="DJ307" s="313">
        <f t="shared" si="418"/>
        <v>0</v>
      </c>
      <c r="DK307" s="313">
        <f t="shared" si="427"/>
        <v>74644.517269621676</v>
      </c>
      <c r="DL307" s="313">
        <f t="shared" si="419"/>
        <v>76440</v>
      </c>
      <c r="DM307" s="314">
        <f t="shared" si="420"/>
        <v>18.90570280914724</v>
      </c>
      <c r="DN307" s="312">
        <f t="shared" si="421"/>
        <v>6.1783342513553073E-2</v>
      </c>
      <c r="DO307" s="312">
        <f t="shared" si="428"/>
        <v>1</v>
      </c>
      <c r="DP307" s="315">
        <f t="shared" si="412"/>
        <v>6.5000000000000002E-2</v>
      </c>
      <c r="DQ307" s="316">
        <f t="shared" si="422"/>
        <v>0.25</v>
      </c>
      <c r="DR307" s="316">
        <f t="shared" si="423"/>
        <v>80.320754522942522</v>
      </c>
      <c r="DS307" s="314">
        <f t="shared" si="424"/>
        <v>3.809725167765889</v>
      </c>
      <c r="DT307" s="316">
        <f t="shared" si="425"/>
        <v>80.320754522942522</v>
      </c>
      <c r="DU307" s="314">
        <f t="shared" si="413"/>
        <v>3.809725167765889</v>
      </c>
      <c r="DV307" s="316">
        <f t="shared" si="429"/>
        <v>73.5</v>
      </c>
      <c r="DW307" s="310">
        <f t="shared" si="414"/>
        <v>4.0136054421768703</v>
      </c>
      <c r="FB307" s="307"/>
      <c r="FC307" s="307"/>
      <c r="FF307" s="307"/>
      <c r="FG307" s="307"/>
      <c r="FH307" s="306"/>
      <c r="FJ307" s="307"/>
      <c r="FK307" s="307"/>
      <c r="FL307" s="306"/>
      <c r="FM307" s="307"/>
      <c r="FN307" s="306"/>
      <c r="FO307" s="307"/>
      <c r="FP307" s="306"/>
    </row>
    <row r="308" spans="29:172">
      <c r="AC308" s="156"/>
      <c r="AI308" s="190">
        <v>219</v>
      </c>
      <c r="AJ308" s="185">
        <v>283</v>
      </c>
      <c r="AK308" s="183">
        <f t="shared" si="430"/>
        <v>219</v>
      </c>
      <c r="AO308" s="182">
        <v>3.6900000000000002E-2</v>
      </c>
      <c r="AP308" s="185">
        <v>283</v>
      </c>
      <c r="AQ308" s="184">
        <f t="shared" si="431"/>
        <v>3.6900000000000002E-2</v>
      </c>
      <c r="AR308" s="190">
        <v>219</v>
      </c>
      <c r="AS308" s="185">
        <v>283</v>
      </c>
      <c r="AT308" s="183">
        <f t="shared" si="432"/>
        <v>219</v>
      </c>
      <c r="AX308" s="182">
        <v>3.6900000000000002E-2</v>
      </c>
      <c r="AY308" s="185">
        <v>283</v>
      </c>
      <c r="AZ308" s="184">
        <f t="shared" si="433"/>
        <v>3.6900000000000002E-2</v>
      </c>
      <c r="BA308" s="190">
        <v>219</v>
      </c>
      <c r="BB308" s="185">
        <v>283</v>
      </c>
      <c r="BC308" s="183">
        <f t="shared" si="434"/>
        <v>219</v>
      </c>
      <c r="BG308" s="182">
        <v>3.6900000000000002E-2</v>
      </c>
      <c r="BH308" s="185">
        <v>283</v>
      </c>
      <c r="BI308" s="184">
        <f t="shared" si="435"/>
        <v>3.6900000000000002E-2</v>
      </c>
      <c r="CW308" s="364"/>
      <c r="CX308" s="316"/>
      <c r="CY308" s="316"/>
      <c r="DA308" s="309">
        <v>307</v>
      </c>
      <c r="DB308" s="313">
        <f t="shared" si="408"/>
        <v>311.73886191972412</v>
      </c>
      <c r="DC308" s="309">
        <f t="shared" si="409"/>
        <v>1</v>
      </c>
      <c r="DD308" s="309">
        <f t="shared" si="410"/>
        <v>260</v>
      </c>
      <c r="DE308" s="308">
        <f t="shared" si="411"/>
        <v>6.5000000000000002E-2</v>
      </c>
      <c r="DF308" s="313">
        <f t="shared" si="426"/>
        <v>307</v>
      </c>
      <c r="DG308" s="313">
        <f t="shared" si="415"/>
        <v>260</v>
      </c>
      <c r="DH308" s="313">
        <f t="shared" si="416"/>
        <v>260</v>
      </c>
      <c r="DI308" s="313">
        <f t="shared" si="417"/>
        <v>0</v>
      </c>
      <c r="DJ308" s="313">
        <f t="shared" si="418"/>
        <v>0</v>
      </c>
      <c r="DK308" s="313">
        <f t="shared" si="427"/>
        <v>74904.517269621676</v>
      </c>
      <c r="DL308" s="313">
        <f t="shared" si="419"/>
        <v>76180</v>
      </c>
      <c r="DM308" s="314">
        <f t="shared" si="420"/>
        <v>18.90570280914724</v>
      </c>
      <c r="DN308" s="312">
        <f t="shared" si="421"/>
        <v>6.1582093840870489E-2</v>
      </c>
      <c r="DO308" s="312">
        <f t="shared" si="428"/>
        <v>1</v>
      </c>
      <c r="DP308" s="315">
        <f t="shared" si="412"/>
        <v>6.5000000000000002E-2</v>
      </c>
      <c r="DQ308" s="316">
        <f t="shared" si="422"/>
        <v>0.25</v>
      </c>
      <c r="DR308" s="316">
        <f t="shared" si="423"/>
        <v>80.570754522942522</v>
      </c>
      <c r="DS308" s="314">
        <f t="shared" si="424"/>
        <v>3.8103155644717432</v>
      </c>
      <c r="DT308" s="316">
        <f t="shared" si="425"/>
        <v>80.570754522942522</v>
      </c>
      <c r="DU308" s="314">
        <f t="shared" si="413"/>
        <v>3.8103155644717432</v>
      </c>
      <c r="DV308" s="316">
        <f t="shared" si="429"/>
        <v>73.25</v>
      </c>
      <c r="DW308" s="310">
        <f t="shared" si="414"/>
        <v>4.013651877133106</v>
      </c>
      <c r="FB308" s="307"/>
      <c r="FC308" s="307"/>
      <c r="FF308" s="307"/>
      <c r="FG308" s="307"/>
      <c r="FH308" s="306"/>
      <c r="FJ308" s="307"/>
      <c r="FK308" s="307"/>
      <c r="FL308" s="306"/>
      <c r="FM308" s="307"/>
      <c r="FN308" s="306"/>
      <c r="FO308" s="307"/>
      <c r="FP308" s="306"/>
    </row>
    <row r="309" spans="29:172">
      <c r="AC309" s="156"/>
      <c r="AI309" s="190">
        <v>218</v>
      </c>
      <c r="AJ309" s="185">
        <v>284</v>
      </c>
      <c r="AK309" s="183">
        <f t="shared" si="430"/>
        <v>218</v>
      </c>
      <c r="AO309" s="182">
        <v>3.6799999999999999E-2</v>
      </c>
      <c r="AP309" s="185">
        <v>284</v>
      </c>
      <c r="AQ309" s="184">
        <f t="shared" si="431"/>
        <v>3.6799999999999999E-2</v>
      </c>
      <c r="AR309" s="190">
        <v>218</v>
      </c>
      <c r="AS309" s="185">
        <v>284</v>
      </c>
      <c r="AT309" s="183">
        <f t="shared" si="432"/>
        <v>218</v>
      </c>
      <c r="AX309" s="182">
        <v>3.6799999999999999E-2</v>
      </c>
      <c r="AY309" s="185">
        <v>284</v>
      </c>
      <c r="AZ309" s="184">
        <f t="shared" si="433"/>
        <v>3.6799999999999999E-2</v>
      </c>
      <c r="BA309" s="190">
        <v>218</v>
      </c>
      <c r="BB309" s="185">
        <v>284</v>
      </c>
      <c r="BC309" s="183">
        <f t="shared" si="434"/>
        <v>218</v>
      </c>
      <c r="BG309" s="182">
        <v>3.6799999999999999E-2</v>
      </c>
      <c r="BH309" s="185">
        <v>284</v>
      </c>
      <c r="BI309" s="184">
        <f t="shared" si="435"/>
        <v>3.6799999999999999E-2</v>
      </c>
      <c r="CW309" s="364"/>
      <c r="CX309" s="316"/>
      <c r="CY309" s="316"/>
      <c r="DA309" s="309">
        <v>308</v>
      </c>
      <c r="DB309" s="313">
        <f t="shared" si="408"/>
        <v>312.10283215399033</v>
      </c>
      <c r="DC309" s="309">
        <f t="shared" si="409"/>
        <v>1</v>
      </c>
      <c r="DD309" s="309">
        <f t="shared" si="410"/>
        <v>260</v>
      </c>
      <c r="DE309" s="308">
        <f t="shared" si="411"/>
        <v>6.5000000000000002E-2</v>
      </c>
      <c r="DF309" s="313">
        <f t="shared" si="426"/>
        <v>308</v>
      </c>
      <c r="DG309" s="313">
        <f t="shared" si="415"/>
        <v>260</v>
      </c>
      <c r="DH309" s="313">
        <f t="shared" si="416"/>
        <v>260</v>
      </c>
      <c r="DI309" s="313">
        <f t="shared" si="417"/>
        <v>0</v>
      </c>
      <c r="DJ309" s="313">
        <f t="shared" si="418"/>
        <v>0</v>
      </c>
      <c r="DK309" s="313">
        <f t="shared" si="427"/>
        <v>75164.517269621676</v>
      </c>
      <c r="DL309" s="313">
        <f t="shared" si="419"/>
        <v>75920</v>
      </c>
      <c r="DM309" s="314">
        <f t="shared" si="420"/>
        <v>18.90570280914724</v>
      </c>
      <c r="DN309" s="312">
        <f t="shared" si="421"/>
        <v>6.1382151977750779E-2</v>
      </c>
      <c r="DO309" s="312">
        <f t="shared" si="428"/>
        <v>1</v>
      </c>
      <c r="DP309" s="315">
        <f t="shared" si="412"/>
        <v>6.5000000000000002E-2</v>
      </c>
      <c r="DQ309" s="316">
        <f t="shared" si="422"/>
        <v>0.25</v>
      </c>
      <c r="DR309" s="316">
        <f t="shared" si="423"/>
        <v>80.820754522942522</v>
      </c>
      <c r="DS309" s="314">
        <f t="shared" si="424"/>
        <v>3.8109023086708289</v>
      </c>
      <c r="DT309" s="316">
        <f t="shared" si="425"/>
        <v>80.820754522942522</v>
      </c>
      <c r="DU309" s="314">
        <f t="shared" si="413"/>
        <v>3.8109023086708289</v>
      </c>
      <c r="DV309" s="316">
        <f t="shared" si="429"/>
        <v>73</v>
      </c>
      <c r="DW309" s="310">
        <f t="shared" si="414"/>
        <v>4.0136986301369859</v>
      </c>
      <c r="FB309" s="307"/>
      <c r="FC309" s="307"/>
      <c r="FF309" s="307"/>
      <c r="FG309" s="307"/>
      <c r="FH309" s="306"/>
      <c r="FJ309" s="307"/>
      <c r="FK309" s="307"/>
      <c r="FL309" s="306"/>
      <c r="FM309" s="307"/>
      <c r="FN309" s="306"/>
      <c r="FO309" s="307"/>
      <c r="FP309" s="306"/>
    </row>
    <row r="310" spans="29:172">
      <c r="AC310" s="156"/>
      <c r="AI310" s="190">
        <v>217</v>
      </c>
      <c r="AJ310" s="185">
        <v>285</v>
      </c>
      <c r="AK310" s="183">
        <f t="shared" si="430"/>
        <v>217</v>
      </c>
      <c r="AO310" s="182">
        <v>3.6700000000000003E-2</v>
      </c>
      <c r="AP310" s="185">
        <v>285</v>
      </c>
      <c r="AQ310" s="184">
        <f t="shared" si="431"/>
        <v>3.6700000000000003E-2</v>
      </c>
      <c r="AR310" s="190">
        <v>217</v>
      </c>
      <c r="AS310" s="185">
        <v>285</v>
      </c>
      <c r="AT310" s="183">
        <f t="shared" si="432"/>
        <v>217</v>
      </c>
      <c r="AX310" s="182">
        <v>3.6700000000000003E-2</v>
      </c>
      <c r="AY310" s="185">
        <v>285</v>
      </c>
      <c r="AZ310" s="184">
        <f t="shared" si="433"/>
        <v>3.6700000000000003E-2</v>
      </c>
      <c r="BA310" s="190">
        <v>217</v>
      </c>
      <c r="BB310" s="185">
        <v>285</v>
      </c>
      <c r="BC310" s="183">
        <f t="shared" si="434"/>
        <v>217</v>
      </c>
      <c r="BG310" s="182">
        <v>3.6700000000000003E-2</v>
      </c>
      <c r="BH310" s="185">
        <v>285</v>
      </c>
      <c r="BI310" s="184">
        <f t="shared" si="435"/>
        <v>3.6700000000000003E-2</v>
      </c>
      <c r="CW310" s="364"/>
      <c r="CX310" s="316"/>
      <c r="CY310" s="316"/>
      <c r="DA310" s="309">
        <v>309</v>
      </c>
      <c r="DB310" s="313">
        <f t="shared" si="408"/>
        <v>312.4668023882565</v>
      </c>
      <c r="DC310" s="309">
        <f t="shared" si="409"/>
        <v>1</v>
      </c>
      <c r="DD310" s="309">
        <f t="shared" si="410"/>
        <v>260</v>
      </c>
      <c r="DE310" s="308">
        <f t="shared" si="411"/>
        <v>6.5000000000000002E-2</v>
      </c>
      <c r="DF310" s="313">
        <f t="shared" si="426"/>
        <v>309</v>
      </c>
      <c r="DG310" s="313">
        <f t="shared" si="415"/>
        <v>260</v>
      </c>
      <c r="DH310" s="313">
        <f t="shared" si="416"/>
        <v>260</v>
      </c>
      <c r="DI310" s="313">
        <f t="shared" si="417"/>
        <v>0</v>
      </c>
      <c r="DJ310" s="313">
        <f t="shared" si="418"/>
        <v>0</v>
      </c>
      <c r="DK310" s="313">
        <f t="shared" si="427"/>
        <v>75424.517269621676</v>
      </c>
      <c r="DL310" s="313">
        <f t="shared" si="419"/>
        <v>75660</v>
      </c>
      <c r="DM310" s="314">
        <f t="shared" si="420"/>
        <v>18.90570280914724</v>
      </c>
      <c r="DN310" s="312">
        <f t="shared" si="421"/>
        <v>6.1183504236722461E-2</v>
      </c>
      <c r="DO310" s="312">
        <f t="shared" si="428"/>
        <v>1</v>
      </c>
      <c r="DP310" s="315">
        <f t="shared" si="412"/>
        <v>6.5000000000000002E-2</v>
      </c>
      <c r="DQ310" s="316">
        <f t="shared" si="422"/>
        <v>0.25</v>
      </c>
      <c r="DR310" s="316">
        <f t="shared" si="423"/>
        <v>81.070754522942522</v>
      </c>
      <c r="DS310" s="314">
        <f t="shared" si="424"/>
        <v>3.8114854341531372</v>
      </c>
      <c r="DT310" s="316">
        <f t="shared" si="425"/>
        <v>81.070754522942522</v>
      </c>
      <c r="DU310" s="314">
        <f t="shared" si="413"/>
        <v>3.8114854341531372</v>
      </c>
      <c r="DV310" s="316">
        <f t="shared" si="429"/>
        <v>72.75</v>
      </c>
      <c r="DW310" s="310">
        <f t="shared" si="414"/>
        <v>4.0137457044673539</v>
      </c>
      <c r="FB310" s="307"/>
      <c r="FC310" s="307"/>
      <c r="FF310" s="307"/>
      <c r="FG310" s="307"/>
      <c r="FH310" s="306"/>
      <c r="FJ310" s="307"/>
      <c r="FK310" s="307"/>
      <c r="FL310" s="306"/>
      <c r="FM310" s="307"/>
      <c r="FN310" s="306"/>
      <c r="FO310" s="307"/>
      <c r="FP310" s="306"/>
    </row>
    <row r="311" spans="29:172">
      <c r="AC311" s="156"/>
      <c r="AI311" s="190">
        <v>216</v>
      </c>
      <c r="AJ311" s="185">
        <v>286</v>
      </c>
      <c r="AK311" s="183">
        <f t="shared" si="430"/>
        <v>216</v>
      </c>
      <c r="AO311" s="182">
        <v>3.6600000000000001E-2</v>
      </c>
      <c r="AP311" s="185">
        <v>286</v>
      </c>
      <c r="AQ311" s="184">
        <f t="shared" si="431"/>
        <v>3.6600000000000001E-2</v>
      </c>
      <c r="AR311" s="190">
        <v>216</v>
      </c>
      <c r="AS311" s="185">
        <v>286</v>
      </c>
      <c r="AT311" s="183">
        <f t="shared" si="432"/>
        <v>216</v>
      </c>
      <c r="AX311" s="182">
        <v>3.6600000000000001E-2</v>
      </c>
      <c r="AY311" s="185">
        <v>286</v>
      </c>
      <c r="AZ311" s="184">
        <f t="shared" si="433"/>
        <v>3.6600000000000001E-2</v>
      </c>
      <c r="BA311" s="190">
        <v>216</v>
      </c>
      <c r="BB311" s="185">
        <v>286</v>
      </c>
      <c r="BC311" s="183">
        <f t="shared" si="434"/>
        <v>216</v>
      </c>
      <c r="BG311" s="182">
        <v>3.6600000000000001E-2</v>
      </c>
      <c r="BH311" s="185">
        <v>286</v>
      </c>
      <c r="BI311" s="184">
        <f t="shared" si="435"/>
        <v>3.6600000000000001E-2</v>
      </c>
      <c r="CW311" s="364"/>
      <c r="CX311" s="316"/>
      <c r="CY311" s="316"/>
      <c r="DA311" s="309">
        <v>310</v>
      </c>
      <c r="DB311" s="313">
        <f t="shared" si="408"/>
        <v>312.83077262252272</v>
      </c>
      <c r="DC311" s="309">
        <f t="shared" si="409"/>
        <v>1</v>
      </c>
      <c r="DD311" s="309">
        <f t="shared" si="410"/>
        <v>260</v>
      </c>
      <c r="DE311" s="308">
        <f t="shared" si="411"/>
        <v>6.5000000000000002E-2</v>
      </c>
      <c r="DF311" s="313">
        <f t="shared" si="426"/>
        <v>310</v>
      </c>
      <c r="DG311" s="313">
        <f t="shared" si="415"/>
        <v>260</v>
      </c>
      <c r="DH311" s="313">
        <f t="shared" si="416"/>
        <v>260</v>
      </c>
      <c r="DI311" s="313">
        <f t="shared" si="417"/>
        <v>0</v>
      </c>
      <c r="DJ311" s="313">
        <f t="shared" si="418"/>
        <v>0</v>
      </c>
      <c r="DK311" s="313">
        <f t="shared" si="427"/>
        <v>75684.517269621676</v>
      </c>
      <c r="DL311" s="313">
        <f t="shared" si="419"/>
        <v>75400</v>
      </c>
      <c r="DM311" s="314">
        <f t="shared" si="420"/>
        <v>18.90570280914724</v>
      </c>
      <c r="DN311" s="312">
        <f t="shared" si="421"/>
        <v>6.0986138094023354E-2</v>
      </c>
      <c r="DO311" s="312">
        <f t="shared" si="428"/>
        <v>1</v>
      </c>
      <c r="DP311" s="315">
        <f t="shared" si="412"/>
        <v>6.5000000000000002E-2</v>
      </c>
      <c r="DQ311" s="316">
        <f t="shared" si="422"/>
        <v>0.25</v>
      </c>
      <c r="DR311" s="316">
        <f t="shared" si="423"/>
        <v>81.320754522942522</v>
      </c>
      <c r="DS311" s="314">
        <f t="shared" si="424"/>
        <v>3.8120649742931443</v>
      </c>
      <c r="DT311" s="316">
        <f t="shared" si="425"/>
        <v>81.320754522942522</v>
      </c>
      <c r="DU311" s="314">
        <f t="shared" si="413"/>
        <v>3.8120649742931443</v>
      </c>
      <c r="DV311" s="316">
        <f t="shared" si="429"/>
        <v>72.5</v>
      </c>
      <c r="DW311" s="310">
        <f t="shared" si="414"/>
        <v>4.0137931034482754</v>
      </c>
      <c r="FB311" s="307"/>
      <c r="FC311" s="307"/>
      <c r="FF311" s="307"/>
      <c r="FG311" s="307"/>
      <c r="FH311" s="306"/>
      <c r="FJ311" s="307"/>
      <c r="FK311" s="307"/>
      <c r="FL311" s="306"/>
      <c r="FM311" s="307"/>
      <c r="FN311" s="306"/>
      <c r="FO311" s="307"/>
      <c r="FP311" s="306"/>
    </row>
    <row r="312" spans="29:172">
      <c r="AC312" s="156"/>
      <c r="AI312" s="190">
        <v>215</v>
      </c>
      <c r="AJ312" s="185">
        <v>287</v>
      </c>
      <c r="AK312" s="183">
        <f t="shared" si="430"/>
        <v>215</v>
      </c>
      <c r="AO312" s="182">
        <v>3.6499999999999998E-2</v>
      </c>
      <c r="AP312" s="185">
        <v>287</v>
      </c>
      <c r="AQ312" s="184">
        <f t="shared" si="431"/>
        <v>3.6499999999999998E-2</v>
      </c>
      <c r="AR312" s="190">
        <v>215</v>
      </c>
      <c r="AS312" s="185">
        <v>287</v>
      </c>
      <c r="AT312" s="183">
        <f t="shared" si="432"/>
        <v>215</v>
      </c>
      <c r="AX312" s="182">
        <v>3.6499999999999998E-2</v>
      </c>
      <c r="AY312" s="185">
        <v>287</v>
      </c>
      <c r="AZ312" s="184">
        <f t="shared" si="433"/>
        <v>3.6499999999999998E-2</v>
      </c>
      <c r="BA312" s="190">
        <v>215</v>
      </c>
      <c r="BB312" s="185">
        <v>287</v>
      </c>
      <c r="BC312" s="183">
        <f t="shared" si="434"/>
        <v>215</v>
      </c>
      <c r="BG312" s="182">
        <v>3.6499999999999998E-2</v>
      </c>
      <c r="BH312" s="185">
        <v>287</v>
      </c>
      <c r="BI312" s="184">
        <f t="shared" si="435"/>
        <v>3.6499999999999998E-2</v>
      </c>
      <c r="CW312" s="364"/>
      <c r="CX312" s="316"/>
      <c r="CY312" s="316"/>
      <c r="DA312" s="309">
        <v>311</v>
      </c>
      <c r="DB312" s="313">
        <f t="shared" si="408"/>
        <v>313.19474285678893</v>
      </c>
      <c r="DC312" s="309">
        <f t="shared" si="409"/>
        <v>1</v>
      </c>
      <c r="DD312" s="309">
        <f t="shared" si="410"/>
        <v>260</v>
      </c>
      <c r="DE312" s="308">
        <f t="shared" si="411"/>
        <v>6.5000000000000002E-2</v>
      </c>
      <c r="DF312" s="313">
        <f t="shared" si="426"/>
        <v>311</v>
      </c>
      <c r="DG312" s="313">
        <f t="shared" si="415"/>
        <v>260</v>
      </c>
      <c r="DH312" s="313">
        <f t="shared" si="416"/>
        <v>260</v>
      </c>
      <c r="DI312" s="313">
        <f t="shared" si="417"/>
        <v>0</v>
      </c>
      <c r="DJ312" s="313">
        <f t="shared" si="418"/>
        <v>0</v>
      </c>
      <c r="DK312" s="313">
        <f t="shared" si="427"/>
        <v>75944.517269621676</v>
      </c>
      <c r="DL312" s="313">
        <f t="shared" si="419"/>
        <v>75140</v>
      </c>
      <c r="DM312" s="314">
        <f t="shared" si="420"/>
        <v>18.90570280914724</v>
      </c>
      <c r="DN312" s="312">
        <f t="shared" si="421"/>
        <v>6.0790041186968617E-2</v>
      </c>
      <c r="DO312" s="312">
        <f t="shared" si="428"/>
        <v>1</v>
      </c>
      <c r="DP312" s="315">
        <f t="shared" si="412"/>
        <v>6.5000000000000002E-2</v>
      </c>
      <c r="DQ312" s="316">
        <f t="shared" si="422"/>
        <v>0.25</v>
      </c>
      <c r="DR312" s="316">
        <f t="shared" si="423"/>
        <v>81.570754522942522</v>
      </c>
      <c r="DS312" s="314">
        <f t="shared" si="424"/>
        <v>3.8126409620561792</v>
      </c>
      <c r="DT312" s="316">
        <f t="shared" si="425"/>
        <v>81.570754522942522</v>
      </c>
      <c r="DU312" s="314">
        <f t="shared" si="413"/>
        <v>3.8126409620561792</v>
      </c>
      <c r="DV312" s="316">
        <f t="shared" si="429"/>
        <v>72.25</v>
      </c>
      <c r="DW312" s="310">
        <f t="shared" si="414"/>
        <v>4.0138408304498272</v>
      </c>
      <c r="FB312" s="307"/>
      <c r="FC312" s="307"/>
      <c r="FF312" s="307"/>
      <c r="FG312" s="307"/>
      <c r="FH312" s="306"/>
      <c r="FJ312" s="307"/>
      <c r="FK312" s="307"/>
      <c r="FL312" s="306"/>
      <c r="FM312" s="307"/>
      <c r="FN312" s="306"/>
      <c r="FO312" s="307"/>
      <c r="FP312" s="306"/>
    </row>
    <row r="313" spans="29:172">
      <c r="AC313" s="156"/>
      <c r="AI313" s="190">
        <v>214</v>
      </c>
      <c r="AJ313" s="185">
        <v>288</v>
      </c>
      <c r="AK313" s="183">
        <f t="shared" si="430"/>
        <v>214</v>
      </c>
      <c r="AO313" s="182">
        <v>3.6400000000000002E-2</v>
      </c>
      <c r="AP313" s="185">
        <v>288</v>
      </c>
      <c r="AQ313" s="184">
        <f t="shared" si="431"/>
        <v>3.6400000000000002E-2</v>
      </c>
      <c r="AR313" s="190">
        <v>214</v>
      </c>
      <c r="AS313" s="185">
        <v>288</v>
      </c>
      <c r="AT313" s="183">
        <f t="shared" si="432"/>
        <v>214</v>
      </c>
      <c r="AX313" s="182">
        <v>3.6400000000000002E-2</v>
      </c>
      <c r="AY313" s="185">
        <v>288</v>
      </c>
      <c r="AZ313" s="184">
        <f t="shared" si="433"/>
        <v>3.6400000000000002E-2</v>
      </c>
      <c r="BA313" s="190">
        <v>214</v>
      </c>
      <c r="BB313" s="185">
        <v>288</v>
      </c>
      <c r="BC313" s="183">
        <f t="shared" si="434"/>
        <v>214</v>
      </c>
      <c r="BG313" s="182">
        <v>3.6400000000000002E-2</v>
      </c>
      <c r="BH313" s="185">
        <v>288</v>
      </c>
      <c r="BI313" s="184">
        <f t="shared" si="435"/>
        <v>3.6400000000000002E-2</v>
      </c>
      <c r="CW313" s="364"/>
      <c r="CX313" s="316"/>
      <c r="CY313" s="316"/>
      <c r="DA313" s="309">
        <v>312</v>
      </c>
      <c r="DB313" s="313">
        <f t="shared" si="408"/>
        <v>313.5587130910551</v>
      </c>
      <c r="DC313" s="309">
        <f t="shared" si="409"/>
        <v>1</v>
      </c>
      <c r="DD313" s="309">
        <f t="shared" si="410"/>
        <v>260</v>
      </c>
      <c r="DE313" s="308">
        <f t="shared" si="411"/>
        <v>6.5000000000000002E-2</v>
      </c>
      <c r="DF313" s="313">
        <f t="shared" si="426"/>
        <v>312</v>
      </c>
      <c r="DG313" s="313">
        <f t="shared" si="415"/>
        <v>260</v>
      </c>
      <c r="DH313" s="313">
        <f t="shared" si="416"/>
        <v>260</v>
      </c>
      <c r="DI313" s="313">
        <f t="shared" si="417"/>
        <v>0</v>
      </c>
      <c r="DJ313" s="313">
        <f t="shared" si="418"/>
        <v>0</v>
      </c>
      <c r="DK313" s="313">
        <f t="shared" si="427"/>
        <v>76204.517269621676</v>
      </c>
      <c r="DL313" s="313">
        <f t="shared" si="419"/>
        <v>74880</v>
      </c>
      <c r="DM313" s="314">
        <f t="shared" si="420"/>
        <v>18.90570280914724</v>
      </c>
      <c r="DN313" s="312">
        <f t="shared" si="421"/>
        <v>6.0595201311369355E-2</v>
      </c>
      <c r="DO313" s="312">
        <f t="shared" si="428"/>
        <v>1</v>
      </c>
      <c r="DP313" s="315">
        <f t="shared" si="412"/>
        <v>6.5000000000000002E-2</v>
      </c>
      <c r="DQ313" s="316">
        <f t="shared" si="422"/>
        <v>0.25</v>
      </c>
      <c r="DR313" s="316">
        <f t="shared" si="423"/>
        <v>81.820754522942522</v>
      </c>
      <c r="DS313" s="314">
        <f t="shared" si="424"/>
        <v>3.8132134300046729</v>
      </c>
      <c r="DT313" s="316">
        <f t="shared" si="425"/>
        <v>81.820754522942522</v>
      </c>
      <c r="DU313" s="314">
        <f t="shared" si="413"/>
        <v>3.8132134300046729</v>
      </c>
      <c r="DV313" s="316">
        <f t="shared" si="429"/>
        <v>72</v>
      </c>
      <c r="DW313" s="310">
        <f t="shared" si="414"/>
        <v>4.0138888888888893</v>
      </c>
      <c r="FB313" s="307"/>
      <c r="FC313" s="307"/>
      <c r="FF313" s="307"/>
      <c r="FG313" s="307"/>
      <c r="FH313" s="306"/>
      <c r="FJ313" s="307"/>
      <c r="FK313" s="307"/>
      <c r="FL313" s="306"/>
      <c r="FM313" s="307"/>
      <c r="FN313" s="306"/>
      <c r="FO313" s="307"/>
      <c r="FP313" s="306"/>
    </row>
    <row r="314" spans="29:172">
      <c r="AC314" s="156"/>
      <c r="AI314" s="190">
        <v>213</v>
      </c>
      <c r="AJ314" s="185">
        <v>289</v>
      </c>
      <c r="AK314" s="183">
        <f t="shared" si="430"/>
        <v>213</v>
      </c>
      <c r="AO314" s="182">
        <v>3.6299999999999999E-2</v>
      </c>
      <c r="AP314" s="185">
        <v>289</v>
      </c>
      <c r="AQ314" s="184">
        <f t="shared" si="431"/>
        <v>3.6299999999999999E-2</v>
      </c>
      <c r="AR314" s="190">
        <v>213</v>
      </c>
      <c r="AS314" s="185">
        <v>289</v>
      </c>
      <c r="AT314" s="183">
        <f t="shared" si="432"/>
        <v>213</v>
      </c>
      <c r="AX314" s="182">
        <v>3.6299999999999999E-2</v>
      </c>
      <c r="AY314" s="185">
        <v>289</v>
      </c>
      <c r="AZ314" s="184">
        <f t="shared" si="433"/>
        <v>3.6299999999999999E-2</v>
      </c>
      <c r="BA314" s="190">
        <v>213</v>
      </c>
      <c r="BB314" s="185">
        <v>289</v>
      </c>
      <c r="BC314" s="183">
        <f t="shared" si="434"/>
        <v>213</v>
      </c>
      <c r="BG314" s="182">
        <v>3.6299999999999999E-2</v>
      </c>
      <c r="BH314" s="185">
        <v>289</v>
      </c>
      <c r="BI314" s="184">
        <f t="shared" si="435"/>
        <v>3.6299999999999999E-2</v>
      </c>
      <c r="CW314" s="364"/>
      <c r="CX314" s="316"/>
      <c r="CY314" s="316"/>
      <c r="DA314" s="309">
        <v>313</v>
      </c>
      <c r="DB314" s="313">
        <f t="shared" si="408"/>
        <v>313.92268332532132</v>
      </c>
      <c r="DC314" s="309">
        <f t="shared" si="409"/>
        <v>1</v>
      </c>
      <c r="DD314" s="309">
        <f t="shared" si="410"/>
        <v>260</v>
      </c>
      <c r="DE314" s="308">
        <f t="shared" si="411"/>
        <v>6.5000000000000002E-2</v>
      </c>
      <c r="DF314" s="313">
        <f t="shared" si="426"/>
        <v>313</v>
      </c>
      <c r="DG314" s="313">
        <f t="shared" si="415"/>
        <v>260</v>
      </c>
      <c r="DH314" s="313">
        <f t="shared" si="416"/>
        <v>260</v>
      </c>
      <c r="DI314" s="313">
        <f t="shared" si="417"/>
        <v>0</v>
      </c>
      <c r="DJ314" s="313">
        <f t="shared" si="418"/>
        <v>0</v>
      </c>
      <c r="DK314" s="313">
        <f t="shared" si="427"/>
        <v>76464.517269621676</v>
      </c>
      <c r="DL314" s="313">
        <f t="shared" si="419"/>
        <v>74620</v>
      </c>
      <c r="DM314" s="314">
        <f t="shared" si="420"/>
        <v>18.90570280914724</v>
      </c>
      <c r="DN314" s="312">
        <f t="shared" si="421"/>
        <v>6.0401606419000768E-2</v>
      </c>
      <c r="DO314" s="312">
        <f t="shared" si="428"/>
        <v>1</v>
      </c>
      <c r="DP314" s="315">
        <f t="shared" si="412"/>
        <v>6.5000000000000002E-2</v>
      </c>
      <c r="DQ314" s="316">
        <f t="shared" si="422"/>
        <v>0.25</v>
      </c>
      <c r="DR314" s="316">
        <f t="shared" si="423"/>
        <v>82.070754522942522</v>
      </c>
      <c r="DS314" s="314">
        <f t="shared" si="424"/>
        <v>3.813782410304297</v>
      </c>
      <c r="DT314" s="316">
        <f t="shared" si="425"/>
        <v>82.070754522942522</v>
      </c>
      <c r="DU314" s="314">
        <f t="shared" si="413"/>
        <v>3.813782410304297</v>
      </c>
      <c r="DV314" s="316">
        <f t="shared" si="429"/>
        <v>71.75</v>
      </c>
      <c r="DW314" s="310">
        <f t="shared" si="414"/>
        <v>4.013937282229965</v>
      </c>
      <c r="FB314" s="307"/>
      <c r="FC314" s="307"/>
      <c r="FF314" s="307"/>
      <c r="FG314" s="307"/>
      <c r="FH314" s="306"/>
      <c r="FJ314" s="307"/>
      <c r="FK314" s="307"/>
      <c r="FL314" s="306"/>
      <c r="FM314" s="307"/>
      <c r="FN314" s="306"/>
      <c r="FO314" s="307"/>
      <c r="FP314" s="306"/>
    </row>
    <row r="315" spans="29:172">
      <c r="AC315" s="156"/>
      <c r="AI315" s="190">
        <v>212</v>
      </c>
      <c r="AJ315" s="185">
        <v>290</v>
      </c>
      <c r="AK315" s="183">
        <f t="shared" si="430"/>
        <v>212</v>
      </c>
      <c r="AO315" s="182">
        <v>3.6200000000000003E-2</v>
      </c>
      <c r="AP315" s="185">
        <v>290</v>
      </c>
      <c r="AQ315" s="184">
        <f t="shared" si="431"/>
        <v>3.6200000000000003E-2</v>
      </c>
      <c r="AR315" s="190">
        <v>212</v>
      </c>
      <c r="AS315" s="185">
        <v>290</v>
      </c>
      <c r="AT315" s="183">
        <f t="shared" si="432"/>
        <v>212</v>
      </c>
      <c r="AX315" s="182">
        <v>3.6200000000000003E-2</v>
      </c>
      <c r="AY315" s="185">
        <v>290</v>
      </c>
      <c r="AZ315" s="184">
        <f t="shared" si="433"/>
        <v>3.6200000000000003E-2</v>
      </c>
      <c r="BA315" s="190">
        <v>212</v>
      </c>
      <c r="BB315" s="185">
        <v>290</v>
      </c>
      <c r="BC315" s="183">
        <f t="shared" si="434"/>
        <v>212</v>
      </c>
      <c r="BG315" s="182">
        <v>3.6200000000000003E-2</v>
      </c>
      <c r="BH315" s="185">
        <v>290</v>
      </c>
      <c r="BI315" s="184">
        <f t="shared" si="435"/>
        <v>3.6200000000000003E-2</v>
      </c>
      <c r="CW315" s="364"/>
      <c r="CX315" s="316"/>
      <c r="CY315" s="316"/>
      <c r="DA315" s="309">
        <v>314</v>
      </c>
      <c r="DB315" s="313">
        <f t="shared" si="408"/>
        <v>314.28665355958753</v>
      </c>
      <c r="DC315" s="309">
        <f t="shared" si="409"/>
        <v>1</v>
      </c>
      <c r="DD315" s="309">
        <f t="shared" si="410"/>
        <v>260</v>
      </c>
      <c r="DE315" s="308">
        <f t="shared" si="411"/>
        <v>6.5000000000000002E-2</v>
      </c>
      <c r="DF315" s="313">
        <f t="shared" si="426"/>
        <v>314</v>
      </c>
      <c r="DG315" s="313">
        <f t="shared" si="415"/>
        <v>260</v>
      </c>
      <c r="DH315" s="313">
        <f t="shared" si="416"/>
        <v>260</v>
      </c>
      <c r="DI315" s="313">
        <f t="shared" si="417"/>
        <v>0</v>
      </c>
      <c r="DJ315" s="313">
        <f t="shared" si="418"/>
        <v>0</v>
      </c>
      <c r="DK315" s="313">
        <f t="shared" si="427"/>
        <v>76724.517269621676</v>
      </c>
      <c r="DL315" s="313">
        <f t="shared" si="419"/>
        <v>74360</v>
      </c>
      <c r="DM315" s="314">
        <f t="shared" si="420"/>
        <v>18.90570280914724</v>
      </c>
      <c r="DN315" s="312">
        <f t="shared" si="421"/>
        <v>6.0209244615118597E-2</v>
      </c>
      <c r="DO315" s="312">
        <f t="shared" si="428"/>
        <v>1</v>
      </c>
      <c r="DP315" s="315">
        <f t="shared" si="412"/>
        <v>6.5000000000000002E-2</v>
      </c>
      <c r="DQ315" s="316">
        <f t="shared" si="422"/>
        <v>0.25</v>
      </c>
      <c r="DR315" s="316">
        <f t="shared" si="423"/>
        <v>82.320754522942522</v>
      </c>
      <c r="DS315" s="314">
        <f t="shared" si="424"/>
        <v>3.8143479347299865</v>
      </c>
      <c r="DT315" s="316">
        <f t="shared" si="425"/>
        <v>82.320754522942522</v>
      </c>
      <c r="DU315" s="314">
        <f t="shared" si="413"/>
        <v>3.8143479347299865</v>
      </c>
      <c r="DV315" s="316">
        <f t="shared" si="429"/>
        <v>71.5</v>
      </c>
      <c r="DW315" s="310">
        <f t="shared" si="414"/>
        <v>4.0139860139860142</v>
      </c>
      <c r="FB315" s="307"/>
      <c r="FC315" s="307"/>
      <c r="FF315" s="307"/>
      <c r="FG315" s="307"/>
      <c r="FH315" s="306"/>
      <c r="FJ315" s="307"/>
      <c r="FK315" s="307"/>
      <c r="FL315" s="306"/>
      <c r="FM315" s="307"/>
      <c r="FN315" s="306"/>
      <c r="FO315" s="307"/>
      <c r="FP315" s="306"/>
    </row>
    <row r="316" spans="29:172">
      <c r="AC316" s="156"/>
      <c r="AI316" s="190">
        <v>211</v>
      </c>
      <c r="AJ316" s="185">
        <v>291</v>
      </c>
      <c r="AK316" s="183">
        <f t="shared" si="430"/>
        <v>211</v>
      </c>
      <c r="AO316" s="182">
        <v>3.61E-2</v>
      </c>
      <c r="AP316" s="185">
        <v>291</v>
      </c>
      <c r="AQ316" s="184">
        <f t="shared" si="431"/>
        <v>3.61E-2</v>
      </c>
      <c r="AR316" s="190">
        <v>211</v>
      </c>
      <c r="AS316" s="185">
        <v>291</v>
      </c>
      <c r="AT316" s="183">
        <f t="shared" si="432"/>
        <v>211</v>
      </c>
      <c r="AX316" s="182">
        <v>3.61E-2</v>
      </c>
      <c r="AY316" s="185">
        <v>291</v>
      </c>
      <c r="AZ316" s="184">
        <f t="shared" si="433"/>
        <v>3.61E-2</v>
      </c>
      <c r="BA316" s="190">
        <v>211</v>
      </c>
      <c r="BB316" s="185">
        <v>291</v>
      </c>
      <c r="BC316" s="183">
        <f t="shared" si="434"/>
        <v>211</v>
      </c>
      <c r="BG316" s="182">
        <v>3.61E-2</v>
      </c>
      <c r="BH316" s="185">
        <v>291</v>
      </c>
      <c r="BI316" s="184">
        <f t="shared" si="435"/>
        <v>3.61E-2</v>
      </c>
      <c r="CW316" s="364"/>
      <c r="CX316" s="316"/>
      <c r="CY316" s="316"/>
      <c r="DA316" s="309">
        <v>315</v>
      </c>
      <c r="DB316" s="313">
        <f t="shared" si="408"/>
        <v>314.65062379385375</v>
      </c>
      <c r="DC316" s="309">
        <f t="shared" si="409"/>
        <v>1</v>
      </c>
      <c r="DD316" s="309">
        <f t="shared" si="410"/>
        <v>260</v>
      </c>
      <c r="DE316" s="308">
        <f t="shared" si="411"/>
        <v>6.5000000000000002E-2</v>
      </c>
      <c r="DF316" s="313">
        <f t="shared" si="426"/>
        <v>315</v>
      </c>
      <c r="DG316" s="313">
        <f t="shared" si="415"/>
        <v>260</v>
      </c>
      <c r="DH316" s="313">
        <f t="shared" si="416"/>
        <v>260</v>
      </c>
      <c r="DI316" s="313">
        <f t="shared" si="417"/>
        <v>0</v>
      </c>
      <c r="DJ316" s="313">
        <f t="shared" si="418"/>
        <v>0</v>
      </c>
      <c r="DK316" s="313">
        <f t="shared" si="427"/>
        <v>76984.517269621676</v>
      </c>
      <c r="DL316" s="313">
        <f t="shared" si="419"/>
        <v>74100</v>
      </c>
      <c r="DM316" s="314">
        <f t="shared" si="420"/>
        <v>18.90570280914724</v>
      </c>
      <c r="DN316" s="312">
        <f t="shared" si="421"/>
        <v>6.0018104156022982E-2</v>
      </c>
      <c r="DO316" s="312">
        <f t="shared" si="428"/>
        <v>1</v>
      </c>
      <c r="DP316" s="315">
        <f t="shared" si="412"/>
        <v>6.5000000000000002E-2</v>
      </c>
      <c r="DQ316" s="316">
        <f t="shared" si="422"/>
        <v>0.25</v>
      </c>
      <c r="DR316" s="316">
        <f t="shared" si="423"/>
        <v>82.570754522942522</v>
      </c>
      <c r="DS316" s="314">
        <f t="shared" si="424"/>
        <v>3.8149100346718563</v>
      </c>
      <c r="DT316" s="316">
        <f t="shared" si="425"/>
        <v>82.570754522942522</v>
      </c>
      <c r="DU316" s="314">
        <f t="shared" si="413"/>
        <v>3.8149100346718563</v>
      </c>
      <c r="DV316" s="316">
        <f t="shared" si="429"/>
        <v>71.25</v>
      </c>
      <c r="DW316" s="310">
        <f t="shared" si="414"/>
        <v>4.0140350877192983</v>
      </c>
      <c r="FB316" s="307"/>
      <c r="FC316" s="307"/>
      <c r="FF316" s="307"/>
      <c r="FG316" s="307"/>
      <c r="FH316" s="306"/>
      <c r="FJ316" s="307"/>
      <c r="FK316" s="307"/>
      <c r="FL316" s="306"/>
      <c r="FM316" s="307"/>
      <c r="FN316" s="306"/>
      <c r="FO316" s="307"/>
      <c r="FP316" s="306"/>
    </row>
    <row r="317" spans="29:172">
      <c r="AC317" s="156"/>
      <c r="AI317" s="190">
        <v>210</v>
      </c>
      <c r="AJ317" s="185">
        <v>292</v>
      </c>
      <c r="AK317" s="183">
        <f t="shared" si="430"/>
        <v>210</v>
      </c>
      <c r="AO317" s="182">
        <v>3.5999999999999997E-2</v>
      </c>
      <c r="AP317" s="185">
        <v>292</v>
      </c>
      <c r="AQ317" s="184">
        <f t="shared" si="431"/>
        <v>3.5999999999999997E-2</v>
      </c>
      <c r="AR317" s="190">
        <v>210</v>
      </c>
      <c r="AS317" s="185">
        <v>292</v>
      </c>
      <c r="AT317" s="183">
        <f t="shared" si="432"/>
        <v>210</v>
      </c>
      <c r="AX317" s="182">
        <v>3.5999999999999997E-2</v>
      </c>
      <c r="AY317" s="185">
        <v>292</v>
      </c>
      <c r="AZ317" s="184">
        <f t="shared" si="433"/>
        <v>3.5999999999999997E-2</v>
      </c>
      <c r="BA317" s="190">
        <v>210</v>
      </c>
      <c r="BB317" s="185">
        <v>292</v>
      </c>
      <c r="BC317" s="183">
        <f t="shared" si="434"/>
        <v>210</v>
      </c>
      <c r="BG317" s="182">
        <v>3.5999999999999997E-2</v>
      </c>
      <c r="BH317" s="185">
        <v>292</v>
      </c>
      <c r="BI317" s="184">
        <f t="shared" si="435"/>
        <v>3.5999999999999997E-2</v>
      </c>
      <c r="CW317" s="364"/>
      <c r="CX317" s="316"/>
      <c r="CY317" s="316"/>
      <c r="DA317" s="309">
        <v>316</v>
      </c>
      <c r="DB317" s="313">
        <f t="shared" si="408"/>
        <v>315.01459402811997</v>
      </c>
      <c r="DC317" s="309">
        <f t="shared" si="409"/>
        <v>1</v>
      </c>
      <c r="DD317" s="309">
        <f t="shared" si="410"/>
        <v>260</v>
      </c>
      <c r="DE317" s="308">
        <f t="shared" si="411"/>
        <v>6.5000000000000002E-2</v>
      </c>
      <c r="DF317" s="313">
        <f t="shared" si="426"/>
        <v>316</v>
      </c>
      <c r="DG317" s="313">
        <f t="shared" si="415"/>
        <v>260</v>
      </c>
      <c r="DH317" s="313">
        <f t="shared" si="416"/>
        <v>260</v>
      </c>
      <c r="DI317" s="313">
        <f t="shared" si="417"/>
        <v>0</v>
      </c>
      <c r="DJ317" s="313">
        <f t="shared" si="418"/>
        <v>0</v>
      </c>
      <c r="DK317" s="313">
        <f t="shared" si="427"/>
        <v>77244.517269621676</v>
      </c>
      <c r="DL317" s="313">
        <f t="shared" si="419"/>
        <v>73840</v>
      </c>
      <c r="DM317" s="314">
        <f t="shared" si="420"/>
        <v>18.90570280914724</v>
      </c>
      <c r="DN317" s="312">
        <f t="shared" si="421"/>
        <v>5.9828173446668478E-2</v>
      </c>
      <c r="DO317" s="312">
        <f t="shared" si="428"/>
        <v>1</v>
      </c>
      <c r="DP317" s="315">
        <f t="shared" si="412"/>
        <v>6.5000000000000002E-2</v>
      </c>
      <c r="DQ317" s="316">
        <f t="shared" si="422"/>
        <v>0.25</v>
      </c>
      <c r="DR317" s="316">
        <f t="shared" si="423"/>
        <v>82.820754522942522</v>
      </c>
      <c r="DS317" s="314">
        <f t="shared" si="424"/>
        <v>3.8154687411410086</v>
      </c>
      <c r="DT317" s="316">
        <f t="shared" si="425"/>
        <v>82.820754522942522</v>
      </c>
      <c r="DU317" s="314">
        <f t="shared" si="413"/>
        <v>3.8154687411410086</v>
      </c>
      <c r="DV317" s="316">
        <f t="shared" si="429"/>
        <v>71</v>
      </c>
      <c r="DW317" s="310">
        <f t="shared" si="414"/>
        <v>4.0140845070422539</v>
      </c>
      <c r="FB317" s="307"/>
      <c r="FC317" s="307"/>
      <c r="FF317" s="307"/>
      <c r="FG317" s="307"/>
      <c r="FH317" s="306"/>
      <c r="FJ317" s="307"/>
      <c r="FK317" s="307"/>
      <c r="FL317" s="306"/>
      <c r="FM317" s="307"/>
      <c r="FN317" s="306"/>
      <c r="FO317" s="307"/>
      <c r="FP317" s="306"/>
    </row>
    <row r="318" spans="29:172">
      <c r="AC318" s="156"/>
      <c r="AI318" s="190">
        <v>209</v>
      </c>
      <c r="AJ318" s="185">
        <v>293</v>
      </c>
      <c r="AK318" s="183">
        <f t="shared" si="430"/>
        <v>209</v>
      </c>
      <c r="AO318" s="182">
        <v>3.5900000000000001E-2</v>
      </c>
      <c r="AP318" s="185">
        <v>293</v>
      </c>
      <c r="AQ318" s="184">
        <f t="shared" si="431"/>
        <v>3.5900000000000001E-2</v>
      </c>
      <c r="AR318" s="190">
        <v>209</v>
      </c>
      <c r="AS318" s="185">
        <v>293</v>
      </c>
      <c r="AT318" s="183">
        <f t="shared" si="432"/>
        <v>209</v>
      </c>
      <c r="AX318" s="182">
        <v>3.5900000000000001E-2</v>
      </c>
      <c r="AY318" s="185">
        <v>293</v>
      </c>
      <c r="AZ318" s="184">
        <f t="shared" si="433"/>
        <v>3.5900000000000001E-2</v>
      </c>
      <c r="BA318" s="190">
        <v>209</v>
      </c>
      <c r="BB318" s="185">
        <v>293</v>
      </c>
      <c r="BC318" s="183">
        <f t="shared" si="434"/>
        <v>209</v>
      </c>
      <c r="BG318" s="182">
        <v>3.5900000000000001E-2</v>
      </c>
      <c r="BH318" s="185">
        <v>293</v>
      </c>
      <c r="BI318" s="184">
        <f t="shared" si="435"/>
        <v>3.5900000000000001E-2</v>
      </c>
      <c r="CW318" s="364"/>
      <c r="CX318" s="316"/>
      <c r="CY318" s="316"/>
      <c r="DA318" s="309">
        <v>317</v>
      </c>
      <c r="DB318" s="313">
        <f t="shared" si="408"/>
        <v>315.37856426238613</v>
      </c>
      <c r="DC318" s="309">
        <f t="shared" si="409"/>
        <v>1</v>
      </c>
      <c r="DD318" s="309">
        <f t="shared" si="410"/>
        <v>260</v>
      </c>
      <c r="DE318" s="308">
        <f t="shared" si="411"/>
        <v>6.5000000000000002E-2</v>
      </c>
      <c r="DF318" s="313">
        <f t="shared" si="426"/>
        <v>317</v>
      </c>
      <c r="DG318" s="313">
        <f t="shared" si="415"/>
        <v>260</v>
      </c>
      <c r="DH318" s="313">
        <f t="shared" si="416"/>
        <v>260</v>
      </c>
      <c r="DI318" s="313">
        <f t="shared" si="417"/>
        <v>0</v>
      </c>
      <c r="DJ318" s="313">
        <f t="shared" si="418"/>
        <v>0</v>
      </c>
      <c r="DK318" s="313">
        <f t="shared" si="427"/>
        <v>77504.517269621676</v>
      </c>
      <c r="DL318" s="313">
        <f t="shared" si="419"/>
        <v>73580</v>
      </c>
      <c r="DM318" s="314">
        <f t="shared" si="420"/>
        <v>18.90570280914724</v>
      </c>
      <c r="DN318" s="312">
        <f t="shared" si="421"/>
        <v>5.963944103831937E-2</v>
      </c>
      <c r="DO318" s="312">
        <f t="shared" si="428"/>
        <v>1</v>
      </c>
      <c r="DP318" s="315">
        <f t="shared" si="412"/>
        <v>6.5000000000000002E-2</v>
      </c>
      <c r="DQ318" s="316">
        <f t="shared" si="422"/>
        <v>0.25</v>
      </c>
      <c r="DR318" s="316">
        <f t="shared" si="423"/>
        <v>83.070754522942522</v>
      </c>
      <c r="DS318" s="314">
        <f t="shared" si="424"/>
        <v>3.8160240847752358</v>
      </c>
      <c r="DT318" s="316">
        <f t="shared" si="425"/>
        <v>83.070754522942522</v>
      </c>
      <c r="DU318" s="314">
        <f t="shared" si="413"/>
        <v>3.8160240847752358</v>
      </c>
      <c r="DV318" s="316">
        <f t="shared" si="429"/>
        <v>70.75</v>
      </c>
      <c r="DW318" s="310">
        <f t="shared" si="414"/>
        <v>4.0141342756183747</v>
      </c>
      <c r="FB318" s="307"/>
      <c r="FC318" s="307"/>
      <c r="FF318" s="307"/>
      <c r="FG318" s="307"/>
      <c r="FH318" s="306"/>
      <c r="FJ318" s="307"/>
      <c r="FK318" s="307"/>
      <c r="FL318" s="306"/>
      <c r="FM318" s="307"/>
      <c r="FN318" s="306"/>
      <c r="FO318" s="307"/>
      <c r="FP318" s="306"/>
    </row>
    <row r="319" spans="29:172">
      <c r="AC319" s="156"/>
      <c r="AI319" s="190">
        <v>208</v>
      </c>
      <c r="AJ319" s="185">
        <v>294</v>
      </c>
      <c r="AK319" s="183">
        <f t="shared" si="430"/>
        <v>208</v>
      </c>
      <c r="AO319" s="182">
        <v>3.5799999999999998E-2</v>
      </c>
      <c r="AP319" s="185">
        <v>294</v>
      </c>
      <c r="AQ319" s="184">
        <f t="shared" si="431"/>
        <v>3.5799999999999998E-2</v>
      </c>
      <c r="AR319" s="190">
        <v>208</v>
      </c>
      <c r="AS319" s="185">
        <v>294</v>
      </c>
      <c r="AT319" s="183">
        <f t="shared" si="432"/>
        <v>208</v>
      </c>
      <c r="AX319" s="182">
        <v>3.5799999999999998E-2</v>
      </c>
      <c r="AY319" s="185">
        <v>294</v>
      </c>
      <c r="AZ319" s="184">
        <f t="shared" si="433"/>
        <v>3.5799999999999998E-2</v>
      </c>
      <c r="BA319" s="190">
        <v>208</v>
      </c>
      <c r="BB319" s="185">
        <v>294</v>
      </c>
      <c r="BC319" s="183">
        <f t="shared" si="434"/>
        <v>208</v>
      </c>
      <c r="BG319" s="182">
        <v>3.5799999999999998E-2</v>
      </c>
      <c r="BH319" s="185">
        <v>294</v>
      </c>
      <c r="BI319" s="184">
        <f t="shared" si="435"/>
        <v>3.5799999999999998E-2</v>
      </c>
      <c r="CW319" s="364"/>
      <c r="CX319" s="316"/>
      <c r="CY319" s="316"/>
      <c r="DA319" s="309">
        <v>318</v>
      </c>
      <c r="DB319" s="313">
        <f t="shared" si="408"/>
        <v>315.74253449665235</v>
      </c>
      <c r="DC319" s="309">
        <f t="shared" si="409"/>
        <v>1</v>
      </c>
      <c r="DD319" s="309">
        <f t="shared" si="410"/>
        <v>260</v>
      </c>
      <c r="DE319" s="308">
        <f t="shared" si="411"/>
        <v>6.5000000000000002E-2</v>
      </c>
      <c r="DF319" s="313">
        <f t="shared" si="426"/>
        <v>318</v>
      </c>
      <c r="DG319" s="313">
        <f t="shared" si="415"/>
        <v>260</v>
      </c>
      <c r="DH319" s="313">
        <f t="shared" si="416"/>
        <v>260</v>
      </c>
      <c r="DI319" s="313">
        <f t="shared" si="417"/>
        <v>0</v>
      </c>
      <c r="DJ319" s="313">
        <f t="shared" si="418"/>
        <v>0</v>
      </c>
      <c r="DK319" s="313">
        <f t="shared" si="427"/>
        <v>77764.517269621676</v>
      </c>
      <c r="DL319" s="313">
        <f t="shared" si="419"/>
        <v>73320</v>
      </c>
      <c r="DM319" s="314">
        <f t="shared" si="420"/>
        <v>18.90570280914724</v>
      </c>
      <c r="DN319" s="312">
        <f t="shared" si="421"/>
        <v>5.9451895626249182E-2</v>
      </c>
      <c r="DO319" s="312">
        <f t="shared" si="428"/>
        <v>1</v>
      </c>
      <c r="DP319" s="315">
        <f t="shared" si="412"/>
        <v>6.5000000000000002E-2</v>
      </c>
      <c r="DQ319" s="316">
        <f t="shared" si="422"/>
        <v>0.25</v>
      </c>
      <c r="DR319" s="316">
        <f t="shared" si="423"/>
        <v>83.320754522942522</v>
      </c>
      <c r="DS319" s="314">
        <f t="shared" si="424"/>
        <v>3.8165760958446207</v>
      </c>
      <c r="DT319" s="316">
        <f t="shared" si="425"/>
        <v>83.320754522942522</v>
      </c>
      <c r="DU319" s="314">
        <f t="shared" si="413"/>
        <v>3.8165760958446207</v>
      </c>
      <c r="DV319" s="316">
        <f t="shared" si="429"/>
        <v>70.5</v>
      </c>
      <c r="DW319" s="310">
        <f t="shared" si="414"/>
        <v>4.0141843971631204</v>
      </c>
      <c r="FB319" s="307"/>
      <c r="FC319" s="307"/>
      <c r="FF319" s="307"/>
      <c r="FG319" s="307"/>
      <c r="FH319" s="306"/>
      <c r="FJ319" s="307"/>
      <c r="FK319" s="307"/>
      <c r="FL319" s="306"/>
      <c r="FM319" s="307"/>
      <c r="FN319" s="306"/>
      <c r="FO319" s="307"/>
      <c r="FP319" s="306"/>
    </row>
    <row r="320" spans="29:172">
      <c r="AC320" s="156"/>
      <c r="AI320" s="190">
        <v>207</v>
      </c>
      <c r="AJ320" s="185">
        <v>295</v>
      </c>
      <c r="AK320" s="183">
        <f t="shared" si="430"/>
        <v>207</v>
      </c>
      <c r="AO320" s="182">
        <v>3.5700000000000003E-2</v>
      </c>
      <c r="AP320" s="185">
        <v>295</v>
      </c>
      <c r="AQ320" s="184">
        <f t="shared" si="431"/>
        <v>3.5700000000000003E-2</v>
      </c>
      <c r="AR320" s="190">
        <v>207</v>
      </c>
      <c r="AS320" s="185">
        <v>295</v>
      </c>
      <c r="AT320" s="183">
        <f t="shared" si="432"/>
        <v>207</v>
      </c>
      <c r="AX320" s="182">
        <v>3.5700000000000003E-2</v>
      </c>
      <c r="AY320" s="185">
        <v>295</v>
      </c>
      <c r="AZ320" s="184">
        <f t="shared" si="433"/>
        <v>3.5700000000000003E-2</v>
      </c>
      <c r="BA320" s="190">
        <v>207</v>
      </c>
      <c r="BB320" s="185">
        <v>295</v>
      </c>
      <c r="BC320" s="183">
        <f t="shared" si="434"/>
        <v>207</v>
      </c>
      <c r="BG320" s="182">
        <v>3.5700000000000003E-2</v>
      </c>
      <c r="BH320" s="185">
        <v>295</v>
      </c>
      <c r="BI320" s="184">
        <f t="shared" si="435"/>
        <v>3.5700000000000003E-2</v>
      </c>
      <c r="CW320" s="364"/>
      <c r="CX320" s="316"/>
      <c r="CY320" s="316"/>
      <c r="DA320" s="309">
        <v>319</v>
      </c>
      <c r="DB320" s="313">
        <f t="shared" si="408"/>
        <v>316.10650473091857</v>
      </c>
      <c r="DC320" s="309">
        <f t="shared" si="409"/>
        <v>1</v>
      </c>
      <c r="DD320" s="309">
        <f t="shared" si="410"/>
        <v>260</v>
      </c>
      <c r="DE320" s="308">
        <f t="shared" si="411"/>
        <v>6.5000000000000002E-2</v>
      </c>
      <c r="DF320" s="313">
        <f t="shared" si="426"/>
        <v>319</v>
      </c>
      <c r="DG320" s="313">
        <f t="shared" si="415"/>
        <v>260</v>
      </c>
      <c r="DH320" s="313">
        <f t="shared" si="416"/>
        <v>260</v>
      </c>
      <c r="DI320" s="313">
        <f t="shared" si="417"/>
        <v>0</v>
      </c>
      <c r="DJ320" s="313">
        <f t="shared" si="418"/>
        <v>0</v>
      </c>
      <c r="DK320" s="313">
        <f t="shared" si="427"/>
        <v>78024.517269621676</v>
      </c>
      <c r="DL320" s="313">
        <f t="shared" si="419"/>
        <v>73060</v>
      </c>
      <c r="DM320" s="314">
        <f t="shared" si="420"/>
        <v>18.90570280914724</v>
      </c>
      <c r="DN320" s="312">
        <f t="shared" si="421"/>
        <v>5.9265526047483509E-2</v>
      </c>
      <c r="DO320" s="312">
        <f t="shared" si="428"/>
        <v>1</v>
      </c>
      <c r="DP320" s="315">
        <f t="shared" si="412"/>
        <v>6.5000000000000002E-2</v>
      </c>
      <c r="DQ320" s="316">
        <f t="shared" si="422"/>
        <v>0.25</v>
      </c>
      <c r="DR320" s="316">
        <f t="shared" si="423"/>
        <v>83.570754522942522</v>
      </c>
      <c r="DS320" s="314">
        <f t="shared" si="424"/>
        <v>3.8171248042570385</v>
      </c>
      <c r="DT320" s="316">
        <f t="shared" si="425"/>
        <v>83.570754522942522</v>
      </c>
      <c r="DU320" s="314">
        <f t="shared" si="413"/>
        <v>3.8171248042570385</v>
      </c>
      <c r="DV320" s="316">
        <f t="shared" si="429"/>
        <v>70.25</v>
      </c>
      <c r="DW320" s="310">
        <f t="shared" si="414"/>
        <v>4.0142348754448403</v>
      </c>
      <c r="FB320" s="307"/>
      <c r="FC320" s="307"/>
      <c r="FF320" s="307"/>
      <c r="FG320" s="307"/>
      <c r="FH320" s="306"/>
      <c r="FJ320" s="307"/>
      <c r="FK320" s="307"/>
      <c r="FL320" s="306"/>
      <c r="FM320" s="307"/>
      <c r="FN320" s="306"/>
      <c r="FO320" s="307"/>
      <c r="FP320" s="306"/>
    </row>
    <row r="321" spans="29:172">
      <c r="AC321" s="156"/>
      <c r="AI321" s="190">
        <v>206</v>
      </c>
      <c r="AJ321" s="185">
        <v>296</v>
      </c>
      <c r="AK321" s="183">
        <f t="shared" si="430"/>
        <v>206</v>
      </c>
      <c r="AO321" s="182">
        <v>3.56E-2</v>
      </c>
      <c r="AP321" s="185">
        <v>296</v>
      </c>
      <c r="AQ321" s="184">
        <f t="shared" si="431"/>
        <v>3.56E-2</v>
      </c>
      <c r="AR321" s="190">
        <v>206</v>
      </c>
      <c r="AS321" s="185">
        <v>296</v>
      </c>
      <c r="AT321" s="183">
        <f t="shared" si="432"/>
        <v>206</v>
      </c>
      <c r="AX321" s="182">
        <v>3.56E-2</v>
      </c>
      <c r="AY321" s="185">
        <v>296</v>
      </c>
      <c r="AZ321" s="184">
        <f t="shared" si="433"/>
        <v>3.56E-2</v>
      </c>
      <c r="BA321" s="190">
        <v>206</v>
      </c>
      <c r="BB321" s="185">
        <v>296</v>
      </c>
      <c r="BC321" s="183">
        <f t="shared" si="434"/>
        <v>206</v>
      </c>
      <c r="BG321" s="182">
        <v>3.56E-2</v>
      </c>
      <c r="BH321" s="185">
        <v>296</v>
      </c>
      <c r="BI321" s="184">
        <f t="shared" si="435"/>
        <v>3.56E-2</v>
      </c>
      <c r="CW321" s="364"/>
      <c r="CX321" s="316"/>
      <c r="CY321" s="316"/>
      <c r="DA321" s="309">
        <v>320</v>
      </c>
      <c r="DB321" s="313">
        <f t="shared" si="408"/>
        <v>316.47047496518474</v>
      </c>
      <c r="DC321" s="309">
        <f t="shared" si="409"/>
        <v>1</v>
      </c>
      <c r="DD321" s="309">
        <f t="shared" si="410"/>
        <v>260</v>
      </c>
      <c r="DE321" s="308">
        <f t="shared" si="411"/>
        <v>6.5000000000000002E-2</v>
      </c>
      <c r="DF321" s="313">
        <f t="shared" si="426"/>
        <v>320</v>
      </c>
      <c r="DG321" s="313">
        <f t="shared" si="415"/>
        <v>260</v>
      </c>
      <c r="DH321" s="313">
        <f t="shared" si="416"/>
        <v>260</v>
      </c>
      <c r="DI321" s="313">
        <f t="shared" si="417"/>
        <v>0</v>
      </c>
      <c r="DJ321" s="313">
        <f t="shared" si="418"/>
        <v>0</v>
      </c>
      <c r="DK321" s="313">
        <f t="shared" si="427"/>
        <v>78284.517269621676</v>
      </c>
      <c r="DL321" s="313">
        <f t="shared" si="419"/>
        <v>72800</v>
      </c>
      <c r="DM321" s="314">
        <f t="shared" si="420"/>
        <v>18.90570280914724</v>
      </c>
      <c r="DN321" s="312">
        <f t="shared" si="421"/>
        <v>5.9080321278585125E-2</v>
      </c>
      <c r="DO321" s="312">
        <f t="shared" si="428"/>
        <v>1</v>
      </c>
      <c r="DP321" s="315">
        <f t="shared" si="412"/>
        <v>6.5000000000000002E-2</v>
      </c>
      <c r="DQ321" s="316">
        <f t="shared" si="422"/>
        <v>0.25</v>
      </c>
      <c r="DR321" s="316">
        <f t="shared" si="423"/>
        <v>83.820754522942522</v>
      </c>
      <c r="DS321" s="314">
        <f t="shared" si="424"/>
        <v>3.8176702395635562</v>
      </c>
      <c r="DT321" s="316">
        <f t="shared" si="425"/>
        <v>83.820754522942522</v>
      </c>
      <c r="DU321" s="314">
        <f t="shared" si="413"/>
        <v>3.8176702395635562</v>
      </c>
      <c r="DV321" s="316">
        <f t="shared" si="429"/>
        <v>70</v>
      </c>
      <c r="DW321" s="310">
        <f t="shared" si="414"/>
        <v>4.0142857142857142</v>
      </c>
      <c r="FB321" s="307"/>
      <c r="FC321" s="307"/>
      <c r="FF321" s="307"/>
      <c r="FG321" s="307"/>
      <c r="FH321" s="306"/>
      <c r="FJ321" s="307"/>
      <c r="FK321" s="307"/>
      <c r="FL321" s="306"/>
      <c r="FM321" s="307"/>
      <c r="FN321" s="306"/>
      <c r="FO321" s="307"/>
      <c r="FP321" s="306"/>
    </row>
    <row r="322" spans="29:172">
      <c r="AC322" s="156"/>
      <c r="AI322" s="190">
        <v>205</v>
      </c>
      <c r="AJ322" s="185">
        <v>297</v>
      </c>
      <c r="AK322" s="183">
        <f t="shared" si="430"/>
        <v>205</v>
      </c>
      <c r="AO322" s="182">
        <v>3.5499999999999997E-2</v>
      </c>
      <c r="AP322" s="185">
        <v>297</v>
      </c>
      <c r="AQ322" s="184">
        <f t="shared" si="431"/>
        <v>3.5499999999999997E-2</v>
      </c>
      <c r="AR322" s="190">
        <v>205</v>
      </c>
      <c r="AS322" s="185">
        <v>297</v>
      </c>
      <c r="AT322" s="183">
        <f t="shared" si="432"/>
        <v>205</v>
      </c>
      <c r="AX322" s="182">
        <v>3.5499999999999997E-2</v>
      </c>
      <c r="AY322" s="185">
        <v>297</v>
      </c>
      <c r="AZ322" s="184">
        <f t="shared" si="433"/>
        <v>3.5499999999999997E-2</v>
      </c>
      <c r="BA322" s="190">
        <v>205</v>
      </c>
      <c r="BB322" s="185">
        <v>297</v>
      </c>
      <c r="BC322" s="183">
        <f t="shared" si="434"/>
        <v>205</v>
      </c>
      <c r="BG322" s="182">
        <v>3.5499999999999997E-2</v>
      </c>
      <c r="BH322" s="185">
        <v>297</v>
      </c>
      <c r="BI322" s="184">
        <f t="shared" si="435"/>
        <v>3.5499999999999997E-2</v>
      </c>
      <c r="CW322" s="364"/>
      <c r="CX322" s="316"/>
      <c r="CY322" s="316"/>
      <c r="DA322" s="309">
        <v>321</v>
      </c>
      <c r="DB322" s="313">
        <f t="shared" ref="DB322:DB385" si="436">start+DA322*tanO</f>
        <v>316.83444519945095</v>
      </c>
      <c r="DC322" s="309">
        <f t="shared" ref="DC322:DC385" si="437">IF(DA322&lt;edge_width,1,IF(DA322&lt;mid_width,2,IF(DA322&lt;=tot_width,3,4)))</f>
        <v>1</v>
      </c>
      <c r="DD322" s="309">
        <f t="shared" ref="DD322:DD385" si="438">CHOOSE(DC322,edge_thick,second_thick,core_thick,0)</f>
        <v>260</v>
      </c>
      <c r="DE322" s="308">
        <f t="shared" ref="DE322:DE385" si="439">CHOOSE(DC322,edge_k,second_k,core_k,0)</f>
        <v>6.5000000000000002E-2</v>
      </c>
      <c r="DF322" s="313">
        <f t="shared" si="426"/>
        <v>321</v>
      </c>
      <c r="DG322" s="313">
        <f t="shared" si="415"/>
        <v>260</v>
      </c>
      <c r="DH322" s="313">
        <f t="shared" si="416"/>
        <v>260</v>
      </c>
      <c r="DI322" s="313">
        <f t="shared" si="417"/>
        <v>0</v>
      </c>
      <c r="DJ322" s="313">
        <f t="shared" si="418"/>
        <v>0</v>
      </c>
      <c r="DK322" s="313">
        <f t="shared" si="427"/>
        <v>78544.517269621676</v>
      </c>
      <c r="DL322" s="313">
        <f t="shared" si="419"/>
        <v>72540</v>
      </c>
      <c r="DM322" s="314">
        <f t="shared" si="420"/>
        <v>18.90570280914724</v>
      </c>
      <c r="DN322" s="312">
        <f t="shared" si="421"/>
        <v>5.8896270433480495E-2</v>
      </c>
      <c r="DO322" s="312">
        <f t="shared" si="428"/>
        <v>1</v>
      </c>
      <c r="DP322" s="315">
        <f t="shared" ref="DP322:DP385" si="440">DE322*DO322^CHOOSE(DC322,mult1,mult2,mult3,0)</f>
        <v>6.5000000000000002E-2</v>
      </c>
      <c r="DQ322" s="316">
        <f t="shared" si="422"/>
        <v>0.25</v>
      </c>
      <c r="DR322" s="316">
        <f t="shared" si="423"/>
        <v>84.070754522942522</v>
      </c>
      <c r="DS322" s="314">
        <f t="shared" si="424"/>
        <v>3.8182124309637375</v>
      </c>
      <c r="DT322" s="316">
        <f t="shared" si="425"/>
        <v>84.070754522942522</v>
      </c>
      <c r="DU322" s="314">
        <f t="shared" ref="DU322:DU385" si="441">IF(DC322&lt;&gt;4,CHOOSE(DC322,DA322/DT322,(DA322-edge_width+1)/DT322,(DA322-mid_width+1)/DT322),0)</f>
        <v>3.8182124309637375</v>
      </c>
      <c r="DV322" s="316">
        <f t="shared" si="429"/>
        <v>69.75</v>
      </c>
      <c r="DW322" s="310">
        <f t="shared" ref="DW322:DW385" si="442">IF(DC322&lt;&gt;4,(tot_width-DA322+1)/DV322,0)</f>
        <v>4.0143369175627237</v>
      </c>
      <c r="FB322" s="307"/>
      <c r="FC322" s="307"/>
      <c r="FF322" s="307"/>
      <c r="FG322" s="307"/>
      <c r="FH322" s="306"/>
      <c r="FJ322" s="307"/>
      <c r="FK322" s="307"/>
      <c r="FL322" s="306"/>
      <c r="FM322" s="307"/>
      <c r="FN322" s="306"/>
      <c r="FO322" s="307"/>
      <c r="FP322" s="306"/>
    </row>
    <row r="323" spans="29:172">
      <c r="AC323" s="156"/>
      <c r="AI323" s="190">
        <v>204</v>
      </c>
      <c r="AJ323" s="185">
        <v>298</v>
      </c>
      <c r="AK323" s="183">
        <f t="shared" si="430"/>
        <v>204</v>
      </c>
      <c r="AO323" s="182">
        <v>3.5400000000000001E-2</v>
      </c>
      <c r="AP323" s="185">
        <v>298</v>
      </c>
      <c r="AQ323" s="184">
        <f t="shared" si="431"/>
        <v>3.5400000000000001E-2</v>
      </c>
      <c r="AR323" s="190">
        <v>204</v>
      </c>
      <c r="AS323" s="185">
        <v>298</v>
      </c>
      <c r="AT323" s="183">
        <f t="shared" si="432"/>
        <v>204</v>
      </c>
      <c r="AX323" s="182">
        <v>3.5400000000000001E-2</v>
      </c>
      <c r="AY323" s="185">
        <v>298</v>
      </c>
      <c r="AZ323" s="184">
        <f t="shared" si="433"/>
        <v>3.5400000000000001E-2</v>
      </c>
      <c r="BA323" s="190">
        <v>204</v>
      </c>
      <c r="BB323" s="185">
        <v>298</v>
      </c>
      <c r="BC323" s="183">
        <f t="shared" si="434"/>
        <v>204</v>
      </c>
      <c r="BG323" s="182">
        <v>3.5400000000000001E-2</v>
      </c>
      <c r="BH323" s="185">
        <v>298</v>
      </c>
      <c r="BI323" s="184">
        <f t="shared" si="435"/>
        <v>3.5400000000000001E-2</v>
      </c>
      <c r="CW323" s="364"/>
      <c r="CX323" s="316"/>
      <c r="CY323" s="316"/>
      <c r="DA323" s="309">
        <v>322</v>
      </c>
      <c r="DB323" s="313">
        <f t="shared" si="436"/>
        <v>317.19841543371717</v>
      </c>
      <c r="DC323" s="309">
        <f t="shared" si="437"/>
        <v>1</v>
      </c>
      <c r="DD323" s="309">
        <f t="shared" si="438"/>
        <v>260</v>
      </c>
      <c r="DE323" s="308">
        <f t="shared" si="439"/>
        <v>6.5000000000000002E-2</v>
      </c>
      <c r="DF323" s="313">
        <f t="shared" si="426"/>
        <v>322</v>
      </c>
      <c r="DG323" s="313">
        <f t="shared" ref="DG323:DG386" si="443">IF(DC323=4,DG322,MIN(DB323,DD323))</f>
        <v>260</v>
      </c>
      <c r="DH323" s="313">
        <f t="shared" ref="DH323:DH386" si="444">IF(DC323=1,DG323,0)</f>
        <v>260</v>
      </c>
      <c r="DI323" s="313">
        <f t="shared" ref="DI323:DI386" si="445">IF(DC323=2,DG323,0)</f>
        <v>0</v>
      </c>
      <c r="DJ323" s="313">
        <f t="shared" ref="DJ323:DJ386" si="446">IF(DC323=3,DG323,0)</f>
        <v>0</v>
      </c>
      <c r="DK323" s="313">
        <f t="shared" si="427"/>
        <v>78804.517269621676</v>
      </c>
      <c r="DL323" s="313">
        <f t="shared" ref="DL323:DL386" si="447">IF(DC323&lt;4,DL324+DG323,0)</f>
        <v>72280</v>
      </c>
      <c r="DM323" s="314">
        <f t="shared" ref="DM323:DM386" si="448">IF($DC323&lt;&gt;4,IF($DA323=edge_width,$CY$2,IF($DA323=mid_width,$CY$3,1-DO323+DM322)),0)</f>
        <v>18.90570280914724</v>
      </c>
      <c r="DN323" s="312">
        <f t="shared" ref="DN323:DN386" si="449">IF(DC323&lt;&gt;4,CHOOSE(DC323,DM323/DA323,DM323/(DA323-edge_width+1),DM323/(DA323-mid_width+1)),0)</f>
        <v>5.8713362761326833E-2</v>
      </c>
      <c r="DO323" s="312">
        <f t="shared" si="428"/>
        <v>1</v>
      </c>
      <c r="DP323" s="315">
        <f t="shared" si="440"/>
        <v>6.5000000000000002E-2</v>
      </c>
      <c r="DQ323" s="316">
        <f t="shared" ref="DQ323:DQ386" si="450">IF(AND(DC323&lt;&gt;4,DG323&lt;&gt;0),1000*DP323/DG323,0)</f>
        <v>0.25</v>
      </c>
      <c r="DR323" s="316">
        <f t="shared" ref="DR323:DR386" si="451">IF(DC323&lt;&gt;4,DR322+DQ323,0)</f>
        <v>84.320754522942522</v>
      </c>
      <c r="DS323" s="314">
        <f t="shared" ref="DS323:DS386" si="452">IF(AND(DC323&lt;&gt;4,DR323&lt;&gt;0),DA323/DR323,0)</f>
        <v>3.8187514073108564</v>
      </c>
      <c r="DT323" s="316">
        <f t="shared" ref="DT323:DT386" si="453">IF(DC323&lt;&gt;4,IF(DA323=edge_width,$CY$4,IF(DA323=mid_width,$CY$5,DQ323+DT322)),0)</f>
        <v>84.320754522942522</v>
      </c>
      <c r="DU323" s="314">
        <f t="shared" si="441"/>
        <v>3.8187514073108564</v>
      </c>
      <c r="DV323" s="316">
        <f t="shared" si="429"/>
        <v>69.5</v>
      </c>
      <c r="DW323" s="310">
        <f t="shared" si="442"/>
        <v>4.014388489208633</v>
      </c>
      <c r="FB323" s="307"/>
      <c r="FC323" s="307"/>
      <c r="FF323" s="307"/>
      <c r="FG323" s="307"/>
      <c r="FH323" s="306"/>
      <c r="FJ323" s="307"/>
      <c r="FK323" s="307"/>
      <c r="FL323" s="306"/>
      <c r="FM323" s="307"/>
      <c r="FN323" s="306"/>
      <c r="FO323" s="307"/>
      <c r="FP323" s="306"/>
    </row>
    <row r="324" spans="29:172">
      <c r="AC324" s="156"/>
      <c r="AI324" s="190">
        <v>203</v>
      </c>
      <c r="AJ324" s="185">
        <v>299</v>
      </c>
      <c r="AK324" s="183">
        <f t="shared" si="430"/>
        <v>203</v>
      </c>
      <c r="AO324" s="182">
        <v>3.5299999999999998E-2</v>
      </c>
      <c r="AP324" s="185">
        <v>299</v>
      </c>
      <c r="AQ324" s="184">
        <f t="shared" si="431"/>
        <v>3.5299999999999998E-2</v>
      </c>
      <c r="AR324" s="190">
        <v>203</v>
      </c>
      <c r="AS324" s="185">
        <v>299</v>
      </c>
      <c r="AT324" s="183">
        <f t="shared" si="432"/>
        <v>203</v>
      </c>
      <c r="AX324" s="182">
        <v>3.5299999999999998E-2</v>
      </c>
      <c r="AY324" s="185">
        <v>299</v>
      </c>
      <c r="AZ324" s="184">
        <f t="shared" si="433"/>
        <v>3.5299999999999998E-2</v>
      </c>
      <c r="BA324" s="190">
        <v>203</v>
      </c>
      <c r="BB324" s="185">
        <v>299</v>
      </c>
      <c r="BC324" s="183">
        <f t="shared" si="434"/>
        <v>203</v>
      </c>
      <c r="BG324" s="182">
        <v>3.5299999999999998E-2</v>
      </c>
      <c r="BH324" s="185">
        <v>299</v>
      </c>
      <c r="BI324" s="184">
        <f t="shared" si="435"/>
        <v>3.5299999999999998E-2</v>
      </c>
      <c r="CW324" s="364"/>
      <c r="CX324" s="316"/>
      <c r="CY324" s="316"/>
      <c r="DA324" s="309">
        <v>323</v>
      </c>
      <c r="DB324" s="313">
        <f t="shared" si="436"/>
        <v>317.56238566798334</v>
      </c>
      <c r="DC324" s="309">
        <f t="shared" si="437"/>
        <v>1</v>
      </c>
      <c r="DD324" s="309">
        <f t="shared" si="438"/>
        <v>260</v>
      </c>
      <c r="DE324" s="308">
        <f t="shared" si="439"/>
        <v>6.5000000000000002E-2</v>
      </c>
      <c r="DF324" s="313">
        <f t="shared" ref="DF324:DF387" si="454">IF(DC324&lt;4,DF323+1,DF323)</f>
        <v>323</v>
      </c>
      <c r="DG324" s="313">
        <f t="shared" si="443"/>
        <v>260</v>
      </c>
      <c r="DH324" s="313">
        <f t="shared" si="444"/>
        <v>260</v>
      </c>
      <c r="DI324" s="313">
        <f t="shared" si="445"/>
        <v>0</v>
      </c>
      <c r="DJ324" s="313">
        <f t="shared" si="446"/>
        <v>0</v>
      </c>
      <c r="DK324" s="313">
        <f t="shared" ref="DK324:DK387" si="455">IF(DC324&lt;4,DK323+DG324,0)</f>
        <v>79064.517269621676</v>
      </c>
      <c r="DL324" s="313">
        <f t="shared" si="447"/>
        <v>72020</v>
      </c>
      <c r="DM324" s="314">
        <f t="shared" si="448"/>
        <v>18.90570280914724</v>
      </c>
      <c r="DN324" s="312">
        <f t="shared" si="449"/>
        <v>5.8531587644418702E-2</v>
      </c>
      <c r="DO324" s="312">
        <f t="shared" ref="DO324:DO387" si="456">IF(AND(DC324&lt;&gt;4,DD324&lt;&gt;0),DG324/DD324,0)</f>
        <v>1</v>
      </c>
      <c r="DP324" s="315">
        <f t="shared" si="440"/>
        <v>6.5000000000000002E-2</v>
      </c>
      <c r="DQ324" s="316">
        <f t="shared" si="450"/>
        <v>0.25</v>
      </c>
      <c r="DR324" s="316">
        <f t="shared" si="451"/>
        <v>84.570754522942522</v>
      </c>
      <c r="DS324" s="314">
        <f t="shared" si="452"/>
        <v>3.8192871971170117</v>
      </c>
      <c r="DT324" s="316">
        <f t="shared" si="453"/>
        <v>84.570754522942522</v>
      </c>
      <c r="DU324" s="314">
        <f t="shared" si="441"/>
        <v>3.8192871971170117</v>
      </c>
      <c r="DV324" s="316">
        <f t="shared" ref="DV324:DV387" si="457">DV325+DQ324</f>
        <v>69.25</v>
      </c>
      <c r="DW324" s="310">
        <f t="shared" si="442"/>
        <v>4.0144404332129966</v>
      </c>
      <c r="FB324" s="307"/>
      <c r="FC324" s="307"/>
      <c r="FF324" s="307"/>
      <c r="FG324" s="307"/>
      <c r="FH324" s="306"/>
      <c r="FJ324" s="307"/>
      <c r="FK324" s="307"/>
      <c r="FL324" s="306"/>
      <c r="FM324" s="307"/>
      <c r="FN324" s="306"/>
      <c r="FO324" s="307"/>
      <c r="FP324" s="306"/>
    </row>
    <row r="325" spans="29:172">
      <c r="AC325" s="156"/>
      <c r="AI325" s="190">
        <v>202</v>
      </c>
      <c r="AJ325" s="185">
        <v>300</v>
      </c>
      <c r="AK325" s="183">
        <f t="shared" si="430"/>
        <v>202</v>
      </c>
      <c r="AO325" s="182">
        <v>3.5200000000000002E-2</v>
      </c>
      <c r="AP325" s="185">
        <v>300</v>
      </c>
      <c r="AQ325" s="184">
        <f t="shared" si="431"/>
        <v>3.5200000000000002E-2</v>
      </c>
      <c r="AR325" s="190">
        <v>202</v>
      </c>
      <c r="AS325" s="185">
        <v>300</v>
      </c>
      <c r="AT325" s="183">
        <f t="shared" si="432"/>
        <v>202</v>
      </c>
      <c r="AX325" s="182">
        <v>3.5200000000000002E-2</v>
      </c>
      <c r="AY325" s="185">
        <v>300</v>
      </c>
      <c r="AZ325" s="184">
        <f t="shared" si="433"/>
        <v>3.5200000000000002E-2</v>
      </c>
      <c r="BA325" s="190">
        <v>202</v>
      </c>
      <c r="BB325" s="185">
        <v>300</v>
      </c>
      <c r="BC325" s="183">
        <f t="shared" si="434"/>
        <v>202</v>
      </c>
      <c r="BG325" s="182">
        <v>3.5200000000000002E-2</v>
      </c>
      <c r="BH325" s="185">
        <v>300</v>
      </c>
      <c r="BI325" s="184">
        <f t="shared" si="435"/>
        <v>3.5200000000000002E-2</v>
      </c>
      <c r="CW325" s="364"/>
      <c r="CX325" s="316"/>
      <c r="CY325" s="316"/>
      <c r="DA325" s="309">
        <v>324</v>
      </c>
      <c r="DB325" s="313">
        <f t="shared" si="436"/>
        <v>317.92635590224955</v>
      </c>
      <c r="DC325" s="309">
        <f t="shared" si="437"/>
        <v>1</v>
      </c>
      <c r="DD325" s="309">
        <f t="shared" si="438"/>
        <v>260</v>
      </c>
      <c r="DE325" s="308">
        <f t="shared" si="439"/>
        <v>6.5000000000000002E-2</v>
      </c>
      <c r="DF325" s="313">
        <f t="shared" si="454"/>
        <v>324</v>
      </c>
      <c r="DG325" s="313">
        <f t="shared" si="443"/>
        <v>260</v>
      </c>
      <c r="DH325" s="313">
        <f t="shared" si="444"/>
        <v>260</v>
      </c>
      <c r="DI325" s="313">
        <f t="shared" si="445"/>
        <v>0</v>
      </c>
      <c r="DJ325" s="313">
        <f t="shared" si="446"/>
        <v>0</v>
      </c>
      <c r="DK325" s="313">
        <f t="shared" si="455"/>
        <v>79324.517269621676</v>
      </c>
      <c r="DL325" s="313">
        <f t="shared" si="447"/>
        <v>71760</v>
      </c>
      <c r="DM325" s="314">
        <f t="shared" si="448"/>
        <v>18.90570280914724</v>
      </c>
      <c r="DN325" s="312">
        <f t="shared" si="449"/>
        <v>5.8350934596133455E-2</v>
      </c>
      <c r="DO325" s="312">
        <f t="shared" si="456"/>
        <v>1</v>
      </c>
      <c r="DP325" s="315">
        <f t="shared" si="440"/>
        <v>6.5000000000000002E-2</v>
      </c>
      <c r="DQ325" s="316">
        <f t="shared" si="450"/>
        <v>0.25</v>
      </c>
      <c r="DR325" s="316">
        <f t="shared" si="451"/>
        <v>84.820754522942522</v>
      </c>
      <c r="DS325" s="314">
        <f t="shared" si="452"/>
        <v>3.8198198285581593</v>
      </c>
      <c r="DT325" s="316">
        <f t="shared" si="453"/>
        <v>84.820754522942522</v>
      </c>
      <c r="DU325" s="314">
        <f t="shared" si="441"/>
        <v>3.8198198285581593</v>
      </c>
      <c r="DV325" s="316">
        <f t="shared" si="457"/>
        <v>69</v>
      </c>
      <c r="DW325" s="310">
        <f t="shared" si="442"/>
        <v>4.0144927536231885</v>
      </c>
      <c r="FB325" s="307"/>
      <c r="FC325" s="307"/>
      <c r="FF325" s="307"/>
      <c r="FG325" s="307"/>
      <c r="FH325" s="306"/>
      <c r="FJ325" s="307"/>
      <c r="FK325" s="307"/>
      <c r="FL325" s="306"/>
      <c r="FM325" s="307"/>
      <c r="FN325" s="306"/>
      <c r="FO325" s="307"/>
      <c r="FP325" s="306"/>
    </row>
    <row r="326" spans="29:172">
      <c r="AC326" s="156"/>
      <c r="AI326" s="190">
        <v>201</v>
      </c>
      <c r="AJ326" s="185">
        <v>301</v>
      </c>
      <c r="AK326" s="183">
        <f t="shared" si="430"/>
        <v>201</v>
      </c>
      <c r="AO326" s="182">
        <v>3.5099999999999999E-2</v>
      </c>
      <c r="AP326" s="185">
        <v>301</v>
      </c>
      <c r="AQ326" s="184">
        <f t="shared" si="431"/>
        <v>3.5099999999999999E-2</v>
      </c>
      <c r="AR326" s="190">
        <v>201</v>
      </c>
      <c r="AS326" s="185">
        <v>301</v>
      </c>
      <c r="AT326" s="183">
        <f t="shared" si="432"/>
        <v>201</v>
      </c>
      <c r="AX326" s="182">
        <v>3.5099999999999999E-2</v>
      </c>
      <c r="AY326" s="185">
        <v>301</v>
      </c>
      <c r="AZ326" s="184">
        <f t="shared" si="433"/>
        <v>3.5099999999999999E-2</v>
      </c>
      <c r="BA326" s="190">
        <v>201</v>
      </c>
      <c r="BB326" s="185">
        <v>301</v>
      </c>
      <c r="BC326" s="183">
        <f t="shared" si="434"/>
        <v>201</v>
      </c>
      <c r="BG326" s="182">
        <v>3.5099999999999999E-2</v>
      </c>
      <c r="BH326" s="185">
        <v>301</v>
      </c>
      <c r="BI326" s="184">
        <f t="shared" si="435"/>
        <v>3.5099999999999999E-2</v>
      </c>
      <c r="CW326" s="364"/>
      <c r="CX326" s="316"/>
      <c r="CY326" s="316"/>
      <c r="DA326" s="309">
        <v>325</v>
      </c>
      <c r="DB326" s="313">
        <f t="shared" si="436"/>
        <v>318.29032613651577</v>
      </c>
      <c r="DC326" s="309">
        <f t="shared" si="437"/>
        <v>1</v>
      </c>
      <c r="DD326" s="309">
        <f t="shared" si="438"/>
        <v>260</v>
      </c>
      <c r="DE326" s="308">
        <f t="shared" si="439"/>
        <v>6.5000000000000002E-2</v>
      </c>
      <c r="DF326" s="313">
        <f t="shared" si="454"/>
        <v>325</v>
      </c>
      <c r="DG326" s="313">
        <f t="shared" si="443"/>
        <v>260</v>
      </c>
      <c r="DH326" s="313">
        <f t="shared" si="444"/>
        <v>260</v>
      </c>
      <c r="DI326" s="313">
        <f t="shared" si="445"/>
        <v>0</v>
      </c>
      <c r="DJ326" s="313">
        <f t="shared" si="446"/>
        <v>0</v>
      </c>
      <c r="DK326" s="313">
        <f t="shared" si="455"/>
        <v>79584.517269621676</v>
      </c>
      <c r="DL326" s="313">
        <f t="shared" si="447"/>
        <v>71500</v>
      </c>
      <c r="DM326" s="314">
        <f t="shared" si="448"/>
        <v>18.90570280914724</v>
      </c>
      <c r="DN326" s="312">
        <f t="shared" si="449"/>
        <v>5.8171393258914586E-2</v>
      </c>
      <c r="DO326" s="312">
        <f t="shared" si="456"/>
        <v>1</v>
      </c>
      <c r="DP326" s="315">
        <f t="shared" si="440"/>
        <v>6.5000000000000002E-2</v>
      </c>
      <c r="DQ326" s="316">
        <f t="shared" si="450"/>
        <v>0.25</v>
      </c>
      <c r="DR326" s="316">
        <f t="shared" si="451"/>
        <v>85.070754522942522</v>
      </c>
      <c r="DS326" s="314">
        <f t="shared" si="452"/>
        <v>3.820349329479046</v>
      </c>
      <c r="DT326" s="316">
        <f t="shared" si="453"/>
        <v>85.070754522942522</v>
      </c>
      <c r="DU326" s="314">
        <f t="shared" si="441"/>
        <v>3.820349329479046</v>
      </c>
      <c r="DV326" s="316">
        <f t="shared" si="457"/>
        <v>68.75</v>
      </c>
      <c r="DW326" s="310">
        <f t="shared" si="442"/>
        <v>4.0145454545454546</v>
      </c>
      <c r="FB326" s="307"/>
      <c r="FC326" s="307"/>
      <c r="FF326" s="307"/>
      <c r="FG326" s="307"/>
      <c r="FH326" s="306"/>
      <c r="FJ326" s="307"/>
      <c r="FK326" s="307"/>
      <c r="FL326" s="306"/>
      <c r="FM326" s="307"/>
      <c r="FN326" s="306"/>
      <c r="FO326" s="307"/>
      <c r="FP326" s="306"/>
    </row>
    <row r="327" spans="29:172">
      <c r="AC327" s="156"/>
      <c r="AI327" s="190">
        <v>200</v>
      </c>
      <c r="AJ327" s="185">
        <v>302</v>
      </c>
      <c r="AK327" s="183">
        <f t="shared" si="430"/>
        <v>200</v>
      </c>
      <c r="AO327" s="182">
        <v>3.5000000000000003E-2</v>
      </c>
      <c r="AP327" s="185">
        <v>302</v>
      </c>
      <c r="AQ327" s="184">
        <f t="shared" si="431"/>
        <v>3.5000000000000003E-2</v>
      </c>
      <c r="AR327" s="190">
        <v>200</v>
      </c>
      <c r="AS327" s="185">
        <v>302</v>
      </c>
      <c r="AT327" s="183">
        <f t="shared" si="432"/>
        <v>200</v>
      </c>
      <c r="AX327" s="182">
        <v>3.5000000000000003E-2</v>
      </c>
      <c r="AY327" s="185">
        <v>302</v>
      </c>
      <c r="AZ327" s="184">
        <f t="shared" si="433"/>
        <v>3.5000000000000003E-2</v>
      </c>
      <c r="BA327" s="190">
        <v>200</v>
      </c>
      <c r="BB327" s="185">
        <v>302</v>
      </c>
      <c r="BC327" s="183">
        <f t="shared" si="434"/>
        <v>200</v>
      </c>
      <c r="BG327" s="182">
        <v>3.5000000000000003E-2</v>
      </c>
      <c r="BH327" s="185">
        <v>302</v>
      </c>
      <c r="BI327" s="184">
        <f t="shared" si="435"/>
        <v>3.5000000000000003E-2</v>
      </c>
      <c r="CW327" s="364"/>
      <c r="CX327" s="316"/>
      <c r="CY327" s="316"/>
      <c r="DA327" s="309">
        <v>326</v>
      </c>
      <c r="DB327" s="313">
        <f t="shared" si="436"/>
        <v>318.65429637078194</v>
      </c>
      <c r="DC327" s="309">
        <f t="shared" si="437"/>
        <v>1</v>
      </c>
      <c r="DD327" s="309">
        <f t="shared" si="438"/>
        <v>260</v>
      </c>
      <c r="DE327" s="308">
        <f t="shared" si="439"/>
        <v>6.5000000000000002E-2</v>
      </c>
      <c r="DF327" s="313">
        <f t="shared" si="454"/>
        <v>326</v>
      </c>
      <c r="DG327" s="313">
        <f t="shared" si="443"/>
        <v>260</v>
      </c>
      <c r="DH327" s="313">
        <f t="shared" si="444"/>
        <v>260</v>
      </c>
      <c r="DI327" s="313">
        <f t="shared" si="445"/>
        <v>0</v>
      </c>
      <c r="DJ327" s="313">
        <f t="shared" si="446"/>
        <v>0</v>
      </c>
      <c r="DK327" s="313">
        <f t="shared" si="455"/>
        <v>79844.517269621676</v>
      </c>
      <c r="DL327" s="313">
        <f t="shared" si="447"/>
        <v>71240</v>
      </c>
      <c r="DM327" s="314">
        <f t="shared" si="448"/>
        <v>18.90570280914724</v>
      </c>
      <c r="DN327" s="312">
        <f t="shared" si="449"/>
        <v>5.7992953402292144E-2</v>
      </c>
      <c r="DO327" s="312">
        <f t="shared" si="456"/>
        <v>1</v>
      </c>
      <c r="DP327" s="315">
        <f t="shared" si="440"/>
        <v>6.5000000000000002E-2</v>
      </c>
      <c r="DQ327" s="316">
        <f t="shared" si="450"/>
        <v>0.25</v>
      </c>
      <c r="DR327" s="316">
        <f t="shared" si="451"/>
        <v>85.320754522942522</v>
      </c>
      <c r="DS327" s="314">
        <f t="shared" si="452"/>
        <v>3.820875727398068</v>
      </c>
      <c r="DT327" s="316">
        <f t="shared" si="453"/>
        <v>85.320754522942522</v>
      </c>
      <c r="DU327" s="314">
        <f t="shared" si="441"/>
        <v>3.820875727398068</v>
      </c>
      <c r="DV327" s="316">
        <f t="shared" si="457"/>
        <v>68.5</v>
      </c>
      <c r="DW327" s="310">
        <f t="shared" si="442"/>
        <v>4.0145985401459852</v>
      </c>
      <c r="FB327" s="307"/>
      <c r="FC327" s="307"/>
      <c r="FF327" s="307"/>
      <c r="FG327" s="307"/>
      <c r="FH327" s="306"/>
      <c r="FJ327" s="307"/>
      <c r="FK327" s="307"/>
      <c r="FL327" s="306"/>
      <c r="FM327" s="307"/>
      <c r="FN327" s="306"/>
      <c r="FO327" s="307"/>
      <c r="FP327" s="306"/>
    </row>
    <row r="328" spans="29:172">
      <c r="AC328" s="156"/>
      <c r="AI328" s="190">
        <v>199</v>
      </c>
      <c r="AJ328" s="185">
        <v>303</v>
      </c>
      <c r="AK328" s="183">
        <f t="shared" si="430"/>
        <v>199</v>
      </c>
      <c r="AO328" s="182">
        <v>3.49E-2</v>
      </c>
      <c r="AP328" s="185">
        <v>303</v>
      </c>
      <c r="AQ328" s="184">
        <f t="shared" si="431"/>
        <v>3.49E-2</v>
      </c>
      <c r="AR328" s="190">
        <v>199</v>
      </c>
      <c r="AS328" s="185">
        <v>303</v>
      </c>
      <c r="AT328" s="183">
        <f t="shared" si="432"/>
        <v>199</v>
      </c>
      <c r="AX328" s="182">
        <v>3.49E-2</v>
      </c>
      <c r="AY328" s="185">
        <v>303</v>
      </c>
      <c r="AZ328" s="184">
        <f t="shared" si="433"/>
        <v>3.49E-2</v>
      </c>
      <c r="BA328" s="190">
        <v>199</v>
      </c>
      <c r="BB328" s="185">
        <v>303</v>
      </c>
      <c r="BC328" s="183">
        <f t="shared" si="434"/>
        <v>199</v>
      </c>
      <c r="BG328" s="182">
        <v>3.49E-2</v>
      </c>
      <c r="BH328" s="185">
        <v>303</v>
      </c>
      <c r="BI328" s="184">
        <f t="shared" si="435"/>
        <v>3.49E-2</v>
      </c>
      <c r="CW328" s="364"/>
      <c r="CX328" s="316"/>
      <c r="CY328" s="316"/>
      <c r="DA328" s="309">
        <v>327</v>
      </c>
      <c r="DB328" s="313">
        <f t="shared" si="436"/>
        <v>319.01826660504815</v>
      </c>
      <c r="DC328" s="309">
        <f t="shared" si="437"/>
        <v>1</v>
      </c>
      <c r="DD328" s="309">
        <f t="shared" si="438"/>
        <v>260</v>
      </c>
      <c r="DE328" s="308">
        <f t="shared" si="439"/>
        <v>6.5000000000000002E-2</v>
      </c>
      <c r="DF328" s="313">
        <f t="shared" si="454"/>
        <v>327</v>
      </c>
      <c r="DG328" s="313">
        <f t="shared" si="443"/>
        <v>260</v>
      </c>
      <c r="DH328" s="313">
        <f t="shared" si="444"/>
        <v>260</v>
      </c>
      <c r="DI328" s="313">
        <f t="shared" si="445"/>
        <v>0</v>
      </c>
      <c r="DJ328" s="313">
        <f t="shared" si="446"/>
        <v>0</v>
      </c>
      <c r="DK328" s="313">
        <f t="shared" si="455"/>
        <v>80104.517269621676</v>
      </c>
      <c r="DL328" s="313">
        <f t="shared" si="447"/>
        <v>70980</v>
      </c>
      <c r="DM328" s="314">
        <f t="shared" si="448"/>
        <v>18.90570280914724</v>
      </c>
      <c r="DN328" s="312">
        <f t="shared" si="449"/>
        <v>5.7815604920939574E-2</v>
      </c>
      <c r="DO328" s="312">
        <f t="shared" si="456"/>
        <v>1</v>
      </c>
      <c r="DP328" s="315">
        <f t="shared" si="440"/>
        <v>6.5000000000000002E-2</v>
      </c>
      <c r="DQ328" s="316">
        <f t="shared" si="450"/>
        <v>0.25</v>
      </c>
      <c r="DR328" s="316">
        <f t="shared" si="451"/>
        <v>85.570754522942522</v>
      </c>
      <c r="DS328" s="314">
        <f t="shared" si="452"/>
        <v>3.8213990495120322</v>
      </c>
      <c r="DT328" s="316">
        <f t="shared" si="453"/>
        <v>85.570754522942522</v>
      </c>
      <c r="DU328" s="314">
        <f t="shared" si="441"/>
        <v>3.8213990495120322</v>
      </c>
      <c r="DV328" s="316">
        <f t="shared" si="457"/>
        <v>68.25</v>
      </c>
      <c r="DW328" s="310">
        <f t="shared" si="442"/>
        <v>4.0146520146520146</v>
      </c>
      <c r="FB328" s="307"/>
      <c r="FC328" s="307"/>
      <c r="FF328" s="307"/>
      <c r="FG328" s="307"/>
      <c r="FH328" s="306"/>
      <c r="FJ328" s="307"/>
      <c r="FK328" s="307"/>
      <c r="FL328" s="306"/>
      <c r="FM328" s="307"/>
      <c r="FN328" s="306"/>
      <c r="FO328" s="307"/>
      <c r="FP328" s="306"/>
    </row>
    <row r="329" spans="29:172">
      <c r="AC329" s="156"/>
      <c r="AI329" s="190">
        <v>198</v>
      </c>
      <c r="AJ329" s="185">
        <v>304</v>
      </c>
      <c r="AK329" s="183">
        <f t="shared" si="430"/>
        <v>198</v>
      </c>
      <c r="AO329" s="182">
        <v>3.4799999999999998E-2</v>
      </c>
      <c r="AP329" s="185">
        <v>304</v>
      </c>
      <c r="AQ329" s="184">
        <f t="shared" si="431"/>
        <v>3.4799999999999998E-2</v>
      </c>
      <c r="AR329" s="190">
        <v>198</v>
      </c>
      <c r="AS329" s="185">
        <v>304</v>
      </c>
      <c r="AT329" s="183">
        <f t="shared" si="432"/>
        <v>198</v>
      </c>
      <c r="AX329" s="182">
        <v>3.4799999999999998E-2</v>
      </c>
      <c r="AY329" s="185">
        <v>304</v>
      </c>
      <c r="AZ329" s="184">
        <f t="shared" si="433"/>
        <v>3.4799999999999998E-2</v>
      </c>
      <c r="BA329" s="190">
        <v>198</v>
      </c>
      <c r="BB329" s="185">
        <v>304</v>
      </c>
      <c r="BC329" s="183">
        <f t="shared" si="434"/>
        <v>198</v>
      </c>
      <c r="BG329" s="182">
        <v>3.4799999999999998E-2</v>
      </c>
      <c r="BH329" s="185">
        <v>304</v>
      </c>
      <c r="BI329" s="184">
        <f t="shared" si="435"/>
        <v>3.4799999999999998E-2</v>
      </c>
      <c r="CW329" s="364"/>
      <c r="CX329" s="316"/>
      <c r="CY329" s="316"/>
      <c r="DA329" s="309">
        <v>328</v>
      </c>
      <c r="DB329" s="313">
        <f t="shared" si="436"/>
        <v>319.38223683931437</v>
      </c>
      <c r="DC329" s="309">
        <f t="shared" si="437"/>
        <v>1</v>
      </c>
      <c r="DD329" s="309">
        <f t="shared" si="438"/>
        <v>260</v>
      </c>
      <c r="DE329" s="308">
        <f t="shared" si="439"/>
        <v>6.5000000000000002E-2</v>
      </c>
      <c r="DF329" s="313">
        <f t="shared" si="454"/>
        <v>328</v>
      </c>
      <c r="DG329" s="313">
        <f t="shared" si="443"/>
        <v>260</v>
      </c>
      <c r="DH329" s="313">
        <f t="shared" si="444"/>
        <v>260</v>
      </c>
      <c r="DI329" s="313">
        <f t="shared" si="445"/>
        <v>0</v>
      </c>
      <c r="DJ329" s="313">
        <f t="shared" si="446"/>
        <v>0</v>
      </c>
      <c r="DK329" s="313">
        <f t="shared" si="455"/>
        <v>80364.517269621676</v>
      </c>
      <c r="DL329" s="313">
        <f t="shared" si="447"/>
        <v>70720</v>
      </c>
      <c r="DM329" s="314">
        <f t="shared" si="448"/>
        <v>18.90570280914724</v>
      </c>
      <c r="DN329" s="312">
        <f t="shared" si="449"/>
        <v>5.7639337832765973E-2</v>
      </c>
      <c r="DO329" s="312">
        <f t="shared" si="456"/>
        <v>1</v>
      </c>
      <c r="DP329" s="315">
        <f t="shared" si="440"/>
        <v>6.5000000000000002E-2</v>
      </c>
      <c r="DQ329" s="316">
        <f t="shared" si="450"/>
        <v>0.25</v>
      </c>
      <c r="DR329" s="316">
        <f t="shared" si="451"/>
        <v>85.820754522942522</v>
      </c>
      <c r="DS329" s="314">
        <f t="shared" si="452"/>
        <v>3.8219193227008454</v>
      </c>
      <c r="DT329" s="316">
        <f t="shared" si="453"/>
        <v>85.820754522942522</v>
      </c>
      <c r="DU329" s="314">
        <f t="shared" si="441"/>
        <v>3.8219193227008454</v>
      </c>
      <c r="DV329" s="316">
        <f t="shared" si="457"/>
        <v>68</v>
      </c>
      <c r="DW329" s="310">
        <f t="shared" si="442"/>
        <v>4.0147058823529411</v>
      </c>
      <c r="FB329" s="307"/>
      <c r="FC329" s="307"/>
      <c r="FF329" s="307"/>
      <c r="FG329" s="307"/>
      <c r="FH329" s="306"/>
      <c r="FJ329" s="307"/>
      <c r="FK329" s="307"/>
      <c r="FL329" s="306"/>
      <c r="FM329" s="307"/>
      <c r="FN329" s="306"/>
      <c r="FO329" s="307"/>
      <c r="FP329" s="306"/>
    </row>
    <row r="330" spans="29:172">
      <c r="AC330" s="156"/>
      <c r="AI330" s="190">
        <v>197</v>
      </c>
      <c r="AJ330" s="185">
        <v>305</v>
      </c>
      <c r="AK330" s="183">
        <f t="shared" si="430"/>
        <v>197</v>
      </c>
      <c r="AO330" s="182">
        <v>3.4700000000000002E-2</v>
      </c>
      <c r="AP330" s="185">
        <v>305</v>
      </c>
      <c r="AQ330" s="184">
        <f t="shared" si="431"/>
        <v>3.4700000000000002E-2</v>
      </c>
      <c r="AR330" s="190">
        <v>197</v>
      </c>
      <c r="AS330" s="185">
        <v>305</v>
      </c>
      <c r="AT330" s="183">
        <f t="shared" si="432"/>
        <v>197</v>
      </c>
      <c r="AX330" s="182">
        <v>3.4700000000000002E-2</v>
      </c>
      <c r="AY330" s="185">
        <v>305</v>
      </c>
      <c r="AZ330" s="184">
        <f t="shared" si="433"/>
        <v>3.4700000000000002E-2</v>
      </c>
      <c r="BA330" s="190">
        <v>197</v>
      </c>
      <c r="BB330" s="185">
        <v>305</v>
      </c>
      <c r="BC330" s="183">
        <f t="shared" si="434"/>
        <v>197</v>
      </c>
      <c r="BG330" s="182">
        <v>3.4700000000000002E-2</v>
      </c>
      <c r="BH330" s="185">
        <v>305</v>
      </c>
      <c r="BI330" s="184">
        <f t="shared" si="435"/>
        <v>3.4700000000000002E-2</v>
      </c>
      <c r="CW330" s="364"/>
      <c r="CX330" s="316"/>
      <c r="CY330" s="316"/>
      <c r="DA330" s="309">
        <v>329</v>
      </c>
      <c r="DB330" s="313">
        <f t="shared" si="436"/>
        <v>319.74620707358054</v>
      </c>
      <c r="DC330" s="309">
        <f t="shared" si="437"/>
        <v>1</v>
      </c>
      <c r="DD330" s="309">
        <f t="shared" si="438"/>
        <v>260</v>
      </c>
      <c r="DE330" s="308">
        <f t="shared" si="439"/>
        <v>6.5000000000000002E-2</v>
      </c>
      <c r="DF330" s="313">
        <f t="shared" si="454"/>
        <v>329</v>
      </c>
      <c r="DG330" s="313">
        <f t="shared" si="443"/>
        <v>260</v>
      </c>
      <c r="DH330" s="313">
        <f t="shared" si="444"/>
        <v>260</v>
      </c>
      <c r="DI330" s="313">
        <f t="shared" si="445"/>
        <v>0</v>
      </c>
      <c r="DJ330" s="313">
        <f t="shared" si="446"/>
        <v>0</v>
      </c>
      <c r="DK330" s="313">
        <f t="shared" si="455"/>
        <v>80624.517269621676</v>
      </c>
      <c r="DL330" s="313">
        <f t="shared" si="447"/>
        <v>70460</v>
      </c>
      <c r="DM330" s="314">
        <f t="shared" si="448"/>
        <v>18.90570280914724</v>
      </c>
      <c r="DN330" s="312">
        <f t="shared" si="449"/>
        <v>5.746414227704328E-2</v>
      </c>
      <c r="DO330" s="312">
        <f t="shared" si="456"/>
        <v>1</v>
      </c>
      <c r="DP330" s="315">
        <f t="shared" si="440"/>
        <v>6.5000000000000002E-2</v>
      </c>
      <c r="DQ330" s="316">
        <f t="shared" si="450"/>
        <v>0.25</v>
      </c>
      <c r="DR330" s="316">
        <f t="shared" si="451"/>
        <v>86.070754522942522</v>
      </c>
      <c r="DS330" s="314">
        <f t="shared" si="452"/>
        <v>3.8224365735321126</v>
      </c>
      <c r="DT330" s="316">
        <f t="shared" si="453"/>
        <v>86.070754522942522</v>
      </c>
      <c r="DU330" s="314">
        <f t="shared" si="441"/>
        <v>3.8224365735321126</v>
      </c>
      <c r="DV330" s="316">
        <f t="shared" si="457"/>
        <v>67.75</v>
      </c>
      <c r="DW330" s="310">
        <f t="shared" si="442"/>
        <v>4.0147601476014758</v>
      </c>
      <c r="FB330" s="307"/>
      <c r="FC330" s="307"/>
      <c r="FF330" s="307"/>
      <c r="FG330" s="307"/>
      <c r="FH330" s="306"/>
      <c r="FJ330" s="307"/>
      <c r="FK330" s="307"/>
      <c r="FL330" s="306"/>
      <c r="FM330" s="307"/>
      <c r="FN330" s="306"/>
      <c r="FO330" s="307"/>
      <c r="FP330" s="306"/>
    </row>
    <row r="331" spans="29:172">
      <c r="AC331" s="156"/>
      <c r="AI331" s="190">
        <v>196</v>
      </c>
      <c r="AJ331" s="185">
        <v>306</v>
      </c>
      <c r="AK331" s="183">
        <f t="shared" si="430"/>
        <v>196</v>
      </c>
      <c r="AO331" s="182">
        <v>3.4599999999999999E-2</v>
      </c>
      <c r="AP331" s="185">
        <v>306</v>
      </c>
      <c r="AQ331" s="184">
        <f t="shared" si="431"/>
        <v>3.4599999999999999E-2</v>
      </c>
      <c r="AR331" s="190">
        <v>196</v>
      </c>
      <c r="AS331" s="185">
        <v>306</v>
      </c>
      <c r="AT331" s="183">
        <f t="shared" si="432"/>
        <v>196</v>
      </c>
      <c r="AX331" s="182">
        <v>3.4599999999999999E-2</v>
      </c>
      <c r="AY331" s="185">
        <v>306</v>
      </c>
      <c r="AZ331" s="184">
        <f t="shared" si="433"/>
        <v>3.4599999999999999E-2</v>
      </c>
      <c r="BA331" s="190">
        <v>196</v>
      </c>
      <c r="BB331" s="185">
        <v>306</v>
      </c>
      <c r="BC331" s="183">
        <f t="shared" si="434"/>
        <v>196</v>
      </c>
      <c r="BG331" s="182">
        <v>3.4599999999999999E-2</v>
      </c>
      <c r="BH331" s="185">
        <v>306</v>
      </c>
      <c r="BI331" s="184">
        <f t="shared" si="435"/>
        <v>3.4599999999999999E-2</v>
      </c>
      <c r="CW331" s="364"/>
      <c r="CX331" s="316"/>
      <c r="CY331" s="316"/>
      <c r="DA331" s="309">
        <v>330</v>
      </c>
      <c r="DB331" s="313">
        <f t="shared" si="436"/>
        <v>320.11017730784675</v>
      </c>
      <c r="DC331" s="309">
        <f t="shared" si="437"/>
        <v>1</v>
      </c>
      <c r="DD331" s="309">
        <f t="shared" si="438"/>
        <v>260</v>
      </c>
      <c r="DE331" s="308">
        <f t="shared" si="439"/>
        <v>6.5000000000000002E-2</v>
      </c>
      <c r="DF331" s="313">
        <f t="shared" si="454"/>
        <v>330</v>
      </c>
      <c r="DG331" s="313">
        <f t="shared" si="443"/>
        <v>260</v>
      </c>
      <c r="DH331" s="313">
        <f t="shared" si="444"/>
        <v>260</v>
      </c>
      <c r="DI331" s="313">
        <f t="shared" si="445"/>
        <v>0</v>
      </c>
      <c r="DJ331" s="313">
        <f t="shared" si="446"/>
        <v>0</v>
      </c>
      <c r="DK331" s="313">
        <f t="shared" si="455"/>
        <v>80884.517269621676</v>
      </c>
      <c r="DL331" s="313">
        <f t="shared" si="447"/>
        <v>70200</v>
      </c>
      <c r="DM331" s="314">
        <f t="shared" si="448"/>
        <v>18.90570280914724</v>
      </c>
      <c r="DN331" s="312">
        <f t="shared" si="449"/>
        <v>5.7290008512567395E-2</v>
      </c>
      <c r="DO331" s="312">
        <f t="shared" si="456"/>
        <v>1</v>
      </c>
      <c r="DP331" s="315">
        <f t="shared" si="440"/>
        <v>6.5000000000000002E-2</v>
      </c>
      <c r="DQ331" s="316">
        <f t="shared" si="450"/>
        <v>0.25</v>
      </c>
      <c r="DR331" s="316">
        <f t="shared" si="451"/>
        <v>86.320754522942522</v>
      </c>
      <c r="DS331" s="314">
        <f t="shared" si="452"/>
        <v>3.8229508282656619</v>
      </c>
      <c r="DT331" s="316">
        <f t="shared" si="453"/>
        <v>86.320754522942522</v>
      </c>
      <c r="DU331" s="314">
        <f t="shared" si="441"/>
        <v>3.8229508282656619</v>
      </c>
      <c r="DV331" s="316">
        <f t="shared" si="457"/>
        <v>67.5</v>
      </c>
      <c r="DW331" s="310">
        <f t="shared" si="442"/>
        <v>4.0148148148148151</v>
      </c>
      <c r="FB331" s="307"/>
      <c r="FC331" s="307"/>
      <c r="FF331" s="307"/>
      <c r="FG331" s="307"/>
      <c r="FH331" s="306"/>
      <c r="FJ331" s="307"/>
      <c r="FK331" s="307"/>
      <c r="FL331" s="306"/>
      <c r="FM331" s="307"/>
      <c r="FN331" s="306"/>
      <c r="FO331" s="307"/>
      <c r="FP331" s="306"/>
    </row>
    <row r="332" spans="29:172">
      <c r="AC332" s="156"/>
      <c r="AI332" s="190">
        <v>195</v>
      </c>
      <c r="AJ332" s="185">
        <v>307</v>
      </c>
      <c r="AK332" s="183">
        <f t="shared" si="430"/>
        <v>195</v>
      </c>
      <c r="AO332" s="182">
        <v>3.4500000000000003E-2</v>
      </c>
      <c r="AP332" s="185">
        <v>307</v>
      </c>
      <c r="AQ332" s="184">
        <f t="shared" si="431"/>
        <v>3.4500000000000003E-2</v>
      </c>
      <c r="AR332" s="190">
        <v>195</v>
      </c>
      <c r="AS332" s="185">
        <v>307</v>
      </c>
      <c r="AT332" s="183">
        <f t="shared" si="432"/>
        <v>195</v>
      </c>
      <c r="AX332" s="182">
        <v>3.4500000000000003E-2</v>
      </c>
      <c r="AY332" s="185">
        <v>307</v>
      </c>
      <c r="AZ332" s="184">
        <f t="shared" si="433"/>
        <v>3.4500000000000003E-2</v>
      </c>
      <c r="BA332" s="190">
        <v>195</v>
      </c>
      <c r="BB332" s="185">
        <v>307</v>
      </c>
      <c r="BC332" s="183">
        <f t="shared" si="434"/>
        <v>195</v>
      </c>
      <c r="BG332" s="182">
        <v>3.4500000000000003E-2</v>
      </c>
      <c r="BH332" s="185">
        <v>307</v>
      </c>
      <c r="BI332" s="184">
        <f t="shared" si="435"/>
        <v>3.4500000000000003E-2</v>
      </c>
      <c r="CW332" s="364"/>
      <c r="CX332" s="316"/>
      <c r="CY332" s="316"/>
      <c r="DA332" s="309">
        <v>331</v>
      </c>
      <c r="DB332" s="313">
        <f t="shared" si="436"/>
        <v>320.47414754211297</v>
      </c>
      <c r="DC332" s="309">
        <f t="shared" si="437"/>
        <v>1</v>
      </c>
      <c r="DD332" s="309">
        <f t="shared" si="438"/>
        <v>260</v>
      </c>
      <c r="DE332" s="308">
        <f t="shared" si="439"/>
        <v>6.5000000000000002E-2</v>
      </c>
      <c r="DF332" s="313">
        <f t="shared" si="454"/>
        <v>331</v>
      </c>
      <c r="DG332" s="313">
        <f t="shared" si="443"/>
        <v>260</v>
      </c>
      <c r="DH332" s="313">
        <f t="shared" si="444"/>
        <v>260</v>
      </c>
      <c r="DI332" s="313">
        <f t="shared" si="445"/>
        <v>0</v>
      </c>
      <c r="DJ332" s="313">
        <f t="shared" si="446"/>
        <v>0</v>
      </c>
      <c r="DK332" s="313">
        <f t="shared" si="455"/>
        <v>81144.517269621676</v>
      </c>
      <c r="DL332" s="313">
        <f t="shared" si="447"/>
        <v>69940</v>
      </c>
      <c r="DM332" s="314">
        <f t="shared" si="448"/>
        <v>18.90570280914724</v>
      </c>
      <c r="DN332" s="312">
        <f t="shared" si="449"/>
        <v>5.7116926915852691E-2</v>
      </c>
      <c r="DO332" s="312">
        <f t="shared" si="456"/>
        <v>1</v>
      </c>
      <c r="DP332" s="315">
        <f t="shared" si="440"/>
        <v>6.5000000000000002E-2</v>
      </c>
      <c r="DQ332" s="316">
        <f t="shared" si="450"/>
        <v>0.25</v>
      </c>
      <c r="DR332" s="316">
        <f t="shared" si="451"/>
        <v>86.570754522942522</v>
      </c>
      <c r="DS332" s="314">
        <f t="shared" si="452"/>
        <v>3.8234621128579875</v>
      </c>
      <c r="DT332" s="316">
        <f t="shared" si="453"/>
        <v>86.570754522942522</v>
      </c>
      <c r="DU332" s="314">
        <f t="shared" si="441"/>
        <v>3.8234621128579875</v>
      </c>
      <c r="DV332" s="316">
        <f t="shared" si="457"/>
        <v>67.25</v>
      </c>
      <c r="DW332" s="310">
        <f t="shared" si="442"/>
        <v>4.014869888475836</v>
      </c>
      <c r="FB332" s="307"/>
      <c r="FC332" s="307"/>
      <c r="FF332" s="307"/>
      <c r="FG332" s="307"/>
      <c r="FH332" s="306"/>
      <c r="FJ332" s="307"/>
      <c r="FK332" s="307"/>
      <c r="FL332" s="306"/>
      <c r="FM332" s="307"/>
      <c r="FN332" s="306"/>
      <c r="FO332" s="307"/>
      <c r="FP332" s="306"/>
    </row>
    <row r="333" spans="29:172">
      <c r="AC333" s="156"/>
      <c r="AI333" s="190">
        <v>194</v>
      </c>
      <c r="AJ333" s="185">
        <v>308</v>
      </c>
      <c r="AK333" s="183">
        <f t="shared" si="430"/>
        <v>194</v>
      </c>
      <c r="AO333" s="182">
        <v>3.44E-2</v>
      </c>
      <c r="AP333" s="185">
        <v>308</v>
      </c>
      <c r="AQ333" s="184">
        <f t="shared" si="431"/>
        <v>3.44E-2</v>
      </c>
      <c r="AR333" s="190">
        <v>194</v>
      </c>
      <c r="AS333" s="185">
        <v>308</v>
      </c>
      <c r="AT333" s="183">
        <f t="shared" si="432"/>
        <v>194</v>
      </c>
      <c r="AX333" s="182">
        <v>3.44E-2</v>
      </c>
      <c r="AY333" s="185">
        <v>308</v>
      </c>
      <c r="AZ333" s="184">
        <f t="shared" si="433"/>
        <v>3.44E-2</v>
      </c>
      <c r="BA333" s="190">
        <v>194</v>
      </c>
      <c r="BB333" s="185">
        <v>308</v>
      </c>
      <c r="BC333" s="183">
        <f t="shared" si="434"/>
        <v>194</v>
      </c>
      <c r="BG333" s="182">
        <v>3.44E-2</v>
      </c>
      <c r="BH333" s="185">
        <v>308</v>
      </c>
      <c r="BI333" s="184">
        <f t="shared" si="435"/>
        <v>3.44E-2</v>
      </c>
      <c r="CW333" s="364"/>
      <c r="CX333" s="316"/>
      <c r="CY333" s="316"/>
      <c r="DA333" s="309">
        <v>332</v>
      </c>
      <c r="DB333" s="313">
        <f t="shared" si="436"/>
        <v>320.83811777637919</v>
      </c>
      <c r="DC333" s="309">
        <f t="shared" si="437"/>
        <v>1</v>
      </c>
      <c r="DD333" s="309">
        <f t="shared" si="438"/>
        <v>260</v>
      </c>
      <c r="DE333" s="308">
        <f t="shared" si="439"/>
        <v>6.5000000000000002E-2</v>
      </c>
      <c r="DF333" s="313">
        <f t="shared" si="454"/>
        <v>332</v>
      </c>
      <c r="DG333" s="313">
        <f t="shared" si="443"/>
        <v>260</v>
      </c>
      <c r="DH333" s="313">
        <f t="shared" si="444"/>
        <v>260</v>
      </c>
      <c r="DI333" s="313">
        <f t="shared" si="445"/>
        <v>0</v>
      </c>
      <c r="DJ333" s="313">
        <f t="shared" si="446"/>
        <v>0</v>
      </c>
      <c r="DK333" s="313">
        <f t="shared" si="455"/>
        <v>81404.517269621676</v>
      </c>
      <c r="DL333" s="313">
        <f t="shared" si="447"/>
        <v>69680</v>
      </c>
      <c r="DM333" s="314">
        <f t="shared" si="448"/>
        <v>18.90570280914724</v>
      </c>
      <c r="DN333" s="312">
        <f t="shared" si="449"/>
        <v>5.6944887979359156E-2</v>
      </c>
      <c r="DO333" s="312">
        <f t="shared" si="456"/>
        <v>1</v>
      </c>
      <c r="DP333" s="315">
        <f t="shared" si="440"/>
        <v>6.5000000000000002E-2</v>
      </c>
      <c r="DQ333" s="316">
        <f t="shared" si="450"/>
        <v>0.25</v>
      </c>
      <c r="DR333" s="316">
        <f t="shared" si="451"/>
        <v>86.820754522942522</v>
      </c>
      <c r="DS333" s="314">
        <f t="shared" si="452"/>
        <v>3.8239704529666172</v>
      </c>
      <c r="DT333" s="316">
        <f t="shared" si="453"/>
        <v>86.820754522942522</v>
      </c>
      <c r="DU333" s="314">
        <f t="shared" si="441"/>
        <v>3.8239704529666172</v>
      </c>
      <c r="DV333" s="316">
        <f t="shared" si="457"/>
        <v>67</v>
      </c>
      <c r="DW333" s="310">
        <f t="shared" si="442"/>
        <v>4.0149253731343286</v>
      </c>
      <c r="FB333" s="307"/>
      <c r="FC333" s="307"/>
      <c r="FF333" s="307"/>
      <c r="FG333" s="307"/>
      <c r="FH333" s="306"/>
      <c r="FJ333" s="307"/>
      <c r="FK333" s="307"/>
      <c r="FL333" s="306"/>
      <c r="FM333" s="307"/>
      <c r="FN333" s="306"/>
      <c r="FO333" s="307"/>
      <c r="FP333" s="306"/>
    </row>
    <row r="334" spans="29:172">
      <c r="AC334" s="156"/>
      <c r="AI334" s="190">
        <v>193</v>
      </c>
      <c r="AJ334" s="185">
        <v>309</v>
      </c>
      <c r="AK334" s="183">
        <f t="shared" si="430"/>
        <v>193</v>
      </c>
      <c r="AO334" s="182">
        <v>3.4299999999999997E-2</v>
      </c>
      <c r="AP334" s="185">
        <v>309</v>
      </c>
      <c r="AQ334" s="184">
        <f t="shared" si="431"/>
        <v>3.4299999999999997E-2</v>
      </c>
      <c r="AR334" s="190">
        <v>193</v>
      </c>
      <c r="AS334" s="185">
        <v>309</v>
      </c>
      <c r="AT334" s="183">
        <f t="shared" si="432"/>
        <v>193</v>
      </c>
      <c r="AX334" s="182">
        <v>3.4299999999999997E-2</v>
      </c>
      <c r="AY334" s="185">
        <v>309</v>
      </c>
      <c r="AZ334" s="184">
        <f t="shared" si="433"/>
        <v>3.4299999999999997E-2</v>
      </c>
      <c r="BA334" s="190">
        <v>193</v>
      </c>
      <c r="BB334" s="185">
        <v>309</v>
      </c>
      <c r="BC334" s="183">
        <f t="shared" si="434"/>
        <v>193</v>
      </c>
      <c r="BG334" s="182">
        <v>3.4299999999999997E-2</v>
      </c>
      <c r="BH334" s="185">
        <v>309</v>
      </c>
      <c r="BI334" s="184">
        <f t="shared" si="435"/>
        <v>3.4299999999999997E-2</v>
      </c>
      <c r="CW334" s="364"/>
      <c r="CX334" s="316"/>
      <c r="CY334" s="316"/>
      <c r="DA334" s="309">
        <v>333</v>
      </c>
      <c r="DB334" s="313">
        <f t="shared" si="436"/>
        <v>321.20208801064541</v>
      </c>
      <c r="DC334" s="309">
        <f t="shared" si="437"/>
        <v>1</v>
      </c>
      <c r="DD334" s="309">
        <f t="shared" si="438"/>
        <v>260</v>
      </c>
      <c r="DE334" s="308">
        <f t="shared" si="439"/>
        <v>6.5000000000000002E-2</v>
      </c>
      <c r="DF334" s="313">
        <f t="shared" si="454"/>
        <v>333</v>
      </c>
      <c r="DG334" s="313">
        <f t="shared" si="443"/>
        <v>260</v>
      </c>
      <c r="DH334" s="313">
        <f t="shared" si="444"/>
        <v>260</v>
      </c>
      <c r="DI334" s="313">
        <f t="shared" si="445"/>
        <v>0</v>
      </c>
      <c r="DJ334" s="313">
        <f t="shared" si="446"/>
        <v>0</v>
      </c>
      <c r="DK334" s="313">
        <f t="shared" si="455"/>
        <v>81664.517269621676</v>
      </c>
      <c r="DL334" s="313">
        <f t="shared" si="447"/>
        <v>69420</v>
      </c>
      <c r="DM334" s="314">
        <f t="shared" si="448"/>
        <v>18.90570280914724</v>
      </c>
      <c r="DN334" s="312">
        <f t="shared" si="449"/>
        <v>5.6773882309751472E-2</v>
      </c>
      <c r="DO334" s="312">
        <f t="shared" si="456"/>
        <v>1</v>
      </c>
      <c r="DP334" s="315">
        <f t="shared" si="440"/>
        <v>6.5000000000000002E-2</v>
      </c>
      <c r="DQ334" s="316">
        <f t="shared" si="450"/>
        <v>0.25</v>
      </c>
      <c r="DR334" s="316">
        <f t="shared" si="451"/>
        <v>87.070754522942522</v>
      </c>
      <c r="DS334" s="314">
        <f t="shared" si="452"/>
        <v>3.8244758739544045</v>
      </c>
      <c r="DT334" s="316">
        <f t="shared" si="453"/>
        <v>87.070754522942522</v>
      </c>
      <c r="DU334" s="314">
        <f t="shared" si="441"/>
        <v>3.8244758739544045</v>
      </c>
      <c r="DV334" s="316">
        <f t="shared" si="457"/>
        <v>66.75</v>
      </c>
      <c r="DW334" s="310">
        <f t="shared" si="442"/>
        <v>4.0149812734082397</v>
      </c>
      <c r="FB334" s="307"/>
      <c r="FC334" s="307"/>
      <c r="FF334" s="307"/>
      <c r="FG334" s="307"/>
      <c r="FH334" s="306"/>
      <c r="FJ334" s="307"/>
      <c r="FK334" s="307"/>
      <c r="FL334" s="306"/>
      <c r="FM334" s="307"/>
      <c r="FN334" s="306"/>
      <c r="FO334" s="307"/>
      <c r="FP334" s="306"/>
    </row>
    <row r="335" spans="29:172">
      <c r="AC335" s="156"/>
      <c r="AI335" s="190">
        <v>192</v>
      </c>
      <c r="AJ335" s="185">
        <v>310</v>
      </c>
      <c r="AK335" s="183">
        <f t="shared" si="430"/>
        <v>192</v>
      </c>
      <c r="AO335" s="182">
        <v>3.4200000000000001E-2</v>
      </c>
      <c r="AP335" s="185">
        <v>310</v>
      </c>
      <c r="AQ335" s="184">
        <f t="shared" si="431"/>
        <v>3.4200000000000001E-2</v>
      </c>
      <c r="AR335" s="190">
        <v>192</v>
      </c>
      <c r="AS335" s="185">
        <v>310</v>
      </c>
      <c r="AT335" s="183">
        <f t="shared" si="432"/>
        <v>192</v>
      </c>
      <c r="AX335" s="182">
        <v>3.4200000000000001E-2</v>
      </c>
      <c r="AY335" s="185">
        <v>310</v>
      </c>
      <c r="AZ335" s="184">
        <f t="shared" si="433"/>
        <v>3.4200000000000001E-2</v>
      </c>
      <c r="BA335" s="190">
        <v>192</v>
      </c>
      <c r="BB335" s="185">
        <v>310</v>
      </c>
      <c r="BC335" s="183">
        <f t="shared" si="434"/>
        <v>192</v>
      </c>
      <c r="BG335" s="182">
        <v>3.4200000000000001E-2</v>
      </c>
      <c r="BH335" s="185">
        <v>310</v>
      </c>
      <c r="BI335" s="184">
        <f t="shared" si="435"/>
        <v>3.4200000000000001E-2</v>
      </c>
      <c r="CW335" s="364"/>
      <c r="CX335" s="316"/>
      <c r="CY335" s="316"/>
      <c r="DA335" s="309">
        <v>334</v>
      </c>
      <c r="DB335" s="313">
        <f t="shared" si="436"/>
        <v>321.56605824491157</v>
      </c>
      <c r="DC335" s="309">
        <f t="shared" si="437"/>
        <v>1</v>
      </c>
      <c r="DD335" s="309">
        <f t="shared" si="438"/>
        <v>260</v>
      </c>
      <c r="DE335" s="308">
        <f t="shared" si="439"/>
        <v>6.5000000000000002E-2</v>
      </c>
      <c r="DF335" s="313">
        <f t="shared" si="454"/>
        <v>334</v>
      </c>
      <c r="DG335" s="313">
        <f t="shared" si="443"/>
        <v>260</v>
      </c>
      <c r="DH335" s="313">
        <f t="shared" si="444"/>
        <v>260</v>
      </c>
      <c r="DI335" s="313">
        <f t="shared" si="445"/>
        <v>0</v>
      </c>
      <c r="DJ335" s="313">
        <f t="shared" si="446"/>
        <v>0</v>
      </c>
      <c r="DK335" s="313">
        <f t="shared" si="455"/>
        <v>81924.517269621676</v>
      </c>
      <c r="DL335" s="313">
        <f t="shared" si="447"/>
        <v>69160</v>
      </c>
      <c r="DM335" s="314">
        <f t="shared" si="448"/>
        <v>18.90570280914724</v>
      </c>
      <c r="DN335" s="312">
        <f t="shared" si="449"/>
        <v>5.6603900626189342E-2</v>
      </c>
      <c r="DO335" s="312">
        <f t="shared" si="456"/>
        <v>1</v>
      </c>
      <c r="DP335" s="315">
        <f t="shared" si="440"/>
        <v>6.5000000000000002E-2</v>
      </c>
      <c r="DQ335" s="316">
        <f t="shared" si="450"/>
        <v>0.25</v>
      </c>
      <c r="DR335" s="316">
        <f t="shared" si="451"/>
        <v>87.320754522942522</v>
      </c>
      <c r="DS335" s="314">
        <f t="shared" si="452"/>
        <v>3.8249784008937455</v>
      </c>
      <c r="DT335" s="316">
        <f t="shared" si="453"/>
        <v>87.320754522942522</v>
      </c>
      <c r="DU335" s="314">
        <f t="shared" si="441"/>
        <v>3.8249784008937455</v>
      </c>
      <c r="DV335" s="316">
        <f t="shared" si="457"/>
        <v>66.5</v>
      </c>
      <c r="DW335" s="310">
        <f t="shared" si="442"/>
        <v>4.0150375939849621</v>
      </c>
      <c r="FB335" s="307"/>
      <c r="FC335" s="307"/>
      <c r="FF335" s="307"/>
      <c r="FG335" s="307"/>
      <c r="FH335" s="306"/>
      <c r="FJ335" s="307"/>
      <c r="FK335" s="307"/>
      <c r="FL335" s="306"/>
      <c r="FM335" s="307"/>
      <c r="FN335" s="306"/>
      <c r="FO335" s="307"/>
      <c r="FP335" s="306"/>
    </row>
    <row r="336" spans="29:172">
      <c r="AC336" s="156"/>
      <c r="AI336" s="190">
        <v>191</v>
      </c>
      <c r="AJ336" s="185">
        <v>311</v>
      </c>
      <c r="AK336" s="183">
        <f t="shared" si="430"/>
        <v>191</v>
      </c>
      <c r="AO336" s="182">
        <v>3.4099999999999998E-2</v>
      </c>
      <c r="AP336" s="185">
        <v>311</v>
      </c>
      <c r="AQ336" s="184">
        <f t="shared" si="431"/>
        <v>3.4099999999999998E-2</v>
      </c>
      <c r="AR336" s="190">
        <v>191</v>
      </c>
      <c r="AS336" s="185">
        <v>311</v>
      </c>
      <c r="AT336" s="183">
        <f t="shared" si="432"/>
        <v>191</v>
      </c>
      <c r="AX336" s="182">
        <v>3.4099999999999998E-2</v>
      </c>
      <c r="AY336" s="185">
        <v>311</v>
      </c>
      <c r="AZ336" s="184">
        <f t="shared" si="433"/>
        <v>3.4099999999999998E-2</v>
      </c>
      <c r="BA336" s="190">
        <v>191</v>
      </c>
      <c r="BB336" s="185">
        <v>311</v>
      </c>
      <c r="BC336" s="183">
        <f t="shared" si="434"/>
        <v>191</v>
      </c>
      <c r="BG336" s="182">
        <v>3.4099999999999998E-2</v>
      </c>
      <c r="BH336" s="185">
        <v>311</v>
      </c>
      <c r="BI336" s="184">
        <f t="shared" si="435"/>
        <v>3.4099999999999998E-2</v>
      </c>
      <c r="CW336" s="364"/>
      <c r="CX336" s="316"/>
      <c r="CY336" s="316"/>
      <c r="DA336" s="309">
        <v>335</v>
      </c>
      <c r="DB336" s="313">
        <f t="shared" si="436"/>
        <v>321.93002847917779</v>
      </c>
      <c r="DC336" s="309">
        <f t="shared" si="437"/>
        <v>1</v>
      </c>
      <c r="DD336" s="309">
        <f t="shared" si="438"/>
        <v>260</v>
      </c>
      <c r="DE336" s="308">
        <f t="shared" si="439"/>
        <v>6.5000000000000002E-2</v>
      </c>
      <c r="DF336" s="313">
        <f t="shared" si="454"/>
        <v>335</v>
      </c>
      <c r="DG336" s="313">
        <f t="shared" si="443"/>
        <v>260</v>
      </c>
      <c r="DH336" s="313">
        <f t="shared" si="444"/>
        <v>260</v>
      </c>
      <c r="DI336" s="313">
        <f t="shared" si="445"/>
        <v>0</v>
      </c>
      <c r="DJ336" s="313">
        <f t="shared" si="446"/>
        <v>0</v>
      </c>
      <c r="DK336" s="313">
        <f t="shared" si="455"/>
        <v>82184.517269621676</v>
      </c>
      <c r="DL336" s="313">
        <f t="shared" si="447"/>
        <v>68900</v>
      </c>
      <c r="DM336" s="314">
        <f t="shared" si="448"/>
        <v>18.90570280914724</v>
      </c>
      <c r="DN336" s="312">
        <f t="shared" si="449"/>
        <v>5.6434933758648477E-2</v>
      </c>
      <c r="DO336" s="312">
        <f t="shared" si="456"/>
        <v>1</v>
      </c>
      <c r="DP336" s="315">
        <f t="shared" si="440"/>
        <v>6.5000000000000002E-2</v>
      </c>
      <c r="DQ336" s="316">
        <f t="shared" si="450"/>
        <v>0.25</v>
      </c>
      <c r="DR336" s="316">
        <f t="shared" si="451"/>
        <v>87.570754522942522</v>
      </c>
      <c r="DS336" s="314">
        <f t="shared" si="452"/>
        <v>3.8254780585707286</v>
      </c>
      <c r="DT336" s="316">
        <f t="shared" si="453"/>
        <v>87.570754522942522</v>
      </c>
      <c r="DU336" s="314">
        <f t="shared" si="441"/>
        <v>3.8254780585707286</v>
      </c>
      <c r="DV336" s="316">
        <f t="shared" si="457"/>
        <v>66.25</v>
      </c>
      <c r="DW336" s="310">
        <f t="shared" si="442"/>
        <v>4.0150943396226415</v>
      </c>
      <c r="FB336" s="307"/>
      <c r="FC336" s="307"/>
      <c r="FF336" s="307"/>
      <c r="FG336" s="307"/>
      <c r="FH336" s="306"/>
      <c r="FJ336" s="307"/>
      <c r="FK336" s="307"/>
      <c r="FL336" s="306"/>
      <c r="FM336" s="307"/>
      <c r="FN336" s="306"/>
      <c r="FO336" s="307"/>
      <c r="FP336" s="306"/>
    </row>
    <row r="337" spans="29:172">
      <c r="AC337" s="156"/>
      <c r="AI337" s="190">
        <v>190</v>
      </c>
      <c r="AJ337" s="185">
        <v>312</v>
      </c>
      <c r="AK337" s="183">
        <f t="shared" si="430"/>
        <v>190</v>
      </c>
      <c r="AO337" s="182">
        <v>3.4000000000000002E-2</v>
      </c>
      <c r="AP337" s="185">
        <v>312</v>
      </c>
      <c r="AQ337" s="184">
        <f t="shared" si="431"/>
        <v>3.4000000000000002E-2</v>
      </c>
      <c r="AR337" s="190">
        <v>190</v>
      </c>
      <c r="AS337" s="185">
        <v>312</v>
      </c>
      <c r="AT337" s="183">
        <f t="shared" si="432"/>
        <v>190</v>
      </c>
      <c r="AX337" s="182">
        <v>3.4000000000000002E-2</v>
      </c>
      <c r="AY337" s="185">
        <v>312</v>
      </c>
      <c r="AZ337" s="184">
        <f t="shared" si="433"/>
        <v>3.4000000000000002E-2</v>
      </c>
      <c r="BA337" s="190">
        <v>190</v>
      </c>
      <c r="BB337" s="185">
        <v>312</v>
      </c>
      <c r="BC337" s="183">
        <f t="shared" si="434"/>
        <v>190</v>
      </c>
      <c r="BG337" s="182">
        <v>3.4000000000000002E-2</v>
      </c>
      <c r="BH337" s="185">
        <v>312</v>
      </c>
      <c r="BI337" s="184">
        <f t="shared" si="435"/>
        <v>3.4000000000000002E-2</v>
      </c>
      <c r="CW337" s="364"/>
      <c r="CX337" s="316"/>
      <c r="CY337" s="316"/>
      <c r="DA337" s="309">
        <v>336</v>
      </c>
      <c r="DB337" s="313">
        <f t="shared" si="436"/>
        <v>322.29399871344401</v>
      </c>
      <c r="DC337" s="309">
        <f t="shared" si="437"/>
        <v>1</v>
      </c>
      <c r="DD337" s="309">
        <f t="shared" si="438"/>
        <v>260</v>
      </c>
      <c r="DE337" s="308">
        <f t="shared" si="439"/>
        <v>6.5000000000000002E-2</v>
      </c>
      <c r="DF337" s="313">
        <f t="shared" si="454"/>
        <v>336</v>
      </c>
      <c r="DG337" s="313">
        <f t="shared" si="443"/>
        <v>260</v>
      </c>
      <c r="DH337" s="313">
        <f t="shared" si="444"/>
        <v>260</v>
      </c>
      <c r="DI337" s="313">
        <f t="shared" si="445"/>
        <v>0</v>
      </c>
      <c r="DJ337" s="313">
        <f t="shared" si="446"/>
        <v>0</v>
      </c>
      <c r="DK337" s="313">
        <f t="shared" si="455"/>
        <v>82444.517269621676</v>
      </c>
      <c r="DL337" s="313">
        <f t="shared" si="447"/>
        <v>68640</v>
      </c>
      <c r="DM337" s="314">
        <f t="shared" si="448"/>
        <v>18.90570280914724</v>
      </c>
      <c r="DN337" s="312">
        <f t="shared" si="449"/>
        <v>5.6266972646271549E-2</v>
      </c>
      <c r="DO337" s="312">
        <f t="shared" si="456"/>
        <v>1</v>
      </c>
      <c r="DP337" s="315">
        <f t="shared" si="440"/>
        <v>6.5000000000000002E-2</v>
      </c>
      <c r="DQ337" s="316">
        <f t="shared" si="450"/>
        <v>0.25</v>
      </c>
      <c r="DR337" s="316">
        <f t="shared" si="451"/>
        <v>87.820754522942522</v>
      </c>
      <c r="DS337" s="314">
        <f t="shared" si="452"/>
        <v>3.8259748714892048</v>
      </c>
      <c r="DT337" s="316">
        <f t="shared" si="453"/>
        <v>87.820754522942522</v>
      </c>
      <c r="DU337" s="314">
        <f t="shared" si="441"/>
        <v>3.8259748714892048</v>
      </c>
      <c r="DV337" s="316">
        <f t="shared" si="457"/>
        <v>66</v>
      </c>
      <c r="DW337" s="310">
        <f t="shared" si="442"/>
        <v>4.0151515151515156</v>
      </c>
      <c r="FB337" s="307"/>
      <c r="FC337" s="307"/>
      <c r="FF337" s="307"/>
      <c r="FG337" s="307"/>
      <c r="FH337" s="306"/>
      <c r="FJ337" s="307"/>
      <c r="FK337" s="307"/>
      <c r="FL337" s="306"/>
      <c r="FM337" s="307"/>
      <c r="FN337" s="306"/>
      <c r="FO337" s="307"/>
      <c r="FP337" s="306"/>
    </row>
    <row r="338" spans="29:172">
      <c r="AC338" s="156"/>
      <c r="AI338" s="190">
        <v>189</v>
      </c>
      <c r="AJ338" s="185">
        <v>313</v>
      </c>
      <c r="AK338" s="183">
        <f t="shared" si="430"/>
        <v>189</v>
      </c>
      <c r="AO338" s="182">
        <v>3.39E-2</v>
      </c>
      <c r="AP338" s="185">
        <v>313</v>
      </c>
      <c r="AQ338" s="184">
        <f t="shared" si="431"/>
        <v>3.39E-2</v>
      </c>
      <c r="AR338" s="190">
        <v>189</v>
      </c>
      <c r="AS338" s="185">
        <v>313</v>
      </c>
      <c r="AT338" s="183">
        <f t="shared" si="432"/>
        <v>189</v>
      </c>
      <c r="AX338" s="182">
        <v>3.39E-2</v>
      </c>
      <c r="AY338" s="185">
        <v>313</v>
      </c>
      <c r="AZ338" s="184">
        <f t="shared" si="433"/>
        <v>3.39E-2</v>
      </c>
      <c r="BA338" s="190">
        <v>189</v>
      </c>
      <c r="BB338" s="185">
        <v>313</v>
      </c>
      <c r="BC338" s="183">
        <f t="shared" si="434"/>
        <v>189</v>
      </c>
      <c r="BG338" s="182">
        <v>3.39E-2</v>
      </c>
      <c r="BH338" s="185">
        <v>313</v>
      </c>
      <c r="BI338" s="184">
        <f t="shared" si="435"/>
        <v>3.39E-2</v>
      </c>
      <c r="CW338" s="364"/>
      <c r="CX338" s="316"/>
      <c r="CY338" s="316"/>
      <c r="DA338" s="309">
        <v>337</v>
      </c>
      <c r="DB338" s="313">
        <f t="shared" si="436"/>
        <v>322.65796894771017</v>
      </c>
      <c r="DC338" s="309">
        <f t="shared" si="437"/>
        <v>1</v>
      </c>
      <c r="DD338" s="309">
        <f t="shared" si="438"/>
        <v>260</v>
      </c>
      <c r="DE338" s="308">
        <f t="shared" si="439"/>
        <v>6.5000000000000002E-2</v>
      </c>
      <c r="DF338" s="313">
        <f t="shared" si="454"/>
        <v>337</v>
      </c>
      <c r="DG338" s="313">
        <f t="shared" si="443"/>
        <v>260</v>
      </c>
      <c r="DH338" s="313">
        <f t="shared" si="444"/>
        <v>260</v>
      </c>
      <c r="DI338" s="313">
        <f t="shared" si="445"/>
        <v>0</v>
      </c>
      <c r="DJ338" s="313">
        <f t="shared" si="446"/>
        <v>0</v>
      </c>
      <c r="DK338" s="313">
        <f t="shared" si="455"/>
        <v>82704.517269621676</v>
      </c>
      <c r="DL338" s="313">
        <f t="shared" si="447"/>
        <v>68380</v>
      </c>
      <c r="DM338" s="314">
        <f t="shared" si="448"/>
        <v>18.90570280914724</v>
      </c>
      <c r="DN338" s="312">
        <f t="shared" si="449"/>
        <v>5.6100008335748484E-2</v>
      </c>
      <c r="DO338" s="312">
        <f t="shared" si="456"/>
        <v>1</v>
      </c>
      <c r="DP338" s="315">
        <f t="shared" si="440"/>
        <v>6.5000000000000002E-2</v>
      </c>
      <c r="DQ338" s="316">
        <f t="shared" si="450"/>
        <v>0.25</v>
      </c>
      <c r="DR338" s="316">
        <f t="shared" si="451"/>
        <v>88.070754522942522</v>
      </c>
      <c r="DS338" s="314">
        <f t="shared" si="452"/>
        <v>3.8264688638747968</v>
      </c>
      <c r="DT338" s="316">
        <f t="shared" si="453"/>
        <v>88.070754522942522</v>
      </c>
      <c r="DU338" s="314">
        <f t="shared" si="441"/>
        <v>3.8264688638747968</v>
      </c>
      <c r="DV338" s="316">
        <f t="shared" si="457"/>
        <v>65.75</v>
      </c>
      <c r="DW338" s="310">
        <f t="shared" si="442"/>
        <v>4.0152091254752849</v>
      </c>
      <c r="FB338" s="307"/>
      <c r="FC338" s="307"/>
      <c r="FF338" s="307"/>
      <c r="FG338" s="307"/>
      <c r="FH338" s="306"/>
      <c r="FJ338" s="307"/>
      <c r="FK338" s="307"/>
      <c r="FL338" s="306"/>
      <c r="FM338" s="307"/>
      <c r="FN338" s="306"/>
      <c r="FO338" s="307"/>
      <c r="FP338" s="306"/>
    </row>
    <row r="339" spans="29:172">
      <c r="AC339" s="156"/>
      <c r="AI339" s="190">
        <v>188</v>
      </c>
      <c r="AJ339" s="185">
        <v>314</v>
      </c>
      <c r="AK339" s="183">
        <f t="shared" si="430"/>
        <v>188</v>
      </c>
      <c r="AO339" s="182">
        <v>3.3799999999999997E-2</v>
      </c>
      <c r="AP339" s="185">
        <v>314</v>
      </c>
      <c r="AQ339" s="184">
        <f t="shared" si="431"/>
        <v>3.3799999999999997E-2</v>
      </c>
      <c r="AR339" s="190">
        <v>188</v>
      </c>
      <c r="AS339" s="185">
        <v>314</v>
      </c>
      <c r="AT339" s="183">
        <f t="shared" si="432"/>
        <v>188</v>
      </c>
      <c r="AX339" s="182">
        <v>3.3799999999999997E-2</v>
      </c>
      <c r="AY339" s="185">
        <v>314</v>
      </c>
      <c r="AZ339" s="184">
        <f t="shared" si="433"/>
        <v>3.3799999999999997E-2</v>
      </c>
      <c r="BA339" s="190">
        <v>188</v>
      </c>
      <c r="BB339" s="185">
        <v>314</v>
      </c>
      <c r="BC339" s="183">
        <f t="shared" si="434"/>
        <v>188</v>
      </c>
      <c r="BG339" s="182">
        <v>3.3799999999999997E-2</v>
      </c>
      <c r="BH339" s="185">
        <v>314</v>
      </c>
      <c r="BI339" s="184">
        <f t="shared" si="435"/>
        <v>3.3799999999999997E-2</v>
      </c>
      <c r="CW339" s="364"/>
      <c r="CX339" s="316"/>
      <c r="CY339" s="316"/>
      <c r="DA339" s="309">
        <v>338</v>
      </c>
      <c r="DB339" s="313">
        <f t="shared" si="436"/>
        <v>323.02193918197639</v>
      </c>
      <c r="DC339" s="309">
        <f t="shared" si="437"/>
        <v>1</v>
      </c>
      <c r="DD339" s="309">
        <f t="shared" si="438"/>
        <v>260</v>
      </c>
      <c r="DE339" s="308">
        <f t="shared" si="439"/>
        <v>6.5000000000000002E-2</v>
      </c>
      <c r="DF339" s="313">
        <f t="shared" si="454"/>
        <v>338</v>
      </c>
      <c r="DG339" s="313">
        <f t="shared" si="443"/>
        <v>260</v>
      </c>
      <c r="DH339" s="313">
        <f t="shared" si="444"/>
        <v>260</v>
      </c>
      <c r="DI339" s="313">
        <f t="shared" si="445"/>
        <v>0</v>
      </c>
      <c r="DJ339" s="313">
        <f t="shared" si="446"/>
        <v>0</v>
      </c>
      <c r="DK339" s="313">
        <f t="shared" si="455"/>
        <v>82964.517269621676</v>
      </c>
      <c r="DL339" s="313">
        <f t="shared" si="447"/>
        <v>68120</v>
      </c>
      <c r="DM339" s="314">
        <f t="shared" si="448"/>
        <v>18.90570280914724</v>
      </c>
      <c r="DN339" s="312">
        <f t="shared" si="449"/>
        <v>5.593403197972556E-2</v>
      </c>
      <c r="DO339" s="312">
        <f t="shared" si="456"/>
        <v>1</v>
      </c>
      <c r="DP339" s="315">
        <f t="shared" si="440"/>
        <v>6.5000000000000002E-2</v>
      </c>
      <c r="DQ339" s="316">
        <f t="shared" si="450"/>
        <v>0.25</v>
      </c>
      <c r="DR339" s="316">
        <f t="shared" si="451"/>
        <v>88.320754522942522</v>
      </c>
      <c r="DS339" s="314">
        <f t="shared" si="452"/>
        <v>3.8269600596788367</v>
      </c>
      <c r="DT339" s="316">
        <f t="shared" si="453"/>
        <v>88.320754522942522</v>
      </c>
      <c r="DU339" s="314">
        <f t="shared" si="441"/>
        <v>3.8269600596788367</v>
      </c>
      <c r="DV339" s="316">
        <f t="shared" si="457"/>
        <v>65.5</v>
      </c>
      <c r="DW339" s="310">
        <f t="shared" si="442"/>
        <v>4.0152671755725189</v>
      </c>
      <c r="FB339" s="307"/>
      <c r="FC339" s="307"/>
      <c r="FF339" s="307"/>
      <c r="FG339" s="307"/>
      <c r="FH339" s="306"/>
      <c r="FJ339" s="307"/>
      <c r="FK339" s="307"/>
      <c r="FL339" s="306"/>
      <c r="FM339" s="307"/>
      <c r="FN339" s="306"/>
      <c r="FO339" s="307"/>
      <c r="FP339" s="306"/>
    </row>
    <row r="340" spans="29:172">
      <c r="AC340" s="156"/>
      <c r="AI340" s="190">
        <v>187</v>
      </c>
      <c r="AJ340" s="185">
        <v>315</v>
      </c>
      <c r="AK340" s="183">
        <f t="shared" si="430"/>
        <v>187</v>
      </c>
      <c r="AO340" s="182">
        <v>3.3700000000000001E-2</v>
      </c>
      <c r="AP340" s="185">
        <v>315</v>
      </c>
      <c r="AQ340" s="184">
        <f t="shared" si="431"/>
        <v>3.3700000000000001E-2</v>
      </c>
      <c r="AR340" s="190">
        <v>187</v>
      </c>
      <c r="AS340" s="185">
        <v>315</v>
      </c>
      <c r="AT340" s="183">
        <f t="shared" si="432"/>
        <v>187</v>
      </c>
      <c r="AX340" s="182">
        <v>3.3700000000000001E-2</v>
      </c>
      <c r="AY340" s="185">
        <v>315</v>
      </c>
      <c r="AZ340" s="184">
        <f t="shared" si="433"/>
        <v>3.3700000000000001E-2</v>
      </c>
      <c r="BA340" s="190">
        <v>187</v>
      </c>
      <c r="BB340" s="185">
        <v>315</v>
      </c>
      <c r="BC340" s="183">
        <f t="shared" si="434"/>
        <v>187</v>
      </c>
      <c r="BG340" s="182">
        <v>3.3700000000000001E-2</v>
      </c>
      <c r="BH340" s="185">
        <v>315</v>
      </c>
      <c r="BI340" s="184">
        <f t="shared" si="435"/>
        <v>3.3700000000000001E-2</v>
      </c>
      <c r="CW340" s="364"/>
      <c r="CX340" s="316"/>
      <c r="CY340" s="316"/>
      <c r="DA340" s="309">
        <v>339</v>
      </c>
      <c r="DB340" s="313">
        <f t="shared" si="436"/>
        <v>323.38590941624261</v>
      </c>
      <c r="DC340" s="309">
        <f t="shared" si="437"/>
        <v>1</v>
      </c>
      <c r="DD340" s="309">
        <f t="shared" si="438"/>
        <v>260</v>
      </c>
      <c r="DE340" s="308">
        <f t="shared" si="439"/>
        <v>6.5000000000000002E-2</v>
      </c>
      <c r="DF340" s="313">
        <f t="shared" si="454"/>
        <v>339</v>
      </c>
      <c r="DG340" s="313">
        <f t="shared" si="443"/>
        <v>260</v>
      </c>
      <c r="DH340" s="313">
        <f t="shared" si="444"/>
        <v>260</v>
      </c>
      <c r="DI340" s="313">
        <f t="shared" si="445"/>
        <v>0</v>
      </c>
      <c r="DJ340" s="313">
        <f t="shared" si="446"/>
        <v>0</v>
      </c>
      <c r="DK340" s="313">
        <f t="shared" si="455"/>
        <v>83224.517269621676</v>
      </c>
      <c r="DL340" s="313">
        <f t="shared" si="447"/>
        <v>67860</v>
      </c>
      <c r="DM340" s="314">
        <f t="shared" si="448"/>
        <v>18.90570280914724</v>
      </c>
      <c r="DN340" s="312">
        <f t="shared" si="449"/>
        <v>5.5769034835242592E-2</v>
      </c>
      <c r="DO340" s="312">
        <f t="shared" si="456"/>
        <v>1</v>
      </c>
      <c r="DP340" s="315">
        <f t="shared" si="440"/>
        <v>6.5000000000000002E-2</v>
      </c>
      <c r="DQ340" s="316">
        <f t="shared" si="450"/>
        <v>0.25</v>
      </c>
      <c r="DR340" s="316">
        <f t="shared" si="451"/>
        <v>88.570754522942522</v>
      </c>
      <c r="DS340" s="314">
        <f t="shared" si="452"/>
        <v>3.827448482582235</v>
      </c>
      <c r="DT340" s="316">
        <f t="shared" si="453"/>
        <v>88.570754522942522</v>
      </c>
      <c r="DU340" s="314">
        <f t="shared" si="441"/>
        <v>3.827448482582235</v>
      </c>
      <c r="DV340" s="316">
        <f t="shared" si="457"/>
        <v>65.25</v>
      </c>
      <c r="DW340" s="310">
        <f t="shared" si="442"/>
        <v>4.0153256704980844</v>
      </c>
      <c r="FB340" s="307"/>
      <c r="FC340" s="307"/>
      <c r="FF340" s="307"/>
      <c r="FG340" s="307"/>
      <c r="FH340" s="306"/>
      <c r="FJ340" s="307"/>
      <c r="FK340" s="307"/>
      <c r="FL340" s="306"/>
      <c r="FM340" s="307"/>
      <c r="FN340" s="306"/>
      <c r="FO340" s="307"/>
      <c r="FP340" s="306"/>
    </row>
    <row r="341" spans="29:172">
      <c r="AC341" s="156"/>
      <c r="AI341" s="190">
        <v>186</v>
      </c>
      <c r="AJ341" s="185">
        <v>316</v>
      </c>
      <c r="AK341" s="183">
        <f t="shared" si="430"/>
        <v>186</v>
      </c>
      <c r="AO341" s="182">
        <v>3.3599999999999998E-2</v>
      </c>
      <c r="AP341" s="185">
        <v>316</v>
      </c>
      <c r="AQ341" s="184">
        <f t="shared" si="431"/>
        <v>3.3599999999999998E-2</v>
      </c>
      <c r="AR341" s="190">
        <v>186</v>
      </c>
      <c r="AS341" s="185">
        <v>316</v>
      </c>
      <c r="AT341" s="183">
        <f t="shared" si="432"/>
        <v>186</v>
      </c>
      <c r="AX341" s="182">
        <v>3.3599999999999998E-2</v>
      </c>
      <c r="AY341" s="185">
        <v>316</v>
      </c>
      <c r="AZ341" s="184">
        <f t="shared" si="433"/>
        <v>3.3599999999999998E-2</v>
      </c>
      <c r="BA341" s="190">
        <v>186</v>
      </c>
      <c r="BB341" s="185">
        <v>316</v>
      </c>
      <c r="BC341" s="183">
        <f t="shared" si="434"/>
        <v>186</v>
      </c>
      <c r="BG341" s="182">
        <v>3.3599999999999998E-2</v>
      </c>
      <c r="BH341" s="185">
        <v>316</v>
      </c>
      <c r="BI341" s="184">
        <f t="shared" si="435"/>
        <v>3.3599999999999998E-2</v>
      </c>
      <c r="CW341" s="364"/>
      <c r="CX341" s="316"/>
      <c r="CY341" s="316"/>
      <c r="DA341" s="309">
        <v>340</v>
      </c>
      <c r="DB341" s="313">
        <f t="shared" si="436"/>
        <v>323.74987965050877</v>
      </c>
      <c r="DC341" s="309">
        <f t="shared" si="437"/>
        <v>1</v>
      </c>
      <c r="DD341" s="309">
        <f t="shared" si="438"/>
        <v>260</v>
      </c>
      <c r="DE341" s="308">
        <f t="shared" si="439"/>
        <v>6.5000000000000002E-2</v>
      </c>
      <c r="DF341" s="313">
        <f t="shared" si="454"/>
        <v>340</v>
      </c>
      <c r="DG341" s="313">
        <f t="shared" si="443"/>
        <v>260</v>
      </c>
      <c r="DH341" s="313">
        <f t="shared" si="444"/>
        <v>260</v>
      </c>
      <c r="DI341" s="313">
        <f t="shared" si="445"/>
        <v>0</v>
      </c>
      <c r="DJ341" s="313">
        <f t="shared" si="446"/>
        <v>0</v>
      </c>
      <c r="DK341" s="313">
        <f t="shared" si="455"/>
        <v>83484.517269621676</v>
      </c>
      <c r="DL341" s="313">
        <f t="shared" si="447"/>
        <v>67600</v>
      </c>
      <c r="DM341" s="314">
        <f t="shared" si="448"/>
        <v>18.90570280914724</v>
      </c>
      <c r="DN341" s="312">
        <f t="shared" si="449"/>
        <v>5.5605008262197761E-2</v>
      </c>
      <c r="DO341" s="312">
        <f t="shared" si="456"/>
        <v>1</v>
      </c>
      <c r="DP341" s="315">
        <f t="shared" si="440"/>
        <v>6.5000000000000002E-2</v>
      </c>
      <c r="DQ341" s="316">
        <f t="shared" si="450"/>
        <v>0.25</v>
      </c>
      <c r="DR341" s="316">
        <f t="shared" si="451"/>
        <v>88.820754522942522</v>
      </c>
      <c r="DS341" s="314">
        <f t="shared" si="452"/>
        <v>3.827934155999289</v>
      </c>
      <c r="DT341" s="316">
        <f t="shared" si="453"/>
        <v>88.820754522942522</v>
      </c>
      <c r="DU341" s="314">
        <f t="shared" si="441"/>
        <v>3.827934155999289</v>
      </c>
      <c r="DV341" s="316">
        <f t="shared" si="457"/>
        <v>65</v>
      </c>
      <c r="DW341" s="310">
        <f t="shared" si="442"/>
        <v>4.0153846153846153</v>
      </c>
      <c r="FB341" s="307"/>
      <c r="FC341" s="307"/>
      <c r="FF341" s="307"/>
      <c r="FG341" s="307"/>
      <c r="FH341" s="306"/>
      <c r="FJ341" s="307"/>
      <c r="FK341" s="307"/>
      <c r="FL341" s="306"/>
      <c r="FM341" s="307"/>
      <c r="FN341" s="306"/>
      <c r="FO341" s="307"/>
      <c r="FP341" s="306"/>
    </row>
    <row r="342" spans="29:172">
      <c r="AC342" s="156"/>
      <c r="AI342" s="190">
        <v>185</v>
      </c>
      <c r="AJ342" s="185">
        <v>317</v>
      </c>
      <c r="AK342" s="183">
        <f t="shared" si="430"/>
        <v>185</v>
      </c>
      <c r="AO342" s="182">
        <v>3.3500000000000002E-2</v>
      </c>
      <c r="AP342" s="185">
        <v>317</v>
      </c>
      <c r="AQ342" s="184">
        <f t="shared" si="431"/>
        <v>3.3500000000000002E-2</v>
      </c>
      <c r="AR342" s="190">
        <v>185</v>
      </c>
      <c r="AS342" s="185">
        <v>317</v>
      </c>
      <c r="AT342" s="183">
        <f t="shared" si="432"/>
        <v>185</v>
      </c>
      <c r="AX342" s="182">
        <v>3.3500000000000002E-2</v>
      </c>
      <c r="AY342" s="185">
        <v>317</v>
      </c>
      <c r="AZ342" s="184">
        <f t="shared" si="433"/>
        <v>3.3500000000000002E-2</v>
      </c>
      <c r="BA342" s="190">
        <v>185</v>
      </c>
      <c r="BB342" s="185">
        <v>317</v>
      </c>
      <c r="BC342" s="183">
        <f t="shared" si="434"/>
        <v>185</v>
      </c>
      <c r="BG342" s="182">
        <v>3.3500000000000002E-2</v>
      </c>
      <c r="BH342" s="185">
        <v>317</v>
      </c>
      <c r="BI342" s="184">
        <f t="shared" si="435"/>
        <v>3.3500000000000002E-2</v>
      </c>
      <c r="CW342" s="364"/>
      <c r="CX342" s="316"/>
      <c r="CY342" s="316"/>
      <c r="DA342" s="309">
        <v>341</v>
      </c>
      <c r="DB342" s="313">
        <f t="shared" si="436"/>
        <v>324.11384988477499</v>
      </c>
      <c r="DC342" s="309">
        <f t="shared" si="437"/>
        <v>1</v>
      </c>
      <c r="DD342" s="309">
        <f t="shared" si="438"/>
        <v>260</v>
      </c>
      <c r="DE342" s="308">
        <f t="shared" si="439"/>
        <v>6.5000000000000002E-2</v>
      </c>
      <c r="DF342" s="313">
        <f t="shared" si="454"/>
        <v>341</v>
      </c>
      <c r="DG342" s="313">
        <f t="shared" si="443"/>
        <v>260</v>
      </c>
      <c r="DH342" s="313">
        <f t="shared" si="444"/>
        <v>260</v>
      </c>
      <c r="DI342" s="313">
        <f t="shared" si="445"/>
        <v>0</v>
      </c>
      <c r="DJ342" s="313">
        <f t="shared" si="446"/>
        <v>0</v>
      </c>
      <c r="DK342" s="313">
        <f t="shared" si="455"/>
        <v>83744.517269621676</v>
      </c>
      <c r="DL342" s="313">
        <f t="shared" si="447"/>
        <v>67340</v>
      </c>
      <c r="DM342" s="314">
        <f t="shared" si="448"/>
        <v>18.90570280914724</v>
      </c>
      <c r="DN342" s="312">
        <f t="shared" si="449"/>
        <v>5.5441943721839415E-2</v>
      </c>
      <c r="DO342" s="312">
        <f t="shared" si="456"/>
        <v>1</v>
      </c>
      <c r="DP342" s="315">
        <f t="shared" si="440"/>
        <v>6.5000000000000002E-2</v>
      </c>
      <c r="DQ342" s="316">
        <f t="shared" si="450"/>
        <v>0.25</v>
      </c>
      <c r="DR342" s="316">
        <f t="shared" si="451"/>
        <v>89.070754522942522</v>
      </c>
      <c r="DS342" s="314">
        <f t="shared" si="452"/>
        <v>3.8284171030814211</v>
      </c>
      <c r="DT342" s="316">
        <f t="shared" si="453"/>
        <v>89.070754522942522</v>
      </c>
      <c r="DU342" s="314">
        <f t="shared" si="441"/>
        <v>3.8284171030814211</v>
      </c>
      <c r="DV342" s="316">
        <f t="shared" si="457"/>
        <v>64.75</v>
      </c>
      <c r="DW342" s="310">
        <f t="shared" si="442"/>
        <v>4.0154440154440154</v>
      </c>
      <c r="FB342" s="307"/>
      <c r="FC342" s="307"/>
      <c r="FF342" s="307"/>
      <c r="FG342" s="307"/>
      <c r="FH342" s="306"/>
      <c r="FJ342" s="307"/>
      <c r="FK342" s="307"/>
      <c r="FL342" s="306"/>
      <c r="FM342" s="307"/>
      <c r="FN342" s="306"/>
      <c r="FO342" s="307"/>
      <c r="FP342" s="306"/>
    </row>
    <row r="343" spans="29:172">
      <c r="AC343" s="156"/>
      <c r="AI343" s="190">
        <v>184</v>
      </c>
      <c r="AJ343" s="185">
        <v>318</v>
      </c>
      <c r="AK343" s="183">
        <f t="shared" si="430"/>
        <v>184</v>
      </c>
      <c r="AO343" s="182">
        <v>3.3399999999999999E-2</v>
      </c>
      <c r="AP343" s="185">
        <v>318</v>
      </c>
      <c r="AQ343" s="184">
        <f t="shared" si="431"/>
        <v>3.3399999999999999E-2</v>
      </c>
      <c r="AR343" s="190">
        <v>184</v>
      </c>
      <c r="AS343" s="185">
        <v>318</v>
      </c>
      <c r="AT343" s="183">
        <f t="shared" si="432"/>
        <v>184</v>
      </c>
      <c r="AX343" s="182">
        <v>3.3399999999999999E-2</v>
      </c>
      <c r="AY343" s="185">
        <v>318</v>
      </c>
      <c r="AZ343" s="184">
        <f t="shared" si="433"/>
        <v>3.3399999999999999E-2</v>
      </c>
      <c r="BA343" s="190">
        <v>184</v>
      </c>
      <c r="BB343" s="185">
        <v>318</v>
      </c>
      <c r="BC343" s="183">
        <f t="shared" si="434"/>
        <v>184</v>
      </c>
      <c r="BG343" s="182">
        <v>3.3399999999999999E-2</v>
      </c>
      <c r="BH343" s="185">
        <v>318</v>
      </c>
      <c r="BI343" s="184">
        <f t="shared" si="435"/>
        <v>3.3399999999999999E-2</v>
      </c>
      <c r="CW343" s="364"/>
      <c r="CX343" s="316"/>
      <c r="CY343" s="316"/>
      <c r="DA343" s="309">
        <v>342</v>
      </c>
      <c r="DB343" s="313">
        <f t="shared" si="436"/>
        <v>324.47782011904121</v>
      </c>
      <c r="DC343" s="309">
        <f t="shared" si="437"/>
        <v>1</v>
      </c>
      <c r="DD343" s="309">
        <f t="shared" si="438"/>
        <v>260</v>
      </c>
      <c r="DE343" s="308">
        <f t="shared" si="439"/>
        <v>6.5000000000000002E-2</v>
      </c>
      <c r="DF343" s="313">
        <f t="shared" si="454"/>
        <v>342</v>
      </c>
      <c r="DG343" s="313">
        <f t="shared" si="443"/>
        <v>260</v>
      </c>
      <c r="DH343" s="313">
        <f t="shared" si="444"/>
        <v>260</v>
      </c>
      <c r="DI343" s="313">
        <f t="shared" si="445"/>
        <v>0</v>
      </c>
      <c r="DJ343" s="313">
        <f t="shared" si="446"/>
        <v>0</v>
      </c>
      <c r="DK343" s="313">
        <f t="shared" si="455"/>
        <v>84004.517269621676</v>
      </c>
      <c r="DL343" s="313">
        <f t="shared" si="447"/>
        <v>67080</v>
      </c>
      <c r="DM343" s="314">
        <f t="shared" si="448"/>
        <v>18.90570280914724</v>
      </c>
      <c r="DN343" s="312">
        <f t="shared" si="449"/>
        <v>5.5279832775284324E-2</v>
      </c>
      <c r="DO343" s="312">
        <f t="shared" si="456"/>
        <v>1</v>
      </c>
      <c r="DP343" s="315">
        <f t="shared" si="440"/>
        <v>6.5000000000000002E-2</v>
      </c>
      <c r="DQ343" s="316">
        <f t="shared" si="450"/>
        <v>0.25</v>
      </c>
      <c r="DR343" s="316">
        <f t="shared" si="451"/>
        <v>89.320754522942522</v>
      </c>
      <c r="DS343" s="314">
        <f t="shared" si="452"/>
        <v>3.8288973467208613</v>
      </c>
      <c r="DT343" s="316">
        <f t="shared" si="453"/>
        <v>89.320754522942522</v>
      </c>
      <c r="DU343" s="314">
        <f t="shared" si="441"/>
        <v>3.8288973467208613</v>
      </c>
      <c r="DV343" s="316">
        <f t="shared" si="457"/>
        <v>64.5</v>
      </c>
      <c r="DW343" s="310">
        <f t="shared" si="442"/>
        <v>4.0155038759689923</v>
      </c>
      <c r="FB343" s="307"/>
      <c r="FC343" s="307"/>
      <c r="FF343" s="307"/>
      <c r="FG343" s="307"/>
      <c r="FH343" s="306"/>
      <c r="FJ343" s="307"/>
      <c r="FK343" s="307"/>
      <c r="FL343" s="306"/>
      <c r="FM343" s="307"/>
      <c r="FN343" s="306"/>
      <c r="FO343" s="307"/>
      <c r="FP343" s="306"/>
    </row>
    <row r="344" spans="29:172">
      <c r="AC344" s="156"/>
      <c r="AI344" s="190">
        <v>183</v>
      </c>
      <c r="AJ344" s="185">
        <v>319</v>
      </c>
      <c r="AK344" s="183">
        <f t="shared" si="430"/>
        <v>183</v>
      </c>
      <c r="AO344" s="182">
        <v>3.3300000000000003E-2</v>
      </c>
      <c r="AP344" s="185">
        <v>319</v>
      </c>
      <c r="AQ344" s="184">
        <f t="shared" si="431"/>
        <v>3.3300000000000003E-2</v>
      </c>
      <c r="AR344" s="190">
        <v>183</v>
      </c>
      <c r="AS344" s="185">
        <v>319</v>
      </c>
      <c r="AT344" s="183">
        <f t="shared" si="432"/>
        <v>183</v>
      </c>
      <c r="AX344" s="182">
        <v>3.3300000000000003E-2</v>
      </c>
      <c r="AY344" s="185">
        <v>319</v>
      </c>
      <c r="AZ344" s="184">
        <f t="shared" si="433"/>
        <v>3.3300000000000003E-2</v>
      </c>
      <c r="BA344" s="190">
        <v>183</v>
      </c>
      <c r="BB344" s="185">
        <v>319</v>
      </c>
      <c r="BC344" s="183">
        <f t="shared" si="434"/>
        <v>183</v>
      </c>
      <c r="BG344" s="182">
        <v>3.3300000000000003E-2</v>
      </c>
      <c r="BH344" s="185">
        <v>319</v>
      </c>
      <c r="BI344" s="184">
        <f t="shared" si="435"/>
        <v>3.3300000000000003E-2</v>
      </c>
      <c r="CW344" s="364"/>
      <c r="CX344" s="316"/>
      <c r="CY344" s="316"/>
      <c r="DA344" s="309">
        <v>343</v>
      </c>
      <c r="DB344" s="313">
        <f t="shared" si="436"/>
        <v>324.84179035330737</v>
      </c>
      <c r="DC344" s="309">
        <f t="shared" si="437"/>
        <v>1</v>
      </c>
      <c r="DD344" s="309">
        <f t="shared" si="438"/>
        <v>260</v>
      </c>
      <c r="DE344" s="308">
        <f t="shared" si="439"/>
        <v>6.5000000000000002E-2</v>
      </c>
      <c r="DF344" s="313">
        <f t="shared" si="454"/>
        <v>343</v>
      </c>
      <c r="DG344" s="313">
        <f t="shared" si="443"/>
        <v>260</v>
      </c>
      <c r="DH344" s="313">
        <f t="shared" si="444"/>
        <v>260</v>
      </c>
      <c r="DI344" s="313">
        <f t="shared" si="445"/>
        <v>0</v>
      </c>
      <c r="DJ344" s="313">
        <f t="shared" si="446"/>
        <v>0</v>
      </c>
      <c r="DK344" s="313">
        <f t="shared" si="455"/>
        <v>84264.517269621676</v>
      </c>
      <c r="DL344" s="313">
        <f t="shared" si="447"/>
        <v>66820</v>
      </c>
      <c r="DM344" s="314">
        <f t="shared" si="448"/>
        <v>18.90570280914724</v>
      </c>
      <c r="DN344" s="312">
        <f t="shared" si="449"/>
        <v>5.5118667082061923E-2</v>
      </c>
      <c r="DO344" s="312">
        <f t="shared" si="456"/>
        <v>1</v>
      </c>
      <c r="DP344" s="315">
        <f t="shared" si="440"/>
        <v>6.5000000000000002E-2</v>
      </c>
      <c r="DQ344" s="316">
        <f t="shared" si="450"/>
        <v>0.25</v>
      </c>
      <c r="DR344" s="316">
        <f t="shared" si="451"/>
        <v>89.570754522942522</v>
      </c>
      <c r="DS344" s="314">
        <f t="shared" si="452"/>
        <v>3.8293749095542617</v>
      </c>
      <c r="DT344" s="316">
        <f t="shared" si="453"/>
        <v>89.570754522942522</v>
      </c>
      <c r="DU344" s="314">
        <f t="shared" si="441"/>
        <v>3.8293749095542617</v>
      </c>
      <c r="DV344" s="316">
        <f t="shared" si="457"/>
        <v>64.25</v>
      </c>
      <c r="DW344" s="310">
        <f t="shared" si="442"/>
        <v>4.0155642023346303</v>
      </c>
      <c r="FB344" s="307"/>
      <c r="FC344" s="307"/>
      <c r="FF344" s="307"/>
      <c r="FG344" s="307"/>
      <c r="FH344" s="306"/>
      <c r="FJ344" s="307"/>
      <c r="FK344" s="307"/>
      <c r="FL344" s="306"/>
      <c r="FM344" s="307"/>
      <c r="FN344" s="306"/>
      <c r="FO344" s="307"/>
      <c r="FP344" s="306"/>
    </row>
    <row r="345" spans="29:172">
      <c r="AC345" s="156"/>
      <c r="AI345" s="190">
        <v>182</v>
      </c>
      <c r="AJ345" s="185">
        <v>320</v>
      </c>
      <c r="AK345" s="183">
        <f t="shared" si="430"/>
        <v>182</v>
      </c>
      <c r="AO345" s="182">
        <v>3.32E-2</v>
      </c>
      <c r="AP345" s="185">
        <v>320</v>
      </c>
      <c r="AQ345" s="184">
        <f t="shared" si="431"/>
        <v>3.32E-2</v>
      </c>
      <c r="AR345" s="190">
        <v>182</v>
      </c>
      <c r="AS345" s="185">
        <v>320</v>
      </c>
      <c r="AT345" s="183">
        <f t="shared" si="432"/>
        <v>182</v>
      </c>
      <c r="AX345" s="182">
        <v>3.32E-2</v>
      </c>
      <c r="AY345" s="185">
        <v>320</v>
      </c>
      <c r="AZ345" s="184">
        <f t="shared" si="433"/>
        <v>3.32E-2</v>
      </c>
      <c r="BA345" s="190">
        <v>182</v>
      </c>
      <c r="BB345" s="185">
        <v>320</v>
      </c>
      <c r="BC345" s="183">
        <f t="shared" si="434"/>
        <v>182</v>
      </c>
      <c r="BG345" s="182">
        <v>3.32E-2</v>
      </c>
      <c r="BH345" s="185">
        <v>320</v>
      </c>
      <c r="BI345" s="184">
        <f t="shared" si="435"/>
        <v>3.32E-2</v>
      </c>
      <c r="CW345" s="364"/>
      <c r="CX345" s="316"/>
      <c r="CY345" s="316"/>
      <c r="DA345" s="309">
        <v>344</v>
      </c>
      <c r="DB345" s="313">
        <f t="shared" si="436"/>
        <v>325.20576058757359</v>
      </c>
      <c r="DC345" s="309">
        <f t="shared" si="437"/>
        <v>1</v>
      </c>
      <c r="DD345" s="309">
        <f t="shared" si="438"/>
        <v>260</v>
      </c>
      <c r="DE345" s="308">
        <f t="shared" si="439"/>
        <v>6.5000000000000002E-2</v>
      </c>
      <c r="DF345" s="313">
        <f t="shared" si="454"/>
        <v>344</v>
      </c>
      <c r="DG345" s="313">
        <f t="shared" si="443"/>
        <v>260</v>
      </c>
      <c r="DH345" s="313">
        <f t="shared" si="444"/>
        <v>260</v>
      </c>
      <c r="DI345" s="313">
        <f t="shared" si="445"/>
        <v>0</v>
      </c>
      <c r="DJ345" s="313">
        <f t="shared" si="446"/>
        <v>0</v>
      </c>
      <c r="DK345" s="313">
        <f t="shared" si="455"/>
        <v>84524.517269621676</v>
      </c>
      <c r="DL345" s="313">
        <f t="shared" si="447"/>
        <v>66560</v>
      </c>
      <c r="DM345" s="314">
        <f t="shared" si="448"/>
        <v>18.90570280914724</v>
      </c>
      <c r="DN345" s="312">
        <f t="shared" si="449"/>
        <v>5.4958438398683834E-2</v>
      </c>
      <c r="DO345" s="312">
        <f t="shared" si="456"/>
        <v>1</v>
      </c>
      <c r="DP345" s="315">
        <f t="shared" si="440"/>
        <v>6.5000000000000002E-2</v>
      </c>
      <c r="DQ345" s="316">
        <f t="shared" si="450"/>
        <v>0.25</v>
      </c>
      <c r="DR345" s="316">
        <f t="shared" si="451"/>
        <v>89.820754522942522</v>
      </c>
      <c r="DS345" s="314">
        <f t="shared" si="452"/>
        <v>3.8298498139662542</v>
      </c>
      <c r="DT345" s="316">
        <f t="shared" si="453"/>
        <v>89.820754522942522</v>
      </c>
      <c r="DU345" s="314">
        <f t="shared" si="441"/>
        <v>3.8298498139662542</v>
      </c>
      <c r="DV345" s="316">
        <f t="shared" si="457"/>
        <v>64</v>
      </c>
      <c r="DW345" s="310">
        <f t="shared" si="442"/>
        <v>4.015625</v>
      </c>
      <c r="FB345" s="307"/>
      <c r="FC345" s="307"/>
      <c r="FF345" s="307"/>
      <c r="FG345" s="307"/>
      <c r="FH345" s="306"/>
      <c r="FJ345" s="307"/>
      <c r="FK345" s="307"/>
      <c r="FL345" s="306"/>
      <c r="FM345" s="307"/>
      <c r="FN345" s="306"/>
      <c r="FO345" s="307"/>
      <c r="FP345" s="306"/>
    </row>
    <row r="346" spans="29:172">
      <c r="AC346" s="156"/>
      <c r="AI346" s="190">
        <v>181</v>
      </c>
      <c r="AJ346" s="185">
        <v>321</v>
      </c>
      <c r="AK346" s="183">
        <f t="shared" si="430"/>
        <v>181</v>
      </c>
      <c r="AO346" s="182">
        <v>3.3099999999999997E-2</v>
      </c>
      <c r="AP346" s="185">
        <v>321</v>
      </c>
      <c r="AQ346" s="184">
        <f t="shared" si="431"/>
        <v>3.3099999999999997E-2</v>
      </c>
      <c r="AR346" s="190">
        <v>181</v>
      </c>
      <c r="AS346" s="185">
        <v>321</v>
      </c>
      <c r="AT346" s="183">
        <f t="shared" si="432"/>
        <v>181</v>
      </c>
      <c r="AX346" s="182">
        <v>3.3099999999999997E-2</v>
      </c>
      <c r="AY346" s="185">
        <v>321</v>
      </c>
      <c r="AZ346" s="184">
        <f t="shared" si="433"/>
        <v>3.3099999999999997E-2</v>
      </c>
      <c r="BA346" s="190">
        <v>181</v>
      </c>
      <c r="BB346" s="185">
        <v>321</v>
      </c>
      <c r="BC346" s="183">
        <f t="shared" si="434"/>
        <v>181</v>
      </c>
      <c r="BG346" s="182">
        <v>3.3099999999999997E-2</v>
      </c>
      <c r="BH346" s="185">
        <v>321</v>
      </c>
      <c r="BI346" s="184">
        <f t="shared" si="435"/>
        <v>3.3099999999999997E-2</v>
      </c>
      <c r="CW346" s="364"/>
      <c r="CX346" s="316"/>
      <c r="CY346" s="316"/>
      <c r="DA346" s="309">
        <v>345</v>
      </c>
      <c r="DB346" s="313">
        <f t="shared" si="436"/>
        <v>325.56973082183981</v>
      </c>
      <c r="DC346" s="309">
        <f t="shared" si="437"/>
        <v>1</v>
      </c>
      <c r="DD346" s="309">
        <f t="shared" si="438"/>
        <v>260</v>
      </c>
      <c r="DE346" s="308">
        <f t="shared" si="439"/>
        <v>6.5000000000000002E-2</v>
      </c>
      <c r="DF346" s="313">
        <f t="shared" si="454"/>
        <v>345</v>
      </c>
      <c r="DG346" s="313">
        <f t="shared" si="443"/>
        <v>260</v>
      </c>
      <c r="DH346" s="313">
        <f t="shared" si="444"/>
        <v>260</v>
      </c>
      <c r="DI346" s="313">
        <f t="shared" si="445"/>
        <v>0</v>
      </c>
      <c r="DJ346" s="313">
        <f t="shared" si="446"/>
        <v>0</v>
      </c>
      <c r="DK346" s="313">
        <f t="shared" si="455"/>
        <v>84784.517269621676</v>
      </c>
      <c r="DL346" s="313">
        <f t="shared" si="447"/>
        <v>66300</v>
      </c>
      <c r="DM346" s="314">
        <f t="shared" si="448"/>
        <v>18.90570280914724</v>
      </c>
      <c r="DN346" s="312">
        <f t="shared" si="449"/>
        <v>5.4799138577238372E-2</v>
      </c>
      <c r="DO346" s="312">
        <f t="shared" si="456"/>
        <v>1</v>
      </c>
      <c r="DP346" s="315">
        <f t="shared" si="440"/>
        <v>6.5000000000000002E-2</v>
      </c>
      <c r="DQ346" s="316">
        <f t="shared" si="450"/>
        <v>0.25</v>
      </c>
      <c r="DR346" s="316">
        <f t="shared" si="451"/>
        <v>90.070754522942522</v>
      </c>
      <c r="DS346" s="314">
        <f t="shared" si="452"/>
        <v>3.8303220820929478</v>
      </c>
      <c r="DT346" s="316">
        <f t="shared" si="453"/>
        <v>90.070754522942522</v>
      </c>
      <c r="DU346" s="314">
        <f t="shared" si="441"/>
        <v>3.8303220820929478</v>
      </c>
      <c r="DV346" s="316">
        <f t="shared" si="457"/>
        <v>63.75</v>
      </c>
      <c r="DW346" s="310">
        <f t="shared" si="442"/>
        <v>4.0156862745098039</v>
      </c>
      <c r="FB346" s="307"/>
      <c r="FC346" s="307"/>
      <c r="FF346" s="307"/>
      <c r="FG346" s="307"/>
      <c r="FH346" s="306"/>
      <c r="FJ346" s="307"/>
      <c r="FK346" s="307"/>
      <c r="FL346" s="306"/>
      <c r="FM346" s="307"/>
      <c r="FN346" s="306"/>
      <c r="FO346" s="307"/>
      <c r="FP346" s="306"/>
    </row>
    <row r="347" spans="29:172">
      <c r="AC347" s="156"/>
      <c r="AI347" s="190">
        <v>180</v>
      </c>
      <c r="AJ347" s="185">
        <v>322</v>
      </c>
      <c r="AK347" s="183">
        <f t="shared" ref="AK347:AK410" si="458">AI347</f>
        <v>180</v>
      </c>
      <c r="AO347" s="182">
        <v>3.3000000000000002E-2</v>
      </c>
      <c r="AP347" s="185">
        <v>322</v>
      </c>
      <c r="AQ347" s="184">
        <f t="shared" ref="AQ347:AQ410" si="459">AO347</f>
        <v>3.3000000000000002E-2</v>
      </c>
      <c r="AR347" s="190">
        <v>180</v>
      </c>
      <c r="AS347" s="185">
        <v>322</v>
      </c>
      <c r="AT347" s="183">
        <f t="shared" ref="AT347:AT410" si="460">AR347</f>
        <v>180</v>
      </c>
      <c r="AX347" s="182">
        <v>3.3000000000000002E-2</v>
      </c>
      <c r="AY347" s="185">
        <v>322</v>
      </c>
      <c r="AZ347" s="184">
        <f t="shared" ref="AZ347:AZ410" si="461">AX347</f>
        <v>3.3000000000000002E-2</v>
      </c>
      <c r="BA347" s="190">
        <v>180</v>
      </c>
      <c r="BB347" s="185">
        <v>322</v>
      </c>
      <c r="BC347" s="183">
        <f t="shared" ref="BC347:BC410" si="462">BA347</f>
        <v>180</v>
      </c>
      <c r="BG347" s="182">
        <v>3.3000000000000002E-2</v>
      </c>
      <c r="BH347" s="185">
        <v>322</v>
      </c>
      <c r="BI347" s="184">
        <f t="shared" ref="BI347:BI410" si="463">BG347</f>
        <v>3.3000000000000002E-2</v>
      </c>
      <c r="CW347" s="364"/>
      <c r="CX347" s="316"/>
      <c r="CY347" s="316"/>
      <c r="DA347" s="309">
        <v>346</v>
      </c>
      <c r="DB347" s="313">
        <f t="shared" si="436"/>
        <v>325.93370105610603</v>
      </c>
      <c r="DC347" s="309">
        <f t="shared" si="437"/>
        <v>1</v>
      </c>
      <c r="DD347" s="309">
        <f t="shared" si="438"/>
        <v>260</v>
      </c>
      <c r="DE347" s="308">
        <f t="shared" si="439"/>
        <v>6.5000000000000002E-2</v>
      </c>
      <c r="DF347" s="313">
        <f t="shared" si="454"/>
        <v>346</v>
      </c>
      <c r="DG347" s="313">
        <f t="shared" si="443"/>
        <v>260</v>
      </c>
      <c r="DH347" s="313">
        <f t="shared" si="444"/>
        <v>260</v>
      </c>
      <c r="DI347" s="313">
        <f t="shared" si="445"/>
        <v>0</v>
      </c>
      <c r="DJ347" s="313">
        <f t="shared" si="446"/>
        <v>0</v>
      </c>
      <c r="DK347" s="313">
        <f t="shared" si="455"/>
        <v>85044.517269621676</v>
      </c>
      <c r="DL347" s="313">
        <f t="shared" si="447"/>
        <v>66040</v>
      </c>
      <c r="DM347" s="314">
        <f t="shared" si="448"/>
        <v>18.90570280914724</v>
      </c>
      <c r="DN347" s="312">
        <f t="shared" si="449"/>
        <v>5.4640759564009364E-2</v>
      </c>
      <c r="DO347" s="312">
        <f t="shared" si="456"/>
        <v>1</v>
      </c>
      <c r="DP347" s="315">
        <f t="shared" si="440"/>
        <v>6.5000000000000002E-2</v>
      </c>
      <c r="DQ347" s="316">
        <f t="shared" si="450"/>
        <v>0.25</v>
      </c>
      <c r="DR347" s="316">
        <f t="shared" si="451"/>
        <v>90.320754522942522</v>
      </c>
      <c r="DS347" s="314">
        <f t="shared" si="452"/>
        <v>3.8307917358253687</v>
      </c>
      <c r="DT347" s="316">
        <f t="shared" si="453"/>
        <v>90.320754522942522</v>
      </c>
      <c r="DU347" s="314">
        <f t="shared" si="441"/>
        <v>3.8307917358253687</v>
      </c>
      <c r="DV347" s="316">
        <f t="shared" si="457"/>
        <v>63.5</v>
      </c>
      <c r="DW347" s="310">
        <f t="shared" si="442"/>
        <v>4.015748031496063</v>
      </c>
      <c r="FB347" s="307"/>
      <c r="FC347" s="307"/>
      <c r="FF347" s="307"/>
      <c r="FG347" s="307"/>
      <c r="FH347" s="306"/>
      <c r="FJ347" s="307"/>
      <c r="FK347" s="307"/>
      <c r="FL347" s="306"/>
      <c r="FM347" s="307"/>
      <c r="FN347" s="306"/>
      <c r="FO347" s="307"/>
      <c r="FP347" s="306"/>
    </row>
    <row r="348" spans="29:172">
      <c r="AC348" s="156"/>
      <c r="AI348" s="190">
        <v>179</v>
      </c>
      <c r="AJ348" s="185">
        <v>323</v>
      </c>
      <c r="AK348" s="183">
        <f t="shared" si="458"/>
        <v>179</v>
      </c>
      <c r="AO348" s="182">
        <v>3.2899999999999999E-2</v>
      </c>
      <c r="AP348" s="185">
        <v>323</v>
      </c>
      <c r="AQ348" s="184">
        <f t="shared" si="459"/>
        <v>3.2899999999999999E-2</v>
      </c>
      <c r="AR348" s="190">
        <v>179</v>
      </c>
      <c r="AS348" s="185">
        <v>323</v>
      </c>
      <c r="AT348" s="183">
        <f t="shared" si="460"/>
        <v>179</v>
      </c>
      <c r="AX348" s="182">
        <v>3.2899999999999999E-2</v>
      </c>
      <c r="AY348" s="185">
        <v>323</v>
      </c>
      <c r="AZ348" s="184">
        <f t="shared" si="461"/>
        <v>3.2899999999999999E-2</v>
      </c>
      <c r="BA348" s="190">
        <v>179</v>
      </c>
      <c r="BB348" s="185">
        <v>323</v>
      </c>
      <c r="BC348" s="183">
        <f t="shared" si="462"/>
        <v>179</v>
      </c>
      <c r="BG348" s="182">
        <v>3.2899999999999999E-2</v>
      </c>
      <c r="BH348" s="185">
        <v>323</v>
      </c>
      <c r="BI348" s="184">
        <f t="shared" si="463"/>
        <v>3.2899999999999999E-2</v>
      </c>
      <c r="CW348" s="364"/>
      <c r="CX348" s="316"/>
      <c r="CY348" s="316"/>
      <c r="DA348" s="309">
        <v>347</v>
      </c>
      <c r="DB348" s="313">
        <f t="shared" si="436"/>
        <v>326.29767129037219</v>
      </c>
      <c r="DC348" s="309">
        <f t="shared" si="437"/>
        <v>1</v>
      </c>
      <c r="DD348" s="309">
        <f t="shared" si="438"/>
        <v>260</v>
      </c>
      <c r="DE348" s="308">
        <f t="shared" si="439"/>
        <v>6.5000000000000002E-2</v>
      </c>
      <c r="DF348" s="313">
        <f t="shared" si="454"/>
        <v>347</v>
      </c>
      <c r="DG348" s="313">
        <f t="shared" si="443"/>
        <v>260</v>
      </c>
      <c r="DH348" s="313">
        <f t="shared" si="444"/>
        <v>260</v>
      </c>
      <c r="DI348" s="313">
        <f t="shared" si="445"/>
        <v>0</v>
      </c>
      <c r="DJ348" s="313">
        <f t="shared" si="446"/>
        <v>0</v>
      </c>
      <c r="DK348" s="313">
        <f t="shared" si="455"/>
        <v>85304.517269621676</v>
      </c>
      <c r="DL348" s="313">
        <f t="shared" si="447"/>
        <v>65780</v>
      </c>
      <c r="DM348" s="314">
        <f t="shared" si="448"/>
        <v>18.90570280914724</v>
      </c>
      <c r="DN348" s="312">
        <f t="shared" si="449"/>
        <v>5.4483293398118846E-2</v>
      </c>
      <c r="DO348" s="312">
        <f t="shared" si="456"/>
        <v>1</v>
      </c>
      <c r="DP348" s="315">
        <f t="shared" si="440"/>
        <v>6.5000000000000002E-2</v>
      </c>
      <c r="DQ348" s="316">
        <f t="shared" si="450"/>
        <v>0.25</v>
      </c>
      <c r="DR348" s="316">
        <f t="shared" si="451"/>
        <v>90.570754522942522</v>
      </c>
      <c r="DS348" s="314">
        <f t="shared" si="452"/>
        <v>3.8312587968128415</v>
      </c>
      <c r="DT348" s="316">
        <f t="shared" si="453"/>
        <v>90.570754522942522</v>
      </c>
      <c r="DU348" s="314">
        <f t="shared" si="441"/>
        <v>3.8312587968128415</v>
      </c>
      <c r="DV348" s="316">
        <f t="shared" si="457"/>
        <v>63.25</v>
      </c>
      <c r="DW348" s="310">
        <f t="shared" si="442"/>
        <v>4.0158102766798418</v>
      </c>
      <c r="FB348" s="307"/>
      <c r="FC348" s="307"/>
      <c r="FF348" s="307"/>
      <c r="FG348" s="307"/>
      <c r="FH348" s="306"/>
      <c r="FJ348" s="307"/>
      <c r="FK348" s="307"/>
      <c r="FL348" s="306"/>
      <c r="FM348" s="307"/>
      <c r="FN348" s="306"/>
      <c r="FO348" s="307"/>
      <c r="FP348" s="306"/>
    </row>
    <row r="349" spans="29:172">
      <c r="AC349" s="156"/>
      <c r="AI349" s="190">
        <v>178</v>
      </c>
      <c r="AJ349" s="185">
        <v>324</v>
      </c>
      <c r="AK349" s="183">
        <f t="shared" si="458"/>
        <v>178</v>
      </c>
      <c r="AO349" s="182">
        <v>3.2800000000000003E-2</v>
      </c>
      <c r="AP349" s="185">
        <v>324</v>
      </c>
      <c r="AQ349" s="184">
        <f t="shared" si="459"/>
        <v>3.2800000000000003E-2</v>
      </c>
      <c r="AR349" s="190">
        <v>178</v>
      </c>
      <c r="AS349" s="185">
        <v>324</v>
      </c>
      <c r="AT349" s="183">
        <f t="shared" si="460"/>
        <v>178</v>
      </c>
      <c r="AX349" s="182">
        <v>3.2800000000000003E-2</v>
      </c>
      <c r="AY349" s="185">
        <v>324</v>
      </c>
      <c r="AZ349" s="184">
        <f t="shared" si="461"/>
        <v>3.2800000000000003E-2</v>
      </c>
      <c r="BA349" s="190">
        <v>178</v>
      </c>
      <c r="BB349" s="185">
        <v>324</v>
      </c>
      <c r="BC349" s="183">
        <f t="shared" si="462"/>
        <v>178</v>
      </c>
      <c r="BG349" s="182">
        <v>3.2800000000000003E-2</v>
      </c>
      <c r="BH349" s="185">
        <v>324</v>
      </c>
      <c r="BI349" s="184">
        <f t="shared" si="463"/>
        <v>3.2800000000000003E-2</v>
      </c>
      <c r="CW349" s="364"/>
      <c r="CX349" s="316"/>
      <c r="CY349" s="316"/>
      <c r="DA349" s="309">
        <v>348</v>
      </c>
      <c r="DB349" s="313">
        <f t="shared" si="436"/>
        <v>326.66164152463841</v>
      </c>
      <c r="DC349" s="309">
        <f t="shared" si="437"/>
        <v>1</v>
      </c>
      <c r="DD349" s="309">
        <f t="shared" si="438"/>
        <v>260</v>
      </c>
      <c r="DE349" s="308">
        <f t="shared" si="439"/>
        <v>6.5000000000000002E-2</v>
      </c>
      <c r="DF349" s="313">
        <f t="shared" si="454"/>
        <v>348</v>
      </c>
      <c r="DG349" s="313">
        <f t="shared" si="443"/>
        <v>260</v>
      </c>
      <c r="DH349" s="313">
        <f t="shared" si="444"/>
        <v>260</v>
      </c>
      <c r="DI349" s="313">
        <f t="shared" si="445"/>
        <v>0</v>
      </c>
      <c r="DJ349" s="313">
        <f t="shared" si="446"/>
        <v>0</v>
      </c>
      <c r="DK349" s="313">
        <f t="shared" si="455"/>
        <v>85564.517269621676</v>
      </c>
      <c r="DL349" s="313">
        <f t="shared" si="447"/>
        <v>65520</v>
      </c>
      <c r="DM349" s="314">
        <f t="shared" si="448"/>
        <v>18.90570280914724</v>
      </c>
      <c r="DN349" s="312">
        <f t="shared" si="449"/>
        <v>5.432673221019322E-2</v>
      </c>
      <c r="DO349" s="312">
        <f t="shared" si="456"/>
        <v>1</v>
      </c>
      <c r="DP349" s="315">
        <f t="shared" si="440"/>
        <v>6.5000000000000002E-2</v>
      </c>
      <c r="DQ349" s="316">
        <f t="shared" si="450"/>
        <v>0.25</v>
      </c>
      <c r="DR349" s="316">
        <f t="shared" si="451"/>
        <v>90.820754522942522</v>
      </c>
      <c r="DS349" s="314">
        <f t="shared" si="452"/>
        <v>3.8317232864663175</v>
      </c>
      <c r="DT349" s="316">
        <f t="shared" si="453"/>
        <v>90.820754522942522</v>
      </c>
      <c r="DU349" s="314">
        <f t="shared" si="441"/>
        <v>3.8317232864663175</v>
      </c>
      <c r="DV349" s="316">
        <f t="shared" si="457"/>
        <v>63</v>
      </c>
      <c r="DW349" s="310">
        <f t="shared" si="442"/>
        <v>4.0158730158730158</v>
      </c>
      <c r="FB349" s="307"/>
      <c r="FC349" s="307"/>
      <c r="FF349" s="307"/>
      <c r="FG349" s="307"/>
      <c r="FH349" s="306"/>
      <c r="FJ349" s="307"/>
      <c r="FK349" s="307"/>
      <c r="FL349" s="306"/>
      <c r="FM349" s="307"/>
      <c r="FN349" s="306"/>
      <c r="FO349" s="307"/>
      <c r="FP349" s="306"/>
    </row>
    <row r="350" spans="29:172">
      <c r="AC350" s="156"/>
      <c r="AI350" s="190">
        <v>177</v>
      </c>
      <c r="AJ350" s="185">
        <v>325</v>
      </c>
      <c r="AK350" s="183">
        <f t="shared" si="458"/>
        <v>177</v>
      </c>
      <c r="AO350" s="182">
        <v>3.27E-2</v>
      </c>
      <c r="AP350" s="185">
        <v>325</v>
      </c>
      <c r="AQ350" s="184">
        <f t="shared" si="459"/>
        <v>3.27E-2</v>
      </c>
      <c r="AR350" s="190">
        <v>177</v>
      </c>
      <c r="AS350" s="185">
        <v>325</v>
      </c>
      <c r="AT350" s="183">
        <f t="shared" si="460"/>
        <v>177</v>
      </c>
      <c r="AX350" s="182">
        <v>3.27E-2</v>
      </c>
      <c r="AY350" s="185">
        <v>325</v>
      </c>
      <c r="AZ350" s="184">
        <f t="shared" si="461"/>
        <v>3.27E-2</v>
      </c>
      <c r="BA350" s="190">
        <v>177</v>
      </c>
      <c r="BB350" s="185">
        <v>325</v>
      </c>
      <c r="BC350" s="183">
        <f t="shared" si="462"/>
        <v>177</v>
      </c>
      <c r="BG350" s="182">
        <v>3.27E-2</v>
      </c>
      <c r="BH350" s="185">
        <v>325</v>
      </c>
      <c r="BI350" s="184">
        <f t="shared" si="463"/>
        <v>3.27E-2</v>
      </c>
      <c r="CW350" s="364"/>
      <c r="CX350" s="316"/>
      <c r="CY350" s="316"/>
      <c r="DA350" s="309">
        <v>349</v>
      </c>
      <c r="DB350" s="313">
        <f t="shared" si="436"/>
        <v>327.02561175890463</v>
      </c>
      <c r="DC350" s="309">
        <f t="shared" si="437"/>
        <v>1</v>
      </c>
      <c r="DD350" s="309">
        <f t="shared" si="438"/>
        <v>260</v>
      </c>
      <c r="DE350" s="308">
        <f t="shared" si="439"/>
        <v>6.5000000000000002E-2</v>
      </c>
      <c r="DF350" s="313">
        <f t="shared" si="454"/>
        <v>349</v>
      </c>
      <c r="DG350" s="313">
        <f t="shared" si="443"/>
        <v>260</v>
      </c>
      <c r="DH350" s="313">
        <f t="shared" si="444"/>
        <v>260</v>
      </c>
      <c r="DI350" s="313">
        <f t="shared" si="445"/>
        <v>0</v>
      </c>
      <c r="DJ350" s="313">
        <f t="shared" si="446"/>
        <v>0</v>
      </c>
      <c r="DK350" s="313">
        <f t="shared" si="455"/>
        <v>85824.517269621676</v>
      </c>
      <c r="DL350" s="313">
        <f t="shared" si="447"/>
        <v>65260</v>
      </c>
      <c r="DM350" s="314">
        <f t="shared" si="448"/>
        <v>18.90570280914724</v>
      </c>
      <c r="DN350" s="312">
        <f t="shared" si="449"/>
        <v>5.4171068221052263E-2</v>
      </c>
      <c r="DO350" s="312">
        <f t="shared" si="456"/>
        <v>1</v>
      </c>
      <c r="DP350" s="315">
        <f t="shared" si="440"/>
        <v>6.5000000000000002E-2</v>
      </c>
      <c r="DQ350" s="316">
        <f t="shared" si="450"/>
        <v>0.25</v>
      </c>
      <c r="DR350" s="316">
        <f t="shared" si="451"/>
        <v>91.070754522942522</v>
      </c>
      <c r="DS350" s="314">
        <f t="shared" si="452"/>
        <v>3.8321852259616449</v>
      </c>
      <c r="DT350" s="316">
        <f t="shared" si="453"/>
        <v>91.070754522942522</v>
      </c>
      <c r="DU350" s="314">
        <f t="shared" si="441"/>
        <v>3.8321852259616449</v>
      </c>
      <c r="DV350" s="316">
        <f t="shared" si="457"/>
        <v>62.75</v>
      </c>
      <c r="DW350" s="310">
        <f t="shared" si="442"/>
        <v>4.0159362549800797</v>
      </c>
      <c r="FB350" s="307"/>
      <c r="FC350" s="307"/>
      <c r="FF350" s="307"/>
      <c r="FG350" s="307"/>
      <c r="FH350" s="306"/>
      <c r="FJ350" s="307"/>
      <c r="FK350" s="307"/>
      <c r="FL350" s="306"/>
      <c r="FM350" s="307"/>
      <c r="FN350" s="306"/>
      <c r="FO350" s="307"/>
      <c r="FP350" s="306"/>
    </row>
    <row r="351" spans="29:172">
      <c r="AC351" s="156"/>
      <c r="AI351" s="190">
        <v>176</v>
      </c>
      <c r="AJ351" s="185">
        <v>326</v>
      </c>
      <c r="AK351" s="183">
        <f t="shared" si="458"/>
        <v>176</v>
      </c>
      <c r="AO351" s="182">
        <v>3.2599999999999997E-2</v>
      </c>
      <c r="AP351" s="185">
        <v>326</v>
      </c>
      <c r="AQ351" s="184">
        <f t="shared" si="459"/>
        <v>3.2599999999999997E-2</v>
      </c>
      <c r="AR351" s="190">
        <v>176</v>
      </c>
      <c r="AS351" s="185">
        <v>326</v>
      </c>
      <c r="AT351" s="183">
        <f t="shared" si="460"/>
        <v>176</v>
      </c>
      <c r="AX351" s="182">
        <v>3.2599999999999997E-2</v>
      </c>
      <c r="AY351" s="185">
        <v>326</v>
      </c>
      <c r="AZ351" s="184">
        <f t="shared" si="461"/>
        <v>3.2599999999999997E-2</v>
      </c>
      <c r="BA351" s="190">
        <v>176</v>
      </c>
      <c r="BB351" s="185">
        <v>326</v>
      </c>
      <c r="BC351" s="183">
        <f t="shared" si="462"/>
        <v>176</v>
      </c>
      <c r="BG351" s="182">
        <v>3.2599999999999997E-2</v>
      </c>
      <c r="BH351" s="185">
        <v>326</v>
      </c>
      <c r="BI351" s="184">
        <f t="shared" si="463"/>
        <v>3.2599999999999997E-2</v>
      </c>
      <c r="CW351" s="364"/>
      <c r="CX351" s="316"/>
      <c r="CY351" s="316"/>
      <c r="DA351" s="309">
        <v>350</v>
      </c>
      <c r="DB351" s="313">
        <f t="shared" si="436"/>
        <v>327.38958199317085</v>
      </c>
      <c r="DC351" s="309">
        <f t="shared" si="437"/>
        <v>1</v>
      </c>
      <c r="DD351" s="309">
        <f t="shared" si="438"/>
        <v>260</v>
      </c>
      <c r="DE351" s="308">
        <f t="shared" si="439"/>
        <v>6.5000000000000002E-2</v>
      </c>
      <c r="DF351" s="313">
        <f t="shared" si="454"/>
        <v>350</v>
      </c>
      <c r="DG351" s="313">
        <f t="shared" si="443"/>
        <v>260</v>
      </c>
      <c r="DH351" s="313">
        <f t="shared" si="444"/>
        <v>260</v>
      </c>
      <c r="DI351" s="313">
        <f t="shared" si="445"/>
        <v>0</v>
      </c>
      <c r="DJ351" s="313">
        <f t="shared" si="446"/>
        <v>0</v>
      </c>
      <c r="DK351" s="313">
        <f t="shared" si="455"/>
        <v>86084.517269621676</v>
      </c>
      <c r="DL351" s="313">
        <f t="shared" si="447"/>
        <v>65000</v>
      </c>
      <c r="DM351" s="314">
        <f t="shared" si="448"/>
        <v>18.90570280914724</v>
      </c>
      <c r="DN351" s="312">
        <f t="shared" si="449"/>
        <v>5.4016293740420683E-2</v>
      </c>
      <c r="DO351" s="312">
        <f t="shared" si="456"/>
        <v>1</v>
      </c>
      <c r="DP351" s="315">
        <f t="shared" si="440"/>
        <v>6.5000000000000002E-2</v>
      </c>
      <c r="DQ351" s="316">
        <f t="shared" si="450"/>
        <v>0.25</v>
      </c>
      <c r="DR351" s="316">
        <f t="shared" si="451"/>
        <v>91.320754522942522</v>
      </c>
      <c r="DS351" s="314">
        <f t="shared" si="452"/>
        <v>3.8326446362427884</v>
      </c>
      <c r="DT351" s="316">
        <f t="shared" si="453"/>
        <v>91.320754522942522</v>
      </c>
      <c r="DU351" s="314">
        <f t="shared" si="441"/>
        <v>3.8326446362427884</v>
      </c>
      <c r="DV351" s="316">
        <f t="shared" si="457"/>
        <v>62.5</v>
      </c>
      <c r="DW351" s="310">
        <f t="shared" si="442"/>
        <v>4.016</v>
      </c>
      <c r="FB351" s="307"/>
      <c r="FC351" s="307"/>
      <c r="FF351" s="307"/>
      <c r="FG351" s="307"/>
      <c r="FH351" s="306"/>
      <c r="FJ351" s="307"/>
      <c r="FK351" s="307"/>
      <c r="FL351" s="306"/>
      <c r="FM351" s="307"/>
      <c r="FN351" s="306"/>
      <c r="FO351" s="307"/>
      <c r="FP351" s="306"/>
    </row>
    <row r="352" spans="29:172">
      <c r="AC352" s="156"/>
      <c r="AI352" s="190">
        <v>175</v>
      </c>
      <c r="AJ352" s="185">
        <v>327</v>
      </c>
      <c r="AK352" s="183">
        <f t="shared" si="458"/>
        <v>175</v>
      </c>
      <c r="AO352" s="182">
        <v>3.2500000000000001E-2</v>
      </c>
      <c r="AP352" s="185">
        <v>327</v>
      </c>
      <c r="AQ352" s="184">
        <f t="shared" si="459"/>
        <v>3.2500000000000001E-2</v>
      </c>
      <c r="AR352" s="190">
        <v>175</v>
      </c>
      <c r="AS352" s="185">
        <v>327</v>
      </c>
      <c r="AT352" s="183">
        <f t="shared" si="460"/>
        <v>175</v>
      </c>
      <c r="AX352" s="182">
        <v>3.2500000000000001E-2</v>
      </c>
      <c r="AY352" s="185">
        <v>327</v>
      </c>
      <c r="AZ352" s="184">
        <f t="shared" si="461"/>
        <v>3.2500000000000001E-2</v>
      </c>
      <c r="BA352" s="190">
        <v>175</v>
      </c>
      <c r="BB352" s="185">
        <v>327</v>
      </c>
      <c r="BC352" s="183">
        <f t="shared" si="462"/>
        <v>175</v>
      </c>
      <c r="BG352" s="182">
        <v>3.2500000000000001E-2</v>
      </c>
      <c r="BH352" s="185">
        <v>327</v>
      </c>
      <c r="BI352" s="184">
        <f t="shared" si="463"/>
        <v>3.2500000000000001E-2</v>
      </c>
      <c r="CW352" s="364"/>
      <c r="CX352" s="316"/>
      <c r="CY352" s="316"/>
      <c r="DA352" s="309">
        <v>351</v>
      </c>
      <c r="DB352" s="313">
        <f t="shared" si="436"/>
        <v>327.75355222743701</v>
      </c>
      <c r="DC352" s="309">
        <f t="shared" si="437"/>
        <v>1</v>
      </c>
      <c r="DD352" s="309">
        <f t="shared" si="438"/>
        <v>260</v>
      </c>
      <c r="DE352" s="308">
        <f t="shared" si="439"/>
        <v>6.5000000000000002E-2</v>
      </c>
      <c r="DF352" s="313">
        <f t="shared" si="454"/>
        <v>351</v>
      </c>
      <c r="DG352" s="313">
        <f t="shared" si="443"/>
        <v>260</v>
      </c>
      <c r="DH352" s="313">
        <f t="shared" si="444"/>
        <v>260</v>
      </c>
      <c r="DI352" s="313">
        <f t="shared" si="445"/>
        <v>0</v>
      </c>
      <c r="DJ352" s="313">
        <f t="shared" si="446"/>
        <v>0</v>
      </c>
      <c r="DK352" s="313">
        <f t="shared" si="455"/>
        <v>86344.517269621676</v>
      </c>
      <c r="DL352" s="313">
        <f t="shared" si="447"/>
        <v>64740</v>
      </c>
      <c r="DM352" s="314">
        <f t="shared" si="448"/>
        <v>18.90570280914724</v>
      </c>
      <c r="DN352" s="312">
        <f t="shared" si="449"/>
        <v>5.3862401165661648E-2</v>
      </c>
      <c r="DO352" s="312">
        <f t="shared" si="456"/>
        <v>1</v>
      </c>
      <c r="DP352" s="315">
        <f t="shared" si="440"/>
        <v>6.5000000000000002E-2</v>
      </c>
      <c r="DQ352" s="316">
        <f t="shared" si="450"/>
        <v>0.25</v>
      </c>
      <c r="DR352" s="316">
        <f t="shared" si="451"/>
        <v>91.570754522942522</v>
      </c>
      <c r="DS352" s="314">
        <f t="shared" si="452"/>
        <v>3.8331015380249922</v>
      </c>
      <c r="DT352" s="316">
        <f t="shared" si="453"/>
        <v>91.570754522942522</v>
      </c>
      <c r="DU352" s="314">
        <f t="shared" si="441"/>
        <v>3.8331015380249922</v>
      </c>
      <c r="DV352" s="316">
        <f t="shared" si="457"/>
        <v>62.25</v>
      </c>
      <c r="DW352" s="310">
        <f t="shared" si="442"/>
        <v>4.0160642570281126</v>
      </c>
      <c r="FB352" s="307"/>
      <c r="FC352" s="307"/>
      <c r="FF352" s="307"/>
      <c r="FG352" s="307"/>
      <c r="FH352" s="306"/>
      <c r="FJ352" s="307"/>
      <c r="FK352" s="307"/>
      <c r="FL352" s="306"/>
      <c r="FM352" s="307"/>
      <c r="FN352" s="306"/>
      <c r="FO352" s="307"/>
      <c r="FP352" s="306"/>
    </row>
    <row r="353" spans="29:172">
      <c r="AC353" s="156"/>
      <c r="AI353" s="190">
        <v>174</v>
      </c>
      <c r="AJ353" s="185">
        <v>328</v>
      </c>
      <c r="AK353" s="183">
        <f t="shared" si="458"/>
        <v>174</v>
      </c>
      <c r="AO353" s="182">
        <v>3.2399999999999998E-2</v>
      </c>
      <c r="AP353" s="185">
        <v>328</v>
      </c>
      <c r="AQ353" s="184">
        <f t="shared" si="459"/>
        <v>3.2399999999999998E-2</v>
      </c>
      <c r="AR353" s="190">
        <v>174</v>
      </c>
      <c r="AS353" s="185">
        <v>328</v>
      </c>
      <c r="AT353" s="183">
        <f t="shared" si="460"/>
        <v>174</v>
      </c>
      <c r="AX353" s="182">
        <v>3.2399999999999998E-2</v>
      </c>
      <c r="AY353" s="185">
        <v>328</v>
      </c>
      <c r="AZ353" s="184">
        <f t="shared" si="461"/>
        <v>3.2399999999999998E-2</v>
      </c>
      <c r="BA353" s="190">
        <v>174</v>
      </c>
      <c r="BB353" s="185">
        <v>328</v>
      </c>
      <c r="BC353" s="183">
        <f t="shared" si="462"/>
        <v>174</v>
      </c>
      <c r="BG353" s="182">
        <v>3.2399999999999998E-2</v>
      </c>
      <c r="BH353" s="185">
        <v>328</v>
      </c>
      <c r="BI353" s="184">
        <f t="shared" si="463"/>
        <v>3.2399999999999998E-2</v>
      </c>
      <c r="CW353" s="364"/>
      <c r="CX353" s="316"/>
      <c r="CY353" s="316"/>
      <c r="DA353" s="309">
        <v>352</v>
      </c>
      <c r="DB353" s="313">
        <f t="shared" si="436"/>
        <v>328.11752246170323</v>
      </c>
      <c r="DC353" s="309">
        <f t="shared" si="437"/>
        <v>1</v>
      </c>
      <c r="DD353" s="309">
        <f t="shared" si="438"/>
        <v>260</v>
      </c>
      <c r="DE353" s="308">
        <f t="shared" si="439"/>
        <v>6.5000000000000002E-2</v>
      </c>
      <c r="DF353" s="313">
        <f t="shared" si="454"/>
        <v>352</v>
      </c>
      <c r="DG353" s="313">
        <f t="shared" si="443"/>
        <v>260</v>
      </c>
      <c r="DH353" s="313">
        <f t="shared" si="444"/>
        <v>260</v>
      </c>
      <c r="DI353" s="313">
        <f t="shared" si="445"/>
        <v>0</v>
      </c>
      <c r="DJ353" s="313">
        <f t="shared" si="446"/>
        <v>0</v>
      </c>
      <c r="DK353" s="313">
        <f t="shared" si="455"/>
        <v>86604.517269621676</v>
      </c>
      <c r="DL353" s="313">
        <f t="shared" si="447"/>
        <v>64480</v>
      </c>
      <c r="DM353" s="314">
        <f t="shared" si="448"/>
        <v>18.90570280914724</v>
      </c>
      <c r="DN353" s="312">
        <f t="shared" si="449"/>
        <v>5.3709382980531933E-2</v>
      </c>
      <c r="DO353" s="312">
        <f t="shared" si="456"/>
        <v>1</v>
      </c>
      <c r="DP353" s="315">
        <f t="shared" si="440"/>
        <v>6.5000000000000002E-2</v>
      </c>
      <c r="DQ353" s="316">
        <f t="shared" si="450"/>
        <v>0.25</v>
      </c>
      <c r="DR353" s="316">
        <f t="shared" si="451"/>
        <v>91.820754522942522</v>
      </c>
      <c r="DS353" s="314">
        <f t="shared" si="452"/>
        <v>3.8335559517978974</v>
      </c>
      <c r="DT353" s="316">
        <f t="shared" si="453"/>
        <v>91.820754522942522</v>
      </c>
      <c r="DU353" s="314">
        <f t="shared" si="441"/>
        <v>3.8335559517978974</v>
      </c>
      <c r="DV353" s="316">
        <f t="shared" si="457"/>
        <v>62</v>
      </c>
      <c r="DW353" s="310">
        <f t="shared" si="442"/>
        <v>4.0161290322580649</v>
      </c>
      <c r="FB353" s="307"/>
      <c r="FC353" s="307"/>
      <c r="FF353" s="307"/>
      <c r="FG353" s="307"/>
      <c r="FH353" s="306"/>
      <c r="FJ353" s="307"/>
      <c r="FK353" s="307"/>
      <c r="FL353" s="306"/>
      <c r="FM353" s="307"/>
      <c r="FN353" s="306"/>
      <c r="FO353" s="307"/>
      <c r="FP353" s="306"/>
    </row>
    <row r="354" spans="29:172">
      <c r="AC354" s="156"/>
      <c r="AI354" s="190">
        <v>173</v>
      </c>
      <c r="AJ354" s="185">
        <v>329</v>
      </c>
      <c r="AK354" s="183">
        <f t="shared" si="458"/>
        <v>173</v>
      </c>
      <c r="AO354" s="182">
        <v>3.2300000000000002E-2</v>
      </c>
      <c r="AP354" s="185">
        <v>329</v>
      </c>
      <c r="AQ354" s="184">
        <f t="shared" si="459"/>
        <v>3.2300000000000002E-2</v>
      </c>
      <c r="AR354" s="190">
        <v>173</v>
      </c>
      <c r="AS354" s="185">
        <v>329</v>
      </c>
      <c r="AT354" s="183">
        <f t="shared" si="460"/>
        <v>173</v>
      </c>
      <c r="AX354" s="182">
        <v>3.2300000000000002E-2</v>
      </c>
      <c r="AY354" s="185">
        <v>329</v>
      </c>
      <c r="AZ354" s="184">
        <f t="shared" si="461"/>
        <v>3.2300000000000002E-2</v>
      </c>
      <c r="BA354" s="190">
        <v>173</v>
      </c>
      <c r="BB354" s="185">
        <v>329</v>
      </c>
      <c r="BC354" s="183">
        <f t="shared" si="462"/>
        <v>173</v>
      </c>
      <c r="BG354" s="182">
        <v>3.2300000000000002E-2</v>
      </c>
      <c r="BH354" s="185">
        <v>329</v>
      </c>
      <c r="BI354" s="184">
        <f t="shared" si="463"/>
        <v>3.2300000000000002E-2</v>
      </c>
      <c r="CW354" s="364"/>
      <c r="CX354" s="316"/>
      <c r="CY354" s="316"/>
      <c r="DA354" s="309">
        <v>353</v>
      </c>
      <c r="DB354" s="313">
        <f t="shared" si="436"/>
        <v>328.48149269596945</v>
      </c>
      <c r="DC354" s="309">
        <f t="shared" si="437"/>
        <v>1</v>
      </c>
      <c r="DD354" s="309">
        <f t="shared" si="438"/>
        <v>260</v>
      </c>
      <c r="DE354" s="308">
        <f t="shared" si="439"/>
        <v>6.5000000000000002E-2</v>
      </c>
      <c r="DF354" s="313">
        <f t="shared" si="454"/>
        <v>353</v>
      </c>
      <c r="DG354" s="313">
        <f t="shared" si="443"/>
        <v>260</v>
      </c>
      <c r="DH354" s="313">
        <f t="shared" si="444"/>
        <v>260</v>
      </c>
      <c r="DI354" s="313">
        <f t="shared" si="445"/>
        <v>0</v>
      </c>
      <c r="DJ354" s="313">
        <f t="shared" si="446"/>
        <v>0</v>
      </c>
      <c r="DK354" s="313">
        <f t="shared" si="455"/>
        <v>86864.517269621676</v>
      </c>
      <c r="DL354" s="313">
        <f t="shared" si="447"/>
        <v>64220</v>
      </c>
      <c r="DM354" s="314">
        <f t="shared" si="448"/>
        <v>18.90570280914724</v>
      </c>
      <c r="DN354" s="312">
        <f t="shared" si="449"/>
        <v>5.3557231753958184E-2</v>
      </c>
      <c r="DO354" s="312">
        <f t="shared" si="456"/>
        <v>1</v>
      </c>
      <c r="DP354" s="315">
        <f t="shared" si="440"/>
        <v>6.5000000000000002E-2</v>
      </c>
      <c r="DQ354" s="316">
        <f t="shared" si="450"/>
        <v>0.25</v>
      </c>
      <c r="DR354" s="316">
        <f t="shared" si="451"/>
        <v>92.070754522942522</v>
      </c>
      <c r="DS354" s="314">
        <f t="shared" si="452"/>
        <v>3.834007897828601</v>
      </c>
      <c r="DT354" s="316">
        <f t="shared" si="453"/>
        <v>92.070754522942522</v>
      </c>
      <c r="DU354" s="314">
        <f t="shared" si="441"/>
        <v>3.834007897828601</v>
      </c>
      <c r="DV354" s="316">
        <f t="shared" si="457"/>
        <v>61.75</v>
      </c>
      <c r="DW354" s="310">
        <f t="shared" si="442"/>
        <v>4.0161943319838054</v>
      </c>
      <c r="FB354" s="307"/>
      <c r="FC354" s="307"/>
      <c r="FF354" s="307"/>
      <c r="FG354" s="307"/>
      <c r="FH354" s="306"/>
      <c r="FJ354" s="307"/>
      <c r="FK354" s="307"/>
      <c r="FL354" s="306"/>
      <c r="FM354" s="307"/>
      <c r="FN354" s="306"/>
      <c r="FO354" s="307"/>
      <c r="FP354" s="306"/>
    </row>
    <row r="355" spans="29:172">
      <c r="AC355" s="156"/>
      <c r="AI355" s="190">
        <v>172</v>
      </c>
      <c r="AJ355" s="185">
        <v>330</v>
      </c>
      <c r="AK355" s="183">
        <f t="shared" si="458"/>
        <v>172</v>
      </c>
      <c r="AO355" s="182">
        <v>3.2199999999999999E-2</v>
      </c>
      <c r="AP355" s="185">
        <v>330</v>
      </c>
      <c r="AQ355" s="184">
        <f t="shared" si="459"/>
        <v>3.2199999999999999E-2</v>
      </c>
      <c r="AR355" s="190">
        <v>172</v>
      </c>
      <c r="AS355" s="185">
        <v>330</v>
      </c>
      <c r="AT355" s="183">
        <f t="shared" si="460"/>
        <v>172</v>
      </c>
      <c r="AX355" s="182">
        <v>3.2199999999999999E-2</v>
      </c>
      <c r="AY355" s="185">
        <v>330</v>
      </c>
      <c r="AZ355" s="184">
        <f t="shared" si="461"/>
        <v>3.2199999999999999E-2</v>
      </c>
      <c r="BA355" s="190">
        <v>172</v>
      </c>
      <c r="BB355" s="185">
        <v>330</v>
      </c>
      <c r="BC355" s="183">
        <f t="shared" si="462"/>
        <v>172</v>
      </c>
      <c r="BG355" s="182">
        <v>3.2199999999999999E-2</v>
      </c>
      <c r="BH355" s="185">
        <v>330</v>
      </c>
      <c r="BI355" s="184">
        <f t="shared" si="463"/>
        <v>3.2199999999999999E-2</v>
      </c>
      <c r="CW355" s="364"/>
      <c r="CX355" s="316"/>
      <c r="CY355" s="316"/>
      <c r="DA355" s="309">
        <v>354</v>
      </c>
      <c r="DB355" s="313">
        <f t="shared" si="436"/>
        <v>328.84546293023561</v>
      </c>
      <c r="DC355" s="309">
        <f t="shared" si="437"/>
        <v>1</v>
      </c>
      <c r="DD355" s="309">
        <f t="shared" si="438"/>
        <v>260</v>
      </c>
      <c r="DE355" s="308">
        <f t="shared" si="439"/>
        <v>6.5000000000000002E-2</v>
      </c>
      <c r="DF355" s="313">
        <f t="shared" si="454"/>
        <v>354</v>
      </c>
      <c r="DG355" s="313">
        <f t="shared" si="443"/>
        <v>260</v>
      </c>
      <c r="DH355" s="313">
        <f t="shared" si="444"/>
        <v>260</v>
      </c>
      <c r="DI355" s="313">
        <f t="shared" si="445"/>
        <v>0</v>
      </c>
      <c r="DJ355" s="313">
        <f t="shared" si="446"/>
        <v>0</v>
      </c>
      <c r="DK355" s="313">
        <f t="shared" si="455"/>
        <v>87124.517269621676</v>
      </c>
      <c r="DL355" s="313">
        <f t="shared" si="447"/>
        <v>63960</v>
      </c>
      <c r="DM355" s="314">
        <f t="shared" si="448"/>
        <v>18.90570280914724</v>
      </c>
      <c r="DN355" s="312">
        <f t="shared" si="449"/>
        <v>5.3405940138834013E-2</v>
      </c>
      <c r="DO355" s="312">
        <f t="shared" si="456"/>
        <v>1</v>
      </c>
      <c r="DP355" s="315">
        <f t="shared" si="440"/>
        <v>6.5000000000000002E-2</v>
      </c>
      <c r="DQ355" s="316">
        <f t="shared" si="450"/>
        <v>0.25</v>
      </c>
      <c r="DR355" s="316">
        <f t="shared" si="451"/>
        <v>92.320754522942522</v>
      </c>
      <c r="DS355" s="314">
        <f t="shared" si="452"/>
        <v>3.8344573961646713</v>
      </c>
      <c r="DT355" s="316">
        <f t="shared" si="453"/>
        <v>92.320754522942522</v>
      </c>
      <c r="DU355" s="314">
        <f t="shared" si="441"/>
        <v>3.8344573961646713</v>
      </c>
      <c r="DV355" s="316">
        <f t="shared" si="457"/>
        <v>61.5</v>
      </c>
      <c r="DW355" s="310">
        <f t="shared" si="442"/>
        <v>4.0162601626016263</v>
      </c>
      <c r="FB355" s="307"/>
      <c r="FC355" s="307"/>
      <c r="FF355" s="307"/>
      <c r="FG355" s="307"/>
      <c r="FH355" s="306"/>
      <c r="FJ355" s="307"/>
      <c r="FK355" s="307"/>
      <c r="FL355" s="306"/>
      <c r="FM355" s="307"/>
      <c r="FN355" s="306"/>
      <c r="FO355" s="307"/>
      <c r="FP355" s="306"/>
    </row>
    <row r="356" spans="29:172">
      <c r="AC356" s="156"/>
      <c r="AI356" s="190">
        <v>171</v>
      </c>
      <c r="AJ356" s="185">
        <v>331</v>
      </c>
      <c r="AK356" s="183">
        <f t="shared" si="458"/>
        <v>171</v>
      </c>
      <c r="AO356" s="182">
        <v>3.2099999999999997E-2</v>
      </c>
      <c r="AP356" s="185">
        <v>331</v>
      </c>
      <c r="AQ356" s="184">
        <f t="shared" si="459"/>
        <v>3.2099999999999997E-2</v>
      </c>
      <c r="AR356" s="190">
        <v>171</v>
      </c>
      <c r="AS356" s="185">
        <v>331</v>
      </c>
      <c r="AT356" s="183">
        <f t="shared" si="460"/>
        <v>171</v>
      </c>
      <c r="AX356" s="182">
        <v>3.2099999999999997E-2</v>
      </c>
      <c r="AY356" s="185">
        <v>331</v>
      </c>
      <c r="AZ356" s="184">
        <f t="shared" si="461"/>
        <v>3.2099999999999997E-2</v>
      </c>
      <c r="BA356" s="190">
        <v>171</v>
      </c>
      <c r="BB356" s="185">
        <v>331</v>
      </c>
      <c r="BC356" s="183">
        <f t="shared" si="462"/>
        <v>171</v>
      </c>
      <c r="BG356" s="182">
        <v>3.2099999999999997E-2</v>
      </c>
      <c r="BH356" s="185">
        <v>331</v>
      </c>
      <c r="BI356" s="184">
        <f t="shared" si="463"/>
        <v>3.2099999999999997E-2</v>
      </c>
      <c r="CW356" s="364"/>
      <c r="CX356" s="316"/>
      <c r="CY356" s="316"/>
      <c r="DA356" s="309">
        <v>355</v>
      </c>
      <c r="DB356" s="313">
        <f t="shared" si="436"/>
        <v>329.20943316450183</v>
      </c>
      <c r="DC356" s="309">
        <f t="shared" si="437"/>
        <v>1</v>
      </c>
      <c r="DD356" s="309">
        <f t="shared" si="438"/>
        <v>260</v>
      </c>
      <c r="DE356" s="308">
        <f t="shared" si="439"/>
        <v>6.5000000000000002E-2</v>
      </c>
      <c r="DF356" s="313">
        <f t="shared" si="454"/>
        <v>355</v>
      </c>
      <c r="DG356" s="313">
        <f t="shared" si="443"/>
        <v>260</v>
      </c>
      <c r="DH356" s="313">
        <f t="shared" si="444"/>
        <v>260</v>
      </c>
      <c r="DI356" s="313">
        <f t="shared" si="445"/>
        <v>0</v>
      </c>
      <c r="DJ356" s="313">
        <f t="shared" si="446"/>
        <v>0</v>
      </c>
      <c r="DK356" s="313">
        <f t="shared" si="455"/>
        <v>87384.517269621676</v>
      </c>
      <c r="DL356" s="313">
        <f t="shared" si="447"/>
        <v>63700</v>
      </c>
      <c r="DM356" s="314">
        <f t="shared" si="448"/>
        <v>18.90570280914724</v>
      </c>
      <c r="DN356" s="312">
        <f t="shared" si="449"/>
        <v>5.3255500870837295E-2</v>
      </c>
      <c r="DO356" s="312">
        <f t="shared" si="456"/>
        <v>1</v>
      </c>
      <c r="DP356" s="315">
        <f t="shared" si="440"/>
        <v>6.5000000000000002E-2</v>
      </c>
      <c r="DQ356" s="316">
        <f t="shared" si="450"/>
        <v>0.25</v>
      </c>
      <c r="DR356" s="316">
        <f t="shared" si="451"/>
        <v>92.570754522942522</v>
      </c>
      <c r="DS356" s="314">
        <f t="shared" si="452"/>
        <v>3.8349044666371128</v>
      </c>
      <c r="DT356" s="316">
        <f t="shared" si="453"/>
        <v>92.570754522942522</v>
      </c>
      <c r="DU356" s="314">
        <f t="shared" si="441"/>
        <v>3.8349044666371128</v>
      </c>
      <c r="DV356" s="316">
        <f t="shared" si="457"/>
        <v>61.25</v>
      </c>
      <c r="DW356" s="310">
        <f t="shared" si="442"/>
        <v>4.0163265306122451</v>
      </c>
      <c r="FB356" s="307"/>
      <c r="FC356" s="307"/>
      <c r="FF356" s="307"/>
      <c r="FG356" s="307"/>
      <c r="FH356" s="306"/>
      <c r="FJ356" s="307"/>
      <c r="FK356" s="307"/>
      <c r="FL356" s="306"/>
      <c r="FM356" s="307"/>
      <c r="FN356" s="306"/>
      <c r="FO356" s="307"/>
      <c r="FP356" s="306"/>
    </row>
    <row r="357" spans="29:172">
      <c r="AC357" s="156"/>
      <c r="AI357" s="190">
        <v>170</v>
      </c>
      <c r="AJ357" s="185">
        <v>332</v>
      </c>
      <c r="AK357" s="183">
        <f t="shared" si="458"/>
        <v>170</v>
      </c>
      <c r="AO357" s="182">
        <v>3.2000000000000001E-2</v>
      </c>
      <c r="AP357" s="185">
        <v>332</v>
      </c>
      <c r="AQ357" s="184">
        <f t="shared" si="459"/>
        <v>3.2000000000000001E-2</v>
      </c>
      <c r="AR357" s="190">
        <v>170</v>
      </c>
      <c r="AS357" s="185">
        <v>332</v>
      </c>
      <c r="AT357" s="183">
        <f t="shared" si="460"/>
        <v>170</v>
      </c>
      <c r="AX357" s="182">
        <v>3.2000000000000001E-2</v>
      </c>
      <c r="AY357" s="185">
        <v>332</v>
      </c>
      <c r="AZ357" s="184">
        <f t="shared" si="461"/>
        <v>3.2000000000000001E-2</v>
      </c>
      <c r="BA357" s="190">
        <v>170</v>
      </c>
      <c r="BB357" s="185">
        <v>332</v>
      </c>
      <c r="BC357" s="183">
        <f t="shared" si="462"/>
        <v>170</v>
      </c>
      <c r="BG357" s="182">
        <v>3.2000000000000001E-2</v>
      </c>
      <c r="BH357" s="185">
        <v>332</v>
      </c>
      <c r="BI357" s="184">
        <f t="shared" si="463"/>
        <v>3.2000000000000001E-2</v>
      </c>
      <c r="CW357" s="364"/>
      <c r="CX357" s="316"/>
      <c r="CY357" s="316"/>
      <c r="DA357" s="309">
        <v>356</v>
      </c>
      <c r="DB357" s="313">
        <f t="shared" si="436"/>
        <v>329.57340339876805</v>
      </c>
      <c r="DC357" s="309">
        <f t="shared" si="437"/>
        <v>1</v>
      </c>
      <c r="DD357" s="309">
        <f t="shared" si="438"/>
        <v>260</v>
      </c>
      <c r="DE357" s="308">
        <f t="shared" si="439"/>
        <v>6.5000000000000002E-2</v>
      </c>
      <c r="DF357" s="313">
        <f t="shared" si="454"/>
        <v>356</v>
      </c>
      <c r="DG357" s="313">
        <f t="shared" si="443"/>
        <v>260</v>
      </c>
      <c r="DH357" s="313">
        <f t="shared" si="444"/>
        <v>260</v>
      </c>
      <c r="DI357" s="313">
        <f t="shared" si="445"/>
        <v>0</v>
      </c>
      <c r="DJ357" s="313">
        <f t="shared" si="446"/>
        <v>0</v>
      </c>
      <c r="DK357" s="313">
        <f t="shared" si="455"/>
        <v>87644.517269621676</v>
      </c>
      <c r="DL357" s="313">
        <f t="shared" si="447"/>
        <v>63440</v>
      </c>
      <c r="DM357" s="314">
        <f t="shared" si="448"/>
        <v>18.90570280914724</v>
      </c>
      <c r="DN357" s="312">
        <f t="shared" si="449"/>
        <v>5.3105906767267529E-2</v>
      </c>
      <c r="DO357" s="312">
        <f t="shared" si="456"/>
        <v>1</v>
      </c>
      <c r="DP357" s="315">
        <f t="shared" si="440"/>
        <v>6.5000000000000002E-2</v>
      </c>
      <c r="DQ357" s="316">
        <f t="shared" si="450"/>
        <v>0.25</v>
      </c>
      <c r="DR357" s="316">
        <f t="shared" si="451"/>
        <v>92.820754522942522</v>
      </c>
      <c r="DS357" s="314">
        <f t="shared" si="452"/>
        <v>3.8353491288632804</v>
      </c>
      <c r="DT357" s="316">
        <f t="shared" si="453"/>
        <v>92.820754522942522</v>
      </c>
      <c r="DU357" s="314">
        <f t="shared" si="441"/>
        <v>3.8353491288632804</v>
      </c>
      <c r="DV357" s="316">
        <f t="shared" si="457"/>
        <v>61</v>
      </c>
      <c r="DW357" s="310">
        <f t="shared" si="442"/>
        <v>4.0163934426229506</v>
      </c>
      <c r="FB357" s="307"/>
      <c r="FC357" s="307"/>
      <c r="FF357" s="307"/>
      <c r="FG357" s="307"/>
      <c r="FH357" s="306"/>
      <c r="FJ357" s="307"/>
      <c r="FK357" s="307"/>
      <c r="FL357" s="306"/>
      <c r="FM357" s="307"/>
      <c r="FN357" s="306"/>
      <c r="FO357" s="307"/>
      <c r="FP357" s="306"/>
    </row>
    <row r="358" spans="29:172">
      <c r="AC358" s="156"/>
      <c r="AI358" s="190">
        <v>169</v>
      </c>
      <c r="AJ358" s="185">
        <v>333</v>
      </c>
      <c r="AK358" s="183">
        <f t="shared" si="458"/>
        <v>169</v>
      </c>
      <c r="AO358" s="182">
        <v>3.1899999999999998E-2</v>
      </c>
      <c r="AP358" s="185">
        <v>333</v>
      </c>
      <c r="AQ358" s="184">
        <f t="shared" si="459"/>
        <v>3.1899999999999998E-2</v>
      </c>
      <c r="AR358" s="190">
        <v>169</v>
      </c>
      <c r="AS358" s="185">
        <v>333</v>
      </c>
      <c r="AT358" s="183">
        <f t="shared" si="460"/>
        <v>169</v>
      </c>
      <c r="AX358" s="182">
        <v>3.1899999999999998E-2</v>
      </c>
      <c r="AY358" s="185">
        <v>333</v>
      </c>
      <c r="AZ358" s="184">
        <f t="shared" si="461"/>
        <v>3.1899999999999998E-2</v>
      </c>
      <c r="BA358" s="190">
        <v>169</v>
      </c>
      <c r="BB358" s="185">
        <v>333</v>
      </c>
      <c r="BC358" s="183">
        <f t="shared" si="462"/>
        <v>169</v>
      </c>
      <c r="BG358" s="182">
        <v>3.1899999999999998E-2</v>
      </c>
      <c r="BH358" s="185">
        <v>333</v>
      </c>
      <c r="BI358" s="184">
        <f t="shared" si="463"/>
        <v>3.1899999999999998E-2</v>
      </c>
      <c r="CW358" s="364"/>
      <c r="CX358" s="316"/>
      <c r="CY358" s="316"/>
      <c r="DA358" s="309">
        <v>357</v>
      </c>
      <c r="DB358" s="313">
        <f t="shared" si="436"/>
        <v>329.93737363303421</v>
      </c>
      <c r="DC358" s="309">
        <f t="shared" si="437"/>
        <v>1</v>
      </c>
      <c r="DD358" s="309">
        <f t="shared" si="438"/>
        <v>260</v>
      </c>
      <c r="DE358" s="308">
        <f t="shared" si="439"/>
        <v>6.5000000000000002E-2</v>
      </c>
      <c r="DF358" s="313">
        <f t="shared" si="454"/>
        <v>357</v>
      </c>
      <c r="DG358" s="313">
        <f t="shared" si="443"/>
        <v>260</v>
      </c>
      <c r="DH358" s="313">
        <f t="shared" si="444"/>
        <v>260</v>
      </c>
      <c r="DI358" s="313">
        <f t="shared" si="445"/>
        <v>0</v>
      </c>
      <c r="DJ358" s="313">
        <f t="shared" si="446"/>
        <v>0</v>
      </c>
      <c r="DK358" s="313">
        <f t="shared" si="455"/>
        <v>87904.517269621676</v>
      </c>
      <c r="DL358" s="313">
        <f t="shared" si="447"/>
        <v>63180</v>
      </c>
      <c r="DM358" s="314">
        <f t="shared" si="448"/>
        <v>18.90570280914724</v>
      </c>
      <c r="DN358" s="312">
        <f t="shared" si="449"/>
        <v>5.2957150725902631E-2</v>
      </c>
      <c r="DO358" s="312">
        <f t="shared" si="456"/>
        <v>1</v>
      </c>
      <c r="DP358" s="315">
        <f t="shared" si="440"/>
        <v>6.5000000000000002E-2</v>
      </c>
      <c r="DQ358" s="316">
        <f t="shared" si="450"/>
        <v>0.25</v>
      </c>
      <c r="DR358" s="316">
        <f t="shared" si="451"/>
        <v>93.070754522942522</v>
      </c>
      <c r="DS358" s="314">
        <f t="shared" si="452"/>
        <v>3.8357914022497503</v>
      </c>
      <c r="DT358" s="316">
        <f t="shared" si="453"/>
        <v>93.070754522942522</v>
      </c>
      <c r="DU358" s="314">
        <f t="shared" si="441"/>
        <v>3.8357914022497503</v>
      </c>
      <c r="DV358" s="316">
        <f t="shared" si="457"/>
        <v>60.75</v>
      </c>
      <c r="DW358" s="310">
        <f t="shared" si="442"/>
        <v>4.0164609053497946</v>
      </c>
      <c r="FB358" s="307"/>
      <c r="FC358" s="307"/>
      <c r="FF358" s="307"/>
      <c r="FG358" s="307"/>
      <c r="FH358" s="306"/>
      <c r="FJ358" s="307"/>
      <c r="FK358" s="307"/>
      <c r="FL358" s="306"/>
      <c r="FM358" s="307"/>
      <c r="FN358" s="306"/>
      <c r="FO358" s="307"/>
      <c r="FP358" s="306"/>
    </row>
    <row r="359" spans="29:172">
      <c r="AC359" s="156"/>
      <c r="AI359" s="190">
        <v>168</v>
      </c>
      <c r="AJ359" s="185">
        <v>334</v>
      </c>
      <c r="AK359" s="183">
        <f t="shared" si="458"/>
        <v>168</v>
      </c>
      <c r="AO359" s="182">
        <v>3.1800000000000002E-2</v>
      </c>
      <c r="AP359" s="185">
        <v>334</v>
      </c>
      <c r="AQ359" s="184">
        <f t="shared" si="459"/>
        <v>3.1800000000000002E-2</v>
      </c>
      <c r="AR359" s="190">
        <v>168</v>
      </c>
      <c r="AS359" s="185">
        <v>334</v>
      </c>
      <c r="AT359" s="183">
        <f t="shared" si="460"/>
        <v>168</v>
      </c>
      <c r="AX359" s="182">
        <v>3.1800000000000002E-2</v>
      </c>
      <c r="AY359" s="185">
        <v>334</v>
      </c>
      <c r="AZ359" s="184">
        <f t="shared" si="461"/>
        <v>3.1800000000000002E-2</v>
      </c>
      <c r="BA359" s="190">
        <v>168</v>
      </c>
      <c r="BB359" s="185">
        <v>334</v>
      </c>
      <c r="BC359" s="183">
        <f t="shared" si="462"/>
        <v>168</v>
      </c>
      <c r="BG359" s="182">
        <v>3.1800000000000002E-2</v>
      </c>
      <c r="BH359" s="185">
        <v>334</v>
      </c>
      <c r="BI359" s="184">
        <f t="shared" si="463"/>
        <v>3.1800000000000002E-2</v>
      </c>
      <c r="CW359" s="364"/>
      <c r="CX359" s="316"/>
      <c r="CY359" s="316"/>
      <c r="DA359" s="309">
        <v>358</v>
      </c>
      <c r="DB359" s="313">
        <f t="shared" si="436"/>
        <v>330.30134386730043</v>
      </c>
      <c r="DC359" s="309">
        <f t="shared" si="437"/>
        <v>1</v>
      </c>
      <c r="DD359" s="309">
        <f t="shared" si="438"/>
        <v>260</v>
      </c>
      <c r="DE359" s="308">
        <f t="shared" si="439"/>
        <v>6.5000000000000002E-2</v>
      </c>
      <c r="DF359" s="313">
        <f t="shared" si="454"/>
        <v>358</v>
      </c>
      <c r="DG359" s="313">
        <f t="shared" si="443"/>
        <v>260</v>
      </c>
      <c r="DH359" s="313">
        <f t="shared" si="444"/>
        <v>260</v>
      </c>
      <c r="DI359" s="313">
        <f t="shared" si="445"/>
        <v>0</v>
      </c>
      <c r="DJ359" s="313">
        <f t="shared" si="446"/>
        <v>0</v>
      </c>
      <c r="DK359" s="313">
        <f t="shared" si="455"/>
        <v>88164.517269621676</v>
      </c>
      <c r="DL359" s="313">
        <f t="shared" si="447"/>
        <v>62920</v>
      </c>
      <c r="DM359" s="314">
        <f t="shared" si="448"/>
        <v>18.90570280914724</v>
      </c>
      <c r="DN359" s="312">
        <f t="shared" si="449"/>
        <v>5.2809225723874968E-2</v>
      </c>
      <c r="DO359" s="312">
        <f t="shared" si="456"/>
        <v>1</v>
      </c>
      <c r="DP359" s="315">
        <f t="shared" si="440"/>
        <v>6.5000000000000002E-2</v>
      </c>
      <c r="DQ359" s="316">
        <f t="shared" si="450"/>
        <v>0.25</v>
      </c>
      <c r="DR359" s="316">
        <f t="shared" si="451"/>
        <v>93.320754522942522</v>
      </c>
      <c r="DS359" s="314">
        <f t="shared" si="452"/>
        <v>3.8362313059951436</v>
      </c>
      <c r="DT359" s="316">
        <f t="shared" si="453"/>
        <v>93.320754522942522</v>
      </c>
      <c r="DU359" s="314">
        <f t="shared" si="441"/>
        <v>3.8362313059951436</v>
      </c>
      <c r="DV359" s="316">
        <f t="shared" si="457"/>
        <v>60.5</v>
      </c>
      <c r="DW359" s="310">
        <f t="shared" si="442"/>
        <v>4.0165289256198351</v>
      </c>
      <c r="FB359" s="307"/>
      <c r="FC359" s="307"/>
      <c r="FF359" s="307"/>
      <c r="FG359" s="307"/>
      <c r="FH359" s="306"/>
      <c r="FJ359" s="307"/>
      <c r="FK359" s="307"/>
      <c r="FL359" s="306"/>
      <c r="FM359" s="307"/>
      <c r="FN359" s="306"/>
      <c r="FO359" s="307"/>
      <c r="FP359" s="306"/>
    </row>
    <row r="360" spans="29:172">
      <c r="AC360" s="156"/>
      <c r="AI360" s="190">
        <v>167</v>
      </c>
      <c r="AJ360" s="185">
        <v>335</v>
      </c>
      <c r="AK360" s="183">
        <f t="shared" si="458"/>
        <v>167</v>
      </c>
      <c r="AO360" s="182">
        <v>3.1699999999999999E-2</v>
      </c>
      <c r="AP360" s="185">
        <v>335</v>
      </c>
      <c r="AQ360" s="184">
        <f t="shared" si="459"/>
        <v>3.1699999999999999E-2</v>
      </c>
      <c r="AR360" s="190">
        <v>167</v>
      </c>
      <c r="AS360" s="185">
        <v>335</v>
      </c>
      <c r="AT360" s="183">
        <f t="shared" si="460"/>
        <v>167</v>
      </c>
      <c r="AX360" s="182">
        <v>3.1699999999999999E-2</v>
      </c>
      <c r="AY360" s="185">
        <v>335</v>
      </c>
      <c r="AZ360" s="184">
        <f t="shared" si="461"/>
        <v>3.1699999999999999E-2</v>
      </c>
      <c r="BA360" s="190">
        <v>167</v>
      </c>
      <c r="BB360" s="185">
        <v>335</v>
      </c>
      <c r="BC360" s="183">
        <f t="shared" si="462"/>
        <v>167</v>
      </c>
      <c r="BG360" s="182">
        <v>3.1699999999999999E-2</v>
      </c>
      <c r="BH360" s="185">
        <v>335</v>
      </c>
      <c r="BI360" s="184">
        <f t="shared" si="463"/>
        <v>3.1699999999999999E-2</v>
      </c>
      <c r="CW360" s="364"/>
      <c r="CX360" s="316"/>
      <c r="CY360" s="316"/>
      <c r="DA360" s="309">
        <v>359</v>
      </c>
      <c r="DB360" s="313">
        <f t="shared" si="436"/>
        <v>330.66531410156665</v>
      </c>
      <c r="DC360" s="309">
        <f t="shared" si="437"/>
        <v>1</v>
      </c>
      <c r="DD360" s="309">
        <f t="shared" si="438"/>
        <v>260</v>
      </c>
      <c r="DE360" s="308">
        <f t="shared" si="439"/>
        <v>6.5000000000000002E-2</v>
      </c>
      <c r="DF360" s="313">
        <f t="shared" si="454"/>
        <v>359</v>
      </c>
      <c r="DG360" s="313">
        <f t="shared" si="443"/>
        <v>260</v>
      </c>
      <c r="DH360" s="313">
        <f t="shared" si="444"/>
        <v>260</v>
      </c>
      <c r="DI360" s="313">
        <f t="shared" si="445"/>
        <v>0</v>
      </c>
      <c r="DJ360" s="313">
        <f t="shared" si="446"/>
        <v>0</v>
      </c>
      <c r="DK360" s="313">
        <f t="shared" si="455"/>
        <v>88424.517269621676</v>
      </c>
      <c r="DL360" s="313">
        <f t="shared" si="447"/>
        <v>62660</v>
      </c>
      <c r="DM360" s="314">
        <f t="shared" si="448"/>
        <v>18.90570280914724</v>
      </c>
      <c r="DN360" s="312">
        <f t="shared" si="449"/>
        <v>5.2662124816566125E-2</v>
      </c>
      <c r="DO360" s="312">
        <f t="shared" si="456"/>
        <v>1</v>
      </c>
      <c r="DP360" s="315">
        <f t="shared" si="440"/>
        <v>6.5000000000000002E-2</v>
      </c>
      <c r="DQ360" s="316">
        <f t="shared" si="450"/>
        <v>0.25</v>
      </c>
      <c r="DR360" s="316">
        <f t="shared" si="451"/>
        <v>93.570754522942522</v>
      </c>
      <c r="DS360" s="314">
        <f t="shared" si="452"/>
        <v>3.836668859092903</v>
      </c>
      <c r="DT360" s="316">
        <f t="shared" si="453"/>
        <v>93.570754522942522</v>
      </c>
      <c r="DU360" s="314">
        <f t="shared" si="441"/>
        <v>3.836668859092903</v>
      </c>
      <c r="DV360" s="316">
        <f t="shared" si="457"/>
        <v>60.25</v>
      </c>
      <c r="DW360" s="310">
        <f t="shared" si="442"/>
        <v>4.0165975103734439</v>
      </c>
      <c r="FB360" s="307"/>
      <c r="FC360" s="307"/>
      <c r="FF360" s="307"/>
      <c r="FG360" s="307"/>
      <c r="FH360" s="306"/>
      <c r="FJ360" s="307"/>
      <c r="FK360" s="307"/>
      <c r="FL360" s="306"/>
      <c r="FM360" s="307"/>
      <c r="FN360" s="306"/>
      <c r="FO360" s="307"/>
      <c r="FP360" s="306"/>
    </row>
    <row r="361" spans="29:172">
      <c r="AC361" s="156"/>
      <c r="AI361" s="190">
        <v>166</v>
      </c>
      <c r="AJ361" s="185">
        <v>336</v>
      </c>
      <c r="AK361" s="183">
        <f t="shared" si="458"/>
        <v>166</v>
      </c>
      <c r="AO361" s="182">
        <v>3.1600000000000003E-2</v>
      </c>
      <c r="AP361" s="185">
        <v>336</v>
      </c>
      <c r="AQ361" s="184">
        <f t="shared" si="459"/>
        <v>3.1600000000000003E-2</v>
      </c>
      <c r="AR361" s="190">
        <v>166</v>
      </c>
      <c r="AS361" s="185">
        <v>336</v>
      </c>
      <c r="AT361" s="183">
        <f t="shared" si="460"/>
        <v>166</v>
      </c>
      <c r="AX361" s="182">
        <v>3.1600000000000003E-2</v>
      </c>
      <c r="AY361" s="185">
        <v>336</v>
      </c>
      <c r="AZ361" s="184">
        <f t="shared" si="461"/>
        <v>3.1600000000000003E-2</v>
      </c>
      <c r="BA361" s="190">
        <v>166</v>
      </c>
      <c r="BB361" s="185">
        <v>336</v>
      </c>
      <c r="BC361" s="183">
        <f t="shared" si="462"/>
        <v>166</v>
      </c>
      <c r="BG361" s="182">
        <v>3.1600000000000003E-2</v>
      </c>
      <c r="BH361" s="185">
        <v>336</v>
      </c>
      <c r="BI361" s="184">
        <f t="shared" si="463"/>
        <v>3.1600000000000003E-2</v>
      </c>
      <c r="CW361" s="364"/>
      <c r="CX361" s="316"/>
      <c r="CY361" s="316"/>
      <c r="DA361" s="309">
        <v>360</v>
      </c>
      <c r="DB361" s="313">
        <f t="shared" si="436"/>
        <v>331.02928433583281</v>
      </c>
      <c r="DC361" s="309">
        <f t="shared" si="437"/>
        <v>1</v>
      </c>
      <c r="DD361" s="309">
        <f t="shared" si="438"/>
        <v>260</v>
      </c>
      <c r="DE361" s="308">
        <f t="shared" si="439"/>
        <v>6.5000000000000002E-2</v>
      </c>
      <c r="DF361" s="313">
        <f t="shared" si="454"/>
        <v>360</v>
      </c>
      <c r="DG361" s="313">
        <f t="shared" si="443"/>
        <v>260</v>
      </c>
      <c r="DH361" s="313">
        <f t="shared" si="444"/>
        <v>260</v>
      </c>
      <c r="DI361" s="313">
        <f t="shared" si="445"/>
        <v>0</v>
      </c>
      <c r="DJ361" s="313">
        <f t="shared" si="446"/>
        <v>0</v>
      </c>
      <c r="DK361" s="313">
        <f t="shared" si="455"/>
        <v>88684.517269621676</v>
      </c>
      <c r="DL361" s="313">
        <f t="shared" si="447"/>
        <v>62400</v>
      </c>
      <c r="DM361" s="314">
        <f t="shared" si="448"/>
        <v>18.90570280914724</v>
      </c>
      <c r="DN361" s="312">
        <f t="shared" si="449"/>
        <v>5.2515841136520108E-2</v>
      </c>
      <c r="DO361" s="312">
        <f t="shared" si="456"/>
        <v>1</v>
      </c>
      <c r="DP361" s="315">
        <f t="shared" si="440"/>
        <v>6.5000000000000002E-2</v>
      </c>
      <c r="DQ361" s="316">
        <f t="shared" si="450"/>
        <v>0.25</v>
      </c>
      <c r="DR361" s="316">
        <f t="shared" si="451"/>
        <v>93.820754522942522</v>
      </c>
      <c r="DS361" s="314">
        <f t="shared" si="452"/>
        <v>3.8371040803340284</v>
      </c>
      <c r="DT361" s="316">
        <f t="shared" si="453"/>
        <v>93.820754522942522</v>
      </c>
      <c r="DU361" s="314">
        <f t="shared" si="441"/>
        <v>3.8371040803340284</v>
      </c>
      <c r="DV361" s="316">
        <f t="shared" si="457"/>
        <v>60</v>
      </c>
      <c r="DW361" s="310">
        <f t="shared" si="442"/>
        <v>4.0166666666666666</v>
      </c>
      <c r="FB361" s="307"/>
      <c r="FC361" s="307"/>
      <c r="FF361" s="307"/>
      <c r="FG361" s="307"/>
      <c r="FH361" s="306"/>
      <c r="FJ361" s="307"/>
      <c r="FK361" s="307"/>
      <c r="FL361" s="306"/>
      <c r="FM361" s="307"/>
      <c r="FN361" s="306"/>
      <c r="FO361" s="307"/>
      <c r="FP361" s="306"/>
    </row>
    <row r="362" spans="29:172">
      <c r="AC362" s="156"/>
      <c r="AI362" s="190">
        <v>165</v>
      </c>
      <c r="AJ362" s="185">
        <v>337</v>
      </c>
      <c r="AK362" s="183">
        <f t="shared" si="458"/>
        <v>165</v>
      </c>
      <c r="AO362" s="182">
        <v>3.15E-2</v>
      </c>
      <c r="AP362" s="185">
        <v>337</v>
      </c>
      <c r="AQ362" s="184">
        <f t="shared" si="459"/>
        <v>3.15E-2</v>
      </c>
      <c r="AR362" s="190">
        <v>165</v>
      </c>
      <c r="AS362" s="185">
        <v>337</v>
      </c>
      <c r="AT362" s="183">
        <f t="shared" si="460"/>
        <v>165</v>
      </c>
      <c r="AX362" s="182">
        <v>3.15E-2</v>
      </c>
      <c r="AY362" s="185">
        <v>337</v>
      </c>
      <c r="AZ362" s="184">
        <f t="shared" si="461"/>
        <v>3.15E-2</v>
      </c>
      <c r="BA362" s="190">
        <v>165</v>
      </c>
      <c r="BB362" s="185">
        <v>337</v>
      </c>
      <c r="BC362" s="183">
        <f t="shared" si="462"/>
        <v>165</v>
      </c>
      <c r="BG362" s="182">
        <v>3.15E-2</v>
      </c>
      <c r="BH362" s="185">
        <v>337</v>
      </c>
      <c r="BI362" s="184">
        <f t="shared" si="463"/>
        <v>3.15E-2</v>
      </c>
      <c r="CW362" s="364"/>
      <c r="CX362" s="316"/>
      <c r="CY362" s="316"/>
      <c r="DA362" s="309">
        <v>361</v>
      </c>
      <c r="DB362" s="313">
        <f t="shared" si="436"/>
        <v>331.39325457009903</v>
      </c>
      <c r="DC362" s="309">
        <f t="shared" si="437"/>
        <v>1</v>
      </c>
      <c r="DD362" s="309">
        <f t="shared" si="438"/>
        <v>260</v>
      </c>
      <c r="DE362" s="308">
        <f t="shared" si="439"/>
        <v>6.5000000000000002E-2</v>
      </c>
      <c r="DF362" s="313">
        <f t="shared" si="454"/>
        <v>361</v>
      </c>
      <c r="DG362" s="313">
        <f t="shared" si="443"/>
        <v>260</v>
      </c>
      <c r="DH362" s="313">
        <f t="shared" si="444"/>
        <v>260</v>
      </c>
      <c r="DI362" s="313">
        <f t="shared" si="445"/>
        <v>0</v>
      </c>
      <c r="DJ362" s="313">
        <f t="shared" si="446"/>
        <v>0</v>
      </c>
      <c r="DK362" s="313">
        <f t="shared" si="455"/>
        <v>88944.517269621676</v>
      </c>
      <c r="DL362" s="313">
        <f t="shared" si="447"/>
        <v>62140</v>
      </c>
      <c r="DM362" s="314">
        <f t="shared" si="448"/>
        <v>18.90570280914724</v>
      </c>
      <c r="DN362" s="312">
        <f t="shared" si="449"/>
        <v>5.2370367892374627E-2</v>
      </c>
      <c r="DO362" s="312">
        <f t="shared" si="456"/>
        <v>1</v>
      </c>
      <c r="DP362" s="315">
        <f t="shared" si="440"/>
        <v>6.5000000000000002E-2</v>
      </c>
      <c r="DQ362" s="316">
        <f t="shared" si="450"/>
        <v>0.25</v>
      </c>
      <c r="DR362" s="316">
        <f t="shared" si="451"/>
        <v>94.070754522942522</v>
      </c>
      <c r="DS362" s="314">
        <f t="shared" si="452"/>
        <v>3.8375369883097643</v>
      </c>
      <c r="DT362" s="316">
        <f t="shared" si="453"/>
        <v>94.070754522942522</v>
      </c>
      <c r="DU362" s="314">
        <f t="shared" si="441"/>
        <v>3.8375369883097643</v>
      </c>
      <c r="DV362" s="316">
        <f t="shared" si="457"/>
        <v>59.75</v>
      </c>
      <c r="DW362" s="310">
        <f t="shared" si="442"/>
        <v>4.01673640167364</v>
      </c>
      <c r="FB362" s="307"/>
      <c r="FC362" s="307"/>
      <c r="FF362" s="307"/>
      <c r="FG362" s="307"/>
      <c r="FH362" s="306"/>
      <c r="FJ362" s="307"/>
      <c r="FK362" s="307"/>
      <c r="FL362" s="306"/>
      <c r="FM362" s="307"/>
      <c r="FN362" s="306"/>
      <c r="FO362" s="307"/>
      <c r="FP362" s="306"/>
    </row>
    <row r="363" spans="29:172">
      <c r="AC363" s="156"/>
      <c r="AI363" s="190">
        <v>164</v>
      </c>
      <c r="AJ363" s="185">
        <v>338</v>
      </c>
      <c r="AK363" s="183">
        <f t="shared" si="458"/>
        <v>164</v>
      </c>
      <c r="AO363" s="182">
        <v>3.1399999999999997E-2</v>
      </c>
      <c r="AP363" s="185">
        <v>338</v>
      </c>
      <c r="AQ363" s="184">
        <f t="shared" si="459"/>
        <v>3.1399999999999997E-2</v>
      </c>
      <c r="AR363" s="190">
        <v>164</v>
      </c>
      <c r="AS363" s="185">
        <v>338</v>
      </c>
      <c r="AT363" s="183">
        <f t="shared" si="460"/>
        <v>164</v>
      </c>
      <c r="AX363" s="182">
        <v>3.1399999999999997E-2</v>
      </c>
      <c r="AY363" s="185">
        <v>338</v>
      </c>
      <c r="AZ363" s="184">
        <f t="shared" si="461"/>
        <v>3.1399999999999997E-2</v>
      </c>
      <c r="BA363" s="190">
        <v>164</v>
      </c>
      <c r="BB363" s="185">
        <v>338</v>
      </c>
      <c r="BC363" s="183">
        <f t="shared" si="462"/>
        <v>164</v>
      </c>
      <c r="BG363" s="182">
        <v>3.1399999999999997E-2</v>
      </c>
      <c r="BH363" s="185">
        <v>338</v>
      </c>
      <c r="BI363" s="184">
        <f t="shared" si="463"/>
        <v>3.1399999999999997E-2</v>
      </c>
      <c r="CW363" s="364"/>
      <c r="CX363" s="316"/>
      <c r="CY363" s="316"/>
      <c r="DA363" s="309">
        <v>362</v>
      </c>
      <c r="DB363" s="313">
        <f t="shared" si="436"/>
        <v>331.75722480436525</v>
      </c>
      <c r="DC363" s="309">
        <f t="shared" si="437"/>
        <v>1</v>
      </c>
      <c r="DD363" s="309">
        <f t="shared" si="438"/>
        <v>260</v>
      </c>
      <c r="DE363" s="308">
        <f t="shared" si="439"/>
        <v>6.5000000000000002E-2</v>
      </c>
      <c r="DF363" s="313">
        <f t="shared" si="454"/>
        <v>362</v>
      </c>
      <c r="DG363" s="313">
        <f t="shared" si="443"/>
        <v>260</v>
      </c>
      <c r="DH363" s="313">
        <f t="shared" si="444"/>
        <v>260</v>
      </c>
      <c r="DI363" s="313">
        <f t="shared" si="445"/>
        <v>0</v>
      </c>
      <c r="DJ363" s="313">
        <f t="shared" si="446"/>
        <v>0</v>
      </c>
      <c r="DK363" s="313">
        <f t="shared" si="455"/>
        <v>89204.517269621676</v>
      </c>
      <c r="DL363" s="313">
        <f t="shared" si="447"/>
        <v>61880</v>
      </c>
      <c r="DM363" s="314">
        <f t="shared" si="448"/>
        <v>18.90570280914724</v>
      </c>
      <c r="DN363" s="312">
        <f t="shared" si="449"/>
        <v>5.2225698367810054E-2</v>
      </c>
      <c r="DO363" s="312">
        <f t="shared" si="456"/>
        <v>1</v>
      </c>
      <c r="DP363" s="315">
        <f t="shared" si="440"/>
        <v>6.5000000000000002E-2</v>
      </c>
      <c r="DQ363" s="316">
        <f t="shared" si="450"/>
        <v>0.25</v>
      </c>
      <c r="DR363" s="316">
        <f t="shared" si="451"/>
        <v>94.320754522942522</v>
      </c>
      <c r="DS363" s="314">
        <f t="shared" si="452"/>
        <v>3.8379676014142503</v>
      </c>
      <c r="DT363" s="316">
        <f t="shared" si="453"/>
        <v>94.320754522942522</v>
      </c>
      <c r="DU363" s="314">
        <f t="shared" si="441"/>
        <v>3.8379676014142503</v>
      </c>
      <c r="DV363" s="316">
        <f t="shared" si="457"/>
        <v>59.5</v>
      </c>
      <c r="DW363" s="310">
        <f t="shared" si="442"/>
        <v>4.0168067226890756</v>
      </c>
      <c r="FB363" s="307"/>
      <c r="FC363" s="307"/>
      <c r="FF363" s="307"/>
      <c r="FG363" s="307"/>
      <c r="FH363" s="306"/>
      <c r="FJ363" s="307"/>
      <c r="FK363" s="307"/>
      <c r="FL363" s="306"/>
      <c r="FM363" s="307"/>
      <c r="FN363" s="306"/>
      <c r="FO363" s="307"/>
      <c r="FP363" s="306"/>
    </row>
    <row r="364" spans="29:172">
      <c r="AC364" s="156"/>
      <c r="AI364" s="190">
        <v>163</v>
      </c>
      <c r="AJ364" s="185">
        <v>339</v>
      </c>
      <c r="AK364" s="183">
        <f t="shared" si="458"/>
        <v>163</v>
      </c>
      <c r="AO364" s="182">
        <v>3.1300000000000001E-2</v>
      </c>
      <c r="AP364" s="185">
        <v>339</v>
      </c>
      <c r="AQ364" s="184">
        <f t="shared" si="459"/>
        <v>3.1300000000000001E-2</v>
      </c>
      <c r="AR364" s="190">
        <v>163</v>
      </c>
      <c r="AS364" s="185">
        <v>339</v>
      </c>
      <c r="AT364" s="183">
        <f t="shared" si="460"/>
        <v>163</v>
      </c>
      <c r="AX364" s="182">
        <v>3.1300000000000001E-2</v>
      </c>
      <c r="AY364" s="185">
        <v>339</v>
      </c>
      <c r="AZ364" s="184">
        <f t="shared" si="461"/>
        <v>3.1300000000000001E-2</v>
      </c>
      <c r="BA364" s="190">
        <v>163</v>
      </c>
      <c r="BB364" s="185">
        <v>339</v>
      </c>
      <c r="BC364" s="183">
        <f t="shared" si="462"/>
        <v>163</v>
      </c>
      <c r="BG364" s="182">
        <v>3.1300000000000001E-2</v>
      </c>
      <c r="BH364" s="185">
        <v>339</v>
      </c>
      <c r="BI364" s="184">
        <f t="shared" si="463"/>
        <v>3.1300000000000001E-2</v>
      </c>
      <c r="CW364" s="364"/>
      <c r="CX364" s="316"/>
      <c r="CY364" s="316"/>
      <c r="DA364" s="309">
        <v>363</v>
      </c>
      <c r="DB364" s="313">
        <f t="shared" si="436"/>
        <v>332.12119503863141</v>
      </c>
      <c r="DC364" s="309">
        <f t="shared" si="437"/>
        <v>1</v>
      </c>
      <c r="DD364" s="309">
        <f t="shared" si="438"/>
        <v>260</v>
      </c>
      <c r="DE364" s="308">
        <f t="shared" si="439"/>
        <v>6.5000000000000002E-2</v>
      </c>
      <c r="DF364" s="313">
        <f t="shared" si="454"/>
        <v>363</v>
      </c>
      <c r="DG364" s="313">
        <f t="shared" si="443"/>
        <v>260</v>
      </c>
      <c r="DH364" s="313">
        <f t="shared" si="444"/>
        <v>260</v>
      </c>
      <c r="DI364" s="313">
        <f t="shared" si="445"/>
        <v>0</v>
      </c>
      <c r="DJ364" s="313">
        <f t="shared" si="446"/>
        <v>0</v>
      </c>
      <c r="DK364" s="313">
        <f t="shared" si="455"/>
        <v>89464.517269621676</v>
      </c>
      <c r="DL364" s="313">
        <f t="shared" si="447"/>
        <v>61620</v>
      </c>
      <c r="DM364" s="314">
        <f t="shared" si="448"/>
        <v>18.90570280914724</v>
      </c>
      <c r="DN364" s="312">
        <f t="shared" si="449"/>
        <v>5.2081825920515815E-2</v>
      </c>
      <c r="DO364" s="312">
        <f t="shared" si="456"/>
        <v>1</v>
      </c>
      <c r="DP364" s="315">
        <f t="shared" si="440"/>
        <v>6.5000000000000002E-2</v>
      </c>
      <c r="DQ364" s="316">
        <f t="shared" si="450"/>
        <v>0.25</v>
      </c>
      <c r="DR364" s="316">
        <f t="shared" si="451"/>
        <v>94.570754522942522</v>
      </c>
      <c r="DS364" s="314">
        <f t="shared" si="452"/>
        <v>3.8383959378471229</v>
      </c>
      <c r="DT364" s="316">
        <f t="shared" si="453"/>
        <v>94.570754522942522</v>
      </c>
      <c r="DU364" s="314">
        <f t="shared" si="441"/>
        <v>3.8383959378471229</v>
      </c>
      <c r="DV364" s="316">
        <f t="shared" si="457"/>
        <v>59.25</v>
      </c>
      <c r="DW364" s="310">
        <f t="shared" si="442"/>
        <v>4.0168776371308015</v>
      </c>
      <c r="FB364" s="307"/>
      <c r="FC364" s="307"/>
      <c r="FF364" s="307"/>
      <c r="FG364" s="307"/>
      <c r="FH364" s="306"/>
      <c r="FJ364" s="307"/>
      <c r="FK364" s="307"/>
      <c r="FL364" s="306"/>
      <c r="FM364" s="307"/>
      <c r="FN364" s="306"/>
      <c r="FO364" s="307"/>
      <c r="FP364" s="306"/>
    </row>
    <row r="365" spans="29:172">
      <c r="AC365" s="156"/>
      <c r="AI365" s="190">
        <v>162</v>
      </c>
      <c r="AJ365" s="185">
        <v>340</v>
      </c>
      <c r="AK365" s="183">
        <f t="shared" si="458"/>
        <v>162</v>
      </c>
      <c r="AO365" s="182">
        <v>3.1199999999999999E-2</v>
      </c>
      <c r="AP365" s="185">
        <v>340</v>
      </c>
      <c r="AQ365" s="184">
        <f t="shared" si="459"/>
        <v>3.1199999999999999E-2</v>
      </c>
      <c r="AR365" s="190">
        <v>162</v>
      </c>
      <c r="AS365" s="185">
        <v>340</v>
      </c>
      <c r="AT365" s="183">
        <f t="shared" si="460"/>
        <v>162</v>
      </c>
      <c r="AX365" s="182">
        <v>3.1199999999999999E-2</v>
      </c>
      <c r="AY365" s="185">
        <v>340</v>
      </c>
      <c r="AZ365" s="184">
        <f t="shared" si="461"/>
        <v>3.1199999999999999E-2</v>
      </c>
      <c r="BA365" s="190">
        <v>162</v>
      </c>
      <c r="BB365" s="185">
        <v>340</v>
      </c>
      <c r="BC365" s="183">
        <f t="shared" si="462"/>
        <v>162</v>
      </c>
      <c r="BG365" s="182">
        <v>3.1199999999999999E-2</v>
      </c>
      <c r="BH365" s="185">
        <v>340</v>
      </c>
      <c r="BI365" s="184">
        <f t="shared" si="463"/>
        <v>3.1199999999999999E-2</v>
      </c>
      <c r="CW365" s="364"/>
      <c r="CX365" s="316"/>
      <c r="CY365" s="316"/>
      <c r="DA365" s="309">
        <v>364</v>
      </c>
      <c r="DB365" s="313">
        <f t="shared" si="436"/>
        <v>332.48516527289769</v>
      </c>
      <c r="DC365" s="309">
        <f t="shared" si="437"/>
        <v>1</v>
      </c>
      <c r="DD365" s="309">
        <f t="shared" si="438"/>
        <v>260</v>
      </c>
      <c r="DE365" s="308">
        <f t="shared" si="439"/>
        <v>6.5000000000000002E-2</v>
      </c>
      <c r="DF365" s="313">
        <f t="shared" si="454"/>
        <v>364</v>
      </c>
      <c r="DG365" s="313">
        <f t="shared" si="443"/>
        <v>260</v>
      </c>
      <c r="DH365" s="313">
        <f t="shared" si="444"/>
        <v>260</v>
      </c>
      <c r="DI365" s="313">
        <f t="shared" si="445"/>
        <v>0</v>
      </c>
      <c r="DJ365" s="313">
        <f t="shared" si="446"/>
        <v>0</v>
      </c>
      <c r="DK365" s="313">
        <f t="shared" si="455"/>
        <v>89724.517269621676</v>
      </c>
      <c r="DL365" s="313">
        <f t="shared" si="447"/>
        <v>61360</v>
      </c>
      <c r="DM365" s="314">
        <f t="shared" si="448"/>
        <v>18.90570280914724</v>
      </c>
      <c r="DN365" s="312">
        <f t="shared" si="449"/>
        <v>5.1938743981173735E-2</v>
      </c>
      <c r="DO365" s="312">
        <f t="shared" si="456"/>
        <v>1</v>
      </c>
      <c r="DP365" s="315">
        <f t="shared" si="440"/>
        <v>6.5000000000000002E-2</v>
      </c>
      <c r="DQ365" s="316">
        <f t="shared" si="450"/>
        <v>0.25</v>
      </c>
      <c r="DR365" s="316">
        <f t="shared" si="451"/>
        <v>94.820754522942522</v>
      </c>
      <c r="DS365" s="314">
        <f t="shared" si="452"/>
        <v>3.8388220156160826</v>
      </c>
      <c r="DT365" s="316">
        <f t="shared" si="453"/>
        <v>94.820754522942522</v>
      </c>
      <c r="DU365" s="314">
        <f t="shared" si="441"/>
        <v>3.8388220156160826</v>
      </c>
      <c r="DV365" s="316">
        <f t="shared" si="457"/>
        <v>59</v>
      </c>
      <c r="DW365" s="310">
        <f t="shared" si="442"/>
        <v>4.0169491525423728</v>
      </c>
      <c r="FB365" s="307"/>
      <c r="FC365" s="307"/>
      <c r="FF365" s="307"/>
      <c r="FG365" s="307"/>
      <c r="FH365" s="306"/>
      <c r="FJ365" s="307"/>
      <c r="FK365" s="307"/>
      <c r="FL365" s="306"/>
      <c r="FM365" s="307"/>
      <c r="FN365" s="306"/>
      <c r="FO365" s="307"/>
      <c r="FP365" s="306"/>
    </row>
    <row r="366" spans="29:172">
      <c r="AC366" s="156"/>
      <c r="AI366" s="190">
        <v>161</v>
      </c>
      <c r="AJ366" s="185">
        <v>341</v>
      </c>
      <c r="AK366" s="183">
        <f t="shared" si="458"/>
        <v>161</v>
      </c>
      <c r="AO366" s="182">
        <v>3.1099999999999999E-2</v>
      </c>
      <c r="AP366" s="185">
        <v>341</v>
      </c>
      <c r="AQ366" s="184">
        <f t="shared" si="459"/>
        <v>3.1099999999999999E-2</v>
      </c>
      <c r="AR366" s="190">
        <v>161</v>
      </c>
      <c r="AS366" s="185">
        <v>341</v>
      </c>
      <c r="AT366" s="183">
        <f t="shared" si="460"/>
        <v>161</v>
      </c>
      <c r="AX366" s="182">
        <v>3.1099999999999999E-2</v>
      </c>
      <c r="AY366" s="185">
        <v>341</v>
      </c>
      <c r="AZ366" s="184">
        <f t="shared" si="461"/>
        <v>3.1099999999999999E-2</v>
      </c>
      <c r="BA366" s="190">
        <v>161</v>
      </c>
      <c r="BB366" s="185">
        <v>341</v>
      </c>
      <c r="BC366" s="183">
        <f t="shared" si="462"/>
        <v>161</v>
      </c>
      <c r="BG366" s="182">
        <v>3.1099999999999999E-2</v>
      </c>
      <c r="BH366" s="185">
        <v>341</v>
      </c>
      <c r="BI366" s="184">
        <f t="shared" si="463"/>
        <v>3.1099999999999999E-2</v>
      </c>
      <c r="CW366" s="364"/>
      <c r="CX366" s="316"/>
      <c r="CY366" s="316"/>
      <c r="DA366" s="309">
        <v>365</v>
      </c>
      <c r="DB366" s="313">
        <f t="shared" si="436"/>
        <v>332.84913550716385</v>
      </c>
      <c r="DC366" s="309">
        <f t="shared" si="437"/>
        <v>1</v>
      </c>
      <c r="DD366" s="309">
        <f t="shared" si="438"/>
        <v>260</v>
      </c>
      <c r="DE366" s="308">
        <f t="shared" si="439"/>
        <v>6.5000000000000002E-2</v>
      </c>
      <c r="DF366" s="313">
        <f t="shared" si="454"/>
        <v>365</v>
      </c>
      <c r="DG366" s="313">
        <f t="shared" si="443"/>
        <v>260</v>
      </c>
      <c r="DH366" s="313">
        <f t="shared" si="444"/>
        <v>260</v>
      </c>
      <c r="DI366" s="313">
        <f t="shared" si="445"/>
        <v>0</v>
      </c>
      <c r="DJ366" s="313">
        <f t="shared" si="446"/>
        <v>0</v>
      </c>
      <c r="DK366" s="313">
        <f t="shared" si="455"/>
        <v>89984.517269621676</v>
      </c>
      <c r="DL366" s="313">
        <f t="shared" si="447"/>
        <v>61100</v>
      </c>
      <c r="DM366" s="314">
        <f t="shared" si="448"/>
        <v>18.90570280914724</v>
      </c>
      <c r="DN366" s="312">
        <f t="shared" si="449"/>
        <v>5.1796446052458193E-2</v>
      </c>
      <c r="DO366" s="312">
        <f t="shared" si="456"/>
        <v>1</v>
      </c>
      <c r="DP366" s="315">
        <f t="shared" si="440"/>
        <v>6.5000000000000002E-2</v>
      </c>
      <c r="DQ366" s="316">
        <f t="shared" si="450"/>
        <v>0.25</v>
      </c>
      <c r="DR366" s="316">
        <f t="shared" si="451"/>
        <v>95.070754522942522</v>
      </c>
      <c r="DS366" s="314">
        <f t="shared" si="452"/>
        <v>3.839245852539416</v>
      </c>
      <c r="DT366" s="316">
        <f t="shared" si="453"/>
        <v>95.070754522942522</v>
      </c>
      <c r="DU366" s="314">
        <f t="shared" si="441"/>
        <v>3.839245852539416</v>
      </c>
      <c r="DV366" s="316">
        <f t="shared" si="457"/>
        <v>58.75</v>
      </c>
      <c r="DW366" s="310">
        <f t="shared" si="442"/>
        <v>4.0170212765957443</v>
      </c>
      <c r="FB366" s="307"/>
      <c r="FC366" s="307"/>
      <c r="FF366" s="307"/>
      <c r="FG366" s="307"/>
      <c r="FH366" s="306"/>
      <c r="FJ366" s="307"/>
      <c r="FK366" s="307"/>
      <c r="FL366" s="306"/>
      <c r="FM366" s="307"/>
      <c r="FN366" s="306"/>
      <c r="FO366" s="307"/>
      <c r="FP366" s="306"/>
    </row>
    <row r="367" spans="29:172">
      <c r="AC367" s="156"/>
      <c r="AI367" s="190">
        <v>160</v>
      </c>
      <c r="AJ367" s="185">
        <v>342</v>
      </c>
      <c r="AK367" s="183">
        <f t="shared" si="458"/>
        <v>160</v>
      </c>
      <c r="AO367" s="182">
        <v>3.1E-2</v>
      </c>
      <c r="AP367" s="185">
        <v>342</v>
      </c>
      <c r="AQ367" s="184">
        <f t="shared" si="459"/>
        <v>3.1E-2</v>
      </c>
      <c r="AR367" s="190">
        <v>160</v>
      </c>
      <c r="AS367" s="185">
        <v>342</v>
      </c>
      <c r="AT367" s="183">
        <f t="shared" si="460"/>
        <v>160</v>
      </c>
      <c r="AX367" s="182">
        <v>3.1E-2</v>
      </c>
      <c r="AY367" s="185">
        <v>342</v>
      </c>
      <c r="AZ367" s="184">
        <f t="shared" si="461"/>
        <v>3.1E-2</v>
      </c>
      <c r="BA367" s="190">
        <v>160</v>
      </c>
      <c r="BB367" s="185">
        <v>342</v>
      </c>
      <c r="BC367" s="183">
        <f t="shared" si="462"/>
        <v>160</v>
      </c>
      <c r="BG367" s="182">
        <v>3.1E-2</v>
      </c>
      <c r="BH367" s="185">
        <v>342</v>
      </c>
      <c r="BI367" s="184">
        <f t="shared" si="463"/>
        <v>3.1E-2</v>
      </c>
      <c r="CW367" s="364"/>
      <c r="CX367" s="316"/>
      <c r="CY367" s="316"/>
      <c r="DA367" s="309">
        <v>366</v>
      </c>
      <c r="DB367" s="313">
        <f t="shared" si="436"/>
        <v>333.21310574143007</v>
      </c>
      <c r="DC367" s="309">
        <f t="shared" si="437"/>
        <v>1</v>
      </c>
      <c r="DD367" s="309">
        <f t="shared" si="438"/>
        <v>260</v>
      </c>
      <c r="DE367" s="308">
        <f t="shared" si="439"/>
        <v>6.5000000000000002E-2</v>
      </c>
      <c r="DF367" s="313">
        <f t="shared" si="454"/>
        <v>366</v>
      </c>
      <c r="DG367" s="313">
        <f t="shared" si="443"/>
        <v>260</v>
      </c>
      <c r="DH367" s="313">
        <f t="shared" si="444"/>
        <v>260</v>
      </c>
      <c r="DI367" s="313">
        <f t="shared" si="445"/>
        <v>0</v>
      </c>
      <c r="DJ367" s="313">
        <f t="shared" si="446"/>
        <v>0</v>
      </c>
      <c r="DK367" s="313">
        <f t="shared" si="455"/>
        <v>90244.517269621676</v>
      </c>
      <c r="DL367" s="313">
        <f t="shared" si="447"/>
        <v>60840</v>
      </c>
      <c r="DM367" s="314">
        <f t="shared" si="448"/>
        <v>18.90570280914724</v>
      </c>
      <c r="DN367" s="312">
        <f t="shared" si="449"/>
        <v>5.1654925708052565E-2</v>
      </c>
      <c r="DO367" s="312">
        <f t="shared" si="456"/>
        <v>1</v>
      </c>
      <c r="DP367" s="315">
        <f t="shared" si="440"/>
        <v>6.5000000000000002E-2</v>
      </c>
      <c r="DQ367" s="316">
        <f t="shared" si="450"/>
        <v>0.25</v>
      </c>
      <c r="DR367" s="316">
        <f t="shared" si="451"/>
        <v>95.320754522942522</v>
      </c>
      <c r="DS367" s="314">
        <f t="shared" si="452"/>
        <v>3.8396674662484793</v>
      </c>
      <c r="DT367" s="316">
        <f t="shared" si="453"/>
        <v>95.320754522942522</v>
      </c>
      <c r="DU367" s="314">
        <f t="shared" si="441"/>
        <v>3.8396674662484793</v>
      </c>
      <c r="DV367" s="316">
        <f t="shared" si="457"/>
        <v>58.5</v>
      </c>
      <c r="DW367" s="310">
        <f t="shared" si="442"/>
        <v>4.017094017094017</v>
      </c>
      <c r="FB367" s="307"/>
      <c r="FC367" s="307"/>
      <c r="FF367" s="307"/>
      <c r="FG367" s="307"/>
      <c r="FH367" s="306"/>
      <c r="FJ367" s="307"/>
      <c r="FK367" s="307"/>
      <c r="FL367" s="306"/>
      <c r="FM367" s="307"/>
      <c r="FN367" s="306"/>
      <c r="FO367" s="307"/>
      <c r="FP367" s="306"/>
    </row>
    <row r="368" spans="29:172">
      <c r="AC368" s="156"/>
      <c r="AI368" s="190">
        <v>159</v>
      </c>
      <c r="AJ368" s="185">
        <v>343</v>
      </c>
      <c r="AK368" s="183">
        <f t="shared" si="458"/>
        <v>159</v>
      </c>
      <c r="AO368" s="182">
        <v>3.09E-2</v>
      </c>
      <c r="AP368" s="185">
        <v>343</v>
      </c>
      <c r="AQ368" s="184">
        <f t="shared" si="459"/>
        <v>3.09E-2</v>
      </c>
      <c r="AR368" s="190">
        <v>159</v>
      </c>
      <c r="AS368" s="185">
        <v>343</v>
      </c>
      <c r="AT368" s="183">
        <f t="shared" si="460"/>
        <v>159</v>
      </c>
      <c r="AX368" s="182">
        <v>3.09E-2</v>
      </c>
      <c r="AY368" s="185">
        <v>343</v>
      </c>
      <c r="AZ368" s="184">
        <f t="shared" si="461"/>
        <v>3.09E-2</v>
      </c>
      <c r="BA368" s="190">
        <v>159</v>
      </c>
      <c r="BB368" s="185">
        <v>343</v>
      </c>
      <c r="BC368" s="183">
        <f t="shared" si="462"/>
        <v>159</v>
      </c>
      <c r="BG368" s="182">
        <v>3.09E-2</v>
      </c>
      <c r="BH368" s="185">
        <v>343</v>
      </c>
      <c r="BI368" s="184">
        <f t="shared" si="463"/>
        <v>3.09E-2</v>
      </c>
      <c r="CW368" s="364"/>
      <c r="CX368" s="316"/>
      <c r="CY368" s="316"/>
      <c r="DA368" s="309">
        <v>367</v>
      </c>
      <c r="DB368" s="313">
        <f t="shared" si="436"/>
        <v>333.57707597569629</v>
      </c>
      <c r="DC368" s="309">
        <f t="shared" si="437"/>
        <v>1</v>
      </c>
      <c r="DD368" s="309">
        <f t="shared" si="438"/>
        <v>260</v>
      </c>
      <c r="DE368" s="308">
        <f t="shared" si="439"/>
        <v>6.5000000000000002E-2</v>
      </c>
      <c r="DF368" s="313">
        <f t="shared" si="454"/>
        <v>367</v>
      </c>
      <c r="DG368" s="313">
        <f t="shared" si="443"/>
        <v>260</v>
      </c>
      <c r="DH368" s="313">
        <f t="shared" si="444"/>
        <v>260</v>
      </c>
      <c r="DI368" s="313">
        <f t="shared" si="445"/>
        <v>0</v>
      </c>
      <c r="DJ368" s="313">
        <f t="shared" si="446"/>
        <v>0</v>
      </c>
      <c r="DK368" s="313">
        <f t="shared" si="455"/>
        <v>90504.517269621676</v>
      </c>
      <c r="DL368" s="313">
        <f t="shared" si="447"/>
        <v>60580</v>
      </c>
      <c r="DM368" s="314">
        <f t="shared" si="448"/>
        <v>18.90570280914724</v>
      </c>
      <c r="DN368" s="312">
        <f t="shared" si="449"/>
        <v>5.1514176591681851E-2</v>
      </c>
      <c r="DO368" s="312">
        <f t="shared" si="456"/>
        <v>1</v>
      </c>
      <c r="DP368" s="315">
        <f t="shared" si="440"/>
        <v>6.5000000000000002E-2</v>
      </c>
      <c r="DQ368" s="316">
        <f t="shared" si="450"/>
        <v>0.25</v>
      </c>
      <c r="DR368" s="316">
        <f t="shared" si="451"/>
        <v>95.570754522942522</v>
      </c>
      <c r="DS368" s="314">
        <f t="shared" si="452"/>
        <v>3.840086874190145</v>
      </c>
      <c r="DT368" s="316">
        <f t="shared" si="453"/>
        <v>95.570754522942522</v>
      </c>
      <c r="DU368" s="314">
        <f t="shared" si="441"/>
        <v>3.840086874190145</v>
      </c>
      <c r="DV368" s="316">
        <f t="shared" si="457"/>
        <v>58.25</v>
      </c>
      <c r="DW368" s="310">
        <f t="shared" si="442"/>
        <v>4.0171673819742493</v>
      </c>
      <c r="FB368" s="307"/>
      <c r="FC368" s="307"/>
      <c r="FF368" s="307"/>
      <c r="FG368" s="307"/>
      <c r="FH368" s="306"/>
      <c r="FJ368" s="307"/>
      <c r="FK368" s="307"/>
      <c r="FL368" s="306"/>
      <c r="FM368" s="307"/>
      <c r="FN368" s="306"/>
      <c r="FO368" s="307"/>
      <c r="FP368" s="306"/>
    </row>
    <row r="369" spans="29:172">
      <c r="AC369" s="156"/>
      <c r="AI369" s="190">
        <v>158</v>
      </c>
      <c r="AJ369" s="185">
        <v>344</v>
      </c>
      <c r="AK369" s="183">
        <f t="shared" si="458"/>
        <v>158</v>
      </c>
      <c r="AO369" s="182">
        <v>3.0800000000000001E-2</v>
      </c>
      <c r="AP369" s="185">
        <v>344</v>
      </c>
      <c r="AQ369" s="184">
        <f t="shared" si="459"/>
        <v>3.0800000000000001E-2</v>
      </c>
      <c r="AR369" s="190">
        <v>158</v>
      </c>
      <c r="AS369" s="185">
        <v>344</v>
      </c>
      <c r="AT369" s="183">
        <f t="shared" si="460"/>
        <v>158</v>
      </c>
      <c r="AX369" s="182">
        <v>3.0800000000000001E-2</v>
      </c>
      <c r="AY369" s="185">
        <v>344</v>
      </c>
      <c r="AZ369" s="184">
        <f t="shared" si="461"/>
        <v>3.0800000000000001E-2</v>
      </c>
      <c r="BA369" s="190">
        <v>158</v>
      </c>
      <c r="BB369" s="185">
        <v>344</v>
      </c>
      <c r="BC369" s="183">
        <f t="shared" si="462"/>
        <v>158</v>
      </c>
      <c r="BG369" s="182">
        <v>3.0800000000000001E-2</v>
      </c>
      <c r="BH369" s="185">
        <v>344</v>
      </c>
      <c r="BI369" s="184">
        <f t="shared" si="463"/>
        <v>3.0800000000000001E-2</v>
      </c>
      <c r="CW369" s="364"/>
      <c r="CX369" s="316"/>
      <c r="CY369" s="316"/>
      <c r="DA369" s="309">
        <v>368</v>
      </c>
      <c r="DB369" s="313">
        <f t="shared" si="436"/>
        <v>333.94104620996245</v>
      </c>
      <c r="DC369" s="309">
        <f t="shared" si="437"/>
        <v>1</v>
      </c>
      <c r="DD369" s="309">
        <f t="shared" si="438"/>
        <v>260</v>
      </c>
      <c r="DE369" s="308">
        <f t="shared" si="439"/>
        <v>6.5000000000000002E-2</v>
      </c>
      <c r="DF369" s="313">
        <f t="shared" si="454"/>
        <v>368</v>
      </c>
      <c r="DG369" s="313">
        <f t="shared" si="443"/>
        <v>260</v>
      </c>
      <c r="DH369" s="313">
        <f t="shared" si="444"/>
        <v>260</v>
      </c>
      <c r="DI369" s="313">
        <f t="shared" si="445"/>
        <v>0</v>
      </c>
      <c r="DJ369" s="313">
        <f t="shared" si="446"/>
        <v>0</v>
      </c>
      <c r="DK369" s="313">
        <f t="shared" si="455"/>
        <v>90764.517269621676</v>
      </c>
      <c r="DL369" s="313">
        <f t="shared" si="447"/>
        <v>60320</v>
      </c>
      <c r="DM369" s="314">
        <f t="shared" si="448"/>
        <v>18.90570280914724</v>
      </c>
      <c r="DN369" s="312">
        <f t="shared" si="449"/>
        <v>5.137419241616098E-2</v>
      </c>
      <c r="DO369" s="312">
        <f t="shared" si="456"/>
        <v>1</v>
      </c>
      <c r="DP369" s="315">
        <f t="shared" si="440"/>
        <v>6.5000000000000002E-2</v>
      </c>
      <c r="DQ369" s="316">
        <f t="shared" si="450"/>
        <v>0.25</v>
      </c>
      <c r="DR369" s="316">
        <f t="shared" si="451"/>
        <v>95.820754522942522</v>
      </c>
      <c r="DS369" s="314">
        <f t="shared" si="452"/>
        <v>3.8405040936292059</v>
      </c>
      <c r="DT369" s="316">
        <f t="shared" si="453"/>
        <v>95.820754522942522</v>
      </c>
      <c r="DU369" s="314">
        <f t="shared" si="441"/>
        <v>3.8405040936292059</v>
      </c>
      <c r="DV369" s="316">
        <f t="shared" si="457"/>
        <v>58</v>
      </c>
      <c r="DW369" s="310">
        <f t="shared" si="442"/>
        <v>4.0172413793103452</v>
      </c>
      <c r="FB369" s="307"/>
      <c r="FC369" s="307"/>
      <c r="FF369" s="307"/>
      <c r="FG369" s="307"/>
      <c r="FH369" s="306"/>
      <c r="FJ369" s="307"/>
      <c r="FK369" s="307"/>
      <c r="FL369" s="306"/>
      <c r="FM369" s="307"/>
      <c r="FN369" s="306"/>
      <c r="FO369" s="307"/>
      <c r="FP369" s="306"/>
    </row>
    <row r="370" spans="29:172">
      <c r="AC370" s="156"/>
      <c r="AI370" s="190">
        <v>157</v>
      </c>
      <c r="AJ370" s="185">
        <v>345</v>
      </c>
      <c r="AK370" s="183">
        <f t="shared" si="458"/>
        <v>157</v>
      </c>
      <c r="AO370" s="182">
        <v>3.0700000000000002E-2</v>
      </c>
      <c r="AP370" s="185">
        <v>345</v>
      </c>
      <c r="AQ370" s="184">
        <f t="shared" si="459"/>
        <v>3.0700000000000002E-2</v>
      </c>
      <c r="AR370" s="190">
        <v>157</v>
      </c>
      <c r="AS370" s="185">
        <v>345</v>
      </c>
      <c r="AT370" s="183">
        <f t="shared" si="460"/>
        <v>157</v>
      </c>
      <c r="AX370" s="182">
        <v>3.0700000000000002E-2</v>
      </c>
      <c r="AY370" s="185">
        <v>345</v>
      </c>
      <c r="AZ370" s="184">
        <f t="shared" si="461"/>
        <v>3.0700000000000002E-2</v>
      </c>
      <c r="BA370" s="190">
        <v>157</v>
      </c>
      <c r="BB370" s="185">
        <v>345</v>
      </c>
      <c r="BC370" s="183">
        <f t="shared" si="462"/>
        <v>157</v>
      </c>
      <c r="BG370" s="182">
        <v>3.0700000000000002E-2</v>
      </c>
      <c r="BH370" s="185">
        <v>345</v>
      </c>
      <c r="BI370" s="184">
        <f t="shared" si="463"/>
        <v>3.0700000000000002E-2</v>
      </c>
      <c r="CW370" s="364"/>
      <c r="CX370" s="316"/>
      <c r="CY370" s="316"/>
      <c r="DA370" s="309">
        <v>369</v>
      </c>
      <c r="DB370" s="313">
        <f t="shared" si="436"/>
        <v>334.30501644422867</v>
      </c>
      <c r="DC370" s="309">
        <f t="shared" si="437"/>
        <v>1</v>
      </c>
      <c r="DD370" s="309">
        <f t="shared" si="438"/>
        <v>260</v>
      </c>
      <c r="DE370" s="308">
        <f t="shared" si="439"/>
        <v>6.5000000000000002E-2</v>
      </c>
      <c r="DF370" s="313">
        <f t="shared" si="454"/>
        <v>369</v>
      </c>
      <c r="DG370" s="313">
        <f t="shared" si="443"/>
        <v>260</v>
      </c>
      <c r="DH370" s="313">
        <f t="shared" si="444"/>
        <v>260</v>
      </c>
      <c r="DI370" s="313">
        <f t="shared" si="445"/>
        <v>0</v>
      </c>
      <c r="DJ370" s="313">
        <f t="shared" si="446"/>
        <v>0</v>
      </c>
      <c r="DK370" s="313">
        <f t="shared" si="455"/>
        <v>91024.517269621676</v>
      </c>
      <c r="DL370" s="313">
        <f t="shared" si="447"/>
        <v>60060</v>
      </c>
      <c r="DM370" s="314">
        <f t="shared" si="448"/>
        <v>18.90570280914724</v>
      </c>
      <c r="DN370" s="312">
        <f t="shared" si="449"/>
        <v>5.1234966962458647E-2</v>
      </c>
      <c r="DO370" s="312">
        <f t="shared" si="456"/>
        <v>1</v>
      </c>
      <c r="DP370" s="315">
        <f t="shared" si="440"/>
        <v>6.5000000000000002E-2</v>
      </c>
      <c r="DQ370" s="316">
        <f t="shared" si="450"/>
        <v>0.25</v>
      </c>
      <c r="DR370" s="316">
        <f t="shared" si="451"/>
        <v>96.070754522942522</v>
      </c>
      <c r="DS370" s="314">
        <f t="shared" si="452"/>
        <v>3.8409191416507467</v>
      </c>
      <c r="DT370" s="316">
        <f t="shared" si="453"/>
        <v>96.070754522942522</v>
      </c>
      <c r="DU370" s="314">
        <f t="shared" si="441"/>
        <v>3.8409191416507467</v>
      </c>
      <c r="DV370" s="316">
        <f t="shared" si="457"/>
        <v>57.75</v>
      </c>
      <c r="DW370" s="310">
        <f t="shared" si="442"/>
        <v>4.0173160173160172</v>
      </c>
      <c r="FB370" s="307"/>
      <c r="FC370" s="307"/>
      <c r="FF370" s="307"/>
      <c r="FG370" s="307"/>
      <c r="FH370" s="306"/>
      <c r="FJ370" s="307"/>
      <c r="FK370" s="307"/>
      <c r="FL370" s="306"/>
      <c r="FM370" s="307"/>
      <c r="FN370" s="306"/>
      <c r="FO370" s="307"/>
      <c r="FP370" s="306"/>
    </row>
    <row r="371" spans="29:172">
      <c r="AC371" s="156"/>
      <c r="AI371" s="190">
        <v>156</v>
      </c>
      <c r="AJ371" s="185">
        <v>346</v>
      </c>
      <c r="AK371" s="183">
        <f t="shared" si="458"/>
        <v>156</v>
      </c>
      <c r="AO371" s="182">
        <v>3.0599999999999999E-2</v>
      </c>
      <c r="AP371" s="185">
        <v>346</v>
      </c>
      <c r="AQ371" s="184">
        <f t="shared" si="459"/>
        <v>3.0599999999999999E-2</v>
      </c>
      <c r="AR371" s="190">
        <v>156</v>
      </c>
      <c r="AS371" s="185">
        <v>346</v>
      </c>
      <c r="AT371" s="183">
        <f t="shared" si="460"/>
        <v>156</v>
      </c>
      <c r="AX371" s="182">
        <v>3.0599999999999999E-2</v>
      </c>
      <c r="AY371" s="185">
        <v>346</v>
      </c>
      <c r="AZ371" s="184">
        <f t="shared" si="461"/>
        <v>3.0599999999999999E-2</v>
      </c>
      <c r="BA371" s="190">
        <v>156</v>
      </c>
      <c r="BB371" s="185">
        <v>346</v>
      </c>
      <c r="BC371" s="183">
        <f t="shared" si="462"/>
        <v>156</v>
      </c>
      <c r="BG371" s="182">
        <v>3.0599999999999999E-2</v>
      </c>
      <c r="BH371" s="185">
        <v>346</v>
      </c>
      <c r="BI371" s="184">
        <f t="shared" si="463"/>
        <v>3.0599999999999999E-2</v>
      </c>
      <c r="CW371" s="364"/>
      <c r="CX371" s="316"/>
      <c r="CY371" s="316"/>
      <c r="DA371" s="309">
        <v>370</v>
      </c>
      <c r="DB371" s="313">
        <f t="shared" si="436"/>
        <v>334.66898667849489</v>
      </c>
      <c r="DC371" s="309">
        <f t="shared" si="437"/>
        <v>1</v>
      </c>
      <c r="DD371" s="309">
        <f t="shared" si="438"/>
        <v>260</v>
      </c>
      <c r="DE371" s="308">
        <f t="shared" si="439"/>
        <v>6.5000000000000002E-2</v>
      </c>
      <c r="DF371" s="313">
        <f t="shared" si="454"/>
        <v>370</v>
      </c>
      <c r="DG371" s="313">
        <f t="shared" si="443"/>
        <v>260</v>
      </c>
      <c r="DH371" s="313">
        <f t="shared" si="444"/>
        <v>260</v>
      </c>
      <c r="DI371" s="313">
        <f t="shared" si="445"/>
        <v>0</v>
      </c>
      <c r="DJ371" s="313">
        <f t="shared" si="446"/>
        <v>0</v>
      </c>
      <c r="DK371" s="313">
        <f t="shared" si="455"/>
        <v>91284.517269621676</v>
      </c>
      <c r="DL371" s="313">
        <f t="shared" si="447"/>
        <v>59800</v>
      </c>
      <c r="DM371" s="314">
        <f t="shared" si="448"/>
        <v>18.90570280914724</v>
      </c>
      <c r="DN371" s="312">
        <f t="shared" si="449"/>
        <v>5.1096494078776325E-2</v>
      </c>
      <c r="DO371" s="312">
        <f t="shared" si="456"/>
        <v>1</v>
      </c>
      <c r="DP371" s="315">
        <f t="shared" si="440"/>
        <v>6.5000000000000002E-2</v>
      </c>
      <c r="DQ371" s="316">
        <f t="shared" si="450"/>
        <v>0.25</v>
      </c>
      <c r="DR371" s="316">
        <f t="shared" si="451"/>
        <v>96.320754522942522</v>
      </c>
      <c r="DS371" s="314">
        <f t="shared" si="452"/>
        <v>3.8413320351624751</v>
      </c>
      <c r="DT371" s="316">
        <f t="shared" si="453"/>
        <v>96.320754522942522</v>
      </c>
      <c r="DU371" s="314">
        <f t="shared" si="441"/>
        <v>3.8413320351624751</v>
      </c>
      <c r="DV371" s="316">
        <f t="shared" si="457"/>
        <v>57.5</v>
      </c>
      <c r="DW371" s="310">
        <f t="shared" si="442"/>
        <v>4.017391304347826</v>
      </c>
      <c r="FB371" s="307"/>
      <c r="FC371" s="307"/>
      <c r="FF371" s="307"/>
      <c r="FG371" s="307"/>
      <c r="FH371" s="306"/>
      <c r="FJ371" s="307"/>
      <c r="FK371" s="307"/>
      <c r="FL371" s="306"/>
      <c r="FM371" s="307"/>
      <c r="FN371" s="306"/>
      <c r="FO371" s="307"/>
      <c r="FP371" s="306"/>
    </row>
    <row r="372" spans="29:172">
      <c r="AC372" s="156"/>
      <c r="AI372" s="190">
        <v>155</v>
      </c>
      <c r="AJ372" s="185">
        <v>347</v>
      </c>
      <c r="AK372" s="183">
        <f t="shared" si="458"/>
        <v>155</v>
      </c>
      <c r="AO372" s="182">
        <v>3.0499999999999999E-2</v>
      </c>
      <c r="AP372" s="185">
        <v>347</v>
      </c>
      <c r="AQ372" s="184">
        <f t="shared" si="459"/>
        <v>3.0499999999999999E-2</v>
      </c>
      <c r="AR372" s="190">
        <v>155</v>
      </c>
      <c r="AS372" s="185">
        <v>347</v>
      </c>
      <c r="AT372" s="183">
        <f t="shared" si="460"/>
        <v>155</v>
      </c>
      <c r="AX372" s="182">
        <v>3.0499999999999999E-2</v>
      </c>
      <c r="AY372" s="185">
        <v>347</v>
      </c>
      <c r="AZ372" s="184">
        <f t="shared" si="461"/>
        <v>3.0499999999999999E-2</v>
      </c>
      <c r="BA372" s="190">
        <v>155</v>
      </c>
      <c r="BB372" s="185">
        <v>347</v>
      </c>
      <c r="BC372" s="183">
        <f t="shared" si="462"/>
        <v>155</v>
      </c>
      <c r="BG372" s="182">
        <v>3.0499999999999999E-2</v>
      </c>
      <c r="BH372" s="185">
        <v>347</v>
      </c>
      <c r="BI372" s="184">
        <f t="shared" si="463"/>
        <v>3.0499999999999999E-2</v>
      </c>
      <c r="CW372" s="364"/>
      <c r="CX372" s="316"/>
      <c r="CY372" s="316"/>
      <c r="DA372" s="309">
        <v>371</v>
      </c>
      <c r="DB372" s="313">
        <f t="shared" si="436"/>
        <v>335.03295691276105</v>
      </c>
      <c r="DC372" s="309">
        <f t="shared" si="437"/>
        <v>1</v>
      </c>
      <c r="DD372" s="309">
        <f t="shared" si="438"/>
        <v>260</v>
      </c>
      <c r="DE372" s="308">
        <f t="shared" si="439"/>
        <v>6.5000000000000002E-2</v>
      </c>
      <c r="DF372" s="313">
        <f t="shared" si="454"/>
        <v>371</v>
      </c>
      <c r="DG372" s="313">
        <f t="shared" si="443"/>
        <v>260</v>
      </c>
      <c r="DH372" s="313">
        <f t="shared" si="444"/>
        <v>260</v>
      </c>
      <c r="DI372" s="313">
        <f t="shared" si="445"/>
        <v>0</v>
      </c>
      <c r="DJ372" s="313">
        <f t="shared" si="446"/>
        <v>0</v>
      </c>
      <c r="DK372" s="313">
        <f t="shared" si="455"/>
        <v>91544.517269621676</v>
      </c>
      <c r="DL372" s="313">
        <f t="shared" si="447"/>
        <v>59540</v>
      </c>
      <c r="DM372" s="314">
        <f t="shared" si="448"/>
        <v>18.90570280914724</v>
      </c>
      <c r="DN372" s="312">
        <f t="shared" si="449"/>
        <v>5.0958767679642157E-2</v>
      </c>
      <c r="DO372" s="312">
        <f t="shared" si="456"/>
        <v>1</v>
      </c>
      <c r="DP372" s="315">
        <f t="shared" si="440"/>
        <v>6.5000000000000002E-2</v>
      </c>
      <c r="DQ372" s="316">
        <f t="shared" si="450"/>
        <v>0.25</v>
      </c>
      <c r="DR372" s="316">
        <f t="shared" si="451"/>
        <v>96.570754522942522</v>
      </c>
      <c r="DS372" s="314">
        <f t="shared" si="452"/>
        <v>3.8417427908970176</v>
      </c>
      <c r="DT372" s="316">
        <f t="shared" si="453"/>
        <v>96.570754522942522</v>
      </c>
      <c r="DU372" s="314">
        <f t="shared" si="441"/>
        <v>3.8417427908970176</v>
      </c>
      <c r="DV372" s="316">
        <f t="shared" si="457"/>
        <v>57.25</v>
      </c>
      <c r="DW372" s="310">
        <f t="shared" si="442"/>
        <v>4.0174672489082965</v>
      </c>
      <c r="FB372" s="307"/>
      <c r="FC372" s="307"/>
      <c r="FF372" s="307"/>
      <c r="FG372" s="307"/>
      <c r="FH372" s="306"/>
      <c r="FJ372" s="307"/>
      <c r="FK372" s="307"/>
      <c r="FL372" s="306"/>
      <c r="FM372" s="307"/>
      <c r="FN372" s="306"/>
      <c r="FO372" s="307"/>
      <c r="FP372" s="306"/>
    </row>
    <row r="373" spans="29:172">
      <c r="AC373" s="156"/>
      <c r="AI373" s="190">
        <v>154</v>
      </c>
      <c r="AJ373" s="185">
        <v>348</v>
      </c>
      <c r="AK373" s="183">
        <f t="shared" si="458"/>
        <v>154</v>
      </c>
      <c r="AO373" s="182">
        <v>3.04E-2</v>
      </c>
      <c r="AP373" s="185">
        <v>348</v>
      </c>
      <c r="AQ373" s="184">
        <f t="shared" si="459"/>
        <v>3.04E-2</v>
      </c>
      <c r="AR373" s="190">
        <v>154</v>
      </c>
      <c r="AS373" s="185">
        <v>348</v>
      </c>
      <c r="AT373" s="183">
        <f t="shared" si="460"/>
        <v>154</v>
      </c>
      <c r="AX373" s="182">
        <v>3.04E-2</v>
      </c>
      <c r="AY373" s="185">
        <v>348</v>
      </c>
      <c r="AZ373" s="184">
        <f t="shared" si="461"/>
        <v>3.04E-2</v>
      </c>
      <c r="BA373" s="190">
        <v>154</v>
      </c>
      <c r="BB373" s="185">
        <v>348</v>
      </c>
      <c r="BC373" s="183">
        <f t="shared" si="462"/>
        <v>154</v>
      </c>
      <c r="BG373" s="182">
        <v>3.04E-2</v>
      </c>
      <c r="BH373" s="185">
        <v>348</v>
      </c>
      <c r="BI373" s="184">
        <f t="shared" si="463"/>
        <v>3.04E-2</v>
      </c>
      <c r="CW373" s="364"/>
      <c r="CX373" s="316"/>
      <c r="CY373" s="316"/>
      <c r="DA373" s="309">
        <v>372</v>
      </c>
      <c r="DB373" s="313">
        <f t="shared" si="436"/>
        <v>335.39692714702727</v>
      </c>
      <c r="DC373" s="309">
        <f t="shared" si="437"/>
        <v>1</v>
      </c>
      <c r="DD373" s="309">
        <f t="shared" si="438"/>
        <v>260</v>
      </c>
      <c r="DE373" s="308">
        <f t="shared" si="439"/>
        <v>6.5000000000000002E-2</v>
      </c>
      <c r="DF373" s="313">
        <f t="shared" si="454"/>
        <v>372</v>
      </c>
      <c r="DG373" s="313">
        <f t="shared" si="443"/>
        <v>260</v>
      </c>
      <c r="DH373" s="313">
        <f t="shared" si="444"/>
        <v>260</v>
      </c>
      <c r="DI373" s="313">
        <f t="shared" si="445"/>
        <v>0</v>
      </c>
      <c r="DJ373" s="313">
        <f t="shared" si="446"/>
        <v>0</v>
      </c>
      <c r="DK373" s="313">
        <f t="shared" si="455"/>
        <v>91804.517269621676</v>
      </c>
      <c r="DL373" s="313">
        <f t="shared" si="447"/>
        <v>59280</v>
      </c>
      <c r="DM373" s="314">
        <f t="shared" si="448"/>
        <v>18.90570280914724</v>
      </c>
      <c r="DN373" s="312">
        <f t="shared" si="449"/>
        <v>5.0821781745019459E-2</v>
      </c>
      <c r="DO373" s="312">
        <f t="shared" si="456"/>
        <v>1</v>
      </c>
      <c r="DP373" s="315">
        <f t="shared" si="440"/>
        <v>6.5000000000000002E-2</v>
      </c>
      <c r="DQ373" s="316">
        <f t="shared" si="450"/>
        <v>0.25</v>
      </c>
      <c r="DR373" s="316">
        <f t="shared" si="451"/>
        <v>96.820754522942522</v>
      </c>
      <c r="DS373" s="314">
        <f t="shared" si="452"/>
        <v>3.8421514254141798</v>
      </c>
      <c r="DT373" s="316">
        <f t="shared" si="453"/>
        <v>96.820754522942522</v>
      </c>
      <c r="DU373" s="314">
        <f t="shared" si="441"/>
        <v>3.8421514254141798</v>
      </c>
      <c r="DV373" s="316">
        <f t="shared" si="457"/>
        <v>57</v>
      </c>
      <c r="DW373" s="310">
        <f t="shared" si="442"/>
        <v>4.0175438596491224</v>
      </c>
      <c r="FB373" s="307"/>
      <c r="FC373" s="307"/>
      <c r="FF373" s="307"/>
      <c r="FG373" s="307"/>
      <c r="FH373" s="306"/>
      <c r="FJ373" s="307"/>
      <c r="FK373" s="307"/>
      <c r="FL373" s="306"/>
      <c r="FM373" s="307"/>
      <c r="FN373" s="306"/>
      <c r="FO373" s="307"/>
      <c r="FP373" s="306"/>
    </row>
    <row r="374" spans="29:172">
      <c r="AC374" s="156"/>
      <c r="AI374" s="190">
        <v>153</v>
      </c>
      <c r="AJ374" s="185">
        <v>349</v>
      </c>
      <c r="AK374" s="183">
        <f t="shared" si="458"/>
        <v>153</v>
      </c>
      <c r="AO374" s="182">
        <v>3.0300000000000001E-2</v>
      </c>
      <c r="AP374" s="185">
        <v>349</v>
      </c>
      <c r="AQ374" s="184">
        <f t="shared" si="459"/>
        <v>3.0300000000000001E-2</v>
      </c>
      <c r="AR374" s="190">
        <v>153</v>
      </c>
      <c r="AS374" s="185">
        <v>349</v>
      </c>
      <c r="AT374" s="183">
        <f t="shared" si="460"/>
        <v>153</v>
      </c>
      <c r="AX374" s="182">
        <v>3.0300000000000001E-2</v>
      </c>
      <c r="AY374" s="185">
        <v>349</v>
      </c>
      <c r="AZ374" s="184">
        <f t="shared" si="461"/>
        <v>3.0300000000000001E-2</v>
      </c>
      <c r="BA374" s="190">
        <v>153</v>
      </c>
      <c r="BB374" s="185">
        <v>349</v>
      </c>
      <c r="BC374" s="183">
        <f t="shared" si="462"/>
        <v>153</v>
      </c>
      <c r="BG374" s="182">
        <v>3.0300000000000001E-2</v>
      </c>
      <c r="BH374" s="185">
        <v>349</v>
      </c>
      <c r="BI374" s="184">
        <f t="shared" si="463"/>
        <v>3.0300000000000001E-2</v>
      </c>
      <c r="CW374" s="364"/>
      <c r="CX374" s="316"/>
      <c r="CY374" s="316"/>
      <c r="DA374" s="309">
        <v>373</v>
      </c>
      <c r="DB374" s="313">
        <f t="shared" si="436"/>
        <v>335.76089738129349</v>
      </c>
      <c r="DC374" s="309">
        <f t="shared" si="437"/>
        <v>1</v>
      </c>
      <c r="DD374" s="309">
        <f t="shared" si="438"/>
        <v>260</v>
      </c>
      <c r="DE374" s="308">
        <f t="shared" si="439"/>
        <v>6.5000000000000002E-2</v>
      </c>
      <c r="DF374" s="313">
        <f t="shared" si="454"/>
        <v>373</v>
      </c>
      <c r="DG374" s="313">
        <f t="shared" si="443"/>
        <v>260</v>
      </c>
      <c r="DH374" s="313">
        <f t="shared" si="444"/>
        <v>260</v>
      </c>
      <c r="DI374" s="313">
        <f t="shared" si="445"/>
        <v>0</v>
      </c>
      <c r="DJ374" s="313">
        <f t="shared" si="446"/>
        <v>0</v>
      </c>
      <c r="DK374" s="313">
        <f t="shared" si="455"/>
        <v>92064.517269621676</v>
      </c>
      <c r="DL374" s="313">
        <f t="shared" si="447"/>
        <v>59020</v>
      </c>
      <c r="DM374" s="314">
        <f t="shared" si="448"/>
        <v>18.90570280914724</v>
      </c>
      <c r="DN374" s="312">
        <f t="shared" si="449"/>
        <v>5.06855303194296E-2</v>
      </c>
      <c r="DO374" s="312">
        <f t="shared" si="456"/>
        <v>1</v>
      </c>
      <c r="DP374" s="315">
        <f t="shared" si="440"/>
        <v>6.5000000000000002E-2</v>
      </c>
      <c r="DQ374" s="316">
        <f t="shared" si="450"/>
        <v>0.25</v>
      </c>
      <c r="DR374" s="316">
        <f t="shared" si="451"/>
        <v>97.070754522942522</v>
      </c>
      <c r="DS374" s="314">
        <f t="shared" si="452"/>
        <v>3.8425579551031719</v>
      </c>
      <c r="DT374" s="316">
        <f t="shared" si="453"/>
        <v>97.070754522942522</v>
      </c>
      <c r="DU374" s="314">
        <f t="shared" si="441"/>
        <v>3.8425579551031719</v>
      </c>
      <c r="DV374" s="316">
        <f t="shared" si="457"/>
        <v>56.75</v>
      </c>
      <c r="DW374" s="310">
        <f t="shared" si="442"/>
        <v>4.0176211453744495</v>
      </c>
      <c r="FB374" s="307"/>
      <c r="FC374" s="307"/>
      <c r="FF374" s="307"/>
      <c r="FG374" s="307"/>
      <c r="FH374" s="306"/>
      <c r="FJ374" s="307"/>
      <c r="FK374" s="307"/>
      <c r="FL374" s="306"/>
      <c r="FM374" s="307"/>
      <c r="FN374" s="306"/>
      <c r="FO374" s="307"/>
      <c r="FP374" s="306"/>
    </row>
    <row r="375" spans="29:172">
      <c r="AC375" s="156"/>
      <c r="AI375" s="190">
        <v>152</v>
      </c>
      <c r="AJ375" s="185">
        <v>350</v>
      </c>
      <c r="AK375" s="183">
        <f t="shared" si="458"/>
        <v>152</v>
      </c>
      <c r="AO375" s="182">
        <v>3.0200000000000001E-2</v>
      </c>
      <c r="AP375" s="185">
        <v>350</v>
      </c>
      <c r="AQ375" s="184">
        <f t="shared" si="459"/>
        <v>3.0200000000000001E-2</v>
      </c>
      <c r="AR375" s="190">
        <v>152</v>
      </c>
      <c r="AS375" s="185">
        <v>350</v>
      </c>
      <c r="AT375" s="183">
        <f t="shared" si="460"/>
        <v>152</v>
      </c>
      <c r="AX375" s="182">
        <v>3.0200000000000001E-2</v>
      </c>
      <c r="AY375" s="185">
        <v>350</v>
      </c>
      <c r="AZ375" s="184">
        <f t="shared" si="461"/>
        <v>3.0200000000000001E-2</v>
      </c>
      <c r="BA375" s="190">
        <v>152</v>
      </c>
      <c r="BB375" s="185">
        <v>350</v>
      </c>
      <c r="BC375" s="183">
        <f t="shared" si="462"/>
        <v>152</v>
      </c>
      <c r="BG375" s="182">
        <v>3.0200000000000001E-2</v>
      </c>
      <c r="BH375" s="185">
        <v>350</v>
      </c>
      <c r="BI375" s="184">
        <f t="shared" si="463"/>
        <v>3.0200000000000001E-2</v>
      </c>
      <c r="CW375" s="364"/>
      <c r="CX375" s="316"/>
      <c r="CY375" s="316"/>
      <c r="DA375" s="309">
        <v>374</v>
      </c>
      <c r="DB375" s="313">
        <f t="shared" si="436"/>
        <v>336.12486761555965</v>
      </c>
      <c r="DC375" s="309">
        <f t="shared" si="437"/>
        <v>1</v>
      </c>
      <c r="DD375" s="309">
        <f t="shared" si="438"/>
        <v>260</v>
      </c>
      <c r="DE375" s="308">
        <f t="shared" si="439"/>
        <v>6.5000000000000002E-2</v>
      </c>
      <c r="DF375" s="313">
        <f t="shared" si="454"/>
        <v>374</v>
      </c>
      <c r="DG375" s="313">
        <f t="shared" si="443"/>
        <v>260</v>
      </c>
      <c r="DH375" s="313">
        <f t="shared" si="444"/>
        <v>260</v>
      </c>
      <c r="DI375" s="313">
        <f t="shared" si="445"/>
        <v>0</v>
      </c>
      <c r="DJ375" s="313">
        <f t="shared" si="446"/>
        <v>0</v>
      </c>
      <c r="DK375" s="313">
        <f t="shared" si="455"/>
        <v>92324.517269621676</v>
      </c>
      <c r="DL375" s="313">
        <f t="shared" si="447"/>
        <v>58760</v>
      </c>
      <c r="DM375" s="314">
        <f t="shared" si="448"/>
        <v>18.90570280914724</v>
      </c>
      <c r="DN375" s="312">
        <f t="shared" si="449"/>
        <v>5.0550007511088874E-2</v>
      </c>
      <c r="DO375" s="312">
        <f t="shared" si="456"/>
        <v>1</v>
      </c>
      <c r="DP375" s="315">
        <f t="shared" si="440"/>
        <v>6.5000000000000002E-2</v>
      </c>
      <c r="DQ375" s="316">
        <f t="shared" si="450"/>
        <v>0.25</v>
      </c>
      <c r="DR375" s="316">
        <f t="shared" si="451"/>
        <v>97.320754522942522</v>
      </c>
      <c r="DS375" s="314">
        <f t="shared" si="452"/>
        <v>3.842962396184801</v>
      </c>
      <c r="DT375" s="316">
        <f t="shared" si="453"/>
        <v>97.320754522942522</v>
      </c>
      <c r="DU375" s="314">
        <f t="shared" si="441"/>
        <v>3.842962396184801</v>
      </c>
      <c r="DV375" s="316">
        <f t="shared" si="457"/>
        <v>56.5</v>
      </c>
      <c r="DW375" s="310">
        <f t="shared" si="442"/>
        <v>4.0176991150442474</v>
      </c>
      <c r="FB375" s="307"/>
      <c r="FC375" s="307"/>
      <c r="FF375" s="307"/>
      <c r="FG375" s="307"/>
      <c r="FH375" s="306"/>
      <c r="FJ375" s="307"/>
      <c r="FK375" s="307"/>
      <c r="FL375" s="306"/>
      <c r="FM375" s="307"/>
      <c r="FN375" s="306"/>
      <c r="FO375" s="307"/>
      <c r="FP375" s="306"/>
    </row>
    <row r="376" spans="29:172">
      <c r="AC376" s="156"/>
      <c r="AI376" s="190">
        <v>151</v>
      </c>
      <c r="AJ376" s="185">
        <v>351</v>
      </c>
      <c r="AK376" s="183">
        <f t="shared" si="458"/>
        <v>151</v>
      </c>
      <c r="AO376" s="182">
        <v>3.0099999999999998E-2</v>
      </c>
      <c r="AP376" s="185">
        <v>351</v>
      </c>
      <c r="AQ376" s="184">
        <f t="shared" si="459"/>
        <v>3.0099999999999998E-2</v>
      </c>
      <c r="AR376" s="190">
        <v>151</v>
      </c>
      <c r="AS376" s="185">
        <v>351</v>
      </c>
      <c r="AT376" s="183">
        <f t="shared" si="460"/>
        <v>151</v>
      </c>
      <c r="AX376" s="182">
        <v>3.0099999999999998E-2</v>
      </c>
      <c r="AY376" s="185">
        <v>351</v>
      </c>
      <c r="AZ376" s="184">
        <f t="shared" si="461"/>
        <v>3.0099999999999998E-2</v>
      </c>
      <c r="BA376" s="190">
        <v>151</v>
      </c>
      <c r="BB376" s="185">
        <v>351</v>
      </c>
      <c r="BC376" s="183">
        <f t="shared" si="462"/>
        <v>151</v>
      </c>
      <c r="BG376" s="182">
        <v>3.0099999999999998E-2</v>
      </c>
      <c r="BH376" s="185">
        <v>351</v>
      </c>
      <c r="BI376" s="184">
        <f t="shared" si="463"/>
        <v>3.0099999999999998E-2</v>
      </c>
      <c r="CW376" s="364"/>
      <c r="CX376" s="316"/>
      <c r="CY376" s="316"/>
      <c r="DA376" s="309">
        <v>375</v>
      </c>
      <c r="DB376" s="313">
        <f t="shared" si="436"/>
        <v>336.48883784982587</v>
      </c>
      <c r="DC376" s="309">
        <f t="shared" si="437"/>
        <v>1</v>
      </c>
      <c r="DD376" s="309">
        <f t="shared" si="438"/>
        <v>260</v>
      </c>
      <c r="DE376" s="308">
        <f t="shared" si="439"/>
        <v>6.5000000000000002E-2</v>
      </c>
      <c r="DF376" s="313">
        <f t="shared" si="454"/>
        <v>375</v>
      </c>
      <c r="DG376" s="313">
        <f t="shared" si="443"/>
        <v>260</v>
      </c>
      <c r="DH376" s="313">
        <f t="shared" si="444"/>
        <v>260</v>
      </c>
      <c r="DI376" s="313">
        <f t="shared" si="445"/>
        <v>0</v>
      </c>
      <c r="DJ376" s="313">
        <f t="shared" si="446"/>
        <v>0</v>
      </c>
      <c r="DK376" s="313">
        <f t="shared" si="455"/>
        <v>92584.517269621676</v>
      </c>
      <c r="DL376" s="313">
        <f t="shared" si="447"/>
        <v>58500</v>
      </c>
      <c r="DM376" s="314">
        <f t="shared" si="448"/>
        <v>18.90570280914724</v>
      </c>
      <c r="DN376" s="312">
        <f t="shared" si="449"/>
        <v>5.0415207491059308E-2</v>
      </c>
      <c r="DO376" s="312">
        <f t="shared" si="456"/>
        <v>1</v>
      </c>
      <c r="DP376" s="315">
        <f t="shared" si="440"/>
        <v>6.5000000000000002E-2</v>
      </c>
      <c r="DQ376" s="316">
        <f t="shared" si="450"/>
        <v>0.25</v>
      </c>
      <c r="DR376" s="316">
        <f t="shared" si="451"/>
        <v>97.570754522942522</v>
      </c>
      <c r="DS376" s="314">
        <f t="shared" si="452"/>
        <v>3.8433647647136264</v>
      </c>
      <c r="DT376" s="316">
        <f t="shared" si="453"/>
        <v>97.570754522942522</v>
      </c>
      <c r="DU376" s="314">
        <f t="shared" si="441"/>
        <v>3.8433647647136264</v>
      </c>
      <c r="DV376" s="316">
        <f t="shared" si="457"/>
        <v>56.25</v>
      </c>
      <c r="DW376" s="310">
        <f t="shared" si="442"/>
        <v>4.0177777777777779</v>
      </c>
      <c r="FB376" s="307"/>
      <c r="FC376" s="307"/>
      <c r="FF376" s="307"/>
      <c r="FG376" s="307"/>
      <c r="FH376" s="306"/>
      <c r="FJ376" s="307"/>
      <c r="FK376" s="307"/>
      <c r="FL376" s="306"/>
      <c r="FM376" s="307"/>
      <c r="FN376" s="306"/>
      <c r="FO376" s="307"/>
      <c r="FP376" s="306"/>
    </row>
    <row r="377" spans="29:172">
      <c r="AC377" s="156"/>
      <c r="AI377" s="190">
        <v>150</v>
      </c>
      <c r="AJ377" s="185">
        <v>352</v>
      </c>
      <c r="AK377" s="183">
        <f t="shared" si="458"/>
        <v>150</v>
      </c>
      <c r="AO377" s="182">
        <v>0.03</v>
      </c>
      <c r="AP377" s="185">
        <v>352</v>
      </c>
      <c r="AQ377" s="184">
        <f t="shared" si="459"/>
        <v>0.03</v>
      </c>
      <c r="AR377" s="190">
        <v>150</v>
      </c>
      <c r="AS377" s="185">
        <v>352</v>
      </c>
      <c r="AT377" s="183">
        <f t="shared" si="460"/>
        <v>150</v>
      </c>
      <c r="AX377" s="182">
        <v>0.03</v>
      </c>
      <c r="AY377" s="185">
        <v>352</v>
      </c>
      <c r="AZ377" s="184">
        <f t="shared" si="461"/>
        <v>0.03</v>
      </c>
      <c r="BA377" s="190">
        <v>150</v>
      </c>
      <c r="BB377" s="185">
        <v>352</v>
      </c>
      <c r="BC377" s="183">
        <f t="shared" si="462"/>
        <v>150</v>
      </c>
      <c r="BG377" s="182">
        <v>0.03</v>
      </c>
      <c r="BH377" s="185">
        <v>352</v>
      </c>
      <c r="BI377" s="184">
        <f t="shared" si="463"/>
        <v>0.03</v>
      </c>
      <c r="CW377" s="364"/>
      <c r="CX377" s="316"/>
      <c r="CY377" s="316"/>
      <c r="DA377" s="309">
        <v>376</v>
      </c>
      <c r="DB377" s="313">
        <f t="shared" si="436"/>
        <v>336.85280808409209</v>
      </c>
      <c r="DC377" s="309">
        <f t="shared" si="437"/>
        <v>1</v>
      </c>
      <c r="DD377" s="309">
        <f t="shared" si="438"/>
        <v>260</v>
      </c>
      <c r="DE377" s="308">
        <f t="shared" si="439"/>
        <v>6.5000000000000002E-2</v>
      </c>
      <c r="DF377" s="313">
        <f t="shared" si="454"/>
        <v>376</v>
      </c>
      <c r="DG377" s="313">
        <f t="shared" si="443"/>
        <v>260</v>
      </c>
      <c r="DH377" s="313">
        <f t="shared" si="444"/>
        <v>260</v>
      </c>
      <c r="DI377" s="313">
        <f t="shared" si="445"/>
        <v>0</v>
      </c>
      <c r="DJ377" s="313">
        <f t="shared" si="446"/>
        <v>0</v>
      </c>
      <c r="DK377" s="313">
        <f t="shared" si="455"/>
        <v>92844.517269621676</v>
      </c>
      <c r="DL377" s="313">
        <f t="shared" si="447"/>
        <v>58240</v>
      </c>
      <c r="DM377" s="314">
        <f t="shared" si="448"/>
        <v>18.90570280914724</v>
      </c>
      <c r="DN377" s="312">
        <f t="shared" si="449"/>
        <v>5.0281124492412871E-2</v>
      </c>
      <c r="DO377" s="312">
        <f t="shared" si="456"/>
        <v>1</v>
      </c>
      <c r="DP377" s="315">
        <f t="shared" si="440"/>
        <v>6.5000000000000002E-2</v>
      </c>
      <c r="DQ377" s="316">
        <f t="shared" si="450"/>
        <v>0.25</v>
      </c>
      <c r="DR377" s="316">
        <f t="shared" si="451"/>
        <v>97.820754522942522</v>
      </c>
      <c r="DS377" s="314">
        <f t="shared" si="452"/>
        <v>3.8437650765800866</v>
      </c>
      <c r="DT377" s="316">
        <f t="shared" si="453"/>
        <v>97.820754522942522</v>
      </c>
      <c r="DU377" s="314">
        <f t="shared" si="441"/>
        <v>3.8437650765800866</v>
      </c>
      <c r="DV377" s="316">
        <f t="shared" si="457"/>
        <v>56</v>
      </c>
      <c r="DW377" s="310">
        <f t="shared" si="442"/>
        <v>4.0178571428571432</v>
      </c>
      <c r="FB377" s="307"/>
      <c r="FC377" s="307"/>
      <c r="FF377" s="307"/>
      <c r="FG377" s="307"/>
      <c r="FH377" s="306"/>
      <c r="FJ377" s="307"/>
      <c r="FK377" s="307"/>
      <c r="FL377" s="306"/>
      <c r="FM377" s="307"/>
      <c r="FN377" s="306"/>
      <c r="FO377" s="307"/>
      <c r="FP377" s="306"/>
    </row>
    <row r="378" spans="29:172">
      <c r="AC378" s="156"/>
      <c r="AI378" s="190">
        <v>149</v>
      </c>
      <c r="AJ378" s="185">
        <v>353</v>
      </c>
      <c r="AK378" s="183">
        <f t="shared" si="458"/>
        <v>149</v>
      </c>
      <c r="AO378" s="182">
        <v>2.9899999999999999E-2</v>
      </c>
      <c r="AP378" s="185">
        <v>353</v>
      </c>
      <c r="AQ378" s="184">
        <f t="shared" si="459"/>
        <v>2.9899999999999999E-2</v>
      </c>
      <c r="AR378" s="190">
        <v>149</v>
      </c>
      <c r="AS378" s="185">
        <v>353</v>
      </c>
      <c r="AT378" s="183">
        <f t="shared" si="460"/>
        <v>149</v>
      </c>
      <c r="AX378" s="182">
        <v>2.9899999999999999E-2</v>
      </c>
      <c r="AY378" s="185">
        <v>353</v>
      </c>
      <c r="AZ378" s="184">
        <f t="shared" si="461"/>
        <v>2.9899999999999999E-2</v>
      </c>
      <c r="BA378" s="190">
        <v>149</v>
      </c>
      <c r="BB378" s="185">
        <v>353</v>
      </c>
      <c r="BC378" s="183">
        <f t="shared" si="462"/>
        <v>149</v>
      </c>
      <c r="BG378" s="182">
        <v>2.9899999999999999E-2</v>
      </c>
      <c r="BH378" s="185">
        <v>353</v>
      </c>
      <c r="BI378" s="184">
        <f t="shared" si="463"/>
        <v>2.9899999999999999E-2</v>
      </c>
      <c r="CW378" s="364"/>
      <c r="CX378" s="316"/>
      <c r="CY378" s="316"/>
      <c r="DA378" s="309">
        <v>377</v>
      </c>
      <c r="DB378" s="313">
        <f t="shared" si="436"/>
        <v>337.21677831835825</v>
      </c>
      <c r="DC378" s="309">
        <f t="shared" si="437"/>
        <v>1</v>
      </c>
      <c r="DD378" s="309">
        <f t="shared" si="438"/>
        <v>260</v>
      </c>
      <c r="DE378" s="308">
        <f t="shared" si="439"/>
        <v>6.5000000000000002E-2</v>
      </c>
      <c r="DF378" s="313">
        <f t="shared" si="454"/>
        <v>377</v>
      </c>
      <c r="DG378" s="313">
        <f t="shared" si="443"/>
        <v>260</v>
      </c>
      <c r="DH378" s="313">
        <f t="shared" si="444"/>
        <v>260</v>
      </c>
      <c r="DI378" s="313">
        <f t="shared" si="445"/>
        <v>0</v>
      </c>
      <c r="DJ378" s="313">
        <f t="shared" si="446"/>
        <v>0</v>
      </c>
      <c r="DK378" s="313">
        <f t="shared" si="455"/>
        <v>93104.517269621676</v>
      </c>
      <c r="DL378" s="313">
        <f t="shared" si="447"/>
        <v>57980</v>
      </c>
      <c r="DM378" s="314">
        <f t="shared" si="448"/>
        <v>18.90570280914724</v>
      </c>
      <c r="DN378" s="312">
        <f t="shared" si="449"/>
        <v>5.0147752809409127E-2</v>
      </c>
      <c r="DO378" s="312">
        <f t="shared" si="456"/>
        <v>1</v>
      </c>
      <c r="DP378" s="315">
        <f t="shared" si="440"/>
        <v>6.5000000000000002E-2</v>
      </c>
      <c r="DQ378" s="316">
        <f t="shared" si="450"/>
        <v>0.25</v>
      </c>
      <c r="DR378" s="316">
        <f t="shared" si="451"/>
        <v>98.070754522942522</v>
      </c>
      <c r="DS378" s="314">
        <f t="shared" si="452"/>
        <v>3.844163347512588</v>
      </c>
      <c r="DT378" s="316">
        <f t="shared" si="453"/>
        <v>98.070754522942522</v>
      </c>
      <c r="DU378" s="314">
        <f t="shared" si="441"/>
        <v>3.844163347512588</v>
      </c>
      <c r="DV378" s="316">
        <f t="shared" si="457"/>
        <v>55.75</v>
      </c>
      <c r="DW378" s="310">
        <f t="shared" si="442"/>
        <v>4.0179372197309418</v>
      </c>
      <c r="FB378" s="307"/>
      <c r="FC378" s="307"/>
      <c r="FF378" s="307"/>
      <c r="FG378" s="307"/>
      <c r="FH378" s="306"/>
      <c r="FJ378" s="307"/>
      <c r="FK378" s="307"/>
      <c r="FL378" s="306"/>
      <c r="FM378" s="307"/>
      <c r="FN378" s="306"/>
      <c r="FO378" s="307"/>
      <c r="FP378" s="306"/>
    </row>
    <row r="379" spans="29:172">
      <c r="AC379" s="156"/>
      <c r="AI379" s="190">
        <v>148</v>
      </c>
      <c r="AJ379" s="185">
        <v>354</v>
      </c>
      <c r="AK379" s="183">
        <f t="shared" si="458"/>
        <v>148</v>
      </c>
      <c r="AO379" s="182">
        <v>2.98E-2</v>
      </c>
      <c r="AP379" s="185">
        <v>354</v>
      </c>
      <c r="AQ379" s="184">
        <f t="shared" si="459"/>
        <v>2.98E-2</v>
      </c>
      <c r="AR379" s="190">
        <v>148</v>
      </c>
      <c r="AS379" s="185">
        <v>354</v>
      </c>
      <c r="AT379" s="183">
        <f t="shared" si="460"/>
        <v>148</v>
      </c>
      <c r="AX379" s="182">
        <v>2.98E-2</v>
      </c>
      <c r="AY379" s="185">
        <v>354</v>
      </c>
      <c r="AZ379" s="184">
        <f t="shared" si="461"/>
        <v>2.98E-2</v>
      </c>
      <c r="BA379" s="190">
        <v>148</v>
      </c>
      <c r="BB379" s="185">
        <v>354</v>
      </c>
      <c r="BC379" s="183">
        <f t="shared" si="462"/>
        <v>148</v>
      </c>
      <c r="BG379" s="182">
        <v>2.98E-2</v>
      </c>
      <c r="BH379" s="185">
        <v>354</v>
      </c>
      <c r="BI379" s="184">
        <f t="shared" si="463"/>
        <v>2.98E-2</v>
      </c>
      <c r="CW379" s="364"/>
      <c r="CX379" s="316"/>
      <c r="CY379" s="316"/>
      <c r="DA379" s="309">
        <v>378</v>
      </c>
      <c r="DB379" s="313">
        <f t="shared" si="436"/>
        <v>337.58074855262453</v>
      </c>
      <c r="DC379" s="309">
        <f t="shared" si="437"/>
        <v>1</v>
      </c>
      <c r="DD379" s="309">
        <f t="shared" si="438"/>
        <v>260</v>
      </c>
      <c r="DE379" s="308">
        <f t="shared" si="439"/>
        <v>6.5000000000000002E-2</v>
      </c>
      <c r="DF379" s="313">
        <f t="shared" si="454"/>
        <v>378</v>
      </c>
      <c r="DG379" s="313">
        <f t="shared" si="443"/>
        <v>260</v>
      </c>
      <c r="DH379" s="313">
        <f t="shared" si="444"/>
        <v>260</v>
      </c>
      <c r="DI379" s="313">
        <f t="shared" si="445"/>
        <v>0</v>
      </c>
      <c r="DJ379" s="313">
        <f t="shared" si="446"/>
        <v>0</v>
      </c>
      <c r="DK379" s="313">
        <f t="shared" si="455"/>
        <v>93364.517269621676</v>
      </c>
      <c r="DL379" s="313">
        <f t="shared" si="447"/>
        <v>57720</v>
      </c>
      <c r="DM379" s="314">
        <f t="shared" si="448"/>
        <v>18.90570280914724</v>
      </c>
      <c r="DN379" s="312">
        <f t="shared" si="449"/>
        <v>5.0015086796685822E-2</v>
      </c>
      <c r="DO379" s="312">
        <f t="shared" si="456"/>
        <v>1</v>
      </c>
      <c r="DP379" s="315">
        <f t="shared" si="440"/>
        <v>6.5000000000000002E-2</v>
      </c>
      <c r="DQ379" s="316">
        <f t="shared" si="450"/>
        <v>0.25</v>
      </c>
      <c r="DR379" s="316">
        <f t="shared" si="451"/>
        <v>98.320754522942522</v>
      </c>
      <c r="DS379" s="314">
        <f t="shared" si="452"/>
        <v>3.844559593079568</v>
      </c>
      <c r="DT379" s="316">
        <f t="shared" si="453"/>
        <v>98.320754522942522</v>
      </c>
      <c r="DU379" s="314">
        <f t="shared" si="441"/>
        <v>3.844559593079568</v>
      </c>
      <c r="DV379" s="316">
        <f t="shared" si="457"/>
        <v>55.5</v>
      </c>
      <c r="DW379" s="310">
        <f t="shared" si="442"/>
        <v>4.0180180180180178</v>
      </c>
      <c r="FB379" s="307"/>
      <c r="FC379" s="307"/>
      <c r="FF379" s="307"/>
      <c r="FG379" s="307"/>
      <c r="FH379" s="306"/>
      <c r="FJ379" s="307"/>
      <c r="FK379" s="307"/>
      <c r="FL379" s="306"/>
      <c r="FM379" s="307"/>
      <c r="FN379" s="306"/>
      <c r="FO379" s="307"/>
      <c r="FP379" s="306"/>
    </row>
    <row r="380" spans="29:172">
      <c r="AC380" s="156"/>
      <c r="AI380" s="190">
        <v>147</v>
      </c>
      <c r="AJ380" s="185">
        <v>355</v>
      </c>
      <c r="AK380" s="183">
        <f t="shared" si="458"/>
        <v>147</v>
      </c>
      <c r="AO380" s="182">
        <v>2.9700000000000001E-2</v>
      </c>
      <c r="AP380" s="185">
        <v>355</v>
      </c>
      <c r="AQ380" s="184">
        <f t="shared" si="459"/>
        <v>2.9700000000000001E-2</v>
      </c>
      <c r="AR380" s="190">
        <v>147</v>
      </c>
      <c r="AS380" s="185">
        <v>355</v>
      </c>
      <c r="AT380" s="183">
        <f t="shared" si="460"/>
        <v>147</v>
      </c>
      <c r="AX380" s="182">
        <v>2.9700000000000001E-2</v>
      </c>
      <c r="AY380" s="185">
        <v>355</v>
      </c>
      <c r="AZ380" s="184">
        <f t="shared" si="461"/>
        <v>2.9700000000000001E-2</v>
      </c>
      <c r="BA380" s="190">
        <v>147</v>
      </c>
      <c r="BB380" s="185">
        <v>355</v>
      </c>
      <c r="BC380" s="183">
        <f t="shared" si="462"/>
        <v>147</v>
      </c>
      <c r="BG380" s="182">
        <v>2.9700000000000001E-2</v>
      </c>
      <c r="BH380" s="185">
        <v>355</v>
      </c>
      <c r="BI380" s="184">
        <f t="shared" si="463"/>
        <v>2.9700000000000001E-2</v>
      </c>
      <c r="CW380" s="364"/>
      <c r="CX380" s="316"/>
      <c r="CY380" s="316"/>
      <c r="DA380" s="309">
        <v>379</v>
      </c>
      <c r="DB380" s="313">
        <f t="shared" si="436"/>
        <v>337.94471878689069</v>
      </c>
      <c r="DC380" s="309">
        <f t="shared" si="437"/>
        <v>1</v>
      </c>
      <c r="DD380" s="309">
        <f t="shared" si="438"/>
        <v>260</v>
      </c>
      <c r="DE380" s="308">
        <f t="shared" si="439"/>
        <v>6.5000000000000002E-2</v>
      </c>
      <c r="DF380" s="313">
        <f t="shared" si="454"/>
        <v>379</v>
      </c>
      <c r="DG380" s="313">
        <f t="shared" si="443"/>
        <v>260</v>
      </c>
      <c r="DH380" s="313">
        <f t="shared" si="444"/>
        <v>260</v>
      </c>
      <c r="DI380" s="313">
        <f t="shared" si="445"/>
        <v>0</v>
      </c>
      <c r="DJ380" s="313">
        <f t="shared" si="446"/>
        <v>0</v>
      </c>
      <c r="DK380" s="313">
        <f t="shared" si="455"/>
        <v>93624.517269621676</v>
      </c>
      <c r="DL380" s="313">
        <f t="shared" si="447"/>
        <v>57460</v>
      </c>
      <c r="DM380" s="314">
        <f t="shared" si="448"/>
        <v>18.90570280914724</v>
      </c>
      <c r="DN380" s="312">
        <f t="shared" si="449"/>
        <v>4.9883120868462374E-2</v>
      </c>
      <c r="DO380" s="312">
        <f t="shared" si="456"/>
        <v>1</v>
      </c>
      <c r="DP380" s="315">
        <f t="shared" si="440"/>
        <v>6.5000000000000002E-2</v>
      </c>
      <c r="DQ380" s="316">
        <f t="shared" si="450"/>
        <v>0.25</v>
      </c>
      <c r="DR380" s="316">
        <f t="shared" si="451"/>
        <v>98.570754522942522</v>
      </c>
      <c r="DS380" s="314">
        <f t="shared" si="452"/>
        <v>3.8449538286915219</v>
      </c>
      <c r="DT380" s="316">
        <f t="shared" si="453"/>
        <v>98.570754522942522</v>
      </c>
      <c r="DU380" s="314">
        <f t="shared" si="441"/>
        <v>3.8449538286915219</v>
      </c>
      <c r="DV380" s="316">
        <f t="shared" si="457"/>
        <v>55.25</v>
      </c>
      <c r="DW380" s="310">
        <f t="shared" si="442"/>
        <v>4.0180995475113122</v>
      </c>
      <c r="FB380" s="307"/>
      <c r="FC380" s="307"/>
      <c r="FF380" s="307"/>
      <c r="FG380" s="307"/>
      <c r="FH380" s="306"/>
      <c r="FJ380" s="307"/>
      <c r="FK380" s="307"/>
      <c r="FL380" s="306"/>
      <c r="FM380" s="307"/>
      <c r="FN380" s="306"/>
      <c r="FO380" s="307"/>
      <c r="FP380" s="306"/>
    </row>
    <row r="381" spans="29:172">
      <c r="AC381" s="156"/>
      <c r="AI381" s="190">
        <v>146</v>
      </c>
      <c r="AJ381" s="185">
        <v>356</v>
      </c>
      <c r="AK381" s="183">
        <f t="shared" si="458"/>
        <v>146</v>
      </c>
      <c r="AO381" s="182">
        <v>2.9600000000000001E-2</v>
      </c>
      <c r="AP381" s="185">
        <v>356</v>
      </c>
      <c r="AQ381" s="184">
        <f t="shared" si="459"/>
        <v>2.9600000000000001E-2</v>
      </c>
      <c r="AR381" s="190">
        <v>146</v>
      </c>
      <c r="AS381" s="185">
        <v>356</v>
      </c>
      <c r="AT381" s="183">
        <f t="shared" si="460"/>
        <v>146</v>
      </c>
      <c r="AX381" s="182">
        <v>2.9600000000000001E-2</v>
      </c>
      <c r="AY381" s="185">
        <v>356</v>
      </c>
      <c r="AZ381" s="184">
        <f t="shared" si="461"/>
        <v>2.9600000000000001E-2</v>
      </c>
      <c r="BA381" s="190">
        <v>146</v>
      </c>
      <c r="BB381" s="185">
        <v>356</v>
      </c>
      <c r="BC381" s="183">
        <f t="shared" si="462"/>
        <v>146</v>
      </c>
      <c r="BG381" s="182">
        <v>2.9600000000000001E-2</v>
      </c>
      <c r="BH381" s="185">
        <v>356</v>
      </c>
      <c r="BI381" s="184">
        <f t="shared" si="463"/>
        <v>2.9600000000000001E-2</v>
      </c>
      <c r="CW381" s="364"/>
      <c r="CX381" s="316"/>
      <c r="CY381" s="316"/>
      <c r="DA381" s="309">
        <v>380</v>
      </c>
      <c r="DB381" s="313">
        <f t="shared" si="436"/>
        <v>338.30868902115685</v>
      </c>
      <c r="DC381" s="309">
        <f t="shared" si="437"/>
        <v>1</v>
      </c>
      <c r="DD381" s="309">
        <f t="shared" si="438"/>
        <v>260</v>
      </c>
      <c r="DE381" s="308">
        <f t="shared" si="439"/>
        <v>6.5000000000000002E-2</v>
      </c>
      <c r="DF381" s="313">
        <f t="shared" si="454"/>
        <v>380</v>
      </c>
      <c r="DG381" s="313">
        <f t="shared" si="443"/>
        <v>260</v>
      </c>
      <c r="DH381" s="313">
        <f t="shared" si="444"/>
        <v>260</v>
      </c>
      <c r="DI381" s="313">
        <f t="shared" si="445"/>
        <v>0</v>
      </c>
      <c r="DJ381" s="313">
        <f t="shared" si="446"/>
        <v>0</v>
      </c>
      <c r="DK381" s="313">
        <f t="shared" si="455"/>
        <v>93884.517269621676</v>
      </c>
      <c r="DL381" s="313">
        <f t="shared" si="447"/>
        <v>57200</v>
      </c>
      <c r="DM381" s="314">
        <f t="shared" si="448"/>
        <v>18.90570280914724</v>
      </c>
      <c r="DN381" s="312">
        <f t="shared" si="449"/>
        <v>4.9751849497755893E-2</v>
      </c>
      <c r="DO381" s="312">
        <f t="shared" si="456"/>
        <v>1</v>
      </c>
      <c r="DP381" s="315">
        <f t="shared" si="440"/>
        <v>6.5000000000000002E-2</v>
      </c>
      <c r="DQ381" s="316">
        <f t="shared" si="450"/>
        <v>0.25</v>
      </c>
      <c r="DR381" s="316">
        <f t="shared" si="451"/>
        <v>98.820754522942522</v>
      </c>
      <c r="DS381" s="314">
        <f t="shared" si="452"/>
        <v>3.8453460696030008</v>
      </c>
      <c r="DT381" s="316">
        <f t="shared" si="453"/>
        <v>98.820754522942522</v>
      </c>
      <c r="DU381" s="314">
        <f t="shared" si="441"/>
        <v>3.8453460696030008</v>
      </c>
      <c r="DV381" s="316">
        <f t="shared" si="457"/>
        <v>55</v>
      </c>
      <c r="DW381" s="310">
        <f t="shared" si="442"/>
        <v>4.0181818181818185</v>
      </c>
      <c r="FB381" s="307"/>
      <c r="FC381" s="307"/>
      <c r="FF381" s="307"/>
      <c r="FG381" s="307"/>
      <c r="FH381" s="306"/>
      <c r="FJ381" s="307"/>
      <c r="FK381" s="307"/>
      <c r="FL381" s="306"/>
      <c r="FM381" s="307"/>
      <c r="FN381" s="306"/>
      <c r="FO381" s="307"/>
      <c r="FP381" s="306"/>
    </row>
    <row r="382" spans="29:172">
      <c r="AC382" s="156"/>
      <c r="AI382" s="190">
        <v>145</v>
      </c>
      <c r="AJ382" s="185">
        <v>357</v>
      </c>
      <c r="AK382" s="183">
        <f t="shared" si="458"/>
        <v>145</v>
      </c>
      <c r="AO382" s="182">
        <v>2.9499999999999998E-2</v>
      </c>
      <c r="AP382" s="185">
        <v>357</v>
      </c>
      <c r="AQ382" s="184">
        <f t="shared" si="459"/>
        <v>2.9499999999999998E-2</v>
      </c>
      <c r="AR382" s="190">
        <v>145</v>
      </c>
      <c r="AS382" s="185">
        <v>357</v>
      </c>
      <c r="AT382" s="183">
        <f t="shared" si="460"/>
        <v>145</v>
      </c>
      <c r="AX382" s="182">
        <v>2.9499999999999998E-2</v>
      </c>
      <c r="AY382" s="185">
        <v>357</v>
      </c>
      <c r="AZ382" s="184">
        <f t="shared" si="461"/>
        <v>2.9499999999999998E-2</v>
      </c>
      <c r="BA382" s="190">
        <v>145</v>
      </c>
      <c r="BB382" s="185">
        <v>357</v>
      </c>
      <c r="BC382" s="183">
        <f t="shared" si="462"/>
        <v>145</v>
      </c>
      <c r="BG382" s="182">
        <v>2.9499999999999998E-2</v>
      </c>
      <c r="BH382" s="185">
        <v>357</v>
      </c>
      <c r="BI382" s="184">
        <f t="shared" si="463"/>
        <v>2.9499999999999998E-2</v>
      </c>
      <c r="CW382" s="364"/>
      <c r="CX382" s="316"/>
      <c r="CY382" s="316"/>
      <c r="DA382" s="309">
        <v>381</v>
      </c>
      <c r="DB382" s="313">
        <f t="shared" si="436"/>
        <v>338.67265925542313</v>
      </c>
      <c r="DC382" s="309">
        <f t="shared" si="437"/>
        <v>1</v>
      </c>
      <c r="DD382" s="309">
        <f t="shared" si="438"/>
        <v>260</v>
      </c>
      <c r="DE382" s="308">
        <f t="shared" si="439"/>
        <v>6.5000000000000002E-2</v>
      </c>
      <c r="DF382" s="313">
        <f t="shared" si="454"/>
        <v>381</v>
      </c>
      <c r="DG382" s="313">
        <f t="shared" si="443"/>
        <v>260</v>
      </c>
      <c r="DH382" s="313">
        <f t="shared" si="444"/>
        <v>260</v>
      </c>
      <c r="DI382" s="313">
        <f t="shared" si="445"/>
        <v>0</v>
      </c>
      <c r="DJ382" s="313">
        <f t="shared" si="446"/>
        <v>0</v>
      </c>
      <c r="DK382" s="313">
        <f t="shared" si="455"/>
        <v>94144.517269621676</v>
      </c>
      <c r="DL382" s="313">
        <f t="shared" si="447"/>
        <v>56940</v>
      </c>
      <c r="DM382" s="314">
        <f t="shared" si="448"/>
        <v>18.90570280914724</v>
      </c>
      <c r="DN382" s="312">
        <f t="shared" si="449"/>
        <v>4.9621267215609555E-2</v>
      </c>
      <c r="DO382" s="312">
        <f t="shared" si="456"/>
        <v>1</v>
      </c>
      <c r="DP382" s="315">
        <f t="shared" si="440"/>
        <v>6.5000000000000002E-2</v>
      </c>
      <c r="DQ382" s="316">
        <f t="shared" si="450"/>
        <v>0.25</v>
      </c>
      <c r="DR382" s="316">
        <f t="shared" si="451"/>
        <v>99.070754522942522</v>
      </c>
      <c r="DS382" s="314">
        <f t="shared" si="452"/>
        <v>3.8457363309145798</v>
      </c>
      <c r="DT382" s="316">
        <f t="shared" si="453"/>
        <v>99.070754522942522</v>
      </c>
      <c r="DU382" s="314">
        <f t="shared" si="441"/>
        <v>3.8457363309145798</v>
      </c>
      <c r="DV382" s="316">
        <f t="shared" si="457"/>
        <v>54.75</v>
      </c>
      <c r="DW382" s="310">
        <f t="shared" si="442"/>
        <v>4.0182648401826482</v>
      </c>
      <c r="FB382" s="307"/>
      <c r="FC382" s="307"/>
      <c r="FF382" s="307"/>
      <c r="FG382" s="307"/>
      <c r="FH382" s="306"/>
      <c r="FJ382" s="307"/>
      <c r="FK382" s="307"/>
      <c r="FL382" s="306"/>
      <c r="FM382" s="307"/>
      <c r="FN382" s="306"/>
      <c r="FO382" s="307"/>
      <c r="FP382" s="306"/>
    </row>
    <row r="383" spans="29:172">
      <c r="AC383" s="156"/>
      <c r="AI383" s="190">
        <v>144</v>
      </c>
      <c r="AJ383" s="185">
        <v>358</v>
      </c>
      <c r="AK383" s="183">
        <f t="shared" si="458"/>
        <v>144</v>
      </c>
      <c r="AO383" s="182">
        <v>2.9399999999999999E-2</v>
      </c>
      <c r="AP383" s="185">
        <v>358</v>
      </c>
      <c r="AQ383" s="184">
        <f t="shared" si="459"/>
        <v>2.9399999999999999E-2</v>
      </c>
      <c r="AR383" s="190">
        <v>144</v>
      </c>
      <c r="AS383" s="185">
        <v>358</v>
      </c>
      <c r="AT383" s="183">
        <f t="shared" si="460"/>
        <v>144</v>
      </c>
      <c r="AX383" s="182">
        <v>2.9399999999999999E-2</v>
      </c>
      <c r="AY383" s="185">
        <v>358</v>
      </c>
      <c r="AZ383" s="184">
        <f t="shared" si="461"/>
        <v>2.9399999999999999E-2</v>
      </c>
      <c r="BA383" s="190">
        <v>144</v>
      </c>
      <c r="BB383" s="185">
        <v>358</v>
      </c>
      <c r="BC383" s="183">
        <f t="shared" si="462"/>
        <v>144</v>
      </c>
      <c r="BG383" s="182">
        <v>2.9399999999999999E-2</v>
      </c>
      <c r="BH383" s="185">
        <v>358</v>
      </c>
      <c r="BI383" s="184">
        <f t="shared" si="463"/>
        <v>2.9399999999999999E-2</v>
      </c>
      <c r="CW383" s="364"/>
      <c r="CX383" s="316"/>
      <c r="CY383" s="316"/>
      <c r="DA383" s="309">
        <v>382</v>
      </c>
      <c r="DB383" s="313">
        <f t="shared" si="436"/>
        <v>339.03662948968929</v>
      </c>
      <c r="DC383" s="309">
        <f t="shared" si="437"/>
        <v>1</v>
      </c>
      <c r="DD383" s="309">
        <f t="shared" si="438"/>
        <v>260</v>
      </c>
      <c r="DE383" s="308">
        <f t="shared" si="439"/>
        <v>6.5000000000000002E-2</v>
      </c>
      <c r="DF383" s="313">
        <f t="shared" si="454"/>
        <v>382</v>
      </c>
      <c r="DG383" s="313">
        <f t="shared" si="443"/>
        <v>260</v>
      </c>
      <c r="DH383" s="313">
        <f t="shared" si="444"/>
        <v>260</v>
      </c>
      <c r="DI383" s="313">
        <f t="shared" si="445"/>
        <v>0</v>
      </c>
      <c r="DJ383" s="313">
        <f t="shared" si="446"/>
        <v>0</v>
      </c>
      <c r="DK383" s="313">
        <f t="shared" si="455"/>
        <v>94404.517269621676</v>
      </c>
      <c r="DL383" s="313">
        <f t="shared" si="447"/>
        <v>56680</v>
      </c>
      <c r="DM383" s="314">
        <f t="shared" si="448"/>
        <v>18.90570280914724</v>
      </c>
      <c r="DN383" s="312">
        <f t="shared" si="449"/>
        <v>4.949136861033309E-2</v>
      </c>
      <c r="DO383" s="312">
        <f t="shared" si="456"/>
        <v>1</v>
      </c>
      <c r="DP383" s="315">
        <f t="shared" si="440"/>
        <v>6.5000000000000002E-2</v>
      </c>
      <c r="DQ383" s="316">
        <f t="shared" si="450"/>
        <v>0.25</v>
      </c>
      <c r="DR383" s="316">
        <f t="shared" si="451"/>
        <v>99.320754522942522</v>
      </c>
      <c r="DS383" s="314">
        <f t="shared" si="452"/>
        <v>3.8461246275747958</v>
      </c>
      <c r="DT383" s="316">
        <f t="shared" si="453"/>
        <v>99.320754522942522</v>
      </c>
      <c r="DU383" s="314">
        <f t="shared" si="441"/>
        <v>3.8461246275747958</v>
      </c>
      <c r="DV383" s="316">
        <f t="shared" si="457"/>
        <v>54.5</v>
      </c>
      <c r="DW383" s="310">
        <f t="shared" si="442"/>
        <v>4.0183486238532113</v>
      </c>
      <c r="FB383" s="307"/>
      <c r="FC383" s="307"/>
      <c r="FF383" s="307"/>
      <c r="FG383" s="307"/>
      <c r="FH383" s="306"/>
      <c r="FJ383" s="307"/>
      <c r="FK383" s="307"/>
      <c r="FL383" s="306"/>
      <c r="FM383" s="307"/>
      <c r="FN383" s="306"/>
      <c r="FO383" s="307"/>
      <c r="FP383" s="306"/>
    </row>
    <row r="384" spans="29:172">
      <c r="AC384" s="156"/>
      <c r="AI384" s="190">
        <v>143</v>
      </c>
      <c r="AJ384" s="185">
        <v>359</v>
      </c>
      <c r="AK384" s="183">
        <f t="shared" si="458"/>
        <v>143</v>
      </c>
      <c r="AO384" s="182">
        <v>2.93E-2</v>
      </c>
      <c r="AP384" s="185">
        <v>359</v>
      </c>
      <c r="AQ384" s="184">
        <f t="shared" si="459"/>
        <v>2.93E-2</v>
      </c>
      <c r="AR384" s="190">
        <v>143</v>
      </c>
      <c r="AS384" s="185">
        <v>359</v>
      </c>
      <c r="AT384" s="183">
        <f t="shared" si="460"/>
        <v>143</v>
      </c>
      <c r="AX384" s="182">
        <v>2.93E-2</v>
      </c>
      <c r="AY384" s="185">
        <v>359</v>
      </c>
      <c r="AZ384" s="184">
        <f t="shared" si="461"/>
        <v>2.93E-2</v>
      </c>
      <c r="BA384" s="190">
        <v>143</v>
      </c>
      <c r="BB384" s="185">
        <v>359</v>
      </c>
      <c r="BC384" s="183">
        <f t="shared" si="462"/>
        <v>143</v>
      </c>
      <c r="BG384" s="182">
        <v>2.93E-2</v>
      </c>
      <c r="BH384" s="185">
        <v>359</v>
      </c>
      <c r="BI384" s="184">
        <f t="shared" si="463"/>
        <v>2.93E-2</v>
      </c>
      <c r="CW384" s="364"/>
      <c r="CX384" s="316"/>
      <c r="CY384" s="316"/>
      <c r="DA384" s="309">
        <v>383</v>
      </c>
      <c r="DB384" s="313">
        <f t="shared" si="436"/>
        <v>339.40059972395551</v>
      </c>
      <c r="DC384" s="309">
        <f t="shared" si="437"/>
        <v>1</v>
      </c>
      <c r="DD384" s="309">
        <f t="shared" si="438"/>
        <v>260</v>
      </c>
      <c r="DE384" s="308">
        <f t="shared" si="439"/>
        <v>6.5000000000000002E-2</v>
      </c>
      <c r="DF384" s="313">
        <f t="shared" si="454"/>
        <v>383</v>
      </c>
      <c r="DG384" s="313">
        <f t="shared" si="443"/>
        <v>260</v>
      </c>
      <c r="DH384" s="313">
        <f t="shared" si="444"/>
        <v>260</v>
      </c>
      <c r="DI384" s="313">
        <f t="shared" si="445"/>
        <v>0</v>
      </c>
      <c r="DJ384" s="313">
        <f t="shared" si="446"/>
        <v>0</v>
      </c>
      <c r="DK384" s="313">
        <f t="shared" si="455"/>
        <v>94664.517269621676</v>
      </c>
      <c r="DL384" s="313">
        <f t="shared" si="447"/>
        <v>56420</v>
      </c>
      <c r="DM384" s="314">
        <f t="shared" si="448"/>
        <v>18.90570280914724</v>
      </c>
      <c r="DN384" s="312">
        <f t="shared" si="449"/>
        <v>4.9362148326755194E-2</v>
      </c>
      <c r="DO384" s="312">
        <f t="shared" si="456"/>
        <v>1</v>
      </c>
      <c r="DP384" s="315">
        <f t="shared" si="440"/>
        <v>6.5000000000000002E-2</v>
      </c>
      <c r="DQ384" s="316">
        <f t="shared" si="450"/>
        <v>0.25</v>
      </c>
      <c r="DR384" s="316">
        <f t="shared" si="451"/>
        <v>99.570754522942522</v>
      </c>
      <c r="DS384" s="314">
        <f t="shared" si="452"/>
        <v>3.8465109743820545</v>
      </c>
      <c r="DT384" s="316">
        <f t="shared" si="453"/>
        <v>99.570754522942522</v>
      </c>
      <c r="DU384" s="314">
        <f t="shared" si="441"/>
        <v>3.8465109743820545</v>
      </c>
      <c r="DV384" s="316">
        <f t="shared" si="457"/>
        <v>54.25</v>
      </c>
      <c r="DW384" s="310">
        <f t="shared" si="442"/>
        <v>4.0184331797235027</v>
      </c>
      <c r="FB384" s="307"/>
      <c r="FC384" s="307"/>
      <c r="FF384" s="307"/>
      <c r="FG384" s="307"/>
      <c r="FH384" s="306"/>
      <c r="FJ384" s="307"/>
      <c r="FK384" s="307"/>
      <c r="FL384" s="306"/>
      <c r="FM384" s="307"/>
      <c r="FN384" s="306"/>
      <c r="FO384" s="307"/>
      <c r="FP384" s="306"/>
    </row>
    <row r="385" spans="29:172">
      <c r="AC385" s="156"/>
      <c r="AI385" s="190">
        <v>142</v>
      </c>
      <c r="AJ385" s="185">
        <v>360</v>
      </c>
      <c r="AK385" s="183">
        <f t="shared" si="458"/>
        <v>142</v>
      </c>
      <c r="AO385" s="182">
        <v>2.92E-2</v>
      </c>
      <c r="AP385" s="185">
        <v>360</v>
      </c>
      <c r="AQ385" s="184">
        <f t="shared" si="459"/>
        <v>2.92E-2</v>
      </c>
      <c r="AR385" s="190">
        <v>142</v>
      </c>
      <c r="AS385" s="185">
        <v>360</v>
      </c>
      <c r="AT385" s="183">
        <f t="shared" si="460"/>
        <v>142</v>
      </c>
      <c r="AX385" s="182">
        <v>2.92E-2</v>
      </c>
      <c r="AY385" s="185">
        <v>360</v>
      </c>
      <c r="AZ385" s="184">
        <f t="shared" si="461"/>
        <v>2.92E-2</v>
      </c>
      <c r="BA385" s="190">
        <v>142</v>
      </c>
      <c r="BB385" s="185">
        <v>360</v>
      </c>
      <c r="BC385" s="183">
        <f t="shared" si="462"/>
        <v>142</v>
      </c>
      <c r="BG385" s="182">
        <v>2.92E-2</v>
      </c>
      <c r="BH385" s="185">
        <v>360</v>
      </c>
      <c r="BI385" s="184">
        <f t="shared" si="463"/>
        <v>2.92E-2</v>
      </c>
      <c r="CW385" s="364"/>
      <c r="CX385" s="316"/>
      <c r="CY385" s="316"/>
      <c r="DA385" s="309">
        <v>384</v>
      </c>
      <c r="DB385" s="313">
        <f t="shared" si="436"/>
        <v>339.76456995822173</v>
      </c>
      <c r="DC385" s="309">
        <f t="shared" si="437"/>
        <v>1</v>
      </c>
      <c r="DD385" s="309">
        <f t="shared" si="438"/>
        <v>260</v>
      </c>
      <c r="DE385" s="308">
        <f t="shared" si="439"/>
        <v>6.5000000000000002E-2</v>
      </c>
      <c r="DF385" s="313">
        <f t="shared" si="454"/>
        <v>384</v>
      </c>
      <c r="DG385" s="313">
        <f t="shared" si="443"/>
        <v>260</v>
      </c>
      <c r="DH385" s="313">
        <f t="shared" si="444"/>
        <v>260</v>
      </c>
      <c r="DI385" s="313">
        <f t="shared" si="445"/>
        <v>0</v>
      </c>
      <c r="DJ385" s="313">
        <f t="shared" si="446"/>
        <v>0</v>
      </c>
      <c r="DK385" s="313">
        <f t="shared" si="455"/>
        <v>94924.517269621676</v>
      </c>
      <c r="DL385" s="313">
        <f t="shared" si="447"/>
        <v>56160</v>
      </c>
      <c r="DM385" s="314">
        <f t="shared" si="448"/>
        <v>18.90570280914724</v>
      </c>
      <c r="DN385" s="312">
        <f t="shared" si="449"/>
        <v>4.9233601065487603E-2</v>
      </c>
      <c r="DO385" s="312">
        <f t="shared" si="456"/>
        <v>1</v>
      </c>
      <c r="DP385" s="315">
        <f t="shared" si="440"/>
        <v>6.5000000000000002E-2</v>
      </c>
      <c r="DQ385" s="316">
        <f t="shared" si="450"/>
        <v>0.25</v>
      </c>
      <c r="DR385" s="316">
        <f t="shared" si="451"/>
        <v>99.820754522942522</v>
      </c>
      <c r="DS385" s="314">
        <f t="shared" si="452"/>
        <v>3.8468953859865138</v>
      </c>
      <c r="DT385" s="316">
        <f t="shared" si="453"/>
        <v>99.820754522942522</v>
      </c>
      <c r="DU385" s="314">
        <f t="shared" si="441"/>
        <v>3.8468953859865138</v>
      </c>
      <c r="DV385" s="316">
        <f t="shared" si="457"/>
        <v>54</v>
      </c>
      <c r="DW385" s="310">
        <f t="shared" si="442"/>
        <v>4.0185185185185182</v>
      </c>
      <c r="FB385" s="307"/>
      <c r="FC385" s="307"/>
      <c r="FF385" s="307"/>
      <c r="FG385" s="307"/>
      <c r="FH385" s="306"/>
      <c r="FJ385" s="307"/>
      <c r="FK385" s="307"/>
      <c r="FL385" s="306"/>
      <c r="FM385" s="307"/>
      <c r="FN385" s="306"/>
      <c r="FO385" s="307"/>
      <c r="FP385" s="306"/>
    </row>
    <row r="386" spans="29:172">
      <c r="AC386" s="156"/>
      <c r="AI386" s="190">
        <v>141</v>
      </c>
      <c r="AJ386" s="185">
        <v>361</v>
      </c>
      <c r="AK386" s="183">
        <f t="shared" si="458"/>
        <v>141</v>
      </c>
      <c r="AO386" s="182">
        <v>2.9100000000000001E-2</v>
      </c>
      <c r="AP386" s="185">
        <v>361</v>
      </c>
      <c r="AQ386" s="184">
        <f t="shared" si="459"/>
        <v>2.9100000000000001E-2</v>
      </c>
      <c r="AR386" s="190">
        <v>141</v>
      </c>
      <c r="AS386" s="185">
        <v>361</v>
      </c>
      <c r="AT386" s="183">
        <f t="shared" si="460"/>
        <v>141</v>
      </c>
      <c r="AX386" s="182">
        <v>2.9100000000000001E-2</v>
      </c>
      <c r="AY386" s="185">
        <v>361</v>
      </c>
      <c r="AZ386" s="184">
        <f t="shared" si="461"/>
        <v>2.9100000000000001E-2</v>
      </c>
      <c r="BA386" s="190">
        <v>141</v>
      </c>
      <c r="BB386" s="185">
        <v>361</v>
      </c>
      <c r="BC386" s="183">
        <f t="shared" si="462"/>
        <v>141</v>
      </c>
      <c r="BG386" s="182">
        <v>2.9100000000000001E-2</v>
      </c>
      <c r="BH386" s="185">
        <v>361</v>
      </c>
      <c r="BI386" s="184">
        <f t="shared" si="463"/>
        <v>2.9100000000000001E-2</v>
      </c>
      <c r="CW386" s="364"/>
      <c r="CX386" s="316"/>
      <c r="CY386" s="316"/>
      <c r="DA386" s="309">
        <v>385</v>
      </c>
      <c r="DB386" s="313">
        <f t="shared" ref="DB386:DB449" si="464">start+DA386*tanO</f>
        <v>340.12854019248789</v>
      </c>
      <c r="DC386" s="309">
        <f t="shared" ref="DC386:DC449" si="465">IF(DA386&lt;edge_width,1,IF(DA386&lt;mid_width,2,IF(DA386&lt;=tot_width,3,4)))</f>
        <v>1</v>
      </c>
      <c r="DD386" s="309">
        <f t="shared" ref="DD386:DD449" si="466">CHOOSE(DC386,edge_thick,second_thick,core_thick,0)</f>
        <v>260</v>
      </c>
      <c r="DE386" s="308">
        <f t="shared" ref="DE386:DE449" si="467">CHOOSE(DC386,edge_k,second_k,core_k,0)</f>
        <v>6.5000000000000002E-2</v>
      </c>
      <c r="DF386" s="313">
        <f t="shared" si="454"/>
        <v>385</v>
      </c>
      <c r="DG386" s="313">
        <f t="shared" si="443"/>
        <v>260</v>
      </c>
      <c r="DH386" s="313">
        <f t="shared" si="444"/>
        <v>260</v>
      </c>
      <c r="DI386" s="313">
        <f t="shared" si="445"/>
        <v>0</v>
      </c>
      <c r="DJ386" s="313">
        <f t="shared" si="446"/>
        <v>0</v>
      </c>
      <c r="DK386" s="313">
        <f t="shared" si="455"/>
        <v>95184.517269621676</v>
      </c>
      <c r="DL386" s="313">
        <f t="shared" si="447"/>
        <v>55900</v>
      </c>
      <c r="DM386" s="314">
        <f t="shared" si="448"/>
        <v>18.90570280914724</v>
      </c>
      <c r="DN386" s="312">
        <f t="shared" si="449"/>
        <v>4.9105721582200619E-2</v>
      </c>
      <c r="DO386" s="312">
        <f t="shared" si="456"/>
        <v>1</v>
      </c>
      <c r="DP386" s="315">
        <f t="shared" ref="DP386:DP449" si="468">DE386*DO386^CHOOSE(DC386,mult1,mult2,mult3,0)</f>
        <v>6.5000000000000002E-2</v>
      </c>
      <c r="DQ386" s="316">
        <f t="shared" si="450"/>
        <v>0.25</v>
      </c>
      <c r="DR386" s="316">
        <f t="shared" si="451"/>
        <v>100.07075452294252</v>
      </c>
      <c r="DS386" s="314">
        <f t="shared" si="452"/>
        <v>3.847277876891932</v>
      </c>
      <c r="DT386" s="316">
        <f t="shared" si="453"/>
        <v>100.07075452294252</v>
      </c>
      <c r="DU386" s="314">
        <f t="shared" ref="DU386:DU449" si="469">IF(DC386&lt;&gt;4,CHOOSE(DC386,DA386/DT386,(DA386-edge_width+1)/DT386,(DA386-mid_width+1)/DT386),0)</f>
        <v>3.847277876891932</v>
      </c>
      <c r="DV386" s="316">
        <f t="shared" si="457"/>
        <v>53.75</v>
      </c>
      <c r="DW386" s="310">
        <f t="shared" ref="DW386:DW449" si="470">IF(DC386&lt;&gt;4,(tot_width-DA386+1)/DV386,0)</f>
        <v>4.0186046511627911</v>
      </c>
      <c r="FB386" s="307"/>
      <c r="FC386" s="307"/>
      <c r="FF386" s="307"/>
      <c r="FG386" s="307"/>
      <c r="FH386" s="306"/>
      <c r="FJ386" s="307"/>
      <c r="FK386" s="307"/>
      <c r="FL386" s="306"/>
      <c r="FM386" s="307"/>
      <c r="FN386" s="306"/>
      <c r="FO386" s="307"/>
      <c r="FP386" s="306"/>
    </row>
    <row r="387" spans="29:172">
      <c r="AC387" s="156"/>
      <c r="AI387" s="190">
        <v>140</v>
      </c>
      <c r="AJ387" s="185">
        <v>362</v>
      </c>
      <c r="AK387" s="183">
        <f t="shared" si="458"/>
        <v>140</v>
      </c>
      <c r="AO387" s="182">
        <v>2.9000000000000001E-2</v>
      </c>
      <c r="AP387" s="185">
        <v>362</v>
      </c>
      <c r="AQ387" s="184">
        <f t="shared" si="459"/>
        <v>2.9000000000000001E-2</v>
      </c>
      <c r="AR387" s="190">
        <v>140</v>
      </c>
      <c r="AS387" s="185">
        <v>362</v>
      </c>
      <c r="AT387" s="183">
        <f t="shared" si="460"/>
        <v>140</v>
      </c>
      <c r="AX387" s="182">
        <v>2.9000000000000001E-2</v>
      </c>
      <c r="AY387" s="185">
        <v>362</v>
      </c>
      <c r="AZ387" s="184">
        <f t="shared" si="461"/>
        <v>2.9000000000000001E-2</v>
      </c>
      <c r="BA387" s="190">
        <v>140</v>
      </c>
      <c r="BB387" s="185">
        <v>362</v>
      </c>
      <c r="BC387" s="183">
        <f t="shared" si="462"/>
        <v>140</v>
      </c>
      <c r="BG387" s="182">
        <v>2.9000000000000001E-2</v>
      </c>
      <c r="BH387" s="185">
        <v>362</v>
      </c>
      <c r="BI387" s="184">
        <f t="shared" si="463"/>
        <v>2.9000000000000001E-2</v>
      </c>
      <c r="CW387" s="364"/>
      <c r="CX387" s="316"/>
      <c r="CY387" s="316"/>
      <c r="DA387" s="309">
        <v>386</v>
      </c>
      <c r="DB387" s="313">
        <f t="shared" si="464"/>
        <v>340.49251042675411</v>
      </c>
      <c r="DC387" s="309">
        <f t="shared" si="465"/>
        <v>1</v>
      </c>
      <c r="DD387" s="309">
        <f t="shared" si="466"/>
        <v>260</v>
      </c>
      <c r="DE387" s="308">
        <f t="shared" si="467"/>
        <v>6.5000000000000002E-2</v>
      </c>
      <c r="DF387" s="313">
        <f t="shared" si="454"/>
        <v>386</v>
      </c>
      <c r="DG387" s="313">
        <f t="shared" ref="DG387:DG450" si="471">IF(DC387=4,DG386,MIN(DB387,DD387))</f>
        <v>260</v>
      </c>
      <c r="DH387" s="313">
        <f t="shared" ref="DH387:DH450" si="472">IF(DC387=1,DG387,0)</f>
        <v>260</v>
      </c>
      <c r="DI387" s="313">
        <f t="shared" ref="DI387:DI450" si="473">IF(DC387=2,DG387,0)</f>
        <v>0</v>
      </c>
      <c r="DJ387" s="313">
        <f t="shared" ref="DJ387:DJ450" si="474">IF(DC387=3,DG387,0)</f>
        <v>0</v>
      </c>
      <c r="DK387" s="313">
        <f t="shared" si="455"/>
        <v>95444.517269621676</v>
      </c>
      <c r="DL387" s="313">
        <f t="shared" ref="DL387:DL450" si="475">IF(DC387&lt;4,DL388+DG387,0)</f>
        <v>55640</v>
      </c>
      <c r="DM387" s="314">
        <f t="shared" ref="DM387:DM450" si="476">IF($DC387&lt;&gt;4,IF($DA387=edge_width,$CY$2,IF($DA387=mid_width,$CY$3,1-DO387+DM386)),0)</f>
        <v>18.90570280914724</v>
      </c>
      <c r="DN387" s="312">
        <f t="shared" ref="DN387:DN450" si="477">IF(DC387&lt;&gt;4,CHOOSE(DC387,DM387/DA387,DM387/(DA387-edge_width+1),DM387/(DA387-mid_width+1)),0)</f>
        <v>4.8978504686909945E-2</v>
      </c>
      <c r="DO387" s="312">
        <f t="shared" si="456"/>
        <v>1</v>
      </c>
      <c r="DP387" s="315">
        <f t="shared" si="468"/>
        <v>6.5000000000000002E-2</v>
      </c>
      <c r="DQ387" s="316">
        <f t="shared" ref="DQ387:DQ450" si="478">IF(AND(DC387&lt;&gt;4,DG387&lt;&gt;0),1000*DP387/DG387,0)</f>
        <v>0.25</v>
      </c>
      <c r="DR387" s="316">
        <f t="shared" ref="DR387:DR450" si="479">IF(DC387&lt;&gt;4,DR386+DQ387,0)</f>
        <v>100.32075452294252</v>
      </c>
      <c r="DS387" s="314">
        <f t="shared" ref="DS387:DS450" si="480">IF(AND(DC387&lt;&gt;4,DR387&lt;&gt;0),DA387/DR387,0)</f>
        <v>3.8476584614574945</v>
      </c>
      <c r="DT387" s="316">
        <f t="shared" ref="DT387:DT450" si="481">IF(DC387&lt;&gt;4,IF(DA387=edge_width,$CY$4,IF(DA387=mid_width,$CY$5,DQ387+DT386)),0)</f>
        <v>100.32075452294252</v>
      </c>
      <c r="DU387" s="314">
        <f t="shared" si="469"/>
        <v>3.8476584614574945</v>
      </c>
      <c r="DV387" s="316">
        <f t="shared" si="457"/>
        <v>53.5</v>
      </c>
      <c r="DW387" s="310">
        <f t="shared" si="470"/>
        <v>4.018691588785047</v>
      </c>
      <c r="FB387" s="307"/>
      <c r="FC387" s="307"/>
      <c r="FF387" s="307"/>
      <c r="FG387" s="307"/>
      <c r="FH387" s="306"/>
      <c r="FJ387" s="307"/>
      <c r="FK387" s="307"/>
      <c r="FL387" s="306"/>
      <c r="FM387" s="307"/>
      <c r="FN387" s="306"/>
      <c r="FO387" s="307"/>
      <c r="FP387" s="306"/>
    </row>
    <row r="388" spans="29:172">
      <c r="AC388" s="156"/>
      <c r="AI388" s="190">
        <v>139</v>
      </c>
      <c r="AJ388" s="185">
        <v>363</v>
      </c>
      <c r="AK388" s="183">
        <f t="shared" si="458"/>
        <v>139</v>
      </c>
      <c r="AO388" s="182">
        <v>2.8899999999999999E-2</v>
      </c>
      <c r="AP388" s="185">
        <v>363</v>
      </c>
      <c r="AQ388" s="184">
        <f t="shared" si="459"/>
        <v>2.8899999999999999E-2</v>
      </c>
      <c r="AR388" s="190">
        <v>139</v>
      </c>
      <c r="AS388" s="185">
        <v>363</v>
      </c>
      <c r="AT388" s="183">
        <f t="shared" si="460"/>
        <v>139</v>
      </c>
      <c r="AX388" s="182">
        <v>2.8899999999999999E-2</v>
      </c>
      <c r="AY388" s="185">
        <v>363</v>
      </c>
      <c r="AZ388" s="184">
        <f t="shared" si="461"/>
        <v>2.8899999999999999E-2</v>
      </c>
      <c r="BA388" s="190">
        <v>139</v>
      </c>
      <c r="BB388" s="185">
        <v>363</v>
      </c>
      <c r="BC388" s="183">
        <f t="shared" si="462"/>
        <v>139</v>
      </c>
      <c r="BG388" s="182">
        <v>2.8899999999999999E-2</v>
      </c>
      <c r="BH388" s="185">
        <v>363</v>
      </c>
      <c r="BI388" s="184">
        <f t="shared" si="463"/>
        <v>2.8899999999999999E-2</v>
      </c>
      <c r="CW388" s="364"/>
      <c r="CX388" s="316"/>
      <c r="CY388" s="316"/>
      <c r="DA388" s="309">
        <v>387</v>
      </c>
      <c r="DB388" s="313">
        <f t="shared" si="464"/>
        <v>340.85648066102033</v>
      </c>
      <c r="DC388" s="309">
        <f t="shared" si="465"/>
        <v>1</v>
      </c>
      <c r="DD388" s="309">
        <f t="shared" si="466"/>
        <v>260</v>
      </c>
      <c r="DE388" s="308">
        <f t="shared" si="467"/>
        <v>6.5000000000000002E-2</v>
      </c>
      <c r="DF388" s="313">
        <f t="shared" ref="DF388:DF451" si="482">IF(DC388&lt;4,DF387+1,DF387)</f>
        <v>387</v>
      </c>
      <c r="DG388" s="313">
        <f t="shared" si="471"/>
        <v>260</v>
      </c>
      <c r="DH388" s="313">
        <f t="shared" si="472"/>
        <v>260</v>
      </c>
      <c r="DI388" s="313">
        <f t="shared" si="473"/>
        <v>0</v>
      </c>
      <c r="DJ388" s="313">
        <f t="shared" si="474"/>
        <v>0</v>
      </c>
      <c r="DK388" s="313">
        <f t="shared" ref="DK388:DK451" si="483">IF(DC388&lt;4,DK387+DG388,0)</f>
        <v>95704.517269621676</v>
      </c>
      <c r="DL388" s="313">
        <f t="shared" si="475"/>
        <v>55380</v>
      </c>
      <c r="DM388" s="314">
        <f t="shared" si="476"/>
        <v>18.90570280914724</v>
      </c>
      <c r="DN388" s="312">
        <f t="shared" si="477"/>
        <v>4.8851945243274519E-2</v>
      </c>
      <c r="DO388" s="312">
        <f t="shared" ref="DO388:DO451" si="484">IF(AND(DC388&lt;&gt;4,DD388&lt;&gt;0),DG388/DD388,0)</f>
        <v>1</v>
      </c>
      <c r="DP388" s="315">
        <f t="shared" si="468"/>
        <v>6.5000000000000002E-2</v>
      </c>
      <c r="DQ388" s="316">
        <f t="shared" si="478"/>
        <v>0.25</v>
      </c>
      <c r="DR388" s="316">
        <f t="shared" si="479"/>
        <v>100.57075452294252</v>
      </c>
      <c r="DS388" s="314">
        <f t="shared" si="480"/>
        <v>3.8480371538996092</v>
      </c>
      <c r="DT388" s="316">
        <f t="shared" si="481"/>
        <v>100.57075452294252</v>
      </c>
      <c r="DU388" s="314">
        <f t="shared" si="469"/>
        <v>3.8480371538996092</v>
      </c>
      <c r="DV388" s="316">
        <f t="shared" ref="DV388:DV451" si="485">DV389+DQ388</f>
        <v>53.25</v>
      </c>
      <c r="DW388" s="310">
        <f t="shared" si="470"/>
        <v>4.018779342723005</v>
      </c>
      <c r="FB388" s="307"/>
      <c r="FC388" s="307"/>
      <c r="FF388" s="307"/>
      <c r="FG388" s="307"/>
      <c r="FH388" s="306"/>
      <c r="FJ388" s="307"/>
      <c r="FK388" s="307"/>
      <c r="FL388" s="306"/>
      <c r="FM388" s="307"/>
      <c r="FN388" s="306"/>
      <c r="FO388" s="307"/>
      <c r="FP388" s="306"/>
    </row>
    <row r="389" spans="29:172">
      <c r="AC389" s="156"/>
      <c r="AI389" s="190">
        <v>138</v>
      </c>
      <c r="AJ389" s="185">
        <v>364</v>
      </c>
      <c r="AK389" s="183">
        <f t="shared" si="458"/>
        <v>138</v>
      </c>
      <c r="AO389" s="182">
        <v>2.8799999999999999E-2</v>
      </c>
      <c r="AP389" s="185">
        <v>364</v>
      </c>
      <c r="AQ389" s="184">
        <f t="shared" si="459"/>
        <v>2.8799999999999999E-2</v>
      </c>
      <c r="AR389" s="190">
        <v>138</v>
      </c>
      <c r="AS389" s="185">
        <v>364</v>
      </c>
      <c r="AT389" s="183">
        <f t="shared" si="460"/>
        <v>138</v>
      </c>
      <c r="AX389" s="182">
        <v>2.8799999999999999E-2</v>
      </c>
      <c r="AY389" s="185">
        <v>364</v>
      </c>
      <c r="AZ389" s="184">
        <f t="shared" si="461"/>
        <v>2.8799999999999999E-2</v>
      </c>
      <c r="BA389" s="190">
        <v>138</v>
      </c>
      <c r="BB389" s="185">
        <v>364</v>
      </c>
      <c r="BC389" s="183">
        <f t="shared" si="462"/>
        <v>138</v>
      </c>
      <c r="BG389" s="182">
        <v>2.8799999999999999E-2</v>
      </c>
      <c r="BH389" s="185">
        <v>364</v>
      </c>
      <c r="BI389" s="184">
        <f t="shared" si="463"/>
        <v>2.8799999999999999E-2</v>
      </c>
      <c r="CW389" s="364"/>
      <c r="CX389" s="316"/>
      <c r="CY389" s="316"/>
      <c r="DA389" s="309">
        <v>388</v>
      </c>
      <c r="DB389" s="313">
        <f t="shared" si="464"/>
        <v>341.22045089528649</v>
      </c>
      <c r="DC389" s="309">
        <f t="shared" si="465"/>
        <v>1</v>
      </c>
      <c r="DD389" s="309">
        <f t="shared" si="466"/>
        <v>260</v>
      </c>
      <c r="DE389" s="308">
        <f t="shared" si="467"/>
        <v>6.5000000000000002E-2</v>
      </c>
      <c r="DF389" s="313">
        <f t="shared" si="482"/>
        <v>388</v>
      </c>
      <c r="DG389" s="313">
        <f t="shared" si="471"/>
        <v>260</v>
      </c>
      <c r="DH389" s="313">
        <f t="shared" si="472"/>
        <v>260</v>
      </c>
      <c r="DI389" s="313">
        <f t="shared" si="473"/>
        <v>0</v>
      </c>
      <c r="DJ389" s="313">
        <f t="shared" si="474"/>
        <v>0</v>
      </c>
      <c r="DK389" s="313">
        <f t="shared" si="483"/>
        <v>95964.517269621676</v>
      </c>
      <c r="DL389" s="313">
        <f t="shared" si="475"/>
        <v>55120</v>
      </c>
      <c r="DM389" s="314">
        <f t="shared" si="476"/>
        <v>18.90570280914724</v>
      </c>
      <c r="DN389" s="312">
        <f t="shared" si="477"/>
        <v>4.8726038167905258E-2</v>
      </c>
      <c r="DO389" s="312">
        <f t="shared" si="484"/>
        <v>1</v>
      </c>
      <c r="DP389" s="315">
        <f t="shared" si="468"/>
        <v>6.5000000000000002E-2</v>
      </c>
      <c r="DQ389" s="316">
        <f t="shared" si="478"/>
        <v>0.25</v>
      </c>
      <c r="DR389" s="316">
        <f t="shared" si="479"/>
        <v>100.82075452294252</v>
      </c>
      <c r="DS389" s="314">
        <f t="shared" si="480"/>
        <v>3.848413968293678</v>
      </c>
      <c r="DT389" s="316">
        <f t="shared" si="481"/>
        <v>100.82075452294252</v>
      </c>
      <c r="DU389" s="314">
        <f t="shared" si="469"/>
        <v>3.848413968293678</v>
      </c>
      <c r="DV389" s="316">
        <f t="shared" si="485"/>
        <v>53</v>
      </c>
      <c r="DW389" s="310">
        <f t="shared" si="470"/>
        <v>4.0188679245283021</v>
      </c>
      <c r="FB389" s="307"/>
      <c r="FC389" s="307"/>
      <c r="FF389" s="307"/>
      <c r="FG389" s="307"/>
      <c r="FH389" s="306"/>
      <c r="FJ389" s="307"/>
      <c r="FK389" s="307"/>
      <c r="FL389" s="306"/>
      <c r="FM389" s="307"/>
      <c r="FN389" s="306"/>
      <c r="FO389" s="307"/>
      <c r="FP389" s="306"/>
    </row>
    <row r="390" spans="29:172">
      <c r="AC390" s="156"/>
      <c r="AI390" s="190">
        <v>137</v>
      </c>
      <c r="AJ390" s="185">
        <v>365</v>
      </c>
      <c r="AK390" s="183">
        <f t="shared" si="458"/>
        <v>137</v>
      </c>
      <c r="AO390" s="182">
        <v>2.87E-2</v>
      </c>
      <c r="AP390" s="185">
        <v>365</v>
      </c>
      <c r="AQ390" s="184">
        <f t="shared" si="459"/>
        <v>2.87E-2</v>
      </c>
      <c r="AR390" s="190">
        <v>137</v>
      </c>
      <c r="AS390" s="185">
        <v>365</v>
      </c>
      <c r="AT390" s="183">
        <f t="shared" si="460"/>
        <v>137</v>
      </c>
      <c r="AX390" s="182">
        <v>2.87E-2</v>
      </c>
      <c r="AY390" s="185">
        <v>365</v>
      </c>
      <c r="AZ390" s="184">
        <f t="shared" si="461"/>
        <v>2.87E-2</v>
      </c>
      <c r="BA390" s="190">
        <v>137</v>
      </c>
      <c r="BB390" s="185">
        <v>365</v>
      </c>
      <c r="BC390" s="183">
        <f t="shared" si="462"/>
        <v>137</v>
      </c>
      <c r="BG390" s="182">
        <v>2.87E-2</v>
      </c>
      <c r="BH390" s="185">
        <v>365</v>
      </c>
      <c r="BI390" s="184">
        <f t="shared" si="463"/>
        <v>2.87E-2</v>
      </c>
      <c r="CW390" s="364"/>
      <c r="CX390" s="316"/>
      <c r="CY390" s="316"/>
      <c r="DA390" s="309">
        <v>389</v>
      </c>
      <c r="DB390" s="313">
        <f t="shared" si="464"/>
        <v>341.58442112955271</v>
      </c>
      <c r="DC390" s="309">
        <f t="shared" si="465"/>
        <v>1</v>
      </c>
      <c r="DD390" s="309">
        <f t="shared" si="466"/>
        <v>260</v>
      </c>
      <c r="DE390" s="308">
        <f t="shared" si="467"/>
        <v>6.5000000000000002E-2</v>
      </c>
      <c r="DF390" s="313">
        <f t="shared" si="482"/>
        <v>389</v>
      </c>
      <c r="DG390" s="313">
        <f t="shared" si="471"/>
        <v>260</v>
      </c>
      <c r="DH390" s="313">
        <f t="shared" si="472"/>
        <v>260</v>
      </c>
      <c r="DI390" s="313">
        <f t="shared" si="473"/>
        <v>0</v>
      </c>
      <c r="DJ390" s="313">
        <f t="shared" si="474"/>
        <v>0</v>
      </c>
      <c r="DK390" s="313">
        <f t="shared" si="483"/>
        <v>96224.517269621676</v>
      </c>
      <c r="DL390" s="313">
        <f t="shared" si="475"/>
        <v>54860</v>
      </c>
      <c r="DM390" s="314">
        <f t="shared" si="476"/>
        <v>18.90570280914724</v>
      </c>
      <c r="DN390" s="312">
        <f t="shared" si="477"/>
        <v>4.8600778429684424E-2</v>
      </c>
      <c r="DO390" s="312">
        <f t="shared" si="484"/>
        <v>1</v>
      </c>
      <c r="DP390" s="315">
        <f t="shared" si="468"/>
        <v>6.5000000000000002E-2</v>
      </c>
      <c r="DQ390" s="316">
        <f t="shared" si="478"/>
        <v>0.25</v>
      </c>
      <c r="DR390" s="316">
        <f t="shared" si="479"/>
        <v>101.07075452294252</v>
      </c>
      <c r="DS390" s="314">
        <f t="shared" si="480"/>
        <v>3.8487889185758388</v>
      </c>
      <c r="DT390" s="316">
        <f t="shared" si="481"/>
        <v>101.07075452294252</v>
      </c>
      <c r="DU390" s="314">
        <f t="shared" si="469"/>
        <v>3.8487889185758388</v>
      </c>
      <c r="DV390" s="316">
        <f t="shared" si="485"/>
        <v>52.75</v>
      </c>
      <c r="DW390" s="310">
        <f t="shared" si="470"/>
        <v>4.0189573459715637</v>
      </c>
      <c r="FB390" s="307"/>
      <c r="FC390" s="307"/>
      <c r="FF390" s="307"/>
      <c r="FG390" s="307"/>
      <c r="FH390" s="306"/>
      <c r="FJ390" s="307"/>
      <c r="FK390" s="307"/>
      <c r="FL390" s="306"/>
      <c r="FM390" s="307"/>
      <c r="FN390" s="306"/>
      <c r="FO390" s="307"/>
      <c r="FP390" s="306"/>
    </row>
    <row r="391" spans="29:172">
      <c r="AC391" s="156"/>
      <c r="AI391" s="190">
        <v>136</v>
      </c>
      <c r="AJ391" s="185">
        <v>366</v>
      </c>
      <c r="AK391" s="183">
        <f t="shared" si="458"/>
        <v>136</v>
      </c>
      <c r="AO391" s="182">
        <v>2.86E-2</v>
      </c>
      <c r="AP391" s="185">
        <v>366</v>
      </c>
      <c r="AQ391" s="184">
        <f t="shared" si="459"/>
        <v>2.86E-2</v>
      </c>
      <c r="AR391" s="190">
        <v>136</v>
      </c>
      <c r="AS391" s="185">
        <v>366</v>
      </c>
      <c r="AT391" s="183">
        <f t="shared" si="460"/>
        <v>136</v>
      </c>
      <c r="AX391" s="182">
        <v>2.86E-2</v>
      </c>
      <c r="AY391" s="185">
        <v>366</v>
      </c>
      <c r="AZ391" s="184">
        <f t="shared" si="461"/>
        <v>2.86E-2</v>
      </c>
      <c r="BA391" s="190">
        <v>136</v>
      </c>
      <c r="BB391" s="185">
        <v>366</v>
      </c>
      <c r="BC391" s="183">
        <f t="shared" si="462"/>
        <v>136</v>
      </c>
      <c r="BG391" s="182">
        <v>2.86E-2</v>
      </c>
      <c r="BH391" s="185">
        <v>366</v>
      </c>
      <c r="BI391" s="184">
        <f t="shared" si="463"/>
        <v>2.86E-2</v>
      </c>
      <c r="CW391" s="364"/>
      <c r="CX391" s="316"/>
      <c r="CY391" s="316"/>
      <c r="DA391" s="309">
        <v>390</v>
      </c>
      <c r="DB391" s="313">
        <f t="shared" si="464"/>
        <v>341.94839136381893</v>
      </c>
      <c r="DC391" s="309">
        <f t="shared" si="465"/>
        <v>1</v>
      </c>
      <c r="DD391" s="309">
        <f t="shared" si="466"/>
        <v>260</v>
      </c>
      <c r="DE391" s="308">
        <f t="shared" si="467"/>
        <v>6.5000000000000002E-2</v>
      </c>
      <c r="DF391" s="313">
        <f t="shared" si="482"/>
        <v>390</v>
      </c>
      <c r="DG391" s="313">
        <f t="shared" si="471"/>
        <v>260</v>
      </c>
      <c r="DH391" s="313">
        <f t="shared" si="472"/>
        <v>260</v>
      </c>
      <c r="DI391" s="313">
        <f t="shared" si="473"/>
        <v>0</v>
      </c>
      <c r="DJ391" s="313">
        <f t="shared" si="474"/>
        <v>0</v>
      </c>
      <c r="DK391" s="313">
        <f t="shared" si="483"/>
        <v>96484.517269621676</v>
      </c>
      <c r="DL391" s="313">
        <f t="shared" si="475"/>
        <v>54600</v>
      </c>
      <c r="DM391" s="314">
        <f t="shared" si="476"/>
        <v>18.90570280914724</v>
      </c>
      <c r="DN391" s="312">
        <f t="shared" si="477"/>
        <v>4.8476161049095488E-2</v>
      </c>
      <c r="DO391" s="312">
        <f t="shared" si="484"/>
        <v>1</v>
      </c>
      <c r="DP391" s="315">
        <f t="shared" si="468"/>
        <v>6.5000000000000002E-2</v>
      </c>
      <c r="DQ391" s="316">
        <f t="shared" si="478"/>
        <v>0.25</v>
      </c>
      <c r="DR391" s="316">
        <f t="shared" si="479"/>
        <v>101.32075452294252</v>
      </c>
      <c r="DS391" s="314">
        <f t="shared" si="480"/>
        <v>3.8491620185446855</v>
      </c>
      <c r="DT391" s="316">
        <f t="shared" si="481"/>
        <v>101.32075452294252</v>
      </c>
      <c r="DU391" s="314">
        <f t="shared" si="469"/>
        <v>3.8491620185446855</v>
      </c>
      <c r="DV391" s="316">
        <f t="shared" si="485"/>
        <v>52.5</v>
      </c>
      <c r="DW391" s="310">
        <f t="shared" si="470"/>
        <v>4.019047619047619</v>
      </c>
      <c r="FB391" s="307"/>
      <c r="FC391" s="307"/>
      <c r="FF391" s="307"/>
      <c r="FG391" s="307"/>
      <c r="FH391" s="306"/>
      <c r="FJ391" s="307"/>
      <c r="FK391" s="307"/>
      <c r="FL391" s="306"/>
      <c r="FM391" s="307"/>
      <c r="FN391" s="306"/>
      <c r="FO391" s="307"/>
      <c r="FP391" s="306"/>
    </row>
    <row r="392" spans="29:172">
      <c r="AC392" s="156"/>
      <c r="AI392" s="190">
        <v>135</v>
      </c>
      <c r="AJ392" s="185">
        <v>367</v>
      </c>
      <c r="AK392" s="183">
        <f t="shared" si="458"/>
        <v>135</v>
      </c>
      <c r="AO392" s="182">
        <v>2.8500000000000001E-2</v>
      </c>
      <c r="AP392" s="185">
        <v>367</v>
      </c>
      <c r="AQ392" s="184">
        <f t="shared" si="459"/>
        <v>2.8500000000000001E-2</v>
      </c>
      <c r="AR392" s="190">
        <v>135</v>
      </c>
      <c r="AS392" s="185">
        <v>367</v>
      </c>
      <c r="AT392" s="183">
        <f t="shared" si="460"/>
        <v>135</v>
      </c>
      <c r="AX392" s="182">
        <v>2.8500000000000001E-2</v>
      </c>
      <c r="AY392" s="185">
        <v>367</v>
      </c>
      <c r="AZ392" s="184">
        <f t="shared" si="461"/>
        <v>2.8500000000000001E-2</v>
      </c>
      <c r="BA392" s="190">
        <v>135</v>
      </c>
      <c r="BB392" s="185">
        <v>367</v>
      </c>
      <c r="BC392" s="183">
        <f t="shared" si="462"/>
        <v>135</v>
      </c>
      <c r="BG392" s="182">
        <v>2.8500000000000001E-2</v>
      </c>
      <c r="BH392" s="185">
        <v>367</v>
      </c>
      <c r="BI392" s="184">
        <f t="shared" si="463"/>
        <v>2.8500000000000001E-2</v>
      </c>
      <c r="CW392" s="364"/>
      <c r="CX392" s="316"/>
      <c r="CY392" s="316"/>
      <c r="DA392" s="309">
        <v>391</v>
      </c>
      <c r="DB392" s="313">
        <f t="shared" si="464"/>
        <v>342.31236159808509</v>
      </c>
      <c r="DC392" s="309">
        <f t="shared" si="465"/>
        <v>1</v>
      </c>
      <c r="DD392" s="309">
        <f t="shared" si="466"/>
        <v>260</v>
      </c>
      <c r="DE392" s="308">
        <f t="shared" si="467"/>
        <v>6.5000000000000002E-2</v>
      </c>
      <c r="DF392" s="313">
        <f t="shared" si="482"/>
        <v>391</v>
      </c>
      <c r="DG392" s="313">
        <f t="shared" si="471"/>
        <v>260</v>
      </c>
      <c r="DH392" s="313">
        <f t="shared" si="472"/>
        <v>260</v>
      </c>
      <c r="DI392" s="313">
        <f t="shared" si="473"/>
        <v>0</v>
      </c>
      <c r="DJ392" s="313">
        <f t="shared" si="474"/>
        <v>0</v>
      </c>
      <c r="DK392" s="313">
        <f t="shared" si="483"/>
        <v>96744.517269621676</v>
      </c>
      <c r="DL392" s="313">
        <f t="shared" si="475"/>
        <v>54340</v>
      </c>
      <c r="DM392" s="314">
        <f t="shared" si="476"/>
        <v>18.90570280914724</v>
      </c>
      <c r="DN392" s="312">
        <f t="shared" si="477"/>
        <v>4.8352181097563271E-2</v>
      </c>
      <c r="DO392" s="312">
        <f t="shared" si="484"/>
        <v>1</v>
      </c>
      <c r="DP392" s="315">
        <f t="shared" si="468"/>
        <v>6.5000000000000002E-2</v>
      </c>
      <c r="DQ392" s="316">
        <f t="shared" si="478"/>
        <v>0.25</v>
      </c>
      <c r="DR392" s="316">
        <f t="shared" si="479"/>
        <v>101.57075452294252</v>
      </c>
      <c r="DS392" s="314">
        <f t="shared" si="480"/>
        <v>3.8495332818629597</v>
      </c>
      <c r="DT392" s="316">
        <f t="shared" si="481"/>
        <v>101.57075452294252</v>
      </c>
      <c r="DU392" s="314">
        <f t="shared" si="469"/>
        <v>3.8495332818629597</v>
      </c>
      <c r="DV392" s="316">
        <f t="shared" si="485"/>
        <v>52.25</v>
      </c>
      <c r="DW392" s="310">
        <f t="shared" si="470"/>
        <v>4.0191387559808609</v>
      </c>
      <c r="FB392" s="307"/>
      <c r="FC392" s="307"/>
      <c r="FF392" s="307"/>
      <c r="FG392" s="307"/>
      <c r="FH392" s="306"/>
      <c r="FJ392" s="307"/>
      <c r="FK392" s="307"/>
      <c r="FL392" s="306"/>
      <c r="FM392" s="307"/>
      <c r="FN392" s="306"/>
      <c r="FO392" s="307"/>
      <c r="FP392" s="306"/>
    </row>
    <row r="393" spans="29:172">
      <c r="AC393" s="156"/>
      <c r="AI393" s="190">
        <v>134</v>
      </c>
      <c r="AJ393" s="185">
        <v>368</v>
      </c>
      <c r="AK393" s="183">
        <f t="shared" si="458"/>
        <v>134</v>
      </c>
      <c r="AO393" s="182">
        <v>2.8400000000000002E-2</v>
      </c>
      <c r="AP393" s="185">
        <v>368</v>
      </c>
      <c r="AQ393" s="184">
        <f t="shared" si="459"/>
        <v>2.8400000000000002E-2</v>
      </c>
      <c r="AR393" s="190">
        <v>134</v>
      </c>
      <c r="AS393" s="185">
        <v>368</v>
      </c>
      <c r="AT393" s="183">
        <f t="shared" si="460"/>
        <v>134</v>
      </c>
      <c r="AX393" s="182">
        <v>2.8400000000000002E-2</v>
      </c>
      <c r="AY393" s="185">
        <v>368</v>
      </c>
      <c r="AZ393" s="184">
        <f t="shared" si="461"/>
        <v>2.8400000000000002E-2</v>
      </c>
      <c r="BA393" s="190">
        <v>134</v>
      </c>
      <c r="BB393" s="185">
        <v>368</v>
      </c>
      <c r="BC393" s="183">
        <f t="shared" si="462"/>
        <v>134</v>
      </c>
      <c r="BG393" s="182">
        <v>2.8400000000000002E-2</v>
      </c>
      <c r="BH393" s="185">
        <v>368</v>
      </c>
      <c r="BI393" s="184">
        <f t="shared" si="463"/>
        <v>2.8400000000000002E-2</v>
      </c>
      <c r="CW393" s="364"/>
      <c r="CX393" s="316"/>
      <c r="CY393" s="316"/>
      <c r="DA393" s="309">
        <v>392</v>
      </c>
      <c r="DB393" s="313">
        <f t="shared" si="464"/>
        <v>342.67633183235131</v>
      </c>
      <c r="DC393" s="309">
        <f t="shared" si="465"/>
        <v>1</v>
      </c>
      <c r="DD393" s="309">
        <f t="shared" si="466"/>
        <v>260</v>
      </c>
      <c r="DE393" s="308">
        <f t="shared" si="467"/>
        <v>6.5000000000000002E-2</v>
      </c>
      <c r="DF393" s="313">
        <f t="shared" si="482"/>
        <v>392</v>
      </c>
      <c r="DG393" s="313">
        <f t="shared" si="471"/>
        <v>260</v>
      </c>
      <c r="DH393" s="313">
        <f t="shared" si="472"/>
        <v>260</v>
      </c>
      <c r="DI393" s="313">
        <f t="shared" si="473"/>
        <v>0</v>
      </c>
      <c r="DJ393" s="313">
        <f t="shared" si="474"/>
        <v>0</v>
      </c>
      <c r="DK393" s="313">
        <f t="shared" si="483"/>
        <v>97004.517269621676</v>
      </c>
      <c r="DL393" s="313">
        <f t="shared" si="475"/>
        <v>54080</v>
      </c>
      <c r="DM393" s="314">
        <f t="shared" si="476"/>
        <v>18.90570280914724</v>
      </c>
      <c r="DN393" s="312">
        <f t="shared" si="477"/>
        <v>4.8228833696804183E-2</v>
      </c>
      <c r="DO393" s="312">
        <f t="shared" si="484"/>
        <v>1</v>
      </c>
      <c r="DP393" s="315">
        <f t="shared" si="468"/>
        <v>6.5000000000000002E-2</v>
      </c>
      <c r="DQ393" s="316">
        <f t="shared" si="478"/>
        <v>0.25</v>
      </c>
      <c r="DR393" s="316">
        <f t="shared" si="479"/>
        <v>101.82075452294252</v>
      </c>
      <c r="DS393" s="314">
        <f t="shared" si="480"/>
        <v>3.8499027220592197</v>
      </c>
      <c r="DT393" s="316">
        <f t="shared" si="481"/>
        <v>101.82075452294252</v>
      </c>
      <c r="DU393" s="314">
        <f t="shared" si="469"/>
        <v>3.8499027220592197</v>
      </c>
      <c r="DV393" s="316">
        <f t="shared" si="485"/>
        <v>52</v>
      </c>
      <c r="DW393" s="310">
        <f t="shared" si="470"/>
        <v>4.0192307692307692</v>
      </c>
      <c r="FB393" s="307"/>
      <c r="FC393" s="307"/>
      <c r="FF393" s="307"/>
      <c r="FG393" s="307"/>
      <c r="FH393" s="306"/>
      <c r="FJ393" s="307"/>
      <c r="FK393" s="307"/>
      <c r="FL393" s="306"/>
      <c r="FM393" s="307"/>
      <c r="FN393" s="306"/>
      <c r="FO393" s="307"/>
      <c r="FP393" s="306"/>
    </row>
    <row r="394" spans="29:172">
      <c r="AC394" s="156"/>
      <c r="AI394" s="190">
        <v>133</v>
      </c>
      <c r="AJ394" s="185">
        <v>369</v>
      </c>
      <c r="AK394" s="183">
        <f t="shared" si="458"/>
        <v>133</v>
      </c>
      <c r="AO394" s="182">
        <v>2.8299999999999999E-2</v>
      </c>
      <c r="AP394" s="185">
        <v>369</v>
      </c>
      <c r="AQ394" s="184">
        <f t="shared" si="459"/>
        <v>2.8299999999999999E-2</v>
      </c>
      <c r="AR394" s="190">
        <v>133</v>
      </c>
      <c r="AS394" s="185">
        <v>369</v>
      </c>
      <c r="AT394" s="183">
        <f t="shared" si="460"/>
        <v>133</v>
      </c>
      <c r="AX394" s="182">
        <v>2.8299999999999999E-2</v>
      </c>
      <c r="AY394" s="185">
        <v>369</v>
      </c>
      <c r="AZ394" s="184">
        <f t="shared" si="461"/>
        <v>2.8299999999999999E-2</v>
      </c>
      <c r="BA394" s="190">
        <v>133</v>
      </c>
      <c r="BB394" s="185">
        <v>369</v>
      </c>
      <c r="BC394" s="183">
        <f t="shared" si="462"/>
        <v>133</v>
      </c>
      <c r="BG394" s="182">
        <v>2.8299999999999999E-2</v>
      </c>
      <c r="BH394" s="185">
        <v>369</v>
      </c>
      <c r="BI394" s="184">
        <f t="shared" si="463"/>
        <v>2.8299999999999999E-2</v>
      </c>
      <c r="CW394" s="364"/>
      <c r="CX394" s="316"/>
      <c r="CY394" s="316"/>
      <c r="DA394" s="309">
        <v>393</v>
      </c>
      <c r="DB394" s="313">
        <f t="shared" si="464"/>
        <v>343.04030206661753</v>
      </c>
      <c r="DC394" s="309">
        <f t="shared" si="465"/>
        <v>1</v>
      </c>
      <c r="DD394" s="309">
        <f t="shared" si="466"/>
        <v>260</v>
      </c>
      <c r="DE394" s="308">
        <f t="shared" si="467"/>
        <v>6.5000000000000002E-2</v>
      </c>
      <c r="DF394" s="313">
        <f t="shared" si="482"/>
        <v>393</v>
      </c>
      <c r="DG394" s="313">
        <f t="shared" si="471"/>
        <v>260</v>
      </c>
      <c r="DH394" s="313">
        <f t="shared" si="472"/>
        <v>260</v>
      </c>
      <c r="DI394" s="313">
        <f t="shared" si="473"/>
        <v>0</v>
      </c>
      <c r="DJ394" s="313">
        <f t="shared" si="474"/>
        <v>0</v>
      </c>
      <c r="DK394" s="313">
        <f t="shared" si="483"/>
        <v>97264.517269621676</v>
      </c>
      <c r="DL394" s="313">
        <f t="shared" si="475"/>
        <v>53820</v>
      </c>
      <c r="DM394" s="314">
        <f t="shared" si="476"/>
        <v>18.90570280914724</v>
      </c>
      <c r="DN394" s="312">
        <f t="shared" si="477"/>
        <v>4.8106114018186361E-2</v>
      </c>
      <c r="DO394" s="312">
        <f t="shared" si="484"/>
        <v>1</v>
      </c>
      <c r="DP394" s="315">
        <f t="shared" si="468"/>
        <v>6.5000000000000002E-2</v>
      </c>
      <c r="DQ394" s="316">
        <f t="shared" si="478"/>
        <v>0.25</v>
      </c>
      <c r="DR394" s="316">
        <f t="shared" si="479"/>
        <v>102.07075452294252</v>
      </c>
      <c r="DS394" s="314">
        <f t="shared" si="480"/>
        <v>3.8502703525294808</v>
      </c>
      <c r="DT394" s="316">
        <f t="shared" si="481"/>
        <v>102.07075452294252</v>
      </c>
      <c r="DU394" s="314">
        <f t="shared" si="469"/>
        <v>3.8502703525294808</v>
      </c>
      <c r="DV394" s="316">
        <f t="shared" si="485"/>
        <v>51.75</v>
      </c>
      <c r="DW394" s="310">
        <f t="shared" si="470"/>
        <v>4.0193236714975846</v>
      </c>
      <c r="FB394" s="307"/>
      <c r="FC394" s="307"/>
      <c r="FF394" s="307"/>
      <c r="FG394" s="307"/>
      <c r="FH394" s="306"/>
      <c r="FJ394" s="307"/>
      <c r="FK394" s="307"/>
      <c r="FL394" s="306"/>
      <c r="FM394" s="307"/>
      <c r="FN394" s="306"/>
      <c r="FO394" s="307"/>
      <c r="FP394" s="306"/>
    </row>
    <row r="395" spans="29:172">
      <c r="AC395" s="156"/>
      <c r="AI395" s="190">
        <v>132</v>
      </c>
      <c r="AJ395" s="185">
        <v>370</v>
      </c>
      <c r="AK395" s="183">
        <f t="shared" si="458"/>
        <v>132</v>
      </c>
      <c r="AO395" s="182">
        <v>2.8199999999999999E-2</v>
      </c>
      <c r="AP395" s="185">
        <v>370</v>
      </c>
      <c r="AQ395" s="184">
        <f t="shared" si="459"/>
        <v>2.8199999999999999E-2</v>
      </c>
      <c r="AR395" s="190">
        <v>132</v>
      </c>
      <c r="AS395" s="185">
        <v>370</v>
      </c>
      <c r="AT395" s="183">
        <f t="shared" si="460"/>
        <v>132</v>
      </c>
      <c r="AX395" s="182">
        <v>2.8199999999999999E-2</v>
      </c>
      <c r="AY395" s="185">
        <v>370</v>
      </c>
      <c r="AZ395" s="184">
        <f t="shared" si="461"/>
        <v>2.8199999999999999E-2</v>
      </c>
      <c r="BA395" s="190">
        <v>132</v>
      </c>
      <c r="BB395" s="185">
        <v>370</v>
      </c>
      <c r="BC395" s="183">
        <f t="shared" si="462"/>
        <v>132</v>
      </c>
      <c r="BG395" s="182">
        <v>2.8199999999999999E-2</v>
      </c>
      <c r="BH395" s="185">
        <v>370</v>
      </c>
      <c r="BI395" s="184">
        <f t="shared" si="463"/>
        <v>2.8199999999999999E-2</v>
      </c>
      <c r="CW395" s="364"/>
      <c r="CX395" s="316"/>
      <c r="CY395" s="316"/>
      <c r="DA395" s="309">
        <v>394</v>
      </c>
      <c r="DB395" s="313">
        <f t="shared" si="464"/>
        <v>343.40427230088369</v>
      </c>
      <c r="DC395" s="309">
        <f t="shared" si="465"/>
        <v>1</v>
      </c>
      <c r="DD395" s="309">
        <f t="shared" si="466"/>
        <v>260</v>
      </c>
      <c r="DE395" s="308">
        <f t="shared" si="467"/>
        <v>6.5000000000000002E-2</v>
      </c>
      <c r="DF395" s="313">
        <f t="shared" si="482"/>
        <v>394</v>
      </c>
      <c r="DG395" s="313">
        <f t="shared" si="471"/>
        <v>260</v>
      </c>
      <c r="DH395" s="313">
        <f t="shared" si="472"/>
        <v>260</v>
      </c>
      <c r="DI395" s="313">
        <f t="shared" si="473"/>
        <v>0</v>
      </c>
      <c r="DJ395" s="313">
        <f t="shared" si="474"/>
        <v>0</v>
      </c>
      <c r="DK395" s="313">
        <f t="shared" si="483"/>
        <v>97524.517269621676</v>
      </c>
      <c r="DL395" s="313">
        <f t="shared" si="475"/>
        <v>53560</v>
      </c>
      <c r="DM395" s="314">
        <f t="shared" si="476"/>
        <v>18.90570280914724</v>
      </c>
      <c r="DN395" s="312">
        <f t="shared" si="477"/>
        <v>4.7984017282099591E-2</v>
      </c>
      <c r="DO395" s="312">
        <f t="shared" si="484"/>
        <v>1</v>
      </c>
      <c r="DP395" s="315">
        <f t="shared" si="468"/>
        <v>6.5000000000000002E-2</v>
      </c>
      <c r="DQ395" s="316">
        <f t="shared" si="478"/>
        <v>0.25</v>
      </c>
      <c r="DR395" s="316">
        <f t="shared" si="479"/>
        <v>102.32075452294252</v>
      </c>
      <c r="DS395" s="314">
        <f t="shared" si="480"/>
        <v>3.8506361865388383</v>
      </c>
      <c r="DT395" s="316">
        <f t="shared" si="481"/>
        <v>102.32075452294252</v>
      </c>
      <c r="DU395" s="314">
        <f t="shared" si="469"/>
        <v>3.8506361865388383</v>
      </c>
      <c r="DV395" s="316">
        <f t="shared" si="485"/>
        <v>51.5</v>
      </c>
      <c r="DW395" s="310">
        <f t="shared" si="470"/>
        <v>4.0194174757281553</v>
      </c>
      <c r="FB395" s="307"/>
      <c r="FC395" s="307"/>
      <c r="FF395" s="307"/>
      <c r="FG395" s="307"/>
      <c r="FH395" s="306"/>
      <c r="FJ395" s="307"/>
      <c r="FK395" s="307"/>
      <c r="FL395" s="306"/>
      <c r="FM395" s="307"/>
      <c r="FN395" s="306"/>
      <c r="FO395" s="307"/>
      <c r="FP395" s="306"/>
    </row>
    <row r="396" spans="29:172">
      <c r="AC396" s="156"/>
      <c r="AI396" s="190">
        <v>131</v>
      </c>
      <c r="AJ396" s="185">
        <v>371</v>
      </c>
      <c r="AK396" s="183">
        <f t="shared" si="458"/>
        <v>131</v>
      </c>
      <c r="AO396" s="182">
        <v>2.81E-2</v>
      </c>
      <c r="AP396" s="185">
        <v>371</v>
      </c>
      <c r="AQ396" s="184">
        <f t="shared" si="459"/>
        <v>2.81E-2</v>
      </c>
      <c r="AR396" s="190">
        <v>131</v>
      </c>
      <c r="AS396" s="185">
        <v>371</v>
      </c>
      <c r="AT396" s="183">
        <f t="shared" si="460"/>
        <v>131</v>
      </c>
      <c r="AX396" s="182">
        <v>2.81E-2</v>
      </c>
      <c r="AY396" s="185">
        <v>371</v>
      </c>
      <c r="AZ396" s="184">
        <f t="shared" si="461"/>
        <v>2.81E-2</v>
      </c>
      <c r="BA396" s="190">
        <v>131</v>
      </c>
      <c r="BB396" s="185">
        <v>371</v>
      </c>
      <c r="BC396" s="183">
        <f t="shared" si="462"/>
        <v>131</v>
      </c>
      <c r="BG396" s="182">
        <v>2.81E-2</v>
      </c>
      <c r="BH396" s="185">
        <v>371</v>
      </c>
      <c r="BI396" s="184">
        <f t="shared" si="463"/>
        <v>2.81E-2</v>
      </c>
      <c r="CW396" s="364"/>
      <c r="CX396" s="316"/>
      <c r="CY396" s="316"/>
      <c r="DA396" s="309">
        <v>395</v>
      </c>
      <c r="DB396" s="313">
        <f t="shared" si="464"/>
        <v>343.76824253514997</v>
      </c>
      <c r="DC396" s="309">
        <f t="shared" si="465"/>
        <v>1</v>
      </c>
      <c r="DD396" s="309">
        <f t="shared" si="466"/>
        <v>260</v>
      </c>
      <c r="DE396" s="308">
        <f t="shared" si="467"/>
        <v>6.5000000000000002E-2</v>
      </c>
      <c r="DF396" s="313">
        <f t="shared" si="482"/>
        <v>395</v>
      </c>
      <c r="DG396" s="313">
        <f t="shared" si="471"/>
        <v>260</v>
      </c>
      <c r="DH396" s="313">
        <f t="shared" si="472"/>
        <v>260</v>
      </c>
      <c r="DI396" s="313">
        <f t="shared" si="473"/>
        <v>0</v>
      </c>
      <c r="DJ396" s="313">
        <f t="shared" si="474"/>
        <v>0</v>
      </c>
      <c r="DK396" s="313">
        <f t="shared" si="483"/>
        <v>97784.517269621676</v>
      </c>
      <c r="DL396" s="313">
        <f t="shared" si="475"/>
        <v>53300</v>
      </c>
      <c r="DM396" s="314">
        <f t="shared" si="476"/>
        <v>18.90570280914724</v>
      </c>
      <c r="DN396" s="312">
        <f t="shared" si="477"/>
        <v>4.7862538757334781E-2</v>
      </c>
      <c r="DO396" s="312">
        <f t="shared" si="484"/>
        <v>1</v>
      </c>
      <c r="DP396" s="315">
        <f t="shared" si="468"/>
        <v>6.5000000000000002E-2</v>
      </c>
      <c r="DQ396" s="316">
        <f t="shared" si="478"/>
        <v>0.25</v>
      </c>
      <c r="DR396" s="316">
        <f t="shared" si="479"/>
        <v>102.57075452294252</v>
      </c>
      <c r="DS396" s="314">
        <f t="shared" si="480"/>
        <v>3.8510002372230607</v>
      </c>
      <c r="DT396" s="316">
        <f t="shared" si="481"/>
        <v>102.57075452294252</v>
      </c>
      <c r="DU396" s="314">
        <f t="shared" si="469"/>
        <v>3.8510002372230607</v>
      </c>
      <c r="DV396" s="316">
        <f t="shared" si="485"/>
        <v>51.25</v>
      </c>
      <c r="DW396" s="310">
        <f t="shared" si="470"/>
        <v>4.0195121951219512</v>
      </c>
      <c r="FB396" s="307"/>
      <c r="FC396" s="307"/>
      <c r="FF396" s="307"/>
      <c r="FG396" s="307"/>
      <c r="FH396" s="306"/>
      <c r="FJ396" s="307"/>
      <c r="FK396" s="307"/>
      <c r="FL396" s="306"/>
      <c r="FM396" s="307"/>
      <c r="FN396" s="306"/>
      <c r="FO396" s="307"/>
      <c r="FP396" s="306"/>
    </row>
    <row r="397" spans="29:172">
      <c r="AC397" s="156"/>
      <c r="AI397" s="190">
        <v>130</v>
      </c>
      <c r="AJ397" s="185">
        <v>372</v>
      </c>
      <c r="AK397" s="183">
        <f t="shared" si="458"/>
        <v>130</v>
      </c>
      <c r="AO397" s="182">
        <v>2.8000000000000001E-2</v>
      </c>
      <c r="AP397" s="185">
        <v>372</v>
      </c>
      <c r="AQ397" s="184">
        <f t="shared" si="459"/>
        <v>2.8000000000000001E-2</v>
      </c>
      <c r="AR397" s="190">
        <v>130</v>
      </c>
      <c r="AS397" s="185">
        <v>372</v>
      </c>
      <c r="AT397" s="183">
        <f t="shared" si="460"/>
        <v>130</v>
      </c>
      <c r="AX397" s="182">
        <v>2.8000000000000001E-2</v>
      </c>
      <c r="AY397" s="185">
        <v>372</v>
      </c>
      <c r="AZ397" s="184">
        <f t="shared" si="461"/>
        <v>2.8000000000000001E-2</v>
      </c>
      <c r="BA397" s="190">
        <v>130</v>
      </c>
      <c r="BB397" s="185">
        <v>372</v>
      </c>
      <c r="BC397" s="183">
        <f t="shared" si="462"/>
        <v>130</v>
      </c>
      <c r="BG397" s="182">
        <v>2.8000000000000001E-2</v>
      </c>
      <c r="BH397" s="185">
        <v>372</v>
      </c>
      <c r="BI397" s="184">
        <f t="shared" si="463"/>
        <v>2.8000000000000001E-2</v>
      </c>
      <c r="CW397" s="364"/>
      <c r="CX397" s="316"/>
      <c r="CY397" s="316"/>
      <c r="DA397" s="309">
        <v>396</v>
      </c>
      <c r="DB397" s="313">
        <f t="shared" si="464"/>
        <v>344.13221276941613</v>
      </c>
      <c r="DC397" s="309">
        <f t="shared" si="465"/>
        <v>1</v>
      </c>
      <c r="DD397" s="309">
        <f t="shared" si="466"/>
        <v>260</v>
      </c>
      <c r="DE397" s="308">
        <f t="shared" si="467"/>
        <v>6.5000000000000002E-2</v>
      </c>
      <c r="DF397" s="313">
        <f t="shared" si="482"/>
        <v>396</v>
      </c>
      <c r="DG397" s="313">
        <f t="shared" si="471"/>
        <v>260</v>
      </c>
      <c r="DH397" s="313">
        <f t="shared" si="472"/>
        <v>260</v>
      </c>
      <c r="DI397" s="313">
        <f t="shared" si="473"/>
        <v>0</v>
      </c>
      <c r="DJ397" s="313">
        <f t="shared" si="474"/>
        <v>0</v>
      </c>
      <c r="DK397" s="313">
        <f t="shared" si="483"/>
        <v>98044.517269621676</v>
      </c>
      <c r="DL397" s="313">
        <f t="shared" si="475"/>
        <v>53040</v>
      </c>
      <c r="DM397" s="314">
        <f t="shared" si="476"/>
        <v>18.90570280914724</v>
      </c>
      <c r="DN397" s="312">
        <f t="shared" si="477"/>
        <v>4.7741673760472829E-2</v>
      </c>
      <c r="DO397" s="312">
        <f t="shared" si="484"/>
        <v>1</v>
      </c>
      <c r="DP397" s="315">
        <f t="shared" si="468"/>
        <v>6.5000000000000002E-2</v>
      </c>
      <c r="DQ397" s="316">
        <f t="shared" si="478"/>
        <v>0.25</v>
      </c>
      <c r="DR397" s="316">
        <f t="shared" si="479"/>
        <v>102.82075452294252</v>
      </c>
      <c r="DS397" s="314">
        <f t="shared" si="480"/>
        <v>3.8513625175901627</v>
      </c>
      <c r="DT397" s="316">
        <f t="shared" si="481"/>
        <v>102.82075452294252</v>
      </c>
      <c r="DU397" s="314">
        <f t="shared" si="469"/>
        <v>3.8513625175901627</v>
      </c>
      <c r="DV397" s="316">
        <f t="shared" si="485"/>
        <v>51</v>
      </c>
      <c r="DW397" s="310">
        <f t="shared" si="470"/>
        <v>4.0196078431372548</v>
      </c>
      <c r="FB397" s="307"/>
      <c r="FC397" s="307"/>
      <c r="FF397" s="307"/>
      <c r="FG397" s="307"/>
      <c r="FH397" s="306"/>
      <c r="FJ397" s="307"/>
      <c r="FK397" s="307"/>
      <c r="FL397" s="306"/>
      <c r="FM397" s="307"/>
      <c r="FN397" s="306"/>
      <c r="FO397" s="307"/>
      <c r="FP397" s="306"/>
    </row>
    <row r="398" spans="29:172">
      <c r="AC398" s="156"/>
      <c r="AI398" s="190">
        <v>129</v>
      </c>
      <c r="AJ398" s="185">
        <v>373</v>
      </c>
      <c r="AK398" s="183">
        <f t="shared" si="458"/>
        <v>129</v>
      </c>
      <c r="AO398" s="182">
        <v>2.7900000000000001E-2</v>
      </c>
      <c r="AP398" s="185">
        <v>373</v>
      </c>
      <c r="AQ398" s="184">
        <f t="shared" si="459"/>
        <v>2.7900000000000001E-2</v>
      </c>
      <c r="AR398" s="190">
        <v>129</v>
      </c>
      <c r="AS398" s="185">
        <v>373</v>
      </c>
      <c r="AT398" s="183">
        <f t="shared" si="460"/>
        <v>129</v>
      </c>
      <c r="AX398" s="182">
        <v>2.7900000000000001E-2</v>
      </c>
      <c r="AY398" s="185">
        <v>373</v>
      </c>
      <c r="AZ398" s="184">
        <f t="shared" si="461"/>
        <v>2.7900000000000001E-2</v>
      </c>
      <c r="BA398" s="190">
        <v>129</v>
      </c>
      <c r="BB398" s="185">
        <v>373</v>
      </c>
      <c r="BC398" s="183">
        <f t="shared" si="462"/>
        <v>129</v>
      </c>
      <c r="BG398" s="182">
        <v>2.7900000000000001E-2</v>
      </c>
      <c r="BH398" s="185">
        <v>373</v>
      </c>
      <c r="BI398" s="184">
        <f t="shared" si="463"/>
        <v>2.7900000000000001E-2</v>
      </c>
      <c r="CW398" s="364"/>
      <c r="CX398" s="316"/>
      <c r="CY398" s="316"/>
      <c r="DA398" s="309">
        <v>397</v>
      </c>
      <c r="DB398" s="313">
        <f t="shared" si="464"/>
        <v>344.49618300368229</v>
      </c>
      <c r="DC398" s="309">
        <f t="shared" si="465"/>
        <v>1</v>
      </c>
      <c r="DD398" s="309">
        <f t="shared" si="466"/>
        <v>260</v>
      </c>
      <c r="DE398" s="308">
        <f t="shared" si="467"/>
        <v>6.5000000000000002E-2</v>
      </c>
      <c r="DF398" s="313">
        <f t="shared" si="482"/>
        <v>397</v>
      </c>
      <c r="DG398" s="313">
        <f t="shared" si="471"/>
        <v>260</v>
      </c>
      <c r="DH398" s="313">
        <f t="shared" si="472"/>
        <v>260</v>
      </c>
      <c r="DI398" s="313">
        <f t="shared" si="473"/>
        <v>0</v>
      </c>
      <c r="DJ398" s="313">
        <f t="shared" si="474"/>
        <v>0</v>
      </c>
      <c r="DK398" s="313">
        <f t="shared" si="483"/>
        <v>98304.517269621676</v>
      </c>
      <c r="DL398" s="313">
        <f t="shared" si="475"/>
        <v>52780</v>
      </c>
      <c r="DM398" s="314">
        <f t="shared" si="476"/>
        <v>18.90570280914724</v>
      </c>
      <c r="DN398" s="312">
        <f t="shared" si="477"/>
        <v>4.7621417655282716E-2</v>
      </c>
      <c r="DO398" s="312">
        <f t="shared" si="484"/>
        <v>1</v>
      </c>
      <c r="DP398" s="315">
        <f t="shared" si="468"/>
        <v>6.5000000000000002E-2</v>
      </c>
      <c r="DQ398" s="316">
        <f t="shared" si="478"/>
        <v>0.25</v>
      </c>
      <c r="DR398" s="316">
        <f t="shared" si="479"/>
        <v>103.07075452294252</v>
      </c>
      <c r="DS398" s="314">
        <f t="shared" si="480"/>
        <v>3.8517230405219527</v>
      </c>
      <c r="DT398" s="316">
        <f t="shared" si="481"/>
        <v>103.07075452294252</v>
      </c>
      <c r="DU398" s="314">
        <f t="shared" si="469"/>
        <v>3.8517230405219527</v>
      </c>
      <c r="DV398" s="316">
        <f t="shared" si="485"/>
        <v>50.75</v>
      </c>
      <c r="DW398" s="310">
        <f t="shared" si="470"/>
        <v>4.0197044334975374</v>
      </c>
      <c r="FB398" s="307"/>
      <c r="FC398" s="307"/>
      <c r="FF398" s="307"/>
      <c r="FG398" s="307"/>
      <c r="FH398" s="306"/>
      <c r="FJ398" s="307"/>
      <c r="FK398" s="307"/>
      <c r="FL398" s="306"/>
      <c r="FM398" s="307"/>
      <c r="FN398" s="306"/>
      <c r="FO398" s="307"/>
      <c r="FP398" s="306"/>
    </row>
    <row r="399" spans="29:172">
      <c r="AC399" s="156"/>
      <c r="AI399" s="190">
        <v>128</v>
      </c>
      <c r="AJ399" s="185">
        <v>374</v>
      </c>
      <c r="AK399" s="183">
        <f t="shared" si="458"/>
        <v>128</v>
      </c>
      <c r="AO399" s="182">
        <v>2.7799999999999998E-2</v>
      </c>
      <c r="AP399" s="185">
        <v>374</v>
      </c>
      <c r="AQ399" s="184">
        <f t="shared" si="459"/>
        <v>2.7799999999999998E-2</v>
      </c>
      <c r="AR399" s="190">
        <v>128</v>
      </c>
      <c r="AS399" s="185">
        <v>374</v>
      </c>
      <c r="AT399" s="183">
        <f t="shared" si="460"/>
        <v>128</v>
      </c>
      <c r="AX399" s="182">
        <v>2.7799999999999998E-2</v>
      </c>
      <c r="AY399" s="185">
        <v>374</v>
      </c>
      <c r="AZ399" s="184">
        <f t="shared" si="461"/>
        <v>2.7799999999999998E-2</v>
      </c>
      <c r="BA399" s="190">
        <v>128</v>
      </c>
      <c r="BB399" s="185">
        <v>374</v>
      </c>
      <c r="BC399" s="183">
        <f t="shared" si="462"/>
        <v>128</v>
      </c>
      <c r="BG399" s="182">
        <v>2.7799999999999998E-2</v>
      </c>
      <c r="BH399" s="185">
        <v>374</v>
      </c>
      <c r="BI399" s="184">
        <f t="shared" si="463"/>
        <v>2.7799999999999998E-2</v>
      </c>
      <c r="CW399" s="364"/>
      <c r="CX399" s="316"/>
      <c r="CY399" s="316"/>
      <c r="DA399" s="309">
        <v>398</v>
      </c>
      <c r="DB399" s="313">
        <f t="shared" si="464"/>
        <v>344.86015323794857</v>
      </c>
      <c r="DC399" s="309">
        <f t="shared" si="465"/>
        <v>1</v>
      </c>
      <c r="DD399" s="309">
        <f t="shared" si="466"/>
        <v>260</v>
      </c>
      <c r="DE399" s="308">
        <f t="shared" si="467"/>
        <v>6.5000000000000002E-2</v>
      </c>
      <c r="DF399" s="313">
        <f t="shared" si="482"/>
        <v>398</v>
      </c>
      <c r="DG399" s="313">
        <f t="shared" si="471"/>
        <v>260</v>
      </c>
      <c r="DH399" s="313">
        <f t="shared" si="472"/>
        <v>260</v>
      </c>
      <c r="DI399" s="313">
        <f t="shared" si="473"/>
        <v>0</v>
      </c>
      <c r="DJ399" s="313">
        <f t="shared" si="474"/>
        <v>0</v>
      </c>
      <c r="DK399" s="313">
        <f t="shared" si="483"/>
        <v>98564.517269621676</v>
      </c>
      <c r="DL399" s="313">
        <f t="shared" si="475"/>
        <v>52520</v>
      </c>
      <c r="DM399" s="314">
        <f t="shared" si="476"/>
        <v>18.90570280914724</v>
      </c>
      <c r="DN399" s="312">
        <f t="shared" si="477"/>
        <v>4.7501765852128744E-2</v>
      </c>
      <c r="DO399" s="312">
        <f t="shared" si="484"/>
        <v>1</v>
      </c>
      <c r="DP399" s="315">
        <f t="shared" si="468"/>
        <v>6.5000000000000002E-2</v>
      </c>
      <c r="DQ399" s="316">
        <f t="shared" si="478"/>
        <v>0.25</v>
      </c>
      <c r="DR399" s="316">
        <f t="shared" si="479"/>
        <v>103.32075452294252</v>
      </c>
      <c r="DS399" s="314">
        <f t="shared" si="480"/>
        <v>3.8520818187755639</v>
      </c>
      <c r="DT399" s="316">
        <f t="shared" si="481"/>
        <v>103.32075452294252</v>
      </c>
      <c r="DU399" s="314">
        <f t="shared" si="469"/>
        <v>3.8520818187755639</v>
      </c>
      <c r="DV399" s="316">
        <f t="shared" si="485"/>
        <v>50.5</v>
      </c>
      <c r="DW399" s="310">
        <f t="shared" si="470"/>
        <v>4.0198019801980198</v>
      </c>
      <c r="FB399" s="307"/>
      <c r="FC399" s="307"/>
      <c r="FF399" s="307"/>
      <c r="FG399" s="307"/>
      <c r="FH399" s="306"/>
      <c r="FJ399" s="307"/>
      <c r="FK399" s="307"/>
      <c r="FL399" s="306"/>
      <c r="FM399" s="307"/>
      <c r="FN399" s="306"/>
      <c r="FO399" s="307"/>
      <c r="FP399" s="306"/>
    </row>
    <row r="400" spans="29:172">
      <c r="AC400" s="156"/>
      <c r="AI400" s="190">
        <v>127</v>
      </c>
      <c r="AJ400" s="185">
        <v>375</v>
      </c>
      <c r="AK400" s="183">
        <f t="shared" si="458"/>
        <v>127</v>
      </c>
      <c r="AO400" s="182">
        <v>2.7699999999999999E-2</v>
      </c>
      <c r="AP400" s="185">
        <v>375</v>
      </c>
      <c r="AQ400" s="184">
        <f t="shared" si="459"/>
        <v>2.7699999999999999E-2</v>
      </c>
      <c r="AR400" s="190">
        <v>127</v>
      </c>
      <c r="AS400" s="185">
        <v>375</v>
      </c>
      <c r="AT400" s="183">
        <f t="shared" si="460"/>
        <v>127</v>
      </c>
      <c r="AX400" s="182">
        <v>2.7699999999999999E-2</v>
      </c>
      <c r="AY400" s="185">
        <v>375</v>
      </c>
      <c r="AZ400" s="184">
        <f t="shared" si="461"/>
        <v>2.7699999999999999E-2</v>
      </c>
      <c r="BA400" s="190">
        <v>127</v>
      </c>
      <c r="BB400" s="185">
        <v>375</v>
      </c>
      <c r="BC400" s="183">
        <f t="shared" si="462"/>
        <v>127</v>
      </c>
      <c r="BG400" s="182">
        <v>2.7699999999999999E-2</v>
      </c>
      <c r="BH400" s="185">
        <v>375</v>
      </c>
      <c r="BI400" s="184">
        <f t="shared" si="463"/>
        <v>2.7699999999999999E-2</v>
      </c>
      <c r="CW400" s="364"/>
      <c r="CX400" s="316"/>
      <c r="CY400" s="316"/>
      <c r="DA400" s="309">
        <v>399</v>
      </c>
      <c r="DB400" s="313">
        <f t="shared" si="464"/>
        <v>345.22412347221473</v>
      </c>
      <c r="DC400" s="309">
        <f t="shared" si="465"/>
        <v>1</v>
      </c>
      <c r="DD400" s="309">
        <f t="shared" si="466"/>
        <v>260</v>
      </c>
      <c r="DE400" s="308">
        <f t="shared" si="467"/>
        <v>6.5000000000000002E-2</v>
      </c>
      <c r="DF400" s="313">
        <f t="shared" si="482"/>
        <v>399</v>
      </c>
      <c r="DG400" s="313">
        <f t="shared" si="471"/>
        <v>260</v>
      </c>
      <c r="DH400" s="313">
        <f t="shared" si="472"/>
        <v>260</v>
      </c>
      <c r="DI400" s="313">
        <f t="shared" si="473"/>
        <v>0</v>
      </c>
      <c r="DJ400" s="313">
        <f t="shared" si="474"/>
        <v>0</v>
      </c>
      <c r="DK400" s="313">
        <f t="shared" si="483"/>
        <v>98824.517269621676</v>
      </c>
      <c r="DL400" s="313">
        <f t="shared" si="475"/>
        <v>52260</v>
      </c>
      <c r="DM400" s="314">
        <f t="shared" si="476"/>
        <v>18.90570280914724</v>
      </c>
      <c r="DN400" s="312">
        <f t="shared" si="477"/>
        <v>4.7382713807386567E-2</v>
      </c>
      <c r="DO400" s="312">
        <f t="shared" si="484"/>
        <v>1</v>
      </c>
      <c r="DP400" s="315">
        <f t="shared" si="468"/>
        <v>6.5000000000000002E-2</v>
      </c>
      <c r="DQ400" s="316">
        <f t="shared" si="478"/>
        <v>0.25</v>
      </c>
      <c r="DR400" s="316">
        <f t="shared" si="479"/>
        <v>103.57075452294252</v>
      </c>
      <c r="DS400" s="314">
        <f t="shared" si="480"/>
        <v>3.8524388649849541</v>
      </c>
      <c r="DT400" s="316">
        <f t="shared" si="481"/>
        <v>103.57075452294252</v>
      </c>
      <c r="DU400" s="314">
        <f t="shared" si="469"/>
        <v>3.8524388649849541</v>
      </c>
      <c r="DV400" s="316">
        <f t="shared" si="485"/>
        <v>50.25</v>
      </c>
      <c r="DW400" s="310">
        <f t="shared" si="470"/>
        <v>4.0199004975124382</v>
      </c>
      <c r="FB400" s="307"/>
      <c r="FC400" s="307"/>
      <c r="FF400" s="307"/>
      <c r="FG400" s="307"/>
      <c r="FH400" s="306"/>
      <c r="FJ400" s="307"/>
      <c r="FK400" s="307"/>
      <c r="FL400" s="306"/>
      <c r="FM400" s="307"/>
      <c r="FN400" s="306"/>
      <c r="FO400" s="307"/>
      <c r="FP400" s="306"/>
    </row>
    <row r="401" spans="29:172">
      <c r="AC401" s="156"/>
      <c r="AI401" s="190">
        <v>126</v>
      </c>
      <c r="AJ401" s="185">
        <v>376</v>
      </c>
      <c r="AK401" s="183">
        <f t="shared" si="458"/>
        <v>126</v>
      </c>
      <c r="AO401" s="182">
        <v>2.76E-2</v>
      </c>
      <c r="AP401" s="185">
        <v>376</v>
      </c>
      <c r="AQ401" s="184">
        <f t="shared" si="459"/>
        <v>2.76E-2</v>
      </c>
      <c r="AR401" s="190">
        <v>126</v>
      </c>
      <c r="AS401" s="185">
        <v>376</v>
      </c>
      <c r="AT401" s="183">
        <f t="shared" si="460"/>
        <v>126</v>
      </c>
      <c r="AX401" s="182">
        <v>2.76E-2</v>
      </c>
      <c r="AY401" s="185">
        <v>376</v>
      </c>
      <c r="AZ401" s="184">
        <f t="shared" si="461"/>
        <v>2.76E-2</v>
      </c>
      <c r="BA401" s="190">
        <v>126</v>
      </c>
      <c r="BB401" s="185">
        <v>376</v>
      </c>
      <c r="BC401" s="183">
        <f t="shared" si="462"/>
        <v>126</v>
      </c>
      <c r="BG401" s="182">
        <v>2.76E-2</v>
      </c>
      <c r="BH401" s="185">
        <v>376</v>
      </c>
      <c r="BI401" s="184">
        <f t="shared" si="463"/>
        <v>2.76E-2</v>
      </c>
      <c r="CW401" s="364"/>
      <c r="CX401" s="316"/>
      <c r="CY401" s="316"/>
      <c r="DA401" s="309">
        <v>400</v>
      </c>
      <c r="DB401" s="313">
        <f t="shared" si="464"/>
        <v>345.58809370648095</v>
      </c>
      <c r="DC401" s="309">
        <f t="shared" si="465"/>
        <v>1</v>
      </c>
      <c r="DD401" s="309">
        <f t="shared" si="466"/>
        <v>260</v>
      </c>
      <c r="DE401" s="308">
        <f t="shared" si="467"/>
        <v>6.5000000000000002E-2</v>
      </c>
      <c r="DF401" s="313">
        <f t="shared" si="482"/>
        <v>400</v>
      </c>
      <c r="DG401" s="313">
        <f t="shared" si="471"/>
        <v>260</v>
      </c>
      <c r="DH401" s="313">
        <f t="shared" si="472"/>
        <v>260</v>
      </c>
      <c r="DI401" s="313">
        <f t="shared" si="473"/>
        <v>0</v>
      </c>
      <c r="DJ401" s="313">
        <f t="shared" si="474"/>
        <v>0</v>
      </c>
      <c r="DK401" s="313">
        <f t="shared" si="483"/>
        <v>99084.517269621676</v>
      </c>
      <c r="DL401" s="313">
        <f t="shared" si="475"/>
        <v>52000</v>
      </c>
      <c r="DM401" s="314">
        <f t="shared" si="476"/>
        <v>18.90570280914724</v>
      </c>
      <c r="DN401" s="312">
        <f t="shared" si="477"/>
        <v>4.72642570228681E-2</v>
      </c>
      <c r="DO401" s="312">
        <f t="shared" si="484"/>
        <v>1</v>
      </c>
      <c r="DP401" s="315">
        <f t="shared" si="468"/>
        <v>6.5000000000000002E-2</v>
      </c>
      <c r="DQ401" s="316">
        <f t="shared" si="478"/>
        <v>0.25</v>
      </c>
      <c r="DR401" s="316">
        <f t="shared" si="479"/>
        <v>103.82075452294252</v>
      </c>
      <c r="DS401" s="314">
        <f t="shared" si="480"/>
        <v>3.8527941916623925</v>
      </c>
      <c r="DT401" s="316">
        <f t="shared" si="481"/>
        <v>103.82075452294252</v>
      </c>
      <c r="DU401" s="314">
        <f t="shared" si="469"/>
        <v>3.8527941916623925</v>
      </c>
      <c r="DV401" s="316">
        <f t="shared" si="485"/>
        <v>50</v>
      </c>
      <c r="DW401" s="310">
        <f t="shared" si="470"/>
        <v>4.0199999999999996</v>
      </c>
      <c r="FB401" s="307"/>
      <c r="FC401" s="307"/>
      <c r="FF401" s="307"/>
      <c r="FG401" s="307"/>
      <c r="FH401" s="306"/>
      <c r="FJ401" s="307"/>
      <c r="FK401" s="307"/>
      <c r="FL401" s="306"/>
      <c r="FM401" s="307"/>
      <c r="FN401" s="306"/>
      <c r="FO401" s="307"/>
      <c r="FP401" s="306"/>
    </row>
    <row r="402" spans="29:172">
      <c r="AC402" s="156"/>
      <c r="AI402" s="190">
        <v>125</v>
      </c>
      <c r="AJ402" s="185">
        <v>377</v>
      </c>
      <c r="AK402" s="183">
        <f t="shared" si="458"/>
        <v>125</v>
      </c>
      <c r="AO402" s="182">
        <v>2.75E-2</v>
      </c>
      <c r="AP402" s="185">
        <v>377</v>
      </c>
      <c r="AQ402" s="184">
        <f t="shared" si="459"/>
        <v>2.75E-2</v>
      </c>
      <c r="AR402" s="190">
        <v>125</v>
      </c>
      <c r="AS402" s="185">
        <v>377</v>
      </c>
      <c r="AT402" s="183">
        <f t="shared" si="460"/>
        <v>125</v>
      </c>
      <c r="AX402" s="182">
        <v>2.75E-2</v>
      </c>
      <c r="AY402" s="185">
        <v>377</v>
      </c>
      <c r="AZ402" s="184">
        <f t="shared" si="461"/>
        <v>2.75E-2</v>
      </c>
      <c r="BA402" s="190">
        <v>125</v>
      </c>
      <c r="BB402" s="185">
        <v>377</v>
      </c>
      <c r="BC402" s="183">
        <f t="shared" si="462"/>
        <v>125</v>
      </c>
      <c r="BG402" s="182">
        <v>2.75E-2</v>
      </c>
      <c r="BH402" s="185">
        <v>377</v>
      </c>
      <c r="BI402" s="184">
        <f t="shared" si="463"/>
        <v>2.75E-2</v>
      </c>
      <c r="CW402" s="364"/>
      <c r="CX402" s="316"/>
      <c r="CY402" s="316"/>
      <c r="DA402" s="309">
        <v>401</v>
      </c>
      <c r="DB402" s="313">
        <f t="shared" si="464"/>
        <v>345.95206394074717</v>
      </c>
      <c r="DC402" s="309">
        <f t="shared" si="465"/>
        <v>1</v>
      </c>
      <c r="DD402" s="309">
        <f t="shared" si="466"/>
        <v>260</v>
      </c>
      <c r="DE402" s="308">
        <f t="shared" si="467"/>
        <v>6.5000000000000002E-2</v>
      </c>
      <c r="DF402" s="313">
        <f t="shared" si="482"/>
        <v>401</v>
      </c>
      <c r="DG402" s="313">
        <f t="shared" si="471"/>
        <v>260</v>
      </c>
      <c r="DH402" s="313">
        <f t="shared" si="472"/>
        <v>260</v>
      </c>
      <c r="DI402" s="313">
        <f t="shared" si="473"/>
        <v>0</v>
      </c>
      <c r="DJ402" s="313">
        <f t="shared" si="474"/>
        <v>0</v>
      </c>
      <c r="DK402" s="313">
        <f t="shared" si="483"/>
        <v>99344.517269621676</v>
      </c>
      <c r="DL402" s="313">
        <f t="shared" si="475"/>
        <v>51740</v>
      </c>
      <c r="DM402" s="314">
        <f t="shared" si="476"/>
        <v>18.90570280914724</v>
      </c>
      <c r="DN402" s="312">
        <f t="shared" si="477"/>
        <v>4.7146391045254962E-2</v>
      </c>
      <c r="DO402" s="312">
        <f t="shared" si="484"/>
        <v>1</v>
      </c>
      <c r="DP402" s="315">
        <f t="shared" si="468"/>
        <v>6.5000000000000002E-2</v>
      </c>
      <c r="DQ402" s="316">
        <f t="shared" si="478"/>
        <v>0.25</v>
      </c>
      <c r="DR402" s="316">
        <f t="shared" si="479"/>
        <v>104.07075452294252</v>
      </c>
      <c r="DS402" s="314">
        <f t="shared" si="480"/>
        <v>3.8531478111999187</v>
      </c>
      <c r="DT402" s="316">
        <f t="shared" si="481"/>
        <v>104.07075452294252</v>
      </c>
      <c r="DU402" s="314">
        <f t="shared" si="469"/>
        <v>3.8531478111999187</v>
      </c>
      <c r="DV402" s="316">
        <f t="shared" si="485"/>
        <v>49.75</v>
      </c>
      <c r="DW402" s="310">
        <f t="shared" si="470"/>
        <v>4.0201005025125625</v>
      </c>
      <c r="FB402" s="307"/>
      <c r="FC402" s="307"/>
      <c r="FF402" s="307"/>
      <c r="FG402" s="307"/>
      <c r="FH402" s="306"/>
      <c r="FJ402" s="307"/>
      <c r="FK402" s="307"/>
      <c r="FL402" s="306"/>
      <c r="FM402" s="307"/>
      <c r="FN402" s="306"/>
      <c r="FO402" s="307"/>
      <c r="FP402" s="306"/>
    </row>
    <row r="403" spans="29:172">
      <c r="AC403" s="156"/>
      <c r="AI403" s="190">
        <v>124</v>
      </c>
      <c r="AJ403" s="185">
        <v>378</v>
      </c>
      <c r="AK403" s="183">
        <f t="shared" si="458"/>
        <v>124</v>
      </c>
      <c r="AO403" s="182">
        <v>2.7400000000000001E-2</v>
      </c>
      <c r="AP403" s="185">
        <v>378</v>
      </c>
      <c r="AQ403" s="184">
        <f t="shared" si="459"/>
        <v>2.7400000000000001E-2</v>
      </c>
      <c r="AR403" s="190">
        <v>124</v>
      </c>
      <c r="AS403" s="185">
        <v>378</v>
      </c>
      <c r="AT403" s="183">
        <f t="shared" si="460"/>
        <v>124</v>
      </c>
      <c r="AX403" s="182">
        <v>2.7400000000000001E-2</v>
      </c>
      <c r="AY403" s="185">
        <v>378</v>
      </c>
      <c r="AZ403" s="184">
        <f t="shared" si="461"/>
        <v>2.7400000000000001E-2</v>
      </c>
      <c r="BA403" s="190">
        <v>124</v>
      </c>
      <c r="BB403" s="185">
        <v>378</v>
      </c>
      <c r="BC403" s="183">
        <f t="shared" si="462"/>
        <v>124</v>
      </c>
      <c r="BG403" s="182">
        <v>2.7400000000000001E-2</v>
      </c>
      <c r="BH403" s="185">
        <v>378</v>
      </c>
      <c r="BI403" s="184">
        <f t="shared" si="463"/>
        <v>2.7400000000000001E-2</v>
      </c>
      <c r="CW403" s="364"/>
      <c r="CX403" s="316"/>
      <c r="CY403" s="316"/>
      <c r="DA403" s="309">
        <v>402</v>
      </c>
      <c r="DB403" s="313">
        <f t="shared" si="464"/>
        <v>346.31603417501333</v>
      </c>
      <c r="DC403" s="309">
        <f t="shared" si="465"/>
        <v>1</v>
      </c>
      <c r="DD403" s="309">
        <f t="shared" si="466"/>
        <v>260</v>
      </c>
      <c r="DE403" s="308">
        <f t="shared" si="467"/>
        <v>6.5000000000000002E-2</v>
      </c>
      <c r="DF403" s="313">
        <f t="shared" si="482"/>
        <v>402</v>
      </c>
      <c r="DG403" s="313">
        <f t="shared" si="471"/>
        <v>260</v>
      </c>
      <c r="DH403" s="313">
        <f t="shared" si="472"/>
        <v>260</v>
      </c>
      <c r="DI403" s="313">
        <f t="shared" si="473"/>
        <v>0</v>
      </c>
      <c r="DJ403" s="313">
        <f t="shared" si="474"/>
        <v>0</v>
      </c>
      <c r="DK403" s="313">
        <f t="shared" si="483"/>
        <v>99604.517269621676</v>
      </c>
      <c r="DL403" s="313">
        <f t="shared" si="475"/>
        <v>51480</v>
      </c>
      <c r="DM403" s="314">
        <f t="shared" si="476"/>
        <v>18.90570280914724</v>
      </c>
      <c r="DN403" s="312">
        <f t="shared" si="477"/>
        <v>4.7029111465540396E-2</v>
      </c>
      <c r="DO403" s="312">
        <f t="shared" si="484"/>
        <v>1</v>
      </c>
      <c r="DP403" s="315">
        <f t="shared" si="468"/>
        <v>6.5000000000000002E-2</v>
      </c>
      <c r="DQ403" s="316">
        <f t="shared" si="478"/>
        <v>0.25</v>
      </c>
      <c r="DR403" s="316">
        <f t="shared" si="479"/>
        <v>104.32075452294252</v>
      </c>
      <c r="DS403" s="314">
        <f t="shared" si="480"/>
        <v>3.853499735870785</v>
      </c>
      <c r="DT403" s="316">
        <f t="shared" si="481"/>
        <v>104.32075452294252</v>
      </c>
      <c r="DU403" s="314">
        <f t="shared" si="469"/>
        <v>3.853499735870785</v>
      </c>
      <c r="DV403" s="316">
        <f t="shared" si="485"/>
        <v>49.5</v>
      </c>
      <c r="DW403" s="310">
        <f t="shared" si="470"/>
        <v>4.0202020202020199</v>
      </c>
      <c r="FB403" s="307"/>
      <c r="FC403" s="307"/>
      <c r="FF403" s="307"/>
      <c r="FG403" s="307"/>
      <c r="FH403" s="306"/>
      <c r="FJ403" s="307"/>
      <c r="FK403" s="307"/>
      <c r="FL403" s="306"/>
      <c r="FM403" s="307"/>
      <c r="FN403" s="306"/>
      <c r="FO403" s="307"/>
      <c r="FP403" s="306"/>
    </row>
    <row r="404" spans="29:172">
      <c r="AC404" s="156"/>
      <c r="AI404" s="190">
        <v>123</v>
      </c>
      <c r="AJ404" s="185">
        <v>379</v>
      </c>
      <c r="AK404" s="183">
        <f t="shared" si="458"/>
        <v>123</v>
      </c>
      <c r="AO404" s="182">
        <v>2.7300000000000001E-2</v>
      </c>
      <c r="AP404" s="185">
        <v>379</v>
      </c>
      <c r="AQ404" s="184">
        <f t="shared" si="459"/>
        <v>2.7300000000000001E-2</v>
      </c>
      <c r="AR404" s="190">
        <v>123</v>
      </c>
      <c r="AS404" s="185">
        <v>379</v>
      </c>
      <c r="AT404" s="183">
        <f t="shared" si="460"/>
        <v>123</v>
      </c>
      <c r="AX404" s="182">
        <v>2.7300000000000001E-2</v>
      </c>
      <c r="AY404" s="185">
        <v>379</v>
      </c>
      <c r="AZ404" s="184">
        <f t="shared" si="461"/>
        <v>2.7300000000000001E-2</v>
      </c>
      <c r="BA404" s="190">
        <v>123</v>
      </c>
      <c r="BB404" s="185">
        <v>379</v>
      </c>
      <c r="BC404" s="183">
        <f t="shared" si="462"/>
        <v>123</v>
      </c>
      <c r="BG404" s="182">
        <v>2.7300000000000001E-2</v>
      </c>
      <c r="BH404" s="185">
        <v>379</v>
      </c>
      <c r="BI404" s="184">
        <f t="shared" si="463"/>
        <v>2.7300000000000001E-2</v>
      </c>
      <c r="CW404" s="364"/>
      <c r="CX404" s="316"/>
      <c r="CY404" s="316"/>
      <c r="DA404" s="309">
        <v>403</v>
      </c>
      <c r="DB404" s="313">
        <f t="shared" si="464"/>
        <v>346.68000440927955</v>
      </c>
      <c r="DC404" s="309">
        <f t="shared" si="465"/>
        <v>1</v>
      </c>
      <c r="DD404" s="309">
        <f t="shared" si="466"/>
        <v>260</v>
      </c>
      <c r="DE404" s="308">
        <f t="shared" si="467"/>
        <v>6.5000000000000002E-2</v>
      </c>
      <c r="DF404" s="313">
        <f t="shared" si="482"/>
        <v>403</v>
      </c>
      <c r="DG404" s="313">
        <f t="shared" si="471"/>
        <v>260</v>
      </c>
      <c r="DH404" s="313">
        <f t="shared" si="472"/>
        <v>260</v>
      </c>
      <c r="DI404" s="313">
        <f t="shared" si="473"/>
        <v>0</v>
      </c>
      <c r="DJ404" s="313">
        <f t="shared" si="474"/>
        <v>0</v>
      </c>
      <c r="DK404" s="313">
        <f t="shared" si="483"/>
        <v>99864.517269621676</v>
      </c>
      <c r="DL404" s="313">
        <f t="shared" si="475"/>
        <v>51220</v>
      </c>
      <c r="DM404" s="314">
        <f t="shared" si="476"/>
        <v>18.90570280914724</v>
      </c>
      <c r="DN404" s="312">
        <f t="shared" si="477"/>
        <v>4.6912413918479501E-2</v>
      </c>
      <c r="DO404" s="312">
        <f t="shared" si="484"/>
        <v>1</v>
      </c>
      <c r="DP404" s="315">
        <f t="shared" si="468"/>
        <v>6.5000000000000002E-2</v>
      </c>
      <c r="DQ404" s="316">
        <f t="shared" si="478"/>
        <v>0.25</v>
      </c>
      <c r="DR404" s="316">
        <f t="shared" si="479"/>
        <v>104.57075452294252</v>
      </c>
      <c r="DS404" s="314">
        <f t="shared" si="480"/>
        <v>3.8538499778308757</v>
      </c>
      <c r="DT404" s="316">
        <f t="shared" si="481"/>
        <v>104.57075452294252</v>
      </c>
      <c r="DU404" s="314">
        <f t="shared" si="469"/>
        <v>3.8538499778308757</v>
      </c>
      <c r="DV404" s="316">
        <f t="shared" si="485"/>
        <v>49.25</v>
      </c>
      <c r="DW404" s="310">
        <f t="shared" si="470"/>
        <v>4.0203045685279184</v>
      </c>
      <c r="FB404" s="307"/>
      <c r="FC404" s="307"/>
      <c r="FF404" s="307"/>
      <c r="FG404" s="307"/>
      <c r="FH404" s="306"/>
      <c r="FJ404" s="307"/>
      <c r="FK404" s="307"/>
      <c r="FL404" s="306"/>
      <c r="FM404" s="307"/>
      <c r="FN404" s="306"/>
      <c r="FO404" s="307"/>
      <c r="FP404" s="306"/>
    </row>
    <row r="405" spans="29:172">
      <c r="AC405" s="156"/>
      <c r="AI405" s="190">
        <v>122</v>
      </c>
      <c r="AJ405" s="185">
        <v>380</v>
      </c>
      <c r="AK405" s="183">
        <f t="shared" si="458"/>
        <v>122</v>
      </c>
      <c r="AO405" s="182">
        <v>2.7199999999999998E-2</v>
      </c>
      <c r="AP405" s="185">
        <v>380</v>
      </c>
      <c r="AQ405" s="184">
        <f t="shared" si="459"/>
        <v>2.7199999999999998E-2</v>
      </c>
      <c r="AR405" s="190">
        <v>122</v>
      </c>
      <c r="AS405" s="185">
        <v>380</v>
      </c>
      <c r="AT405" s="183">
        <f t="shared" si="460"/>
        <v>122</v>
      </c>
      <c r="AX405" s="182">
        <v>2.7199999999999998E-2</v>
      </c>
      <c r="AY405" s="185">
        <v>380</v>
      </c>
      <c r="AZ405" s="184">
        <f t="shared" si="461"/>
        <v>2.7199999999999998E-2</v>
      </c>
      <c r="BA405" s="190">
        <v>122</v>
      </c>
      <c r="BB405" s="185">
        <v>380</v>
      </c>
      <c r="BC405" s="183">
        <f t="shared" si="462"/>
        <v>122</v>
      </c>
      <c r="BG405" s="182">
        <v>2.7199999999999998E-2</v>
      </c>
      <c r="BH405" s="185">
        <v>380</v>
      </c>
      <c r="BI405" s="184">
        <f t="shared" si="463"/>
        <v>2.7199999999999998E-2</v>
      </c>
      <c r="CW405" s="364"/>
      <c r="CX405" s="316"/>
      <c r="CY405" s="316"/>
      <c r="DA405" s="309">
        <v>404</v>
      </c>
      <c r="DB405" s="313">
        <f t="shared" si="464"/>
        <v>347.04397464354577</v>
      </c>
      <c r="DC405" s="309">
        <f t="shared" si="465"/>
        <v>1</v>
      </c>
      <c r="DD405" s="309">
        <f t="shared" si="466"/>
        <v>260</v>
      </c>
      <c r="DE405" s="308">
        <f t="shared" si="467"/>
        <v>6.5000000000000002E-2</v>
      </c>
      <c r="DF405" s="313">
        <f t="shared" si="482"/>
        <v>404</v>
      </c>
      <c r="DG405" s="313">
        <f t="shared" si="471"/>
        <v>260</v>
      </c>
      <c r="DH405" s="313">
        <f t="shared" si="472"/>
        <v>260</v>
      </c>
      <c r="DI405" s="313">
        <f t="shared" si="473"/>
        <v>0</v>
      </c>
      <c r="DJ405" s="313">
        <f t="shared" si="474"/>
        <v>0</v>
      </c>
      <c r="DK405" s="313">
        <f t="shared" si="483"/>
        <v>100124.51726962168</v>
      </c>
      <c r="DL405" s="313">
        <f t="shared" si="475"/>
        <v>50960</v>
      </c>
      <c r="DM405" s="314">
        <f t="shared" si="476"/>
        <v>18.90570280914724</v>
      </c>
      <c r="DN405" s="312">
        <f t="shared" si="477"/>
        <v>4.6796294082047621E-2</v>
      </c>
      <c r="DO405" s="312">
        <f t="shared" si="484"/>
        <v>1</v>
      </c>
      <c r="DP405" s="315">
        <f t="shared" si="468"/>
        <v>6.5000000000000002E-2</v>
      </c>
      <c r="DQ405" s="316">
        <f t="shared" si="478"/>
        <v>0.25</v>
      </c>
      <c r="DR405" s="316">
        <f t="shared" si="479"/>
        <v>104.82075452294252</v>
      </c>
      <c r="DS405" s="314">
        <f t="shared" si="480"/>
        <v>3.8541985491201074</v>
      </c>
      <c r="DT405" s="316">
        <f t="shared" si="481"/>
        <v>104.82075452294252</v>
      </c>
      <c r="DU405" s="314">
        <f t="shared" si="469"/>
        <v>3.8541985491201074</v>
      </c>
      <c r="DV405" s="316">
        <f t="shared" si="485"/>
        <v>49</v>
      </c>
      <c r="DW405" s="310">
        <f t="shared" si="470"/>
        <v>4.0204081632653059</v>
      </c>
      <c r="FB405" s="307"/>
      <c r="FC405" s="307"/>
      <c r="FF405" s="307"/>
      <c r="FG405" s="307"/>
      <c r="FH405" s="306"/>
      <c r="FJ405" s="307"/>
      <c r="FK405" s="307"/>
      <c r="FL405" s="306"/>
      <c r="FM405" s="307"/>
      <c r="FN405" s="306"/>
      <c r="FO405" s="307"/>
      <c r="FP405" s="306"/>
    </row>
    <row r="406" spans="29:172">
      <c r="AC406" s="156"/>
      <c r="AI406" s="190">
        <v>121</v>
      </c>
      <c r="AJ406" s="185">
        <v>381</v>
      </c>
      <c r="AK406" s="183">
        <f t="shared" si="458"/>
        <v>121</v>
      </c>
      <c r="AO406" s="182">
        <v>2.7099999999999999E-2</v>
      </c>
      <c r="AP406" s="185">
        <v>381</v>
      </c>
      <c r="AQ406" s="184">
        <f t="shared" si="459"/>
        <v>2.7099999999999999E-2</v>
      </c>
      <c r="AR406" s="190">
        <v>121</v>
      </c>
      <c r="AS406" s="185">
        <v>381</v>
      </c>
      <c r="AT406" s="183">
        <f t="shared" si="460"/>
        <v>121</v>
      </c>
      <c r="AX406" s="182">
        <v>2.7099999999999999E-2</v>
      </c>
      <c r="AY406" s="185">
        <v>381</v>
      </c>
      <c r="AZ406" s="184">
        <f t="shared" si="461"/>
        <v>2.7099999999999999E-2</v>
      </c>
      <c r="BA406" s="190">
        <v>121</v>
      </c>
      <c r="BB406" s="185">
        <v>381</v>
      </c>
      <c r="BC406" s="183">
        <f t="shared" si="462"/>
        <v>121</v>
      </c>
      <c r="BG406" s="182">
        <v>2.7099999999999999E-2</v>
      </c>
      <c r="BH406" s="185">
        <v>381</v>
      </c>
      <c r="BI406" s="184">
        <f t="shared" si="463"/>
        <v>2.7099999999999999E-2</v>
      </c>
      <c r="CW406" s="364"/>
      <c r="CX406" s="316"/>
      <c r="CY406" s="316"/>
      <c r="DA406" s="309">
        <v>405</v>
      </c>
      <c r="DB406" s="313">
        <f t="shared" si="464"/>
        <v>347.40794487781193</v>
      </c>
      <c r="DC406" s="309">
        <f t="shared" si="465"/>
        <v>1</v>
      </c>
      <c r="DD406" s="309">
        <f t="shared" si="466"/>
        <v>260</v>
      </c>
      <c r="DE406" s="308">
        <f t="shared" si="467"/>
        <v>6.5000000000000002E-2</v>
      </c>
      <c r="DF406" s="313">
        <f t="shared" si="482"/>
        <v>405</v>
      </c>
      <c r="DG406" s="313">
        <f t="shared" si="471"/>
        <v>260</v>
      </c>
      <c r="DH406" s="313">
        <f t="shared" si="472"/>
        <v>260</v>
      </c>
      <c r="DI406" s="313">
        <f t="shared" si="473"/>
        <v>0</v>
      </c>
      <c r="DJ406" s="313">
        <f t="shared" si="474"/>
        <v>0</v>
      </c>
      <c r="DK406" s="313">
        <f t="shared" si="483"/>
        <v>100384.51726962168</v>
      </c>
      <c r="DL406" s="313">
        <f t="shared" si="475"/>
        <v>50700</v>
      </c>
      <c r="DM406" s="314">
        <f t="shared" si="476"/>
        <v>18.90570280914724</v>
      </c>
      <c r="DN406" s="312">
        <f t="shared" si="477"/>
        <v>4.6680747676906761E-2</v>
      </c>
      <c r="DO406" s="312">
        <f t="shared" si="484"/>
        <v>1</v>
      </c>
      <c r="DP406" s="315">
        <f t="shared" si="468"/>
        <v>6.5000000000000002E-2</v>
      </c>
      <c r="DQ406" s="316">
        <f t="shared" si="478"/>
        <v>0.25</v>
      </c>
      <c r="DR406" s="316">
        <f t="shared" si="479"/>
        <v>105.07075452294252</v>
      </c>
      <c r="DS406" s="314">
        <f t="shared" si="480"/>
        <v>3.8545454616638066</v>
      </c>
      <c r="DT406" s="316">
        <f t="shared" si="481"/>
        <v>105.07075452294252</v>
      </c>
      <c r="DU406" s="314">
        <f t="shared" si="469"/>
        <v>3.8545454616638066</v>
      </c>
      <c r="DV406" s="316">
        <f t="shared" si="485"/>
        <v>48.75</v>
      </c>
      <c r="DW406" s="310">
        <f t="shared" si="470"/>
        <v>4.0205128205128204</v>
      </c>
      <c r="FB406" s="307"/>
      <c r="FC406" s="307"/>
      <c r="FF406" s="307"/>
      <c r="FG406" s="307"/>
      <c r="FH406" s="306"/>
      <c r="FJ406" s="307"/>
      <c r="FK406" s="307"/>
      <c r="FL406" s="306"/>
      <c r="FM406" s="307"/>
      <c r="FN406" s="306"/>
      <c r="FO406" s="307"/>
      <c r="FP406" s="306"/>
    </row>
    <row r="407" spans="29:172">
      <c r="AC407" s="156"/>
      <c r="AI407" s="190">
        <v>120</v>
      </c>
      <c r="AJ407" s="185">
        <v>382</v>
      </c>
      <c r="AK407" s="183">
        <f t="shared" si="458"/>
        <v>120</v>
      </c>
      <c r="AO407" s="182">
        <v>2.7E-2</v>
      </c>
      <c r="AP407" s="185">
        <v>382</v>
      </c>
      <c r="AQ407" s="184">
        <f t="shared" si="459"/>
        <v>2.7E-2</v>
      </c>
      <c r="AR407" s="190">
        <v>120</v>
      </c>
      <c r="AS407" s="185">
        <v>382</v>
      </c>
      <c r="AT407" s="183">
        <f t="shared" si="460"/>
        <v>120</v>
      </c>
      <c r="AX407" s="182">
        <v>2.7E-2</v>
      </c>
      <c r="AY407" s="185">
        <v>382</v>
      </c>
      <c r="AZ407" s="184">
        <f t="shared" si="461"/>
        <v>2.7E-2</v>
      </c>
      <c r="BA407" s="190">
        <v>120</v>
      </c>
      <c r="BB407" s="185">
        <v>382</v>
      </c>
      <c r="BC407" s="183">
        <f t="shared" si="462"/>
        <v>120</v>
      </c>
      <c r="BG407" s="182">
        <v>2.7E-2</v>
      </c>
      <c r="BH407" s="185">
        <v>382</v>
      </c>
      <c r="BI407" s="184">
        <f t="shared" si="463"/>
        <v>2.7E-2</v>
      </c>
      <c r="CW407" s="364"/>
      <c r="CX407" s="316"/>
      <c r="CY407" s="316"/>
      <c r="DA407" s="309">
        <v>406</v>
      </c>
      <c r="DB407" s="313">
        <f t="shared" si="464"/>
        <v>347.77191511207815</v>
      </c>
      <c r="DC407" s="309">
        <f t="shared" si="465"/>
        <v>1</v>
      </c>
      <c r="DD407" s="309">
        <f t="shared" si="466"/>
        <v>260</v>
      </c>
      <c r="DE407" s="308">
        <f t="shared" si="467"/>
        <v>6.5000000000000002E-2</v>
      </c>
      <c r="DF407" s="313">
        <f t="shared" si="482"/>
        <v>406</v>
      </c>
      <c r="DG407" s="313">
        <f t="shared" si="471"/>
        <v>260</v>
      </c>
      <c r="DH407" s="313">
        <f t="shared" si="472"/>
        <v>260</v>
      </c>
      <c r="DI407" s="313">
        <f t="shared" si="473"/>
        <v>0</v>
      </c>
      <c r="DJ407" s="313">
        <f t="shared" si="474"/>
        <v>0</v>
      </c>
      <c r="DK407" s="313">
        <f t="shared" si="483"/>
        <v>100644.51726962168</v>
      </c>
      <c r="DL407" s="313">
        <f t="shared" si="475"/>
        <v>50440</v>
      </c>
      <c r="DM407" s="314">
        <f t="shared" si="476"/>
        <v>18.90570280914724</v>
      </c>
      <c r="DN407" s="312">
        <f t="shared" si="477"/>
        <v>4.6565770465879903E-2</v>
      </c>
      <c r="DO407" s="312">
        <f t="shared" si="484"/>
        <v>1</v>
      </c>
      <c r="DP407" s="315">
        <f t="shared" si="468"/>
        <v>6.5000000000000002E-2</v>
      </c>
      <c r="DQ407" s="316">
        <f t="shared" si="478"/>
        <v>0.25</v>
      </c>
      <c r="DR407" s="316">
        <f t="shared" si="479"/>
        <v>105.32075452294252</v>
      </c>
      <c r="DS407" s="314">
        <f t="shared" si="480"/>
        <v>3.8548907272740727</v>
      </c>
      <c r="DT407" s="316">
        <f t="shared" si="481"/>
        <v>105.32075452294252</v>
      </c>
      <c r="DU407" s="314">
        <f t="shared" si="469"/>
        <v>3.8548907272740727</v>
      </c>
      <c r="DV407" s="316">
        <f t="shared" si="485"/>
        <v>48.5</v>
      </c>
      <c r="DW407" s="310">
        <f t="shared" si="470"/>
        <v>4.0206185567010309</v>
      </c>
      <c r="FB407" s="307"/>
      <c r="FC407" s="307"/>
      <c r="FF407" s="307"/>
      <c r="FG407" s="307"/>
      <c r="FH407" s="306"/>
      <c r="FJ407" s="307"/>
      <c r="FK407" s="307"/>
      <c r="FL407" s="306"/>
      <c r="FM407" s="307"/>
      <c r="FN407" s="306"/>
      <c r="FO407" s="307"/>
      <c r="FP407" s="306"/>
    </row>
    <row r="408" spans="29:172">
      <c r="AC408" s="156"/>
      <c r="AI408" s="190">
        <v>119</v>
      </c>
      <c r="AJ408" s="185">
        <v>383</v>
      </c>
      <c r="AK408" s="183">
        <f t="shared" si="458"/>
        <v>119</v>
      </c>
      <c r="AO408" s="182">
        <v>2.69E-2</v>
      </c>
      <c r="AP408" s="185">
        <v>383</v>
      </c>
      <c r="AQ408" s="184">
        <f t="shared" si="459"/>
        <v>2.69E-2</v>
      </c>
      <c r="AR408" s="190">
        <v>119</v>
      </c>
      <c r="AS408" s="185">
        <v>383</v>
      </c>
      <c r="AT408" s="183">
        <f t="shared" si="460"/>
        <v>119</v>
      </c>
      <c r="AX408" s="182">
        <v>2.69E-2</v>
      </c>
      <c r="AY408" s="185">
        <v>383</v>
      </c>
      <c r="AZ408" s="184">
        <f t="shared" si="461"/>
        <v>2.69E-2</v>
      </c>
      <c r="BA408" s="190">
        <v>119</v>
      </c>
      <c r="BB408" s="185">
        <v>383</v>
      </c>
      <c r="BC408" s="183">
        <f t="shared" si="462"/>
        <v>119</v>
      </c>
      <c r="BG408" s="182">
        <v>2.69E-2</v>
      </c>
      <c r="BH408" s="185">
        <v>383</v>
      </c>
      <c r="BI408" s="184">
        <f t="shared" si="463"/>
        <v>2.69E-2</v>
      </c>
      <c r="CW408" s="364"/>
      <c r="CX408" s="316"/>
      <c r="CY408" s="316"/>
      <c r="DA408" s="309">
        <v>407</v>
      </c>
      <c r="DB408" s="313">
        <f t="shared" si="464"/>
        <v>348.13588534634437</v>
      </c>
      <c r="DC408" s="309">
        <f t="shared" si="465"/>
        <v>1</v>
      </c>
      <c r="DD408" s="309">
        <f t="shared" si="466"/>
        <v>260</v>
      </c>
      <c r="DE408" s="308">
        <f t="shared" si="467"/>
        <v>6.5000000000000002E-2</v>
      </c>
      <c r="DF408" s="313">
        <f t="shared" si="482"/>
        <v>407</v>
      </c>
      <c r="DG408" s="313">
        <f t="shared" si="471"/>
        <v>260</v>
      </c>
      <c r="DH408" s="313">
        <f t="shared" si="472"/>
        <v>260</v>
      </c>
      <c r="DI408" s="313">
        <f t="shared" si="473"/>
        <v>0</v>
      </c>
      <c r="DJ408" s="313">
        <f t="shared" si="474"/>
        <v>0</v>
      </c>
      <c r="DK408" s="313">
        <f t="shared" si="483"/>
        <v>100904.51726962168</v>
      </c>
      <c r="DL408" s="313">
        <f t="shared" si="475"/>
        <v>50180</v>
      </c>
      <c r="DM408" s="314">
        <f t="shared" si="476"/>
        <v>18.90570280914724</v>
      </c>
      <c r="DN408" s="312">
        <f t="shared" si="477"/>
        <v>4.6451358253433023E-2</v>
      </c>
      <c r="DO408" s="312">
        <f t="shared" si="484"/>
        <v>1</v>
      </c>
      <c r="DP408" s="315">
        <f t="shared" si="468"/>
        <v>6.5000000000000002E-2</v>
      </c>
      <c r="DQ408" s="316">
        <f t="shared" si="478"/>
        <v>0.25</v>
      </c>
      <c r="DR408" s="316">
        <f t="shared" si="479"/>
        <v>105.57075452294252</v>
      </c>
      <c r="DS408" s="314">
        <f t="shared" si="480"/>
        <v>3.8552343576511166</v>
      </c>
      <c r="DT408" s="316">
        <f t="shared" si="481"/>
        <v>105.57075452294252</v>
      </c>
      <c r="DU408" s="314">
        <f t="shared" si="469"/>
        <v>3.8552343576511166</v>
      </c>
      <c r="DV408" s="316">
        <f t="shared" si="485"/>
        <v>48.25</v>
      </c>
      <c r="DW408" s="310">
        <f t="shared" si="470"/>
        <v>4.0207253886010363</v>
      </c>
      <c r="FB408" s="307"/>
      <c r="FC408" s="307"/>
      <c r="FF408" s="307"/>
      <c r="FG408" s="307"/>
      <c r="FH408" s="306"/>
      <c r="FJ408" s="307"/>
      <c r="FK408" s="307"/>
      <c r="FL408" s="306"/>
      <c r="FM408" s="307"/>
      <c r="FN408" s="306"/>
      <c r="FO408" s="307"/>
      <c r="FP408" s="306"/>
    </row>
    <row r="409" spans="29:172">
      <c r="AC409" s="156"/>
      <c r="AI409" s="190">
        <v>118</v>
      </c>
      <c r="AJ409" s="185">
        <v>384</v>
      </c>
      <c r="AK409" s="183">
        <f t="shared" si="458"/>
        <v>118</v>
      </c>
      <c r="AO409" s="182">
        <v>2.6800000000000001E-2</v>
      </c>
      <c r="AP409" s="185">
        <v>384</v>
      </c>
      <c r="AQ409" s="184">
        <f t="shared" si="459"/>
        <v>2.6800000000000001E-2</v>
      </c>
      <c r="AR409" s="190">
        <v>118</v>
      </c>
      <c r="AS409" s="185">
        <v>384</v>
      </c>
      <c r="AT409" s="183">
        <f t="shared" si="460"/>
        <v>118</v>
      </c>
      <c r="AX409" s="182">
        <v>2.6800000000000001E-2</v>
      </c>
      <c r="AY409" s="185">
        <v>384</v>
      </c>
      <c r="AZ409" s="184">
        <f t="shared" si="461"/>
        <v>2.6800000000000001E-2</v>
      </c>
      <c r="BA409" s="190">
        <v>118</v>
      </c>
      <c r="BB409" s="185">
        <v>384</v>
      </c>
      <c r="BC409" s="183">
        <f t="shared" si="462"/>
        <v>118</v>
      </c>
      <c r="BG409" s="182">
        <v>2.6800000000000001E-2</v>
      </c>
      <c r="BH409" s="185">
        <v>384</v>
      </c>
      <c r="BI409" s="184">
        <f t="shared" si="463"/>
        <v>2.6800000000000001E-2</v>
      </c>
      <c r="CW409" s="364"/>
      <c r="CX409" s="316"/>
      <c r="CY409" s="316"/>
      <c r="DA409" s="309">
        <v>408</v>
      </c>
      <c r="DB409" s="313">
        <f t="shared" si="464"/>
        <v>348.49985558061053</v>
      </c>
      <c r="DC409" s="309">
        <f t="shared" si="465"/>
        <v>1</v>
      </c>
      <c r="DD409" s="309">
        <f t="shared" si="466"/>
        <v>260</v>
      </c>
      <c r="DE409" s="308">
        <f t="shared" si="467"/>
        <v>6.5000000000000002E-2</v>
      </c>
      <c r="DF409" s="313">
        <f t="shared" si="482"/>
        <v>408</v>
      </c>
      <c r="DG409" s="313">
        <f t="shared" si="471"/>
        <v>260</v>
      </c>
      <c r="DH409" s="313">
        <f t="shared" si="472"/>
        <v>260</v>
      </c>
      <c r="DI409" s="313">
        <f t="shared" si="473"/>
        <v>0</v>
      </c>
      <c r="DJ409" s="313">
        <f t="shared" si="474"/>
        <v>0</v>
      </c>
      <c r="DK409" s="313">
        <f t="shared" si="483"/>
        <v>101164.51726962168</v>
      </c>
      <c r="DL409" s="313">
        <f t="shared" si="475"/>
        <v>49920</v>
      </c>
      <c r="DM409" s="314">
        <f t="shared" si="476"/>
        <v>18.90570280914724</v>
      </c>
      <c r="DN409" s="312">
        <f t="shared" si="477"/>
        <v>4.6337506885164803E-2</v>
      </c>
      <c r="DO409" s="312">
        <f t="shared" si="484"/>
        <v>1</v>
      </c>
      <c r="DP409" s="315">
        <f t="shared" si="468"/>
        <v>6.5000000000000002E-2</v>
      </c>
      <c r="DQ409" s="316">
        <f t="shared" si="478"/>
        <v>0.25</v>
      </c>
      <c r="DR409" s="316">
        <f t="shared" si="479"/>
        <v>105.82075452294252</v>
      </c>
      <c r="DS409" s="314">
        <f t="shared" si="480"/>
        <v>3.8555763643845817</v>
      </c>
      <c r="DT409" s="316">
        <f t="shared" si="481"/>
        <v>105.82075452294252</v>
      </c>
      <c r="DU409" s="314">
        <f t="shared" si="469"/>
        <v>3.8555763643845817</v>
      </c>
      <c r="DV409" s="316">
        <f t="shared" si="485"/>
        <v>48</v>
      </c>
      <c r="DW409" s="310">
        <f t="shared" si="470"/>
        <v>4.020833333333333</v>
      </c>
      <c r="FB409" s="307"/>
      <c r="FC409" s="307"/>
      <c r="FF409" s="307"/>
      <c r="FG409" s="307"/>
      <c r="FH409" s="306"/>
      <c r="FJ409" s="307"/>
      <c r="FK409" s="307"/>
      <c r="FL409" s="306"/>
      <c r="FM409" s="307"/>
      <c r="FN409" s="306"/>
      <c r="FO409" s="307"/>
      <c r="FP409" s="306"/>
    </row>
    <row r="410" spans="29:172">
      <c r="AC410" s="156"/>
      <c r="AI410" s="190">
        <v>117</v>
      </c>
      <c r="AJ410" s="185">
        <v>385</v>
      </c>
      <c r="AK410" s="183">
        <f t="shared" si="458"/>
        <v>117</v>
      </c>
      <c r="AO410" s="182">
        <v>2.6700000000000002E-2</v>
      </c>
      <c r="AP410" s="185">
        <v>385</v>
      </c>
      <c r="AQ410" s="184">
        <f t="shared" si="459"/>
        <v>2.6700000000000002E-2</v>
      </c>
      <c r="AR410" s="190">
        <v>117</v>
      </c>
      <c r="AS410" s="185">
        <v>385</v>
      </c>
      <c r="AT410" s="183">
        <f t="shared" si="460"/>
        <v>117</v>
      </c>
      <c r="AX410" s="182">
        <v>2.6700000000000002E-2</v>
      </c>
      <c r="AY410" s="185">
        <v>385</v>
      </c>
      <c r="AZ410" s="184">
        <f t="shared" si="461"/>
        <v>2.6700000000000002E-2</v>
      </c>
      <c r="BA410" s="190">
        <v>117</v>
      </c>
      <c r="BB410" s="185">
        <v>385</v>
      </c>
      <c r="BC410" s="183">
        <f t="shared" si="462"/>
        <v>117</v>
      </c>
      <c r="BG410" s="182">
        <v>2.6700000000000002E-2</v>
      </c>
      <c r="BH410" s="185">
        <v>385</v>
      </c>
      <c r="BI410" s="184">
        <f t="shared" si="463"/>
        <v>2.6700000000000002E-2</v>
      </c>
      <c r="CW410" s="364"/>
      <c r="CX410" s="316"/>
      <c r="CY410" s="316"/>
      <c r="DA410" s="309">
        <v>409</v>
      </c>
      <c r="DB410" s="313">
        <f t="shared" si="464"/>
        <v>348.86382581487675</v>
      </c>
      <c r="DC410" s="309">
        <f t="shared" si="465"/>
        <v>1</v>
      </c>
      <c r="DD410" s="309">
        <f t="shared" si="466"/>
        <v>260</v>
      </c>
      <c r="DE410" s="308">
        <f t="shared" si="467"/>
        <v>6.5000000000000002E-2</v>
      </c>
      <c r="DF410" s="313">
        <f t="shared" si="482"/>
        <v>409</v>
      </c>
      <c r="DG410" s="313">
        <f t="shared" si="471"/>
        <v>260</v>
      </c>
      <c r="DH410" s="313">
        <f t="shared" si="472"/>
        <v>260</v>
      </c>
      <c r="DI410" s="313">
        <f t="shared" si="473"/>
        <v>0</v>
      </c>
      <c r="DJ410" s="313">
        <f t="shared" si="474"/>
        <v>0</v>
      </c>
      <c r="DK410" s="313">
        <f t="shared" si="483"/>
        <v>101424.51726962168</v>
      </c>
      <c r="DL410" s="313">
        <f t="shared" si="475"/>
        <v>49660</v>
      </c>
      <c r="DM410" s="314">
        <f t="shared" si="476"/>
        <v>18.90570280914724</v>
      </c>
      <c r="DN410" s="312">
        <f t="shared" si="477"/>
        <v>4.6224212247303761E-2</v>
      </c>
      <c r="DO410" s="312">
        <f t="shared" si="484"/>
        <v>1</v>
      </c>
      <c r="DP410" s="315">
        <f t="shared" si="468"/>
        <v>6.5000000000000002E-2</v>
      </c>
      <c r="DQ410" s="316">
        <f t="shared" si="478"/>
        <v>0.25</v>
      </c>
      <c r="DR410" s="316">
        <f t="shared" si="479"/>
        <v>106.07075452294252</v>
      </c>
      <c r="DS410" s="314">
        <f t="shared" si="480"/>
        <v>3.8559167589548498</v>
      </c>
      <c r="DT410" s="316">
        <f t="shared" si="481"/>
        <v>106.07075452294252</v>
      </c>
      <c r="DU410" s="314">
        <f t="shared" si="469"/>
        <v>3.8559167589548498</v>
      </c>
      <c r="DV410" s="316">
        <f t="shared" si="485"/>
        <v>47.75</v>
      </c>
      <c r="DW410" s="310">
        <f t="shared" si="470"/>
        <v>4.0209424083769632</v>
      </c>
      <c r="FB410" s="307"/>
      <c r="FC410" s="307"/>
      <c r="FF410" s="307"/>
      <c r="FG410" s="307"/>
      <c r="FH410" s="306"/>
      <c r="FJ410" s="307"/>
      <c r="FK410" s="307"/>
      <c r="FL410" s="306"/>
      <c r="FM410" s="307"/>
      <c r="FN410" s="306"/>
      <c r="FO410" s="307"/>
      <c r="FP410" s="306"/>
    </row>
    <row r="411" spans="29:172">
      <c r="AC411" s="156"/>
      <c r="AI411" s="190">
        <v>116</v>
      </c>
      <c r="AJ411" s="185">
        <v>386</v>
      </c>
      <c r="AK411" s="183">
        <f t="shared" ref="AK411:AK477" si="486">AI411</f>
        <v>116</v>
      </c>
      <c r="AO411" s="182">
        <v>2.6599999999999999E-2</v>
      </c>
      <c r="AP411" s="185">
        <v>386</v>
      </c>
      <c r="AQ411" s="184">
        <f t="shared" ref="AQ411:AQ477" si="487">AO411</f>
        <v>2.6599999999999999E-2</v>
      </c>
      <c r="AR411" s="190">
        <v>116</v>
      </c>
      <c r="AS411" s="185">
        <v>386</v>
      </c>
      <c r="AT411" s="183">
        <f t="shared" ref="AT411:AT477" si="488">AR411</f>
        <v>116</v>
      </c>
      <c r="AX411" s="182">
        <v>2.6599999999999999E-2</v>
      </c>
      <c r="AY411" s="185">
        <v>386</v>
      </c>
      <c r="AZ411" s="184">
        <f t="shared" ref="AZ411:AZ477" si="489">AX411</f>
        <v>2.6599999999999999E-2</v>
      </c>
      <c r="BA411" s="190">
        <v>116</v>
      </c>
      <c r="BB411" s="185">
        <v>386</v>
      </c>
      <c r="BC411" s="183">
        <f t="shared" ref="BC411:BC477" si="490">BA411</f>
        <v>116</v>
      </c>
      <c r="BG411" s="182">
        <v>2.6599999999999999E-2</v>
      </c>
      <c r="BH411" s="185">
        <v>386</v>
      </c>
      <c r="BI411" s="184">
        <f t="shared" ref="BI411:BI477" si="491">BG411</f>
        <v>2.6599999999999999E-2</v>
      </c>
      <c r="CW411" s="364"/>
      <c r="CX411" s="316"/>
      <c r="CY411" s="316"/>
      <c r="DA411" s="309">
        <v>410</v>
      </c>
      <c r="DB411" s="313">
        <f t="shared" si="464"/>
        <v>349.22779604914297</v>
      </c>
      <c r="DC411" s="309">
        <f t="shared" si="465"/>
        <v>1</v>
      </c>
      <c r="DD411" s="309">
        <f t="shared" si="466"/>
        <v>260</v>
      </c>
      <c r="DE411" s="308">
        <f t="shared" si="467"/>
        <v>6.5000000000000002E-2</v>
      </c>
      <c r="DF411" s="313">
        <f t="shared" si="482"/>
        <v>410</v>
      </c>
      <c r="DG411" s="313">
        <f t="shared" si="471"/>
        <v>260</v>
      </c>
      <c r="DH411" s="313">
        <f t="shared" si="472"/>
        <v>260</v>
      </c>
      <c r="DI411" s="313">
        <f t="shared" si="473"/>
        <v>0</v>
      </c>
      <c r="DJ411" s="313">
        <f t="shared" si="474"/>
        <v>0</v>
      </c>
      <c r="DK411" s="313">
        <f t="shared" si="483"/>
        <v>101684.51726962168</v>
      </c>
      <c r="DL411" s="313">
        <f t="shared" si="475"/>
        <v>49400</v>
      </c>
      <c r="DM411" s="314">
        <f t="shared" si="476"/>
        <v>18.90570280914724</v>
      </c>
      <c r="DN411" s="312">
        <f t="shared" si="477"/>
        <v>4.6111470266212783E-2</v>
      </c>
      <c r="DO411" s="312">
        <f t="shared" si="484"/>
        <v>1</v>
      </c>
      <c r="DP411" s="315">
        <f t="shared" si="468"/>
        <v>6.5000000000000002E-2</v>
      </c>
      <c r="DQ411" s="316">
        <f t="shared" si="478"/>
        <v>0.25</v>
      </c>
      <c r="DR411" s="316">
        <f t="shared" si="479"/>
        <v>106.32075452294252</v>
      </c>
      <c r="DS411" s="314">
        <f t="shared" si="480"/>
        <v>3.8562555527343232</v>
      </c>
      <c r="DT411" s="316">
        <f t="shared" si="481"/>
        <v>106.32075452294252</v>
      </c>
      <c r="DU411" s="314">
        <f t="shared" si="469"/>
        <v>3.8562555527343232</v>
      </c>
      <c r="DV411" s="316">
        <f t="shared" si="485"/>
        <v>47.5</v>
      </c>
      <c r="DW411" s="310">
        <f t="shared" si="470"/>
        <v>4.0210526315789474</v>
      </c>
      <c r="FB411" s="307"/>
      <c r="FC411" s="307"/>
      <c r="FF411" s="307"/>
      <c r="FG411" s="307"/>
      <c r="FH411" s="306"/>
      <c r="FJ411" s="307"/>
      <c r="FK411" s="307"/>
      <c r="FL411" s="306"/>
      <c r="FM411" s="307"/>
      <c r="FN411" s="306"/>
      <c r="FO411" s="307"/>
      <c r="FP411" s="306"/>
    </row>
    <row r="412" spans="29:172">
      <c r="AC412" s="156"/>
      <c r="AI412" s="190">
        <v>115</v>
      </c>
      <c r="AJ412" s="185">
        <v>387</v>
      </c>
      <c r="AK412" s="183">
        <f t="shared" si="486"/>
        <v>115</v>
      </c>
      <c r="AO412" s="182">
        <v>2.6499999999999999E-2</v>
      </c>
      <c r="AP412" s="185">
        <v>387</v>
      </c>
      <c r="AQ412" s="184">
        <f t="shared" si="487"/>
        <v>2.6499999999999999E-2</v>
      </c>
      <c r="AR412" s="190">
        <v>115</v>
      </c>
      <c r="AS412" s="185">
        <v>387</v>
      </c>
      <c r="AT412" s="183">
        <f t="shared" si="488"/>
        <v>115</v>
      </c>
      <c r="AX412" s="182">
        <v>2.6499999999999999E-2</v>
      </c>
      <c r="AY412" s="185">
        <v>387</v>
      </c>
      <c r="AZ412" s="184">
        <f t="shared" si="489"/>
        <v>2.6499999999999999E-2</v>
      </c>
      <c r="BA412" s="190">
        <v>115</v>
      </c>
      <c r="BB412" s="185">
        <v>387</v>
      </c>
      <c r="BC412" s="183">
        <f t="shared" si="490"/>
        <v>115</v>
      </c>
      <c r="BG412" s="182">
        <v>2.6499999999999999E-2</v>
      </c>
      <c r="BH412" s="185">
        <v>387</v>
      </c>
      <c r="BI412" s="184">
        <f t="shared" si="491"/>
        <v>2.6499999999999999E-2</v>
      </c>
      <c r="CW412" s="364"/>
      <c r="CX412" s="316"/>
      <c r="CY412" s="316"/>
      <c r="DA412" s="309">
        <v>411</v>
      </c>
      <c r="DB412" s="313">
        <f t="shared" si="464"/>
        <v>349.59176628340913</v>
      </c>
      <c r="DC412" s="309">
        <f t="shared" si="465"/>
        <v>1</v>
      </c>
      <c r="DD412" s="309">
        <f t="shared" si="466"/>
        <v>260</v>
      </c>
      <c r="DE412" s="308">
        <f t="shared" si="467"/>
        <v>6.5000000000000002E-2</v>
      </c>
      <c r="DF412" s="313">
        <f t="shared" si="482"/>
        <v>411</v>
      </c>
      <c r="DG412" s="313">
        <f t="shared" si="471"/>
        <v>260</v>
      </c>
      <c r="DH412" s="313">
        <f t="shared" si="472"/>
        <v>260</v>
      </c>
      <c r="DI412" s="313">
        <f t="shared" si="473"/>
        <v>0</v>
      </c>
      <c r="DJ412" s="313">
        <f t="shared" si="474"/>
        <v>0</v>
      </c>
      <c r="DK412" s="313">
        <f t="shared" si="483"/>
        <v>101944.51726962168</v>
      </c>
      <c r="DL412" s="313">
        <f t="shared" si="475"/>
        <v>49140</v>
      </c>
      <c r="DM412" s="314">
        <f t="shared" si="476"/>
        <v>18.90570280914724</v>
      </c>
      <c r="DN412" s="312">
        <f t="shared" si="477"/>
        <v>4.599927690790083E-2</v>
      </c>
      <c r="DO412" s="312">
        <f t="shared" si="484"/>
        <v>1</v>
      </c>
      <c r="DP412" s="315">
        <f t="shared" si="468"/>
        <v>6.5000000000000002E-2</v>
      </c>
      <c r="DQ412" s="316">
        <f t="shared" si="478"/>
        <v>0.25</v>
      </c>
      <c r="DR412" s="316">
        <f t="shared" si="479"/>
        <v>106.57075452294252</v>
      </c>
      <c r="DS412" s="314">
        <f t="shared" si="480"/>
        <v>3.8565927569886918</v>
      </c>
      <c r="DT412" s="316">
        <f t="shared" si="481"/>
        <v>106.57075452294252</v>
      </c>
      <c r="DU412" s="314">
        <f t="shared" si="469"/>
        <v>3.8565927569886918</v>
      </c>
      <c r="DV412" s="316">
        <f t="shared" si="485"/>
        <v>47.25</v>
      </c>
      <c r="DW412" s="310">
        <f t="shared" si="470"/>
        <v>4.0211640211640214</v>
      </c>
      <c r="FB412" s="307"/>
      <c r="FC412" s="307"/>
      <c r="FF412" s="307"/>
      <c r="FG412" s="307"/>
      <c r="FH412" s="306"/>
      <c r="FJ412" s="307"/>
      <c r="FK412" s="307"/>
      <c r="FL412" s="306"/>
      <c r="FM412" s="307"/>
      <c r="FN412" s="306"/>
      <c r="FO412" s="307"/>
      <c r="FP412" s="306"/>
    </row>
    <row r="413" spans="29:172">
      <c r="AC413" s="156"/>
      <c r="AI413" s="190">
        <v>114</v>
      </c>
      <c r="AJ413" s="185">
        <v>388</v>
      </c>
      <c r="AK413" s="183">
        <f t="shared" si="486"/>
        <v>114</v>
      </c>
      <c r="AO413" s="182">
        <v>2.64E-2</v>
      </c>
      <c r="AP413" s="185">
        <v>388</v>
      </c>
      <c r="AQ413" s="184">
        <f t="shared" si="487"/>
        <v>2.64E-2</v>
      </c>
      <c r="AR413" s="190">
        <v>114</v>
      </c>
      <c r="AS413" s="185">
        <v>388</v>
      </c>
      <c r="AT413" s="183">
        <f t="shared" si="488"/>
        <v>114</v>
      </c>
      <c r="AX413" s="182">
        <v>2.64E-2</v>
      </c>
      <c r="AY413" s="185">
        <v>388</v>
      </c>
      <c r="AZ413" s="184">
        <f t="shared" si="489"/>
        <v>2.64E-2</v>
      </c>
      <c r="BA413" s="190">
        <v>114</v>
      </c>
      <c r="BB413" s="185">
        <v>388</v>
      </c>
      <c r="BC413" s="183">
        <f t="shared" si="490"/>
        <v>114</v>
      </c>
      <c r="BG413" s="182">
        <v>2.64E-2</v>
      </c>
      <c r="BH413" s="185">
        <v>388</v>
      </c>
      <c r="BI413" s="184">
        <f t="shared" si="491"/>
        <v>2.64E-2</v>
      </c>
      <c r="CW413" s="364"/>
      <c r="CX413" s="316"/>
      <c r="CY413" s="316"/>
      <c r="DA413" s="309">
        <v>412</v>
      </c>
      <c r="DB413" s="313">
        <f t="shared" si="464"/>
        <v>349.9557365176754</v>
      </c>
      <c r="DC413" s="309">
        <f t="shared" si="465"/>
        <v>1</v>
      </c>
      <c r="DD413" s="309">
        <f t="shared" si="466"/>
        <v>260</v>
      </c>
      <c r="DE413" s="308">
        <f t="shared" si="467"/>
        <v>6.5000000000000002E-2</v>
      </c>
      <c r="DF413" s="313">
        <f t="shared" si="482"/>
        <v>412</v>
      </c>
      <c r="DG413" s="313">
        <f t="shared" si="471"/>
        <v>260</v>
      </c>
      <c r="DH413" s="313">
        <f t="shared" si="472"/>
        <v>260</v>
      </c>
      <c r="DI413" s="313">
        <f t="shared" si="473"/>
        <v>0</v>
      </c>
      <c r="DJ413" s="313">
        <f t="shared" si="474"/>
        <v>0</v>
      </c>
      <c r="DK413" s="313">
        <f t="shared" si="483"/>
        <v>102204.51726962168</v>
      </c>
      <c r="DL413" s="313">
        <f t="shared" si="475"/>
        <v>48880</v>
      </c>
      <c r="DM413" s="314">
        <f t="shared" si="476"/>
        <v>18.90570280914724</v>
      </c>
      <c r="DN413" s="312">
        <f t="shared" si="477"/>
        <v>4.5887628177541842E-2</v>
      </c>
      <c r="DO413" s="312">
        <f t="shared" si="484"/>
        <v>1</v>
      </c>
      <c r="DP413" s="315">
        <f t="shared" si="468"/>
        <v>6.5000000000000002E-2</v>
      </c>
      <c r="DQ413" s="316">
        <f t="shared" si="478"/>
        <v>0.25</v>
      </c>
      <c r="DR413" s="316">
        <f t="shared" si="479"/>
        <v>106.82075452294252</v>
      </c>
      <c r="DS413" s="314">
        <f t="shared" si="480"/>
        <v>3.8569283828781824</v>
      </c>
      <c r="DT413" s="316">
        <f t="shared" si="481"/>
        <v>106.82075452294252</v>
      </c>
      <c r="DU413" s="314">
        <f t="shared" si="469"/>
        <v>3.8569283828781824</v>
      </c>
      <c r="DV413" s="316">
        <f t="shared" si="485"/>
        <v>47</v>
      </c>
      <c r="DW413" s="310">
        <f t="shared" si="470"/>
        <v>4.0212765957446805</v>
      </c>
      <c r="FB413" s="307"/>
      <c r="FC413" s="307"/>
      <c r="FF413" s="307"/>
      <c r="FG413" s="307"/>
      <c r="FH413" s="306"/>
      <c r="FJ413" s="307"/>
      <c r="FK413" s="307"/>
      <c r="FL413" s="306"/>
      <c r="FM413" s="307"/>
      <c r="FN413" s="306"/>
      <c r="FO413" s="307"/>
      <c r="FP413" s="306"/>
    </row>
    <row r="414" spans="29:172">
      <c r="AC414" s="156"/>
      <c r="AI414" s="190">
        <v>113</v>
      </c>
      <c r="AJ414" s="185">
        <v>389</v>
      </c>
      <c r="AK414" s="183">
        <f t="shared" si="486"/>
        <v>113</v>
      </c>
      <c r="AO414" s="182">
        <v>2.63E-2</v>
      </c>
      <c r="AP414" s="185">
        <v>389</v>
      </c>
      <c r="AQ414" s="184">
        <f t="shared" si="487"/>
        <v>2.63E-2</v>
      </c>
      <c r="AR414" s="190">
        <v>113</v>
      </c>
      <c r="AS414" s="185">
        <v>389</v>
      </c>
      <c r="AT414" s="183">
        <f t="shared" si="488"/>
        <v>113</v>
      </c>
      <c r="AX414" s="182">
        <v>2.63E-2</v>
      </c>
      <c r="AY414" s="185">
        <v>389</v>
      </c>
      <c r="AZ414" s="184">
        <f t="shared" si="489"/>
        <v>2.63E-2</v>
      </c>
      <c r="BA414" s="190">
        <v>113</v>
      </c>
      <c r="BB414" s="185">
        <v>389</v>
      </c>
      <c r="BC414" s="183">
        <f t="shared" si="490"/>
        <v>113</v>
      </c>
      <c r="BG414" s="182">
        <v>2.63E-2</v>
      </c>
      <c r="BH414" s="185">
        <v>389</v>
      </c>
      <c r="BI414" s="184">
        <f t="shared" si="491"/>
        <v>2.63E-2</v>
      </c>
      <c r="CW414" s="364"/>
      <c r="CX414" s="316"/>
      <c r="CY414" s="316"/>
      <c r="DA414" s="309">
        <v>413</v>
      </c>
      <c r="DB414" s="313">
        <f t="shared" si="464"/>
        <v>350.31970675194157</v>
      </c>
      <c r="DC414" s="309">
        <f t="shared" si="465"/>
        <v>1</v>
      </c>
      <c r="DD414" s="309">
        <f t="shared" si="466"/>
        <v>260</v>
      </c>
      <c r="DE414" s="308">
        <f t="shared" si="467"/>
        <v>6.5000000000000002E-2</v>
      </c>
      <c r="DF414" s="313">
        <f t="shared" si="482"/>
        <v>413</v>
      </c>
      <c r="DG414" s="313">
        <f t="shared" si="471"/>
        <v>260</v>
      </c>
      <c r="DH414" s="313">
        <f t="shared" si="472"/>
        <v>260</v>
      </c>
      <c r="DI414" s="313">
        <f t="shared" si="473"/>
        <v>0</v>
      </c>
      <c r="DJ414" s="313">
        <f t="shared" si="474"/>
        <v>0</v>
      </c>
      <c r="DK414" s="313">
        <f t="shared" si="483"/>
        <v>102464.51726962168</v>
      </c>
      <c r="DL414" s="313">
        <f t="shared" si="475"/>
        <v>48620</v>
      </c>
      <c r="DM414" s="314">
        <f t="shared" si="476"/>
        <v>18.90570280914724</v>
      </c>
      <c r="DN414" s="312">
        <f t="shared" si="477"/>
        <v>4.5776520119000581E-2</v>
      </c>
      <c r="DO414" s="312">
        <f t="shared" si="484"/>
        <v>1</v>
      </c>
      <c r="DP414" s="315">
        <f t="shared" si="468"/>
        <v>6.5000000000000002E-2</v>
      </c>
      <c r="DQ414" s="316">
        <f t="shared" si="478"/>
        <v>0.25</v>
      </c>
      <c r="DR414" s="316">
        <f t="shared" si="479"/>
        <v>107.07075452294252</v>
      </c>
      <c r="DS414" s="314">
        <f t="shared" si="480"/>
        <v>3.8572624414587895</v>
      </c>
      <c r="DT414" s="316">
        <f t="shared" si="481"/>
        <v>107.07075452294252</v>
      </c>
      <c r="DU414" s="314">
        <f t="shared" si="469"/>
        <v>3.8572624414587895</v>
      </c>
      <c r="DV414" s="316">
        <f t="shared" si="485"/>
        <v>46.75</v>
      </c>
      <c r="DW414" s="310">
        <f t="shared" si="470"/>
        <v>4.0213903743315509</v>
      </c>
      <c r="FB414" s="307"/>
      <c r="FC414" s="307"/>
      <c r="FF414" s="307"/>
      <c r="FG414" s="307"/>
      <c r="FH414" s="306"/>
      <c r="FJ414" s="307"/>
      <c r="FK414" s="307"/>
      <c r="FL414" s="306"/>
      <c r="FM414" s="307"/>
      <c r="FN414" s="306"/>
      <c r="FO414" s="307"/>
      <c r="FP414" s="306"/>
    </row>
    <row r="415" spans="29:172">
      <c r="AC415" s="156"/>
      <c r="AI415" s="190">
        <v>112</v>
      </c>
      <c r="AJ415" s="185">
        <v>390</v>
      </c>
      <c r="AK415" s="183">
        <f t="shared" si="486"/>
        <v>112</v>
      </c>
      <c r="AO415" s="182">
        <v>2.6200000000000001E-2</v>
      </c>
      <c r="AP415" s="185">
        <v>390</v>
      </c>
      <c r="AQ415" s="184">
        <f t="shared" si="487"/>
        <v>2.6200000000000001E-2</v>
      </c>
      <c r="AR415" s="190">
        <v>112</v>
      </c>
      <c r="AS415" s="185">
        <v>390</v>
      </c>
      <c r="AT415" s="183">
        <f t="shared" si="488"/>
        <v>112</v>
      </c>
      <c r="AX415" s="182">
        <v>2.6200000000000001E-2</v>
      </c>
      <c r="AY415" s="185">
        <v>390</v>
      </c>
      <c r="AZ415" s="184">
        <f t="shared" si="489"/>
        <v>2.6200000000000001E-2</v>
      </c>
      <c r="BA415" s="190">
        <v>112</v>
      </c>
      <c r="BB415" s="185">
        <v>390</v>
      </c>
      <c r="BC415" s="183">
        <f t="shared" si="490"/>
        <v>112</v>
      </c>
      <c r="BG415" s="182">
        <v>2.6200000000000001E-2</v>
      </c>
      <c r="BH415" s="185">
        <v>390</v>
      </c>
      <c r="BI415" s="184">
        <f t="shared" si="491"/>
        <v>2.6200000000000001E-2</v>
      </c>
      <c r="CW415" s="364"/>
      <c r="CX415" s="316"/>
      <c r="CY415" s="316"/>
      <c r="DA415" s="309">
        <v>414</v>
      </c>
      <c r="DB415" s="313">
        <f t="shared" si="464"/>
        <v>350.68367698620773</v>
      </c>
      <c r="DC415" s="309">
        <f t="shared" si="465"/>
        <v>1</v>
      </c>
      <c r="DD415" s="309">
        <f t="shared" si="466"/>
        <v>260</v>
      </c>
      <c r="DE415" s="308">
        <f t="shared" si="467"/>
        <v>6.5000000000000002E-2</v>
      </c>
      <c r="DF415" s="313">
        <f t="shared" si="482"/>
        <v>414</v>
      </c>
      <c r="DG415" s="313">
        <f t="shared" si="471"/>
        <v>260</v>
      </c>
      <c r="DH415" s="313">
        <f t="shared" si="472"/>
        <v>260</v>
      </c>
      <c r="DI415" s="313">
        <f t="shared" si="473"/>
        <v>0</v>
      </c>
      <c r="DJ415" s="313">
        <f t="shared" si="474"/>
        <v>0</v>
      </c>
      <c r="DK415" s="313">
        <f t="shared" si="483"/>
        <v>102724.51726962168</v>
      </c>
      <c r="DL415" s="313">
        <f t="shared" si="475"/>
        <v>48360</v>
      </c>
      <c r="DM415" s="314">
        <f t="shared" si="476"/>
        <v>18.90570280914724</v>
      </c>
      <c r="DN415" s="312">
        <f t="shared" si="477"/>
        <v>4.5665948814365316E-2</v>
      </c>
      <c r="DO415" s="312">
        <f t="shared" si="484"/>
        <v>1</v>
      </c>
      <c r="DP415" s="315">
        <f t="shared" si="468"/>
        <v>6.5000000000000002E-2</v>
      </c>
      <c r="DQ415" s="316">
        <f t="shared" si="478"/>
        <v>0.25</v>
      </c>
      <c r="DR415" s="316">
        <f t="shared" si="479"/>
        <v>107.32075452294252</v>
      </c>
      <c r="DS415" s="314">
        <f t="shared" si="480"/>
        <v>3.8575949436834889</v>
      </c>
      <c r="DT415" s="316">
        <f t="shared" si="481"/>
        <v>107.32075452294252</v>
      </c>
      <c r="DU415" s="314">
        <f t="shared" si="469"/>
        <v>3.8575949436834889</v>
      </c>
      <c r="DV415" s="316">
        <f t="shared" si="485"/>
        <v>46.5</v>
      </c>
      <c r="DW415" s="310">
        <f t="shared" si="470"/>
        <v>4.021505376344086</v>
      </c>
      <c r="FB415" s="307"/>
      <c r="FC415" s="307"/>
      <c r="FF415" s="307"/>
      <c r="FG415" s="307"/>
      <c r="FH415" s="306"/>
      <c r="FJ415" s="307"/>
      <c r="FK415" s="307"/>
      <c r="FL415" s="306"/>
      <c r="FM415" s="307"/>
      <c r="FN415" s="306"/>
      <c r="FO415" s="307"/>
      <c r="FP415" s="306"/>
    </row>
    <row r="416" spans="29:172">
      <c r="AC416" s="156"/>
      <c r="AI416" s="190">
        <v>111</v>
      </c>
      <c r="AJ416" s="185">
        <v>391</v>
      </c>
      <c r="AK416" s="183">
        <f t="shared" si="486"/>
        <v>111</v>
      </c>
      <c r="AO416" s="182">
        <v>2.6100000000000002E-2</v>
      </c>
      <c r="AP416" s="185">
        <v>391</v>
      </c>
      <c r="AQ416" s="184">
        <f t="shared" si="487"/>
        <v>2.6100000000000002E-2</v>
      </c>
      <c r="AR416" s="190">
        <v>111</v>
      </c>
      <c r="AS416" s="185">
        <v>391</v>
      </c>
      <c r="AT416" s="183">
        <f t="shared" si="488"/>
        <v>111</v>
      </c>
      <c r="AX416" s="182">
        <v>2.6100000000000002E-2</v>
      </c>
      <c r="AY416" s="185">
        <v>391</v>
      </c>
      <c r="AZ416" s="184">
        <f t="shared" si="489"/>
        <v>2.6100000000000002E-2</v>
      </c>
      <c r="BA416" s="190">
        <v>111</v>
      </c>
      <c r="BB416" s="185">
        <v>391</v>
      </c>
      <c r="BC416" s="183">
        <f t="shared" si="490"/>
        <v>111</v>
      </c>
      <c r="BG416" s="182">
        <v>2.6100000000000002E-2</v>
      </c>
      <c r="BH416" s="185">
        <v>391</v>
      </c>
      <c r="BI416" s="184">
        <f t="shared" si="491"/>
        <v>2.6100000000000002E-2</v>
      </c>
      <c r="CW416" s="364"/>
      <c r="CX416" s="316"/>
      <c r="CY416" s="316"/>
      <c r="DA416" s="309">
        <v>415</v>
      </c>
      <c r="DB416" s="313">
        <f t="shared" si="464"/>
        <v>351.047647220474</v>
      </c>
      <c r="DC416" s="309">
        <f t="shared" si="465"/>
        <v>1</v>
      </c>
      <c r="DD416" s="309">
        <f t="shared" si="466"/>
        <v>260</v>
      </c>
      <c r="DE416" s="308">
        <f t="shared" si="467"/>
        <v>6.5000000000000002E-2</v>
      </c>
      <c r="DF416" s="313">
        <f t="shared" si="482"/>
        <v>415</v>
      </c>
      <c r="DG416" s="313">
        <f t="shared" si="471"/>
        <v>260</v>
      </c>
      <c r="DH416" s="313">
        <f t="shared" si="472"/>
        <v>260</v>
      </c>
      <c r="DI416" s="313">
        <f t="shared" si="473"/>
        <v>0</v>
      </c>
      <c r="DJ416" s="313">
        <f t="shared" si="474"/>
        <v>0</v>
      </c>
      <c r="DK416" s="313">
        <f t="shared" si="483"/>
        <v>102984.51726962168</v>
      </c>
      <c r="DL416" s="313">
        <f t="shared" si="475"/>
        <v>48100</v>
      </c>
      <c r="DM416" s="314">
        <f t="shared" si="476"/>
        <v>18.90570280914724</v>
      </c>
      <c r="DN416" s="312">
        <f t="shared" si="477"/>
        <v>4.5555910383487323E-2</v>
      </c>
      <c r="DO416" s="312">
        <f t="shared" si="484"/>
        <v>1</v>
      </c>
      <c r="DP416" s="315">
        <f t="shared" si="468"/>
        <v>6.5000000000000002E-2</v>
      </c>
      <c r="DQ416" s="316">
        <f t="shared" si="478"/>
        <v>0.25</v>
      </c>
      <c r="DR416" s="316">
        <f t="shared" si="479"/>
        <v>107.57075452294252</v>
      </c>
      <c r="DS416" s="314">
        <f t="shared" si="480"/>
        <v>3.8579259004034356</v>
      </c>
      <c r="DT416" s="316">
        <f t="shared" si="481"/>
        <v>107.57075452294252</v>
      </c>
      <c r="DU416" s="314">
        <f t="shared" si="469"/>
        <v>3.8579259004034356</v>
      </c>
      <c r="DV416" s="316">
        <f t="shared" si="485"/>
        <v>46.25</v>
      </c>
      <c r="DW416" s="310">
        <f t="shared" si="470"/>
        <v>4.0216216216216214</v>
      </c>
      <c r="FB416" s="307"/>
      <c r="FC416" s="307"/>
      <c r="FF416" s="307"/>
      <c r="FG416" s="307"/>
      <c r="FH416" s="306"/>
      <c r="FJ416" s="307"/>
      <c r="FK416" s="307"/>
      <c r="FL416" s="306"/>
      <c r="FM416" s="307"/>
      <c r="FN416" s="306"/>
      <c r="FO416" s="307"/>
      <c r="FP416" s="306"/>
    </row>
    <row r="417" spans="29:172">
      <c r="AC417" s="156"/>
      <c r="AI417" s="190">
        <v>110</v>
      </c>
      <c r="AJ417" s="185">
        <v>392</v>
      </c>
      <c r="AK417" s="183">
        <f t="shared" si="486"/>
        <v>110</v>
      </c>
      <c r="AO417" s="182">
        <v>2.5999999999999999E-2</v>
      </c>
      <c r="AP417" s="185">
        <v>392</v>
      </c>
      <c r="AQ417" s="184">
        <f t="shared" si="487"/>
        <v>2.5999999999999999E-2</v>
      </c>
      <c r="AR417" s="190">
        <v>110</v>
      </c>
      <c r="AS417" s="185">
        <v>392</v>
      </c>
      <c r="AT417" s="183">
        <f t="shared" si="488"/>
        <v>110</v>
      </c>
      <c r="AX417" s="182">
        <v>2.5999999999999999E-2</v>
      </c>
      <c r="AY417" s="185">
        <v>392</v>
      </c>
      <c r="AZ417" s="184">
        <f t="shared" si="489"/>
        <v>2.5999999999999999E-2</v>
      </c>
      <c r="BA417" s="190">
        <v>110</v>
      </c>
      <c r="BB417" s="185">
        <v>392</v>
      </c>
      <c r="BC417" s="183">
        <f t="shared" si="490"/>
        <v>110</v>
      </c>
      <c r="BG417" s="182">
        <v>2.5999999999999999E-2</v>
      </c>
      <c r="BH417" s="185">
        <v>392</v>
      </c>
      <c r="BI417" s="184">
        <f t="shared" si="491"/>
        <v>2.5999999999999999E-2</v>
      </c>
      <c r="CW417" s="364"/>
      <c r="CX417" s="316"/>
      <c r="CY417" s="316"/>
      <c r="DA417" s="309">
        <v>416</v>
      </c>
      <c r="DB417" s="313">
        <f t="shared" si="464"/>
        <v>351.41161745474017</v>
      </c>
      <c r="DC417" s="309">
        <f t="shared" si="465"/>
        <v>1</v>
      </c>
      <c r="DD417" s="309">
        <f t="shared" si="466"/>
        <v>260</v>
      </c>
      <c r="DE417" s="308">
        <f t="shared" si="467"/>
        <v>6.5000000000000002E-2</v>
      </c>
      <c r="DF417" s="313">
        <f t="shared" si="482"/>
        <v>416</v>
      </c>
      <c r="DG417" s="313">
        <f t="shared" si="471"/>
        <v>260</v>
      </c>
      <c r="DH417" s="313">
        <f t="shared" si="472"/>
        <v>260</v>
      </c>
      <c r="DI417" s="313">
        <f t="shared" si="473"/>
        <v>0</v>
      </c>
      <c r="DJ417" s="313">
        <f t="shared" si="474"/>
        <v>0</v>
      </c>
      <c r="DK417" s="313">
        <f t="shared" si="483"/>
        <v>103244.51726962168</v>
      </c>
      <c r="DL417" s="313">
        <f t="shared" si="475"/>
        <v>47840</v>
      </c>
      <c r="DM417" s="314">
        <f t="shared" si="476"/>
        <v>18.90570280914724</v>
      </c>
      <c r="DN417" s="312">
        <f t="shared" si="477"/>
        <v>4.5446400983527022E-2</v>
      </c>
      <c r="DO417" s="312">
        <f t="shared" si="484"/>
        <v>1</v>
      </c>
      <c r="DP417" s="315">
        <f t="shared" si="468"/>
        <v>6.5000000000000002E-2</v>
      </c>
      <c r="DQ417" s="316">
        <f t="shared" si="478"/>
        <v>0.25</v>
      </c>
      <c r="DR417" s="316">
        <f t="shared" si="479"/>
        <v>107.82075452294252</v>
      </c>
      <c r="DS417" s="314">
        <f t="shared" si="480"/>
        <v>3.8582553223691445</v>
      </c>
      <c r="DT417" s="316">
        <f t="shared" si="481"/>
        <v>107.82075452294252</v>
      </c>
      <c r="DU417" s="314">
        <f t="shared" si="469"/>
        <v>3.8582553223691445</v>
      </c>
      <c r="DV417" s="316">
        <f t="shared" si="485"/>
        <v>46</v>
      </c>
      <c r="DW417" s="310">
        <f t="shared" si="470"/>
        <v>4.0217391304347823</v>
      </c>
      <c r="FB417" s="307"/>
      <c r="FC417" s="307"/>
      <c r="FF417" s="307"/>
      <c r="FG417" s="307"/>
      <c r="FH417" s="306"/>
      <c r="FJ417" s="307"/>
      <c r="FK417" s="307"/>
      <c r="FL417" s="306"/>
      <c r="FM417" s="307"/>
      <c r="FN417" s="306"/>
      <c r="FO417" s="307"/>
      <c r="FP417" s="306"/>
    </row>
    <row r="418" spans="29:172">
      <c r="AC418" s="156"/>
      <c r="AI418" s="190">
        <v>109</v>
      </c>
      <c r="AJ418" s="185">
        <v>393</v>
      </c>
      <c r="AK418" s="183">
        <f t="shared" si="486"/>
        <v>109</v>
      </c>
      <c r="AO418" s="182">
        <v>2.5899999999999999E-2</v>
      </c>
      <c r="AP418" s="185">
        <v>393</v>
      </c>
      <c r="AQ418" s="184">
        <f t="shared" si="487"/>
        <v>2.5899999999999999E-2</v>
      </c>
      <c r="AR418" s="190">
        <v>109</v>
      </c>
      <c r="AS418" s="185">
        <v>393</v>
      </c>
      <c r="AT418" s="183">
        <f t="shared" si="488"/>
        <v>109</v>
      </c>
      <c r="AX418" s="182">
        <v>2.5899999999999999E-2</v>
      </c>
      <c r="AY418" s="185">
        <v>393</v>
      </c>
      <c r="AZ418" s="184">
        <f t="shared" si="489"/>
        <v>2.5899999999999999E-2</v>
      </c>
      <c r="BA418" s="190">
        <v>109</v>
      </c>
      <c r="BB418" s="185">
        <v>393</v>
      </c>
      <c r="BC418" s="183">
        <f t="shared" si="490"/>
        <v>109</v>
      </c>
      <c r="BG418" s="182">
        <v>2.5899999999999999E-2</v>
      </c>
      <c r="BH418" s="185">
        <v>393</v>
      </c>
      <c r="BI418" s="184">
        <f t="shared" si="491"/>
        <v>2.5899999999999999E-2</v>
      </c>
      <c r="CW418" s="364"/>
      <c r="CX418" s="316"/>
      <c r="CY418" s="316"/>
      <c r="DA418" s="309">
        <v>417</v>
      </c>
      <c r="DB418" s="313">
        <f t="shared" si="464"/>
        <v>351.77558768900639</v>
      </c>
      <c r="DC418" s="309">
        <f t="shared" si="465"/>
        <v>1</v>
      </c>
      <c r="DD418" s="309">
        <f t="shared" si="466"/>
        <v>260</v>
      </c>
      <c r="DE418" s="308">
        <f t="shared" si="467"/>
        <v>6.5000000000000002E-2</v>
      </c>
      <c r="DF418" s="313">
        <f t="shared" si="482"/>
        <v>417</v>
      </c>
      <c r="DG418" s="313">
        <f t="shared" si="471"/>
        <v>260</v>
      </c>
      <c r="DH418" s="313">
        <f t="shared" si="472"/>
        <v>260</v>
      </c>
      <c r="DI418" s="313">
        <f t="shared" si="473"/>
        <v>0</v>
      </c>
      <c r="DJ418" s="313">
        <f t="shared" si="474"/>
        <v>0</v>
      </c>
      <c r="DK418" s="313">
        <f t="shared" si="483"/>
        <v>103504.51726962168</v>
      </c>
      <c r="DL418" s="313">
        <f t="shared" si="475"/>
        <v>47580</v>
      </c>
      <c r="DM418" s="314">
        <f t="shared" si="476"/>
        <v>18.90570280914724</v>
      </c>
      <c r="DN418" s="312">
        <f t="shared" si="477"/>
        <v>4.5337416808506573E-2</v>
      </c>
      <c r="DO418" s="312">
        <f t="shared" si="484"/>
        <v>1</v>
      </c>
      <c r="DP418" s="315">
        <f t="shared" si="468"/>
        <v>6.5000000000000002E-2</v>
      </c>
      <c r="DQ418" s="316">
        <f t="shared" si="478"/>
        <v>0.25</v>
      </c>
      <c r="DR418" s="316">
        <f t="shared" si="479"/>
        <v>108.07075452294252</v>
      </c>
      <c r="DS418" s="314">
        <f t="shared" si="480"/>
        <v>3.8585832202316528</v>
      </c>
      <c r="DT418" s="316">
        <f t="shared" si="481"/>
        <v>108.07075452294252</v>
      </c>
      <c r="DU418" s="314">
        <f t="shared" si="469"/>
        <v>3.8585832202316528</v>
      </c>
      <c r="DV418" s="316">
        <f t="shared" si="485"/>
        <v>45.75</v>
      </c>
      <c r="DW418" s="310">
        <f t="shared" si="470"/>
        <v>4.0218579234972678</v>
      </c>
      <c r="FB418" s="307"/>
      <c r="FC418" s="307"/>
      <c r="FF418" s="307"/>
      <c r="FG418" s="307"/>
      <c r="FH418" s="306"/>
      <c r="FJ418" s="307"/>
      <c r="FK418" s="307"/>
      <c r="FL418" s="306"/>
      <c r="FM418" s="307"/>
      <c r="FN418" s="306"/>
      <c r="FO418" s="307"/>
      <c r="FP418" s="306"/>
    </row>
    <row r="419" spans="29:172">
      <c r="AC419" s="156"/>
      <c r="AI419" s="190">
        <v>108</v>
      </c>
      <c r="AJ419" s="185">
        <v>394</v>
      </c>
      <c r="AK419" s="183">
        <f t="shared" si="486"/>
        <v>108</v>
      </c>
      <c r="AO419" s="182">
        <v>2.58E-2</v>
      </c>
      <c r="AP419" s="185">
        <v>394</v>
      </c>
      <c r="AQ419" s="184">
        <f t="shared" si="487"/>
        <v>2.58E-2</v>
      </c>
      <c r="AR419" s="190">
        <v>108</v>
      </c>
      <c r="AS419" s="185">
        <v>394</v>
      </c>
      <c r="AT419" s="183">
        <f t="shared" si="488"/>
        <v>108</v>
      </c>
      <c r="AX419" s="182">
        <v>2.58E-2</v>
      </c>
      <c r="AY419" s="185">
        <v>394</v>
      </c>
      <c r="AZ419" s="184">
        <f t="shared" si="489"/>
        <v>2.58E-2</v>
      </c>
      <c r="BA419" s="190">
        <v>108</v>
      </c>
      <c r="BB419" s="185">
        <v>394</v>
      </c>
      <c r="BC419" s="183">
        <f t="shared" si="490"/>
        <v>108</v>
      </c>
      <c r="BG419" s="182">
        <v>2.58E-2</v>
      </c>
      <c r="BH419" s="185">
        <v>394</v>
      </c>
      <c r="BI419" s="184">
        <f t="shared" si="491"/>
        <v>2.58E-2</v>
      </c>
      <c r="CW419" s="364"/>
      <c r="CX419" s="316"/>
      <c r="CY419" s="316"/>
      <c r="DA419" s="309">
        <v>418</v>
      </c>
      <c r="DB419" s="313">
        <f t="shared" si="464"/>
        <v>352.1395579232726</v>
      </c>
      <c r="DC419" s="309">
        <f t="shared" si="465"/>
        <v>1</v>
      </c>
      <c r="DD419" s="309">
        <f t="shared" si="466"/>
        <v>260</v>
      </c>
      <c r="DE419" s="308">
        <f t="shared" si="467"/>
        <v>6.5000000000000002E-2</v>
      </c>
      <c r="DF419" s="313">
        <f t="shared" si="482"/>
        <v>418</v>
      </c>
      <c r="DG419" s="313">
        <f t="shared" si="471"/>
        <v>260</v>
      </c>
      <c r="DH419" s="313">
        <f t="shared" si="472"/>
        <v>260</v>
      </c>
      <c r="DI419" s="313">
        <f t="shared" si="473"/>
        <v>0</v>
      </c>
      <c r="DJ419" s="313">
        <f t="shared" si="474"/>
        <v>0</v>
      </c>
      <c r="DK419" s="313">
        <f t="shared" si="483"/>
        <v>103764.51726962168</v>
      </c>
      <c r="DL419" s="313">
        <f t="shared" si="475"/>
        <v>47320</v>
      </c>
      <c r="DM419" s="314">
        <f t="shared" si="476"/>
        <v>18.90570280914724</v>
      </c>
      <c r="DN419" s="312">
        <f t="shared" si="477"/>
        <v>4.5228954088868997E-2</v>
      </c>
      <c r="DO419" s="312">
        <f t="shared" si="484"/>
        <v>1</v>
      </c>
      <c r="DP419" s="315">
        <f t="shared" si="468"/>
        <v>6.5000000000000002E-2</v>
      </c>
      <c r="DQ419" s="316">
        <f t="shared" si="478"/>
        <v>0.25</v>
      </c>
      <c r="DR419" s="316">
        <f t="shared" si="479"/>
        <v>108.32075452294252</v>
      </c>
      <c r="DS419" s="314">
        <f t="shared" si="480"/>
        <v>3.858909604543669</v>
      </c>
      <c r="DT419" s="316">
        <f t="shared" si="481"/>
        <v>108.32075452294252</v>
      </c>
      <c r="DU419" s="314">
        <f t="shared" si="469"/>
        <v>3.858909604543669</v>
      </c>
      <c r="DV419" s="316">
        <f t="shared" si="485"/>
        <v>45.5</v>
      </c>
      <c r="DW419" s="310">
        <f t="shared" si="470"/>
        <v>4.0219780219780219</v>
      </c>
      <c r="FB419" s="307"/>
      <c r="FC419" s="307"/>
      <c r="FF419" s="307"/>
      <c r="FG419" s="307"/>
      <c r="FH419" s="306"/>
      <c r="FJ419" s="307"/>
      <c r="FK419" s="307"/>
      <c r="FL419" s="306"/>
      <c r="FM419" s="307"/>
      <c r="FN419" s="306"/>
      <c r="FO419" s="307"/>
      <c r="FP419" s="306"/>
    </row>
    <row r="420" spans="29:172">
      <c r="AC420" s="156"/>
      <c r="AI420" s="190">
        <v>107</v>
      </c>
      <c r="AJ420" s="185">
        <v>395</v>
      </c>
      <c r="AK420" s="183">
        <f t="shared" si="486"/>
        <v>107</v>
      </c>
      <c r="AO420" s="182">
        <v>2.5700000000000001E-2</v>
      </c>
      <c r="AP420" s="185">
        <v>395</v>
      </c>
      <c r="AQ420" s="184">
        <f t="shared" si="487"/>
        <v>2.5700000000000001E-2</v>
      </c>
      <c r="AR420" s="190">
        <v>107</v>
      </c>
      <c r="AS420" s="185">
        <v>395</v>
      </c>
      <c r="AT420" s="183">
        <f t="shared" si="488"/>
        <v>107</v>
      </c>
      <c r="AX420" s="182">
        <v>2.5700000000000001E-2</v>
      </c>
      <c r="AY420" s="185">
        <v>395</v>
      </c>
      <c r="AZ420" s="184">
        <f t="shared" si="489"/>
        <v>2.5700000000000001E-2</v>
      </c>
      <c r="BA420" s="190">
        <v>107</v>
      </c>
      <c r="BB420" s="185">
        <v>395</v>
      </c>
      <c r="BC420" s="183">
        <f t="shared" si="490"/>
        <v>107</v>
      </c>
      <c r="BG420" s="182">
        <v>2.5700000000000001E-2</v>
      </c>
      <c r="BH420" s="185">
        <v>395</v>
      </c>
      <c r="BI420" s="184">
        <f t="shared" si="491"/>
        <v>2.5700000000000001E-2</v>
      </c>
      <c r="CW420" s="364"/>
      <c r="CX420" s="316"/>
      <c r="CY420" s="316"/>
      <c r="DA420" s="309">
        <v>419</v>
      </c>
      <c r="DB420" s="313">
        <f t="shared" si="464"/>
        <v>352.50352815753877</v>
      </c>
      <c r="DC420" s="309">
        <f t="shared" si="465"/>
        <v>1</v>
      </c>
      <c r="DD420" s="309">
        <f t="shared" si="466"/>
        <v>260</v>
      </c>
      <c r="DE420" s="308">
        <f t="shared" si="467"/>
        <v>6.5000000000000002E-2</v>
      </c>
      <c r="DF420" s="313">
        <f t="shared" si="482"/>
        <v>419</v>
      </c>
      <c r="DG420" s="313">
        <f t="shared" si="471"/>
        <v>260</v>
      </c>
      <c r="DH420" s="313">
        <f t="shared" si="472"/>
        <v>260</v>
      </c>
      <c r="DI420" s="313">
        <f t="shared" si="473"/>
        <v>0</v>
      </c>
      <c r="DJ420" s="313">
        <f t="shared" si="474"/>
        <v>0</v>
      </c>
      <c r="DK420" s="313">
        <f t="shared" si="483"/>
        <v>104024.51726962168</v>
      </c>
      <c r="DL420" s="313">
        <f t="shared" si="475"/>
        <v>47060</v>
      </c>
      <c r="DM420" s="314">
        <f t="shared" si="476"/>
        <v>18.90570280914724</v>
      </c>
      <c r="DN420" s="312">
        <f t="shared" si="477"/>
        <v>4.512100909104353E-2</v>
      </c>
      <c r="DO420" s="312">
        <f t="shared" si="484"/>
        <v>1</v>
      </c>
      <c r="DP420" s="315">
        <f t="shared" si="468"/>
        <v>6.5000000000000002E-2</v>
      </c>
      <c r="DQ420" s="316">
        <f t="shared" si="478"/>
        <v>0.25</v>
      </c>
      <c r="DR420" s="316">
        <f t="shared" si="479"/>
        <v>108.57075452294252</v>
      </c>
      <c r="DS420" s="314">
        <f t="shared" si="480"/>
        <v>3.8592344857607066</v>
      </c>
      <c r="DT420" s="316">
        <f t="shared" si="481"/>
        <v>108.57075452294252</v>
      </c>
      <c r="DU420" s="314">
        <f t="shared" si="469"/>
        <v>3.8592344857607066</v>
      </c>
      <c r="DV420" s="316">
        <f t="shared" si="485"/>
        <v>45.25</v>
      </c>
      <c r="DW420" s="310">
        <f t="shared" si="470"/>
        <v>4.0220994475138125</v>
      </c>
      <c r="FB420" s="307"/>
      <c r="FC420" s="307"/>
      <c r="FF420" s="307"/>
      <c r="FG420" s="307"/>
      <c r="FH420" s="306"/>
      <c r="FJ420" s="307"/>
      <c r="FK420" s="307"/>
      <c r="FL420" s="306"/>
      <c r="FM420" s="307"/>
      <c r="FN420" s="306"/>
      <c r="FO420" s="307"/>
      <c r="FP420" s="306"/>
    </row>
    <row r="421" spans="29:172">
      <c r="AC421" s="156"/>
      <c r="AI421" s="190">
        <v>106</v>
      </c>
      <c r="AJ421" s="185">
        <v>396</v>
      </c>
      <c r="AK421" s="183">
        <f t="shared" si="486"/>
        <v>106</v>
      </c>
      <c r="AO421" s="182">
        <v>2.5600000000000001E-2</v>
      </c>
      <c r="AP421" s="185">
        <v>396</v>
      </c>
      <c r="AQ421" s="184">
        <f t="shared" si="487"/>
        <v>2.5600000000000001E-2</v>
      </c>
      <c r="AR421" s="190">
        <v>106</v>
      </c>
      <c r="AS421" s="185">
        <v>396</v>
      </c>
      <c r="AT421" s="183">
        <f t="shared" si="488"/>
        <v>106</v>
      </c>
      <c r="AX421" s="182">
        <v>2.5600000000000001E-2</v>
      </c>
      <c r="AY421" s="185">
        <v>396</v>
      </c>
      <c r="AZ421" s="184">
        <f t="shared" si="489"/>
        <v>2.5600000000000001E-2</v>
      </c>
      <c r="BA421" s="190">
        <v>106</v>
      </c>
      <c r="BB421" s="185">
        <v>396</v>
      </c>
      <c r="BC421" s="183">
        <f t="shared" si="490"/>
        <v>106</v>
      </c>
      <c r="BG421" s="182">
        <v>2.5600000000000001E-2</v>
      </c>
      <c r="BH421" s="185">
        <v>396</v>
      </c>
      <c r="BI421" s="184">
        <f t="shared" si="491"/>
        <v>2.5600000000000001E-2</v>
      </c>
      <c r="CW421" s="364"/>
      <c r="CX421" s="316"/>
      <c r="CY421" s="316"/>
      <c r="DA421" s="309">
        <v>420</v>
      </c>
      <c r="DB421" s="313">
        <f t="shared" si="464"/>
        <v>352.86749839180499</v>
      </c>
      <c r="DC421" s="309">
        <f t="shared" si="465"/>
        <v>1</v>
      </c>
      <c r="DD421" s="309">
        <f t="shared" si="466"/>
        <v>260</v>
      </c>
      <c r="DE421" s="308">
        <f t="shared" si="467"/>
        <v>6.5000000000000002E-2</v>
      </c>
      <c r="DF421" s="313">
        <f t="shared" si="482"/>
        <v>420</v>
      </c>
      <c r="DG421" s="313">
        <f t="shared" si="471"/>
        <v>260</v>
      </c>
      <c r="DH421" s="313">
        <f t="shared" si="472"/>
        <v>260</v>
      </c>
      <c r="DI421" s="313">
        <f t="shared" si="473"/>
        <v>0</v>
      </c>
      <c r="DJ421" s="313">
        <f t="shared" si="474"/>
        <v>0</v>
      </c>
      <c r="DK421" s="313">
        <f t="shared" si="483"/>
        <v>104284.51726962168</v>
      </c>
      <c r="DL421" s="313">
        <f t="shared" si="475"/>
        <v>46800</v>
      </c>
      <c r="DM421" s="314">
        <f t="shared" si="476"/>
        <v>18.90570280914724</v>
      </c>
      <c r="DN421" s="312">
        <f t="shared" si="477"/>
        <v>4.5013578117017235E-2</v>
      </c>
      <c r="DO421" s="312">
        <f t="shared" si="484"/>
        <v>1</v>
      </c>
      <c r="DP421" s="315">
        <f t="shared" si="468"/>
        <v>6.5000000000000002E-2</v>
      </c>
      <c r="DQ421" s="316">
        <f t="shared" si="478"/>
        <v>0.25</v>
      </c>
      <c r="DR421" s="316">
        <f t="shared" si="479"/>
        <v>108.82075452294252</v>
      </c>
      <c r="DS421" s="314">
        <f t="shared" si="480"/>
        <v>3.859557874242197</v>
      </c>
      <c r="DT421" s="316">
        <f t="shared" si="481"/>
        <v>108.82075452294252</v>
      </c>
      <c r="DU421" s="314">
        <f t="shared" si="469"/>
        <v>3.859557874242197</v>
      </c>
      <c r="DV421" s="316">
        <f t="shared" si="485"/>
        <v>45</v>
      </c>
      <c r="DW421" s="310">
        <f t="shared" si="470"/>
        <v>4.0222222222222221</v>
      </c>
      <c r="FB421" s="307"/>
      <c r="FC421" s="307"/>
      <c r="FF421" s="307"/>
      <c r="FG421" s="307"/>
      <c r="FH421" s="306"/>
      <c r="FJ421" s="307"/>
      <c r="FK421" s="307"/>
      <c r="FL421" s="306"/>
      <c r="FM421" s="307"/>
      <c r="FN421" s="306"/>
      <c r="FO421" s="307"/>
      <c r="FP421" s="306"/>
    </row>
    <row r="422" spans="29:172">
      <c r="AC422" s="156"/>
      <c r="AI422" s="190">
        <v>105</v>
      </c>
      <c r="AJ422" s="185">
        <v>397</v>
      </c>
      <c r="AK422" s="183">
        <f t="shared" si="486"/>
        <v>105</v>
      </c>
      <c r="AO422" s="182">
        <v>2.5499999999999998E-2</v>
      </c>
      <c r="AP422" s="185">
        <v>397</v>
      </c>
      <c r="AQ422" s="184">
        <f t="shared" si="487"/>
        <v>2.5499999999999998E-2</v>
      </c>
      <c r="AR422" s="190">
        <v>105</v>
      </c>
      <c r="AS422" s="185">
        <v>397</v>
      </c>
      <c r="AT422" s="183">
        <f t="shared" si="488"/>
        <v>105</v>
      </c>
      <c r="AX422" s="182">
        <v>2.5499999999999998E-2</v>
      </c>
      <c r="AY422" s="185">
        <v>397</v>
      </c>
      <c r="AZ422" s="184">
        <f t="shared" si="489"/>
        <v>2.5499999999999998E-2</v>
      </c>
      <c r="BA422" s="190">
        <v>105</v>
      </c>
      <c r="BB422" s="185">
        <v>397</v>
      </c>
      <c r="BC422" s="183">
        <f t="shared" si="490"/>
        <v>105</v>
      </c>
      <c r="BG422" s="182">
        <v>2.5499999999999998E-2</v>
      </c>
      <c r="BH422" s="185">
        <v>397</v>
      </c>
      <c r="BI422" s="184">
        <f t="shared" si="491"/>
        <v>2.5499999999999998E-2</v>
      </c>
      <c r="CW422" s="364"/>
      <c r="CX422" s="316"/>
      <c r="CY422" s="316"/>
      <c r="DA422" s="309">
        <v>421</v>
      </c>
      <c r="DB422" s="313">
        <f t="shared" si="464"/>
        <v>353.23146862607121</v>
      </c>
      <c r="DC422" s="309">
        <f t="shared" si="465"/>
        <v>1</v>
      </c>
      <c r="DD422" s="309">
        <f t="shared" si="466"/>
        <v>260</v>
      </c>
      <c r="DE422" s="308">
        <f t="shared" si="467"/>
        <v>6.5000000000000002E-2</v>
      </c>
      <c r="DF422" s="313">
        <f t="shared" si="482"/>
        <v>421</v>
      </c>
      <c r="DG422" s="313">
        <f t="shared" si="471"/>
        <v>260</v>
      </c>
      <c r="DH422" s="313">
        <f t="shared" si="472"/>
        <v>260</v>
      </c>
      <c r="DI422" s="313">
        <f t="shared" si="473"/>
        <v>0</v>
      </c>
      <c r="DJ422" s="313">
        <f t="shared" si="474"/>
        <v>0</v>
      </c>
      <c r="DK422" s="313">
        <f t="shared" si="483"/>
        <v>104544.51726962168</v>
      </c>
      <c r="DL422" s="313">
        <f t="shared" si="475"/>
        <v>46540</v>
      </c>
      <c r="DM422" s="314">
        <f t="shared" si="476"/>
        <v>18.90570280914724</v>
      </c>
      <c r="DN422" s="312">
        <f t="shared" si="477"/>
        <v>4.4906657503912685E-2</v>
      </c>
      <c r="DO422" s="312">
        <f t="shared" si="484"/>
        <v>1</v>
      </c>
      <c r="DP422" s="315">
        <f t="shared" si="468"/>
        <v>6.5000000000000002E-2</v>
      </c>
      <c r="DQ422" s="316">
        <f t="shared" si="478"/>
        <v>0.25</v>
      </c>
      <c r="DR422" s="316">
        <f t="shared" si="479"/>
        <v>109.07075452294252</v>
      </c>
      <c r="DS422" s="314">
        <f t="shared" si="480"/>
        <v>3.8598797802525939</v>
      </c>
      <c r="DT422" s="316">
        <f t="shared" si="481"/>
        <v>109.07075452294252</v>
      </c>
      <c r="DU422" s="314">
        <f t="shared" si="469"/>
        <v>3.8598797802525939</v>
      </c>
      <c r="DV422" s="316">
        <f t="shared" si="485"/>
        <v>44.75</v>
      </c>
      <c r="DW422" s="310">
        <f t="shared" si="470"/>
        <v>4.022346368715084</v>
      </c>
      <c r="FB422" s="307"/>
      <c r="FC422" s="307"/>
      <c r="FF422" s="307"/>
      <c r="FG422" s="307"/>
      <c r="FH422" s="306"/>
      <c r="FJ422" s="307"/>
      <c r="FK422" s="307"/>
      <c r="FL422" s="306"/>
      <c r="FM422" s="307"/>
      <c r="FN422" s="306"/>
      <c r="FO422" s="307"/>
      <c r="FP422" s="306"/>
    </row>
    <row r="423" spans="29:172">
      <c r="AC423" s="156"/>
      <c r="AI423" s="190">
        <v>104</v>
      </c>
      <c r="AJ423" s="185">
        <v>398</v>
      </c>
      <c r="AK423" s="183">
        <f t="shared" si="486"/>
        <v>104</v>
      </c>
      <c r="AO423" s="182">
        <v>2.5399999999999999E-2</v>
      </c>
      <c r="AP423" s="185">
        <v>398</v>
      </c>
      <c r="AQ423" s="184">
        <f t="shared" si="487"/>
        <v>2.5399999999999999E-2</v>
      </c>
      <c r="AR423" s="190">
        <v>104</v>
      </c>
      <c r="AS423" s="185">
        <v>398</v>
      </c>
      <c r="AT423" s="183">
        <f t="shared" si="488"/>
        <v>104</v>
      </c>
      <c r="AX423" s="182">
        <v>2.5399999999999999E-2</v>
      </c>
      <c r="AY423" s="185">
        <v>398</v>
      </c>
      <c r="AZ423" s="184">
        <f t="shared" si="489"/>
        <v>2.5399999999999999E-2</v>
      </c>
      <c r="BA423" s="190">
        <v>104</v>
      </c>
      <c r="BB423" s="185">
        <v>398</v>
      </c>
      <c r="BC423" s="183">
        <f t="shared" si="490"/>
        <v>104</v>
      </c>
      <c r="BG423" s="182">
        <v>2.5399999999999999E-2</v>
      </c>
      <c r="BH423" s="185">
        <v>398</v>
      </c>
      <c r="BI423" s="184">
        <f t="shared" si="491"/>
        <v>2.5399999999999999E-2</v>
      </c>
      <c r="CW423" s="364"/>
      <c r="CX423" s="316"/>
      <c r="CY423" s="316"/>
      <c r="DA423" s="309">
        <v>422</v>
      </c>
      <c r="DB423" s="313">
        <f t="shared" si="464"/>
        <v>353.59543886033737</v>
      </c>
      <c r="DC423" s="309">
        <f t="shared" si="465"/>
        <v>1</v>
      </c>
      <c r="DD423" s="309">
        <f t="shared" si="466"/>
        <v>260</v>
      </c>
      <c r="DE423" s="308">
        <f t="shared" si="467"/>
        <v>6.5000000000000002E-2</v>
      </c>
      <c r="DF423" s="313">
        <f t="shared" si="482"/>
        <v>422</v>
      </c>
      <c r="DG423" s="313">
        <f t="shared" si="471"/>
        <v>260</v>
      </c>
      <c r="DH423" s="313">
        <f t="shared" si="472"/>
        <v>260</v>
      </c>
      <c r="DI423" s="313">
        <f t="shared" si="473"/>
        <v>0</v>
      </c>
      <c r="DJ423" s="313">
        <f t="shared" si="474"/>
        <v>0</v>
      </c>
      <c r="DK423" s="313">
        <f t="shared" si="483"/>
        <v>104804.51726962168</v>
      </c>
      <c r="DL423" s="313">
        <f t="shared" si="475"/>
        <v>46280</v>
      </c>
      <c r="DM423" s="314">
        <f t="shared" si="476"/>
        <v>18.90570280914724</v>
      </c>
      <c r="DN423" s="312">
        <f t="shared" si="477"/>
        <v>4.4800243623571656E-2</v>
      </c>
      <c r="DO423" s="312">
        <f t="shared" si="484"/>
        <v>1</v>
      </c>
      <c r="DP423" s="315">
        <f t="shared" si="468"/>
        <v>6.5000000000000002E-2</v>
      </c>
      <c r="DQ423" s="316">
        <f t="shared" si="478"/>
        <v>0.25</v>
      </c>
      <c r="DR423" s="316">
        <f t="shared" si="479"/>
        <v>109.32075452294252</v>
      </c>
      <c r="DS423" s="314">
        <f t="shared" si="480"/>
        <v>3.8602002139624574</v>
      </c>
      <c r="DT423" s="316">
        <f t="shared" si="481"/>
        <v>109.32075452294252</v>
      </c>
      <c r="DU423" s="314">
        <f t="shared" si="469"/>
        <v>3.8602002139624574</v>
      </c>
      <c r="DV423" s="316">
        <f t="shared" si="485"/>
        <v>44.5</v>
      </c>
      <c r="DW423" s="310">
        <f t="shared" si="470"/>
        <v>4.0224719101123592</v>
      </c>
      <c r="FB423" s="307"/>
      <c r="FC423" s="307"/>
      <c r="FF423" s="307"/>
      <c r="FG423" s="307"/>
      <c r="FH423" s="306"/>
      <c r="FJ423" s="307"/>
      <c r="FK423" s="307"/>
      <c r="FL423" s="306"/>
      <c r="FM423" s="307"/>
      <c r="FN423" s="306"/>
      <c r="FO423" s="307"/>
      <c r="FP423" s="306"/>
    </row>
    <row r="424" spans="29:172">
      <c r="AC424" s="156"/>
      <c r="AI424" s="190">
        <v>103</v>
      </c>
      <c r="AJ424" s="185">
        <v>399</v>
      </c>
      <c r="AK424" s="183">
        <f t="shared" si="486"/>
        <v>103</v>
      </c>
      <c r="AO424" s="182">
        <v>2.53E-2</v>
      </c>
      <c r="AP424" s="185">
        <v>399</v>
      </c>
      <c r="AQ424" s="184">
        <f t="shared" si="487"/>
        <v>2.53E-2</v>
      </c>
      <c r="AR424" s="190">
        <v>103</v>
      </c>
      <c r="AS424" s="185">
        <v>399</v>
      </c>
      <c r="AT424" s="183">
        <f t="shared" si="488"/>
        <v>103</v>
      </c>
      <c r="AX424" s="182">
        <v>2.53E-2</v>
      </c>
      <c r="AY424" s="185">
        <v>399</v>
      </c>
      <c r="AZ424" s="184">
        <f t="shared" si="489"/>
        <v>2.53E-2</v>
      </c>
      <c r="BA424" s="190">
        <v>103</v>
      </c>
      <c r="BB424" s="185">
        <v>399</v>
      </c>
      <c r="BC424" s="183">
        <f t="shared" si="490"/>
        <v>103</v>
      </c>
      <c r="BG424" s="182">
        <v>2.53E-2</v>
      </c>
      <c r="BH424" s="185">
        <v>399</v>
      </c>
      <c r="BI424" s="184">
        <f t="shared" si="491"/>
        <v>2.53E-2</v>
      </c>
      <c r="CW424" s="364"/>
      <c r="CX424" s="316"/>
      <c r="CY424" s="316"/>
      <c r="DA424" s="309">
        <v>423</v>
      </c>
      <c r="DB424" s="313">
        <f t="shared" si="464"/>
        <v>353.95940909460359</v>
      </c>
      <c r="DC424" s="309">
        <f t="shared" si="465"/>
        <v>1</v>
      </c>
      <c r="DD424" s="309">
        <f t="shared" si="466"/>
        <v>260</v>
      </c>
      <c r="DE424" s="308">
        <f t="shared" si="467"/>
        <v>6.5000000000000002E-2</v>
      </c>
      <c r="DF424" s="313">
        <f t="shared" si="482"/>
        <v>423</v>
      </c>
      <c r="DG424" s="313">
        <f t="shared" si="471"/>
        <v>260</v>
      </c>
      <c r="DH424" s="313">
        <f t="shared" si="472"/>
        <v>260</v>
      </c>
      <c r="DI424" s="313">
        <f t="shared" si="473"/>
        <v>0</v>
      </c>
      <c r="DJ424" s="313">
        <f t="shared" si="474"/>
        <v>0</v>
      </c>
      <c r="DK424" s="313">
        <f t="shared" si="483"/>
        <v>105064.51726962168</v>
      </c>
      <c r="DL424" s="313">
        <f t="shared" si="475"/>
        <v>46020</v>
      </c>
      <c r="DM424" s="314">
        <f t="shared" si="476"/>
        <v>18.90570280914724</v>
      </c>
      <c r="DN424" s="312">
        <f t="shared" si="477"/>
        <v>4.4694332882144777E-2</v>
      </c>
      <c r="DO424" s="312">
        <f t="shared" si="484"/>
        <v>1</v>
      </c>
      <c r="DP424" s="315">
        <f t="shared" si="468"/>
        <v>6.5000000000000002E-2</v>
      </c>
      <c r="DQ424" s="316">
        <f t="shared" si="478"/>
        <v>0.25</v>
      </c>
      <c r="DR424" s="316">
        <f t="shared" si="479"/>
        <v>109.57075452294252</v>
      </c>
      <c r="DS424" s="314">
        <f t="shared" si="480"/>
        <v>3.8605191854495255</v>
      </c>
      <c r="DT424" s="316">
        <f t="shared" si="481"/>
        <v>109.57075452294252</v>
      </c>
      <c r="DU424" s="314">
        <f t="shared" si="469"/>
        <v>3.8605191854495255</v>
      </c>
      <c r="DV424" s="316">
        <f t="shared" si="485"/>
        <v>44.25</v>
      </c>
      <c r="DW424" s="310">
        <f t="shared" si="470"/>
        <v>4.0225988700564974</v>
      </c>
      <c r="FB424" s="307"/>
      <c r="FC424" s="307"/>
      <c r="FF424" s="307"/>
      <c r="FG424" s="307"/>
      <c r="FH424" s="306"/>
      <c r="FJ424" s="307"/>
      <c r="FK424" s="307"/>
      <c r="FL424" s="306"/>
      <c r="FM424" s="307"/>
      <c r="FN424" s="306"/>
      <c r="FO424" s="307"/>
      <c r="FP424" s="306"/>
    </row>
    <row r="425" spans="29:172">
      <c r="AC425" s="156"/>
      <c r="AI425" s="190">
        <v>102</v>
      </c>
      <c r="AJ425" s="185">
        <v>400</v>
      </c>
      <c r="AK425" s="183">
        <f t="shared" si="486"/>
        <v>102</v>
      </c>
      <c r="AO425" s="182">
        <v>2.52E-2</v>
      </c>
      <c r="AP425" s="185">
        <v>400</v>
      </c>
      <c r="AQ425" s="184">
        <f t="shared" si="487"/>
        <v>2.52E-2</v>
      </c>
      <c r="AR425" s="190">
        <v>102</v>
      </c>
      <c r="AS425" s="185">
        <v>400</v>
      </c>
      <c r="AT425" s="183">
        <f t="shared" si="488"/>
        <v>102</v>
      </c>
      <c r="AX425" s="182">
        <v>2.52E-2</v>
      </c>
      <c r="AY425" s="185">
        <v>400</v>
      </c>
      <c r="AZ425" s="184">
        <f t="shared" si="489"/>
        <v>2.52E-2</v>
      </c>
      <c r="BA425" s="190">
        <v>102</v>
      </c>
      <c r="BB425" s="185">
        <v>400</v>
      </c>
      <c r="BC425" s="183">
        <f t="shared" si="490"/>
        <v>102</v>
      </c>
      <c r="BG425" s="182">
        <v>2.52E-2</v>
      </c>
      <c r="BH425" s="185">
        <v>400</v>
      </c>
      <c r="BI425" s="184">
        <f t="shared" si="491"/>
        <v>2.52E-2</v>
      </c>
      <c r="CW425" s="364"/>
      <c r="CX425" s="316"/>
      <c r="CY425" s="316"/>
      <c r="DA425" s="309">
        <v>424</v>
      </c>
      <c r="DB425" s="313">
        <f t="shared" si="464"/>
        <v>354.32337932886981</v>
      </c>
      <c r="DC425" s="309">
        <f t="shared" si="465"/>
        <v>1</v>
      </c>
      <c r="DD425" s="309">
        <f t="shared" si="466"/>
        <v>260</v>
      </c>
      <c r="DE425" s="308">
        <f t="shared" si="467"/>
        <v>6.5000000000000002E-2</v>
      </c>
      <c r="DF425" s="313">
        <f t="shared" si="482"/>
        <v>424</v>
      </c>
      <c r="DG425" s="313">
        <f t="shared" si="471"/>
        <v>260</v>
      </c>
      <c r="DH425" s="313">
        <f t="shared" si="472"/>
        <v>260</v>
      </c>
      <c r="DI425" s="313">
        <f t="shared" si="473"/>
        <v>0</v>
      </c>
      <c r="DJ425" s="313">
        <f t="shared" si="474"/>
        <v>0</v>
      </c>
      <c r="DK425" s="313">
        <f t="shared" si="483"/>
        <v>105324.51726962168</v>
      </c>
      <c r="DL425" s="313">
        <f t="shared" si="475"/>
        <v>45760</v>
      </c>
      <c r="DM425" s="314">
        <f t="shared" si="476"/>
        <v>18.90570280914724</v>
      </c>
      <c r="DN425" s="312">
        <f t="shared" si="477"/>
        <v>4.4588921719686883E-2</v>
      </c>
      <c r="DO425" s="312">
        <f t="shared" si="484"/>
        <v>1</v>
      </c>
      <c r="DP425" s="315">
        <f t="shared" si="468"/>
        <v>6.5000000000000002E-2</v>
      </c>
      <c r="DQ425" s="316">
        <f t="shared" si="478"/>
        <v>0.25</v>
      </c>
      <c r="DR425" s="316">
        <f t="shared" si="479"/>
        <v>109.82075452294252</v>
      </c>
      <c r="DS425" s="314">
        <f t="shared" si="480"/>
        <v>3.8608367046997722</v>
      </c>
      <c r="DT425" s="316">
        <f t="shared" si="481"/>
        <v>109.82075452294252</v>
      </c>
      <c r="DU425" s="314">
        <f t="shared" si="469"/>
        <v>3.8608367046997722</v>
      </c>
      <c r="DV425" s="316">
        <f t="shared" si="485"/>
        <v>44</v>
      </c>
      <c r="DW425" s="310">
        <f t="shared" si="470"/>
        <v>4.0227272727272725</v>
      </c>
      <c r="FB425" s="307"/>
      <c r="FC425" s="307"/>
      <c r="FF425" s="307"/>
      <c r="FG425" s="307"/>
      <c r="FH425" s="306"/>
      <c r="FJ425" s="307"/>
      <c r="FK425" s="307"/>
      <c r="FL425" s="306"/>
      <c r="FM425" s="307"/>
      <c r="FN425" s="306"/>
      <c r="FO425" s="307"/>
      <c r="FP425" s="306"/>
    </row>
    <row r="426" spans="29:172">
      <c r="AC426" s="156"/>
      <c r="AI426" s="190">
        <v>101</v>
      </c>
      <c r="AJ426" s="185">
        <v>401</v>
      </c>
      <c r="AK426" s="183">
        <f t="shared" si="486"/>
        <v>101</v>
      </c>
      <c r="AO426" s="182">
        <v>2.5100000000000001E-2</v>
      </c>
      <c r="AP426" s="185">
        <v>401</v>
      </c>
      <c r="AQ426" s="184">
        <f t="shared" si="487"/>
        <v>2.5100000000000001E-2</v>
      </c>
      <c r="AR426" s="190">
        <v>101</v>
      </c>
      <c r="AS426" s="185">
        <v>401</v>
      </c>
      <c r="AT426" s="183">
        <f t="shared" si="488"/>
        <v>101</v>
      </c>
      <c r="AX426" s="182">
        <v>2.5100000000000001E-2</v>
      </c>
      <c r="AY426" s="185">
        <v>401</v>
      </c>
      <c r="AZ426" s="184">
        <f t="shared" si="489"/>
        <v>2.5100000000000001E-2</v>
      </c>
      <c r="BA426" s="190">
        <v>101</v>
      </c>
      <c r="BB426" s="185">
        <v>401</v>
      </c>
      <c r="BC426" s="183">
        <f t="shared" si="490"/>
        <v>101</v>
      </c>
      <c r="BG426" s="182">
        <v>2.5100000000000001E-2</v>
      </c>
      <c r="BH426" s="185">
        <v>401</v>
      </c>
      <c r="BI426" s="184">
        <f t="shared" si="491"/>
        <v>2.5100000000000001E-2</v>
      </c>
      <c r="CW426" s="364"/>
      <c r="CX426" s="316"/>
      <c r="CY426" s="316"/>
      <c r="DA426" s="309">
        <v>425</v>
      </c>
      <c r="DB426" s="313">
        <f t="shared" si="464"/>
        <v>354.68734956313597</v>
      </c>
      <c r="DC426" s="309">
        <f t="shared" si="465"/>
        <v>1</v>
      </c>
      <c r="DD426" s="309">
        <f t="shared" si="466"/>
        <v>260</v>
      </c>
      <c r="DE426" s="308">
        <f t="shared" si="467"/>
        <v>6.5000000000000002E-2</v>
      </c>
      <c r="DF426" s="313">
        <f t="shared" si="482"/>
        <v>425</v>
      </c>
      <c r="DG426" s="313">
        <f t="shared" si="471"/>
        <v>260</v>
      </c>
      <c r="DH426" s="313">
        <f t="shared" si="472"/>
        <v>260</v>
      </c>
      <c r="DI426" s="313">
        <f t="shared" si="473"/>
        <v>0</v>
      </c>
      <c r="DJ426" s="313">
        <f t="shared" si="474"/>
        <v>0</v>
      </c>
      <c r="DK426" s="313">
        <f t="shared" si="483"/>
        <v>105584.51726962168</v>
      </c>
      <c r="DL426" s="313">
        <f t="shared" si="475"/>
        <v>45500</v>
      </c>
      <c r="DM426" s="314">
        <f t="shared" si="476"/>
        <v>18.90570280914724</v>
      </c>
      <c r="DN426" s="312">
        <f t="shared" si="477"/>
        <v>4.4484006609758209E-2</v>
      </c>
      <c r="DO426" s="312">
        <f t="shared" si="484"/>
        <v>1</v>
      </c>
      <c r="DP426" s="315">
        <f t="shared" si="468"/>
        <v>6.5000000000000002E-2</v>
      </c>
      <c r="DQ426" s="316">
        <f t="shared" si="478"/>
        <v>0.25</v>
      </c>
      <c r="DR426" s="316">
        <f t="shared" si="479"/>
        <v>110.07075452294252</v>
      </c>
      <c r="DS426" s="314">
        <f t="shared" si="480"/>
        <v>3.8611527816084465</v>
      </c>
      <c r="DT426" s="316">
        <f t="shared" si="481"/>
        <v>110.07075452294252</v>
      </c>
      <c r="DU426" s="314">
        <f t="shared" si="469"/>
        <v>3.8611527816084465</v>
      </c>
      <c r="DV426" s="316">
        <f t="shared" si="485"/>
        <v>43.75</v>
      </c>
      <c r="DW426" s="310">
        <f t="shared" si="470"/>
        <v>4.0228571428571431</v>
      </c>
      <c r="FB426" s="307"/>
      <c r="FC426" s="307"/>
      <c r="FF426" s="307"/>
      <c r="FG426" s="307"/>
      <c r="FH426" s="306"/>
      <c r="FJ426" s="307"/>
      <c r="FK426" s="307"/>
      <c r="FL426" s="306"/>
      <c r="FM426" s="307"/>
      <c r="FN426" s="306"/>
      <c r="FO426" s="307"/>
      <c r="FP426" s="306"/>
    </row>
    <row r="427" spans="29:172">
      <c r="AC427" s="156"/>
      <c r="AI427" s="190">
        <v>100</v>
      </c>
      <c r="AJ427" s="185">
        <v>402</v>
      </c>
      <c r="AK427" s="183">
        <f t="shared" si="486"/>
        <v>100</v>
      </c>
      <c r="AO427" s="182">
        <v>2.5000000000000001E-2</v>
      </c>
      <c r="AP427" s="185">
        <v>402</v>
      </c>
      <c r="AQ427" s="184">
        <f t="shared" si="487"/>
        <v>2.5000000000000001E-2</v>
      </c>
      <c r="AR427" s="190">
        <v>100</v>
      </c>
      <c r="AS427" s="185">
        <v>402</v>
      </c>
      <c r="AT427" s="183">
        <f t="shared" si="488"/>
        <v>100</v>
      </c>
      <c r="AX427" s="182">
        <v>2.5000000000000001E-2</v>
      </c>
      <c r="AY427" s="185">
        <v>402</v>
      </c>
      <c r="AZ427" s="184">
        <f t="shared" si="489"/>
        <v>2.5000000000000001E-2</v>
      </c>
      <c r="BA427" s="190">
        <v>100</v>
      </c>
      <c r="BB427" s="185">
        <v>402</v>
      </c>
      <c r="BC427" s="183">
        <f t="shared" si="490"/>
        <v>100</v>
      </c>
      <c r="BG427" s="182">
        <v>2.5000000000000001E-2</v>
      </c>
      <c r="BH427" s="185">
        <v>402</v>
      </c>
      <c r="BI427" s="184">
        <f t="shared" si="491"/>
        <v>2.5000000000000001E-2</v>
      </c>
      <c r="CW427" s="364"/>
      <c r="CX427" s="316"/>
      <c r="CY427" s="316"/>
      <c r="DA427" s="309">
        <v>426</v>
      </c>
      <c r="DB427" s="313">
        <f t="shared" si="464"/>
        <v>355.05131979740219</v>
      </c>
      <c r="DC427" s="309">
        <f t="shared" si="465"/>
        <v>1</v>
      </c>
      <c r="DD427" s="309">
        <f t="shared" si="466"/>
        <v>260</v>
      </c>
      <c r="DE427" s="308">
        <f t="shared" si="467"/>
        <v>6.5000000000000002E-2</v>
      </c>
      <c r="DF427" s="313">
        <f t="shared" si="482"/>
        <v>426</v>
      </c>
      <c r="DG427" s="313">
        <f t="shared" si="471"/>
        <v>260</v>
      </c>
      <c r="DH427" s="313">
        <f t="shared" si="472"/>
        <v>260</v>
      </c>
      <c r="DI427" s="313">
        <f t="shared" si="473"/>
        <v>0</v>
      </c>
      <c r="DJ427" s="313">
        <f t="shared" si="474"/>
        <v>0</v>
      </c>
      <c r="DK427" s="313">
        <f t="shared" si="483"/>
        <v>105844.51726962168</v>
      </c>
      <c r="DL427" s="313">
        <f t="shared" si="475"/>
        <v>45240</v>
      </c>
      <c r="DM427" s="314">
        <f t="shared" si="476"/>
        <v>18.90570280914724</v>
      </c>
      <c r="DN427" s="312">
        <f t="shared" si="477"/>
        <v>4.4379584059031078E-2</v>
      </c>
      <c r="DO427" s="312">
        <f t="shared" si="484"/>
        <v>1</v>
      </c>
      <c r="DP427" s="315">
        <f t="shared" si="468"/>
        <v>6.5000000000000002E-2</v>
      </c>
      <c r="DQ427" s="316">
        <f t="shared" si="478"/>
        <v>0.25</v>
      </c>
      <c r="DR427" s="316">
        <f t="shared" si="479"/>
        <v>110.32075452294252</v>
      </c>
      <c r="DS427" s="314">
        <f t="shared" si="480"/>
        <v>3.861467425981103</v>
      </c>
      <c r="DT427" s="316">
        <f t="shared" si="481"/>
        <v>110.32075452294252</v>
      </c>
      <c r="DU427" s="314">
        <f t="shared" si="469"/>
        <v>3.861467425981103</v>
      </c>
      <c r="DV427" s="316">
        <f t="shared" si="485"/>
        <v>43.5</v>
      </c>
      <c r="DW427" s="310">
        <f t="shared" si="470"/>
        <v>4.0229885057471266</v>
      </c>
      <c r="FB427" s="307"/>
      <c r="FC427" s="307"/>
      <c r="FF427" s="307"/>
      <c r="FG427" s="307"/>
      <c r="FH427" s="306"/>
      <c r="FJ427" s="307"/>
      <c r="FK427" s="307"/>
      <c r="FL427" s="306"/>
      <c r="FM427" s="307"/>
      <c r="FN427" s="306"/>
      <c r="FO427" s="307"/>
      <c r="FP427" s="306"/>
    </row>
    <row r="428" spans="29:172">
      <c r="AC428" s="156"/>
      <c r="AI428" s="190">
        <v>99</v>
      </c>
      <c r="AJ428" s="185">
        <v>403</v>
      </c>
      <c r="AK428" s="183">
        <f t="shared" si="486"/>
        <v>99</v>
      </c>
      <c r="AO428" s="182">
        <v>2.4899999999999999E-2</v>
      </c>
      <c r="AP428" s="185">
        <v>403</v>
      </c>
      <c r="AQ428" s="184">
        <f t="shared" si="487"/>
        <v>2.4899999999999999E-2</v>
      </c>
      <c r="AR428" s="190">
        <v>99</v>
      </c>
      <c r="AS428" s="185">
        <v>403</v>
      </c>
      <c r="AT428" s="183">
        <f t="shared" si="488"/>
        <v>99</v>
      </c>
      <c r="AX428" s="182">
        <v>2.4899999999999999E-2</v>
      </c>
      <c r="AY428" s="185">
        <v>403</v>
      </c>
      <c r="AZ428" s="184">
        <f t="shared" si="489"/>
        <v>2.4899999999999999E-2</v>
      </c>
      <c r="BA428" s="190">
        <v>99</v>
      </c>
      <c r="BB428" s="185">
        <v>403</v>
      </c>
      <c r="BC428" s="183">
        <f t="shared" si="490"/>
        <v>99</v>
      </c>
      <c r="BG428" s="182">
        <v>2.4899999999999999E-2</v>
      </c>
      <c r="BH428" s="185">
        <v>403</v>
      </c>
      <c r="BI428" s="184">
        <f t="shared" si="491"/>
        <v>2.4899999999999999E-2</v>
      </c>
      <c r="CW428" s="364"/>
      <c r="CX428" s="316"/>
      <c r="CY428" s="316"/>
      <c r="DA428" s="309">
        <v>427</v>
      </c>
      <c r="DB428" s="313">
        <f t="shared" si="464"/>
        <v>355.41529003166841</v>
      </c>
      <c r="DC428" s="309">
        <f t="shared" si="465"/>
        <v>1</v>
      </c>
      <c r="DD428" s="309">
        <f t="shared" si="466"/>
        <v>260</v>
      </c>
      <c r="DE428" s="308">
        <f t="shared" si="467"/>
        <v>6.5000000000000002E-2</v>
      </c>
      <c r="DF428" s="313">
        <f t="shared" si="482"/>
        <v>427</v>
      </c>
      <c r="DG428" s="313">
        <f t="shared" si="471"/>
        <v>260</v>
      </c>
      <c r="DH428" s="313">
        <f t="shared" si="472"/>
        <v>260</v>
      </c>
      <c r="DI428" s="313">
        <f t="shared" si="473"/>
        <v>0</v>
      </c>
      <c r="DJ428" s="313">
        <f t="shared" si="474"/>
        <v>0</v>
      </c>
      <c r="DK428" s="313">
        <f t="shared" si="483"/>
        <v>106104.51726962168</v>
      </c>
      <c r="DL428" s="313">
        <f t="shared" si="475"/>
        <v>44980</v>
      </c>
      <c r="DM428" s="314">
        <f t="shared" si="476"/>
        <v>18.90570280914724</v>
      </c>
      <c r="DN428" s="312">
        <f t="shared" si="477"/>
        <v>4.4275650606902202E-2</v>
      </c>
      <c r="DO428" s="312">
        <f t="shared" si="484"/>
        <v>1</v>
      </c>
      <c r="DP428" s="315">
        <f t="shared" si="468"/>
        <v>6.5000000000000002E-2</v>
      </c>
      <c r="DQ428" s="316">
        <f t="shared" si="478"/>
        <v>0.25</v>
      </c>
      <c r="DR428" s="316">
        <f t="shared" si="479"/>
        <v>110.57075452294252</v>
      </c>
      <c r="DS428" s="314">
        <f t="shared" si="480"/>
        <v>3.8617806475346157</v>
      </c>
      <c r="DT428" s="316">
        <f t="shared" si="481"/>
        <v>110.57075452294252</v>
      </c>
      <c r="DU428" s="314">
        <f t="shared" si="469"/>
        <v>3.8617806475346157</v>
      </c>
      <c r="DV428" s="316">
        <f t="shared" si="485"/>
        <v>43.25</v>
      </c>
      <c r="DW428" s="310">
        <f t="shared" si="470"/>
        <v>4.0231213872832372</v>
      </c>
      <c r="FB428" s="307"/>
      <c r="FC428" s="307"/>
      <c r="FF428" s="307"/>
      <c r="FG428" s="307"/>
      <c r="FH428" s="306"/>
      <c r="FJ428" s="307"/>
      <c r="FK428" s="307"/>
      <c r="FL428" s="306"/>
      <c r="FM428" s="307"/>
      <c r="FN428" s="306"/>
      <c r="FO428" s="307"/>
      <c r="FP428" s="306"/>
    </row>
    <row r="429" spans="29:172">
      <c r="AC429" s="156"/>
      <c r="AI429" s="190">
        <v>98</v>
      </c>
      <c r="AJ429" s="185">
        <v>404</v>
      </c>
      <c r="AK429" s="183">
        <f t="shared" si="486"/>
        <v>98</v>
      </c>
      <c r="AO429" s="182">
        <v>2.4799999999999999E-2</v>
      </c>
      <c r="AP429" s="185">
        <v>404</v>
      </c>
      <c r="AQ429" s="184">
        <f t="shared" si="487"/>
        <v>2.4799999999999999E-2</v>
      </c>
      <c r="AR429" s="190">
        <v>98</v>
      </c>
      <c r="AS429" s="185">
        <v>404</v>
      </c>
      <c r="AT429" s="183">
        <f t="shared" si="488"/>
        <v>98</v>
      </c>
      <c r="AX429" s="182">
        <v>2.4799999999999999E-2</v>
      </c>
      <c r="AY429" s="185">
        <v>404</v>
      </c>
      <c r="AZ429" s="184">
        <f t="shared" si="489"/>
        <v>2.4799999999999999E-2</v>
      </c>
      <c r="BA429" s="190">
        <v>98</v>
      </c>
      <c r="BB429" s="185">
        <v>404</v>
      </c>
      <c r="BC429" s="183">
        <f t="shared" si="490"/>
        <v>98</v>
      </c>
      <c r="BG429" s="182">
        <v>2.4799999999999999E-2</v>
      </c>
      <c r="BH429" s="185">
        <v>404</v>
      </c>
      <c r="BI429" s="184">
        <f t="shared" si="491"/>
        <v>2.4799999999999999E-2</v>
      </c>
      <c r="CW429" s="364"/>
      <c r="CX429" s="316"/>
      <c r="CY429" s="316"/>
      <c r="DA429" s="309">
        <v>428</v>
      </c>
      <c r="DB429" s="313">
        <f t="shared" si="464"/>
        <v>355.77926026593457</v>
      </c>
      <c r="DC429" s="309">
        <f t="shared" si="465"/>
        <v>1</v>
      </c>
      <c r="DD429" s="309">
        <f t="shared" si="466"/>
        <v>260</v>
      </c>
      <c r="DE429" s="308">
        <f t="shared" si="467"/>
        <v>6.5000000000000002E-2</v>
      </c>
      <c r="DF429" s="313">
        <f t="shared" si="482"/>
        <v>428</v>
      </c>
      <c r="DG429" s="313">
        <f t="shared" si="471"/>
        <v>260</v>
      </c>
      <c r="DH429" s="313">
        <f t="shared" si="472"/>
        <v>260</v>
      </c>
      <c r="DI429" s="313">
        <f t="shared" si="473"/>
        <v>0</v>
      </c>
      <c r="DJ429" s="313">
        <f t="shared" si="474"/>
        <v>0</v>
      </c>
      <c r="DK429" s="313">
        <f t="shared" si="483"/>
        <v>106364.51726962168</v>
      </c>
      <c r="DL429" s="313">
        <f t="shared" si="475"/>
        <v>44720</v>
      </c>
      <c r="DM429" s="314">
        <f t="shared" si="476"/>
        <v>18.90570280914724</v>
      </c>
      <c r="DN429" s="312">
        <f t="shared" si="477"/>
        <v>4.417220282511037E-2</v>
      </c>
      <c r="DO429" s="312">
        <f t="shared" si="484"/>
        <v>1</v>
      </c>
      <c r="DP429" s="315">
        <f t="shared" si="468"/>
        <v>6.5000000000000002E-2</v>
      </c>
      <c r="DQ429" s="316">
        <f t="shared" si="478"/>
        <v>0.25</v>
      </c>
      <c r="DR429" s="316">
        <f t="shared" si="479"/>
        <v>110.82075452294252</v>
      </c>
      <c r="DS429" s="314">
        <f t="shared" si="480"/>
        <v>3.8620924558981762</v>
      </c>
      <c r="DT429" s="316">
        <f t="shared" si="481"/>
        <v>110.82075452294252</v>
      </c>
      <c r="DU429" s="314">
        <f t="shared" si="469"/>
        <v>3.8620924558981762</v>
      </c>
      <c r="DV429" s="316">
        <f t="shared" si="485"/>
        <v>43</v>
      </c>
      <c r="DW429" s="310">
        <f t="shared" si="470"/>
        <v>4.0232558139534884</v>
      </c>
      <c r="FB429" s="307"/>
      <c r="FC429" s="307"/>
      <c r="FF429" s="307"/>
      <c r="FG429" s="307"/>
      <c r="FH429" s="306"/>
      <c r="FJ429" s="307"/>
      <c r="FK429" s="307"/>
      <c r="FL429" s="306"/>
      <c r="FM429" s="307"/>
      <c r="FN429" s="306"/>
      <c r="FO429" s="307"/>
      <c r="FP429" s="306"/>
    </row>
    <row r="430" spans="29:172">
      <c r="AC430" s="156"/>
      <c r="AI430" s="190">
        <v>97</v>
      </c>
      <c r="AJ430" s="185">
        <v>405</v>
      </c>
      <c r="AK430" s="183">
        <f t="shared" si="486"/>
        <v>97</v>
      </c>
      <c r="AO430" s="182">
        <v>2.47E-2</v>
      </c>
      <c r="AP430" s="185">
        <v>405</v>
      </c>
      <c r="AQ430" s="184">
        <f t="shared" si="487"/>
        <v>2.47E-2</v>
      </c>
      <c r="AR430" s="190">
        <v>97</v>
      </c>
      <c r="AS430" s="185">
        <v>405</v>
      </c>
      <c r="AT430" s="183">
        <f t="shared" si="488"/>
        <v>97</v>
      </c>
      <c r="AX430" s="182">
        <v>2.47E-2</v>
      </c>
      <c r="AY430" s="185">
        <v>405</v>
      </c>
      <c r="AZ430" s="184">
        <f t="shared" si="489"/>
        <v>2.47E-2</v>
      </c>
      <c r="BA430" s="190">
        <v>97</v>
      </c>
      <c r="BB430" s="185">
        <v>405</v>
      </c>
      <c r="BC430" s="183">
        <f t="shared" si="490"/>
        <v>97</v>
      </c>
      <c r="BG430" s="182">
        <v>2.47E-2</v>
      </c>
      <c r="BH430" s="185">
        <v>405</v>
      </c>
      <c r="BI430" s="184">
        <f t="shared" si="491"/>
        <v>2.47E-2</v>
      </c>
      <c r="CW430" s="364"/>
      <c r="CX430" s="316"/>
      <c r="CY430" s="316"/>
      <c r="DA430" s="309">
        <v>429</v>
      </c>
      <c r="DB430" s="313">
        <f t="shared" si="464"/>
        <v>356.14323050020084</v>
      </c>
      <c r="DC430" s="309">
        <f t="shared" si="465"/>
        <v>1</v>
      </c>
      <c r="DD430" s="309">
        <f t="shared" si="466"/>
        <v>260</v>
      </c>
      <c r="DE430" s="308">
        <f t="shared" si="467"/>
        <v>6.5000000000000002E-2</v>
      </c>
      <c r="DF430" s="313">
        <f t="shared" si="482"/>
        <v>429</v>
      </c>
      <c r="DG430" s="313">
        <f t="shared" si="471"/>
        <v>260</v>
      </c>
      <c r="DH430" s="313">
        <f t="shared" si="472"/>
        <v>260</v>
      </c>
      <c r="DI430" s="313">
        <f t="shared" si="473"/>
        <v>0</v>
      </c>
      <c r="DJ430" s="313">
        <f t="shared" si="474"/>
        <v>0</v>
      </c>
      <c r="DK430" s="313">
        <f t="shared" si="483"/>
        <v>106624.51726962168</v>
      </c>
      <c r="DL430" s="313">
        <f t="shared" si="475"/>
        <v>44460</v>
      </c>
      <c r="DM430" s="314">
        <f t="shared" si="476"/>
        <v>18.90570280914724</v>
      </c>
      <c r="DN430" s="312">
        <f t="shared" si="477"/>
        <v>4.4069237317359532E-2</v>
      </c>
      <c r="DO430" s="312">
        <f t="shared" si="484"/>
        <v>1</v>
      </c>
      <c r="DP430" s="315">
        <f t="shared" si="468"/>
        <v>6.5000000000000002E-2</v>
      </c>
      <c r="DQ430" s="316">
        <f t="shared" si="478"/>
        <v>0.25</v>
      </c>
      <c r="DR430" s="316">
        <f t="shared" si="479"/>
        <v>111.07075452294252</v>
      </c>
      <c r="DS430" s="314">
        <f t="shared" si="480"/>
        <v>3.8624028606142828</v>
      </c>
      <c r="DT430" s="316">
        <f t="shared" si="481"/>
        <v>111.07075452294252</v>
      </c>
      <c r="DU430" s="314">
        <f t="shared" si="469"/>
        <v>3.8624028606142828</v>
      </c>
      <c r="DV430" s="316">
        <f t="shared" si="485"/>
        <v>42.75</v>
      </c>
      <c r="DW430" s="310">
        <f t="shared" si="470"/>
        <v>4.0233918128654969</v>
      </c>
      <c r="FB430" s="307"/>
      <c r="FC430" s="307"/>
      <c r="FF430" s="307"/>
      <c r="FG430" s="307"/>
      <c r="FH430" s="306"/>
      <c r="FJ430" s="307"/>
      <c r="FK430" s="307"/>
      <c r="FL430" s="306"/>
      <c r="FM430" s="307"/>
      <c r="FN430" s="306"/>
      <c r="FO430" s="307"/>
      <c r="FP430" s="306"/>
    </row>
    <row r="431" spans="29:172">
      <c r="AC431" s="156"/>
      <c r="AI431" s="190">
        <v>96</v>
      </c>
      <c r="AJ431" s="185">
        <v>406</v>
      </c>
      <c r="AK431" s="183">
        <f t="shared" si="486"/>
        <v>96</v>
      </c>
      <c r="AO431" s="182">
        <v>2.46E-2</v>
      </c>
      <c r="AP431" s="185">
        <v>406</v>
      </c>
      <c r="AQ431" s="184">
        <f t="shared" si="487"/>
        <v>2.46E-2</v>
      </c>
      <c r="AR431" s="190">
        <v>96</v>
      </c>
      <c r="AS431" s="185">
        <v>406</v>
      </c>
      <c r="AT431" s="183">
        <f t="shared" si="488"/>
        <v>96</v>
      </c>
      <c r="AX431" s="182">
        <v>2.46E-2</v>
      </c>
      <c r="AY431" s="185">
        <v>406</v>
      </c>
      <c r="AZ431" s="184">
        <f t="shared" si="489"/>
        <v>2.46E-2</v>
      </c>
      <c r="BA431" s="190">
        <v>96</v>
      </c>
      <c r="BB431" s="185">
        <v>406</v>
      </c>
      <c r="BC431" s="183">
        <f t="shared" si="490"/>
        <v>96</v>
      </c>
      <c r="BG431" s="182">
        <v>2.46E-2</v>
      </c>
      <c r="BH431" s="185">
        <v>406</v>
      </c>
      <c r="BI431" s="184">
        <f t="shared" si="491"/>
        <v>2.46E-2</v>
      </c>
      <c r="CW431" s="364"/>
      <c r="CX431" s="316"/>
      <c r="CY431" s="316"/>
      <c r="DA431" s="309">
        <v>430</v>
      </c>
      <c r="DB431" s="313">
        <f t="shared" si="464"/>
        <v>356.50720073446701</v>
      </c>
      <c r="DC431" s="309">
        <f t="shared" si="465"/>
        <v>1</v>
      </c>
      <c r="DD431" s="309">
        <f t="shared" si="466"/>
        <v>260</v>
      </c>
      <c r="DE431" s="308">
        <f t="shared" si="467"/>
        <v>6.5000000000000002E-2</v>
      </c>
      <c r="DF431" s="313">
        <f t="shared" si="482"/>
        <v>430</v>
      </c>
      <c r="DG431" s="313">
        <f t="shared" si="471"/>
        <v>260</v>
      </c>
      <c r="DH431" s="313">
        <f t="shared" si="472"/>
        <v>260</v>
      </c>
      <c r="DI431" s="313">
        <f t="shared" si="473"/>
        <v>0</v>
      </c>
      <c r="DJ431" s="313">
        <f t="shared" si="474"/>
        <v>0</v>
      </c>
      <c r="DK431" s="313">
        <f t="shared" si="483"/>
        <v>106884.51726962168</v>
      </c>
      <c r="DL431" s="313">
        <f t="shared" si="475"/>
        <v>44200</v>
      </c>
      <c r="DM431" s="314">
        <f t="shared" si="476"/>
        <v>18.90570280914724</v>
      </c>
      <c r="DN431" s="312">
        <f t="shared" si="477"/>
        <v>4.3966750718947067E-2</v>
      </c>
      <c r="DO431" s="312">
        <f t="shared" si="484"/>
        <v>1</v>
      </c>
      <c r="DP431" s="315">
        <f t="shared" si="468"/>
        <v>6.5000000000000002E-2</v>
      </c>
      <c r="DQ431" s="316">
        <f t="shared" si="478"/>
        <v>0.25</v>
      </c>
      <c r="DR431" s="316">
        <f t="shared" si="479"/>
        <v>111.32075452294252</v>
      </c>
      <c r="DS431" s="314">
        <f t="shared" si="480"/>
        <v>3.8627118711397133</v>
      </c>
      <c r="DT431" s="316">
        <f t="shared" si="481"/>
        <v>111.32075452294252</v>
      </c>
      <c r="DU431" s="314">
        <f t="shared" si="469"/>
        <v>3.8627118711397133</v>
      </c>
      <c r="DV431" s="316">
        <f t="shared" si="485"/>
        <v>42.5</v>
      </c>
      <c r="DW431" s="310">
        <f t="shared" si="470"/>
        <v>4.0235294117647058</v>
      </c>
      <c r="FB431" s="307"/>
      <c r="FC431" s="307"/>
      <c r="FF431" s="307"/>
      <c r="FG431" s="307"/>
      <c r="FH431" s="306"/>
      <c r="FJ431" s="307"/>
      <c r="FK431" s="307"/>
      <c r="FL431" s="306"/>
      <c r="FM431" s="307"/>
      <c r="FN431" s="306"/>
      <c r="FO431" s="307"/>
      <c r="FP431" s="306"/>
    </row>
    <row r="432" spans="29:172">
      <c r="AC432" s="156"/>
      <c r="AI432" s="190">
        <v>95</v>
      </c>
      <c r="AJ432" s="185">
        <v>407</v>
      </c>
      <c r="AK432" s="183">
        <f t="shared" si="486"/>
        <v>95</v>
      </c>
      <c r="AO432" s="182">
        <v>2.4500000000000001E-2</v>
      </c>
      <c r="AP432" s="185">
        <v>407</v>
      </c>
      <c r="AQ432" s="184">
        <f t="shared" si="487"/>
        <v>2.4500000000000001E-2</v>
      </c>
      <c r="AR432" s="190">
        <v>95</v>
      </c>
      <c r="AS432" s="185">
        <v>407</v>
      </c>
      <c r="AT432" s="183">
        <f t="shared" si="488"/>
        <v>95</v>
      </c>
      <c r="AX432" s="182">
        <v>2.4500000000000001E-2</v>
      </c>
      <c r="AY432" s="185">
        <v>407</v>
      </c>
      <c r="AZ432" s="184">
        <f t="shared" si="489"/>
        <v>2.4500000000000001E-2</v>
      </c>
      <c r="BA432" s="190">
        <v>95</v>
      </c>
      <c r="BB432" s="185">
        <v>407</v>
      </c>
      <c r="BC432" s="183">
        <f t="shared" si="490"/>
        <v>95</v>
      </c>
      <c r="BG432" s="182">
        <v>2.4500000000000001E-2</v>
      </c>
      <c r="BH432" s="185">
        <v>407</v>
      </c>
      <c r="BI432" s="184">
        <f t="shared" si="491"/>
        <v>2.4500000000000001E-2</v>
      </c>
      <c r="CW432" s="364"/>
      <c r="CX432" s="316"/>
      <c r="CY432" s="316"/>
      <c r="DA432" s="309">
        <v>431</v>
      </c>
      <c r="DB432" s="313">
        <f t="shared" si="464"/>
        <v>356.87117096873317</v>
      </c>
      <c r="DC432" s="309">
        <f t="shared" si="465"/>
        <v>1</v>
      </c>
      <c r="DD432" s="309">
        <f t="shared" si="466"/>
        <v>260</v>
      </c>
      <c r="DE432" s="308">
        <f t="shared" si="467"/>
        <v>6.5000000000000002E-2</v>
      </c>
      <c r="DF432" s="313">
        <f t="shared" si="482"/>
        <v>431</v>
      </c>
      <c r="DG432" s="313">
        <f t="shared" si="471"/>
        <v>260</v>
      </c>
      <c r="DH432" s="313">
        <f t="shared" si="472"/>
        <v>260</v>
      </c>
      <c r="DI432" s="313">
        <f t="shared" si="473"/>
        <v>0</v>
      </c>
      <c r="DJ432" s="313">
        <f t="shared" si="474"/>
        <v>0</v>
      </c>
      <c r="DK432" s="313">
        <f t="shared" si="483"/>
        <v>107144.51726962168</v>
      </c>
      <c r="DL432" s="313">
        <f t="shared" si="475"/>
        <v>43940</v>
      </c>
      <c r="DM432" s="314">
        <f t="shared" si="476"/>
        <v>18.90570280914724</v>
      </c>
      <c r="DN432" s="312">
        <f t="shared" si="477"/>
        <v>4.3864739696397308E-2</v>
      </c>
      <c r="DO432" s="312">
        <f t="shared" si="484"/>
        <v>1</v>
      </c>
      <c r="DP432" s="315">
        <f t="shared" si="468"/>
        <v>6.5000000000000002E-2</v>
      </c>
      <c r="DQ432" s="316">
        <f t="shared" si="478"/>
        <v>0.25</v>
      </c>
      <c r="DR432" s="316">
        <f t="shared" si="479"/>
        <v>111.57075452294252</v>
      </c>
      <c r="DS432" s="314">
        <f t="shared" si="480"/>
        <v>3.8630194968464839</v>
      </c>
      <c r="DT432" s="316">
        <f t="shared" si="481"/>
        <v>111.57075452294252</v>
      </c>
      <c r="DU432" s="314">
        <f t="shared" si="469"/>
        <v>3.8630194968464839</v>
      </c>
      <c r="DV432" s="316">
        <f t="shared" si="485"/>
        <v>42.25</v>
      </c>
      <c r="DW432" s="310">
        <f t="shared" si="470"/>
        <v>4.0236686390532546</v>
      </c>
      <c r="FB432" s="307"/>
      <c r="FC432" s="307"/>
      <c r="FF432" s="307"/>
      <c r="FG432" s="307"/>
      <c r="FH432" s="306"/>
      <c r="FJ432" s="307"/>
      <c r="FK432" s="307"/>
      <c r="FL432" s="306"/>
      <c r="FM432" s="307"/>
      <c r="FN432" s="306"/>
      <c r="FO432" s="307"/>
      <c r="FP432" s="306"/>
    </row>
    <row r="433" spans="29:172">
      <c r="AC433" s="156"/>
      <c r="AI433" s="190">
        <v>94</v>
      </c>
      <c r="AJ433" s="185">
        <v>408</v>
      </c>
      <c r="AK433" s="183">
        <f t="shared" si="486"/>
        <v>94</v>
      </c>
      <c r="AO433" s="182">
        <v>2.4400000000000002E-2</v>
      </c>
      <c r="AP433" s="185">
        <v>408</v>
      </c>
      <c r="AQ433" s="184">
        <f t="shared" si="487"/>
        <v>2.4400000000000002E-2</v>
      </c>
      <c r="AR433" s="190">
        <v>94</v>
      </c>
      <c r="AS433" s="185">
        <v>408</v>
      </c>
      <c r="AT433" s="183">
        <f t="shared" si="488"/>
        <v>94</v>
      </c>
      <c r="AX433" s="182">
        <v>2.4400000000000002E-2</v>
      </c>
      <c r="AY433" s="185">
        <v>408</v>
      </c>
      <c r="AZ433" s="184">
        <f t="shared" si="489"/>
        <v>2.4400000000000002E-2</v>
      </c>
      <c r="BA433" s="190">
        <v>94</v>
      </c>
      <c r="BB433" s="185">
        <v>408</v>
      </c>
      <c r="BC433" s="183">
        <f t="shared" si="490"/>
        <v>94</v>
      </c>
      <c r="BG433" s="182">
        <v>2.4400000000000002E-2</v>
      </c>
      <c r="BH433" s="185">
        <v>408</v>
      </c>
      <c r="BI433" s="184">
        <f t="shared" si="491"/>
        <v>2.4400000000000002E-2</v>
      </c>
      <c r="CW433" s="364"/>
      <c r="CX433" s="316"/>
      <c r="CY433" s="316"/>
      <c r="DA433" s="309">
        <v>432</v>
      </c>
      <c r="DB433" s="313">
        <f t="shared" si="464"/>
        <v>357.23514120299944</v>
      </c>
      <c r="DC433" s="309">
        <f t="shared" si="465"/>
        <v>1</v>
      </c>
      <c r="DD433" s="309">
        <f t="shared" si="466"/>
        <v>260</v>
      </c>
      <c r="DE433" s="308">
        <f t="shared" si="467"/>
        <v>6.5000000000000002E-2</v>
      </c>
      <c r="DF433" s="313">
        <f t="shared" si="482"/>
        <v>432</v>
      </c>
      <c r="DG433" s="313">
        <f t="shared" si="471"/>
        <v>260</v>
      </c>
      <c r="DH433" s="313">
        <f t="shared" si="472"/>
        <v>260</v>
      </c>
      <c r="DI433" s="313">
        <f t="shared" si="473"/>
        <v>0</v>
      </c>
      <c r="DJ433" s="313">
        <f t="shared" si="474"/>
        <v>0</v>
      </c>
      <c r="DK433" s="313">
        <f t="shared" si="483"/>
        <v>107404.51726962168</v>
      </c>
      <c r="DL433" s="313">
        <f t="shared" si="475"/>
        <v>43680</v>
      </c>
      <c r="DM433" s="314">
        <f t="shared" si="476"/>
        <v>18.90570280914724</v>
      </c>
      <c r="DN433" s="312">
        <f t="shared" si="477"/>
        <v>4.3763200947100095E-2</v>
      </c>
      <c r="DO433" s="312">
        <f t="shared" si="484"/>
        <v>1</v>
      </c>
      <c r="DP433" s="315">
        <f t="shared" si="468"/>
        <v>6.5000000000000002E-2</v>
      </c>
      <c r="DQ433" s="316">
        <f t="shared" si="478"/>
        <v>0.25</v>
      </c>
      <c r="DR433" s="316">
        <f t="shared" si="479"/>
        <v>111.82075452294252</v>
      </c>
      <c r="DS433" s="314">
        <f t="shared" si="480"/>
        <v>3.8633257470227993</v>
      </c>
      <c r="DT433" s="316">
        <f t="shared" si="481"/>
        <v>111.82075452294252</v>
      </c>
      <c r="DU433" s="314">
        <f t="shared" si="469"/>
        <v>3.8633257470227993</v>
      </c>
      <c r="DV433" s="316">
        <f t="shared" si="485"/>
        <v>42</v>
      </c>
      <c r="DW433" s="310">
        <f t="shared" si="470"/>
        <v>4.0238095238095237</v>
      </c>
      <c r="FB433" s="307"/>
      <c r="FC433" s="307"/>
      <c r="FF433" s="307"/>
      <c r="FG433" s="307"/>
      <c r="FH433" s="306"/>
      <c r="FJ433" s="307"/>
      <c r="FK433" s="307"/>
      <c r="FL433" s="306"/>
      <c r="FM433" s="307"/>
      <c r="FN433" s="306"/>
      <c r="FO433" s="307"/>
      <c r="FP433" s="306"/>
    </row>
    <row r="434" spans="29:172">
      <c r="AC434" s="156"/>
      <c r="AI434" s="190">
        <v>93</v>
      </c>
      <c r="AJ434" s="185">
        <v>409</v>
      </c>
      <c r="AK434" s="183">
        <f t="shared" si="486"/>
        <v>93</v>
      </c>
      <c r="AO434" s="182">
        <v>2.4299999999999999E-2</v>
      </c>
      <c r="AP434" s="185">
        <v>409</v>
      </c>
      <c r="AQ434" s="184">
        <f t="shared" si="487"/>
        <v>2.4299999999999999E-2</v>
      </c>
      <c r="AR434" s="190">
        <v>93</v>
      </c>
      <c r="AS434" s="185">
        <v>409</v>
      </c>
      <c r="AT434" s="183">
        <f t="shared" si="488"/>
        <v>93</v>
      </c>
      <c r="AX434" s="182">
        <v>2.4299999999999999E-2</v>
      </c>
      <c r="AY434" s="185">
        <v>409</v>
      </c>
      <c r="AZ434" s="184">
        <f t="shared" si="489"/>
        <v>2.4299999999999999E-2</v>
      </c>
      <c r="BA434" s="190">
        <v>93</v>
      </c>
      <c r="BB434" s="185">
        <v>409</v>
      </c>
      <c r="BC434" s="183">
        <f t="shared" si="490"/>
        <v>93</v>
      </c>
      <c r="BG434" s="182">
        <v>2.4299999999999999E-2</v>
      </c>
      <c r="BH434" s="185">
        <v>409</v>
      </c>
      <c r="BI434" s="184">
        <f t="shared" si="491"/>
        <v>2.4299999999999999E-2</v>
      </c>
      <c r="CW434" s="364"/>
      <c r="CX434" s="316"/>
      <c r="CY434" s="316"/>
      <c r="DA434" s="309">
        <v>433</v>
      </c>
      <c r="DB434" s="313">
        <f t="shared" si="464"/>
        <v>357.59911143726561</v>
      </c>
      <c r="DC434" s="309">
        <f t="shared" si="465"/>
        <v>1</v>
      </c>
      <c r="DD434" s="309">
        <f t="shared" si="466"/>
        <v>260</v>
      </c>
      <c r="DE434" s="308">
        <f t="shared" si="467"/>
        <v>6.5000000000000002E-2</v>
      </c>
      <c r="DF434" s="313">
        <f t="shared" si="482"/>
        <v>433</v>
      </c>
      <c r="DG434" s="313">
        <f t="shared" si="471"/>
        <v>260</v>
      </c>
      <c r="DH434" s="313">
        <f t="shared" si="472"/>
        <v>260</v>
      </c>
      <c r="DI434" s="313">
        <f t="shared" si="473"/>
        <v>0</v>
      </c>
      <c r="DJ434" s="313">
        <f t="shared" si="474"/>
        <v>0</v>
      </c>
      <c r="DK434" s="313">
        <f t="shared" si="483"/>
        <v>107664.51726962168</v>
      </c>
      <c r="DL434" s="313">
        <f t="shared" si="475"/>
        <v>43420</v>
      </c>
      <c r="DM434" s="314">
        <f t="shared" si="476"/>
        <v>18.90570280914724</v>
      </c>
      <c r="DN434" s="312">
        <f t="shared" si="477"/>
        <v>4.3662131198954367E-2</v>
      </c>
      <c r="DO434" s="312">
        <f t="shared" si="484"/>
        <v>1</v>
      </c>
      <c r="DP434" s="315">
        <f t="shared" si="468"/>
        <v>6.5000000000000002E-2</v>
      </c>
      <c r="DQ434" s="316">
        <f t="shared" si="478"/>
        <v>0.25</v>
      </c>
      <c r="DR434" s="316">
        <f t="shared" si="479"/>
        <v>112.07075452294252</v>
      </c>
      <c r="DS434" s="314">
        <f t="shared" si="480"/>
        <v>3.8636306308739856</v>
      </c>
      <c r="DT434" s="316">
        <f t="shared" si="481"/>
        <v>112.07075452294252</v>
      </c>
      <c r="DU434" s="314">
        <f t="shared" si="469"/>
        <v>3.8636306308739856</v>
      </c>
      <c r="DV434" s="316">
        <f t="shared" si="485"/>
        <v>41.75</v>
      </c>
      <c r="DW434" s="310">
        <f t="shared" si="470"/>
        <v>4.023952095808383</v>
      </c>
      <c r="FB434" s="307"/>
      <c r="FC434" s="307"/>
      <c r="FF434" s="307"/>
      <c r="FG434" s="307"/>
      <c r="FH434" s="306"/>
      <c r="FJ434" s="307"/>
      <c r="FK434" s="307"/>
      <c r="FL434" s="306"/>
      <c r="FM434" s="307"/>
      <c r="FN434" s="306"/>
      <c r="FO434" s="307"/>
      <c r="FP434" s="306"/>
    </row>
    <row r="435" spans="29:172">
      <c r="AC435" s="156"/>
      <c r="AI435" s="190">
        <v>92</v>
      </c>
      <c r="AJ435" s="185">
        <v>410</v>
      </c>
      <c r="AK435" s="183">
        <f t="shared" si="486"/>
        <v>92</v>
      </c>
      <c r="AO435" s="182">
        <v>2.4199999999999999E-2</v>
      </c>
      <c r="AP435" s="185">
        <v>410</v>
      </c>
      <c r="AQ435" s="184">
        <f t="shared" si="487"/>
        <v>2.4199999999999999E-2</v>
      </c>
      <c r="AR435" s="190">
        <v>92</v>
      </c>
      <c r="AS435" s="185">
        <v>410</v>
      </c>
      <c r="AT435" s="183">
        <f t="shared" si="488"/>
        <v>92</v>
      </c>
      <c r="AX435" s="182">
        <v>2.4199999999999999E-2</v>
      </c>
      <c r="AY435" s="185">
        <v>410</v>
      </c>
      <c r="AZ435" s="184">
        <f t="shared" si="489"/>
        <v>2.4199999999999999E-2</v>
      </c>
      <c r="BA435" s="190">
        <v>92</v>
      </c>
      <c r="BB435" s="185">
        <v>410</v>
      </c>
      <c r="BC435" s="183">
        <f t="shared" si="490"/>
        <v>92</v>
      </c>
      <c r="BG435" s="182">
        <v>2.4199999999999999E-2</v>
      </c>
      <c r="BH435" s="185">
        <v>410</v>
      </c>
      <c r="BI435" s="184">
        <f t="shared" si="491"/>
        <v>2.4199999999999999E-2</v>
      </c>
      <c r="CW435" s="364"/>
      <c r="CX435" s="316"/>
      <c r="CY435" s="316"/>
      <c r="DA435" s="309">
        <v>434</v>
      </c>
      <c r="DB435" s="313">
        <f t="shared" si="464"/>
        <v>357.96308167153182</v>
      </c>
      <c r="DC435" s="309">
        <f t="shared" si="465"/>
        <v>1</v>
      </c>
      <c r="DD435" s="309">
        <f t="shared" si="466"/>
        <v>260</v>
      </c>
      <c r="DE435" s="308">
        <f t="shared" si="467"/>
        <v>6.5000000000000002E-2</v>
      </c>
      <c r="DF435" s="313">
        <f t="shared" si="482"/>
        <v>434</v>
      </c>
      <c r="DG435" s="313">
        <f t="shared" si="471"/>
        <v>260</v>
      </c>
      <c r="DH435" s="313">
        <f t="shared" si="472"/>
        <v>260</v>
      </c>
      <c r="DI435" s="313">
        <f t="shared" si="473"/>
        <v>0</v>
      </c>
      <c r="DJ435" s="313">
        <f t="shared" si="474"/>
        <v>0</v>
      </c>
      <c r="DK435" s="313">
        <f t="shared" si="483"/>
        <v>107924.51726962168</v>
      </c>
      <c r="DL435" s="313">
        <f t="shared" si="475"/>
        <v>43160</v>
      </c>
      <c r="DM435" s="314">
        <f t="shared" si="476"/>
        <v>18.90570280914724</v>
      </c>
      <c r="DN435" s="312">
        <f t="shared" si="477"/>
        <v>4.356152721001668E-2</v>
      </c>
      <c r="DO435" s="312">
        <f t="shared" si="484"/>
        <v>1</v>
      </c>
      <c r="DP435" s="315">
        <f t="shared" si="468"/>
        <v>6.5000000000000002E-2</v>
      </c>
      <c r="DQ435" s="316">
        <f t="shared" si="478"/>
        <v>0.25</v>
      </c>
      <c r="DR435" s="316">
        <f t="shared" si="479"/>
        <v>112.32075452294252</v>
      </c>
      <c r="DS435" s="314">
        <f t="shared" si="480"/>
        <v>3.863934157523413</v>
      </c>
      <c r="DT435" s="316">
        <f t="shared" si="481"/>
        <v>112.32075452294252</v>
      </c>
      <c r="DU435" s="314">
        <f t="shared" si="469"/>
        <v>3.863934157523413</v>
      </c>
      <c r="DV435" s="316">
        <f t="shared" si="485"/>
        <v>41.5</v>
      </c>
      <c r="DW435" s="310">
        <f t="shared" si="470"/>
        <v>4.024096385542169</v>
      </c>
      <c r="FB435" s="307"/>
      <c r="FC435" s="307"/>
      <c r="FF435" s="307"/>
      <c r="FG435" s="307"/>
      <c r="FH435" s="306"/>
      <c r="FJ435" s="307"/>
      <c r="FK435" s="307"/>
      <c r="FL435" s="306"/>
      <c r="FM435" s="307"/>
      <c r="FN435" s="306"/>
      <c r="FO435" s="307"/>
      <c r="FP435" s="306"/>
    </row>
    <row r="436" spans="29:172">
      <c r="AC436" s="156"/>
      <c r="AI436" s="190">
        <v>91</v>
      </c>
      <c r="AJ436" s="185">
        <v>411</v>
      </c>
      <c r="AK436" s="183">
        <f t="shared" si="486"/>
        <v>91</v>
      </c>
      <c r="AO436" s="182">
        <v>2.41E-2</v>
      </c>
      <c r="AP436" s="185">
        <v>411</v>
      </c>
      <c r="AQ436" s="184">
        <f t="shared" si="487"/>
        <v>2.41E-2</v>
      </c>
      <c r="AR436" s="190">
        <v>91</v>
      </c>
      <c r="AS436" s="185">
        <v>411</v>
      </c>
      <c r="AT436" s="183">
        <f t="shared" si="488"/>
        <v>91</v>
      </c>
      <c r="AX436" s="182">
        <v>2.41E-2</v>
      </c>
      <c r="AY436" s="185">
        <v>411</v>
      </c>
      <c r="AZ436" s="184">
        <f t="shared" si="489"/>
        <v>2.41E-2</v>
      </c>
      <c r="BA436" s="190">
        <v>91</v>
      </c>
      <c r="BB436" s="185">
        <v>411</v>
      </c>
      <c r="BC436" s="183">
        <f t="shared" si="490"/>
        <v>91</v>
      </c>
      <c r="BG436" s="182">
        <v>2.41E-2</v>
      </c>
      <c r="BH436" s="185">
        <v>411</v>
      </c>
      <c r="BI436" s="184">
        <f t="shared" si="491"/>
        <v>2.41E-2</v>
      </c>
      <c r="CW436" s="364"/>
      <c r="CX436" s="316"/>
      <c r="CY436" s="316"/>
      <c r="DA436" s="309">
        <v>435</v>
      </c>
      <c r="DB436" s="313">
        <f t="shared" si="464"/>
        <v>358.32705190579804</v>
      </c>
      <c r="DC436" s="309">
        <f t="shared" si="465"/>
        <v>1</v>
      </c>
      <c r="DD436" s="309">
        <f t="shared" si="466"/>
        <v>260</v>
      </c>
      <c r="DE436" s="308">
        <f t="shared" si="467"/>
        <v>6.5000000000000002E-2</v>
      </c>
      <c r="DF436" s="313">
        <f t="shared" si="482"/>
        <v>435</v>
      </c>
      <c r="DG436" s="313">
        <f t="shared" si="471"/>
        <v>260</v>
      </c>
      <c r="DH436" s="313">
        <f t="shared" si="472"/>
        <v>260</v>
      </c>
      <c r="DI436" s="313">
        <f t="shared" si="473"/>
        <v>0</v>
      </c>
      <c r="DJ436" s="313">
        <f t="shared" si="474"/>
        <v>0</v>
      </c>
      <c r="DK436" s="313">
        <f t="shared" si="483"/>
        <v>108184.51726962168</v>
      </c>
      <c r="DL436" s="313">
        <f t="shared" si="475"/>
        <v>42900</v>
      </c>
      <c r="DM436" s="314">
        <f t="shared" si="476"/>
        <v>18.90570280914724</v>
      </c>
      <c r="DN436" s="312">
        <f t="shared" si="477"/>
        <v>4.3461385768154573E-2</v>
      </c>
      <c r="DO436" s="312">
        <f t="shared" si="484"/>
        <v>1</v>
      </c>
      <c r="DP436" s="315">
        <f t="shared" si="468"/>
        <v>6.5000000000000002E-2</v>
      </c>
      <c r="DQ436" s="316">
        <f t="shared" si="478"/>
        <v>0.25</v>
      </c>
      <c r="DR436" s="316">
        <f t="shared" si="479"/>
        <v>112.57075452294252</v>
      </c>
      <c r="DS436" s="314">
        <f t="shared" si="480"/>
        <v>3.8642363360134064</v>
      </c>
      <c r="DT436" s="316">
        <f t="shared" si="481"/>
        <v>112.57075452294252</v>
      </c>
      <c r="DU436" s="314">
        <f t="shared" si="469"/>
        <v>3.8642363360134064</v>
      </c>
      <c r="DV436" s="316">
        <f t="shared" si="485"/>
        <v>41.25</v>
      </c>
      <c r="DW436" s="310">
        <f t="shared" si="470"/>
        <v>4.0242424242424244</v>
      </c>
      <c r="FB436" s="307"/>
      <c r="FC436" s="307"/>
      <c r="FF436" s="307"/>
      <c r="FG436" s="307"/>
      <c r="FH436" s="306"/>
      <c r="FJ436" s="307"/>
      <c r="FK436" s="307"/>
      <c r="FL436" s="306"/>
      <c r="FM436" s="307"/>
      <c r="FN436" s="306"/>
      <c r="FO436" s="307"/>
      <c r="FP436" s="306"/>
    </row>
    <row r="437" spans="29:172">
      <c r="AC437" s="156"/>
      <c r="AI437" s="190">
        <v>90</v>
      </c>
      <c r="AJ437" s="185">
        <v>412</v>
      </c>
      <c r="AK437" s="183">
        <f t="shared" si="486"/>
        <v>90</v>
      </c>
      <c r="AO437" s="182">
        <v>2.4E-2</v>
      </c>
      <c r="AP437" s="185">
        <v>412</v>
      </c>
      <c r="AQ437" s="184">
        <f t="shared" si="487"/>
        <v>2.4E-2</v>
      </c>
      <c r="AR437" s="190">
        <v>90</v>
      </c>
      <c r="AS437" s="185">
        <v>412</v>
      </c>
      <c r="AT437" s="183">
        <f t="shared" si="488"/>
        <v>90</v>
      </c>
      <c r="AX437" s="182">
        <v>2.4E-2</v>
      </c>
      <c r="AY437" s="185">
        <v>412</v>
      </c>
      <c r="AZ437" s="184">
        <f t="shared" si="489"/>
        <v>2.4E-2</v>
      </c>
      <c r="BA437" s="190">
        <v>90</v>
      </c>
      <c r="BB437" s="185">
        <v>412</v>
      </c>
      <c r="BC437" s="183">
        <f t="shared" si="490"/>
        <v>90</v>
      </c>
      <c r="BG437" s="182">
        <v>2.4E-2</v>
      </c>
      <c r="BH437" s="185">
        <v>412</v>
      </c>
      <c r="BI437" s="184">
        <f t="shared" si="491"/>
        <v>2.4E-2</v>
      </c>
      <c r="CW437" s="364"/>
      <c r="CX437" s="316"/>
      <c r="CY437" s="316"/>
      <c r="DA437" s="309">
        <v>436</v>
      </c>
      <c r="DB437" s="313">
        <f t="shared" si="464"/>
        <v>358.69102214006421</v>
      </c>
      <c r="DC437" s="309">
        <f t="shared" si="465"/>
        <v>1</v>
      </c>
      <c r="DD437" s="309">
        <f t="shared" si="466"/>
        <v>260</v>
      </c>
      <c r="DE437" s="308">
        <f t="shared" si="467"/>
        <v>6.5000000000000002E-2</v>
      </c>
      <c r="DF437" s="313">
        <f t="shared" si="482"/>
        <v>436</v>
      </c>
      <c r="DG437" s="313">
        <f t="shared" si="471"/>
        <v>260</v>
      </c>
      <c r="DH437" s="313">
        <f t="shared" si="472"/>
        <v>260</v>
      </c>
      <c r="DI437" s="313">
        <f t="shared" si="473"/>
        <v>0</v>
      </c>
      <c r="DJ437" s="313">
        <f t="shared" si="474"/>
        <v>0</v>
      </c>
      <c r="DK437" s="313">
        <f t="shared" si="483"/>
        <v>108444.51726962168</v>
      </c>
      <c r="DL437" s="313">
        <f t="shared" si="475"/>
        <v>42640</v>
      </c>
      <c r="DM437" s="314">
        <f t="shared" si="476"/>
        <v>18.90570280914724</v>
      </c>
      <c r="DN437" s="312">
        <f t="shared" si="477"/>
        <v>4.3361703690704675E-2</v>
      </c>
      <c r="DO437" s="312">
        <f t="shared" si="484"/>
        <v>1</v>
      </c>
      <c r="DP437" s="315">
        <f t="shared" si="468"/>
        <v>6.5000000000000002E-2</v>
      </c>
      <c r="DQ437" s="316">
        <f t="shared" si="478"/>
        <v>0.25</v>
      </c>
      <c r="DR437" s="316">
        <f t="shared" si="479"/>
        <v>112.82075452294252</v>
      </c>
      <c r="DS437" s="314">
        <f t="shared" si="480"/>
        <v>3.8645371753061424</v>
      </c>
      <c r="DT437" s="316">
        <f t="shared" si="481"/>
        <v>112.82075452294252</v>
      </c>
      <c r="DU437" s="314">
        <f t="shared" si="469"/>
        <v>3.8645371753061424</v>
      </c>
      <c r="DV437" s="316">
        <f t="shared" si="485"/>
        <v>41</v>
      </c>
      <c r="DW437" s="310">
        <f t="shared" si="470"/>
        <v>4.024390243902439</v>
      </c>
      <c r="FB437" s="307"/>
      <c r="FC437" s="307"/>
      <c r="FF437" s="307"/>
      <c r="FG437" s="307"/>
      <c r="FH437" s="306"/>
      <c r="FJ437" s="307"/>
      <c r="FK437" s="307"/>
      <c r="FL437" s="306"/>
      <c r="FM437" s="307"/>
      <c r="FN437" s="306"/>
      <c r="FO437" s="307"/>
      <c r="FP437" s="306"/>
    </row>
    <row r="438" spans="29:172">
      <c r="AC438" s="156"/>
      <c r="AI438" s="190">
        <v>89</v>
      </c>
      <c r="AJ438" s="185">
        <v>413</v>
      </c>
      <c r="AK438" s="183">
        <f t="shared" si="486"/>
        <v>89</v>
      </c>
      <c r="AO438" s="182">
        <v>2.3900000000000001E-2</v>
      </c>
      <c r="AP438" s="185">
        <v>413</v>
      </c>
      <c r="AQ438" s="184">
        <f t="shared" si="487"/>
        <v>2.3900000000000001E-2</v>
      </c>
      <c r="AR438" s="190">
        <v>89</v>
      </c>
      <c r="AS438" s="185">
        <v>413</v>
      </c>
      <c r="AT438" s="183">
        <f t="shared" si="488"/>
        <v>89</v>
      </c>
      <c r="AX438" s="182">
        <v>2.3900000000000001E-2</v>
      </c>
      <c r="AY438" s="185">
        <v>413</v>
      </c>
      <c r="AZ438" s="184">
        <f t="shared" si="489"/>
        <v>2.3900000000000001E-2</v>
      </c>
      <c r="BA438" s="190">
        <v>89</v>
      </c>
      <c r="BB438" s="185">
        <v>413</v>
      </c>
      <c r="BC438" s="183">
        <f t="shared" si="490"/>
        <v>89</v>
      </c>
      <c r="BG438" s="182">
        <v>2.3900000000000001E-2</v>
      </c>
      <c r="BH438" s="185">
        <v>413</v>
      </c>
      <c r="BI438" s="184">
        <f t="shared" si="491"/>
        <v>2.3900000000000001E-2</v>
      </c>
      <c r="CW438" s="364"/>
      <c r="CX438" s="316"/>
      <c r="CY438" s="316"/>
      <c r="DA438" s="309">
        <v>437</v>
      </c>
      <c r="DB438" s="313">
        <f t="shared" si="464"/>
        <v>359.05499237433042</v>
      </c>
      <c r="DC438" s="309">
        <f t="shared" si="465"/>
        <v>1</v>
      </c>
      <c r="DD438" s="309">
        <f t="shared" si="466"/>
        <v>260</v>
      </c>
      <c r="DE438" s="308">
        <f t="shared" si="467"/>
        <v>6.5000000000000002E-2</v>
      </c>
      <c r="DF438" s="313">
        <f t="shared" si="482"/>
        <v>437</v>
      </c>
      <c r="DG438" s="313">
        <f t="shared" si="471"/>
        <v>260</v>
      </c>
      <c r="DH438" s="313">
        <f t="shared" si="472"/>
        <v>260</v>
      </c>
      <c r="DI438" s="313">
        <f t="shared" si="473"/>
        <v>0</v>
      </c>
      <c r="DJ438" s="313">
        <f t="shared" si="474"/>
        <v>0</v>
      </c>
      <c r="DK438" s="313">
        <f t="shared" si="483"/>
        <v>108704.51726962168</v>
      </c>
      <c r="DL438" s="313">
        <f t="shared" si="475"/>
        <v>42380</v>
      </c>
      <c r="DM438" s="314">
        <f t="shared" si="476"/>
        <v>18.90570280914724</v>
      </c>
      <c r="DN438" s="312">
        <f t="shared" si="477"/>
        <v>4.3262477824135559E-2</v>
      </c>
      <c r="DO438" s="312">
        <f t="shared" si="484"/>
        <v>1</v>
      </c>
      <c r="DP438" s="315">
        <f t="shared" si="468"/>
        <v>6.5000000000000002E-2</v>
      </c>
      <c r="DQ438" s="316">
        <f t="shared" si="478"/>
        <v>0.25</v>
      </c>
      <c r="DR438" s="316">
        <f t="shared" si="479"/>
        <v>113.07075452294252</v>
      </c>
      <c r="DS438" s="314">
        <f t="shared" si="480"/>
        <v>3.864836684284537</v>
      </c>
      <c r="DT438" s="316">
        <f t="shared" si="481"/>
        <v>113.07075452294252</v>
      </c>
      <c r="DU438" s="314">
        <f t="shared" si="469"/>
        <v>3.864836684284537</v>
      </c>
      <c r="DV438" s="316">
        <f t="shared" si="485"/>
        <v>40.75</v>
      </c>
      <c r="DW438" s="310">
        <f t="shared" si="470"/>
        <v>4.0245398773006134</v>
      </c>
      <c r="FB438" s="307"/>
      <c r="FC438" s="307"/>
      <c r="FF438" s="307"/>
      <c r="FG438" s="307"/>
      <c r="FH438" s="306"/>
      <c r="FJ438" s="307"/>
      <c r="FK438" s="307"/>
      <c r="FL438" s="306"/>
      <c r="FM438" s="307"/>
      <c r="FN438" s="306"/>
      <c r="FO438" s="307"/>
      <c r="FP438" s="306"/>
    </row>
    <row r="439" spans="29:172">
      <c r="AC439" s="156"/>
      <c r="AI439" s="190">
        <v>88</v>
      </c>
      <c r="AJ439" s="185">
        <v>414</v>
      </c>
      <c r="AK439" s="183">
        <f t="shared" si="486"/>
        <v>88</v>
      </c>
      <c r="AO439" s="182">
        <v>2.3800000000000002E-2</v>
      </c>
      <c r="AP439" s="185">
        <v>414</v>
      </c>
      <c r="AQ439" s="184">
        <f t="shared" si="487"/>
        <v>2.3800000000000002E-2</v>
      </c>
      <c r="AR439" s="190">
        <v>88</v>
      </c>
      <c r="AS439" s="185">
        <v>414</v>
      </c>
      <c r="AT439" s="183">
        <f t="shared" si="488"/>
        <v>88</v>
      </c>
      <c r="AX439" s="182">
        <v>2.3800000000000002E-2</v>
      </c>
      <c r="AY439" s="185">
        <v>414</v>
      </c>
      <c r="AZ439" s="184">
        <f t="shared" si="489"/>
        <v>2.3800000000000002E-2</v>
      </c>
      <c r="BA439" s="190">
        <v>88</v>
      </c>
      <c r="BB439" s="185">
        <v>414</v>
      </c>
      <c r="BC439" s="183">
        <f t="shared" si="490"/>
        <v>88</v>
      </c>
      <c r="BG439" s="182">
        <v>2.3800000000000002E-2</v>
      </c>
      <c r="BH439" s="185">
        <v>414</v>
      </c>
      <c r="BI439" s="184">
        <f t="shared" si="491"/>
        <v>2.3800000000000002E-2</v>
      </c>
      <c r="CW439" s="364"/>
      <c r="CX439" s="316"/>
      <c r="CY439" s="316"/>
      <c r="DA439" s="309">
        <v>438</v>
      </c>
      <c r="DB439" s="313">
        <f t="shared" si="464"/>
        <v>359.41896260859664</v>
      </c>
      <c r="DC439" s="309">
        <f t="shared" si="465"/>
        <v>1</v>
      </c>
      <c r="DD439" s="309">
        <f t="shared" si="466"/>
        <v>260</v>
      </c>
      <c r="DE439" s="308">
        <f t="shared" si="467"/>
        <v>6.5000000000000002E-2</v>
      </c>
      <c r="DF439" s="313">
        <f t="shared" si="482"/>
        <v>438</v>
      </c>
      <c r="DG439" s="313">
        <f t="shared" si="471"/>
        <v>260</v>
      </c>
      <c r="DH439" s="313">
        <f t="shared" si="472"/>
        <v>260</v>
      </c>
      <c r="DI439" s="313">
        <f t="shared" si="473"/>
        <v>0</v>
      </c>
      <c r="DJ439" s="313">
        <f t="shared" si="474"/>
        <v>0</v>
      </c>
      <c r="DK439" s="313">
        <f t="shared" si="483"/>
        <v>108964.51726962168</v>
      </c>
      <c r="DL439" s="313">
        <f t="shared" si="475"/>
        <v>42120</v>
      </c>
      <c r="DM439" s="314">
        <f t="shared" si="476"/>
        <v>18.90570280914724</v>
      </c>
      <c r="DN439" s="312">
        <f t="shared" si="477"/>
        <v>4.316370504371516E-2</v>
      </c>
      <c r="DO439" s="312">
        <f t="shared" si="484"/>
        <v>1</v>
      </c>
      <c r="DP439" s="315">
        <f t="shared" si="468"/>
        <v>6.5000000000000002E-2</v>
      </c>
      <c r="DQ439" s="316">
        <f t="shared" si="478"/>
        <v>0.25</v>
      </c>
      <c r="DR439" s="316">
        <f t="shared" si="479"/>
        <v>113.32075452294252</v>
      </c>
      <c r="DS439" s="314">
        <f t="shared" si="480"/>
        <v>3.865134871753118</v>
      </c>
      <c r="DT439" s="316">
        <f t="shared" si="481"/>
        <v>113.32075452294252</v>
      </c>
      <c r="DU439" s="314">
        <f t="shared" si="469"/>
        <v>3.865134871753118</v>
      </c>
      <c r="DV439" s="316">
        <f t="shared" si="485"/>
        <v>40.5</v>
      </c>
      <c r="DW439" s="310">
        <f t="shared" si="470"/>
        <v>4.0246913580246915</v>
      </c>
      <c r="FB439" s="307"/>
      <c r="FC439" s="307"/>
      <c r="FF439" s="307"/>
      <c r="FG439" s="307"/>
      <c r="FH439" s="306"/>
      <c r="FJ439" s="307"/>
      <c r="FK439" s="307"/>
      <c r="FL439" s="306"/>
      <c r="FM439" s="307"/>
      <c r="FN439" s="306"/>
      <c r="FO439" s="307"/>
      <c r="FP439" s="306"/>
    </row>
    <row r="440" spans="29:172">
      <c r="AC440" s="156"/>
      <c r="AI440" s="190">
        <v>87</v>
      </c>
      <c r="AJ440" s="185">
        <v>415</v>
      </c>
      <c r="AK440" s="183">
        <f t="shared" si="486"/>
        <v>87</v>
      </c>
      <c r="AO440" s="182">
        <v>2.3699999999999999E-2</v>
      </c>
      <c r="AP440" s="185">
        <v>415</v>
      </c>
      <c r="AQ440" s="184">
        <f t="shared" si="487"/>
        <v>2.3699999999999999E-2</v>
      </c>
      <c r="AR440" s="190">
        <v>87</v>
      </c>
      <c r="AS440" s="185">
        <v>415</v>
      </c>
      <c r="AT440" s="183">
        <f t="shared" si="488"/>
        <v>87</v>
      </c>
      <c r="AX440" s="182">
        <v>2.3699999999999999E-2</v>
      </c>
      <c r="AY440" s="185">
        <v>415</v>
      </c>
      <c r="AZ440" s="184">
        <f t="shared" si="489"/>
        <v>2.3699999999999999E-2</v>
      </c>
      <c r="BA440" s="190">
        <v>87</v>
      </c>
      <c r="BB440" s="185">
        <v>415</v>
      </c>
      <c r="BC440" s="183">
        <f t="shared" si="490"/>
        <v>87</v>
      </c>
      <c r="BG440" s="182">
        <v>2.3699999999999999E-2</v>
      </c>
      <c r="BH440" s="185">
        <v>415</v>
      </c>
      <c r="BI440" s="184">
        <f t="shared" si="491"/>
        <v>2.3699999999999999E-2</v>
      </c>
      <c r="CW440" s="364"/>
      <c r="CX440" s="316"/>
      <c r="CY440" s="316"/>
      <c r="DA440" s="309">
        <v>439</v>
      </c>
      <c r="DB440" s="313">
        <f t="shared" si="464"/>
        <v>359.78293284286281</v>
      </c>
      <c r="DC440" s="309">
        <f t="shared" si="465"/>
        <v>1</v>
      </c>
      <c r="DD440" s="309">
        <f t="shared" si="466"/>
        <v>260</v>
      </c>
      <c r="DE440" s="308">
        <f t="shared" si="467"/>
        <v>6.5000000000000002E-2</v>
      </c>
      <c r="DF440" s="313">
        <f t="shared" si="482"/>
        <v>439</v>
      </c>
      <c r="DG440" s="313">
        <f t="shared" si="471"/>
        <v>260</v>
      </c>
      <c r="DH440" s="313">
        <f t="shared" si="472"/>
        <v>260</v>
      </c>
      <c r="DI440" s="313">
        <f t="shared" si="473"/>
        <v>0</v>
      </c>
      <c r="DJ440" s="313">
        <f t="shared" si="474"/>
        <v>0</v>
      </c>
      <c r="DK440" s="313">
        <f t="shared" si="483"/>
        <v>109224.51726962168</v>
      </c>
      <c r="DL440" s="313">
        <f t="shared" si="475"/>
        <v>41860</v>
      </c>
      <c r="DM440" s="314">
        <f t="shared" si="476"/>
        <v>18.90570280914724</v>
      </c>
      <c r="DN440" s="312">
        <f t="shared" si="477"/>
        <v>4.306538225318278E-2</v>
      </c>
      <c r="DO440" s="312">
        <f t="shared" si="484"/>
        <v>1</v>
      </c>
      <c r="DP440" s="315">
        <f t="shared" si="468"/>
        <v>6.5000000000000002E-2</v>
      </c>
      <c r="DQ440" s="316">
        <f t="shared" si="478"/>
        <v>0.25</v>
      </c>
      <c r="DR440" s="316">
        <f t="shared" si="479"/>
        <v>113.57075452294252</v>
      </c>
      <c r="DS440" s="314">
        <f t="shared" si="480"/>
        <v>3.8654317464388885</v>
      </c>
      <c r="DT440" s="316">
        <f t="shared" si="481"/>
        <v>113.57075452294252</v>
      </c>
      <c r="DU440" s="314">
        <f t="shared" si="469"/>
        <v>3.8654317464388885</v>
      </c>
      <c r="DV440" s="316">
        <f t="shared" si="485"/>
        <v>40.25</v>
      </c>
      <c r="DW440" s="310">
        <f t="shared" si="470"/>
        <v>4.024844720496894</v>
      </c>
      <c r="FB440" s="307"/>
      <c r="FC440" s="307"/>
      <c r="FF440" s="307"/>
      <c r="FG440" s="307"/>
      <c r="FH440" s="306"/>
      <c r="FJ440" s="307"/>
      <c r="FK440" s="307"/>
      <c r="FL440" s="306"/>
      <c r="FM440" s="307"/>
      <c r="FN440" s="306"/>
      <c r="FO440" s="307"/>
      <c r="FP440" s="306"/>
    </row>
    <row r="441" spans="29:172">
      <c r="AC441" s="156"/>
      <c r="AI441" s="190">
        <v>86</v>
      </c>
      <c r="AJ441" s="185">
        <v>416</v>
      </c>
      <c r="AK441" s="183">
        <f t="shared" si="486"/>
        <v>86</v>
      </c>
      <c r="AO441" s="182">
        <v>2.3599999999999999E-2</v>
      </c>
      <c r="AP441" s="185">
        <v>416</v>
      </c>
      <c r="AQ441" s="184">
        <f t="shared" si="487"/>
        <v>2.3599999999999999E-2</v>
      </c>
      <c r="AR441" s="190">
        <v>86</v>
      </c>
      <c r="AS441" s="185">
        <v>416</v>
      </c>
      <c r="AT441" s="183">
        <f t="shared" si="488"/>
        <v>86</v>
      </c>
      <c r="AX441" s="182">
        <v>2.3599999999999999E-2</v>
      </c>
      <c r="AY441" s="185">
        <v>416</v>
      </c>
      <c r="AZ441" s="184">
        <f t="shared" si="489"/>
        <v>2.3599999999999999E-2</v>
      </c>
      <c r="BA441" s="190">
        <v>86</v>
      </c>
      <c r="BB441" s="185">
        <v>416</v>
      </c>
      <c r="BC441" s="183">
        <f t="shared" si="490"/>
        <v>86</v>
      </c>
      <c r="BG441" s="182">
        <v>2.3599999999999999E-2</v>
      </c>
      <c r="BH441" s="185">
        <v>416</v>
      </c>
      <c r="BI441" s="184">
        <f t="shared" si="491"/>
        <v>2.3599999999999999E-2</v>
      </c>
      <c r="CW441" s="364"/>
      <c r="CX441" s="316"/>
      <c r="CY441" s="316"/>
      <c r="DA441" s="309">
        <v>440</v>
      </c>
      <c r="DB441" s="313">
        <f t="shared" si="464"/>
        <v>360.14690307712902</v>
      </c>
      <c r="DC441" s="309">
        <f t="shared" si="465"/>
        <v>1</v>
      </c>
      <c r="DD441" s="309">
        <f t="shared" si="466"/>
        <v>260</v>
      </c>
      <c r="DE441" s="308">
        <f t="shared" si="467"/>
        <v>6.5000000000000002E-2</v>
      </c>
      <c r="DF441" s="313">
        <f t="shared" si="482"/>
        <v>440</v>
      </c>
      <c r="DG441" s="313">
        <f t="shared" si="471"/>
        <v>260</v>
      </c>
      <c r="DH441" s="313">
        <f t="shared" si="472"/>
        <v>260</v>
      </c>
      <c r="DI441" s="313">
        <f t="shared" si="473"/>
        <v>0</v>
      </c>
      <c r="DJ441" s="313">
        <f t="shared" si="474"/>
        <v>0</v>
      </c>
      <c r="DK441" s="313">
        <f t="shared" si="483"/>
        <v>109484.51726962168</v>
      </c>
      <c r="DL441" s="313">
        <f t="shared" si="475"/>
        <v>41600</v>
      </c>
      <c r="DM441" s="314">
        <f t="shared" si="476"/>
        <v>18.90570280914724</v>
      </c>
      <c r="DN441" s="312">
        <f t="shared" si="477"/>
        <v>4.2967506384425543E-2</v>
      </c>
      <c r="DO441" s="312">
        <f t="shared" si="484"/>
        <v>1</v>
      </c>
      <c r="DP441" s="315">
        <f t="shared" si="468"/>
        <v>6.5000000000000002E-2</v>
      </c>
      <c r="DQ441" s="316">
        <f t="shared" si="478"/>
        <v>0.25</v>
      </c>
      <c r="DR441" s="316">
        <f t="shared" si="479"/>
        <v>113.82075452294252</v>
      </c>
      <c r="DS441" s="314">
        <f t="shared" si="480"/>
        <v>3.8657273169921789</v>
      </c>
      <c r="DT441" s="316">
        <f t="shared" si="481"/>
        <v>113.82075452294252</v>
      </c>
      <c r="DU441" s="314">
        <f t="shared" si="469"/>
        <v>3.8657273169921789</v>
      </c>
      <c r="DV441" s="316">
        <f t="shared" si="485"/>
        <v>40</v>
      </c>
      <c r="DW441" s="310">
        <f t="shared" si="470"/>
        <v>4.0250000000000004</v>
      </c>
      <c r="FB441" s="307"/>
      <c r="FC441" s="307"/>
      <c r="FF441" s="307"/>
      <c r="FG441" s="307"/>
      <c r="FH441" s="306"/>
      <c r="FJ441" s="307"/>
      <c r="FK441" s="307"/>
      <c r="FL441" s="306"/>
      <c r="FM441" s="307"/>
      <c r="FN441" s="306"/>
      <c r="FO441" s="307"/>
      <c r="FP441" s="306"/>
    </row>
    <row r="442" spans="29:172">
      <c r="AC442" s="156"/>
      <c r="AI442" s="190">
        <v>85</v>
      </c>
      <c r="AJ442" s="185">
        <v>417</v>
      </c>
      <c r="AK442" s="183">
        <f t="shared" si="486"/>
        <v>85</v>
      </c>
      <c r="AO442" s="182">
        <v>2.35E-2</v>
      </c>
      <c r="AP442" s="185">
        <v>417</v>
      </c>
      <c r="AQ442" s="184">
        <f t="shared" si="487"/>
        <v>2.35E-2</v>
      </c>
      <c r="AR442" s="190">
        <v>85</v>
      </c>
      <c r="AS442" s="185">
        <v>417</v>
      </c>
      <c r="AT442" s="183">
        <f t="shared" si="488"/>
        <v>85</v>
      </c>
      <c r="AX442" s="182">
        <v>2.35E-2</v>
      </c>
      <c r="AY442" s="185">
        <v>417</v>
      </c>
      <c r="AZ442" s="184">
        <f t="shared" si="489"/>
        <v>2.35E-2</v>
      </c>
      <c r="BA442" s="190">
        <v>85</v>
      </c>
      <c r="BB442" s="185">
        <v>417</v>
      </c>
      <c r="BC442" s="183">
        <f t="shared" si="490"/>
        <v>85</v>
      </c>
      <c r="BG442" s="182">
        <v>2.35E-2</v>
      </c>
      <c r="BH442" s="185">
        <v>417</v>
      </c>
      <c r="BI442" s="184">
        <f t="shared" si="491"/>
        <v>2.35E-2</v>
      </c>
      <c r="CW442" s="364"/>
      <c r="CX442" s="316"/>
      <c r="CY442" s="316"/>
      <c r="DA442" s="309">
        <v>441</v>
      </c>
      <c r="DB442" s="313">
        <f t="shared" si="464"/>
        <v>360.51087331139524</v>
      </c>
      <c r="DC442" s="309">
        <f t="shared" si="465"/>
        <v>1</v>
      </c>
      <c r="DD442" s="309">
        <f t="shared" si="466"/>
        <v>260</v>
      </c>
      <c r="DE442" s="308">
        <f t="shared" si="467"/>
        <v>6.5000000000000002E-2</v>
      </c>
      <c r="DF442" s="313">
        <f t="shared" si="482"/>
        <v>441</v>
      </c>
      <c r="DG442" s="313">
        <f t="shared" si="471"/>
        <v>260</v>
      </c>
      <c r="DH442" s="313">
        <f t="shared" si="472"/>
        <v>260</v>
      </c>
      <c r="DI442" s="313">
        <f t="shared" si="473"/>
        <v>0</v>
      </c>
      <c r="DJ442" s="313">
        <f t="shared" si="474"/>
        <v>0</v>
      </c>
      <c r="DK442" s="313">
        <f t="shared" si="483"/>
        <v>109744.51726962168</v>
      </c>
      <c r="DL442" s="313">
        <f t="shared" si="475"/>
        <v>41340</v>
      </c>
      <c r="DM442" s="314">
        <f t="shared" si="476"/>
        <v>18.90570280914724</v>
      </c>
      <c r="DN442" s="312">
        <f t="shared" si="477"/>
        <v>4.2870074397159272E-2</v>
      </c>
      <c r="DO442" s="312">
        <f t="shared" si="484"/>
        <v>1</v>
      </c>
      <c r="DP442" s="315">
        <f t="shared" si="468"/>
        <v>6.5000000000000002E-2</v>
      </c>
      <c r="DQ442" s="316">
        <f t="shared" si="478"/>
        <v>0.25</v>
      </c>
      <c r="DR442" s="316">
        <f t="shared" si="479"/>
        <v>114.07075452294252</v>
      </c>
      <c r="DS442" s="314">
        <f t="shared" si="480"/>
        <v>3.8660215919874861</v>
      </c>
      <c r="DT442" s="316">
        <f t="shared" si="481"/>
        <v>114.07075452294252</v>
      </c>
      <c r="DU442" s="314">
        <f t="shared" si="469"/>
        <v>3.8660215919874861</v>
      </c>
      <c r="DV442" s="316">
        <f t="shared" si="485"/>
        <v>39.75</v>
      </c>
      <c r="DW442" s="310">
        <f t="shared" si="470"/>
        <v>4.0251572327044025</v>
      </c>
      <c r="FB442" s="307"/>
      <c r="FC442" s="307"/>
      <c r="FF442" s="307"/>
      <c r="FG442" s="307"/>
      <c r="FH442" s="306"/>
      <c r="FJ442" s="307"/>
      <c r="FK442" s="307"/>
      <c r="FL442" s="306"/>
      <c r="FM442" s="307"/>
      <c r="FN442" s="306"/>
      <c r="FO442" s="307"/>
      <c r="FP442" s="306"/>
    </row>
    <row r="443" spans="29:172">
      <c r="AC443" s="156"/>
      <c r="AI443" s="190">
        <v>84</v>
      </c>
      <c r="AJ443" s="185">
        <v>418</v>
      </c>
      <c r="AK443" s="183">
        <f t="shared" si="486"/>
        <v>84</v>
      </c>
      <c r="AO443" s="182">
        <v>2.3400000000000001E-2</v>
      </c>
      <c r="AP443" s="185">
        <v>418</v>
      </c>
      <c r="AQ443" s="184">
        <f t="shared" si="487"/>
        <v>2.3400000000000001E-2</v>
      </c>
      <c r="AR443" s="190">
        <v>84</v>
      </c>
      <c r="AS443" s="185">
        <v>418</v>
      </c>
      <c r="AT443" s="183">
        <f t="shared" si="488"/>
        <v>84</v>
      </c>
      <c r="AX443" s="182">
        <v>2.3400000000000001E-2</v>
      </c>
      <c r="AY443" s="185">
        <v>418</v>
      </c>
      <c r="AZ443" s="184">
        <f t="shared" si="489"/>
        <v>2.3400000000000001E-2</v>
      </c>
      <c r="BA443" s="190">
        <v>84</v>
      </c>
      <c r="BB443" s="185">
        <v>418</v>
      </c>
      <c r="BC443" s="183">
        <f t="shared" si="490"/>
        <v>84</v>
      </c>
      <c r="BG443" s="182">
        <v>2.3400000000000001E-2</v>
      </c>
      <c r="BH443" s="185">
        <v>418</v>
      </c>
      <c r="BI443" s="184">
        <f t="shared" si="491"/>
        <v>2.3400000000000001E-2</v>
      </c>
      <c r="CW443" s="364"/>
      <c r="CX443" s="316"/>
      <c r="CY443" s="316"/>
      <c r="DA443" s="309">
        <v>442</v>
      </c>
      <c r="DB443" s="313">
        <f t="shared" si="464"/>
        <v>360.87484354566141</v>
      </c>
      <c r="DC443" s="309">
        <f t="shared" si="465"/>
        <v>1</v>
      </c>
      <c r="DD443" s="309">
        <f t="shared" si="466"/>
        <v>260</v>
      </c>
      <c r="DE443" s="308">
        <f t="shared" si="467"/>
        <v>6.5000000000000002E-2</v>
      </c>
      <c r="DF443" s="313">
        <f t="shared" si="482"/>
        <v>442</v>
      </c>
      <c r="DG443" s="313">
        <f t="shared" si="471"/>
        <v>260</v>
      </c>
      <c r="DH443" s="313">
        <f t="shared" si="472"/>
        <v>260</v>
      </c>
      <c r="DI443" s="313">
        <f t="shared" si="473"/>
        <v>0</v>
      </c>
      <c r="DJ443" s="313">
        <f t="shared" si="474"/>
        <v>0</v>
      </c>
      <c r="DK443" s="313">
        <f t="shared" si="483"/>
        <v>110004.51726962168</v>
      </c>
      <c r="DL443" s="313">
        <f t="shared" si="475"/>
        <v>41080</v>
      </c>
      <c r="DM443" s="314">
        <f t="shared" si="476"/>
        <v>18.90570280914724</v>
      </c>
      <c r="DN443" s="312">
        <f t="shared" si="477"/>
        <v>4.2773083278613663E-2</v>
      </c>
      <c r="DO443" s="312">
        <f t="shared" si="484"/>
        <v>1</v>
      </c>
      <c r="DP443" s="315">
        <f t="shared" si="468"/>
        <v>6.5000000000000002E-2</v>
      </c>
      <c r="DQ443" s="316">
        <f t="shared" si="478"/>
        <v>0.25</v>
      </c>
      <c r="DR443" s="316">
        <f t="shared" si="479"/>
        <v>114.32075452294252</v>
      </c>
      <c r="DS443" s="314">
        <f t="shared" si="480"/>
        <v>3.8663145799243042</v>
      </c>
      <c r="DT443" s="316">
        <f t="shared" si="481"/>
        <v>114.32075452294252</v>
      </c>
      <c r="DU443" s="314">
        <f t="shared" si="469"/>
        <v>3.8663145799243042</v>
      </c>
      <c r="DV443" s="316">
        <f t="shared" si="485"/>
        <v>39.5</v>
      </c>
      <c r="DW443" s="310">
        <f t="shared" si="470"/>
        <v>4.0253164556962027</v>
      </c>
      <c r="FB443" s="307"/>
      <c r="FC443" s="307"/>
      <c r="FF443" s="307"/>
      <c r="FG443" s="307"/>
      <c r="FH443" s="306"/>
      <c r="FJ443" s="307"/>
      <c r="FK443" s="307"/>
      <c r="FL443" s="306"/>
      <c r="FM443" s="307"/>
      <c r="FN443" s="306"/>
      <c r="FO443" s="307"/>
      <c r="FP443" s="306"/>
    </row>
    <row r="444" spans="29:172">
      <c r="AC444" s="156"/>
      <c r="AI444" s="190">
        <v>83</v>
      </c>
      <c r="AJ444" s="185">
        <v>419</v>
      </c>
      <c r="AK444" s="183">
        <f t="shared" si="486"/>
        <v>83</v>
      </c>
      <c r="AO444" s="182">
        <v>2.3300000000000001E-2</v>
      </c>
      <c r="AP444" s="185">
        <v>419</v>
      </c>
      <c r="AQ444" s="184">
        <f t="shared" si="487"/>
        <v>2.3300000000000001E-2</v>
      </c>
      <c r="AR444" s="190">
        <v>83</v>
      </c>
      <c r="AS444" s="185">
        <v>419</v>
      </c>
      <c r="AT444" s="183">
        <f t="shared" si="488"/>
        <v>83</v>
      </c>
      <c r="AX444" s="182">
        <v>2.3300000000000001E-2</v>
      </c>
      <c r="AY444" s="185">
        <v>419</v>
      </c>
      <c r="AZ444" s="184">
        <f t="shared" si="489"/>
        <v>2.3300000000000001E-2</v>
      </c>
      <c r="BA444" s="190">
        <v>83</v>
      </c>
      <c r="BB444" s="185">
        <v>419</v>
      </c>
      <c r="BC444" s="183">
        <f t="shared" si="490"/>
        <v>83</v>
      </c>
      <c r="BG444" s="182">
        <v>2.3300000000000001E-2</v>
      </c>
      <c r="BH444" s="185">
        <v>419</v>
      </c>
      <c r="BI444" s="184">
        <f t="shared" si="491"/>
        <v>2.3300000000000001E-2</v>
      </c>
      <c r="CW444" s="364"/>
      <c r="CX444" s="316"/>
      <c r="CY444" s="316"/>
      <c r="DA444" s="309">
        <v>443</v>
      </c>
      <c r="DB444" s="313">
        <f t="shared" si="464"/>
        <v>361.23881377992763</v>
      </c>
      <c r="DC444" s="309">
        <f t="shared" si="465"/>
        <v>1</v>
      </c>
      <c r="DD444" s="309">
        <f t="shared" si="466"/>
        <v>260</v>
      </c>
      <c r="DE444" s="308">
        <f t="shared" si="467"/>
        <v>6.5000000000000002E-2</v>
      </c>
      <c r="DF444" s="313">
        <f t="shared" si="482"/>
        <v>443</v>
      </c>
      <c r="DG444" s="313">
        <f t="shared" si="471"/>
        <v>260</v>
      </c>
      <c r="DH444" s="313">
        <f t="shared" si="472"/>
        <v>260</v>
      </c>
      <c r="DI444" s="313">
        <f t="shared" si="473"/>
        <v>0</v>
      </c>
      <c r="DJ444" s="313">
        <f t="shared" si="474"/>
        <v>0</v>
      </c>
      <c r="DK444" s="313">
        <f t="shared" si="483"/>
        <v>110264.51726962168</v>
      </c>
      <c r="DL444" s="313">
        <f t="shared" si="475"/>
        <v>40820</v>
      </c>
      <c r="DM444" s="314">
        <f t="shared" si="476"/>
        <v>18.90570280914724</v>
      </c>
      <c r="DN444" s="312">
        <f t="shared" si="477"/>
        <v>4.2676530043221757E-2</v>
      </c>
      <c r="DO444" s="312">
        <f t="shared" si="484"/>
        <v>1</v>
      </c>
      <c r="DP444" s="315">
        <f t="shared" si="468"/>
        <v>6.5000000000000002E-2</v>
      </c>
      <c r="DQ444" s="316">
        <f t="shared" si="478"/>
        <v>0.25</v>
      </c>
      <c r="DR444" s="316">
        <f t="shared" si="479"/>
        <v>114.57075452294252</v>
      </c>
      <c r="DS444" s="314">
        <f t="shared" si="480"/>
        <v>3.8666062892279398</v>
      </c>
      <c r="DT444" s="316">
        <f t="shared" si="481"/>
        <v>114.57075452294252</v>
      </c>
      <c r="DU444" s="314">
        <f t="shared" si="469"/>
        <v>3.8666062892279398</v>
      </c>
      <c r="DV444" s="316">
        <f t="shared" si="485"/>
        <v>39.25</v>
      </c>
      <c r="DW444" s="310">
        <f t="shared" si="470"/>
        <v>4.0254777070063694</v>
      </c>
      <c r="FB444" s="307"/>
      <c r="FC444" s="307"/>
      <c r="FF444" s="307"/>
      <c r="FG444" s="307"/>
      <c r="FH444" s="306"/>
      <c r="FJ444" s="307"/>
      <c r="FK444" s="307"/>
      <c r="FL444" s="306"/>
      <c r="FM444" s="307"/>
      <c r="FN444" s="306"/>
      <c r="FO444" s="307"/>
      <c r="FP444" s="306"/>
    </row>
    <row r="445" spans="29:172">
      <c r="AC445" s="156"/>
      <c r="AI445" s="190">
        <v>82</v>
      </c>
      <c r="AJ445" s="185">
        <v>420</v>
      </c>
      <c r="AK445" s="183">
        <f t="shared" si="486"/>
        <v>82</v>
      </c>
      <c r="AO445" s="182">
        <v>2.3199999999999998E-2</v>
      </c>
      <c r="AP445" s="185">
        <v>420</v>
      </c>
      <c r="AQ445" s="184">
        <f t="shared" si="487"/>
        <v>2.3199999999999998E-2</v>
      </c>
      <c r="AR445" s="190">
        <v>82</v>
      </c>
      <c r="AS445" s="185">
        <v>420</v>
      </c>
      <c r="AT445" s="183">
        <f t="shared" si="488"/>
        <v>82</v>
      </c>
      <c r="AX445" s="182">
        <v>2.3199999999999998E-2</v>
      </c>
      <c r="AY445" s="185">
        <v>420</v>
      </c>
      <c r="AZ445" s="184">
        <f t="shared" si="489"/>
        <v>2.3199999999999998E-2</v>
      </c>
      <c r="BA445" s="190">
        <v>82</v>
      </c>
      <c r="BB445" s="185">
        <v>420</v>
      </c>
      <c r="BC445" s="183">
        <f t="shared" si="490"/>
        <v>82</v>
      </c>
      <c r="BG445" s="182">
        <v>2.3199999999999998E-2</v>
      </c>
      <c r="BH445" s="185">
        <v>420</v>
      </c>
      <c r="BI445" s="184">
        <f t="shared" si="491"/>
        <v>2.3199999999999998E-2</v>
      </c>
      <c r="CW445" s="364"/>
      <c r="CX445" s="316"/>
      <c r="CY445" s="316"/>
      <c r="DA445" s="309">
        <v>444</v>
      </c>
      <c r="DB445" s="313">
        <f t="shared" si="464"/>
        <v>361.60278401419384</v>
      </c>
      <c r="DC445" s="309">
        <f t="shared" si="465"/>
        <v>1</v>
      </c>
      <c r="DD445" s="309">
        <f t="shared" si="466"/>
        <v>260</v>
      </c>
      <c r="DE445" s="308">
        <f t="shared" si="467"/>
        <v>6.5000000000000002E-2</v>
      </c>
      <c r="DF445" s="313">
        <f t="shared" si="482"/>
        <v>444</v>
      </c>
      <c r="DG445" s="313">
        <f t="shared" si="471"/>
        <v>260</v>
      </c>
      <c r="DH445" s="313">
        <f t="shared" si="472"/>
        <v>260</v>
      </c>
      <c r="DI445" s="313">
        <f t="shared" si="473"/>
        <v>0</v>
      </c>
      <c r="DJ445" s="313">
        <f t="shared" si="474"/>
        <v>0</v>
      </c>
      <c r="DK445" s="313">
        <f t="shared" si="483"/>
        <v>110524.51726962168</v>
      </c>
      <c r="DL445" s="313">
        <f t="shared" si="475"/>
        <v>40560</v>
      </c>
      <c r="DM445" s="314">
        <f t="shared" si="476"/>
        <v>18.90570280914724</v>
      </c>
      <c r="DN445" s="312">
        <f t="shared" si="477"/>
        <v>4.2580411732313604E-2</v>
      </c>
      <c r="DO445" s="312">
        <f t="shared" si="484"/>
        <v>1</v>
      </c>
      <c r="DP445" s="315">
        <f t="shared" si="468"/>
        <v>6.5000000000000002E-2</v>
      </c>
      <c r="DQ445" s="316">
        <f t="shared" si="478"/>
        <v>0.25</v>
      </c>
      <c r="DR445" s="316">
        <f t="shared" si="479"/>
        <v>114.82075452294252</v>
      </c>
      <c r="DS445" s="314">
        <f t="shared" si="480"/>
        <v>3.8668967282503237</v>
      </c>
      <c r="DT445" s="316">
        <f t="shared" si="481"/>
        <v>114.82075452294252</v>
      </c>
      <c r="DU445" s="314">
        <f t="shared" si="469"/>
        <v>3.8668967282503237</v>
      </c>
      <c r="DV445" s="316">
        <f t="shared" si="485"/>
        <v>39</v>
      </c>
      <c r="DW445" s="310">
        <f t="shared" si="470"/>
        <v>4.0256410256410255</v>
      </c>
      <c r="FB445" s="307"/>
      <c r="FC445" s="307"/>
      <c r="FF445" s="307"/>
      <c r="FG445" s="307"/>
      <c r="FH445" s="306"/>
      <c r="FJ445" s="307"/>
      <c r="FK445" s="307"/>
      <c r="FL445" s="306"/>
      <c r="FM445" s="307"/>
      <c r="FN445" s="306"/>
      <c r="FO445" s="307"/>
      <c r="FP445" s="306"/>
    </row>
    <row r="446" spans="29:172">
      <c r="AC446" s="156"/>
      <c r="AI446" s="190">
        <v>81</v>
      </c>
      <c r="AJ446" s="185">
        <v>421</v>
      </c>
      <c r="AK446" s="183">
        <f t="shared" si="486"/>
        <v>81</v>
      </c>
      <c r="AO446" s="182">
        <v>2.3099999999999999E-2</v>
      </c>
      <c r="AP446" s="185">
        <v>421</v>
      </c>
      <c r="AQ446" s="184">
        <f t="shared" si="487"/>
        <v>2.3099999999999999E-2</v>
      </c>
      <c r="AR446" s="190">
        <v>81</v>
      </c>
      <c r="AS446" s="185">
        <v>421</v>
      </c>
      <c r="AT446" s="183">
        <f t="shared" si="488"/>
        <v>81</v>
      </c>
      <c r="AX446" s="182">
        <v>2.3099999999999999E-2</v>
      </c>
      <c r="AY446" s="185">
        <v>421</v>
      </c>
      <c r="AZ446" s="184">
        <f t="shared" si="489"/>
        <v>2.3099999999999999E-2</v>
      </c>
      <c r="BA446" s="190">
        <v>81</v>
      </c>
      <c r="BB446" s="185">
        <v>421</v>
      </c>
      <c r="BC446" s="183">
        <f t="shared" si="490"/>
        <v>81</v>
      </c>
      <c r="BG446" s="182">
        <v>2.3099999999999999E-2</v>
      </c>
      <c r="BH446" s="185">
        <v>421</v>
      </c>
      <c r="BI446" s="184">
        <f t="shared" si="491"/>
        <v>2.3099999999999999E-2</v>
      </c>
      <c r="CW446" s="364"/>
      <c r="CX446" s="316"/>
      <c r="CY446" s="316"/>
      <c r="DA446" s="309">
        <v>445</v>
      </c>
      <c r="DB446" s="313">
        <f t="shared" si="464"/>
        <v>361.96675424846001</v>
      </c>
      <c r="DC446" s="309">
        <f t="shared" si="465"/>
        <v>1</v>
      </c>
      <c r="DD446" s="309">
        <f t="shared" si="466"/>
        <v>260</v>
      </c>
      <c r="DE446" s="308">
        <f t="shared" si="467"/>
        <v>6.5000000000000002E-2</v>
      </c>
      <c r="DF446" s="313">
        <f t="shared" si="482"/>
        <v>445</v>
      </c>
      <c r="DG446" s="313">
        <f t="shared" si="471"/>
        <v>260</v>
      </c>
      <c r="DH446" s="313">
        <f t="shared" si="472"/>
        <v>260</v>
      </c>
      <c r="DI446" s="313">
        <f t="shared" si="473"/>
        <v>0</v>
      </c>
      <c r="DJ446" s="313">
        <f t="shared" si="474"/>
        <v>0</v>
      </c>
      <c r="DK446" s="313">
        <f t="shared" si="483"/>
        <v>110784.51726962168</v>
      </c>
      <c r="DL446" s="313">
        <f t="shared" si="475"/>
        <v>40300</v>
      </c>
      <c r="DM446" s="314">
        <f t="shared" si="476"/>
        <v>18.90570280914724</v>
      </c>
      <c r="DN446" s="312">
        <f t="shared" si="477"/>
        <v>4.2484725413814019E-2</v>
      </c>
      <c r="DO446" s="312">
        <f t="shared" si="484"/>
        <v>1</v>
      </c>
      <c r="DP446" s="315">
        <f t="shared" si="468"/>
        <v>6.5000000000000002E-2</v>
      </c>
      <c r="DQ446" s="316">
        <f t="shared" si="478"/>
        <v>0.25</v>
      </c>
      <c r="DR446" s="316">
        <f t="shared" si="479"/>
        <v>115.07075452294252</v>
      </c>
      <c r="DS446" s="314">
        <f t="shared" si="480"/>
        <v>3.8671859052708046</v>
      </c>
      <c r="DT446" s="316">
        <f t="shared" si="481"/>
        <v>115.07075452294252</v>
      </c>
      <c r="DU446" s="314">
        <f t="shared" si="469"/>
        <v>3.8671859052708046</v>
      </c>
      <c r="DV446" s="316">
        <f t="shared" si="485"/>
        <v>38.75</v>
      </c>
      <c r="DW446" s="310">
        <f t="shared" si="470"/>
        <v>4.0258064516129028</v>
      </c>
      <c r="FB446" s="307"/>
      <c r="FC446" s="307"/>
      <c r="FF446" s="307"/>
      <c r="FG446" s="307"/>
      <c r="FH446" s="306"/>
      <c r="FJ446" s="307"/>
      <c r="FK446" s="307"/>
      <c r="FL446" s="306"/>
      <c r="FM446" s="307"/>
      <c r="FN446" s="306"/>
      <c r="FO446" s="307"/>
      <c r="FP446" s="306"/>
    </row>
    <row r="447" spans="29:172">
      <c r="AC447" s="156"/>
      <c r="AI447" s="190">
        <v>80</v>
      </c>
      <c r="AJ447" s="185">
        <v>422</v>
      </c>
      <c r="AK447" s="183">
        <f t="shared" si="486"/>
        <v>80</v>
      </c>
      <c r="AO447" s="182">
        <v>2.3E-2</v>
      </c>
      <c r="AP447" s="185">
        <v>422</v>
      </c>
      <c r="AQ447" s="184">
        <f t="shared" si="487"/>
        <v>2.3E-2</v>
      </c>
      <c r="AR447" s="190">
        <v>80</v>
      </c>
      <c r="AS447" s="185">
        <v>422</v>
      </c>
      <c r="AT447" s="183">
        <f t="shared" si="488"/>
        <v>80</v>
      </c>
      <c r="AX447" s="182">
        <v>2.3E-2</v>
      </c>
      <c r="AY447" s="185">
        <v>422</v>
      </c>
      <c r="AZ447" s="184">
        <f t="shared" si="489"/>
        <v>2.3E-2</v>
      </c>
      <c r="BA447" s="190">
        <v>80</v>
      </c>
      <c r="BB447" s="185">
        <v>422</v>
      </c>
      <c r="BC447" s="183">
        <f t="shared" si="490"/>
        <v>80</v>
      </c>
      <c r="BG447" s="182">
        <v>2.3E-2</v>
      </c>
      <c r="BH447" s="185">
        <v>422</v>
      </c>
      <c r="BI447" s="184">
        <f t="shared" si="491"/>
        <v>2.3E-2</v>
      </c>
      <c r="CW447" s="364"/>
      <c r="CX447" s="316"/>
      <c r="CY447" s="316"/>
      <c r="DA447" s="309">
        <v>446</v>
      </c>
      <c r="DB447" s="313">
        <f t="shared" si="464"/>
        <v>362.33072448272628</v>
      </c>
      <c r="DC447" s="309">
        <f t="shared" si="465"/>
        <v>1</v>
      </c>
      <c r="DD447" s="309">
        <f t="shared" si="466"/>
        <v>260</v>
      </c>
      <c r="DE447" s="308">
        <f t="shared" si="467"/>
        <v>6.5000000000000002E-2</v>
      </c>
      <c r="DF447" s="313">
        <f t="shared" si="482"/>
        <v>446</v>
      </c>
      <c r="DG447" s="313">
        <f t="shared" si="471"/>
        <v>260</v>
      </c>
      <c r="DH447" s="313">
        <f t="shared" si="472"/>
        <v>260</v>
      </c>
      <c r="DI447" s="313">
        <f t="shared" si="473"/>
        <v>0</v>
      </c>
      <c r="DJ447" s="313">
        <f t="shared" si="474"/>
        <v>0</v>
      </c>
      <c r="DK447" s="313">
        <f t="shared" si="483"/>
        <v>111044.51726962168</v>
      </c>
      <c r="DL447" s="313">
        <f t="shared" si="475"/>
        <v>40040</v>
      </c>
      <c r="DM447" s="314">
        <f t="shared" si="476"/>
        <v>18.90570280914724</v>
      </c>
      <c r="DN447" s="312">
        <f t="shared" si="477"/>
        <v>4.2389468181944487E-2</v>
      </c>
      <c r="DO447" s="312">
        <f t="shared" si="484"/>
        <v>1</v>
      </c>
      <c r="DP447" s="315">
        <f t="shared" si="468"/>
        <v>6.5000000000000002E-2</v>
      </c>
      <c r="DQ447" s="316">
        <f t="shared" si="478"/>
        <v>0.25</v>
      </c>
      <c r="DR447" s="316">
        <f t="shared" si="479"/>
        <v>115.32075452294252</v>
      </c>
      <c r="DS447" s="314">
        <f t="shared" si="480"/>
        <v>3.8674738284969372</v>
      </c>
      <c r="DT447" s="316">
        <f t="shared" si="481"/>
        <v>115.32075452294252</v>
      </c>
      <c r="DU447" s="314">
        <f t="shared" si="469"/>
        <v>3.8674738284969372</v>
      </c>
      <c r="DV447" s="316">
        <f t="shared" si="485"/>
        <v>38.5</v>
      </c>
      <c r="DW447" s="310">
        <f t="shared" si="470"/>
        <v>4.0259740259740262</v>
      </c>
      <c r="FB447" s="307"/>
      <c r="FC447" s="307"/>
      <c r="FF447" s="307"/>
      <c r="FG447" s="307"/>
      <c r="FH447" s="306"/>
      <c r="FJ447" s="307"/>
      <c r="FK447" s="307"/>
      <c r="FL447" s="306"/>
      <c r="FM447" s="307"/>
      <c r="FN447" s="306"/>
      <c r="FO447" s="307"/>
      <c r="FP447" s="306"/>
    </row>
    <row r="448" spans="29:172">
      <c r="AC448" s="156"/>
      <c r="AI448" s="190">
        <v>79</v>
      </c>
      <c r="AJ448" s="185">
        <v>423</v>
      </c>
      <c r="AK448" s="183">
        <f t="shared" si="486"/>
        <v>79</v>
      </c>
      <c r="AO448" s="182">
        <v>2.29E-2</v>
      </c>
      <c r="AP448" s="185">
        <v>423</v>
      </c>
      <c r="AQ448" s="184">
        <f t="shared" si="487"/>
        <v>2.29E-2</v>
      </c>
      <c r="AR448" s="190">
        <v>79</v>
      </c>
      <c r="AS448" s="185">
        <v>423</v>
      </c>
      <c r="AT448" s="183">
        <f t="shared" si="488"/>
        <v>79</v>
      </c>
      <c r="AX448" s="182">
        <v>2.29E-2</v>
      </c>
      <c r="AY448" s="185">
        <v>423</v>
      </c>
      <c r="AZ448" s="184">
        <f t="shared" si="489"/>
        <v>2.29E-2</v>
      </c>
      <c r="BA448" s="190">
        <v>79</v>
      </c>
      <c r="BB448" s="185">
        <v>423</v>
      </c>
      <c r="BC448" s="183">
        <f t="shared" si="490"/>
        <v>79</v>
      </c>
      <c r="BG448" s="182">
        <v>2.29E-2</v>
      </c>
      <c r="BH448" s="185">
        <v>423</v>
      </c>
      <c r="BI448" s="184">
        <f t="shared" si="491"/>
        <v>2.29E-2</v>
      </c>
      <c r="CW448" s="364"/>
      <c r="CX448" s="316"/>
      <c r="CY448" s="316"/>
      <c r="DA448" s="309">
        <v>447</v>
      </c>
      <c r="DB448" s="313">
        <f t="shared" si="464"/>
        <v>362.69469471699244</v>
      </c>
      <c r="DC448" s="309">
        <f t="shared" si="465"/>
        <v>1</v>
      </c>
      <c r="DD448" s="309">
        <f t="shared" si="466"/>
        <v>260</v>
      </c>
      <c r="DE448" s="308">
        <f t="shared" si="467"/>
        <v>6.5000000000000002E-2</v>
      </c>
      <c r="DF448" s="313">
        <f t="shared" si="482"/>
        <v>447</v>
      </c>
      <c r="DG448" s="313">
        <f t="shared" si="471"/>
        <v>260</v>
      </c>
      <c r="DH448" s="313">
        <f t="shared" si="472"/>
        <v>260</v>
      </c>
      <c r="DI448" s="313">
        <f t="shared" si="473"/>
        <v>0</v>
      </c>
      <c r="DJ448" s="313">
        <f t="shared" si="474"/>
        <v>0</v>
      </c>
      <c r="DK448" s="313">
        <f t="shared" si="483"/>
        <v>111304.51726962168</v>
      </c>
      <c r="DL448" s="313">
        <f t="shared" si="475"/>
        <v>39780</v>
      </c>
      <c r="DM448" s="314">
        <f t="shared" si="476"/>
        <v>18.90570280914724</v>
      </c>
      <c r="DN448" s="312">
        <f t="shared" si="477"/>
        <v>4.2294637156928945E-2</v>
      </c>
      <c r="DO448" s="312">
        <f t="shared" si="484"/>
        <v>1</v>
      </c>
      <c r="DP448" s="315">
        <f t="shared" si="468"/>
        <v>6.5000000000000002E-2</v>
      </c>
      <c r="DQ448" s="316">
        <f t="shared" si="478"/>
        <v>0.25</v>
      </c>
      <c r="DR448" s="316">
        <f t="shared" si="479"/>
        <v>115.57075452294252</v>
      </c>
      <c r="DS448" s="314">
        <f t="shared" si="480"/>
        <v>3.8677605060652591</v>
      </c>
      <c r="DT448" s="316">
        <f t="shared" si="481"/>
        <v>115.57075452294252</v>
      </c>
      <c r="DU448" s="314">
        <f t="shared" si="469"/>
        <v>3.8677605060652591</v>
      </c>
      <c r="DV448" s="316">
        <f t="shared" si="485"/>
        <v>38.25</v>
      </c>
      <c r="DW448" s="310">
        <f t="shared" si="470"/>
        <v>4.0261437908496731</v>
      </c>
      <c r="FB448" s="307"/>
      <c r="FC448" s="307"/>
      <c r="FF448" s="307"/>
      <c r="FG448" s="307"/>
      <c r="FH448" s="306"/>
      <c r="FJ448" s="307"/>
      <c r="FK448" s="307"/>
      <c r="FL448" s="306"/>
      <c r="FM448" s="307"/>
      <c r="FN448" s="306"/>
      <c r="FO448" s="307"/>
      <c r="FP448" s="306"/>
    </row>
    <row r="449" spans="29:172">
      <c r="AC449" s="156"/>
      <c r="AI449" s="190">
        <v>78</v>
      </c>
      <c r="AJ449" s="185">
        <v>424</v>
      </c>
      <c r="AK449" s="183">
        <f t="shared" si="486"/>
        <v>78</v>
      </c>
      <c r="AO449" s="182">
        <v>2.2800000000000001E-2</v>
      </c>
      <c r="AP449" s="185">
        <v>424</v>
      </c>
      <c r="AQ449" s="184">
        <f t="shared" si="487"/>
        <v>2.2800000000000001E-2</v>
      </c>
      <c r="AR449" s="190">
        <v>78</v>
      </c>
      <c r="AS449" s="185">
        <v>424</v>
      </c>
      <c r="AT449" s="183">
        <f t="shared" si="488"/>
        <v>78</v>
      </c>
      <c r="AX449" s="182">
        <v>2.2800000000000001E-2</v>
      </c>
      <c r="AY449" s="185">
        <v>424</v>
      </c>
      <c r="AZ449" s="184">
        <f t="shared" si="489"/>
        <v>2.2800000000000001E-2</v>
      </c>
      <c r="BA449" s="190">
        <v>78</v>
      </c>
      <c r="BB449" s="185">
        <v>424</v>
      </c>
      <c r="BC449" s="183">
        <f t="shared" si="490"/>
        <v>78</v>
      </c>
      <c r="BG449" s="182">
        <v>2.2800000000000001E-2</v>
      </c>
      <c r="BH449" s="185">
        <v>424</v>
      </c>
      <c r="BI449" s="184">
        <f t="shared" si="491"/>
        <v>2.2800000000000001E-2</v>
      </c>
      <c r="CW449" s="364"/>
      <c r="CX449" s="316"/>
      <c r="CY449" s="316"/>
      <c r="DA449" s="309">
        <v>448</v>
      </c>
      <c r="DB449" s="313">
        <f t="shared" si="464"/>
        <v>363.05866495125866</v>
      </c>
      <c r="DC449" s="309">
        <f t="shared" si="465"/>
        <v>1</v>
      </c>
      <c r="DD449" s="309">
        <f t="shared" si="466"/>
        <v>260</v>
      </c>
      <c r="DE449" s="308">
        <f t="shared" si="467"/>
        <v>6.5000000000000002E-2</v>
      </c>
      <c r="DF449" s="313">
        <f t="shared" si="482"/>
        <v>448</v>
      </c>
      <c r="DG449" s="313">
        <f t="shared" si="471"/>
        <v>260</v>
      </c>
      <c r="DH449" s="313">
        <f t="shared" si="472"/>
        <v>260</v>
      </c>
      <c r="DI449" s="313">
        <f t="shared" si="473"/>
        <v>0</v>
      </c>
      <c r="DJ449" s="313">
        <f t="shared" si="474"/>
        <v>0</v>
      </c>
      <c r="DK449" s="313">
        <f t="shared" si="483"/>
        <v>111564.51726962168</v>
      </c>
      <c r="DL449" s="313">
        <f t="shared" si="475"/>
        <v>39520</v>
      </c>
      <c r="DM449" s="314">
        <f t="shared" si="476"/>
        <v>18.90570280914724</v>
      </c>
      <c r="DN449" s="312">
        <f t="shared" si="477"/>
        <v>4.2200229484703658E-2</v>
      </c>
      <c r="DO449" s="312">
        <f t="shared" si="484"/>
        <v>1</v>
      </c>
      <c r="DP449" s="315">
        <f t="shared" si="468"/>
        <v>6.5000000000000002E-2</v>
      </c>
      <c r="DQ449" s="316">
        <f t="shared" si="478"/>
        <v>0.25</v>
      </c>
      <c r="DR449" s="316">
        <f t="shared" si="479"/>
        <v>115.82075452294252</v>
      </c>
      <c r="DS449" s="314">
        <f t="shared" si="480"/>
        <v>3.8680459460420566</v>
      </c>
      <c r="DT449" s="316">
        <f t="shared" si="481"/>
        <v>115.82075452294252</v>
      </c>
      <c r="DU449" s="314">
        <f t="shared" si="469"/>
        <v>3.8680459460420566</v>
      </c>
      <c r="DV449" s="316">
        <f t="shared" si="485"/>
        <v>38</v>
      </c>
      <c r="DW449" s="310">
        <f t="shared" si="470"/>
        <v>4.0263157894736841</v>
      </c>
      <c r="FB449" s="307"/>
      <c r="FC449" s="307"/>
      <c r="FF449" s="307"/>
      <c r="FG449" s="307"/>
      <c r="FH449" s="306"/>
      <c r="FJ449" s="307"/>
      <c r="FK449" s="307"/>
      <c r="FL449" s="306"/>
      <c r="FM449" s="307"/>
      <c r="FN449" s="306"/>
      <c r="FO449" s="307"/>
      <c r="FP449" s="306"/>
    </row>
    <row r="450" spans="29:172">
      <c r="AC450" s="156"/>
      <c r="AI450" s="190">
        <v>77</v>
      </c>
      <c r="AJ450" s="185">
        <v>425</v>
      </c>
      <c r="AK450" s="183">
        <f t="shared" si="486"/>
        <v>77</v>
      </c>
      <c r="AO450" s="182">
        <v>2.2700000000000001E-2</v>
      </c>
      <c r="AP450" s="185">
        <v>425</v>
      </c>
      <c r="AQ450" s="184">
        <f t="shared" si="487"/>
        <v>2.2700000000000001E-2</v>
      </c>
      <c r="AR450" s="190">
        <v>77</v>
      </c>
      <c r="AS450" s="185">
        <v>425</v>
      </c>
      <c r="AT450" s="183">
        <f t="shared" si="488"/>
        <v>77</v>
      </c>
      <c r="AX450" s="182">
        <v>2.2700000000000001E-2</v>
      </c>
      <c r="AY450" s="185">
        <v>425</v>
      </c>
      <c r="AZ450" s="184">
        <f t="shared" si="489"/>
        <v>2.2700000000000001E-2</v>
      </c>
      <c r="BA450" s="190">
        <v>77</v>
      </c>
      <c r="BB450" s="185">
        <v>425</v>
      </c>
      <c r="BC450" s="183">
        <f t="shared" si="490"/>
        <v>77</v>
      </c>
      <c r="BG450" s="182">
        <v>2.2700000000000001E-2</v>
      </c>
      <c r="BH450" s="185">
        <v>425</v>
      </c>
      <c r="BI450" s="184">
        <f t="shared" si="491"/>
        <v>2.2700000000000001E-2</v>
      </c>
      <c r="CW450" s="364"/>
      <c r="CX450" s="316"/>
      <c r="CY450" s="316"/>
      <c r="DA450" s="309">
        <v>449</v>
      </c>
      <c r="DB450" s="313">
        <f t="shared" ref="DB450:DB513" si="492">start+DA450*tanO</f>
        <v>363.42263518552488</v>
      </c>
      <c r="DC450" s="309">
        <f t="shared" ref="DC450:DC513" si="493">IF(DA450&lt;edge_width,1,IF(DA450&lt;mid_width,2,IF(DA450&lt;=tot_width,3,4)))</f>
        <v>1</v>
      </c>
      <c r="DD450" s="309">
        <f t="shared" ref="DD450:DD513" si="494">CHOOSE(DC450,edge_thick,second_thick,core_thick,0)</f>
        <v>260</v>
      </c>
      <c r="DE450" s="308">
        <f t="shared" ref="DE450:DE513" si="495">CHOOSE(DC450,edge_k,second_k,core_k,0)</f>
        <v>6.5000000000000002E-2</v>
      </c>
      <c r="DF450" s="313">
        <f t="shared" si="482"/>
        <v>449</v>
      </c>
      <c r="DG450" s="313">
        <f t="shared" si="471"/>
        <v>260</v>
      </c>
      <c r="DH450" s="313">
        <f t="shared" si="472"/>
        <v>260</v>
      </c>
      <c r="DI450" s="313">
        <f t="shared" si="473"/>
        <v>0</v>
      </c>
      <c r="DJ450" s="313">
        <f t="shared" si="474"/>
        <v>0</v>
      </c>
      <c r="DK450" s="313">
        <f t="shared" si="483"/>
        <v>111824.51726962168</v>
      </c>
      <c r="DL450" s="313">
        <f t="shared" si="475"/>
        <v>39260</v>
      </c>
      <c r="DM450" s="314">
        <f t="shared" si="476"/>
        <v>18.90570280914724</v>
      </c>
      <c r="DN450" s="312">
        <f t="shared" si="477"/>
        <v>4.2106242336630822E-2</v>
      </c>
      <c r="DO450" s="312">
        <f t="shared" si="484"/>
        <v>1</v>
      </c>
      <c r="DP450" s="315">
        <f t="shared" ref="DP450:DP513" si="496">DE450*DO450^CHOOSE(DC450,mult1,mult2,mult3,0)</f>
        <v>6.5000000000000002E-2</v>
      </c>
      <c r="DQ450" s="316">
        <f t="shared" si="478"/>
        <v>0.25</v>
      </c>
      <c r="DR450" s="316">
        <f t="shared" si="479"/>
        <v>116.07075452294252</v>
      </c>
      <c r="DS450" s="314">
        <f t="shared" si="480"/>
        <v>3.868330156424121</v>
      </c>
      <c r="DT450" s="316">
        <f t="shared" si="481"/>
        <v>116.07075452294252</v>
      </c>
      <c r="DU450" s="314">
        <f t="shared" ref="DU450:DU513" si="497">IF(DC450&lt;&gt;4,CHOOSE(DC450,DA450/DT450,(DA450-edge_width+1)/DT450,(DA450-mid_width+1)/DT450),0)</f>
        <v>3.868330156424121</v>
      </c>
      <c r="DV450" s="316">
        <f t="shared" si="485"/>
        <v>37.75</v>
      </c>
      <c r="DW450" s="310">
        <f t="shared" ref="DW450:DW513" si="498">IF(DC450&lt;&gt;4,(tot_width-DA450+1)/DV450,0)</f>
        <v>4.0264900662251657</v>
      </c>
      <c r="FB450" s="307"/>
      <c r="FC450" s="307"/>
      <c r="FF450" s="307"/>
      <c r="FG450" s="307"/>
      <c r="FH450" s="306"/>
      <c r="FJ450" s="307"/>
      <c r="FK450" s="307"/>
      <c r="FL450" s="306"/>
      <c r="FM450" s="307"/>
      <c r="FN450" s="306"/>
      <c r="FO450" s="307"/>
      <c r="FP450" s="306"/>
    </row>
    <row r="451" spans="29:172">
      <c r="AC451" s="156"/>
      <c r="AI451" s="190">
        <v>76</v>
      </c>
      <c r="AJ451" s="185">
        <v>426</v>
      </c>
      <c r="AK451" s="183">
        <f t="shared" si="486"/>
        <v>76</v>
      </c>
      <c r="AO451" s="182">
        <v>2.2599999999999999E-2</v>
      </c>
      <c r="AP451" s="185">
        <v>426</v>
      </c>
      <c r="AQ451" s="184">
        <f t="shared" si="487"/>
        <v>2.2599999999999999E-2</v>
      </c>
      <c r="AR451" s="190">
        <v>76</v>
      </c>
      <c r="AS451" s="185">
        <v>426</v>
      </c>
      <c r="AT451" s="183">
        <f t="shared" si="488"/>
        <v>76</v>
      </c>
      <c r="AX451" s="182">
        <v>2.2599999999999999E-2</v>
      </c>
      <c r="AY451" s="185">
        <v>426</v>
      </c>
      <c r="AZ451" s="184">
        <f t="shared" si="489"/>
        <v>2.2599999999999999E-2</v>
      </c>
      <c r="BA451" s="190">
        <v>76</v>
      </c>
      <c r="BB451" s="185">
        <v>426</v>
      </c>
      <c r="BC451" s="183">
        <f t="shared" si="490"/>
        <v>76</v>
      </c>
      <c r="BG451" s="182">
        <v>2.2599999999999999E-2</v>
      </c>
      <c r="BH451" s="185">
        <v>426</v>
      </c>
      <c r="BI451" s="184">
        <f t="shared" si="491"/>
        <v>2.2599999999999999E-2</v>
      </c>
      <c r="CW451" s="364"/>
      <c r="CX451" s="316"/>
      <c r="CY451" s="316"/>
      <c r="DA451" s="309">
        <v>450</v>
      </c>
      <c r="DB451" s="313">
        <f t="shared" si="492"/>
        <v>363.78660541979104</v>
      </c>
      <c r="DC451" s="309">
        <f t="shared" si="493"/>
        <v>1</v>
      </c>
      <c r="DD451" s="309">
        <f t="shared" si="494"/>
        <v>260</v>
      </c>
      <c r="DE451" s="308">
        <f t="shared" si="495"/>
        <v>6.5000000000000002E-2</v>
      </c>
      <c r="DF451" s="313">
        <f t="shared" si="482"/>
        <v>450</v>
      </c>
      <c r="DG451" s="313">
        <f t="shared" ref="DG451:DG514" si="499">IF(DC451=4,DG450,MIN(DB451,DD451))</f>
        <v>260</v>
      </c>
      <c r="DH451" s="313">
        <f t="shared" ref="DH451:DH514" si="500">IF(DC451=1,DG451,0)</f>
        <v>260</v>
      </c>
      <c r="DI451" s="313">
        <f t="shared" ref="DI451:DI514" si="501">IF(DC451=2,DG451,0)</f>
        <v>0</v>
      </c>
      <c r="DJ451" s="313">
        <f t="shared" ref="DJ451:DJ514" si="502">IF(DC451=3,DG451,0)</f>
        <v>0</v>
      </c>
      <c r="DK451" s="313">
        <f t="shared" si="483"/>
        <v>112084.51726962168</v>
      </c>
      <c r="DL451" s="313">
        <f t="shared" ref="DL451:DL514" si="503">IF(DC451&lt;4,DL452+DG451,0)</f>
        <v>39000</v>
      </c>
      <c r="DM451" s="314">
        <f t="shared" ref="DM451:DM514" si="504">IF($DC451&lt;&gt;4,IF($DA451=edge_width,$CY$2,IF($DA451=mid_width,$CY$3,1-DO451+DM450)),0)</f>
        <v>18.90570280914724</v>
      </c>
      <c r="DN451" s="312">
        <f t="shared" ref="DN451:DN514" si="505">IF(DC451&lt;&gt;4,CHOOSE(DC451,DM451/DA451,DM451/(DA451-edge_width+1),DM451/(DA451-mid_width+1)),0)</f>
        <v>4.2012672909216085E-2</v>
      </c>
      <c r="DO451" s="312">
        <f t="shared" si="484"/>
        <v>1</v>
      </c>
      <c r="DP451" s="315">
        <f t="shared" si="496"/>
        <v>6.5000000000000002E-2</v>
      </c>
      <c r="DQ451" s="316">
        <f t="shared" ref="DQ451:DQ514" si="506">IF(AND(DC451&lt;&gt;4,DG451&lt;&gt;0),1000*DP451/DG451,0)</f>
        <v>0.25</v>
      </c>
      <c r="DR451" s="316">
        <f t="shared" ref="DR451:DR514" si="507">IF(DC451&lt;&gt;4,DR450+DQ451,0)</f>
        <v>116.32075452294252</v>
      </c>
      <c r="DS451" s="314">
        <f t="shared" ref="DS451:DS514" si="508">IF(AND(DC451&lt;&gt;4,DR451&lt;&gt;0),DA451/DR451,0)</f>
        <v>3.8686131451394967</v>
      </c>
      <c r="DT451" s="316">
        <f t="shared" ref="DT451:DT514" si="509">IF(DC451&lt;&gt;4,IF(DA451=edge_width,$CY$4,IF(DA451=mid_width,$CY$5,DQ451+DT450)),0)</f>
        <v>116.32075452294252</v>
      </c>
      <c r="DU451" s="314">
        <f t="shared" si="497"/>
        <v>3.8686131451394967</v>
      </c>
      <c r="DV451" s="316">
        <f t="shared" si="485"/>
        <v>37.5</v>
      </c>
      <c r="DW451" s="310">
        <f t="shared" si="498"/>
        <v>4.0266666666666664</v>
      </c>
      <c r="FB451" s="307"/>
      <c r="FC451" s="307"/>
      <c r="FF451" s="307"/>
      <c r="FG451" s="307"/>
      <c r="FH451" s="306"/>
      <c r="FJ451" s="307"/>
      <c r="FK451" s="307"/>
      <c r="FL451" s="306"/>
      <c r="FM451" s="307"/>
      <c r="FN451" s="306"/>
      <c r="FO451" s="307"/>
      <c r="FP451" s="306"/>
    </row>
    <row r="452" spans="29:172">
      <c r="AC452" s="156"/>
      <c r="AI452" s="190">
        <v>75</v>
      </c>
      <c r="AJ452" s="185">
        <v>427</v>
      </c>
      <c r="AK452" s="183">
        <f t="shared" si="486"/>
        <v>75</v>
      </c>
      <c r="AO452" s="182">
        <v>2.2499999999999999E-2</v>
      </c>
      <c r="AP452" s="185">
        <v>427</v>
      </c>
      <c r="AQ452" s="184">
        <f t="shared" si="487"/>
        <v>2.2499999999999999E-2</v>
      </c>
      <c r="AR452" s="190">
        <v>75</v>
      </c>
      <c r="AS452" s="185">
        <v>427</v>
      </c>
      <c r="AT452" s="183">
        <f t="shared" si="488"/>
        <v>75</v>
      </c>
      <c r="AX452" s="182">
        <v>2.2499999999999999E-2</v>
      </c>
      <c r="AY452" s="185">
        <v>427</v>
      </c>
      <c r="AZ452" s="184">
        <f t="shared" si="489"/>
        <v>2.2499999999999999E-2</v>
      </c>
      <c r="BA452" s="190">
        <v>75</v>
      </c>
      <c r="BB452" s="185">
        <v>427</v>
      </c>
      <c r="BC452" s="183">
        <f t="shared" si="490"/>
        <v>75</v>
      </c>
      <c r="BG452" s="182">
        <v>2.2499999999999999E-2</v>
      </c>
      <c r="BH452" s="185">
        <v>427</v>
      </c>
      <c r="BI452" s="184">
        <f t="shared" si="491"/>
        <v>2.2499999999999999E-2</v>
      </c>
      <c r="CW452" s="364"/>
      <c r="CX452" s="316"/>
      <c r="CY452" s="316"/>
      <c r="DA452" s="309">
        <v>451</v>
      </c>
      <c r="DB452" s="313">
        <f t="shared" si="492"/>
        <v>364.15057565405726</v>
      </c>
      <c r="DC452" s="309">
        <f t="shared" si="493"/>
        <v>1</v>
      </c>
      <c r="DD452" s="309">
        <f t="shared" si="494"/>
        <v>260</v>
      </c>
      <c r="DE452" s="308">
        <f t="shared" si="495"/>
        <v>6.5000000000000002E-2</v>
      </c>
      <c r="DF452" s="313">
        <f t="shared" ref="DF452:DF515" si="510">IF(DC452&lt;4,DF451+1,DF451)</f>
        <v>451</v>
      </c>
      <c r="DG452" s="313">
        <f t="shared" si="499"/>
        <v>260</v>
      </c>
      <c r="DH452" s="313">
        <f t="shared" si="500"/>
        <v>260</v>
      </c>
      <c r="DI452" s="313">
        <f t="shared" si="501"/>
        <v>0</v>
      </c>
      <c r="DJ452" s="313">
        <f t="shared" si="502"/>
        <v>0</v>
      </c>
      <c r="DK452" s="313">
        <f t="shared" ref="DK452:DK515" si="511">IF(DC452&lt;4,DK451+DG452,0)</f>
        <v>112344.51726962168</v>
      </c>
      <c r="DL452" s="313">
        <f t="shared" si="503"/>
        <v>38740</v>
      </c>
      <c r="DM452" s="314">
        <f t="shared" si="504"/>
        <v>18.90570280914724</v>
      </c>
      <c r="DN452" s="312">
        <f t="shared" si="505"/>
        <v>4.19195184238298E-2</v>
      </c>
      <c r="DO452" s="312">
        <f t="shared" ref="DO452:DO515" si="512">IF(AND(DC452&lt;&gt;4,DD452&lt;&gt;0),DG452/DD452,0)</f>
        <v>1</v>
      </c>
      <c r="DP452" s="315">
        <f t="shared" si="496"/>
        <v>6.5000000000000002E-2</v>
      </c>
      <c r="DQ452" s="316">
        <f t="shared" si="506"/>
        <v>0.25</v>
      </c>
      <c r="DR452" s="316">
        <f t="shared" si="507"/>
        <v>116.57075452294252</v>
      </c>
      <c r="DS452" s="314">
        <f t="shared" si="508"/>
        <v>3.8688949200482168</v>
      </c>
      <c r="DT452" s="316">
        <f t="shared" si="509"/>
        <v>116.57075452294252</v>
      </c>
      <c r="DU452" s="314">
        <f t="shared" si="497"/>
        <v>3.8688949200482168</v>
      </c>
      <c r="DV452" s="316">
        <f t="shared" ref="DV452:DV515" si="513">DV453+DQ452</f>
        <v>37.25</v>
      </c>
      <c r="DW452" s="310">
        <f t="shared" si="498"/>
        <v>4.026845637583893</v>
      </c>
      <c r="FB452" s="307"/>
      <c r="FC452" s="307"/>
      <c r="FF452" s="307"/>
      <c r="FG452" s="307"/>
      <c r="FH452" s="306"/>
      <c r="FJ452" s="307"/>
      <c r="FK452" s="307"/>
      <c r="FL452" s="306"/>
      <c r="FM452" s="307"/>
      <c r="FN452" s="306"/>
      <c r="FO452" s="307"/>
      <c r="FP452" s="306"/>
    </row>
    <row r="453" spans="29:172">
      <c r="AC453" s="156"/>
      <c r="AI453" s="190">
        <v>74</v>
      </c>
      <c r="AJ453" s="185">
        <v>428</v>
      </c>
      <c r="AK453" s="183">
        <f t="shared" si="486"/>
        <v>74</v>
      </c>
      <c r="AO453" s="182">
        <v>2.24E-2</v>
      </c>
      <c r="AP453" s="185">
        <v>428</v>
      </c>
      <c r="AQ453" s="184">
        <f t="shared" si="487"/>
        <v>2.24E-2</v>
      </c>
      <c r="AR453" s="190">
        <v>74</v>
      </c>
      <c r="AS453" s="185">
        <v>428</v>
      </c>
      <c r="AT453" s="183">
        <f t="shared" si="488"/>
        <v>74</v>
      </c>
      <c r="AX453" s="182">
        <v>2.24E-2</v>
      </c>
      <c r="AY453" s="185">
        <v>428</v>
      </c>
      <c r="AZ453" s="184">
        <f t="shared" si="489"/>
        <v>2.24E-2</v>
      </c>
      <c r="BA453" s="190">
        <v>74</v>
      </c>
      <c r="BB453" s="185">
        <v>428</v>
      </c>
      <c r="BC453" s="183">
        <f t="shared" si="490"/>
        <v>74</v>
      </c>
      <c r="BG453" s="182">
        <v>2.24E-2</v>
      </c>
      <c r="BH453" s="185">
        <v>428</v>
      </c>
      <c r="BI453" s="184">
        <f t="shared" si="491"/>
        <v>2.24E-2</v>
      </c>
      <c r="CW453" s="364"/>
      <c r="CX453" s="316"/>
      <c r="CY453" s="316"/>
      <c r="DA453" s="309">
        <v>452</v>
      </c>
      <c r="DB453" s="313">
        <f t="shared" si="492"/>
        <v>364.51454588832348</v>
      </c>
      <c r="DC453" s="309">
        <f t="shared" si="493"/>
        <v>1</v>
      </c>
      <c r="DD453" s="309">
        <f t="shared" si="494"/>
        <v>260</v>
      </c>
      <c r="DE453" s="308">
        <f t="shared" si="495"/>
        <v>6.5000000000000002E-2</v>
      </c>
      <c r="DF453" s="313">
        <f t="shared" si="510"/>
        <v>452</v>
      </c>
      <c r="DG453" s="313">
        <f t="shared" si="499"/>
        <v>260</v>
      </c>
      <c r="DH453" s="313">
        <f t="shared" si="500"/>
        <v>260</v>
      </c>
      <c r="DI453" s="313">
        <f t="shared" si="501"/>
        <v>0</v>
      </c>
      <c r="DJ453" s="313">
        <f t="shared" si="502"/>
        <v>0</v>
      </c>
      <c r="DK453" s="313">
        <f t="shared" si="511"/>
        <v>112604.51726962168</v>
      </c>
      <c r="DL453" s="313">
        <f t="shared" si="503"/>
        <v>38480</v>
      </c>
      <c r="DM453" s="314">
        <f t="shared" si="504"/>
        <v>18.90570280914724</v>
      </c>
      <c r="DN453" s="312">
        <f t="shared" si="505"/>
        <v>4.1826776126431944E-2</v>
      </c>
      <c r="DO453" s="312">
        <f t="shared" si="512"/>
        <v>1</v>
      </c>
      <c r="DP453" s="315">
        <f t="shared" si="496"/>
        <v>6.5000000000000002E-2</v>
      </c>
      <c r="DQ453" s="316">
        <f t="shared" si="506"/>
        <v>0.25</v>
      </c>
      <c r="DR453" s="316">
        <f t="shared" si="507"/>
        <v>116.82075452294252</v>
      </c>
      <c r="DS453" s="314">
        <f t="shared" si="508"/>
        <v>3.8691754889430316</v>
      </c>
      <c r="DT453" s="316">
        <f t="shared" si="509"/>
        <v>116.82075452294252</v>
      </c>
      <c r="DU453" s="314">
        <f t="shared" si="497"/>
        <v>3.8691754889430316</v>
      </c>
      <c r="DV453" s="316">
        <f t="shared" si="513"/>
        <v>37</v>
      </c>
      <c r="DW453" s="310">
        <f t="shared" si="498"/>
        <v>4.0270270270270272</v>
      </c>
      <c r="FB453" s="307"/>
      <c r="FC453" s="307"/>
      <c r="FF453" s="307"/>
      <c r="FG453" s="307"/>
      <c r="FH453" s="306"/>
      <c r="FJ453" s="307"/>
      <c r="FK453" s="307"/>
      <c r="FL453" s="306"/>
      <c r="FM453" s="307"/>
      <c r="FN453" s="306"/>
      <c r="FO453" s="307"/>
      <c r="FP453" s="306"/>
    </row>
    <row r="454" spans="29:172">
      <c r="AC454" s="156"/>
      <c r="AI454" s="190">
        <v>73</v>
      </c>
      <c r="AJ454" s="185">
        <v>429</v>
      </c>
      <c r="AK454" s="183">
        <f t="shared" si="486"/>
        <v>73</v>
      </c>
      <c r="AO454" s="182">
        <v>2.23E-2</v>
      </c>
      <c r="AP454" s="185">
        <v>429</v>
      </c>
      <c r="AQ454" s="184">
        <f t="shared" si="487"/>
        <v>2.23E-2</v>
      </c>
      <c r="AR454" s="190">
        <v>73</v>
      </c>
      <c r="AS454" s="185">
        <v>429</v>
      </c>
      <c r="AT454" s="183">
        <f t="shared" si="488"/>
        <v>73</v>
      </c>
      <c r="AX454" s="182">
        <v>2.23E-2</v>
      </c>
      <c r="AY454" s="185">
        <v>429</v>
      </c>
      <c r="AZ454" s="184">
        <f t="shared" si="489"/>
        <v>2.23E-2</v>
      </c>
      <c r="BA454" s="190">
        <v>73</v>
      </c>
      <c r="BB454" s="185">
        <v>429</v>
      </c>
      <c r="BC454" s="183">
        <f t="shared" si="490"/>
        <v>73</v>
      </c>
      <c r="BG454" s="182">
        <v>2.23E-2</v>
      </c>
      <c r="BH454" s="185">
        <v>429</v>
      </c>
      <c r="BI454" s="184">
        <f t="shared" si="491"/>
        <v>2.23E-2</v>
      </c>
      <c r="CW454" s="364"/>
      <c r="CX454" s="316"/>
      <c r="CY454" s="316"/>
      <c r="DA454" s="309">
        <v>453</v>
      </c>
      <c r="DB454" s="313">
        <f t="shared" si="492"/>
        <v>364.87851612258964</v>
      </c>
      <c r="DC454" s="309">
        <f t="shared" si="493"/>
        <v>1</v>
      </c>
      <c r="DD454" s="309">
        <f t="shared" si="494"/>
        <v>260</v>
      </c>
      <c r="DE454" s="308">
        <f t="shared" si="495"/>
        <v>6.5000000000000002E-2</v>
      </c>
      <c r="DF454" s="313">
        <f t="shared" si="510"/>
        <v>453</v>
      </c>
      <c r="DG454" s="313">
        <f t="shared" si="499"/>
        <v>260</v>
      </c>
      <c r="DH454" s="313">
        <f t="shared" si="500"/>
        <v>260</v>
      </c>
      <c r="DI454" s="313">
        <f t="shared" si="501"/>
        <v>0</v>
      </c>
      <c r="DJ454" s="313">
        <f t="shared" si="502"/>
        <v>0</v>
      </c>
      <c r="DK454" s="313">
        <f t="shared" si="511"/>
        <v>112864.51726962168</v>
      </c>
      <c r="DL454" s="313">
        <f t="shared" si="503"/>
        <v>38220</v>
      </c>
      <c r="DM454" s="314">
        <f t="shared" si="504"/>
        <v>18.90570280914724</v>
      </c>
      <c r="DN454" s="312">
        <f t="shared" si="505"/>
        <v>4.1734443287300749E-2</v>
      </c>
      <c r="DO454" s="312">
        <f t="shared" si="512"/>
        <v>1</v>
      </c>
      <c r="DP454" s="315">
        <f t="shared" si="496"/>
        <v>6.5000000000000002E-2</v>
      </c>
      <c r="DQ454" s="316">
        <f t="shared" si="506"/>
        <v>0.25</v>
      </c>
      <c r="DR454" s="316">
        <f t="shared" si="507"/>
        <v>117.07075452294252</v>
      </c>
      <c r="DS454" s="314">
        <f t="shared" si="508"/>
        <v>3.8694548595501272</v>
      </c>
      <c r="DT454" s="316">
        <f t="shared" si="509"/>
        <v>117.07075452294252</v>
      </c>
      <c r="DU454" s="314">
        <f t="shared" si="497"/>
        <v>3.8694548595501272</v>
      </c>
      <c r="DV454" s="316">
        <f t="shared" si="513"/>
        <v>36.75</v>
      </c>
      <c r="DW454" s="310">
        <f t="shared" si="498"/>
        <v>4.0272108843537415</v>
      </c>
      <c r="FB454" s="307"/>
      <c r="FC454" s="307"/>
      <c r="FF454" s="307"/>
      <c r="FG454" s="307"/>
      <c r="FH454" s="306"/>
      <c r="FJ454" s="307"/>
      <c r="FK454" s="307"/>
      <c r="FL454" s="306"/>
      <c r="FM454" s="307"/>
      <c r="FN454" s="306"/>
      <c r="FO454" s="307"/>
      <c r="FP454" s="306"/>
    </row>
    <row r="455" spans="29:172">
      <c r="AC455" s="156"/>
      <c r="AI455" s="190">
        <v>72</v>
      </c>
      <c r="AJ455" s="185">
        <v>430</v>
      </c>
      <c r="AK455" s="183">
        <f t="shared" si="486"/>
        <v>72</v>
      </c>
      <c r="AO455" s="182">
        <v>2.2200000000000001E-2</v>
      </c>
      <c r="AP455" s="185">
        <v>430</v>
      </c>
      <c r="AQ455" s="184">
        <f t="shared" si="487"/>
        <v>2.2200000000000001E-2</v>
      </c>
      <c r="AR455" s="190">
        <v>72</v>
      </c>
      <c r="AS455" s="185">
        <v>430</v>
      </c>
      <c r="AT455" s="183">
        <f t="shared" si="488"/>
        <v>72</v>
      </c>
      <c r="AX455" s="182">
        <v>2.2200000000000001E-2</v>
      </c>
      <c r="AY455" s="185">
        <v>430</v>
      </c>
      <c r="AZ455" s="184">
        <f t="shared" si="489"/>
        <v>2.2200000000000001E-2</v>
      </c>
      <c r="BA455" s="190">
        <v>72</v>
      </c>
      <c r="BB455" s="185">
        <v>430</v>
      </c>
      <c r="BC455" s="183">
        <f t="shared" si="490"/>
        <v>72</v>
      </c>
      <c r="BG455" s="182">
        <v>2.2200000000000001E-2</v>
      </c>
      <c r="BH455" s="185">
        <v>430</v>
      </c>
      <c r="BI455" s="184">
        <f t="shared" si="491"/>
        <v>2.2200000000000001E-2</v>
      </c>
      <c r="CW455" s="364"/>
      <c r="CX455" s="316"/>
      <c r="CY455" s="316"/>
      <c r="DA455" s="309">
        <v>454</v>
      </c>
      <c r="DB455" s="313">
        <f t="shared" si="492"/>
        <v>365.24248635685586</v>
      </c>
      <c r="DC455" s="309">
        <f t="shared" si="493"/>
        <v>1</v>
      </c>
      <c r="DD455" s="309">
        <f t="shared" si="494"/>
        <v>260</v>
      </c>
      <c r="DE455" s="308">
        <f t="shared" si="495"/>
        <v>6.5000000000000002E-2</v>
      </c>
      <c r="DF455" s="313">
        <f t="shared" si="510"/>
        <v>454</v>
      </c>
      <c r="DG455" s="313">
        <f t="shared" si="499"/>
        <v>260</v>
      </c>
      <c r="DH455" s="313">
        <f t="shared" si="500"/>
        <v>260</v>
      </c>
      <c r="DI455" s="313">
        <f t="shared" si="501"/>
        <v>0</v>
      </c>
      <c r="DJ455" s="313">
        <f t="shared" si="502"/>
        <v>0</v>
      </c>
      <c r="DK455" s="313">
        <f t="shared" si="511"/>
        <v>113124.51726962168</v>
      </c>
      <c r="DL455" s="313">
        <f t="shared" si="503"/>
        <v>37960</v>
      </c>
      <c r="DM455" s="314">
        <f t="shared" si="504"/>
        <v>18.90570280914724</v>
      </c>
      <c r="DN455" s="312">
        <f t="shared" si="505"/>
        <v>4.1642517200764846E-2</v>
      </c>
      <c r="DO455" s="312">
        <f t="shared" si="512"/>
        <v>1</v>
      </c>
      <c r="DP455" s="315">
        <f t="shared" si="496"/>
        <v>6.5000000000000002E-2</v>
      </c>
      <c r="DQ455" s="316">
        <f t="shared" si="506"/>
        <v>0.25</v>
      </c>
      <c r="DR455" s="316">
        <f t="shared" si="507"/>
        <v>117.32075452294252</v>
      </c>
      <c r="DS455" s="314">
        <f t="shared" si="508"/>
        <v>3.8697330395298351</v>
      </c>
      <c r="DT455" s="316">
        <f t="shared" si="509"/>
        <v>117.32075452294252</v>
      </c>
      <c r="DU455" s="314">
        <f t="shared" si="497"/>
        <v>3.8697330395298351</v>
      </c>
      <c r="DV455" s="316">
        <f t="shared" si="513"/>
        <v>36.5</v>
      </c>
      <c r="DW455" s="310">
        <f t="shared" si="498"/>
        <v>4.0273972602739727</v>
      </c>
      <c r="FB455" s="307"/>
      <c r="FC455" s="307"/>
      <c r="FF455" s="307"/>
      <c r="FG455" s="307"/>
      <c r="FH455" s="306"/>
      <c r="FJ455" s="307"/>
      <c r="FK455" s="307"/>
      <c r="FL455" s="306"/>
      <c r="FM455" s="307"/>
      <c r="FN455" s="306"/>
      <c r="FO455" s="307"/>
      <c r="FP455" s="306"/>
    </row>
    <row r="456" spans="29:172">
      <c r="AC456" s="156"/>
      <c r="AI456" s="190">
        <v>71</v>
      </c>
      <c r="AJ456" s="185">
        <v>431</v>
      </c>
      <c r="AK456" s="183">
        <f t="shared" si="486"/>
        <v>71</v>
      </c>
      <c r="AO456" s="182">
        <v>2.2100000000000002E-2</v>
      </c>
      <c r="AP456" s="185">
        <v>431</v>
      </c>
      <c r="AQ456" s="184">
        <f t="shared" si="487"/>
        <v>2.2100000000000002E-2</v>
      </c>
      <c r="AR456" s="190">
        <v>71</v>
      </c>
      <c r="AS456" s="185">
        <v>431</v>
      </c>
      <c r="AT456" s="183">
        <f t="shared" si="488"/>
        <v>71</v>
      </c>
      <c r="AX456" s="182">
        <v>2.2100000000000002E-2</v>
      </c>
      <c r="AY456" s="185">
        <v>431</v>
      </c>
      <c r="AZ456" s="184">
        <f t="shared" si="489"/>
        <v>2.2100000000000002E-2</v>
      </c>
      <c r="BA456" s="190">
        <v>71</v>
      </c>
      <c r="BB456" s="185">
        <v>431</v>
      </c>
      <c r="BC456" s="183">
        <f t="shared" si="490"/>
        <v>71</v>
      </c>
      <c r="BG456" s="182">
        <v>2.2100000000000002E-2</v>
      </c>
      <c r="BH456" s="185">
        <v>431</v>
      </c>
      <c r="BI456" s="184">
        <f t="shared" si="491"/>
        <v>2.2100000000000002E-2</v>
      </c>
      <c r="CW456" s="364"/>
      <c r="CX456" s="316"/>
      <c r="CY456" s="316"/>
      <c r="DA456" s="309">
        <v>455</v>
      </c>
      <c r="DB456" s="313">
        <f t="shared" si="492"/>
        <v>365.60645659112208</v>
      </c>
      <c r="DC456" s="309">
        <f t="shared" si="493"/>
        <v>1</v>
      </c>
      <c r="DD456" s="309">
        <f t="shared" si="494"/>
        <v>260</v>
      </c>
      <c r="DE456" s="308">
        <f t="shared" si="495"/>
        <v>6.5000000000000002E-2</v>
      </c>
      <c r="DF456" s="313">
        <f t="shared" si="510"/>
        <v>455</v>
      </c>
      <c r="DG456" s="313">
        <f t="shared" si="499"/>
        <v>260</v>
      </c>
      <c r="DH456" s="313">
        <f t="shared" si="500"/>
        <v>260</v>
      </c>
      <c r="DI456" s="313">
        <f t="shared" si="501"/>
        <v>0</v>
      </c>
      <c r="DJ456" s="313">
        <f t="shared" si="502"/>
        <v>0</v>
      </c>
      <c r="DK456" s="313">
        <f t="shared" si="511"/>
        <v>113384.51726962168</v>
      </c>
      <c r="DL456" s="313">
        <f t="shared" si="503"/>
        <v>37700</v>
      </c>
      <c r="DM456" s="314">
        <f t="shared" si="504"/>
        <v>18.90570280914724</v>
      </c>
      <c r="DN456" s="312">
        <f t="shared" si="505"/>
        <v>4.1550995184938988E-2</v>
      </c>
      <c r="DO456" s="312">
        <f t="shared" si="512"/>
        <v>1</v>
      </c>
      <c r="DP456" s="315">
        <f t="shared" si="496"/>
        <v>6.5000000000000002E-2</v>
      </c>
      <c r="DQ456" s="316">
        <f t="shared" si="506"/>
        <v>0.25</v>
      </c>
      <c r="DR456" s="316">
        <f t="shared" si="507"/>
        <v>117.57075452294252</v>
      </c>
      <c r="DS456" s="314">
        <f t="shared" si="508"/>
        <v>3.8700100364773298</v>
      </c>
      <c r="DT456" s="316">
        <f t="shared" si="509"/>
        <v>117.57075452294252</v>
      </c>
      <c r="DU456" s="314">
        <f t="shared" si="497"/>
        <v>3.8700100364773298</v>
      </c>
      <c r="DV456" s="316">
        <f t="shared" si="513"/>
        <v>36.25</v>
      </c>
      <c r="DW456" s="310">
        <f t="shared" si="498"/>
        <v>4.0275862068965518</v>
      </c>
      <c r="FB456" s="307"/>
      <c r="FC456" s="307"/>
      <c r="FF456" s="307"/>
      <c r="FG456" s="307"/>
      <c r="FH456" s="306"/>
      <c r="FJ456" s="307"/>
      <c r="FK456" s="307"/>
      <c r="FL456" s="306"/>
      <c r="FM456" s="307"/>
      <c r="FN456" s="306"/>
      <c r="FO456" s="307"/>
      <c r="FP456" s="306"/>
    </row>
    <row r="457" spans="29:172">
      <c r="AC457" s="156"/>
      <c r="AI457" s="190">
        <v>70</v>
      </c>
      <c r="AJ457" s="185">
        <v>432</v>
      </c>
      <c r="AK457" s="183">
        <f t="shared" si="486"/>
        <v>70</v>
      </c>
      <c r="AO457" s="182">
        <v>2.1999999999999999E-2</v>
      </c>
      <c r="AP457" s="185">
        <v>432</v>
      </c>
      <c r="AQ457" s="184">
        <f t="shared" si="487"/>
        <v>2.1999999999999999E-2</v>
      </c>
      <c r="AR457" s="190">
        <v>70</v>
      </c>
      <c r="AS457" s="185">
        <v>432</v>
      </c>
      <c r="AT457" s="183">
        <f t="shared" si="488"/>
        <v>70</v>
      </c>
      <c r="AX457" s="182">
        <v>2.1999999999999999E-2</v>
      </c>
      <c r="AY457" s="185">
        <v>432</v>
      </c>
      <c r="AZ457" s="184">
        <f t="shared" si="489"/>
        <v>2.1999999999999999E-2</v>
      </c>
      <c r="BA457" s="190">
        <v>70</v>
      </c>
      <c r="BB457" s="185">
        <v>432</v>
      </c>
      <c r="BC457" s="183">
        <f t="shared" si="490"/>
        <v>70</v>
      </c>
      <c r="BG457" s="182">
        <v>2.1999999999999999E-2</v>
      </c>
      <c r="BH457" s="185">
        <v>432</v>
      </c>
      <c r="BI457" s="184">
        <f t="shared" si="491"/>
        <v>2.1999999999999999E-2</v>
      </c>
      <c r="CW457" s="364"/>
      <c r="CX457" s="316"/>
      <c r="CY457" s="316"/>
      <c r="DA457" s="309">
        <v>456</v>
      </c>
      <c r="DB457" s="313">
        <f t="shared" si="492"/>
        <v>365.97042682538824</v>
      </c>
      <c r="DC457" s="309">
        <f t="shared" si="493"/>
        <v>1</v>
      </c>
      <c r="DD457" s="309">
        <f t="shared" si="494"/>
        <v>260</v>
      </c>
      <c r="DE457" s="308">
        <f t="shared" si="495"/>
        <v>6.5000000000000002E-2</v>
      </c>
      <c r="DF457" s="313">
        <f t="shared" si="510"/>
        <v>456</v>
      </c>
      <c r="DG457" s="313">
        <f t="shared" si="499"/>
        <v>260</v>
      </c>
      <c r="DH457" s="313">
        <f t="shared" si="500"/>
        <v>260</v>
      </c>
      <c r="DI457" s="313">
        <f t="shared" si="501"/>
        <v>0</v>
      </c>
      <c r="DJ457" s="313">
        <f t="shared" si="502"/>
        <v>0</v>
      </c>
      <c r="DK457" s="313">
        <f t="shared" si="511"/>
        <v>113644.51726962168</v>
      </c>
      <c r="DL457" s="313">
        <f t="shared" si="503"/>
        <v>37440</v>
      </c>
      <c r="DM457" s="314">
        <f t="shared" si="504"/>
        <v>18.90570280914724</v>
      </c>
      <c r="DN457" s="312">
        <f t="shared" si="505"/>
        <v>4.1459874581463246E-2</v>
      </c>
      <c r="DO457" s="312">
        <f t="shared" si="512"/>
        <v>1</v>
      </c>
      <c r="DP457" s="315">
        <f t="shared" si="496"/>
        <v>6.5000000000000002E-2</v>
      </c>
      <c r="DQ457" s="316">
        <f t="shared" si="506"/>
        <v>0.25</v>
      </c>
      <c r="DR457" s="316">
        <f t="shared" si="507"/>
        <v>117.82075452294252</v>
      </c>
      <c r="DS457" s="314">
        <f t="shared" si="508"/>
        <v>3.8702858579233244</v>
      </c>
      <c r="DT457" s="316">
        <f t="shared" si="509"/>
        <v>117.82075452294252</v>
      </c>
      <c r="DU457" s="314">
        <f t="shared" si="497"/>
        <v>3.8702858579233244</v>
      </c>
      <c r="DV457" s="316">
        <f t="shared" si="513"/>
        <v>36</v>
      </c>
      <c r="DW457" s="310">
        <f t="shared" si="498"/>
        <v>4.0277777777777777</v>
      </c>
      <c r="FB457" s="307"/>
      <c r="FC457" s="307"/>
      <c r="FF457" s="307"/>
      <c r="FG457" s="307"/>
      <c r="FH457" s="306"/>
      <c r="FJ457" s="307"/>
      <c r="FK457" s="307"/>
      <c r="FL457" s="306"/>
      <c r="FM457" s="307"/>
      <c r="FN457" s="306"/>
      <c r="FO457" s="307"/>
      <c r="FP457" s="306"/>
    </row>
    <row r="458" spans="29:172">
      <c r="AC458" s="156"/>
      <c r="AI458" s="190">
        <v>69</v>
      </c>
      <c r="AJ458" s="185">
        <v>433</v>
      </c>
      <c r="AK458" s="183">
        <f t="shared" si="486"/>
        <v>69</v>
      </c>
      <c r="AO458" s="182">
        <v>2.1899999999999999E-2</v>
      </c>
      <c r="AP458" s="185">
        <v>433</v>
      </c>
      <c r="AQ458" s="184">
        <f t="shared" si="487"/>
        <v>2.1899999999999999E-2</v>
      </c>
      <c r="AR458" s="190">
        <v>69</v>
      </c>
      <c r="AS458" s="185">
        <v>433</v>
      </c>
      <c r="AT458" s="183">
        <f t="shared" si="488"/>
        <v>69</v>
      </c>
      <c r="AX458" s="182">
        <v>2.1899999999999999E-2</v>
      </c>
      <c r="AY458" s="185">
        <v>433</v>
      </c>
      <c r="AZ458" s="184">
        <f t="shared" si="489"/>
        <v>2.1899999999999999E-2</v>
      </c>
      <c r="BA458" s="190">
        <v>69</v>
      </c>
      <c r="BB458" s="185">
        <v>433</v>
      </c>
      <c r="BC458" s="183">
        <f t="shared" si="490"/>
        <v>69</v>
      </c>
      <c r="BG458" s="182">
        <v>2.1899999999999999E-2</v>
      </c>
      <c r="BH458" s="185">
        <v>433</v>
      </c>
      <c r="BI458" s="184">
        <f t="shared" si="491"/>
        <v>2.1899999999999999E-2</v>
      </c>
      <c r="CW458" s="364"/>
      <c r="CX458" s="316"/>
      <c r="CY458" s="316"/>
      <c r="DA458" s="309">
        <v>457</v>
      </c>
      <c r="DB458" s="313">
        <f t="shared" si="492"/>
        <v>366.33439705965446</v>
      </c>
      <c r="DC458" s="309">
        <f t="shared" si="493"/>
        <v>1</v>
      </c>
      <c r="DD458" s="309">
        <f t="shared" si="494"/>
        <v>260</v>
      </c>
      <c r="DE458" s="308">
        <f t="shared" si="495"/>
        <v>6.5000000000000002E-2</v>
      </c>
      <c r="DF458" s="313">
        <f t="shared" si="510"/>
        <v>457</v>
      </c>
      <c r="DG458" s="313">
        <f t="shared" si="499"/>
        <v>260</v>
      </c>
      <c r="DH458" s="313">
        <f t="shared" si="500"/>
        <v>260</v>
      </c>
      <c r="DI458" s="313">
        <f t="shared" si="501"/>
        <v>0</v>
      </c>
      <c r="DJ458" s="313">
        <f t="shared" si="502"/>
        <v>0</v>
      </c>
      <c r="DK458" s="313">
        <f t="shared" si="511"/>
        <v>113904.51726962168</v>
      </c>
      <c r="DL458" s="313">
        <f t="shared" si="503"/>
        <v>37180</v>
      </c>
      <c r="DM458" s="314">
        <f t="shared" si="504"/>
        <v>18.90570280914724</v>
      </c>
      <c r="DN458" s="312">
        <f t="shared" si="505"/>
        <v>4.1369152755245601E-2</v>
      </c>
      <c r="DO458" s="312">
        <f t="shared" si="512"/>
        <v>1</v>
      </c>
      <c r="DP458" s="315">
        <f t="shared" si="496"/>
        <v>6.5000000000000002E-2</v>
      </c>
      <c r="DQ458" s="316">
        <f t="shared" si="506"/>
        <v>0.25</v>
      </c>
      <c r="DR458" s="316">
        <f t="shared" si="507"/>
        <v>118.07075452294252</v>
      </c>
      <c r="DS458" s="314">
        <f t="shared" si="508"/>
        <v>3.8705605113347485</v>
      </c>
      <c r="DT458" s="316">
        <f t="shared" si="509"/>
        <v>118.07075452294252</v>
      </c>
      <c r="DU458" s="314">
        <f t="shared" si="497"/>
        <v>3.8705605113347485</v>
      </c>
      <c r="DV458" s="316">
        <f t="shared" si="513"/>
        <v>35.75</v>
      </c>
      <c r="DW458" s="310">
        <f t="shared" si="498"/>
        <v>4.0279720279720284</v>
      </c>
      <c r="FB458" s="307"/>
      <c r="FC458" s="307"/>
      <c r="FF458" s="307"/>
      <c r="FG458" s="307"/>
      <c r="FH458" s="306"/>
      <c r="FJ458" s="307"/>
      <c r="FK458" s="307"/>
      <c r="FL458" s="306"/>
      <c r="FM458" s="307"/>
      <c r="FN458" s="306"/>
      <c r="FO458" s="307"/>
      <c r="FP458" s="306"/>
    </row>
    <row r="459" spans="29:172">
      <c r="AC459" s="156"/>
      <c r="AI459" s="190">
        <v>68</v>
      </c>
      <c r="AJ459" s="185">
        <v>434</v>
      </c>
      <c r="AK459" s="183">
        <f t="shared" si="486"/>
        <v>68</v>
      </c>
      <c r="AO459" s="182">
        <v>2.18E-2</v>
      </c>
      <c r="AP459" s="185">
        <v>434</v>
      </c>
      <c r="AQ459" s="184">
        <f t="shared" si="487"/>
        <v>2.18E-2</v>
      </c>
      <c r="AR459" s="190">
        <v>68</v>
      </c>
      <c r="AS459" s="185">
        <v>434</v>
      </c>
      <c r="AT459" s="183">
        <f t="shared" si="488"/>
        <v>68</v>
      </c>
      <c r="AX459" s="182">
        <v>2.18E-2</v>
      </c>
      <c r="AY459" s="185">
        <v>434</v>
      </c>
      <c r="AZ459" s="184">
        <f t="shared" si="489"/>
        <v>2.18E-2</v>
      </c>
      <c r="BA459" s="190">
        <v>68</v>
      </c>
      <c r="BB459" s="185">
        <v>434</v>
      </c>
      <c r="BC459" s="183">
        <f t="shared" si="490"/>
        <v>68</v>
      </c>
      <c r="BG459" s="182">
        <v>2.18E-2</v>
      </c>
      <c r="BH459" s="185">
        <v>434</v>
      </c>
      <c r="BI459" s="184">
        <f t="shared" si="491"/>
        <v>2.18E-2</v>
      </c>
      <c r="CW459" s="364"/>
      <c r="CX459" s="316"/>
      <c r="CY459" s="316"/>
      <c r="DA459" s="309">
        <v>458</v>
      </c>
      <c r="DB459" s="313">
        <f t="shared" si="492"/>
        <v>366.69836729392068</v>
      </c>
      <c r="DC459" s="309">
        <f t="shared" si="493"/>
        <v>1</v>
      </c>
      <c r="DD459" s="309">
        <f t="shared" si="494"/>
        <v>260</v>
      </c>
      <c r="DE459" s="308">
        <f t="shared" si="495"/>
        <v>6.5000000000000002E-2</v>
      </c>
      <c r="DF459" s="313">
        <f t="shared" si="510"/>
        <v>458</v>
      </c>
      <c r="DG459" s="313">
        <f t="shared" si="499"/>
        <v>260</v>
      </c>
      <c r="DH459" s="313">
        <f t="shared" si="500"/>
        <v>260</v>
      </c>
      <c r="DI459" s="313">
        <f t="shared" si="501"/>
        <v>0</v>
      </c>
      <c r="DJ459" s="313">
        <f t="shared" si="502"/>
        <v>0</v>
      </c>
      <c r="DK459" s="313">
        <f t="shared" si="511"/>
        <v>114164.51726962168</v>
      </c>
      <c r="DL459" s="313">
        <f t="shared" si="503"/>
        <v>36920</v>
      </c>
      <c r="DM459" s="314">
        <f t="shared" si="504"/>
        <v>18.90570280914724</v>
      </c>
      <c r="DN459" s="312">
        <f t="shared" si="505"/>
        <v>4.1278827094207944E-2</v>
      </c>
      <c r="DO459" s="312">
        <f t="shared" si="512"/>
        <v>1</v>
      </c>
      <c r="DP459" s="315">
        <f t="shared" si="496"/>
        <v>6.5000000000000002E-2</v>
      </c>
      <c r="DQ459" s="316">
        <f t="shared" si="506"/>
        <v>0.25</v>
      </c>
      <c r="DR459" s="316">
        <f t="shared" si="507"/>
        <v>118.32075452294252</v>
      </c>
      <c r="DS459" s="314">
        <f t="shared" si="508"/>
        <v>3.8708340041154261</v>
      </c>
      <c r="DT459" s="316">
        <f t="shared" si="509"/>
        <v>118.32075452294252</v>
      </c>
      <c r="DU459" s="314">
        <f t="shared" si="497"/>
        <v>3.8708340041154261</v>
      </c>
      <c r="DV459" s="316">
        <f t="shared" si="513"/>
        <v>35.5</v>
      </c>
      <c r="DW459" s="310">
        <f t="shared" si="498"/>
        <v>4.028169014084507</v>
      </c>
      <c r="FB459" s="307"/>
      <c r="FC459" s="307"/>
      <c r="FF459" s="307"/>
      <c r="FG459" s="307"/>
      <c r="FH459" s="306"/>
      <c r="FJ459" s="307"/>
      <c r="FK459" s="307"/>
      <c r="FL459" s="306"/>
      <c r="FM459" s="307"/>
      <c r="FN459" s="306"/>
      <c r="FO459" s="307"/>
      <c r="FP459" s="306"/>
    </row>
    <row r="460" spans="29:172">
      <c r="AC460" s="156"/>
      <c r="AI460" s="190">
        <v>67</v>
      </c>
      <c r="AJ460" s="185">
        <v>435</v>
      </c>
      <c r="AK460" s="183">
        <f t="shared" si="486"/>
        <v>67</v>
      </c>
      <c r="AO460" s="182">
        <v>2.1700000000000001E-2</v>
      </c>
      <c r="AP460" s="185">
        <v>435</v>
      </c>
      <c r="AQ460" s="184">
        <f t="shared" si="487"/>
        <v>2.1700000000000001E-2</v>
      </c>
      <c r="AR460" s="190">
        <v>67</v>
      </c>
      <c r="AS460" s="185">
        <v>435</v>
      </c>
      <c r="AT460" s="183">
        <f t="shared" si="488"/>
        <v>67</v>
      </c>
      <c r="AX460" s="182">
        <v>2.1700000000000001E-2</v>
      </c>
      <c r="AY460" s="185">
        <v>435</v>
      </c>
      <c r="AZ460" s="184">
        <f t="shared" si="489"/>
        <v>2.1700000000000001E-2</v>
      </c>
      <c r="BA460" s="190">
        <v>67</v>
      </c>
      <c r="BB460" s="185">
        <v>435</v>
      </c>
      <c r="BC460" s="183">
        <f t="shared" si="490"/>
        <v>67</v>
      </c>
      <c r="BG460" s="182">
        <v>2.1700000000000001E-2</v>
      </c>
      <c r="BH460" s="185">
        <v>435</v>
      </c>
      <c r="BI460" s="184">
        <f t="shared" si="491"/>
        <v>2.1700000000000001E-2</v>
      </c>
      <c r="CW460" s="364"/>
      <c r="CX460" s="316"/>
      <c r="CY460" s="316"/>
      <c r="DA460" s="309">
        <v>459</v>
      </c>
      <c r="DB460" s="313">
        <f t="shared" si="492"/>
        <v>367.06233752818684</v>
      </c>
      <c r="DC460" s="309">
        <f t="shared" si="493"/>
        <v>1</v>
      </c>
      <c r="DD460" s="309">
        <f t="shared" si="494"/>
        <v>260</v>
      </c>
      <c r="DE460" s="308">
        <f t="shared" si="495"/>
        <v>6.5000000000000002E-2</v>
      </c>
      <c r="DF460" s="313">
        <f t="shared" si="510"/>
        <v>459</v>
      </c>
      <c r="DG460" s="313">
        <f t="shared" si="499"/>
        <v>260</v>
      </c>
      <c r="DH460" s="313">
        <f t="shared" si="500"/>
        <v>260</v>
      </c>
      <c r="DI460" s="313">
        <f t="shared" si="501"/>
        <v>0</v>
      </c>
      <c r="DJ460" s="313">
        <f t="shared" si="502"/>
        <v>0</v>
      </c>
      <c r="DK460" s="313">
        <f t="shared" si="511"/>
        <v>114424.51726962168</v>
      </c>
      <c r="DL460" s="313">
        <f t="shared" si="503"/>
        <v>36660</v>
      </c>
      <c r="DM460" s="314">
        <f t="shared" si="504"/>
        <v>18.90570280914724</v>
      </c>
      <c r="DN460" s="312">
        <f t="shared" si="505"/>
        <v>4.118889500903538E-2</v>
      </c>
      <c r="DO460" s="312">
        <f t="shared" si="512"/>
        <v>1</v>
      </c>
      <c r="DP460" s="315">
        <f t="shared" si="496"/>
        <v>6.5000000000000002E-2</v>
      </c>
      <c r="DQ460" s="316">
        <f t="shared" si="506"/>
        <v>0.25</v>
      </c>
      <c r="DR460" s="316">
        <f t="shared" si="507"/>
        <v>118.57075452294252</v>
      </c>
      <c r="DS460" s="314">
        <f t="shared" si="508"/>
        <v>3.871106343606737</v>
      </c>
      <c r="DT460" s="316">
        <f t="shared" si="509"/>
        <v>118.57075452294252</v>
      </c>
      <c r="DU460" s="314">
        <f t="shared" si="497"/>
        <v>3.871106343606737</v>
      </c>
      <c r="DV460" s="316">
        <f t="shared" si="513"/>
        <v>35.25</v>
      </c>
      <c r="DW460" s="310">
        <f t="shared" si="498"/>
        <v>4.0283687943262407</v>
      </c>
      <c r="FB460" s="307"/>
      <c r="FC460" s="307"/>
      <c r="FF460" s="307"/>
      <c r="FG460" s="307"/>
      <c r="FH460" s="306"/>
      <c r="FJ460" s="307"/>
      <c r="FK460" s="307"/>
      <c r="FL460" s="306"/>
      <c r="FM460" s="307"/>
      <c r="FN460" s="306"/>
      <c r="FO460" s="307"/>
      <c r="FP460" s="306"/>
    </row>
    <row r="461" spans="29:172">
      <c r="AC461" s="156"/>
      <c r="AI461" s="190">
        <v>66</v>
      </c>
      <c r="AJ461" s="185">
        <v>436</v>
      </c>
      <c r="AK461" s="183">
        <f t="shared" si="486"/>
        <v>66</v>
      </c>
      <c r="AO461" s="182">
        <v>2.1600000000000001E-2</v>
      </c>
      <c r="AP461" s="185">
        <v>436</v>
      </c>
      <c r="AQ461" s="184">
        <f t="shared" si="487"/>
        <v>2.1600000000000001E-2</v>
      </c>
      <c r="AR461" s="190">
        <v>66</v>
      </c>
      <c r="AS461" s="185">
        <v>436</v>
      </c>
      <c r="AT461" s="183">
        <f t="shared" si="488"/>
        <v>66</v>
      </c>
      <c r="AX461" s="182">
        <v>2.1600000000000001E-2</v>
      </c>
      <c r="AY461" s="185">
        <v>436</v>
      </c>
      <c r="AZ461" s="184">
        <f t="shared" si="489"/>
        <v>2.1600000000000001E-2</v>
      </c>
      <c r="BA461" s="190">
        <v>66</v>
      </c>
      <c r="BB461" s="185">
        <v>436</v>
      </c>
      <c r="BC461" s="183">
        <f t="shared" si="490"/>
        <v>66</v>
      </c>
      <c r="BG461" s="182">
        <v>2.1600000000000001E-2</v>
      </c>
      <c r="BH461" s="185">
        <v>436</v>
      </c>
      <c r="BI461" s="184">
        <f t="shared" si="491"/>
        <v>2.1600000000000001E-2</v>
      </c>
      <c r="CW461" s="364"/>
      <c r="CX461" s="316"/>
      <c r="CY461" s="316"/>
      <c r="DA461" s="309">
        <v>460</v>
      </c>
      <c r="DB461" s="313">
        <f t="shared" si="492"/>
        <v>367.42630776245306</v>
      </c>
      <c r="DC461" s="309">
        <f t="shared" si="493"/>
        <v>1</v>
      </c>
      <c r="DD461" s="309">
        <f t="shared" si="494"/>
        <v>260</v>
      </c>
      <c r="DE461" s="308">
        <f t="shared" si="495"/>
        <v>6.5000000000000002E-2</v>
      </c>
      <c r="DF461" s="313">
        <f t="shared" si="510"/>
        <v>460</v>
      </c>
      <c r="DG461" s="313">
        <f t="shared" si="499"/>
        <v>260</v>
      </c>
      <c r="DH461" s="313">
        <f t="shared" si="500"/>
        <v>260</v>
      </c>
      <c r="DI461" s="313">
        <f t="shared" si="501"/>
        <v>0</v>
      </c>
      <c r="DJ461" s="313">
        <f t="shared" si="502"/>
        <v>0</v>
      </c>
      <c r="DK461" s="313">
        <f t="shared" si="511"/>
        <v>114684.51726962168</v>
      </c>
      <c r="DL461" s="313">
        <f t="shared" si="503"/>
        <v>36400</v>
      </c>
      <c r="DM461" s="314">
        <f t="shared" si="504"/>
        <v>18.90570280914724</v>
      </c>
      <c r="DN461" s="312">
        <f t="shared" si="505"/>
        <v>4.1099353932928781E-2</v>
      </c>
      <c r="DO461" s="312">
        <f t="shared" si="512"/>
        <v>1</v>
      </c>
      <c r="DP461" s="315">
        <f t="shared" si="496"/>
        <v>6.5000000000000002E-2</v>
      </c>
      <c r="DQ461" s="316">
        <f t="shared" si="506"/>
        <v>0.25</v>
      </c>
      <c r="DR461" s="316">
        <f t="shared" si="507"/>
        <v>118.82075452294252</v>
      </c>
      <c r="DS461" s="314">
        <f t="shared" si="508"/>
        <v>3.8713775370882773</v>
      </c>
      <c r="DT461" s="316">
        <f t="shared" si="509"/>
        <v>118.82075452294252</v>
      </c>
      <c r="DU461" s="314">
        <f t="shared" si="497"/>
        <v>3.8713775370882773</v>
      </c>
      <c r="DV461" s="316">
        <f t="shared" si="513"/>
        <v>35</v>
      </c>
      <c r="DW461" s="310">
        <f t="shared" si="498"/>
        <v>4.0285714285714285</v>
      </c>
      <c r="FB461" s="307"/>
      <c r="FC461" s="307"/>
      <c r="FF461" s="307"/>
      <c r="FG461" s="307"/>
      <c r="FH461" s="306"/>
      <c r="FJ461" s="307"/>
      <c r="FK461" s="307"/>
      <c r="FL461" s="306"/>
      <c r="FM461" s="307"/>
      <c r="FN461" s="306"/>
      <c r="FO461" s="307"/>
      <c r="FP461" s="306"/>
    </row>
    <row r="462" spans="29:172">
      <c r="AC462" s="156"/>
      <c r="AI462" s="190">
        <v>65</v>
      </c>
      <c r="AJ462" s="185">
        <v>437</v>
      </c>
      <c r="AK462" s="183">
        <f t="shared" si="486"/>
        <v>65</v>
      </c>
      <c r="AO462" s="182">
        <v>2.1499999999999998E-2</v>
      </c>
      <c r="AP462" s="185">
        <v>437</v>
      </c>
      <c r="AQ462" s="184">
        <f t="shared" si="487"/>
        <v>2.1499999999999998E-2</v>
      </c>
      <c r="AR462" s="190">
        <v>65</v>
      </c>
      <c r="AS462" s="185">
        <v>437</v>
      </c>
      <c r="AT462" s="183">
        <f t="shared" si="488"/>
        <v>65</v>
      </c>
      <c r="AX462" s="182">
        <v>2.1499999999999998E-2</v>
      </c>
      <c r="AY462" s="185">
        <v>437</v>
      </c>
      <c r="AZ462" s="184">
        <f t="shared" si="489"/>
        <v>2.1499999999999998E-2</v>
      </c>
      <c r="BA462" s="190">
        <v>65</v>
      </c>
      <c r="BB462" s="185">
        <v>437</v>
      </c>
      <c r="BC462" s="183">
        <f t="shared" si="490"/>
        <v>65</v>
      </c>
      <c r="BG462" s="182">
        <v>2.1499999999999998E-2</v>
      </c>
      <c r="BH462" s="185">
        <v>437</v>
      </c>
      <c r="BI462" s="184">
        <f t="shared" si="491"/>
        <v>2.1499999999999998E-2</v>
      </c>
      <c r="CW462" s="364"/>
      <c r="CX462" s="316"/>
      <c r="CY462" s="316"/>
      <c r="DA462" s="309">
        <v>461</v>
      </c>
      <c r="DB462" s="313">
        <f t="shared" si="492"/>
        <v>367.79027799671928</v>
      </c>
      <c r="DC462" s="309">
        <f t="shared" si="493"/>
        <v>1</v>
      </c>
      <c r="DD462" s="309">
        <f t="shared" si="494"/>
        <v>260</v>
      </c>
      <c r="DE462" s="308">
        <f t="shared" si="495"/>
        <v>6.5000000000000002E-2</v>
      </c>
      <c r="DF462" s="313">
        <f t="shared" si="510"/>
        <v>461</v>
      </c>
      <c r="DG462" s="313">
        <f t="shared" si="499"/>
        <v>260</v>
      </c>
      <c r="DH462" s="313">
        <f t="shared" si="500"/>
        <v>260</v>
      </c>
      <c r="DI462" s="313">
        <f t="shared" si="501"/>
        <v>0</v>
      </c>
      <c r="DJ462" s="313">
        <f t="shared" si="502"/>
        <v>0</v>
      </c>
      <c r="DK462" s="313">
        <f t="shared" si="511"/>
        <v>114944.51726962168</v>
      </c>
      <c r="DL462" s="313">
        <f t="shared" si="503"/>
        <v>36140</v>
      </c>
      <c r="DM462" s="314">
        <f t="shared" si="504"/>
        <v>18.90570280914724</v>
      </c>
      <c r="DN462" s="312">
        <f t="shared" si="505"/>
        <v>4.1010201321360608E-2</v>
      </c>
      <c r="DO462" s="312">
        <f t="shared" si="512"/>
        <v>1</v>
      </c>
      <c r="DP462" s="315">
        <f t="shared" si="496"/>
        <v>6.5000000000000002E-2</v>
      </c>
      <c r="DQ462" s="316">
        <f t="shared" si="506"/>
        <v>0.25</v>
      </c>
      <c r="DR462" s="316">
        <f t="shared" si="507"/>
        <v>119.07075452294252</v>
      </c>
      <c r="DS462" s="314">
        <f t="shared" si="508"/>
        <v>3.8716475917785056</v>
      </c>
      <c r="DT462" s="316">
        <f t="shared" si="509"/>
        <v>119.07075452294252</v>
      </c>
      <c r="DU462" s="314">
        <f t="shared" si="497"/>
        <v>3.8716475917785056</v>
      </c>
      <c r="DV462" s="316">
        <f t="shared" si="513"/>
        <v>34.75</v>
      </c>
      <c r="DW462" s="310">
        <f t="shared" si="498"/>
        <v>4.028776978417266</v>
      </c>
      <c r="FB462" s="307"/>
      <c r="FC462" s="307"/>
      <c r="FF462" s="307"/>
      <c r="FG462" s="307"/>
      <c r="FH462" s="306"/>
      <c r="FJ462" s="307"/>
      <c r="FK462" s="307"/>
      <c r="FL462" s="306"/>
      <c r="FM462" s="307"/>
      <c r="FN462" s="306"/>
      <c r="FO462" s="307"/>
      <c r="FP462" s="306"/>
    </row>
    <row r="463" spans="29:172">
      <c r="AC463" s="156"/>
      <c r="AI463" s="190">
        <v>64</v>
      </c>
      <c r="AJ463" s="185">
        <v>438</v>
      </c>
      <c r="AK463" s="183">
        <f t="shared" si="486"/>
        <v>64</v>
      </c>
      <c r="AO463" s="182">
        <v>2.1399999999999999E-2</v>
      </c>
      <c r="AP463" s="185">
        <v>438</v>
      </c>
      <c r="AQ463" s="184">
        <f t="shared" si="487"/>
        <v>2.1399999999999999E-2</v>
      </c>
      <c r="AR463" s="190">
        <v>64</v>
      </c>
      <c r="AS463" s="185">
        <v>438</v>
      </c>
      <c r="AT463" s="183">
        <f t="shared" si="488"/>
        <v>64</v>
      </c>
      <c r="AX463" s="182">
        <v>2.1399999999999999E-2</v>
      </c>
      <c r="AY463" s="185">
        <v>438</v>
      </c>
      <c r="AZ463" s="184">
        <f t="shared" si="489"/>
        <v>2.1399999999999999E-2</v>
      </c>
      <c r="BA463" s="190">
        <v>64</v>
      </c>
      <c r="BB463" s="185">
        <v>438</v>
      </c>
      <c r="BC463" s="183">
        <f t="shared" si="490"/>
        <v>64</v>
      </c>
      <c r="BG463" s="182">
        <v>2.1399999999999999E-2</v>
      </c>
      <c r="BH463" s="185">
        <v>438</v>
      </c>
      <c r="BI463" s="184">
        <f t="shared" si="491"/>
        <v>2.1399999999999999E-2</v>
      </c>
      <c r="CW463" s="364"/>
      <c r="CX463" s="316"/>
      <c r="CY463" s="316"/>
      <c r="DA463" s="309">
        <v>462</v>
      </c>
      <c r="DB463" s="313">
        <f t="shared" si="492"/>
        <v>368.15424823098544</v>
      </c>
      <c r="DC463" s="309">
        <f t="shared" si="493"/>
        <v>1</v>
      </c>
      <c r="DD463" s="309">
        <f t="shared" si="494"/>
        <v>260</v>
      </c>
      <c r="DE463" s="308">
        <f t="shared" si="495"/>
        <v>6.5000000000000002E-2</v>
      </c>
      <c r="DF463" s="313">
        <f t="shared" si="510"/>
        <v>462</v>
      </c>
      <c r="DG463" s="313">
        <f t="shared" si="499"/>
        <v>260</v>
      </c>
      <c r="DH463" s="313">
        <f t="shared" si="500"/>
        <v>260</v>
      </c>
      <c r="DI463" s="313">
        <f t="shared" si="501"/>
        <v>0</v>
      </c>
      <c r="DJ463" s="313">
        <f t="shared" si="502"/>
        <v>0</v>
      </c>
      <c r="DK463" s="313">
        <f t="shared" si="511"/>
        <v>115204.51726962168</v>
      </c>
      <c r="DL463" s="313">
        <f t="shared" si="503"/>
        <v>35880</v>
      </c>
      <c r="DM463" s="314">
        <f t="shared" si="504"/>
        <v>18.90570280914724</v>
      </c>
      <c r="DN463" s="312">
        <f t="shared" si="505"/>
        <v>4.092143465183385E-2</v>
      </c>
      <c r="DO463" s="312">
        <f t="shared" si="512"/>
        <v>1</v>
      </c>
      <c r="DP463" s="315">
        <f t="shared" si="496"/>
        <v>6.5000000000000002E-2</v>
      </c>
      <c r="DQ463" s="316">
        <f t="shared" si="506"/>
        <v>0.25</v>
      </c>
      <c r="DR463" s="316">
        <f t="shared" si="507"/>
        <v>119.32075452294252</v>
      </c>
      <c r="DS463" s="314">
        <f t="shared" si="508"/>
        <v>3.8719165148353842</v>
      </c>
      <c r="DT463" s="316">
        <f t="shared" si="509"/>
        <v>119.32075452294252</v>
      </c>
      <c r="DU463" s="314">
        <f t="shared" si="497"/>
        <v>3.8719165148353842</v>
      </c>
      <c r="DV463" s="316">
        <f t="shared" si="513"/>
        <v>34.5</v>
      </c>
      <c r="DW463" s="310">
        <f t="shared" si="498"/>
        <v>4.0289855072463769</v>
      </c>
      <c r="FB463" s="307"/>
      <c r="FC463" s="307"/>
      <c r="FF463" s="307"/>
      <c r="FG463" s="307"/>
      <c r="FH463" s="306"/>
      <c r="FJ463" s="307"/>
      <c r="FK463" s="307"/>
      <c r="FL463" s="306"/>
      <c r="FM463" s="307"/>
      <c r="FN463" s="306"/>
      <c r="FO463" s="307"/>
      <c r="FP463" s="306"/>
    </row>
    <row r="464" spans="29:172">
      <c r="AC464" s="156"/>
      <c r="AI464" s="190">
        <v>63</v>
      </c>
      <c r="AJ464" s="185">
        <v>439</v>
      </c>
      <c r="AK464" s="183">
        <f t="shared" si="486"/>
        <v>63</v>
      </c>
      <c r="AO464" s="182">
        <v>2.1299999999999999E-2</v>
      </c>
      <c r="AP464" s="185">
        <v>439</v>
      </c>
      <c r="AQ464" s="184">
        <f t="shared" si="487"/>
        <v>2.1299999999999999E-2</v>
      </c>
      <c r="AR464" s="190">
        <v>63</v>
      </c>
      <c r="AS464" s="185">
        <v>439</v>
      </c>
      <c r="AT464" s="183">
        <f t="shared" si="488"/>
        <v>63</v>
      </c>
      <c r="AX464" s="182">
        <v>2.1299999999999999E-2</v>
      </c>
      <c r="AY464" s="185">
        <v>439</v>
      </c>
      <c r="AZ464" s="184">
        <f t="shared" si="489"/>
        <v>2.1299999999999999E-2</v>
      </c>
      <c r="BA464" s="190">
        <v>63</v>
      </c>
      <c r="BB464" s="185">
        <v>439</v>
      </c>
      <c r="BC464" s="183">
        <f t="shared" si="490"/>
        <v>63</v>
      </c>
      <c r="BG464" s="182">
        <v>2.1299999999999999E-2</v>
      </c>
      <c r="BH464" s="185">
        <v>439</v>
      </c>
      <c r="BI464" s="184">
        <f t="shared" si="491"/>
        <v>2.1299999999999999E-2</v>
      </c>
      <c r="CW464" s="364"/>
      <c r="CX464" s="316"/>
      <c r="CY464" s="316"/>
      <c r="DA464" s="309">
        <v>463</v>
      </c>
      <c r="DB464" s="313">
        <f t="shared" si="492"/>
        <v>368.51821846525172</v>
      </c>
      <c r="DC464" s="309">
        <f t="shared" si="493"/>
        <v>1</v>
      </c>
      <c r="DD464" s="309">
        <f t="shared" si="494"/>
        <v>260</v>
      </c>
      <c r="DE464" s="308">
        <f t="shared" si="495"/>
        <v>6.5000000000000002E-2</v>
      </c>
      <c r="DF464" s="313">
        <f t="shared" si="510"/>
        <v>463</v>
      </c>
      <c r="DG464" s="313">
        <f t="shared" si="499"/>
        <v>260</v>
      </c>
      <c r="DH464" s="313">
        <f t="shared" si="500"/>
        <v>260</v>
      </c>
      <c r="DI464" s="313">
        <f t="shared" si="501"/>
        <v>0</v>
      </c>
      <c r="DJ464" s="313">
        <f t="shared" si="502"/>
        <v>0</v>
      </c>
      <c r="DK464" s="313">
        <f t="shared" si="511"/>
        <v>115464.51726962168</v>
      </c>
      <c r="DL464" s="313">
        <f t="shared" si="503"/>
        <v>35620</v>
      </c>
      <c r="DM464" s="314">
        <f t="shared" si="504"/>
        <v>18.90570280914724</v>
      </c>
      <c r="DN464" s="312">
        <f t="shared" si="505"/>
        <v>4.0833051423644143E-2</v>
      </c>
      <c r="DO464" s="312">
        <f t="shared" si="512"/>
        <v>1</v>
      </c>
      <c r="DP464" s="315">
        <f t="shared" si="496"/>
        <v>6.5000000000000002E-2</v>
      </c>
      <c r="DQ464" s="316">
        <f t="shared" si="506"/>
        <v>0.25</v>
      </c>
      <c r="DR464" s="316">
        <f t="shared" si="507"/>
        <v>119.57075452294252</v>
      </c>
      <c r="DS464" s="314">
        <f t="shared" si="508"/>
        <v>3.8721843133570117</v>
      </c>
      <c r="DT464" s="316">
        <f t="shared" si="509"/>
        <v>119.57075452294252</v>
      </c>
      <c r="DU464" s="314">
        <f t="shared" si="497"/>
        <v>3.8721843133570117</v>
      </c>
      <c r="DV464" s="316">
        <f t="shared" si="513"/>
        <v>34.25</v>
      </c>
      <c r="DW464" s="310">
        <f t="shared" si="498"/>
        <v>4.0291970802919712</v>
      </c>
      <c r="FB464" s="307"/>
      <c r="FC464" s="307"/>
      <c r="FF464" s="307"/>
      <c r="FG464" s="307"/>
      <c r="FH464" s="306"/>
      <c r="FJ464" s="307"/>
      <c r="FK464" s="307"/>
      <c r="FL464" s="306"/>
      <c r="FM464" s="307"/>
      <c r="FN464" s="306"/>
      <c r="FO464" s="307"/>
      <c r="FP464" s="306"/>
    </row>
    <row r="465" spans="29:172">
      <c r="AC465" s="156"/>
      <c r="AI465" s="190">
        <v>62</v>
      </c>
      <c r="AJ465" s="185">
        <v>440</v>
      </c>
      <c r="AK465" s="183">
        <f t="shared" si="486"/>
        <v>62</v>
      </c>
      <c r="AO465" s="182">
        <v>2.12E-2</v>
      </c>
      <c r="AP465" s="185">
        <v>440</v>
      </c>
      <c r="AQ465" s="184">
        <f t="shared" si="487"/>
        <v>2.12E-2</v>
      </c>
      <c r="AR465" s="190">
        <v>62</v>
      </c>
      <c r="AS465" s="185">
        <v>440</v>
      </c>
      <c r="AT465" s="183">
        <f t="shared" si="488"/>
        <v>62</v>
      </c>
      <c r="AX465" s="182">
        <v>2.12E-2</v>
      </c>
      <c r="AY465" s="185">
        <v>440</v>
      </c>
      <c r="AZ465" s="184">
        <f t="shared" si="489"/>
        <v>2.12E-2</v>
      </c>
      <c r="BA465" s="190">
        <v>62</v>
      </c>
      <c r="BB465" s="185">
        <v>440</v>
      </c>
      <c r="BC465" s="183">
        <f t="shared" si="490"/>
        <v>62</v>
      </c>
      <c r="BG465" s="182">
        <v>2.12E-2</v>
      </c>
      <c r="BH465" s="185">
        <v>440</v>
      </c>
      <c r="BI465" s="184">
        <f t="shared" si="491"/>
        <v>2.12E-2</v>
      </c>
      <c r="CW465" s="364"/>
      <c r="CX465" s="316"/>
      <c r="CY465" s="316"/>
      <c r="DA465" s="309">
        <v>464</v>
      </c>
      <c r="DB465" s="313">
        <f t="shared" si="492"/>
        <v>368.88218869951788</v>
      </c>
      <c r="DC465" s="309">
        <f t="shared" si="493"/>
        <v>1</v>
      </c>
      <c r="DD465" s="309">
        <f t="shared" si="494"/>
        <v>260</v>
      </c>
      <c r="DE465" s="308">
        <f t="shared" si="495"/>
        <v>6.5000000000000002E-2</v>
      </c>
      <c r="DF465" s="313">
        <f t="shared" si="510"/>
        <v>464</v>
      </c>
      <c r="DG465" s="313">
        <f t="shared" si="499"/>
        <v>260</v>
      </c>
      <c r="DH465" s="313">
        <f t="shared" si="500"/>
        <v>260</v>
      </c>
      <c r="DI465" s="313">
        <f t="shared" si="501"/>
        <v>0</v>
      </c>
      <c r="DJ465" s="313">
        <f t="shared" si="502"/>
        <v>0</v>
      </c>
      <c r="DK465" s="313">
        <f t="shared" si="511"/>
        <v>115724.51726962168</v>
      </c>
      <c r="DL465" s="313">
        <f t="shared" si="503"/>
        <v>35360</v>
      </c>
      <c r="DM465" s="314">
        <f t="shared" si="504"/>
        <v>18.90570280914724</v>
      </c>
      <c r="DN465" s="312">
        <f t="shared" si="505"/>
        <v>4.0745049157644916E-2</v>
      </c>
      <c r="DO465" s="312">
        <f t="shared" si="512"/>
        <v>1</v>
      </c>
      <c r="DP465" s="315">
        <f t="shared" si="496"/>
        <v>6.5000000000000002E-2</v>
      </c>
      <c r="DQ465" s="316">
        <f t="shared" si="506"/>
        <v>0.25</v>
      </c>
      <c r="DR465" s="316">
        <f t="shared" si="507"/>
        <v>119.82075452294252</v>
      </c>
      <c r="DS465" s="314">
        <f t="shared" si="508"/>
        <v>3.8724509943822478</v>
      </c>
      <c r="DT465" s="316">
        <f t="shared" si="509"/>
        <v>119.82075452294252</v>
      </c>
      <c r="DU465" s="314">
        <f t="shared" si="497"/>
        <v>3.8724509943822478</v>
      </c>
      <c r="DV465" s="316">
        <f t="shared" si="513"/>
        <v>34</v>
      </c>
      <c r="DW465" s="310">
        <f t="shared" si="498"/>
        <v>4.0294117647058822</v>
      </c>
      <c r="FB465" s="307"/>
      <c r="FC465" s="307"/>
      <c r="FF465" s="307"/>
      <c r="FG465" s="307"/>
      <c r="FH465" s="306"/>
      <c r="FJ465" s="307"/>
      <c r="FK465" s="307"/>
      <c r="FL465" s="306"/>
      <c r="FM465" s="307"/>
      <c r="FN465" s="306"/>
      <c r="FO465" s="307"/>
      <c r="FP465" s="306"/>
    </row>
    <row r="466" spans="29:172">
      <c r="AC466" s="156"/>
      <c r="AI466" s="190">
        <v>61</v>
      </c>
      <c r="AJ466" s="185">
        <v>441</v>
      </c>
      <c r="AK466" s="183">
        <f t="shared" si="486"/>
        <v>61</v>
      </c>
      <c r="AO466" s="182">
        <v>2.1100000000000001E-2</v>
      </c>
      <c r="AP466" s="185">
        <v>441</v>
      </c>
      <c r="AQ466" s="184">
        <f t="shared" si="487"/>
        <v>2.1100000000000001E-2</v>
      </c>
      <c r="AR466" s="190">
        <v>61</v>
      </c>
      <c r="AS466" s="185">
        <v>441</v>
      </c>
      <c r="AT466" s="183">
        <f t="shared" si="488"/>
        <v>61</v>
      </c>
      <c r="AX466" s="182">
        <v>2.1100000000000001E-2</v>
      </c>
      <c r="AY466" s="185">
        <v>441</v>
      </c>
      <c r="AZ466" s="184">
        <f t="shared" si="489"/>
        <v>2.1100000000000001E-2</v>
      </c>
      <c r="BA466" s="190">
        <v>61</v>
      </c>
      <c r="BB466" s="185">
        <v>441</v>
      </c>
      <c r="BC466" s="183">
        <f t="shared" si="490"/>
        <v>61</v>
      </c>
      <c r="BG466" s="182">
        <v>2.1100000000000001E-2</v>
      </c>
      <c r="BH466" s="185">
        <v>441</v>
      </c>
      <c r="BI466" s="184">
        <f t="shared" si="491"/>
        <v>2.1100000000000001E-2</v>
      </c>
      <c r="CW466" s="364"/>
      <c r="CX466" s="316"/>
      <c r="CY466" s="316"/>
      <c r="DA466" s="309">
        <v>465</v>
      </c>
      <c r="DB466" s="313">
        <f t="shared" si="492"/>
        <v>369.2461589337841</v>
      </c>
      <c r="DC466" s="309">
        <f t="shared" si="493"/>
        <v>1</v>
      </c>
      <c r="DD466" s="309">
        <f t="shared" si="494"/>
        <v>260</v>
      </c>
      <c r="DE466" s="308">
        <f t="shared" si="495"/>
        <v>6.5000000000000002E-2</v>
      </c>
      <c r="DF466" s="313">
        <f t="shared" si="510"/>
        <v>465</v>
      </c>
      <c r="DG466" s="313">
        <f t="shared" si="499"/>
        <v>260</v>
      </c>
      <c r="DH466" s="313">
        <f t="shared" si="500"/>
        <v>260</v>
      </c>
      <c r="DI466" s="313">
        <f t="shared" si="501"/>
        <v>0</v>
      </c>
      <c r="DJ466" s="313">
        <f t="shared" si="502"/>
        <v>0</v>
      </c>
      <c r="DK466" s="313">
        <f t="shared" si="511"/>
        <v>115984.51726962168</v>
      </c>
      <c r="DL466" s="313">
        <f t="shared" si="503"/>
        <v>35100</v>
      </c>
      <c r="DM466" s="314">
        <f t="shared" si="504"/>
        <v>18.90570280914724</v>
      </c>
      <c r="DN466" s="312">
        <f t="shared" si="505"/>
        <v>4.0657425396015572E-2</v>
      </c>
      <c r="DO466" s="312">
        <f t="shared" si="512"/>
        <v>1</v>
      </c>
      <c r="DP466" s="315">
        <f t="shared" si="496"/>
        <v>6.5000000000000002E-2</v>
      </c>
      <c r="DQ466" s="316">
        <f t="shared" si="506"/>
        <v>0.25</v>
      </c>
      <c r="DR466" s="316">
        <f t="shared" si="507"/>
        <v>120.07075452294252</v>
      </c>
      <c r="DS466" s="314">
        <f t="shared" si="508"/>
        <v>3.8727165648913293</v>
      </c>
      <c r="DT466" s="316">
        <f t="shared" si="509"/>
        <v>120.07075452294252</v>
      </c>
      <c r="DU466" s="314">
        <f t="shared" si="497"/>
        <v>3.8727165648913293</v>
      </c>
      <c r="DV466" s="316">
        <f t="shared" si="513"/>
        <v>33.75</v>
      </c>
      <c r="DW466" s="310">
        <f t="shared" si="498"/>
        <v>4.0296296296296292</v>
      </c>
      <c r="FB466" s="307"/>
      <c r="FC466" s="307"/>
      <c r="FF466" s="307"/>
      <c r="FG466" s="307"/>
      <c r="FH466" s="306"/>
      <c r="FJ466" s="307"/>
      <c r="FK466" s="307"/>
      <c r="FL466" s="306"/>
      <c r="FM466" s="307"/>
      <c r="FN466" s="306"/>
      <c r="FO466" s="307"/>
      <c r="FP466" s="306"/>
    </row>
    <row r="467" spans="29:172">
      <c r="AC467" s="156"/>
      <c r="AI467" s="190">
        <v>60</v>
      </c>
      <c r="AJ467" s="185">
        <v>442</v>
      </c>
      <c r="AK467" s="183">
        <f t="shared" si="486"/>
        <v>60</v>
      </c>
      <c r="AO467" s="182">
        <v>2.1000000000000001E-2</v>
      </c>
      <c r="AP467" s="185">
        <v>442</v>
      </c>
      <c r="AQ467" s="184">
        <f t="shared" si="487"/>
        <v>2.1000000000000001E-2</v>
      </c>
      <c r="AR467" s="190">
        <v>60</v>
      </c>
      <c r="AS467" s="185">
        <v>442</v>
      </c>
      <c r="AT467" s="183">
        <f t="shared" si="488"/>
        <v>60</v>
      </c>
      <c r="AX467" s="182">
        <v>2.1000000000000001E-2</v>
      </c>
      <c r="AY467" s="185">
        <v>442</v>
      </c>
      <c r="AZ467" s="184">
        <f t="shared" si="489"/>
        <v>2.1000000000000001E-2</v>
      </c>
      <c r="BA467" s="190">
        <v>60</v>
      </c>
      <c r="BB467" s="185">
        <v>442</v>
      </c>
      <c r="BC467" s="183">
        <f t="shared" si="490"/>
        <v>60</v>
      </c>
      <c r="BG467" s="182">
        <v>2.1000000000000001E-2</v>
      </c>
      <c r="BH467" s="185">
        <v>442</v>
      </c>
      <c r="BI467" s="184">
        <f t="shared" si="491"/>
        <v>2.1000000000000001E-2</v>
      </c>
      <c r="CW467" s="364"/>
      <c r="CX467" s="316"/>
      <c r="CY467" s="316"/>
      <c r="DA467" s="309">
        <v>466</v>
      </c>
      <c r="DB467" s="313">
        <f t="shared" si="492"/>
        <v>369.61012916805032</v>
      </c>
      <c r="DC467" s="309">
        <f t="shared" si="493"/>
        <v>1</v>
      </c>
      <c r="DD467" s="309">
        <f t="shared" si="494"/>
        <v>260</v>
      </c>
      <c r="DE467" s="308">
        <f t="shared" si="495"/>
        <v>6.5000000000000002E-2</v>
      </c>
      <c r="DF467" s="313">
        <f t="shared" si="510"/>
        <v>466</v>
      </c>
      <c r="DG467" s="313">
        <f t="shared" si="499"/>
        <v>260</v>
      </c>
      <c r="DH467" s="313">
        <f t="shared" si="500"/>
        <v>260</v>
      </c>
      <c r="DI467" s="313">
        <f t="shared" si="501"/>
        <v>0</v>
      </c>
      <c r="DJ467" s="313">
        <f t="shared" si="502"/>
        <v>0</v>
      </c>
      <c r="DK467" s="313">
        <f t="shared" si="511"/>
        <v>116244.51726962168</v>
      </c>
      <c r="DL467" s="313">
        <f t="shared" si="503"/>
        <v>34840</v>
      </c>
      <c r="DM467" s="314">
        <f t="shared" si="504"/>
        <v>18.90570280914724</v>
      </c>
      <c r="DN467" s="312">
        <f t="shared" si="505"/>
        <v>4.0570177702032702E-2</v>
      </c>
      <c r="DO467" s="312">
        <f t="shared" si="512"/>
        <v>1</v>
      </c>
      <c r="DP467" s="315">
        <f t="shared" si="496"/>
        <v>6.5000000000000002E-2</v>
      </c>
      <c r="DQ467" s="316">
        <f t="shared" si="506"/>
        <v>0.25</v>
      </c>
      <c r="DR467" s="316">
        <f t="shared" si="507"/>
        <v>120.32075452294252</v>
      </c>
      <c r="DS467" s="314">
        <f t="shared" si="508"/>
        <v>3.872981031806479</v>
      </c>
      <c r="DT467" s="316">
        <f t="shared" si="509"/>
        <v>120.32075452294252</v>
      </c>
      <c r="DU467" s="314">
        <f t="shared" si="497"/>
        <v>3.872981031806479</v>
      </c>
      <c r="DV467" s="316">
        <f t="shared" si="513"/>
        <v>33.5</v>
      </c>
      <c r="DW467" s="310">
        <f t="shared" si="498"/>
        <v>4.0298507462686564</v>
      </c>
      <c r="FB467" s="307"/>
      <c r="FC467" s="307"/>
      <c r="FF467" s="307"/>
      <c r="FG467" s="307"/>
      <c r="FH467" s="306"/>
      <c r="FJ467" s="307"/>
      <c r="FK467" s="307"/>
      <c r="FL467" s="306"/>
      <c r="FM467" s="307"/>
      <c r="FN467" s="306"/>
      <c r="FO467" s="307"/>
      <c r="FP467" s="306"/>
    </row>
    <row r="468" spans="29:172">
      <c r="AC468" s="156"/>
      <c r="AI468" s="190">
        <v>59</v>
      </c>
      <c r="AJ468" s="185">
        <v>443</v>
      </c>
      <c r="AK468" s="183">
        <f t="shared" si="486"/>
        <v>59</v>
      </c>
      <c r="AO468" s="182">
        <v>2.0899999999999998E-2</v>
      </c>
      <c r="AP468" s="185">
        <v>443</v>
      </c>
      <c r="AQ468" s="184">
        <f t="shared" si="487"/>
        <v>2.0899999999999998E-2</v>
      </c>
      <c r="AR468" s="190">
        <v>59</v>
      </c>
      <c r="AS468" s="185">
        <v>443</v>
      </c>
      <c r="AT468" s="183">
        <f t="shared" si="488"/>
        <v>59</v>
      </c>
      <c r="AX468" s="182">
        <v>2.0899999999999998E-2</v>
      </c>
      <c r="AY468" s="185">
        <v>443</v>
      </c>
      <c r="AZ468" s="184">
        <f t="shared" si="489"/>
        <v>2.0899999999999998E-2</v>
      </c>
      <c r="BA468" s="190">
        <v>59</v>
      </c>
      <c r="BB468" s="185">
        <v>443</v>
      </c>
      <c r="BC468" s="183">
        <f t="shared" si="490"/>
        <v>59</v>
      </c>
      <c r="BG468" s="182">
        <v>2.0899999999999998E-2</v>
      </c>
      <c r="BH468" s="185">
        <v>443</v>
      </c>
      <c r="BI468" s="184">
        <f t="shared" si="491"/>
        <v>2.0899999999999998E-2</v>
      </c>
      <c r="CW468" s="364"/>
      <c r="CX468" s="316"/>
      <c r="CY468" s="316"/>
      <c r="DA468" s="309">
        <v>467</v>
      </c>
      <c r="DB468" s="313">
        <f t="shared" si="492"/>
        <v>369.97409940231648</v>
      </c>
      <c r="DC468" s="309">
        <f t="shared" si="493"/>
        <v>1</v>
      </c>
      <c r="DD468" s="309">
        <f t="shared" si="494"/>
        <v>260</v>
      </c>
      <c r="DE468" s="308">
        <f t="shared" si="495"/>
        <v>6.5000000000000002E-2</v>
      </c>
      <c r="DF468" s="313">
        <f t="shared" si="510"/>
        <v>467</v>
      </c>
      <c r="DG468" s="313">
        <f t="shared" si="499"/>
        <v>260</v>
      </c>
      <c r="DH468" s="313">
        <f t="shared" si="500"/>
        <v>260</v>
      </c>
      <c r="DI468" s="313">
        <f t="shared" si="501"/>
        <v>0</v>
      </c>
      <c r="DJ468" s="313">
        <f t="shared" si="502"/>
        <v>0</v>
      </c>
      <c r="DK468" s="313">
        <f t="shared" si="511"/>
        <v>116504.51726962168</v>
      </c>
      <c r="DL468" s="313">
        <f t="shared" si="503"/>
        <v>34580</v>
      </c>
      <c r="DM468" s="314">
        <f t="shared" si="504"/>
        <v>18.90570280914724</v>
      </c>
      <c r="DN468" s="312">
        <f t="shared" si="505"/>
        <v>4.0483303659844198E-2</v>
      </c>
      <c r="DO468" s="312">
        <f t="shared" si="512"/>
        <v>1</v>
      </c>
      <c r="DP468" s="315">
        <f t="shared" si="496"/>
        <v>6.5000000000000002E-2</v>
      </c>
      <c r="DQ468" s="316">
        <f t="shared" si="506"/>
        <v>0.25</v>
      </c>
      <c r="DR468" s="316">
        <f t="shared" si="507"/>
        <v>120.57075452294252</v>
      </c>
      <c r="DS468" s="314">
        <f t="shared" si="508"/>
        <v>3.8732444019925083</v>
      </c>
      <c r="DT468" s="316">
        <f t="shared" si="509"/>
        <v>120.57075452294252</v>
      </c>
      <c r="DU468" s="314">
        <f t="shared" si="497"/>
        <v>3.8732444019925083</v>
      </c>
      <c r="DV468" s="316">
        <f t="shared" si="513"/>
        <v>33.25</v>
      </c>
      <c r="DW468" s="310">
        <f t="shared" si="498"/>
        <v>4.030075187969925</v>
      </c>
      <c r="FB468" s="307"/>
      <c r="FC468" s="307"/>
      <c r="FF468" s="307"/>
      <c r="FG468" s="307"/>
      <c r="FH468" s="306"/>
      <c r="FJ468" s="307"/>
      <c r="FK468" s="307"/>
      <c r="FL468" s="306"/>
      <c r="FM468" s="307"/>
      <c r="FN468" s="306"/>
      <c r="FO468" s="307"/>
      <c r="FP468" s="306"/>
    </row>
    <row r="469" spans="29:172">
      <c r="AC469" s="156"/>
      <c r="AI469" s="190">
        <v>58</v>
      </c>
      <c r="AJ469" s="185">
        <v>444</v>
      </c>
      <c r="AK469" s="183">
        <f t="shared" si="486"/>
        <v>58</v>
      </c>
      <c r="AO469" s="182">
        <v>2.0799999999999999E-2</v>
      </c>
      <c r="AP469" s="185">
        <v>444</v>
      </c>
      <c r="AQ469" s="184">
        <f t="shared" si="487"/>
        <v>2.0799999999999999E-2</v>
      </c>
      <c r="AR469" s="190">
        <v>58</v>
      </c>
      <c r="AS469" s="185">
        <v>444</v>
      </c>
      <c r="AT469" s="183">
        <f t="shared" si="488"/>
        <v>58</v>
      </c>
      <c r="AX469" s="182">
        <v>2.0799999999999999E-2</v>
      </c>
      <c r="AY469" s="185">
        <v>444</v>
      </c>
      <c r="AZ469" s="184">
        <f t="shared" si="489"/>
        <v>2.0799999999999999E-2</v>
      </c>
      <c r="BA469" s="190">
        <v>58</v>
      </c>
      <c r="BB469" s="185">
        <v>444</v>
      </c>
      <c r="BC469" s="183">
        <f t="shared" si="490"/>
        <v>58</v>
      </c>
      <c r="BG469" s="182">
        <v>2.0799999999999999E-2</v>
      </c>
      <c r="BH469" s="185">
        <v>444</v>
      </c>
      <c r="BI469" s="184">
        <f t="shared" si="491"/>
        <v>2.0799999999999999E-2</v>
      </c>
      <c r="CW469" s="364"/>
      <c r="CX469" s="316"/>
      <c r="CY469" s="316"/>
      <c r="DA469" s="309">
        <v>468</v>
      </c>
      <c r="DB469" s="313">
        <f t="shared" si="492"/>
        <v>370.3380696365827</v>
      </c>
      <c r="DC469" s="309">
        <f t="shared" si="493"/>
        <v>1</v>
      </c>
      <c r="DD469" s="309">
        <f t="shared" si="494"/>
        <v>260</v>
      </c>
      <c r="DE469" s="308">
        <f t="shared" si="495"/>
        <v>6.5000000000000002E-2</v>
      </c>
      <c r="DF469" s="313">
        <f t="shared" si="510"/>
        <v>468</v>
      </c>
      <c r="DG469" s="313">
        <f t="shared" si="499"/>
        <v>260</v>
      </c>
      <c r="DH469" s="313">
        <f t="shared" si="500"/>
        <v>260</v>
      </c>
      <c r="DI469" s="313">
        <f t="shared" si="501"/>
        <v>0</v>
      </c>
      <c r="DJ469" s="313">
        <f t="shared" si="502"/>
        <v>0</v>
      </c>
      <c r="DK469" s="313">
        <f t="shared" si="511"/>
        <v>116764.51726962168</v>
      </c>
      <c r="DL469" s="313">
        <f t="shared" si="503"/>
        <v>34320</v>
      </c>
      <c r="DM469" s="314">
        <f t="shared" si="504"/>
        <v>18.90570280914724</v>
      </c>
      <c r="DN469" s="312">
        <f t="shared" si="505"/>
        <v>4.0396800874246241E-2</v>
      </c>
      <c r="DO469" s="312">
        <f t="shared" si="512"/>
        <v>1</v>
      </c>
      <c r="DP469" s="315">
        <f t="shared" si="496"/>
        <v>6.5000000000000002E-2</v>
      </c>
      <c r="DQ469" s="316">
        <f t="shared" si="506"/>
        <v>0.25</v>
      </c>
      <c r="DR469" s="316">
        <f t="shared" si="507"/>
        <v>120.82075452294252</v>
      </c>
      <c r="DS469" s="314">
        <f t="shared" si="508"/>
        <v>3.8735066822574096</v>
      </c>
      <c r="DT469" s="316">
        <f t="shared" si="509"/>
        <v>120.82075452294252</v>
      </c>
      <c r="DU469" s="314">
        <f t="shared" si="497"/>
        <v>3.8735066822574096</v>
      </c>
      <c r="DV469" s="316">
        <f t="shared" si="513"/>
        <v>33</v>
      </c>
      <c r="DW469" s="310">
        <f t="shared" si="498"/>
        <v>4.0303030303030303</v>
      </c>
      <c r="FB469" s="307"/>
      <c r="FC469" s="307"/>
      <c r="FF469" s="307"/>
      <c r="FG469" s="307"/>
      <c r="FH469" s="306"/>
      <c r="FJ469" s="307"/>
      <c r="FK469" s="307"/>
      <c r="FL469" s="306"/>
      <c r="FM469" s="307"/>
      <c r="FN469" s="306"/>
      <c r="FO469" s="307"/>
      <c r="FP469" s="306"/>
    </row>
    <row r="470" spans="29:172">
      <c r="AC470" s="156"/>
      <c r="AI470" s="190">
        <v>57</v>
      </c>
      <c r="AJ470" s="185">
        <v>445</v>
      </c>
      <c r="AK470" s="183">
        <f t="shared" si="486"/>
        <v>57</v>
      </c>
      <c r="AO470" s="182">
        <v>2.07E-2</v>
      </c>
      <c r="AP470" s="185">
        <v>445</v>
      </c>
      <c r="AQ470" s="184">
        <f t="shared" si="487"/>
        <v>2.07E-2</v>
      </c>
      <c r="AR470" s="190">
        <v>57</v>
      </c>
      <c r="AS470" s="185">
        <v>445</v>
      </c>
      <c r="AT470" s="183">
        <f t="shared" si="488"/>
        <v>57</v>
      </c>
      <c r="AX470" s="182">
        <v>2.07E-2</v>
      </c>
      <c r="AY470" s="185">
        <v>445</v>
      </c>
      <c r="AZ470" s="184">
        <f t="shared" si="489"/>
        <v>2.07E-2</v>
      </c>
      <c r="BA470" s="190">
        <v>57</v>
      </c>
      <c r="BB470" s="185">
        <v>445</v>
      </c>
      <c r="BC470" s="183">
        <f t="shared" si="490"/>
        <v>57</v>
      </c>
      <c r="BG470" s="182">
        <v>2.07E-2</v>
      </c>
      <c r="BH470" s="185">
        <v>445</v>
      </c>
      <c r="BI470" s="184">
        <f t="shared" si="491"/>
        <v>2.07E-2</v>
      </c>
      <c r="CW470" s="364"/>
      <c r="CX470" s="316"/>
      <c r="CY470" s="316"/>
      <c r="DA470" s="309">
        <v>469</v>
      </c>
      <c r="DB470" s="313">
        <f t="shared" si="492"/>
        <v>370.70203987084892</v>
      </c>
      <c r="DC470" s="309">
        <f t="shared" si="493"/>
        <v>1</v>
      </c>
      <c r="DD470" s="309">
        <f t="shared" si="494"/>
        <v>260</v>
      </c>
      <c r="DE470" s="308">
        <f t="shared" si="495"/>
        <v>6.5000000000000002E-2</v>
      </c>
      <c r="DF470" s="313">
        <f t="shared" si="510"/>
        <v>469</v>
      </c>
      <c r="DG470" s="313">
        <f t="shared" si="499"/>
        <v>260</v>
      </c>
      <c r="DH470" s="313">
        <f t="shared" si="500"/>
        <v>260</v>
      </c>
      <c r="DI470" s="313">
        <f t="shared" si="501"/>
        <v>0</v>
      </c>
      <c r="DJ470" s="313">
        <f t="shared" si="502"/>
        <v>0</v>
      </c>
      <c r="DK470" s="313">
        <f t="shared" si="511"/>
        <v>117024.51726962168</v>
      </c>
      <c r="DL470" s="313">
        <f t="shared" si="503"/>
        <v>34060</v>
      </c>
      <c r="DM470" s="314">
        <f t="shared" si="504"/>
        <v>18.90570280914724</v>
      </c>
      <c r="DN470" s="312">
        <f t="shared" si="505"/>
        <v>4.0310666970463198E-2</v>
      </c>
      <c r="DO470" s="312">
        <f t="shared" si="512"/>
        <v>1</v>
      </c>
      <c r="DP470" s="315">
        <f t="shared" si="496"/>
        <v>6.5000000000000002E-2</v>
      </c>
      <c r="DQ470" s="316">
        <f t="shared" si="506"/>
        <v>0.25</v>
      </c>
      <c r="DR470" s="316">
        <f t="shared" si="507"/>
        <v>121.07075452294252</v>
      </c>
      <c r="DS470" s="314">
        <f t="shared" si="508"/>
        <v>3.8737678793529446</v>
      </c>
      <c r="DT470" s="316">
        <f t="shared" si="509"/>
        <v>121.07075452294252</v>
      </c>
      <c r="DU470" s="314">
        <f t="shared" si="497"/>
        <v>3.8737678793529446</v>
      </c>
      <c r="DV470" s="316">
        <f t="shared" si="513"/>
        <v>32.75</v>
      </c>
      <c r="DW470" s="310">
        <f t="shared" si="498"/>
        <v>4.0305343511450378</v>
      </c>
      <c r="FB470" s="307"/>
      <c r="FC470" s="307"/>
      <c r="FF470" s="307"/>
      <c r="FG470" s="307"/>
      <c r="FH470" s="306"/>
      <c r="FJ470" s="307"/>
      <c r="FK470" s="307"/>
      <c r="FL470" s="306"/>
      <c r="FM470" s="307"/>
      <c r="FN470" s="306"/>
      <c r="FO470" s="307"/>
      <c r="FP470" s="306"/>
    </row>
    <row r="471" spans="29:172">
      <c r="AC471" s="156"/>
      <c r="AI471" s="190">
        <v>56</v>
      </c>
      <c r="AJ471" s="185">
        <v>446</v>
      </c>
      <c r="AK471" s="183">
        <f t="shared" si="486"/>
        <v>56</v>
      </c>
      <c r="AO471" s="182">
        <v>2.06E-2</v>
      </c>
      <c r="AP471" s="185">
        <v>446</v>
      </c>
      <c r="AQ471" s="184">
        <f t="shared" si="487"/>
        <v>2.06E-2</v>
      </c>
      <c r="AR471" s="190">
        <v>56</v>
      </c>
      <c r="AS471" s="185">
        <v>446</v>
      </c>
      <c r="AT471" s="183">
        <f t="shared" si="488"/>
        <v>56</v>
      </c>
      <c r="AX471" s="182">
        <v>2.06E-2</v>
      </c>
      <c r="AY471" s="185">
        <v>446</v>
      </c>
      <c r="AZ471" s="184">
        <f t="shared" si="489"/>
        <v>2.06E-2</v>
      </c>
      <c r="BA471" s="190">
        <v>56</v>
      </c>
      <c r="BB471" s="185">
        <v>446</v>
      </c>
      <c r="BC471" s="183">
        <f t="shared" si="490"/>
        <v>56</v>
      </c>
      <c r="BG471" s="182">
        <v>2.06E-2</v>
      </c>
      <c r="BH471" s="185">
        <v>446</v>
      </c>
      <c r="BI471" s="184">
        <f t="shared" si="491"/>
        <v>2.06E-2</v>
      </c>
      <c r="CW471" s="364"/>
      <c r="CX471" s="316"/>
      <c r="CY471" s="316"/>
      <c r="DA471" s="309">
        <v>470</v>
      </c>
      <c r="DB471" s="313">
        <f t="shared" si="492"/>
        <v>371.06601010511508</v>
      </c>
      <c r="DC471" s="309">
        <f t="shared" si="493"/>
        <v>1</v>
      </c>
      <c r="DD471" s="309">
        <f t="shared" si="494"/>
        <v>260</v>
      </c>
      <c r="DE471" s="308">
        <f t="shared" si="495"/>
        <v>6.5000000000000002E-2</v>
      </c>
      <c r="DF471" s="313">
        <f t="shared" si="510"/>
        <v>470</v>
      </c>
      <c r="DG471" s="313">
        <f t="shared" si="499"/>
        <v>260</v>
      </c>
      <c r="DH471" s="313">
        <f t="shared" si="500"/>
        <v>260</v>
      </c>
      <c r="DI471" s="313">
        <f t="shared" si="501"/>
        <v>0</v>
      </c>
      <c r="DJ471" s="313">
        <f t="shared" si="502"/>
        <v>0</v>
      </c>
      <c r="DK471" s="313">
        <f t="shared" si="511"/>
        <v>117284.51726962168</v>
      </c>
      <c r="DL471" s="313">
        <f t="shared" si="503"/>
        <v>33800</v>
      </c>
      <c r="DM471" s="314">
        <f t="shared" si="504"/>
        <v>18.90570280914724</v>
      </c>
      <c r="DN471" s="312">
        <f t="shared" si="505"/>
        <v>4.0224899593930295E-2</v>
      </c>
      <c r="DO471" s="312">
        <f t="shared" si="512"/>
        <v>1</v>
      </c>
      <c r="DP471" s="315">
        <f t="shared" si="496"/>
        <v>6.5000000000000002E-2</v>
      </c>
      <c r="DQ471" s="316">
        <f t="shared" si="506"/>
        <v>0.25</v>
      </c>
      <c r="DR471" s="316">
        <f t="shared" si="507"/>
        <v>121.32075452294252</v>
      </c>
      <c r="DS471" s="314">
        <f t="shared" si="508"/>
        <v>3.874027999975223</v>
      </c>
      <c r="DT471" s="316">
        <f t="shared" si="509"/>
        <v>121.32075452294252</v>
      </c>
      <c r="DU471" s="314">
        <f t="shared" si="497"/>
        <v>3.874027999975223</v>
      </c>
      <c r="DV471" s="316">
        <f t="shared" si="513"/>
        <v>32.5</v>
      </c>
      <c r="DW471" s="310">
        <f t="shared" si="498"/>
        <v>4.0307692307692307</v>
      </c>
      <c r="FB471" s="307"/>
      <c r="FC471" s="307"/>
      <c r="FF471" s="307"/>
      <c r="FG471" s="307"/>
      <c r="FH471" s="306"/>
      <c r="FJ471" s="307"/>
      <c r="FK471" s="307"/>
      <c r="FL471" s="306"/>
      <c r="FM471" s="307"/>
      <c r="FN471" s="306"/>
      <c r="FO471" s="307"/>
      <c r="FP471" s="306"/>
    </row>
    <row r="472" spans="29:172">
      <c r="AC472" s="156"/>
      <c r="AI472" s="190">
        <v>55</v>
      </c>
      <c r="AJ472" s="185">
        <v>447</v>
      </c>
      <c r="AK472" s="183">
        <f t="shared" si="486"/>
        <v>55</v>
      </c>
      <c r="AO472" s="182">
        <v>2.0500000000000001E-2</v>
      </c>
      <c r="AP472" s="185">
        <v>447</v>
      </c>
      <c r="AQ472" s="184">
        <f t="shared" si="487"/>
        <v>2.0500000000000001E-2</v>
      </c>
      <c r="AR472" s="190">
        <v>55</v>
      </c>
      <c r="AS472" s="185">
        <v>447</v>
      </c>
      <c r="AT472" s="183">
        <f t="shared" si="488"/>
        <v>55</v>
      </c>
      <c r="AX472" s="182">
        <v>2.0500000000000001E-2</v>
      </c>
      <c r="AY472" s="185">
        <v>447</v>
      </c>
      <c r="AZ472" s="184">
        <f t="shared" si="489"/>
        <v>2.0500000000000001E-2</v>
      </c>
      <c r="BA472" s="190">
        <v>55</v>
      </c>
      <c r="BB472" s="185">
        <v>447</v>
      </c>
      <c r="BC472" s="183">
        <f t="shared" si="490"/>
        <v>55</v>
      </c>
      <c r="BG472" s="182">
        <v>2.0500000000000001E-2</v>
      </c>
      <c r="BH472" s="185">
        <v>447</v>
      </c>
      <c r="BI472" s="184">
        <f t="shared" si="491"/>
        <v>2.0500000000000001E-2</v>
      </c>
      <c r="CW472" s="364"/>
      <c r="CX472" s="316"/>
      <c r="CY472" s="316"/>
      <c r="DA472" s="309">
        <v>471</v>
      </c>
      <c r="DB472" s="313">
        <f t="shared" si="492"/>
        <v>371.4299803393813</v>
      </c>
      <c r="DC472" s="309">
        <f t="shared" si="493"/>
        <v>1</v>
      </c>
      <c r="DD472" s="309">
        <f t="shared" si="494"/>
        <v>260</v>
      </c>
      <c r="DE472" s="308">
        <f t="shared" si="495"/>
        <v>6.5000000000000002E-2</v>
      </c>
      <c r="DF472" s="313">
        <f t="shared" si="510"/>
        <v>471</v>
      </c>
      <c r="DG472" s="313">
        <f t="shared" si="499"/>
        <v>260</v>
      </c>
      <c r="DH472" s="313">
        <f t="shared" si="500"/>
        <v>260</v>
      </c>
      <c r="DI472" s="313">
        <f t="shared" si="501"/>
        <v>0</v>
      </c>
      <c r="DJ472" s="313">
        <f t="shared" si="502"/>
        <v>0</v>
      </c>
      <c r="DK472" s="313">
        <f t="shared" si="511"/>
        <v>117544.51726962168</v>
      </c>
      <c r="DL472" s="313">
        <f t="shared" si="503"/>
        <v>33540</v>
      </c>
      <c r="DM472" s="314">
        <f t="shared" si="504"/>
        <v>18.90570280914724</v>
      </c>
      <c r="DN472" s="312">
        <f t="shared" si="505"/>
        <v>4.0139496410079065E-2</v>
      </c>
      <c r="DO472" s="312">
        <f t="shared" si="512"/>
        <v>1</v>
      </c>
      <c r="DP472" s="315">
        <f t="shared" si="496"/>
        <v>6.5000000000000002E-2</v>
      </c>
      <c r="DQ472" s="316">
        <f t="shared" si="506"/>
        <v>0.25</v>
      </c>
      <c r="DR472" s="316">
        <f t="shared" si="507"/>
        <v>121.57075452294252</v>
      </c>
      <c r="DS472" s="314">
        <f t="shared" si="508"/>
        <v>3.8742870507652731</v>
      </c>
      <c r="DT472" s="316">
        <f t="shared" si="509"/>
        <v>121.57075452294252</v>
      </c>
      <c r="DU472" s="314">
        <f t="shared" si="497"/>
        <v>3.8742870507652731</v>
      </c>
      <c r="DV472" s="316">
        <f t="shared" si="513"/>
        <v>32.25</v>
      </c>
      <c r="DW472" s="310">
        <f t="shared" si="498"/>
        <v>4.0310077519379846</v>
      </c>
      <c r="FB472" s="307"/>
      <c r="FC472" s="307"/>
      <c r="FF472" s="307"/>
      <c r="FG472" s="307"/>
      <c r="FH472" s="306"/>
      <c r="FJ472" s="307"/>
      <c r="FK472" s="307"/>
      <c r="FL472" s="306"/>
      <c r="FM472" s="307"/>
      <c r="FN472" s="306"/>
      <c r="FO472" s="307"/>
      <c r="FP472" s="306"/>
    </row>
    <row r="473" spans="29:172">
      <c r="AC473" s="156"/>
      <c r="AI473" s="190">
        <v>54</v>
      </c>
      <c r="AJ473" s="185">
        <v>448</v>
      </c>
      <c r="AK473" s="183">
        <f t="shared" si="486"/>
        <v>54</v>
      </c>
      <c r="AO473" s="182">
        <v>2.0400000000000001E-2</v>
      </c>
      <c r="AP473" s="185">
        <v>448</v>
      </c>
      <c r="AQ473" s="184">
        <f t="shared" si="487"/>
        <v>2.0400000000000001E-2</v>
      </c>
      <c r="AR473" s="190">
        <v>54</v>
      </c>
      <c r="AS473" s="185">
        <v>448</v>
      </c>
      <c r="AT473" s="183">
        <f t="shared" si="488"/>
        <v>54</v>
      </c>
      <c r="AX473" s="182">
        <v>2.0400000000000001E-2</v>
      </c>
      <c r="AY473" s="185">
        <v>448</v>
      </c>
      <c r="AZ473" s="184">
        <f t="shared" si="489"/>
        <v>2.0400000000000001E-2</v>
      </c>
      <c r="BA473" s="190">
        <v>54</v>
      </c>
      <c r="BB473" s="185">
        <v>448</v>
      </c>
      <c r="BC473" s="183">
        <f t="shared" si="490"/>
        <v>54</v>
      </c>
      <c r="BG473" s="182">
        <v>2.0400000000000001E-2</v>
      </c>
      <c r="BH473" s="185">
        <v>448</v>
      </c>
      <c r="BI473" s="184">
        <f t="shared" si="491"/>
        <v>2.0400000000000001E-2</v>
      </c>
      <c r="CW473" s="364"/>
      <c r="CX473" s="316"/>
      <c r="CY473" s="316"/>
      <c r="DA473" s="309">
        <v>472</v>
      </c>
      <c r="DB473" s="313">
        <f t="shared" si="492"/>
        <v>371.79395057364752</v>
      </c>
      <c r="DC473" s="309">
        <f t="shared" si="493"/>
        <v>1</v>
      </c>
      <c r="DD473" s="309">
        <f t="shared" si="494"/>
        <v>260</v>
      </c>
      <c r="DE473" s="308">
        <f t="shared" si="495"/>
        <v>6.5000000000000002E-2</v>
      </c>
      <c r="DF473" s="313">
        <f t="shared" si="510"/>
        <v>472</v>
      </c>
      <c r="DG473" s="313">
        <f t="shared" si="499"/>
        <v>260</v>
      </c>
      <c r="DH473" s="313">
        <f t="shared" si="500"/>
        <v>260</v>
      </c>
      <c r="DI473" s="313">
        <f t="shared" si="501"/>
        <v>0</v>
      </c>
      <c r="DJ473" s="313">
        <f t="shared" si="502"/>
        <v>0</v>
      </c>
      <c r="DK473" s="313">
        <f t="shared" si="511"/>
        <v>117804.51726962168</v>
      </c>
      <c r="DL473" s="313">
        <f t="shared" si="503"/>
        <v>33280</v>
      </c>
      <c r="DM473" s="314">
        <f t="shared" si="504"/>
        <v>18.90570280914724</v>
      </c>
      <c r="DN473" s="312">
        <f t="shared" si="505"/>
        <v>4.005445510412551E-2</v>
      </c>
      <c r="DO473" s="312">
        <f t="shared" si="512"/>
        <v>1</v>
      </c>
      <c r="DP473" s="315">
        <f t="shared" si="496"/>
        <v>6.5000000000000002E-2</v>
      </c>
      <c r="DQ473" s="316">
        <f t="shared" si="506"/>
        <v>0.25</v>
      </c>
      <c r="DR473" s="316">
        <f t="shared" si="507"/>
        <v>121.82075452294252</v>
      </c>
      <c r="DS473" s="314">
        <f t="shared" si="508"/>
        <v>3.8745450383096105</v>
      </c>
      <c r="DT473" s="316">
        <f t="shared" si="509"/>
        <v>121.82075452294252</v>
      </c>
      <c r="DU473" s="314">
        <f t="shared" si="497"/>
        <v>3.8745450383096105</v>
      </c>
      <c r="DV473" s="316">
        <f t="shared" si="513"/>
        <v>32</v>
      </c>
      <c r="DW473" s="310">
        <f t="shared" si="498"/>
        <v>4.03125</v>
      </c>
      <c r="FB473" s="307"/>
      <c r="FC473" s="307"/>
      <c r="FF473" s="307"/>
      <c r="FG473" s="307"/>
      <c r="FH473" s="306"/>
      <c r="FJ473" s="307"/>
      <c r="FK473" s="307"/>
      <c r="FL473" s="306"/>
      <c r="FM473" s="307"/>
      <c r="FN473" s="306"/>
      <c r="FO473" s="307"/>
      <c r="FP473" s="306"/>
    </row>
    <row r="474" spans="29:172">
      <c r="AC474" s="156"/>
      <c r="AI474" s="190">
        <v>53</v>
      </c>
      <c r="AJ474" s="185">
        <v>449</v>
      </c>
      <c r="AK474" s="183">
        <f t="shared" si="486"/>
        <v>53</v>
      </c>
      <c r="AO474" s="182">
        <v>2.0299999999999999E-2</v>
      </c>
      <c r="AP474" s="185">
        <v>449</v>
      </c>
      <c r="AQ474" s="184">
        <f t="shared" si="487"/>
        <v>2.0299999999999999E-2</v>
      </c>
      <c r="AR474" s="190">
        <v>53</v>
      </c>
      <c r="AS474" s="185">
        <v>449</v>
      </c>
      <c r="AT474" s="183">
        <f t="shared" si="488"/>
        <v>53</v>
      </c>
      <c r="AX474" s="182">
        <v>2.0299999999999999E-2</v>
      </c>
      <c r="AY474" s="185">
        <v>449</v>
      </c>
      <c r="AZ474" s="184">
        <f t="shared" si="489"/>
        <v>2.0299999999999999E-2</v>
      </c>
      <c r="BA474" s="190">
        <v>53</v>
      </c>
      <c r="BB474" s="185">
        <v>449</v>
      </c>
      <c r="BC474" s="183">
        <f t="shared" si="490"/>
        <v>53</v>
      </c>
      <c r="BG474" s="182">
        <v>2.0299999999999999E-2</v>
      </c>
      <c r="BH474" s="185">
        <v>449</v>
      </c>
      <c r="BI474" s="184">
        <f t="shared" si="491"/>
        <v>2.0299999999999999E-2</v>
      </c>
      <c r="CW474" s="364"/>
      <c r="CX474" s="316"/>
      <c r="CY474" s="316"/>
      <c r="DA474" s="309">
        <v>473</v>
      </c>
      <c r="DB474" s="313">
        <f t="shared" si="492"/>
        <v>372.15792080791368</v>
      </c>
      <c r="DC474" s="309">
        <f t="shared" si="493"/>
        <v>1</v>
      </c>
      <c r="DD474" s="309">
        <f t="shared" si="494"/>
        <v>260</v>
      </c>
      <c r="DE474" s="308">
        <f t="shared" si="495"/>
        <v>6.5000000000000002E-2</v>
      </c>
      <c r="DF474" s="313">
        <f t="shared" si="510"/>
        <v>473</v>
      </c>
      <c r="DG474" s="313">
        <f t="shared" si="499"/>
        <v>260</v>
      </c>
      <c r="DH474" s="313">
        <f t="shared" si="500"/>
        <v>260</v>
      </c>
      <c r="DI474" s="313">
        <f t="shared" si="501"/>
        <v>0</v>
      </c>
      <c r="DJ474" s="313">
        <f t="shared" si="502"/>
        <v>0</v>
      </c>
      <c r="DK474" s="313">
        <f t="shared" si="511"/>
        <v>118064.51726962168</v>
      </c>
      <c r="DL474" s="313">
        <f t="shared" si="503"/>
        <v>33020</v>
      </c>
      <c r="DM474" s="314">
        <f t="shared" si="504"/>
        <v>18.90570280914724</v>
      </c>
      <c r="DN474" s="312">
        <f t="shared" si="505"/>
        <v>3.9969773380860975E-2</v>
      </c>
      <c r="DO474" s="312">
        <f t="shared" si="512"/>
        <v>1</v>
      </c>
      <c r="DP474" s="315">
        <f t="shared" si="496"/>
        <v>6.5000000000000002E-2</v>
      </c>
      <c r="DQ474" s="316">
        <f t="shared" si="506"/>
        <v>0.25</v>
      </c>
      <c r="DR474" s="316">
        <f t="shared" si="507"/>
        <v>122.07075452294252</v>
      </c>
      <c r="DS474" s="314">
        <f t="shared" si="508"/>
        <v>3.8748019691407927</v>
      </c>
      <c r="DT474" s="316">
        <f t="shared" si="509"/>
        <v>122.07075452294252</v>
      </c>
      <c r="DU474" s="314">
        <f t="shared" si="497"/>
        <v>3.8748019691407927</v>
      </c>
      <c r="DV474" s="316">
        <f t="shared" si="513"/>
        <v>31.75</v>
      </c>
      <c r="DW474" s="310">
        <f t="shared" si="498"/>
        <v>4.0314960629921259</v>
      </c>
      <c r="FB474" s="307"/>
      <c r="FC474" s="307"/>
      <c r="FF474" s="307"/>
      <c r="FG474" s="307"/>
      <c r="FH474" s="306"/>
      <c r="FJ474" s="307"/>
      <c r="FK474" s="307"/>
      <c r="FL474" s="306"/>
      <c r="FM474" s="307"/>
      <c r="FN474" s="306"/>
      <c r="FO474" s="307"/>
      <c r="FP474" s="306"/>
    </row>
    <row r="475" spans="29:172">
      <c r="AC475" s="156"/>
      <c r="AI475" s="190">
        <v>52</v>
      </c>
      <c r="AJ475" s="185">
        <v>450</v>
      </c>
      <c r="AK475" s="183">
        <f t="shared" si="486"/>
        <v>52</v>
      </c>
      <c r="AO475" s="182">
        <v>2.0199999999999999E-2</v>
      </c>
      <c r="AP475" s="185">
        <v>450</v>
      </c>
      <c r="AQ475" s="184">
        <f t="shared" si="487"/>
        <v>2.0199999999999999E-2</v>
      </c>
      <c r="AR475" s="190">
        <v>52</v>
      </c>
      <c r="AS475" s="185">
        <v>450</v>
      </c>
      <c r="AT475" s="183">
        <f t="shared" si="488"/>
        <v>52</v>
      </c>
      <c r="AX475" s="182">
        <v>2.0199999999999999E-2</v>
      </c>
      <c r="AY475" s="185">
        <v>450</v>
      </c>
      <c r="AZ475" s="184">
        <f t="shared" si="489"/>
        <v>2.0199999999999999E-2</v>
      </c>
      <c r="BA475" s="190">
        <v>52</v>
      </c>
      <c r="BB475" s="185">
        <v>450</v>
      </c>
      <c r="BC475" s="183">
        <f t="shared" si="490"/>
        <v>52</v>
      </c>
      <c r="BG475" s="182">
        <v>2.0199999999999999E-2</v>
      </c>
      <c r="BH475" s="185">
        <v>450</v>
      </c>
      <c r="BI475" s="184">
        <f t="shared" si="491"/>
        <v>2.0199999999999999E-2</v>
      </c>
      <c r="CW475" s="364"/>
      <c r="CX475" s="316"/>
      <c r="CY475" s="316"/>
      <c r="DA475" s="309">
        <v>474</v>
      </c>
      <c r="DB475" s="313">
        <f t="shared" si="492"/>
        <v>372.5218910421799</v>
      </c>
      <c r="DC475" s="309">
        <f t="shared" si="493"/>
        <v>1</v>
      </c>
      <c r="DD475" s="309">
        <f t="shared" si="494"/>
        <v>260</v>
      </c>
      <c r="DE475" s="308">
        <f t="shared" si="495"/>
        <v>6.5000000000000002E-2</v>
      </c>
      <c r="DF475" s="313">
        <f t="shared" si="510"/>
        <v>474</v>
      </c>
      <c r="DG475" s="313">
        <f t="shared" si="499"/>
        <v>260</v>
      </c>
      <c r="DH475" s="313">
        <f t="shared" si="500"/>
        <v>260</v>
      </c>
      <c r="DI475" s="313">
        <f t="shared" si="501"/>
        <v>0</v>
      </c>
      <c r="DJ475" s="313">
        <f t="shared" si="502"/>
        <v>0</v>
      </c>
      <c r="DK475" s="313">
        <f t="shared" si="511"/>
        <v>118324.51726962168</v>
      </c>
      <c r="DL475" s="313">
        <f t="shared" si="503"/>
        <v>32760</v>
      </c>
      <c r="DM475" s="314">
        <f t="shared" si="504"/>
        <v>18.90570280914724</v>
      </c>
      <c r="DN475" s="312">
        <f t="shared" si="505"/>
        <v>3.9885448964445652E-2</v>
      </c>
      <c r="DO475" s="312">
        <f t="shared" si="512"/>
        <v>1</v>
      </c>
      <c r="DP475" s="315">
        <f t="shared" si="496"/>
        <v>6.5000000000000002E-2</v>
      </c>
      <c r="DQ475" s="316">
        <f t="shared" si="506"/>
        <v>0.25</v>
      </c>
      <c r="DR475" s="316">
        <f t="shared" si="507"/>
        <v>122.32075452294252</v>
      </c>
      <c r="DS475" s="314">
        <f t="shared" si="508"/>
        <v>3.8750578497379724</v>
      </c>
      <c r="DT475" s="316">
        <f t="shared" si="509"/>
        <v>122.32075452294252</v>
      </c>
      <c r="DU475" s="314">
        <f t="shared" si="497"/>
        <v>3.8750578497379724</v>
      </c>
      <c r="DV475" s="316">
        <f t="shared" si="513"/>
        <v>31.5</v>
      </c>
      <c r="DW475" s="310">
        <f t="shared" si="498"/>
        <v>4.0317460317460316</v>
      </c>
      <c r="FB475" s="307"/>
      <c r="FC475" s="307"/>
      <c r="FF475" s="307"/>
      <c r="FG475" s="307"/>
      <c r="FH475" s="306"/>
      <c r="FJ475" s="307"/>
      <c r="FK475" s="307"/>
      <c r="FL475" s="306"/>
      <c r="FM475" s="307"/>
      <c r="FN475" s="306"/>
      <c r="FO475" s="307"/>
      <c r="FP475" s="306"/>
    </row>
    <row r="476" spans="29:172">
      <c r="AC476" s="156"/>
      <c r="AI476" s="190">
        <v>51</v>
      </c>
      <c r="AJ476" s="185">
        <v>451</v>
      </c>
      <c r="AK476" s="183">
        <f t="shared" si="486"/>
        <v>51</v>
      </c>
      <c r="AO476" s="182">
        <v>2.01E-2</v>
      </c>
      <c r="AP476" s="185">
        <v>451</v>
      </c>
      <c r="AQ476" s="184">
        <f t="shared" si="487"/>
        <v>2.01E-2</v>
      </c>
      <c r="AR476" s="190">
        <v>51</v>
      </c>
      <c r="AS476" s="185">
        <v>451</v>
      </c>
      <c r="AT476" s="183">
        <f t="shared" si="488"/>
        <v>51</v>
      </c>
      <c r="AX476" s="182">
        <v>2.01E-2</v>
      </c>
      <c r="AY476" s="185">
        <v>451</v>
      </c>
      <c r="AZ476" s="184">
        <f t="shared" si="489"/>
        <v>2.01E-2</v>
      </c>
      <c r="BA476" s="190">
        <v>51</v>
      </c>
      <c r="BB476" s="185">
        <v>451</v>
      </c>
      <c r="BC476" s="183">
        <f t="shared" si="490"/>
        <v>51</v>
      </c>
      <c r="BG476" s="182">
        <v>2.01E-2</v>
      </c>
      <c r="BH476" s="185">
        <v>451</v>
      </c>
      <c r="BI476" s="184">
        <f t="shared" si="491"/>
        <v>2.01E-2</v>
      </c>
      <c r="CW476" s="364"/>
      <c r="CX476" s="316"/>
      <c r="CY476" s="316"/>
      <c r="DA476" s="309">
        <v>475</v>
      </c>
      <c r="DB476" s="313">
        <f t="shared" si="492"/>
        <v>372.88586127644612</v>
      </c>
      <c r="DC476" s="309">
        <f t="shared" si="493"/>
        <v>1</v>
      </c>
      <c r="DD476" s="309">
        <f t="shared" si="494"/>
        <v>260</v>
      </c>
      <c r="DE476" s="308">
        <f t="shared" si="495"/>
        <v>6.5000000000000002E-2</v>
      </c>
      <c r="DF476" s="313">
        <f t="shared" si="510"/>
        <v>475</v>
      </c>
      <c r="DG476" s="313">
        <f t="shared" si="499"/>
        <v>260</v>
      </c>
      <c r="DH476" s="313">
        <f t="shared" si="500"/>
        <v>260</v>
      </c>
      <c r="DI476" s="313">
        <f t="shared" si="501"/>
        <v>0</v>
      </c>
      <c r="DJ476" s="313">
        <f t="shared" si="502"/>
        <v>0</v>
      </c>
      <c r="DK476" s="313">
        <f t="shared" si="511"/>
        <v>118584.51726962168</v>
      </c>
      <c r="DL476" s="313">
        <f t="shared" si="503"/>
        <v>32500</v>
      </c>
      <c r="DM476" s="314">
        <f t="shared" si="504"/>
        <v>18.90570280914724</v>
      </c>
      <c r="DN476" s="312">
        <f t="shared" si="505"/>
        <v>3.9801479598204716E-2</v>
      </c>
      <c r="DO476" s="312">
        <f t="shared" si="512"/>
        <v>1</v>
      </c>
      <c r="DP476" s="315">
        <f t="shared" si="496"/>
        <v>6.5000000000000002E-2</v>
      </c>
      <c r="DQ476" s="316">
        <f t="shared" si="506"/>
        <v>0.25</v>
      </c>
      <c r="DR476" s="316">
        <f t="shared" si="507"/>
        <v>122.57075452294252</v>
      </c>
      <c r="DS476" s="314">
        <f t="shared" si="508"/>
        <v>3.8753126865274421</v>
      </c>
      <c r="DT476" s="316">
        <f t="shared" si="509"/>
        <v>122.57075452294252</v>
      </c>
      <c r="DU476" s="314">
        <f t="shared" si="497"/>
        <v>3.8753126865274421</v>
      </c>
      <c r="DV476" s="316">
        <f t="shared" si="513"/>
        <v>31.25</v>
      </c>
      <c r="DW476" s="310">
        <f t="shared" si="498"/>
        <v>4.032</v>
      </c>
      <c r="FB476" s="307"/>
      <c r="FC476" s="307"/>
      <c r="FF476" s="307"/>
      <c r="FG476" s="307"/>
      <c r="FH476" s="306"/>
      <c r="FJ476" s="307"/>
      <c r="FK476" s="307"/>
      <c r="FL476" s="306"/>
      <c r="FM476" s="307"/>
      <c r="FN476" s="306"/>
      <c r="FO476" s="307"/>
      <c r="FP476" s="306"/>
    </row>
    <row r="477" spans="29:172">
      <c r="AC477" s="156"/>
      <c r="AI477" s="190">
        <v>50</v>
      </c>
      <c r="AJ477" s="185">
        <v>452</v>
      </c>
      <c r="AK477" s="183">
        <f t="shared" si="486"/>
        <v>50</v>
      </c>
      <c r="AO477" s="182">
        <v>0.02</v>
      </c>
      <c r="AP477" s="185">
        <v>452</v>
      </c>
      <c r="AQ477" s="184">
        <f t="shared" si="487"/>
        <v>0.02</v>
      </c>
      <c r="AR477" s="190">
        <v>50</v>
      </c>
      <c r="AS477" s="185">
        <v>452</v>
      </c>
      <c r="AT477" s="183">
        <f t="shared" si="488"/>
        <v>50</v>
      </c>
      <c r="AX477" s="182">
        <v>0.02</v>
      </c>
      <c r="AY477" s="185">
        <v>452</v>
      </c>
      <c r="AZ477" s="184">
        <f t="shared" si="489"/>
        <v>0.02</v>
      </c>
      <c r="BA477" s="190">
        <v>50</v>
      </c>
      <c r="BB477" s="185">
        <v>452</v>
      </c>
      <c r="BC477" s="183">
        <f t="shared" si="490"/>
        <v>50</v>
      </c>
      <c r="BG477" s="182">
        <v>0.02</v>
      </c>
      <c r="BH477" s="185">
        <v>452</v>
      </c>
      <c r="BI477" s="184">
        <f t="shared" si="491"/>
        <v>0.02</v>
      </c>
      <c r="CW477" s="364"/>
      <c r="CX477" s="316"/>
      <c r="CY477" s="316"/>
      <c r="DA477" s="309">
        <v>476</v>
      </c>
      <c r="DB477" s="313">
        <f t="shared" si="492"/>
        <v>373.24983151071228</v>
      </c>
      <c r="DC477" s="309">
        <f t="shared" si="493"/>
        <v>1</v>
      </c>
      <c r="DD477" s="309">
        <f t="shared" si="494"/>
        <v>260</v>
      </c>
      <c r="DE477" s="308">
        <f t="shared" si="495"/>
        <v>6.5000000000000002E-2</v>
      </c>
      <c r="DF477" s="313">
        <f t="shared" si="510"/>
        <v>476</v>
      </c>
      <c r="DG477" s="313">
        <f t="shared" si="499"/>
        <v>260</v>
      </c>
      <c r="DH477" s="313">
        <f t="shared" si="500"/>
        <v>260</v>
      </c>
      <c r="DI477" s="313">
        <f t="shared" si="501"/>
        <v>0</v>
      </c>
      <c r="DJ477" s="313">
        <f t="shared" si="502"/>
        <v>0</v>
      </c>
      <c r="DK477" s="313">
        <f t="shared" si="511"/>
        <v>118844.51726962168</v>
      </c>
      <c r="DL477" s="313">
        <f t="shared" si="503"/>
        <v>32240</v>
      </c>
      <c r="DM477" s="314">
        <f t="shared" si="504"/>
        <v>18.90570280914724</v>
      </c>
      <c r="DN477" s="312">
        <f t="shared" si="505"/>
        <v>3.9717863044426975E-2</v>
      </c>
      <c r="DO477" s="312">
        <f t="shared" si="512"/>
        <v>1</v>
      </c>
      <c r="DP477" s="315">
        <f t="shared" si="496"/>
        <v>6.5000000000000002E-2</v>
      </c>
      <c r="DQ477" s="316">
        <f t="shared" si="506"/>
        <v>0.25</v>
      </c>
      <c r="DR477" s="316">
        <f t="shared" si="507"/>
        <v>122.82075452294252</v>
      </c>
      <c r="DS477" s="314">
        <f t="shared" si="508"/>
        <v>3.8755664858831715</v>
      </c>
      <c r="DT477" s="316">
        <f t="shared" si="509"/>
        <v>122.82075452294252</v>
      </c>
      <c r="DU477" s="314">
        <f t="shared" si="497"/>
        <v>3.8755664858831715</v>
      </c>
      <c r="DV477" s="316">
        <f t="shared" si="513"/>
        <v>31</v>
      </c>
      <c r="DW477" s="310">
        <f t="shared" si="498"/>
        <v>4.032258064516129</v>
      </c>
      <c r="FB477" s="307"/>
      <c r="FC477" s="307"/>
      <c r="FF477" s="307"/>
      <c r="FG477" s="307"/>
      <c r="FH477" s="306"/>
      <c r="FJ477" s="307"/>
      <c r="FK477" s="307"/>
      <c r="FL477" s="306"/>
      <c r="FM477" s="307"/>
      <c r="FN477" s="306"/>
      <c r="FO477" s="307"/>
      <c r="FP477" s="306"/>
    </row>
    <row r="478" spans="29:172">
      <c r="AC478" s="156"/>
      <c r="AI478" s="190"/>
      <c r="AQ478" s="154"/>
      <c r="CW478" s="364"/>
      <c r="CX478" s="316"/>
      <c r="CY478" s="316"/>
      <c r="DA478" s="309">
        <v>477</v>
      </c>
      <c r="DB478" s="313">
        <f t="shared" si="492"/>
        <v>373.61380174497856</v>
      </c>
      <c r="DC478" s="309">
        <f t="shared" si="493"/>
        <v>1</v>
      </c>
      <c r="DD478" s="309">
        <f t="shared" si="494"/>
        <v>260</v>
      </c>
      <c r="DE478" s="308">
        <f t="shared" si="495"/>
        <v>6.5000000000000002E-2</v>
      </c>
      <c r="DF478" s="313">
        <f t="shared" si="510"/>
        <v>477</v>
      </c>
      <c r="DG478" s="313">
        <f t="shared" si="499"/>
        <v>260</v>
      </c>
      <c r="DH478" s="313">
        <f t="shared" si="500"/>
        <v>260</v>
      </c>
      <c r="DI478" s="313">
        <f t="shared" si="501"/>
        <v>0</v>
      </c>
      <c r="DJ478" s="313">
        <f t="shared" si="502"/>
        <v>0</v>
      </c>
      <c r="DK478" s="313">
        <f t="shared" si="511"/>
        <v>119104.51726962168</v>
      </c>
      <c r="DL478" s="313">
        <f t="shared" si="503"/>
        <v>31980</v>
      </c>
      <c r="DM478" s="314">
        <f t="shared" si="504"/>
        <v>18.90570280914724</v>
      </c>
      <c r="DN478" s="312">
        <f t="shared" si="505"/>
        <v>3.9634597084166119E-2</v>
      </c>
      <c r="DO478" s="312">
        <f t="shared" si="512"/>
        <v>1</v>
      </c>
      <c r="DP478" s="315">
        <f t="shared" si="496"/>
        <v>6.5000000000000002E-2</v>
      </c>
      <c r="DQ478" s="316">
        <f t="shared" si="506"/>
        <v>0.25</v>
      </c>
      <c r="DR478" s="316">
        <f t="shared" si="507"/>
        <v>123.07075452294252</v>
      </c>
      <c r="DS478" s="314">
        <f t="shared" si="508"/>
        <v>3.8758192541273395</v>
      </c>
      <c r="DT478" s="316">
        <f t="shared" si="509"/>
        <v>123.07075452294252</v>
      </c>
      <c r="DU478" s="314">
        <f t="shared" si="497"/>
        <v>3.8758192541273395</v>
      </c>
      <c r="DV478" s="316">
        <f t="shared" si="513"/>
        <v>30.75</v>
      </c>
      <c r="DW478" s="310">
        <f t="shared" si="498"/>
        <v>4.0325203252032518</v>
      </c>
      <c r="FB478" s="307"/>
      <c r="FC478" s="307"/>
      <c r="FF478" s="307"/>
      <c r="FG478" s="307"/>
      <c r="FH478" s="306"/>
      <c r="FJ478" s="307"/>
      <c r="FK478" s="307"/>
      <c r="FL478" s="306"/>
      <c r="FM478" s="307"/>
      <c r="FN478" s="306"/>
      <c r="FO478" s="307"/>
      <c r="FP478" s="306"/>
    </row>
    <row r="479" spans="29:172">
      <c r="AC479" s="156"/>
      <c r="AI479" s="190"/>
      <c r="AQ479" s="154"/>
      <c r="CW479" s="364"/>
      <c r="CX479" s="316"/>
      <c r="CY479" s="316"/>
      <c r="DA479" s="309">
        <v>478</v>
      </c>
      <c r="DB479" s="313">
        <f t="shared" si="492"/>
        <v>373.97777197924472</v>
      </c>
      <c r="DC479" s="309">
        <f t="shared" si="493"/>
        <v>1</v>
      </c>
      <c r="DD479" s="309">
        <f t="shared" si="494"/>
        <v>260</v>
      </c>
      <c r="DE479" s="308">
        <f t="shared" si="495"/>
        <v>6.5000000000000002E-2</v>
      </c>
      <c r="DF479" s="313">
        <f t="shared" si="510"/>
        <v>478</v>
      </c>
      <c r="DG479" s="313">
        <f t="shared" si="499"/>
        <v>260</v>
      </c>
      <c r="DH479" s="313">
        <f t="shared" si="500"/>
        <v>260</v>
      </c>
      <c r="DI479" s="313">
        <f t="shared" si="501"/>
        <v>0</v>
      </c>
      <c r="DJ479" s="313">
        <f t="shared" si="502"/>
        <v>0</v>
      </c>
      <c r="DK479" s="313">
        <f t="shared" si="511"/>
        <v>119364.51726962168</v>
      </c>
      <c r="DL479" s="313">
        <f t="shared" si="503"/>
        <v>31720</v>
      </c>
      <c r="DM479" s="314">
        <f t="shared" si="504"/>
        <v>18.90570280914724</v>
      </c>
      <c r="DN479" s="312">
        <f t="shared" si="505"/>
        <v>3.9551679517044434E-2</v>
      </c>
      <c r="DO479" s="312">
        <f t="shared" si="512"/>
        <v>1</v>
      </c>
      <c r="DP479" s="315">
        <f t="shared" si="496"/>
        <v>6.5000000000000002E-2</v>
      </c>
      <c r="DQ479" s="316">
        <f t="shared" si="506"/>
        <v>0.25</v>
      </c>
      <c r="DR479" s="316">
        <f t="shared" si="507"/>
        <v>123.32075452294252</v>
      </c>
      <c r="DS479" s="314">
        <f t="shared" si="508"/>
        <v>3.8760709975308587</v>
      </c>
      <c r="DT479" s="316">
        <f t="shared" si="509"/>
        <v>123.32075452294252</v>
      </c>
      <c r="DU479" s="314">
        <f t="shared" si="497"/>
        <v>3.8760709975308587</v>
      </c>
      <c r="DV479" s="316">
        <f t="shared" si="513"/>
        <v>30.5</v>
      </c>
      <c r="DW479" s="310">
        <f t="shared" si="498"/>
        <v>4.0327868852459012</v>
      </c>
      <c r="FB479" s="307"/>
      <c r="FC479" s="307"/>
      <c r="FF479" s="307"/>
      <c r="FG479" s="307"/>
      <c r="FH479" s="306"/>
      <c r="FJ479" s="307"/>
      <c r="FK479" s="307"/>
      <c r="FL479" s="306"/>
      <c r="FM479" s="307"/>
      <c r="FN479" s="306"/>
      <c r="FO479" s="307"/>
      <c r="FP479" s="306"/>
    </row>
    <row r="480" spans="29:172">
      <c r="AC480" s="156"/>
      <c r="AI480" s="190"/>
      <c r="AQ480" s="154"/>
      <c r="CW480" s="364"/>
      <c r="CX480" s="316"/>
      <c r="CY480" s="316"/>
      <c r="DA480" s="309">
        <v>479</v>
      </c>
      <c r="DB480" s="313">
        <f t="shared" si="492"/>
        <v>374.34174221351088</v>
      </c>
      <c r="DC480" s="309">
        <f t="shared" si="493"/>
        <v>1</v>
      </c>
      <c r="DD480" s="309">
        <f t="shared" si="494"/>
        <v>260</v>
      </c>
      <c r="DE480" s="308">
        <f t="shared" si="495"/>
        <v>6.5000000000000002E-2</v>
      </c>
      <c r="DF480" s="313">
        <f t="shared" si="510"/>
        <v>479</v>
      </c>
      <c r="DG480" s="313">
        <f t="shared" si="499"/>
        <v>260</v>
      </c>
      <c r="DH480" s="313">
        <f t="shared" si="500"/>
        <v>260</v>
      </c>
      <c r="DI480" s="313">
        <f t="shared" si="501"/>
        <v>0</v>
      </c>
      <c r="DJ480" s="313">
        <f t="shared" si="502"/>
        <v>0</v>
      </c>
      <c r="DK480" s="313">
        <f t="shared" si="511"/>
        <v>119624.51726962168</v>
      </c>
      <c r="DL480" s="313">
        <f t="shared" si="503"/>
        <v>31460</v>
      </c>
      <c r="DM480" s="314">
        <f t="shared" si="504"/>
        <v>18.90570280914724</v>
      </c>
      <c r="DN480" s="312">
        <f t="shared" si="505"/>
        <v>3.9469108161058954E-2</v>
      </c>
      <c r="DO480" s="312">
        <f t="shared" si="512"/>
        <v>1</v>
      </c>
      <c r="DP480" s="315">
        <f t="shared" si="496"/>
        <v>6.5000000000000002E-2</v>
      </c>
      <c r="DQ480" s="316">
        <f t="shared" si="506"/>
        <v>0.25</v>
      </c>
      <c r="DR480" s="316">
        <f t="shared" si="507"/>
        <v>123.57075452294252</v>
      </c>
      <c r="DS480" s="314">
        <f t="shared" si="508"/>
        <v>3.8763217223138944</v>
      </c>
      <c r="DT480" s="316">
        <f t="shared" si="509"/>
        <v>123.57075452294252</v>
      </c>
      <c r="DU480" s="314">
        <f t="shared" si="497"/>
        <v>3.8763217223138944</v>
      </c>
      <c r="DV480" s="316">
        <f t="shared" si="513"/>
        <v>30.25</v>
      </c>
      <c r="DW480" s="310">
        <f t="shared" si="498"/>
        <v>4.0330578512396693</v>
      </c>
      <c r="FB480" s="307"/>
      <c r="FC480" s="307"/>
      <c r="FF480" s="307"/>
      <c r="FG480" s="307"/>
      <c r="FH480" s="306"/>
      <c r="FJ480" s="307"/>
      <c r="FK480" s="307"/>
      <c r="FL480" s="306"/>
      <c r="FM480" s="307"/>
      <c r="FN480" s="306"/>
      <c r="FO480" s="307"/>
      <c r="FP480" s="306"/>
    </row>
    <row r="481" spans="29:172">
      <c r="AC481" s="156"/>
      <c r="AI481" s="190"/>
      <c r="AQ481" s="154"/>
      <c r="CW481" s="364"/>
      <c r="CX481" s="316"/>
      <c r="CY481" s="316"/>
      <c r="DA481" s="309">
        <v>480</v>
      </c>
      <c r="DB481" s="313">
        <f t="shared" si="492"/>
        <v>374.70571244777716</v>
      </c>
      <c r="DC481" s="309">
        <f t="shared" si="493"/>
        <v>1</v>
      </c>
      <c r="DD481" s="309">
        <f t="shared" si="494"/>
        <v>260</v>
      </c>
      <c r="DE481" s="308">
        <f t="shared" si="495"/>
        <v>6.5000000000000002E-2</v>
      </c>
      <c r="DF481" s="313">
        <f t="shared" si="510"/>
        <v>480</v>
      </c>
      <c r="DG481" s="313">
        <f t="shared" si="499"/>
        <v>260</v>
      </c>
      <c r="DH481" s="313">
        <f t="shared" si="500"/>
        <v>260</v>
      </c>
      <c r="DI481" s="313">
        <f t="shared" si="501"/>
        <v>0</v>
      </c>
      <c r="DJ481" s="313">
        <f t="shared" si="502"/>
        <v>0</v>
      </c>
      <c r="DK481" s="313">
        <f t="shared" si="511"/>
        <v>119884.51726962168</v>
      </c>
      <c r="DL481" s="313">
        <f t="shared" si="503"/>
        <v>31200</v>
      </c>
      <c r="DM481" s="314">
        <f t="shared" si="504"/>
        <v>18.90570280914724</v>
      </c>
      <c r="DN481" s="312">
        <f t="shared" si="505"/>
        <v>3.9386880852390081E-2</v>
      </c>
      <c r="DO481" s="312">
        <f t="shared" si="512"/>
        <v>1</v>
      </c>
      <c r="DP481" s="315">
        <f t="shared" si="496"/>
        <v>6.5000000000000002E-2</v>
      </c>
      <c r="DQ481" s="316">
        <f t="shared" si="506"/>
        <v>0.25</v>
      </c>
      <c r="DR481" s="316">
        <f t="shared" si="507"/>
        <v>123.82075452294252</v>
      </c>
      <c r="DS481" s="314">
        <f t="shared" si="508"/>
        <v>3.8765714346463755</v>
      </c>
      <c r="DT481" s="316">
        <f t="shared" si="509"/>
        <v>123.82075452294252</v>
      </c>
      <c r="DU481" s="314">
        <f t="shared" si="497"/>
        <v>3.8765714346463755</v>
      </c>
      <c r="DV481" s="316">
        <f t="shared" si="513"/>
        <v>30</v>
      </c>
      <c r="DW481" s="310">
        <f t="shared" si="498"/>
        <v>4.0333333333333332</v>
      </c>
      <c r="FB481" s="307"/>
      <c r="FC481" s="307"/>
      <c r="FF481" s="307"/>
      <c r="FG481" s="307"/>
      <c r="FH481" s="306"/>
      <c r="FJ481" s="307"/>
      <c r="FK481" s="307"/>
      <c r="FL481" s="306"/>
      <c r="FM481" s="307"/>
      <c r="FN481" s="306"/>
      <c r="FO481" s="307"/>
      <c r="FP481" s="306"/>
    </row>
    <row r="482" spans="29:172">
      <c r="AC482" s="156"/>
      <c r="AI482" s="190"/>
      <c r="AQ482" s="154"/>
      <c r="CW482" s="364"/>
      <c r="CX482" s="316"/>
      <c r="CY482" s="316"/>
      <c r="DA482" s="309">
        <v>481</v>
      </c>
      <c r="DB482" s="313">
        <f t="shared" si="492"/>
        <v>375.06968268204332</v>
      </c>
      <c r="DC482" s="309">
        <f t="shared" si="493"/>
        <v>1</v>
      </c>
      <c r="DD482" s="309">
        <f t="shared" si="494"/>
        <v>260</v>
      </c>
      <c r="DE482" s="308">
        <f t="shared" si="495"/>
        <v>6.5000000000000002E-2</v>
      </c>
      <c r="DF482" s="313">
        <f t="shared" si="510"/>
        <v>481</v>
      </c>
      <c r="DG482" s="313">
        <f t="shared" si="499"/>
        <v>260</v>
      </c>
      <c r="DH482" s="313">
        <f t="shared" si="500"/>
        <v>260</v>
      </c>
      <c r="DI482" s="313">
        <f t="shared" si="501"/>
        <v>0</v>
      </c>
      <c r="DJ482" s="313">
        <f t="shared" si="502"/>
        <v>0</v>
      </c>
      <c r="DK482" s="313">
        <f t="shared" si="511"/>
        <v>120144.51726962168</v>
      </c>
      <c r="DL482" s="313">
        <f t="shared" si="503"/>
        <v>30940</v>
      </c>
      <c r="DM482" s="314">
        <f t="shared" si="504"/>
        <v>18.90570280914724</v>
      </c>
      <c r="DN482" s="312">
        <f t="shared" si="505"/>
        <v>3.9304995445212557E-2</v>
      </c>
      <c r="DO482" s="312">
        <f t="shared" si="512"/>
        <v>1</v>
      </c>
      <c r="DP482" s="315">
        <f t="shared" si="496"/>
        <v>6.5000000000000002E-2</v>
      </c>
      <c r="DQ482" s="316">
        <f t="shared" si="506"/>
        <v>0.25</v>
      </c>
      <c r="DR482" s="316">
        <f t="shared" si="507"/>
        <v>124.07075452294252</v>
      </c>
      <c r="DS482" s="314">
        <f t="shared" si="508"/>
        <v>3.8768201406485034</v>
      </c>
      <c r="DT482" s="316">
        <f t="shared" si="509"/>
        <v>124.07075452294252</v>
      </c>
      <c r="DU482" s="314">
        <f t="shared" si="497"/>
        <v>3.8768201406485034</v>
      </c>
      <c r="DV482" s="316">
        <f t="shared" si="513"/>
        <v>29.75</v>
      </c>
      <c r="DW482" s="310">
        <f t="shared" si="498"/>
        <v>4.0336134453781511</v>
      </c>
      <c r="FB482" s="307"/>
      <c r="FC482" s="307"/>
      <c r="FF482" s="307"/>
      <c r="FG482" s="307"/>
      <c r="FH482" s="306"/>
      <c r="FJ482" s="307"/>
      <c r="FK482" s="307"/>
      <c r="FL482" s="306"/>
      <c r="FM482" s="307"/>
      <c r="FN482" s="306"/>
      <c r="FO482" s="307"/>
      <c r="FP482" s="306"/>
    </row>
    <row r="483" spans="29:172">
      <c r="AC483" s="156"/>
      <c r="AI483" s="190"/>
      <c r="AQ483" s="154"/>
      <c r="CW483" s="364"/>
      <c r="CX483" s="316"/>
      <c r="CY483" s="316"/>
      <c r="DA483" s="309">
        <v>482</v>
      </c>
      <c r="DB483" s="313">
        <f t="shared" si="492"/>
        <v>375.43365291630954</v>
      </c>
      <c r="DC483" s="309">
        <f t="shared" si="493"/>
        <v>1</v>
      </c>
      <c r="DD483" s="309">
        <f t="shared" si="494"/>
        <v>260</v>
      </c>
      <c r="DE483" s="308">
        <f t="shared" si="495"/>
        <v>6.5000000000000002E-2</v>
      </c>
      <c r="DF483" s="313">
        <f t="shared" si="510"/>
        <v>482</v>
      </c>
      <c r="DG483" s="313">
        <f t="shared" si="499"/>
        <v>260</v>
      </c>
      <c r="DH483" s="313">
        <f t="shared" si="500"/>
        <v>260</v>
      </c>
      <c r="DI483" s="313">
        <f t="shared" si="501"/>
        <v>0</v>
      </c>
      <c r="DJ483" s="313">
        <f t="shared" si="502"/>
        <v>0</v>
      </c>
      <c r="DK483" s="313">
        <f t="shared" si="511"/>
        <v>120404.51726962168</v>
      </c>
      <c r="DL483" s="313">
        <f t="shared" si="503"/>
        <v>30680</v>
      </c>
      <c r="DM483" s="314">
        <f t="shared" si="504"/>
        <v>18.90570280914724</v>
      </c>
      <c r="DN483" s="312">
        <f t="shared" si="505"/>
        <v>3.9223449811508798E-2</v>
      </c>
      <c r="DO483" s="312">
        <f t="shared" si="512"/>
        <v>1</v>
      </c>
      <c r="DP483" s="315">
        <f t="shared" si="496"/>
        <v>6.5000000000000002E-2</v>
      </c>
      <c r="DQ483" s="316">
        <f t="shared" si="506"/>
        <v>0.25</v>
      </c>
      <c r="DR483" s="316">
        <f t="shared" si="507"/>
        <v>124.32075452294252</v>
      </c>
      <c r="DS483" s="314">
        <f t="shared" si="508"/>
        <v>3.8770678463912498</v>
      </c>
      <c r="DT483" s="316">
        <f t="shared" si="509"/>
        <v>124.32075452294252</v>
      </c>
      <c r="DU483" s="314">
        <f t="shared" si="497"/>
        <v>3.8770678463912498</v>
      </c>
      <c r="DV483" s="316">
        <f t="shared" si="513"/>
        <v>29.5</v>
      </c>
      <c r="DW483" s="310">
        <f t="shared" si="498"/>
        <v>4.0338983050847457</v>
      </c>
      <c r="FB483" s="307"/>
      <c r="FC483" s="307"/>
      <c r="FF483" s="307"/>
      <c r="FG483" s="307"/>
      <c r="FH483" s="306"/>
      <c r="FJ483" s="307"/>
      <c r="FK483" s="307"/>
      <c r="FL483" s="306"/>
      <c r="FM483" s="307"/>
      <c r="FN483" s="306"/>
      <c r="FO483" s="307"/>
      <c r="FP483" s="306"/>
    </row>
    <row r="484" spans="29:172">
      <c r="AC484" s="156"/>
      <c r="AI484" s="190"/>
      <c r="AQ484" s="154"/>
      <c r="CW484" s="364"/>
      <c r="CX484" s="316"/>
      <c r="CY484" s="316"/>
      <c r="DA484" s="309">
        <v>483</v>
      </c>
      <c r="DB484" s="313">
        <f t="shared" si="492"/>
        <v>375.79762315057576</v>
      </c>
      <c r="DC484" s="309">
        <f t="shared" si="493"/>
        <v>1</v>
      </c>
      <c r="DD484" s="309">
        <f t="shared" si="494"/>
        <v>260</v>
      </c>
      <c r="DE484" s="308">
        <f t="shared" si="495"/>
        <v>6.5000000000000002E-2</v>
      </c>
      <c r="DF484" s="313">
        <f t="shared" si="510"/>
        <v>483</v>
      </c>
      <c r="DG484" s="313">
        <f t="shared" si="499"/>
        <v>260</v>
      </c>
      <c r="DH484" s="313">
        <f t="shared" si="500"/>
        <v>260</v>
      </c>
      <c r="DI484" s="313">
        <f t="shared" si="501"/>
        <v>0</v>
      </c>
      <c r="DJ484" s="313">
        <f t="shared" si="502"/>
        <v>0</v>
      </c>
      <c r="DK484" s="313">
        <f t="shared" si="511"/>
        <v>120664.51726962168</v>
      </c>
      <c r="DL484" s="313">
        <f t="shared" si="503"/>
        <v>30420</v>
      </c>
      <c r="DM484" s="314">
        <f t="shared" si="504"/>
        <v>18.90570280914724</v>
      </c>
      <c r="DN484" s="312">
        <f t="shared" si="505"/>
        <v>3.9142241840884551E-2</v>
      </c>
      <c r="DO484" s="312">
        <f t="shared" si="512"/>
        <v>1</v>
      </c>
      <c r="DP484" s="315">
        <f t="shared" si="496"/>
        <v>6.5000000000000002E-2</v>
      </c>
      <c r="DQ484" s="316">
        <f t="shared" si="506"/>
        <v>0.25</v>
      </c>
      <c r="DR484" s="316">
        <f t="shared" si="507"/>
        <v>124.57075452294252</v>
      </c>
      <c r="DS484" s="314">
        <f t="shared" si="508"/>
        <v>3.8773145578968506</v>
      </c>
      <c r="DT484" s="316">
        <f t="shared" si="509"/>
        <v>124.57075452294252</v>
      </c>
      <c r="DU484" s="314">
        <f t="shared" si="497"/>
        <v>3.8773145578968506</v>
      </c>
      <c r="DV484" s="316">
        <f t="shared" si="513"/>
        <v>29.25</v>
      </c>
      <c r="DW484" s="310">
        <f t="shared" si="498"/>
        <v>4.0341880341880341</v>
      </c>
      <c r="FB484" s="307"/>
      <c r="FC484" s="307"/>
      <c r="FF484" s="307"/>
      <c r="FG484" s="307"/>
      <c r="FH484" s="306"/>
      <c r="FJ484" s="307"/>
      <c r="FK484" s="307"/>
      <c r="FL484" s="306"/>
      <c r="FM484" s="307"/>
      <c r="FN484" s="306"/>
      <c r="FO484" s="307"/>
      <c r="FP484" s="306"/>
    </row>
    <row r="485" spans="29:172">
      <c r="AC485" s="156"/>
      <c r="AI485" s="190"/>
      <c r="AQ485" s="154"/>
      <c r="CW485" s="364"/>
      <c r="CX485" s="316"/>
      <c r="CY485" s="316"/>
      <c r="DA485" s="309">
        <v>484</v>
      </c>
      <c r="DB485" s="313">
        <f t="shared" si="492"/>
        <v>376.16159338484192</v>
      </c>
      <c r="DC485" s="309">
        <f t="shared" si="493"/>
        <v>1</v>
      </c>
      <c r="DD485" s="309">
        <f t="shared" si="494"/>
        <v>260</v>
      </c>
      <c r="DE485" s="308">
        <f t="shared" si="495"/>
        <v>6.5000000000000002E-2</v>
      </c>
      <c r="DF485" s="313">
        <f t="shared" si="510"/>
        <v>484</v>
      </c>
      <c r="DG485" s="313">
        <f t="shared" si="499"/>
        <v>260</v>
      </c>
      <c r="DH485" s="313">
        <f t="shared" si="500"/>
        <v>260</v>
      </c>
      <c r="DI485" s="313">
        <f t="shared" si="501"/>
        <v>0</v>
      </c>
      <c r="DJ485" s="313">
        <f t="shared" si="502"/>
        <v>0</v>
      </c>
      <c r="DK485" s="313">
        <f t="shared" si="511"/>
        <v>120924.51726962168</v>
      </c>
      <c r="DL485" s="313">
        <f t="shared" si="503"/>
        <v>30160</v>
      </c>
      <c r="DM485" s="314">
        <f t="shared" si="504"/>
        <v>18.90570280914724</v>
      </c>
      <c r="DN485" s="312">
        <f t="shared" si="505"/>
        <v>3.9061369440386857E-2</v>
      </c>
      <c r="DO485" s="312">
        <f t="shared" si="512"/>
        <v>1</v>
      </c>
      <c r="DP485" s="315">
        <f t="shared" si="496"/>
        <v>6.5000000000000002E-2</v>
      </c>
      <c r="DQ485" s="316">
        <f t="shared" si="506"/>
        <v>0.25</v>
      </c>
      <c r="DR485" s="316">
        <f t="shared" si="507"/>
        <v>124.82075452294252</v>
      </c>
      <c r="DS485" s="314">
        <f t="shared" si="508"/>
        <v>3.8775602811392957</v>
      </c>
      <c r="DT485" s="316">
        <f t="shared" si="509"/>
        <v>124.82075452294252</v>
      </c>
      <c r="DU485" s="314">
        <f t="shared" si="497"/>
        <v>3.8775602811392957</v>
      </c>
      <c r="DV485" s="316">
        <f t="shared" si="513"/>
        <v>29</v>
      </c>
      <c r="DW485" s="310">
        <f t="shared" si="498"/>
        <v>4.0344827586206895</v>
      </c>
      <c r="FB485" s="307"/>
      <c r="FC485" s="307"/>
      <c r="FF485" s="307"/>
      <c r="FG485" s="307"/>
      <c r="FH485" s="306"/>
      <c r="FJ485" s="307"/>
      <c r="FK485" s="307"/>
      <c r="FL485" s="306"/>
      <c r="FM485" s="307"/>
      <c r="FN485" s="306"/>
      <c r="FO485" s="307"/>
      <c r="FP485" s="306"/>
    </row>
    <row r="486" spans="29:172">
      <c r="AC486" s="156"/>
      <c r="AI486" s="190"/>
      <c r="AQ486" s="154"/>
      <c r="CW486" s="364"/>
      <c r="CX486" s="316"/>
      <c r="CY486" s="316"/>
      <c r="DA486" s="309">
        <v>485</v>
      </c>
      <c r="DB486" s="313">
        <f t="shared" si="492"/>
        <v>376.52556361910814</v>
      </c>
      <c r="DC486" s="309">
        <f t="shared" si="493"/>
        <v>1</v>
      </c>
      <c r="DD486" s="309">
        <f t="shared" si="494"/>
        <v>260</v>
      </c>
      <c r="DE486" s="308">
        <f t="shared" si="495"/>
        <v>6.5000000000000002E-2</v>
      </c>
      <c r="DF486" s="313">
        <f t="shared" si="510"/>
        <v>485</v>
      </c>
      <c r="DG486" s="313">
        <f t="shared" si="499"/>
        <v>260</v>
      </c>
      <c r="DH486" s="313">
        <f t="shared" si="500"/>
        <v>260</v>
      </c>
      <c r="DI486" s="313">
        <f t="shared" si="501"/>
        <v>0</v>
      </c>
      <c r="DJ486" s="313">
        <f t="shared" si="502"/>
        <v>0</v>
      </c>
      <c r="DK486" s="313">
        <f t="shared" si="511"/>
        <v>121184.51726962168</v>
      </c>
      <c r="DL486" s="313">
        <f t="shared" si="503"/>
        <v>29900</v>
      </c>
      <c r="DM486" s="314">
        <f t="shared" si="504"/>
        <v>18.90570280914724</v>
      </c>
      <c r="DN486" s="312">
        <f t="shared" si="505"/>
        <v>3.8980830534324204E-2</v>
      </c>
      <c r="DO486" s="312">
        <f t="shared" si="512"/>
        <v>1</v>
      </c>
      <c r="DP486" s="315">
        <f t="shared" si="496"/>
        <v>6.5000000000000002E-2</v>
      </c>
      <c r="DQ486" s="316">
        <f t="shared" si="506"/>
        <v>0.25</v>
      </c>
      <c r="DR486" s="316">
        <f t="shared" si="507"/>
        <v>125.07075452294252</v>
      </c>
      <c r="DS486" s="314">
        <f t="shared" si="508"/>
        <v>3.877805022044809</v>
      </c>
      <c r="DT486" s="316">
        <f t="shared" si="509"/>
        <v>125.07075452294252</v>
      </c>
      <c r="DU486" s="314">
        <f t="shared" si="497"/>
        <v>3.877805022044809</v>
      </c>
      <c r="DV486" s="316">
        <f t="shared" si="513"/>
        <v>28.75</v>
      </c>
      <c r="DW486" s="310">
        <f t="shared" si="498"/>
        <v>4.034782608695652</v>
      </c>
      <c r="FB486" s="307"/>
      <c r="FC486" s="307"/>
      <c r="FF486" s="307"/>
      <c r="FG486" s="307"/>
      <c r="FH486" s="306"/>
      <c r="FJ486" s="307"/>
      <c r="FK486" s="307"/>
      <c r="FL486" s="306"/>
      <c r="FM486" s="307"/>
      <c r="FN486" s="306"/>
      <c r="FO486" s="307"/>
      <c r="FP486" s="306"/>
    </row>
    <row r="487" spans="29:172">
      <c r="AC487" s="156"/>
      <c r="AI487" s="190"/>
      <c r="AQ487" s="154"/>
      <c r="CW487" s="364"/>
      <c r="CX487" s="316"/>
      <c r="CY487" s="316"/>
      <c r="DA487" s="309">
        <v>486</v>
      </c>
      <c r="DB487" s="313">
        <f t="shared" si="492"/>
        <v>376.88953385337436</v>
      </c>
      <c r="DC487" s="309">
        <f t="shared" si="493"/>
        <v>1</v>
      </c>
      <c r="DD487" s="309">
        <f t="shared" si="494"/>
        <v>260</v>
      </c>
      <c r="DE487" s="308">
        <f t="shared" si="495"/>
        <v>6.5000000000000002E-2</v>
      </c>
      <c r="DF487" s="313">
        <f t="shared" si="510"/>
        <v>486</v>
      </c>
      <c r="DG487" s="313">
        <f t="shared" si="499"/>
        <v>260</v>
      </c>
      <c r="DH487" s="313">
        <f t="shared" si="500"/>
        <v>260</v>
      </c>
      <c r="DI487" s="313">
        <f t="shared" si="501"/>
        <v>0</v>
      </c>
      <c r="DJ487" s="313">
        <f t="shared" si="502"/>
        <v>0</v>
      </c>
      <c r="DK487" s="313">
        <f t="shared" si="511"/>
        <v>121444.51726962168</v>
      </c>
      <c r="DL487" s="313">
        <f t="shared" si="503"/>
        <v>29640</v>
      </c>
      <c r="DM487" s="314">
        <f t="shared" si="504"/>
        <v>18.90570280914724</v>
      </c>
      <c r="DN487" s="312">
        <f t="shared" si="505"/>
        <v>3.8900623064088972E-2</v>
      </c>
      <c r="DO487" s="312">
        <f t="shared" si="512"/>
        <v>1</v>
      </c>
      <c r="DP487" s="315">
        <f t="shared" si="496"/>
        <v>6.5000000000000002E-2</v>
      </c>
      <c r="DQ487" s="316">
        <f t="shared" si="506"/>
        <v>0.25</v>
      </c>
      <c r="DR487" s="316">
        <f t="shared" si="507"/>
        <v>125.32075452294252</v>
      </c>
      <c r="DS487" s="314">
        <f t="shared" si="508"/>
        <v>3.8780487864923265</v>
      </c>
      <c r="DT487" s="316">
        <f t="shared" si="509"/>
        <v>125.32075452294252</v>
      </c>
      <c r="DU487" s="314">
        <f t="shared" si="497"/>
        <v>3.8780487864923265</v>
      </c>
      <c r="DV487" s="316">
        <f t="shared" si="513"/>
        <v>28.5</v>
      </c>
      <c r="DW487" s="310">
        <f t="shared" si="498"/>
        <v>4.0350877192982457</v>
      </c>
      <c r="FB487" s="307"/>
      <c r="FC487" s="307"/>
      <c r="FF487" s="307"/>
      <c r="FG487" s="307"/>
      <c r="FH487" s="306"/>
      <c r="FJ487" s="307"/>
      <c r="FK487" s="307"/>
      <c r="FL487" s="306"/>
      <c r="FM487" s="307"/>
      <c r="FN487" s="306"/>
      <c r="FO487" s="307"/>
      <c r="FP487" s="306"/>
    </row>
    <row r="488" spans="29:172">
      <c r="AC488" s="156"/>
      <c r="AQ488" s="154"/>
      <c r="CW488" s="364"/>
      <c r="CX488" s="316"/>
      <c r="CY488" s="316"/>
      <c r="DA488" s="309">
        <v>487</v>
      </c>
      <c r="DB488" s="313">
        <f t="shared" si="492"/>
        <v>377.25350408764052</v>
      </c>
      <c r="DC488" s="309">
        <f t="shared" si="493"/>
        <v>1</v>
      </c>
      <c r="DD488" s="309">
        <f t="shared" si="494"/>
        <v>260</v>
      </c>
      <c r="DE488" s="308">
        <f t="shared" si="495"/>
        <v>6.5000000000000002E-2</v>
      </c>
      <c r="DF488" s="313">
        <f t="shared" si="510"/>
        <v>487</v>
      </c>
      <c r="DG488" s="313">
        <f t="shared" si="499"/>
        <v>260</v>
      </c>
      <c r="DH488" s="313">
        <f t="shared" si="500"/>
        <v>260</v>
      </c>
      <c r="DI488" s="313">
        <f t="shared" si="501"/>
        <v>0</v>
      </c>
      <c r="DJ488" s="313">
        <f t="shared" si="502"/>
        <v>0</v>
      </c>
      <c r="DK488" s="313">
        <f t="shared" si="511"/>
        <v>121704.51726962168</v>
      </c>
      <c r="DL488" s="313">
        <f t="shared" si="503"/>
        <v>29380</v>
      </c>
      <c r="DM488" s="314">
        <f t="shared" si="504"/>
        <v>18.90570280914724</v>
      </c>
      <c r="DN488" s="312">
        <f t="shared" si="505"/>
        <v>3.8820744987982013E-2</v>
      </c>
      <c r="DO488" s="312">
        <f t="shared" si="512"/>
        <v>1</v>
      </c>
      <c r="DP488" s="315">
        <f t="shared" si="496"/>
        <v>6.5000000000000002E-2</v>
      </c>
      <c r="DQ488" s="316">
        <f t="shared" si="506"/>
        <v>0.25</v>
      </c>
      <c r="DR488" s="316">
        <f t="shared" si="507"/>
        <v>125.57075452294252</v>
      </c>
      <c r="DS488" s="314">
        <f t="shared" si="508"/>
        <v>3.878291580313967</v>
      </c>
      <c r="DT488" s="316">
        <f t="shared" si="509"/>
        <v>125.57075452294252</v>
      </c>
      <c r="DU488" s="314">
        <f t="shared" si="497"/>
        <v>3.878291580313967</v>
      </c>
      <c r="DV488" s="316">
        <f t="shared" si="513"/>
        <v>28.25</v>
      </c>
      <c r="DW488" s="310">
        <f t="shared" si="498"/>
        <v>4.0353982300884956</v>
      </c>
      <c r="FB488" s="307"/>
      <c r="FC488" s="307"/>
      <c r="FF488" s="307"/>
      <c r="FG488" s="307"/>
      <c r="FH488" s="306"/>
      <c r="FJ488" s="307"/>
      <c r="FK488" s="307"/>
      <c r="FL488" s="306"/>
      <c r="FM488" s="307"/>
      <c r="FN488" s="306"/>
      <c r="FO488" s="307"/>
      <c r="FP488" s="306"/>
    </row>
    <row r="489" spans="29:172">
      <c r="AC489" s="156"/>
      <c r="AQ489" s="154"/>
      <c r="CW489" s="364"/>
      <c r="CX489" s="316"/>
      <c r="CY489" s="316"/>
      <c r="DA489" s="309">
        <v>488</v>
      </c>
      <c r="DB489" s="313">
        <f t="shared" si="492"/>
        <v>377.61747432190674</v>
      </c>
      <c r="DC489" s="309">
        <f t="shared" si="493"/>
        <v>1</v>
      </c>
      <c r="DD489" s="309">
        <f t="shared" si="494"/>
        <v>260</v>
      </c>
      <c r="DE489" s="308">
        <f t="shared" si="495"/>
        <v>6.5000000000000002E-2</v>
      </c>
      <c r="DF489" s="313">
        <f t="shared" si="510"/>
        <v>488</v>
      </c>
      <c r="DG489" s="313">
        <f t="shared" si="499"/>
        <v>260</v>
      </c>
      <c r="DH489" s="313">
        <f t="shared" si="500"/>
        <v>260</v>
      </c>
      <c r="DI489" s="313">
        <f t="shared" si="501"/>
        <v>0</v>
      </c>
      <c r="DJ489" s="313">
        <f t="shared" si="502"/>
        <v>0</v>
      </c>
      <c r="DK489" s="313">
        <f t="shared" si="511"/>
        <v>121964.51726962168</v>
      </c>
      <c r="DL489" s="313">
        <f t="shared" si="503"/>
        <v>29120</v>
      </c>
      <c r="DM489" s="314">
        <f t="shared" si="504"/>
        <v>18.90570280914724</v>
      </c>
      <c r="DN489" s="312">
        <f t="shared" si="505"/>
        <v>3.8741194281039427E-2</v>
      </c>
      <c r="DO489" s="312">
        <f t="shared" si="512"/>
        <v>1</v>
      </c>
      <c r="DP489" s="315">
        <f t="shared" si="496"/>
        <v>6.5000000000000002E-2</v>
      </c>
      <c r="DQ489" s="316">
        <f t="shared" si="506"/>
        <v>0.25</v>
      </c>
      <c r="DR489" s="316">
        <f t="shared" si="507"/>
        <v>125.82075452294252</v>
      </c>
      <c r="DS489" s="314">
        <f t="shared" si="508"/>
        <v>3.8785334092954962</v>
      </c>
      <c r="DT489" s="316">
        <f t="shared" si="509"/>
        <v>125.82075452294252</v>
      </c>
      <c r="DU489" s="314">
        <f t="shared" si="497"/>
        <v>3.8785334092954962</v>
      </c>
      <c r="DV489" s="316">
        <f t="shared" si="513"/>
        <v>28</v>
      </c>
      <c r="DW489" s="310">
        <f t="shared" si="498"/>
        <v>4.0357142857142856</v>
      </c>
      <c r="FB489" s="307"/>
      <c r="FC489" s="307"/>
      <c r="FF489" s="307"/>
      <c r="FG489" s="307"/>
      <c r="FH489" s="306"/>
      <c r="FJ489" s="307"/>
      <c r="FK489" s="307"/>
      <c r="FL489" s="306"/>
      <c r="FM489" s="307"/>
      <c r="FN489" s="306"/>
      <c r="FO489" s="307"/>
      <c r="FP489" s="306"/>
    </row>
    <row r="490" spans="29:172">
      <c r="AC490" s="156"/>
      <c r="AQ490" s="154"/>
      <c r="CW490" s="364"/>
      <c r="CX490" s="316"/>
      <c r="CY490" s="316"/>
      <c r="DA490" s="309">
        <v>489</v>
      </c>
      <c r="DB490" s="313">
        <f t="shared" si="492"/>
        <v>377.98144455617296</v>
      </c>
      <c r="DC490" s="309">
        <f t="shared" si="493"/>
        <v>1</v>
      </c>
      <c r="DD490" s="309">
        <f t="shared" si="494"/>
        <v>260</v>
      </c>
      <c r="DE490" s="308">
        <f t="shared" si="495"/>
        <v>6.5000000000000002E-2</v>
      </c>
      <c r="DF490" s="313">
        <f t="shared" si="510"/>
        <v>489</v>
      </c>
      <c r="DG490" s="313">
        <f t="shared" si="499"/>
        <v>260</v>
      </c>
      <c r="DH490" s="313">
        <f t="shared" si="500"/>
        <v>260</v>
      </c>
      <c r="DI490" s="313">
        <f t="shared" si="501"/>
        <v>0</v>
      </c>
      <c r="DJ490" s="313">
        <f t="shared" si="502"/>
        <v>0</v>
      </c>
      <c r="DK490" s="313">
        <f t="shared" si="511"/>
        <v>122224.51726962168</v>
      </c>
      <c r="DL490" s="313">
        <f t="shared" si="503"/>
        <v>28860</v>
      </c>
      <c r="DM490" s="314">
        <f t="shared" si="504"/>
        <v>18.90570280914724</v>
      </c>
      <c r="DN490" s="312">
        <f t="shared" si="505"/>
        <v>3.8661968934861429E-2</v>
      </c>
      <c r="DO490" s="312">
        <f t="shared" si="512"/>
        <v>1</v>
      </c>
      <c r="DP490" s="315">
        <f t="shared" si="496"/>
        <v>6.5000000000000002E-2</v>
      </c>
      <c r="DQ490" s="316">
        <f t="shared" si="506"/>
        <v>0.25</v>
      </c>
      <c r="DR490" s="316">
        <f t="shared" si="507"/>
        <v>126.07075452294252</v>
      </c>
      <c r="DS490" s="314">
        <f t="shared" si="508"/>
        <v>3.8787742791767865</v>
      </c>
      <c r="DT490" s="316">
        <f t="shared" si="509"/>
        <v>126.07075452294252</v>
      </c>
      <c r="DU490" s="314">
        <f t="shared" si="497"/>
        <v>3.8787742791767865</v>
      </c>
      <c r="DV490" s="316">
        <f t="shared" si="513"/>
        <v>27.75</v>
      </c>
      <c r="DW490" s="310">
        <f t="shared" si="498"/>
        <v>4.0360360360360357</v>
      </c>
      <c r="FB490" s="307"/>
      <c r="FC490" s="307"/>
      <c r="FF490" s="307"/>
      <c r="FG490" s="307"/>
      <c r="FH490" s="306"/>
      <c r="FJ490" s="307"/>
      <c r="FK490" s="307"/>
      <c r="FL490" s="306"/>
      <c r="FM490" s="307"/>
      <c r="FN490" s="306"/>
      <c r="FO490" s="307"/>
      <c r="FP490" s="306"/>
    </row>
    <row r="491" spans="29:172">
      <c r="AC491" s="156"/>
      <c r="AQ491" s="154"/>
      <c r="CW491" s="364"/>
      <c r="CX491" s="316"/>
      <c r="CY491" s="316"/>
      <c r="DA491" s="309">
        <v>490</v>
      </c>
      <c r="DB491" s="313">
        <f t="shared" si="492"/>
        <v>378.34541479043912</v>
      </c>
      <c r="DC491" s="309">
        <f t="shared" si="493"/>
        <v>1</v>
      </c>
      <c r="DD491" s="309">
        <f t="shared" si="494"/>
        <v>260</v>
      </c>
      <c r="DE491" s="308">
        <f t="shared" si="495"/>
        <v>6.5000000000000002E-2</v>
      </c>
      <c r="DF491" s="313">
        <f t="shared" si="510"/>
        <v>490</v>
      </c>
      <c r="DG491" s="313">
        <f t="shared" si="499"/>
        <v>260</v>
      </c>
      <c r="DH491" s="313">
        <f t="shared" si="500"/>
        <v>260</v>
      </c>
      <c r="DI491" s="313">
        <f t="shared" si="501"/>
        <v>0</v>
      </c>
      <c r="DJ491" s="313">
        <f t="shared" si="502"/>
        <v>0</v>
      </c>
      <c r="DK491" s="313">
        <f t="shared" si="511"/>
        <v>122484.51726962168</v>
      </c>
      <c r="DL491" s="313">
        <f t="shared" si="503"/>
        <v>28600</v>
      </c>
      <c r="DM491" s="314">
        <f t="shared" si="504"/>
        <v>18.90570280914724</v>
      </c>
      <c r="DN491" s="312">
        <f t="shared" si="505"/>
        <v>3.8583066957443346E-2</v>
      </c>
      <c r="DO491" s="312">
        <f t="shared" si="512"/>
        <v>1</v>
      </c>
      <c r="DP491" s="315">
        <f t="shared" si="496"/>
        <v>6.5000000000000002E-2</v>
      </c>
      <c r="DQ491" s="316">
        <f t="shared" si="506"/>
        <v>0.25</v>
      </c>
      <c r="DR491" s="316">
        <f t="shared" si="507"/>
        <v>126.32075452294252</v>
      </c>
      <c r="DS491" s="314">
        <f t="shared" si="508"/>
        <v>3.8790141956522719</v>
      </c>
      <c r="DT491" s="316">
        <f t="shared" si="509"/>
        <v>126.32075452294252</v>
      </c>
      <c r="DU491" s="314">
        <f t="shared" si="497"/>
        <v>3.8790141956522719</v>
      </c>
      <c r="DV491" s="316">
        <f t="shared" si="513"/>
        <v>27.5</v>
      </c>
      <c r="DW491" s="310">
        <f t="shared" si="498"/>
        <v>4.0363636363636362</v>
      </c>
      <c r="FB491" s="307"/>
      <c r="FC491" s="307"/>
      <c r="FF491" s="307"/>
      <c r="FG491" s="307"/>
      <c r="FH491" s="306"/>
      <c r="FJ491" s="307"/>
      <c r="FK491" s="307"/>
      <c r="FL491" s="306"/>
      <c r="FM491" s="307"/>
      <c r="FN491" s="306"/>
      <c r="FO491" s="307"/>
      <c r="FP491" s="306"/>
    </row>
    <row r="492" spans="29:172">
      <c r="AC492" s="156"/>
      <c r="AQ492" s="154"/>
      <c r="CW492" s="364"/>
      <c r="CX492" s="316"/>
      <c r="CY492" s="316"/>
      <c r="DA492" s="309">
        <v>491</v>
      </c>
      <c r="DB492" s="313">
        <f t="shared" si="492"/>
        <v>378.70938502470534</v>
      </c>
      <c r="DC492" s="309">
        <f t="shared" si="493"/>
        <v>1</v>
      </c>
      <c r="DD492" s="309">
        <f t="shared" si="494"/>
        <v>260</v>
      </c>
      <c r="DE492" s="308">
        <f t="shared" si="495"/>
        <v>6.5000000000000002E-2</v>
      </c>
      <c r="DF492" s="313">
        <f t="shared" si="510"/>
        <v>491</v>
      </c>
      <c r="DG492" s="313">
        <f t="shared" si="499"/>
        <v>260</v>
      </c>
      <c r="DH492" s="313">
        <f t="shared" si="500"/>
        <v>260</v>
      </c>
      <c r="DI492" s="313">
        <f t="shared" si="501"/>
        <v>0</v>
      </c>
      <c r="DJ492" s="313">
        <f t="shared" si="502"/>
        <v>0</v>
      </c>
      <c r="DK492" s="313">
        <f t="shared" si="511"/>
        <v>122744.51726962168</v>
      </c>
      <c r="DL492" s="313">
        <f t="shared" si="503"/>
        <v>28340</v>
      </c>
      <c r="DM492" s="314">
        <f t="shared" si="504"/>
        <v>18.90570280914724</v>
      </c>
      <c r="DN492" s="312">
        <f t="shared" si="505"/>
        <v>3.8504486373008635E-2</v>
      </c>
      <c r="DO492" s="312">
        <f t="shared" si="512"/>
        <v>1</v>
      </c>
      <c r="DP492" s="315">
        <f t="shared" si="496"/>
        <v>6.5000000000000002E-2</v>
      </c>
      <c r="DQ492" s="316">
        <f t="shared" si="506"/>
        <v>0.25</v>
      </c>
      <c r="DR492" s="316">
        <f t="shared" si="507"/>
        <v>126.57075452294252</v>
      </c>
      <c r="DS492" s="314">
        <f t="shared" si="508"/>
        <v>3.8792531643713963</v>
      </c>
      <c r="DT492" s="316">
        <f t="shared" si="509"/>
        <v>126.57075452294252</v>
      </c>
      <c r="DU492" s="314">
        <f t="shared" si="497"/>
        <v>3.8792531643713963</v>
      </c>
      <c r="DV492" s="316">
        <f t="shared" si="513"/>
        <v>27.25</v>
      </c>
      <c r="DW492" s="310">
        <f t="shared" si="498"/>
        <v>4.0366972477064218</v>
      </c>
      <c r="FB492" s="307"/>
      <c r="FC492" s="307"/>
      <c r="FF492" s="307"/>
      <c r="FG492" s="307"/>
      <c r="FH492" s="306"/>
      <c r="FJ492" s="307"/>
      <c r="FK492" s="307"/>
      <c r="FL492" s="306"/>
      <c r="FM492" s="307"/>
      <c r="FN492" s="306"/>
      <c r="FO492" s="307"/>
      <c r="FP492" s="306"/>
    </row>
    <row r="493" spans="29:172">
      <c r="AC493" s="156"/>
      <c r="AQ493" s="154"/>
      <c r="CW493" s="364"/>
      <c r="CX493" s="316"/>
      <c r="CY493" s="316"/>
      <c r="DA493" s="309">
        <v>492</v>
      </c>
      <c r="DB493" s="313">
        <f t="shared" si="492"/>
        <v>379.07335525897156</v>
      </c>
      <c r="DC493" s="309">
        <f t="shared" si="493"/>
        <v>1</v>
      </c>
      <c r="DD493" s="309">
        <f t="shared" si="494"/>
        <v>260</v>
      </c>
      <c r="DE493" s="308">
        <f t="shared" si="495"/>
        <v>6.5000000000000002E-2</v>
      </c>
      <c r="DF493" s="313">
        <f t="shared" si="510"/>
        <v>492</v>
      </c>
      <c r="DG493" s="313">
        <f t="shared" si="499"/>
        <v>260</v>
      </c>
      <c r="DH493" s="313">
        <f t="shared" si="500"/>
        <v>260</v>
      </c>
      <c r="DI493" s="313">
        <f t="shared" si="501"/>
        <v>0</v>
      </c>
      <c r="DJ493" s="313">
        <f t="shared" si="502"/>
        <v>0</v>
      </c>
      <c r="DK493" s="313">
        <f t="shared" si="511"/>
        <v>123004.51726962168</v>
      </c>
      <c r="DL493" s="313">
        <f t="shared" si="503"/>
        <v>28080</v>
      </c>
      <c r="DM493" s="314">
        <f t="shared" si="504"/>
        <v>18.90570280914724</v>
      </c>
      <c r="DN493" s="312">
        <f t="shared" si="505"/>
        <v>3.8426225221843982E-2</v>
      </c>
      <c r="DO493" s="312">
        <f t="shared" si="512"/>
        <v>1</v>
      </c>
      <c r="DP493" s="315">
        <f t="shared" si="496"/>
        <v>6.5000000000000002E-2</v>
      </c>
      <c r="DQ493" s="316">
        <f t="shared" si="506"/>
        <v>0.25</v>
      </c>
      <c r="DR493" s="316">
        <f t="shared" si="507"/>
        <v>126.82075452294252</v>
      </c>
      <c r="DS493" s="314">
        <f t="shared" si="508"/>
        <v>3.8794911909390564</v>
      </c>
      <c r="DT493" s="316">
        <f t="shared" si="509"/>
        <v>126.82075452294252</v>
      </c>
      <c r="DU493" s="314">
        <f t="shared" si="497"/>
        <v>3.8794911909390564</v>
      </c>
      <c r="DV493" s="316">
        <f t="shared" si="513"/>
        <v>27</v>
      </c>
      <c r="DW493" s="310">
        <f t="shared" si="498"/>
        <v>4.0370370370370372</v>
      </c>
      <c r="FB493" s="307"/>
      <c r="FC493" s="307"/>
      <c r="FF493" s="307"/>
      <c r="FG493" s="307"/>
      <c r="FH493" s="306"/>
      <c r="FJ493" s="307"/>
      <c r="FK493" s="307"/>
      <c r="FL493" s="306"/>
      <c r="FM493" s="307"/>
      <c r="FN493" s="306"/>
      <c r="FO493" s="307"/>
      <c r="FP493" s="306"/>
    </row>
    <row r="494" spans="29:172">
      <c r="AC494" s="156"/>
      <c r="AQ494" s="154"/>
      <c r="CW494" s="364"/>
      <c r="CX494" s="316"/>
      <c r="CY494" s="316"/>
      <c r="DA494" s="309">
        <v>493</v>
      </c>
      <c r="DB494" s="313">
        <f t="shared" si="492"/>
        <v>379.43732549323772</v>
      </c>
      <c r="DC494" s="309">
        <f t="shared" si="493"/>
        <v>1</v>
      </c>
      <c r="DD494" s="309">
        <f t="shared" si="494"/>
        <v>260</v>
      </c>
      <c r="DE494" s="308">
        <f t="shared" si="495"/>
        <v>6.5000000000000002E-2</v>
      </c>
      <c r="DF494" s="313">
        <f t="shared" si="510"/>
        <v>493</v>
      </c>
      <c r="DG494" s="313">
        <f t="shared" si="499"/>
        <v>260</v>
      </c>
      <c r="DH494" s="313">
        <f t="shared" si="500"/>
        <v>260</v>
      </c>
      <c r="DI494" s="313">
        <f t="shared" si="501"/>
        <v>0</v>
      </c>
      <c r="DJ494" s="313">
        <f t="shared" si="502"/>
        <v>0</v>
      </c>
      <c r="DK494" s="313">
        <f t="shared" si="511"/>
        <v>123264.51726962168</v>
      </c>
      <c r="DL494" s="313">
        <f t="shared" si="503"/>
        <v>27820</v>
      </c>
      <c r="DM494" s="314">
        <f t="shared" si="504"/>
        <v>18.90570280914724</v>
      </c>
      <c r="DN494" s="312">
        <f t="shared" si="505"/>
        <v>3.8348281560136387E-2</v>
      </c>
      <c r="DO494" s="312">
        <f t="shared" si="512"/>
        <v>1</v>
      </c>
      <c r="DP494" s="315">
        <f t="shared" si="496"/>
        <v>6.5000000000000002E-2</v>
      </c>
      <c r="DQ494" s="316">
        <f t="shared" si="506"/>
        <v>0.25</v>
      </c>
      <c r="DR494" s="316">
        <f t="shared" si="507"/>
        <v>127.07075452294252</v>
      </c>
      <c r="DS494" s="314">
        <f t="shared" si="508"/>
        <v>3.8797282809160407</v>
      </c>
      <c r="DT494" s="316">
        <f t="shared" si="509"/>
        <v>127.07075452294252</v>
      </c>
      <c r="DU494" s="314">
        <f t="shared" si="497"/>
        <v>3.8797282809160407</v>
      </c>
      <c r="DV494" s="316">
        <f t="shared" si="513"/>
        <v>26.75</v>
      </c>
      <c r="DW494" s="310">
        <f t="shared" si="498"/>
        <v>4.037383177570093</v>
      </c>
      <c r="FB494" s="307"/>
      <c r="FC494" s="307"/>
      <c r="FF494" s="307"/>
      <c r="FG494" s="307"/>
      <c r="FH494" s="306"/>
      <c r="FJ494" s="307"/>
      <c r="FK494" s="307"/>
      <c r="FL494" s="306"/>
      <c r="FM494" s="307"/>
      <c r="FN494" s="306"/>
      <c r="FO494" s="307"/>
      <c r="FP494" s="306"/>
    </row>
    <row r="495" spans="29:172">
      <c r="AC495" s="156"/>
      <c r="AQ495" s="154"/>
      <c r="CW495" s="364"/>
      <c r="CX495" s="316"/>
      <c r="CY495" s="316"/>
      <c r="DA495" s="309">
        <v>494</v>
      </c>
      <c r="DB495" s="313">
        <f t="shared" si="492"/>
        <v>379.801295727504</v>
      </c>
      <c r="DC495" s="309">
        <f t="shared" si="493"/>
        <v>1</v>
      </c>
      <c r="DD495" s="309">
        <f t="shared" si="494"/>
        <v>260</v>
      </c>
      <c r="DE495" s="308">
        <f t="shared" si="495"/>
        <v>6.5000000000000002E-2</v>
      </c>
      <c r="DF495" s="313">
        <f t="shared" si="510"/>
        <v>494</v>
      </c>
      <c r="DG495" s="313">
        <f t="shared" si="499"/>
        <v>260</v>
      </c>
      <c r="DH495" s="313">
        <f t="shared" si="500"/>
        <v>260</v>
      </c>
      <c r="DI495" s="313">
        <f t="shared" si="501"/>
        <v>0</v>
      </c>
      <c r="DJ495" s="313">
        <f t="shared" si="502"/>
        <v>0</v>
      </c>
      <c r="DK495" s="313">
        <f t="shared" si="511"/>
        <v>123524.51726962168</v>
      </c>
      <c r="DL495" s="313">
        <f t="shared" si="503"/>
        <v>27560</v>
      </c>
      <c r="DM495" s="314">
        <f t="shared" si="504"/>
        <v>18.90570280914724</v>
      </c>
      <c r="DN495" s="312">
        <f t="shared" si="505"/>
        <v>3.8270653459812225E-2</v>
      </c>
      <c r="DO495" s="312">
        <f t="shared" si="512"/>
        <v>1</v>
      </c>
      <c r="DP495" s="315">
        <f t="shared" si="496"/>
        <v>6.5000000000000002E-2</v>
      </c>
      <c r="DQ495" s="316">
        <f t="shared" si="506"/>
        <v>0.25</v>
      </c>
      <c r="DR495" s="316">
        <f t="shared" si="507"/>
        <v>127.32075452294252</v>
      </c>
      <c r="DS495" s="314">
        <f t="shared" si="508"/>
        <v>3.8799644398194628</v>
      </c>
      <c r="DT495" s="316">
        <f t="shared" si="509"/>
        <v>127.32075452294252</v>
      </c>
      <c r="DU495" s="314">
        <f t="shared" si="497"/>
        <v>3.8799644398194628</v>
      </c>
      <c r="DV495" s="316">
        <f t="shared" si="513"/>
        <v>26.5</v>
      </c>
      <c r="DW495" s="310">
        <f t="shared" si="498"/>
        <v>4.0377358490566042</v>
      </c>
      <c r="FB495" s="307"/>
      <c r="FC495" s="307"/>
      <c r="FF495" s="307"/>
      <c r="FG495" s="307"/>
      <c r="FH495" s="306"/>
      <c r="FJ495" s="307"/>
      <c r="FK495" s="307"/>
      <c r="FL495" s="306"/>
      <c r="FM495" s="307"/>
      <c r="FN495" s="306"/>
      <c r="FO495" s="307"/>
      <c r="FP495" s="306"/>
    </row>
    <row r="496" spans="29:172">
      <c r="AC496" s="156"/>
      <c r="AQ496" s="154"/>
      <c r="CW496" s="364"/>
      <c r="CX496" s="316"/>
      <c r="CY496" s="316"/>
      <c r="DA496" s="309">
        <v>495</v>
      </c>
      <c r="DB496" s="313">
        <f t="shared" si="492"/>
        <v>380.16526596177016</v>
      </c>
      <c r="DC496" s="309">
        <f t="shared" si="493"/>
        <v>1</v>
      </c>
      <c r="DD496" s="309">
        <f t="shared" si="494"/>
        <v>260</v>
      </c>
      <c r="DE496" s="308">
        <f t="shared" si="495"/>
        <v>6.5000000000000002E-2</v>
      </c>
      <c r="DF496" s="313">
        <f t="shared" si="510"/>
        <v>495</v>
      </c>
      <c r="DG496" s="313">
        <f t="shared" si="499"/>
        <v>260</v>
      </c>
      <c r="DH496" s="313">
        <f t="shared" si="500"/>
        <v>260</v>
      </c>
      <c r="DI496" s="313">
        <f t="shared" si="501"/>
        <v>0</v>
      </c>
      <c r="DJ496" s="313">
        <f t="shared" si="502"/>
        <v>0</v>
      </c>
      <c r="DK496" s="313">
        <f t="shared" si="511"/>
        <v>123784.51726962168</v>
      </c>
      <c r="DL496" s="313">
        <f t="shared" si="503"/>
        <v>27300</v>
      </c>
      <c r="DM496" s="314">
        <f t="shared" si="504"/>
        <v>18.90570280914724</v>
      </c>
      <c r="DN496" s="312">
        <f t="shared" si="505"/>
        <v>3.8193339008378263E-2</v>
      </c>
      <c r="DO496" s="312">
        <f t="shared" si="512"/>
        <v>1</v>
      </c>
      <c r="DP496" s="315">
        <f t="shared" si="496"/>
        <v>6.5000000000000002E-2</v>
      </c>
      <c r="DQ496" s="316">
        <f t="shared" si="506"/>
        <v>0.25</v>
      </c>
      <c r="DR496" s="316">
        <f t="shared" si="507"/>
        <v>127.57075452294252</v>
      </c>
      <c r="DS496" s="314">
        <f t="shared" si="508"/>
        <v>3.8801996731231876</v>
      </c>
      <c r="DT496" s="316">
        <f t="shared" si="509"/>
        <v>127.57075452294252</v>
      </c>
      <c r="DU496" s="314">
        <f t="shared" si="497"/>
        <v>3.8801996731231876</v>
      </c>
      <c r="DV496" s="316">
        <f t="shared" si="513"/>
        <v>26.25</v>
      </c>
      <c r="DW496" s="310">
        <f t="shared" si="498"/>
        <v>4.038095238095238</v>
      </c>
      <c r="FB496" s="307"/>
      <c r="FC496" s="307"/>
      <c r="FF496" s="307"/>
      <c r="FG496" s="307"/>
      <c r="FH496" s="306"/>
      <c r="FJ496" s="307"/>
      <c r="FK496" s="307"/>
      <c r="FL496" s="306"/>
      <c r="FM496" s="307"/>
      <c r="FN496" s="306"/>
      <c r="FO496" s="307"/>
      <c r="FP496" s="306"/>
    </row>
    <row r="497" spans="29:172">
      <c r="AC497" s="156"/>
      <c r="AQ497" s="154"/>
      <c r="CW497" s="364"/>
      <c r="CX497" s="316"/>
      <c r="CY497" s="316"/>
      <c r="DA497" s="309">
        <v>496</v>
      </c>
      <c r="DB497" s="313">
        <f t="shared" si="492"/>
        <v>380.52923619603632</v>
      </c>
      <c r="DC497" s="309">
        <f t="shared" si="493"/>
        <v>1</v>
      </c>
      <c r="DD497" s="309">
        <f t="shared" si="494"/>
        <v>260</v>
      </c>
      <c r="DE497" s="308">
        <f t="shared" si="495"/>
        <v>6.5000000000000002E-2</v>
      </c>
      <c r="DF497" s="313">
        <f t="shared" si="510"/>
        <v>496</v>
      </c>
      <c r="DG497" s="313">
        <f t="shared" si="499"/>
        <v>260</v>
      </c>
      <c r="DH497" s="313">
        <f t="shared" si="500"/>
        <v>260</v>
      </c>
      <c r="DI497" s="313">
        <f t="shared" si="501"/>
        <v>0</v>
      </c>
      <c r="DJ497" s="313">
        <f t="shared" si="502"/>
        <v>0</v>
      </c>
      <c r="DK497" s="313">
        <f t="shared" si="511"/>
        <v>124044.51726962168</v>
      </c>
      <c r="DL497" s="313">
        <f t="shared" si="503"/>
        <v>27040</v>
      </c>
      <c r="DM497" s="314">
        <f t="shared" si="504"/>
        <v>18.90570280914724</v>
      </c>
      <c r="DN497" s="312">
        <f t="shared" si="505"/>
        <v>3.8116336308764598E-2</v>
      </c>
      <c r="DO497" s="312">
        <f t="shared" si="512"/>
        <v>1</v>
      </c>
      <c r="DP497" s="315">
        <f t="shared" si="496"/>
        <v>6.5000000000000002E-2</v>
      </c>
      <c r="DQ497" s="316">
        <f t="shared" si="506"/>
        <v>0.25</v>
      </c>
      <c r="DR497" s="316">
        <f t="shared" si="507"/>
        <v>127.82075452294252</v>
      </c>
      <c r="DS497" s="314">
        <f t="shared" si="508"/>
        <v>3.8804339862582573</v>
      </c>
      <c r="DT497" s="316">
        <f t="shared" si="509"/>
        <v>127.82075452294252</v>
      </c>
      <c r="DU497" s="314">
        <f t="shared" si="497"/>
        <v>3.8804339862582573</v>
      </c>
      <c r="DV497" s="316">
        <f t="shared" si="513"/>
        <v>26</v>
      </c>
      <c r="DW497" s="310">
        <f t="shared" si="498"/>
        <v>4.0384615384615383</v>
      </c>
      <c r="FB497" s="307"/>
      <c r="FC497" s="307"/>
      <c r="FF497" s="307"/>
      <c r="FG497" s="307"/>
      <c r="FH497" s="306"/>
      <c r="FJ497" s="307"/>
      <c r="FK497" s="307"/>
      <c r="FL497" s="306"/>
      <c r="FM497" s="307"/>
      <c r="FN497" s="306"/>
      <c r="FO497" s="307"/>
      <c r="FP497" s="306"/>
    </row>
    <row r="498" spans="29:172">
      <c r="AC498" s="156"/>
      <c r="AQ498" s="154"/>
      <c r="CW498" s="364"/>
      <c r="CX498" s="316"/>
      <c r="CY498" s="316"/>
      <c r="DA498" s="309">
        <v>497</v>
      </c>
      <c r="DB498" s="313">
        <f t="shared" si="492"/>
        <v>380.8932064303026</v>
      </c>
      <c r="DC498" s="309">
        <f t="shared" si="493"/>
        <v>1</v>
      </c>
      <c r="DD498" s="309">
        <f t="shared" si="494"/>
        <v>260</v>
      </c>
      <c r="DE498" s="308">
        <f t="shared" si="495"/>
        <v>6.5000000000000002E-2</v>
      </c>
      <c r="DF498" s="313">
        <f t="shared" si="510"/>
        <v>497</v>
      </c>
      <c r="DG498" s="313">
        <f t="shared" si="499"/>
        <v>260</v>
      </c>
      <c r="DH498" s="313">
        <f t="shared" si="500"/>
        <v>260</v>
      </c>
      <c r="DI498" s="313">
        <f t="shared" si="501"/>
        <v>0</v>
      </c>
      <c r="DJ498" s="313">
        <f t="shared" si="502"/>
        <v>0</v>
      </c>
      <c r="DK498" s="313">
        <f t="shared" si="511"/>
        <v>124304.51726962168</v>
      </c>
      <c r="DL498" s="313">
        <f t="shared" si="503"/>
        <v>26780</v>
      </c>
      <c r="DM498" s="314">
        <f t="shared" si="504"/>
        <v>18.90570280914724</v>
      </c>
      <c r="DN498" s="312">
        <f t="shared" si="505"/>
        <v>3.8039643479169494E-2</v>
      </c>
      <c r="DO498" s="312">
        <f t="shared" si="512"/>
        <v>1</v>
      </c>
      <c r="DP498" s="315">
        <f t="shared" si="496"/>
        <v>6.5000000000000002E-2</v>
      </c>
      <c r="DQ498" s="316">
        <f t="shared" si="506"/>
        <v>0.25</v>
      </c>
      <c r="DR498" s="316">
        <f t="shared" si="507"/>
        <v>128.07075452294254</v>
      </c>
      <c r="DS498" s="314">
        <f t="shared" si="508"/>
        <v>3.8806673846133051</v>
      </c>
      <c r="DT498" s="316">
        <f t="shared" si="509"/>
        <v>128.07075452294254</v>
      </c>
      <c r="DU498" s="314">
        <f t="shared" si="497"/>
        <v>3.8806673846133051</v>
      </c>
      <c r="DV498" s="316">
        <f t="shared" si="513"/>
        <v>25.75</v>
      </c>
      <c r="DW498" s="310">
        <f t="shared" si="498"/>
        <v>4.0388349514563107</v>
      </c>
      <c r="FB498" s="307"/>
      <c r="FC498" s="307"/>
      <c r="FF498" s="307"/>
      <c r="FG498" s="307"/>
      <c r="FH498" s="306"/>
      <c r="FJ498" s="307"/>
      <c r="FK498" s="307"/>
      <c r="FL498" s="306"/>
      <c r="FM498" s="307"/>
      <c r="FN498" s="306"/>
      <c r="FO498" s="307"/>
      <c r="FP498" s="306"/>
    </row>
    <row r="499" spans="29:172">
      <c r="AC499" s="156"/>
      <c r="AQ499" s="154"/>
      <c r="CW499" s="364"/>
      <c r="CX499" s="316"/>
      <c r="CY499" s="316"/>
      <c r="DA499" s="309">
        <v>498</v>
      </c>
      <c r="DB499" s="313">
        <f t="shared" si="492"/>
        <v>381.25717666456876</v>
      </c>
      <c r="DC499" s="309">
        <f t="shared" si="493"/>
        <v>1</v>
      </c>
      <c r="DD499" s="309">
        <f t="shared" si="494"/>
        <v>260</v>
      </c>
      <c r="DE499" s="308">
        <f t="shared" si="495"/>
        <v>6.5000000000000002E-2</v>
      </c>
      <c r="DF499" s="313">
        <f t="shared" si="510"/>
        <v>498</v>
      </c>
      <c r="DG499" s="313">
        <f t="shared" si="499"/>
        <v>260</v>
      </c>
      <c r="DH499" s="313">
        <f t="shared" si="500"/>
        <v>260</v>
      </c>
      <c r="DI499" s="313">
        <f t="shared" si="501"/>
        <v>0</v>
      </c>
      <c r="DJ499" s="313">
        <f t="shared" si="502"/>
        <v>0</v>
      </c>
      <c r="DK499" s="313">
        <f t="shared" si="511"/>
        <v>124564.51726962168</v>
      </c>
      <c r="DL499" s="313">
        <f t="shared" si="503"/>
        <v>26520</v>
      </c>
      <c r="DM499" s="314">
        <f t="shared" si="504"/>
        <v>18.90570280914724</v>
      </c>
      <c r="DN499" s="312">
        <f t="shared" si="505"/>
        <v>3.7963258652906104E-2</v>
      </c>
      <c r="DO499" s="312">
        <f t="shared" si="512"/>
        <v>1</v>
      </c>
      <c r="DP499" s="315">
        <f t="shared" si="496"/>
        <v>6.5000000000000002E-2</v>
      </c>
      <c r="DQ499" s="316">
        <f t="shared" si="506"/>
        <v>0.25</v>
      </c>
      <c r="DR499" s="316">
        <f t="shared" si="507"/>
        <v>128.32075452294254</v>
      </c>
      <c r="DS499" s="314">
        <f t="shared" si="508"/>
        <v>3.8808998735349731</v>
      </c>
      <c r="DT499" s="316">
        <f t="shared" si="509"/>
        <v>128.32075452294254</v>
      </c>
      <c r="DU499" s="314">
        <f t="shared" si="497"/>
        <v>3.8808998735349731</v>
      </c>
      <c r="DV499" s="316">
        <f t="shared" si="513"/>
        <v>25.5</v>
      </c>
      <c r="DW499" s="310">
        <f t="shared" si="498"/>
        <v>4.0392156862745097</v>
      </c>
      <c r="FB499" s="307"/>
      <c r="FC499" s="307"/>
      <c r="FF499" s="307"/>
      <c r="FG499" s="307"/>
      <c r="FH499" s="306"/>
      <c r="FJ499" s="307"/>
      <c r="FK499" s="307"/>
      <c r="FL499" s="306"/>
      <c r="FM499" s="307"/>
      <c r="FN499" s="306"/>
      <c r="FO499" s="307"/>
      <c r="FP499" s="306"/>
    </row>
    <row r="500" spans="29:172">
      <c r="AC500" s="156"/>
      <c r="AQ500" s="154"/>
      <c r="CW500" s="364"/>
      <c r="CX500" s="316"/>
      <c r="CY500" s="316"/>
      <c r="DA500" s="309">
        <v>499</v>
      </c>
      <c r="DB500" s="313">
        <f t="shared" si="492"/>
        <v>381.62114689883498</v>
      </c>
      <c r="DC500" s="309">
        <f t="shared" si="493"/>
        <v>1</v>
      </c>
      <c r="DD500" s="309">
        <f t="shared" si="494"/>
        <v>260</v>
      </c>
      <c r="DE500" s="308">
        <f t="shared" si="495"/>
        <v>6.5000000000000002E-2</v>
      </c>
      <c r="DF500" s="313">
        <f t="shared" si="510"/>
        <v>499</v>
      </c>
      <c r="DG500" s="313">
        <f t="shared" si="499"/>
        <v>260</v>
      </c>
      <c r="DH500" s="313">
        <f t="shared" si="500"/>
        <v>260</v>
      </c>
      <c r="DI500" s="313">
        <f t="shared" si="501"/>
        <v>0</v>
      </c>
      <c r="DJ500" s="313">
        <f t="shared" si="502"/>
        <v>0</v>
      </c>
      <c r="DK500" s="313">
        <f t="shared" si="511"/>
        <v>124824.51726962168</v>
      </c>
      <c r="DL500" s="313">
        <f t="shared" si="503"/>
        <v>26260</v>
      </c>
      <c r="DM500" s="314">
        <f t="shared" si="504"/>
        <v>18.90570280914724</v>
      </c>
      <c r="DN500" s="312">
        <f t="shared" si="505"/>
        <v>3.788717997825098E-2</v>
      </c>
      <c r="DO500" s="312">
        <f t="shared" si="512"/>
        <v>1</v>
      </c>
      <c r="DP500" s="315">
        <f t="shared" si="496"/>
        <v>6.5000000000000002E-2</v>
      </c>
      <c r="DQ500" s="316">
        <f t="shared" si="506"/>
        <v>0.25</v>
      </c>
      <c r="DR500" s="316">
        <f t="shared" si="507"/>
        <v>128.57075452294254</v>
      </c>
      <c r="DS500" s="314">
        <f t="shared" si="508"/>
        <v>3.881131458328317</v>
      </c>
      <c r="DT500" s="316">
        <f t="shared" si="509"/>
        <v>128.57075452294254</v>
      </c>
      <c r="DU500" s="314">
        <f t="shared" si="497"/>
        <v>3.881131458328317</v>
      </c>
      <c r="DV500" s="316">
        <f t="shared" si="513"/>
        <v>25.25</v>
      </c>
      <c r="DW500" s="310">
        <f t="shared" si="498"/>
        <v>4.0396039603960396</v>
      </c>
      <c r="FB500" s="307"/>
      <c r="FC500" s="307"/>
      <c r="FF500" s="307"/>
      <c r="FG500" s="307"/>
      <c r="FH500" s="306"/>
      <c r="FJ500" s="307"/>
      <c r="FK500" s="307"/>
      <c r="FL500" s="306"/>
      <c r="FM500" s="307"/>
      <c r="FN500" s="306"/>
      <c r="FO500" s="307"/>
      <c r="FP500" s="306"/>
    </row>
    <row r="501" spans="29:172">
      <c r="AC501" s="156"/>
      <c r="AQ501" s="154"/>
      <c r="CW501" s="364"/>
      <c r="CX501" s="316"/>
      <c r="CY501" s="316"/>
      <c r="DA501" s="309">
        <v>500</v>
      </c>
      <c r="DB501" s="313">
        <f t="shared" si="492"/>
        <v>381.9851171331012</v>
      </c>
      <c r="DC501" s="309">
        <f t="shared" si="493"/>
        <v>1</v>
      </c>
      <c r="DD501" s="309">
        <f t="shared" si="494"/>
        <v>260</v>
      </c>
      <c r="DE501" s="308">
        <f t="shared" si="495"/>
        <v>6.5000000000000002E-2</v>
      </c>
      <c r="DF501" s="313">
        <f t="shared" si="510"/>
        <v>500</v>
      </c>
      <c r="DG501" s="313">
        <f t="shared" si="499"/>
        <v>260</v>
      </c>
      <c r="DH501" s="313">
        <f t="shared" si="500"/>
        <v>260</v>
      </c>
      <c r="DI501" s="313">
        <f t="shared" si="501"/>
        <v>0</v>
      </c>
      <c r="DJ501" s="313">
        <f t="shared" si="502"/>
        <v>0</v>
      </c>
      <c r="DK501" s="313">
        <f t="shared" si="511"/>
        <v>125084.51726962168</v>
      </c>
      <c r="DL501" s="313">
        <f t="shared" si="503"/>
        <v>26000</v>
      </c>
      <c r="DM501" s="314">
        <f t="shared" si="504"/>
        <v>18.90570280914724</v>
      </c>
      <c r="DN501" s="312">
        <f t="shared" si="505"/>
        <v>3.7811405618294477E-2</v>
      </c>
      <c r="DO501" s="312">
        <f t="shared" si="512"/>
        <v>1</v>
      </c>
      <c r="DP501" s="315">
        <f t="shared" si="496"/>
        <v>6.5000000000000002E-2</v>
      </c>
      <c r="DQ501" s="316">
        <f t="shared" si="506"/>
        <v>0.25</v>
      </c>
      <c r="DR501" s="316">
        <f t="shared" si="507"/>
        <v>128.82075452294254</v>
      </c>
      <c r="DS501" s="314">
        <f t="shared" si="508"/>
        <v>3.8813621442572104</v>
      </c>
      <c r="DT501" s="316">
        <f t="shared" si="509"/>
        <v>128.82075452294254</v>
      </c>
      <c r="DU501" s="314">
        <f t="shared" si="497"/>
        <v>3.8813621442572104</v>
      </c>
      <c r="DV501" s="316">
        <f t="shared" si="513"/>
        <v>25</v>
      </c>
      <c r="DW501" s="310">
        <f t="shared" si="498"/>
        <v>4.04</v>
      </c>
      <c r="FB501" s="307"/>
      <c r="FC501" s="307"/>
      <c r="FF501" s="307"/>
      <c r="FG501" s="307"/>
      <c r="FH501" s="306"/>
      <c r="FJ501" s="307"/>
      <c r="FK501" s="307"/>
      <c r="FL501" s="306"/>
      <c r="FM501" s="307"/>
      <c r="FN501" s="306"/>
      <c r="FO501" s="307"/>
      <c r="FP501" s="306"/>
    </row>
    <row r="502" spans="29:172">
      <c r="AC502" s="156"/>
      <c r="AQ502" s="154"/>
      <c r="CW502" s="364"/>
      <c r="CX502" s="316"/>
      <c r="CY502" s="316"/>
      <c r="DA502" s="309">
        <v>501</v>
      </c>
      <c r="DB502" s="313">
        <f t="shared" si="492"/>
        <v>382.34908736736736</v>
      </c>
      <c r="DC502" s="309">
        <f t="shared" si="493"/>
        <v>1</v>
      </c>
      <c r="DD502" s="309">
        <f t="shared" si="494"/>
        <v>260</v>
      </c>
      <c r="DE502" s="308">
        <f t="shared" si="495"/>
        <v>6.5000000000000002E-2</v>
      </c>
      <c r="DF502" s="313">
        <f t="shared" si="510"/>
        <v>501</v>
      </c>
      <c r="DG502" s="313">
        <f t="shared" si="499"/>
        <v>260</v>
      </c>
      <c r="DH502" s="313">
        <f t="shared" si="500"/>
        <v>260</v>
      </c>
      <c r="DI502" s="313">
        <f t="shared" si="501"/>
        <v>0</v>
      </c>
      <c r="DJ502" s="313">
        <f t="shared" si="502"/>
        <v>0</v>
      </c>
      <c r="DK502" s="313">
        <f t="shared" si="511"/>
        <v>125344.51726962168</v>
      </c>
      <c r="DL502" s="313">
        <f t="shared" si="503"/>
        <v>25740</v>
      </c>
      <c r="DM502" s="314">
        <f t="shared" si="504"/>
        <v>18.90570280914724</v>
      </c>
      <c r="DN502" s="312">
        <f t="shared" si="505"/>
        <v>3.7735933750792892E-2</v>
      </c>
      <c r="DO502" s="312">
        <f t="shared" si="512"/>
        <v>1</v>
      </c>
      <c r="DP502" s="315">
        <f t="shared" si="496"/>
        <v>6.5000000000000002E-2</v>
      </c>
      <c r="DQ502" s="316">
        <f t="shared" si="506"/>
        <v>0.25</v>
      </c>
      <c r="DR502" s="316">
        <f t="shared" si="507"/>
        <v>129.07075452294254</v>
      </c>
      <c r="DS502" s="314">
        <f t="shared" si="508"/>
        <v>3.8815919365447455</v>
      </c>
      <c r="DT502" s="316">
        <f t="shared" si="509"/>
        <v>129.07075452294254</v>
      </c>
      <c r="DU502" s="314">
        <f t="shared" si="497"/>
        <v>3.8815919365447455</v>
      </c>
      <c r="DV502" s="316">
        <f t="shared" si="513"/>
        <v>24.75</v>
      </c>
      <c r="DW502" s="310">
        <f t="shared" si="498"/>
        <v>4.0404040404040407</v>
      </c>
      <c r="FB502" s="307"/>
      <c r="FC502" s="307"/>
      <c r="FF502" s="307"/>
      <c r="FG502" s="307"/>
      <c r="FH502" s="306"/>
      <c r="FJ502" s="307"/>
      <c r="FK502" s="307"/>
      <c r="FL502" s="306"/>
      <c r="FM502" s="307"/>
      <c r="FN502" s="306"/>
      <c r="FO502" s="307"/>
      <c r="FP502" s="306"/>
    </row>
    <row r="503" spans="29:172">
      <c r="AC503" s="156"/>
      <c r="AQ503" s="154"/>
      <c r="CW503" s="364"/>
      <c r="CX503" s="316"/>
      <c r="CY503" s="316"/>
      <c r="DA503" s="309">
        <v>502</v>
      </c>
      <c r="DB503" s="313">
        <f t="shared" si="492"/>
        <v>382.71305760163358</v>
      </c>
      <c r="DC503" s="309">
        <f t="shared" si="493"/>
        <v>1</v>
      </c>
      <c r="DD503" s="309">
        <f t="shared" si="494"/>
        <v>260</v>
      </c>
      <c r="DE503" s="308">
        <f t="shared" si="495"/>
        <v>6.5000000000000002E-2</v>
      </c>
      <c r="DF503" s="313">
        <f t="shared" si="510"/>
        <v>502</v>
      </c>
      <c r="DG503" s="313">
        <f t="shared" si="499"/>
        <v>260</v>
      </c>
      <c r="DH503" s="313">
        <f t="shared" si="500"/>
        <v>260</v>
      </c>
      <c r="DI503" s="313">
        <f t="shared" si="501"/>
        <v>0</v>
      </c>
      <c r="DJ503" s="313">
        <f t="shared" si="502"/>
        <v>0</v>
      </c>
      <c r="DK503" s="313">
        <f t="shared" si="511"/>
        <v>125604.51726962168</v>
      </c>
      <c r="DL503" s="313">
        <f t="shared" si="503"/>
        <v>25480</v>
      </c>
      <c r="DM503" s="314">
        <f t="shared" si="504"/>
        <v>18.90570280914724</v>
      </c>
      <c r="DN503" s="312">
        <f t="shared" si="505"/>
        <v>3.7660762568022386E-2</v>
      </c>
      <c r="DO503" s="312">
        <f t="shared" si="512"/>
        <v>1</v>
      </c>
      <c r="DP503" s="315">
        <f t="shared" si="496"/>
        <v>6.5000000000000002E-2</v>
      </c>
      <c r="DQ503" s="316">
        <f t="shared" si="506"/>
        <v>0.25</v>
      </c>
      <c r="DR503" s="316">
        <f t="shared" si="507"/>
        <v>129.32075452294254</v>
      </c>
      <c r="DS503" s="314">
        <f t="shared" si="508"/>
        <v>3.8818208403736247</v>
      </c>
      <c r="DT503" s="316">
        <f t="shared" si="509"/>
        <v>129.32075452294254</v>
      </c>
      <c r="DU503" s="314">
        <f t="shared" si="497"/>
        <v>3.8818208403736247</v>
      </c>
      <c r="DV503" s="316">
        <f t="shared" si="513"/>
        <v>24.5</v>
      </c>
      <c r="DW503" s="310">
        <f t="shared" si="498"/>
        <v>4.0408163265306118</v>
      </c>
      <c r="FB503" s="307"/>
      <c r="FC503" s="307"/>
      <c r="FF503" s="307"/>
      <c r="FG503" s="307"/>
      <c r="FH503" s="306"/>
      <c r="FJ503" s="307"/>
      <c r="FK503" s="307"/>
      <c r="FL503" s="306"/>
      <c r="FM503" s="307"/>
      <c r="FN503" s="306"/>
      <c r="FO503" s="307"/>
      <c r="FP503" s="306"/>
    </row>
    <row r="504" spans="29:172">
      <c r="AC504" s="156"/>
      <c r="AQ504" s="154"/>
      <c r="CW504" s="364"/>
      <c r="CX504" s="316"/>
      <c r="CY504" s="316"/>
      <c r="DA504" s="309">
        <v>503</v>
      </c>
      <c r="DB504" s="313">
        <f t="shared" si="492"/>
        <v>383.0770278358998</v>
      </c>
      <c r="DC504" s="309">
        <f t="shared" si="493"/>
        <v>1</v>
      </c>
      <c r="DD504" s="309">
        <f t="shared" si="494"/>
        <v>260</v>
      </c>
      <c r="DE504" s="308">
        <f t="shared" si="495"/>
        <v>6.5000000000000002E-2</v>
      </c>
      <c r="DF504" s="313">
        <f t="shared" si="510"/>
        <v>503</v>
      </c>
      <c r="DG504" s="313">
        <f t="shared" si="499"/>
        <v>260</v>
      </c>
      <c r="DH504" s="313">
        <f t="shared" si="500"/>
        <v>260</v>
      </c>
      <c r="DI504" s="313">
        <f t="shared" si="501"/>
        <v>0</v>
      </c>
      <c r="DJ504" s="313">
        <f t="shared" si="502"/>
        <v>0</v>
      </c>
      <c r="DK504" s="313">
        <f t="shared" si="511"/>
        <v>125864.51726962168</v>
      </c>
      <c r="DL504" s="313">
        <f t="shared" si="503"/>
        <v>25220</v>
      </c>
      <c r="DM504" s="314">
        <f t="shared" si="504"/>
        <v>18.90570280914724</v>
      </c>
      <c r="DN504" s="312">
        <f t="shared" si="505"/>
        <v>3.758589027663467E-2</v>
      </c>
      <c r="DO504" s="312">
        <f t="shared" si="512"/>
        <v>1</v>
      </c>
      <c r="DP504" s="315">
        <f t="shared" si="496"/>
        <v>6.5000000000000002E-2</v>
      </c>
      <c r="DQ504" s="316">
        <f t="shared" si="506"/>
        <v>0.25</v>
      </c>
      <c r="DR504" s="316">
        <f t="shared" si="507"/>
        <v>129.57075452294254</v>
      </c>
      <c r="DS504" s="314">
        <f t="shared" si="508"/>
        <v>3.8820488608865511</v>
      </c>
      <c r="DT504" s="316">
        <f t="shared" si="509"/>
        <v>129.57075452294254</v>
      </c>
      <c r="DU504" s="314">
        <f t="shared" si="497"/>
        <v>3.8820488608865511</v>
      </c>
      <c r="DV504" s="316">
        <f t="shared" si="513"/>
        <v>24.25</v>
      </c>
      <c r="DW504" s="310">
        <f t="shared" si="498"/>
        <v>4.0412371134020617</v>
      </c>
      <c r="FB504" s="307"/>
      <c r="FC504" s="307"/>
      <c r="FF504" s="307"/>
      <c r="FG504" s="307"/>
      <c r="FH504" s="306"/>
      <c r="FJ504" s="307"/>
      <c r="FK504" s="307"/>
      <c r="FL504" s="306"/>
      <c r="FM504" s="307"/>
      <c r="FN504" s="306"/>
      <c r="FO504" s="307"/>
      <c r="FP504" s="306"/>
    </row>
    <row r="505" spans="29:172">
      <c r="AC505" s="156"/>
      <c r="AQ505" s="154"/>
      <c r="CW505" s="364"/>
      <c r="CX505" s="316"/>
      <c r="CY505" s="316"/>
      <c r="DA505" s="309">
        <v>504</v>
      </c>
      <c r="DB505" s="313">
        <f t="shared" si="492"/>
        <v>383.44099807016596</v>
      </c>
      <c r="DC505" s="309">
        <f t="shared" si="493"/>
        <v>1</v>
      </c>
      <c r="DD505" s="309">
        <f t="shared" si="494"/>
        <v>260</v>
      </c>
      <c r="DE505" s="308">
        <f t="shared" si="495"/>
        <v>6.5000000000000002E-2</v>
      </c>
      <c r="DF505" s="313">
        <f t="shared" si="510"/>
        <v>504</v>
      </c>
      <c r="DG505" s="313">
        <f t="shared" si="499"/>
        <v>260</v>
      </c>
      <c r="DH505" s="313">
        <f t="shared" si="500"/>
        <v>260</v>
      </c>
      <c r="DI505" s="313">
        <f t="shared" si="501"/>
        <v>0</v>
      </c>
      <c r="DJ505" s="313">
        <f t="shared" si="502"/>
        <v>0</v>
      </c>
      <c r="DK505" s="313">
        <f t="shared" si="511"/>
        <v>126124.51726962168</v>
      </c>
      <c r="DL505" s="313">
        <f t="shared" si="503"/>
        <v>24960</v>
      </c>
      <c r="DM505" s="314">
        <f t="shared" si="504"/>
        <v>18.90570280914724</v>
      </c>
      <c r="DN505" s="312">
        <f t="shared" si="505"/>
        <v>3.7511315097514361E-2</v>
      </c>
      <c r="DO505" s="312">
        <f t="shared" si="512"/>
        <v>1</v>
      </c>
      <c r="DP505" s="315">
        <f t="shared" si="496"/>
        <v>6.5000000000000002E-2</v>
      </c>
      <c r="DQ505" s="316">
        <f t="shared" si="506"/>
        <v>0.25</v>
      </c>
      <c r="DR505" s="316">
        <f t="shared" si="507"/>
        <v>129.82075452294254</v>
      </c>
      <c r="DS505" s="314">
        <f t="shared" si="508"/>
        <v>3.882276003186615</v>
      </c>
      <c r="DT505" s="316">
        <f t="shared" si="509"/>
        <v>129.82075452294254</v>
      </c>
      <c r="DU505" s="314">
        <f t="shared" si="497"/>
        <v>3.882276003186615</v>
      </c>
      <c r="DV505" s="316">
        <f t="shared" si="513"/>
        <v>24</v>
      </c>
      <c r="DW505" s="310">
        <f t="shared" si="498"/>
        <v>4.041666666666667</v>
      </c>
      <c r="FB505" s="307"/>
      <c r="FC505" s="307"/>
      <c r="FF505" s="307"/>
      <c r="FG505" s="307"/>
      <c r="FH505" s="306"/>
      <c r="FJ505" s="307"/>
      <c r="FK505" s="307"/>
      <c r="FL505" s="306"/>
      <c r="FM505" s="307"/>
      <c r="FN505" s="306"/>
      <c r="FO505" s="307"/>
      <c r="FP505" s="306"/>
    </row>
    <row r="506" spans="29:172">
      <c r="AC506" s="156"/>
      <c r="AQ506" s="154"/>
      <c r="CW506" s="364"/>
      <c r="CX506" s="316"/>
      <c r="CY506" s="316"/>
      <c r="DA506" s="309">
        <v>505</v>
      </c>
      <c r="DB506" s="313">
        <f t="shared" si="492"/>
        <v>383.80496830443218</v>
      </c>
      <c r="DC506" s="309">
        <f t="shared" si="493"/>
        <v>1</v>
      </c>
      <c r="DD506" s="309">
        <f t="shared" si="494"/>
        <v>260</v>
      </c>
      <c r="DE506" s="308">
        <f t="shared" si="495"/>
        <v>6.5000000000000002E-2</v>
      </c>
      <c r="DF506" s="313">
        <f t="shared" si="510"/>
        <v>505</v>
      </c>
      <c r="DG506" s="313">
        <f t="shared" si="499"/>
        <v>260</v>
      </c>
      <c r="DH506" s="313">
        <f t="shared" si="500"/>
        <v>260</v>
      </c>
      <c r="DI506" s="313">
        <f t="shared" si="501"/>
        <v>0</v>
      </c>
      <c r="DJ506" s="313">
        <f t="shared" si="502"/>
        <v>0</v>
      </c>
      <c r="DK506" s="313">
        <f t="shared" si="511"/>
        <v>126384.51726962168</v>
      </c>
      <c r="DL506" s="313">
        <f t="shared" si="503"/>
        <v>24700</v>
      </c>
      <c r="DM506" s="314">
        <f t="shared" si="504"/>
        <v>18.90570280914724</v>
      </c>
      <c r="DN506" s="312">
        <f t="shared" si="505"/>
        <v>3.7437035265638095E-2</v>
      </c>
      <c r="DO506" s="312">
        <f t="shared" si="512"/>
        <v>1</v>
      </c>
      <c r="DP506" s="315">
        <f t="shared" si="496"/>
        <v>6.5000000000000002E-2</v>
      </c>
      <c r="DQ506" s="316">
        <f t="shared" si="506"/>
        <v>0.25</v>
      </c>
      <c r="DR506" s="316">
        <f t="shared" si="507"/>
        <v>130.07075452294254</v>
      </c>
      <c r="DS506" s="314">
        <f t="shared" si="508"/>
        <v>3.8825022723376725</v>
      </c>
      <c r="DT506" s="316">
        <f t="shared" si="509"/>
        <v>130.07075452294254</v>
      </c>
      <c r="DU506" s="314">
        <f t="shared" si="497"/>
        <v>3.8825022723376725</v>
      </c>
      <c r="DV506" s="316">
        <f t="shared" si="513"/>
        <v>23.75</v>
      </c>
      <c r="DW506" s="310">
        <f t="shared" si="498"/>
        <v>4.0421052631578949</v>
      </c>
      <c r="FB506" s="307"/>
      <c r="FC506" s="307"/>
      <c r="FF506" s="307"/>
      <c r="FG506" s="307"/>
      <c r="FH506" s="306"/>
      <c r="FJ506" s="307"/>
      <c r="FK506" s="307"/>
      <c r="FL506" s="306"/>
      <c r="FM506" s="307"/>
      <c r="FN506" s="306"/>
      <c r="FO506" s="307"/>
      <c r="FP506" s="306"/>
    </row>
    <row r="507" spans="29:172">
      <c r="AC507" s="156"/>
      <c r="AQ507" s="154"/>
      <c r="CW507" s="364"/>
      <c r="CX507" s="316"/>
      <c r="CY507" s="316"/>
      <c r="DA507" s="309">
        <v>506</v>
      </c>
      <c r="DB507" s="313">
        <f t="shared" si="492"/>
        <v>384.1689385386984</v>
      </c>
      <c r="DC507" s="309">
        <f t="shared" si="493"/>
        <v>1</v>
      </c>
      <c r="DD507" s="309">
        <f t="shared" si="494"/>
        <v>260</v>
      </c>
      <c r="DE507" s="308">
        <f t="shared" si="495"/>
        <v>6.5000000000000002E-2</v>
      </c>
      <c r="DF507" s="313">
        <f t="shared" si="510"/>
        <v>506</v>
      </c>
      <c r="DG507" s="313">
        <f t="shared" si="499"/>
        <v>260</v>
      </c>
      <c r="DH507" s="313">
        <f t="shared" si="500"/>
        <v>260</v>
      </c>
      <c r="DI507" s="313">
        <f t="shared" si="501"/>
        <v>0</v>
      </c>
      <c r="DJ507" s="313">
        <f t="shared" si="502"/>
        <v>0</v>
      </c>
      <c r="DK507" s="313">
        <f t="shared" si="511"/>
        <v>126644.51726962168</v>
      </c>
      <c r="DL507" s="313">
        <f t="shared" si="503"/>
        <v>24440</v>
      </c>
      <c r="DM507" s="314">
        <f t="shared" si="504"/>
        <v>18.90570280914724</v>
      </c>
      <c r="DN507" s="312">
        <f t="shared" si="505"/>
        <v>3.7363049029935258E-2</v>
      </c>
      <c r="DO507" s="312">
        <f t="shared" si="512"/>
        <v>1</v>
      </c>
      <c r="DP507" s="315">
        <f t="shared" si="496"/>
        <v>6.5000000000000002E-2</v>
      </c>
      <c r="DQ507" s="316">
        <f t="shared" si="506"/>
        <v>0.25</v>
      </c>
      <c r="DR507" s="316">
        <f t="shared" si="507"/>
        <v>130.32075452294254</v>
      </c>
      <c r="DS507" s="314">
        <f t="shared" si="508"/>
        <v>3.882727673364724</v>
      </c>
      <c r="DT507" s="316">
        <f t="shared" si="509"/>
        <v>130.32075452294254</v>
      </c>
      <c r="DU507" s="314">
        <f t="shared" si="497"/>
        <v>3.882727673364724</v>
      </c>
      <c r="DV507" s="316">
        <f t="shared" si="513"/>
        <v>23.5</v>
      </c>
      <c r="DW507" s="310">
        <f t="shared" si="498"/>
        <v>4.042553191489362</v>
      </c>
      <c r="FB507" s="307"/>
      <c r="FC507" s="307"/>
      <c r="FF507" s="307"/>
      <c r="FG507" s="307"/>
      <c r="FH507" s="306"/>
      <c r="FJ507" s="307"/>
      <c r="FK507" s="307"/>
      <c r="FL507" s="306"/>
      <c r="FM507" s="307"/>
      <c r="FN507" s="306"/>
      <c r="FO507" s="307"/>
      <c r="FP507" s="306"/>
    </row>
    <row r="508" spans="29:172">
      <c r="AC508" s="156"/>
      <c r="AQ508" s="154"/>
      <c r="CW508" s="364"/>
      <c r="CX508" s="316"/>
      <c r="CY508" s="316"/>
      <c r="DA508" s="309">
        <v>507</v>
      </c>
      <c r="DB508" s="313">
        <f t="shared" si="492"/>
        <v>384.53290877296456</v>
      </c>
      <c r="DC508" s="309">
        <f t="shared" si="493"/>
        <v>1</v>
      </c>
      <c r="DD508" s="309">
        <f t="shared" si="494"/>
        <v>260</v>
      </c>
      <c r="DE508" s="308">
        <f t="shared" si="495"/>
        <v>6.5000000000000002E-2</v>
      </c>
      <c r="DF508" s="313">
        <f t="shared" si="510"/>
        <v>507</v>
      </c>
      <c r="DG508" s="313">
        <f t="shared" si="499"/>
        <v>260</v>
      </c>
      <c r="DH508" s="313">
        <f t="shared" si="500"/>
        <v>260</v>
      </c>
      <c r="DI508" s="313">
        <f t="shared" si="501"/>
        <v>0</v>
      </c>
      <c r="DJ508" s="313">
        <f t="shared" si="502"/>
        <v>0</v>
      </c>
      <c r="DK508" s="313">
        <f t="shared" si="511"/>
        <v>126904.51726962168</v>
      </c>
      <c r="DL508" s="313">
        <f t="shared" si="503"/>
        <v>24180</v>
      </c>
      <c r="DM508" s="314">
        <f t="shared" si="504"/>
        <v>18.90570280914724</v>
      </c>
      <c r="DN508" s="312">
        <f t="shared" si="505"/>
        <v>3.7289354653150371E-2</v>
      </c>
      <c r="DO508" s="312">
        <f t="shared" si="512"/>
        <v>1</v>
      </c>
      <c r="DP508" s="315">
        <f t="shared" si="496"/>
        <v>6.5000000000000002E-2</v>
      </c>
      <c r="DQ508" s="316">
        <f t="shared" si="506"/>
        <v>0.25</v>
      </c>
      <c r="DR508" s="316">
        <f t="shared" si="507"/>
        <v>130.57075452294254</v>
      </c>
      <c r="DS508" s="314">
        <f t="shared" si="508"/>
        <v>3.8829522112542838</v>
      </c>
      <c r="DT508" s="316">
        <f t="shared" si="509"/>
        <v>130.57075452294254</v>
      </c>
      <c r="DU508" s="314">
        <f t="shared" si="497"/>
        <v>3.8829522112542838</v>
      </c>
      <c r="DV508" s="316">
        <f t="shared" si="513"/>
        <v>23.25</v>
      </c>
      <c r="DW508" s="310">
        <f t="shared" si="498"/>
        <v>4.043010752688172</v>
      </c>
      <c r="FB508" s="307"/>
      <c r="FC508" s="307"/>
      <c r="FF508" s="307"/>
      <c r="FG508" s="307"/>
      <c r="FH508" s="306"/>
      <c r="FJ508" s="307"/>
      <c r="FK508" s="307"/>
      <c r="FL508" s="306"/>
      <c r="FM508" s="307"/>
      <c r="FN508" s="306"/>
      <c r="FO508" s="307"/>
      <c r="FP508" s="306"/>
    </row>
    <row r="509" spans="29:172">
      <c r="AC509" s="156"/>
      <c r="AQ509" s="154"/>
      <c r="CW509" s="364"/>
      <c r="CX509" s="316"/>
      <c r="CY509" s="316"/>
      <c r="DA509" s="309">
        <v>508</v>
      </c>
      <c r="DB509" s="313">
        <f t="shared" si="492"/>
        <v>384.89687900723078</v>
      </c>
      <c r="DC509" s="309">
        <f t="shared" si="493"/>
        <v>1</v>
      </c>
      <c r="DD509" s="309">
        <f t="shared" si="494"/>
        <v>260</v>
      </c>
      <c r="DE509" s="308">
        <f t="shared" si="495"/>
        <v>6.5000000000000002E-2</v>
      </c>
      <c r="DF509" s="313">
        <f t="shared" si="510"/>
        <v>508</v>
      </c>
      <c r="DG509" s="313">
        <f t="shared" si="499"/>
        <v>260</v>
      </c>
      <c r="DH509" s="313">
        <f t="shared" si="500"/>
        <v>260</v>
      </c>
      <c r="DI509" s="313">
        <f t="shared" si="501"/>
        <v>0</v>
      </c>
      <c r="DJ509" s="313">
        <f t="shared" si="502"/>
        <v>0</v>
      </c>
      <c r="DK509" s="313">
        <f t="shared" si="511"/>
        <v>127164.51726962168</v>
      </c>
      <c r="DL509" s="313">
        <f t="shared" si="503"/>
        <v>23920</v>
      </c>
      <c r="DM509" s="314">
        <f t="shared" si="504"/>
        <v>18.90570280914724</v>
      </c>
      <c r="DN509" s="312">
        <f t="shared" si="505"/>
        <v>3.7215950411707166E-2</v>
      </c>
      <c r="DO509" s="312">
        <f t="shared" si="512"/>
        <v>1</v>
      </c>
      <c r="DP509" s="315">
        <f t="shared" si="496"/>
        <v>6.5000000000000002E-2</v>
      </c>
      <c r="DQ509" s="316">
        <f t="shared" si="506"/>
        <v>0.25</v>
      </c>
      <c r="DR509" s="316">
        <f t="shared" si="507"/>
        <v>130.82075452294254</v>
      </c>
      <c r="DS509" s="314">
        <f t="shared" si="508"/>
        <v>3.88317589095475</v>
      </c>
      <c r="DT509" s="316">
        <f t="shared" si="509"/>
        <v>130.82075452294254</v>
      </c>
      <c r="DU509" s="314">
        <f t="shared" si="497"/>
        <v>3.88317589095475</v>
      </c>
      <c r="DV509" s="316">
        <f t="shared" si="513"/>
        <v>23</v>
      </c>
      <c r="DW509" s="310">
        <f t="shared" si="498"/>
        <v>4.0434782608695654</v>
      </c>
      <c r="FB509" s="307"/>
      <c r="FC509" s="307"/>
      <c r="FF509" s="307"/>
      <c r="FG509" s="307"/>
      <c r="FH509" s="306"/>
      <c r="FJ509" s="307"/>
      <c r="FK509" s="307"/>
      <c r="FL509" s="306"/>
      <c r="FM509" s="307"/>
      <c r="FN509" s="306"/>
      <c r="FO509" s="307"/>
      <c r="FP509" s="306"/>
    </row>
    <row r="510" spans="29:172">
      <c r="AC510" s="156"/>
      <c r="AQ510" s="154"/>
      <c r="CW510" s="364"/>
      <c r="CX510" s="316"/>
      <c r="CY510" s="316"/>
      <c r="DA510" s="309">
        <v>509</v>
      </c>
      <c r="DB510" s="313">
        <f t="shared" si="492"/>
        <v>385.260849241497</v>
      </c>
      <c r="DC510" s="309">
        <f t="shared" si="493"/>
        <v>1</v>
      </c>
      <c r="DD510" s="309">
        <f t="shared" si="494"/>
        <v>260</v>
      </c>
      <c r="DE510" s="308">
        <f t="shared" si="495"/>
        <v>6.5000000000000002E-2</v>
      </c>
      <c r="DF510" s="313">
        <f t="shared" si="510"/>
        <v>509</v>
      </c>
      <c r="DG510" s="313">
        <f t="shared" si="499"/>
        <v>260</v>
      </c>
      <c r="DH510" s="313">
        <f t="shared" si="500"/>
        <v>260</v>
      </c>
      <c r="DI510" s="313">
        <f t="shared" si="501"/>
        <v>0</v>
      </c>
      <c r="DJ510" s="313">
        <f t="shared" si="502"/>
        <v>0</v>
      </c>
      <c r="DK510" s="313">
        <f t="shared" si="511"/>
        <v>127424.51726962168</v>
      </c>
      <c r="DL510" s="313">
        <f t="shared" si="503"/>
        <v>23660</v>
      </c>
      <c r="DM510" s="314">
        <f t="shared" si="504"/>
        <v>18.90570280914724</v>
      </c>
      <c r="DN510" s="312">
        <f t="shared" si="505"/>
        <v>3.7142834595574145E-2</v>
      </c>
      <c r="DO510" s="312">
        <f t="shared" si="512"/>
        <v>1</v>
      </c>
      <c r="DP510" s="315">
        <f t="shared" si="496"/>
        <v>6.5000000000000002E-2</v>
      </c>
      <c r="DQ510" s="316">
        <f t="shared" si="506"/>
        <v>0.25</v>
      </c>
      <c r="DR510" s="316">
        <f t="shared" si="507"/>
        <v>131.07075452294254</v>
      </c>
      <c r="DS510" s="314">
        <f t="shared" si="508"/>
        <v>3.8833987173767661</v>
      </c>
      <c r="DT510" s="316">
        <f t="shared" si="509"/>
        <v>131.07075452294254</v>
      </c>
      <c r="DU510" s="314">
        <f t="shared" si="497"/>
        <v>3.8833987173767661</v>
      </c>
      <c r="DV510" s="316">
        <f t="shared" si="513"/>
        <v>22.75</v>
      </c>
      <c r="DW510" s="310">
        <f t="shared" si="498"/>
        <v>4.0439560439560438</v>
      </c>
      <c r="FB510" s="307"/>
      <c r="FC510" s="307"/>
      <c r="FF510" s="307"/>
      <c r="FG510" s="307"/>
      <c r="FH510" s="306"/>
      <c r="FJ510" s="307"/>
      <c r="FK510" s="307"/>
      <c r="FL510" s="306"/>
      <c r="FM510" s="307"/>
      <c r="FN510" s="306"/>
      <c r="FO510" s="307"/>
      <c r="FP510" s="306"/>
    </row>
    <row r="511" spans="29:172">
      <c r="AC511" s="156"/>
      <c r="AQ511" s="154"/>
      <c r="CW511" s="364"/>
      <c r="CX511" s="316"/>
      <c r="CY511" s="316"/>
      <c r="DA511" s="309">
        <v>510</v>
      </c>
      <c r="DB511" s="313">
        <f t="shared" si="492"/>
        <v>385.62481947576316</v>
      </c>
      <c r="DC511" s="309">
        <f t="shared" si="493"/>
        <v>1</v>
      </c>
      <c r="DD511" s="309">
        <f t="shared" si="494"/>
        <v>260</v>
      </c>
      <c r="DE511" s="308">
        <f t="shared" si="495"/>
        <v>6.5000000000000002E-2</v>
      </c>
      <c r="DF511" s="313">
        <f t="shared" si="510"/>
        <v>510</v>
      </c>
      <c r="DG511" s="313">
        <f t="shared" si="499"/>
        <v>260</v>
      </c>
      <c r="DH511" s="313">
        <f t="shared" si="500"/>
        <v>260</v>
      </c>
      <c r="DI511" s="313">
        <f t="shared" si="501"/>
        <v>0</v>
      </c>
      <c r="DJ511" s="313">
        <f t="shared" si="502"/>
        <v>0</v>
      </c>
      <c r="DK511" s="313">
        <f t="shared" si="511"/>
        <v>127684.51726962168</v>
      </c>
      <c r="DL511" s="313">
        <f t="shared" si="503"/>
        <v>23400</v>
      </c>
      <c r="DM511" s="314">
        <f t="shared" si="504"/>
        <v>18.90570280914724</v>
      </c>
      <c r="DN511" s="312">
        <f t="shared" si="505"/>
        <v>3.7070005508131845E-2</v>
      </c>
      <c r="DO511" s="312">
        <f t="shared" si="512"/>
        <v>1</v>
      </c>
      <c r="DP511" s="315">
        <f t="shared" si="496"/>
        <v>6.5000000000000002E-2</v>
      </c>
      <c r="DQ511" s="316">
        <f t="shared" si="506"/>
        <v>0.25</v>
      </c>
      <c r="DR511" s="316">
        <f t="shared" si="507"/>
        <v>131.32075452294254</v>
      </c>
      <c r="DS511" s="314">
        <f t="shared" si="508"/>
        <v>3.8836206953935823</v>
      </c>
      <c r="DT511" s="316">
        <f t="shared" si="509"/>
        <v>131.32075452294254</v>
      </c>
      <c r="DU511" s="314">
        <f t="shared" si="497"/>
        <v>3.8836206953935823</v>
      </c>
      <c r="DV511" s="316">
        <f t="shared" si="513"/>
        <v>22.5</v>
      </c>
      <c r="DW511" s="310">
        <f t="shared" si="498"/>
        <v>4.0444444444444443</v>
      </c>
      <c r="FB511" s="307"/>
      <c r="FC511" s="307"/>
      <c r="FF511" s="307"/>
      <c r="FG511" s="307"/>
      <c r="FH511" s="306"/>
      <c r="FJ511" s="307"/>
      <c r="FK511" s="307"/>
      <c r="FL511" s="306"/>
      <c r="FM511" s="307"/>
      <c r="FN511" s="306"/>
      <c r="FO511" s="307"/>
      <c r="FP511" s="306"/>
    </row>
    <row r="512" spans="29:172">
      <c r="AC512" s="156"/>
      <c r="AQ512" s="154"/>
      <c r="CW512" s="364"/>
      <c r="CX512" s="316"/>
      <c r="CY512" s="316"/>
      <c r="DA512" s="309">
        <v>511</v>
      </c>
      <c r="DB512" s="313">
        <f t="shared" si="492"/>
        <v>385.98878971002944</v>
      </c>
      <c r="DC512" s="309">
        <f t="shared" si="493"/>
        <v>1</v>
      </c>
      <c r="DD512" s="309">
        <f t="shared" si="494"/>
        <v>260</v>
      </c>
      <c r="DE512" s="308">
        <f t="shared" si="495"/>
        <v>6.5000000000000002E-2</v>
      </c>
      <c r="DF512" s="313">
        <f t="shared" si="510"/>
        <v>511</v>
      </c>
      <c r="DG512" s="313">
        <f t="shared" si="499"/>
        <v>260</v>
      </c>
      <c r="DH512" s="313">
        <f t="shared" si="500"/>
        <v>260</v>
      </c>
      <c r="DI512" s="313">
        <f t="shared" si="501"/>
        <v>0</v>
      </c>
      <c r="DJ512" s="313">
        <f t="shared" si="502"/>
        <v>0</v>
      </c>
      <c r="DK512" s="313">
        <f t="shared" si="511"/>
        <v>127944.51726962168</v>
      </c>
      <c r="DL512" s="313">
        <f t="shared" si="503"/>
        <v>23140</v>
      </c>
      <c r="DM512" s="314">
        <f t="shared" si="504"/>
        <v>18.90570280914724</v>
      </c>
      <c r="DN512" s="312">
        <f t="shared" si="505"/>
        <v>3.6997461466041562E-2</v>
      </c>
      <c r="DO512" s="312">
        <f t="shared" si="512"/>
        <v>1</v>
      </c>
      <c r="DP512" s="315">
        <f t="shared" si="496"/>
        <v>6.5000000000000002E-2</v>
      </c>
      <c r="DQ512" s="316">
        <f t="shared" si="506"/>
        <v>0.25</v>
      </c>
      <c r="DR512" s="316">
        <f t="shared" si="507"/>
        <v>131.57075452294254</v>
      </c>
      <c r="DS512" s="314">
        <f t="shared" si="508"/>
        <v>3.8838418298414092</v>
      </c>
      <c r="DT512" s="316">
        <f t="shared" si="509"/>
        <v>131.57075452294254</v>
      </c>
      <c r="DU512" s="314">
        <f t="shared" si="497"/>
        <v>3.8838418298414092</v>
      </c>
      <c r="DV512" s="316">
        <f t="shared" si="513"/>
        <v>22.25</v>
      </c>
      <c r="DW512" s="310">
        <f t="shared" si="498"/>
        <v>4.0449438202247192</v>
      </c>
      <c r="FB512" s="307"/>
      <c r="FC512" s="307"/>
      <c r="FF512" s="307"/>
      <c r="FG512" s="307"/>
      <c r="FH512" s="306"/>
      <c r="FJ512" s="307"/>
      <c r="FK512" s="307"/>
      <c r="FL512" s="306"/>
      <c r="FM512" s="307"/>
      <c r="FN512" s="306"/>
      <c r="FO512" s="307"/>
      <c r="FP512" s="306"/>
    </row>
    <row r="513" spans="29:172">
      <c r="AC513" s="156"/>
      <c r="AQ513" s="154"/>
      <c r="CW513" s="364"/>
      <c r="CX513" s="316"/>
      <c r="CY513" s="316"/>
      <c r="DA513" s="309">
        <v>512</v>
      </c>
      <c r="DB513" s="313">
        <f t="shared" si="492"/>
        <v>386.3527599442956</v>
      </c>
      <c r="DC513" s="309">
        <f t="shared" si="493"/>
        <v>1</v>
      </c>
      <c r="DD513" s="309">
        <f t="shared" si="494"/>
        <v>260</v>
      </c>
      <c r="DE513" s="308">
        <f t="shared" si="495"/>
        <v>6.5000000000000002E-2</v>
      </c>
      <c r="DF513" s="313">
        <f t="shared" si="510"/>
        <v>512</v>
      </c>
      <c r="DG513" s="313">
        <f t="shared" si="499"/>
        <v>260</v>
      </c>
      <c r="DH513" s="313">
        <f t="shared" si="500"/>
        <v>260</v>
      </c>
      <c r="DI513" s="313">
        <f t="shared" si="501"/>
        <v>0</v>
      </c>
      <c r="DJ513" s="313">
        <f t="shared" si="502"/>
        <v>0</v>
      </c>
      <c r="DK513" s="313">
        <f t="shared" si="511"/>
        <v>128204.51726962168</v>
      </c>
      <c r="DL513" s="313">
        <f t="shared" si="503"/>
        <v>22880</v>
      </c>
      <c r="DM513" s="314">
        <f t="shared" si="504"/>
        <v>18.90570280914724</v>
      </c>
      <c r="DN513" s="312">
        <f t="shared" si="505"/>
        <v>3.6925200799115702E-2</v>
      </c>
      <c r="DO513" s="312">
        <f t="shared" si="512"/>
        <v>1</v>
      </c>
      <c r="DP513" s="315">
        <f t="shared" si="496"/>
        <v>6.5000000000000002E-2</v>
      </c>
      <c r="DQ513" s="316">
        <f t="shared" si="506"/>
        <v>0.25</v>
      </c>
      <c r="DR513" s="316">
        <f t="shared" si="507"/>
        <v>131.82075452294254</v>
      </c>
      <c r="DS513" s="314">
        <f t="shared" si="508"/>
        <v>3.8840621255197698</v>
      </c>
      <c r="DT513" s="316">
        <f t="shared" si="509"/>
        <v>131.82075452294254</v>
      </c>
      <c r="DU513" s="314">
        <f t="shared" si="497"/>
        <v>3.8840621255197698</v>
      </c>
      <c r="DV513" s="316">
        <f t="shared" si="513"/>
        <v>22</v>
      </c>
      <c r="DW513" s="310">
        <f t="shared" si="498"/>
        <v>4.0454545454545459</v>
      </c>
      <c r="FB513" s="307"/>
      <c r="FC513" s="307"/>
      <c r="FF513" s="307"/>
      <c r="FG513" s="307"/>
      <c r="FH513" s="306"/>
      <c r="FJ513" s="307"/>
      <c r="FK513" s="307"/>
      <c r="FL513" s="306"/>
      <c r="FM513" s="307"/>
      <c r="FN513" s="306"/>
      <c r="FO513" s="307"/>
      <c r="FP513" s="306"/>
    </row>
    <row r="514" spans="29:172">
      <c r="AC514" s="156"/>
      <c r="AQ514" s="154"/>
      <c r="CW514" s="364"/>
      <c r="CX514" s="316"/>
      <c r="CY514" s="316"/>
      <c r="DA514" s="309">
        <v>513</v>
      </c>
      <c r="DB514" s="313">
        <f t="shared" ref="DB514:DB577" si="514">start+DA514*tanO</f>
        <v>386.71673017856176</v>
      </c>
      <c r="DC514" s="309">
        <f t="shared" ref="DC514:DC577" si="515">IF(DA514&lt;edge_width,1,IF(DA514&lt;mid_width,2,IF(DA514&lt;=tot_width,3,4)))</f>
        <v>1</v>
      </c>
      <c r="DD514" s="309">
        <f t="shared" ref="DD514:DD577" si="516">CHOOSE(DC514,edge_thick,second_thick,core_thick,0)</f>
        <v>260</v>
      </c>
      <c r="DE514" s="308">
        <f t="shared" ref="DE514:DE577" si="517">CHOOSE(DC514,edge_k,second_k,core_k,0)</f>
        <v>6.5000000000000002E-2</v>
      </c>
      <c r="DF514" s="313">
        <f t="shared" si="510"/>
        <v>513</v>
      </c>
      <c r="DG514" s="313">
        <f t="shared" si="499"/>
        <v>260</v>
      </c>
      <c r="DH514" s="313">
        <f t="shared" si="500"/>
        <v>260</v>
      </c>
      <c r="DI514" s="313">
        <f t="shared" si="501"/>
        <v>0</v>
      </c>
      <c r="DJ514" s="313">
        <f t="shared" si="502"/>
        <v>0</v>
      </c>
      <c r="DK514" s="313">
        <f t="shared" si="511"/>
        <v>128464.51726962168</v>
      </c>
      <c r="DL514" s="313">
        <f t="shared" si="503"/>
        <v>22620</v>
      </c>
      <c r="DM514" s="314">
        <f t="shared" si="504"/>
        <v>18.90570280914724</v>
      </c>
      <c r="DN514" s="312">
        <f t="shared" si="505"/>
        <v>3.6853221850189549E-2</v>
      </c>
      <c r="DO514" s="312">
        <f t="shared" si="512"/>
        <v>1</v>
      </c>
      <c r="DP514" s="315">
        <f t="shared" ref="DP514:DP577" si="518">DE514*DO514^CHOOSE(DC514,mult1,mult2,mult3,0)</f>
        <v>6.5000000000000002E-2</v>
      </c>
      <c r="DQ514" s="316">
        <f t="shared" si="506"/>
        <v>0.25</v>
      </c>
      <c r="DR514" s="316">
        <f t="shared" si="507"/>
        <v>132.07075452294254</v>
      </c>
      <c r="DS514" s="314">
        <f t="shared" si="508"/>
        <v>3.8842815871918468</v>
      </c>
      <c r="DT514" s="316">
        <f t="shared" si="509"/>
        <v>132.07075452294254</v>
      </c>
      <c r="DU514" s="314">
        <f t="shared" ref="DU514:DU577" si="519">IF(DC514&lt;&gt;4,CHOOSE(DC514,DA514/DT514,(DA514-edge_width+1)/DT514,(DA514-mid_width+1)/DT514),0)</f>
        <v>3.8842815871918468</v>
      </c>
      <c r="DV514" s="316">
        <f t="shared" si="513"/>
        <v>21.75</v>
      </c>
      <c r="DW514" s="310">
        <f t="shared" ref="DW514:DW577" si="520">IF(DC514&lt;&gt;4,(tot_width-DA514+1)/DV514,0)</f>
        <v>4.0459770114942533</v>
      </c>
      <c r="FB514" s="307"/>
      <c r="FC514" s="307"/>
      <c r="FF514" s="307"/>
      <c r="FG514" s="307"/>
      <c r="FH514" s="306"/>
      <c r="FJ514" s="307"/>
      <c r="FK514" s="307"/>
      <c r="FL514" s="306"/>
      <c r="FM514" s="307"/>
      <c r="FN514" s="306"/>
      <c r="FO514" s="307"/>
      <c r="FP514" s="306"/>
    </row>
    <row r="515" spans="29:172">
      <c r="AC515" s="156"/>
      <c r="AQ515" s="154"/>
      <c r="CW515" s="364"/>
      <c r="CX515" s="316"/>
      <c r="CY515" s="316"/>
      <c r="DA515" s="309">
        <v>514</v>
      </c>
      <c r="DB515" s="313">
        <f t="shared" si="514"/>
        <v>387.08070041282804</v>
      </c>
      <c r="DC515" s="309">
        <f t="shared" si="515"/>
        <v>1</v>
      </c>
      <c r="DD515" s="309">
        <f t="shared" si="516"/>
        <v>260</v>
      </c>
      <c r="DE515" s="308">
        <f t="shared" si="517"/>
        <v>6.5000000000000002E-2</v>
      </c>
      <c r="DF515" s="313">
        <f t="shared" si="510"/>
        <v>514</v>
      </c>
      <c r="DG515" s="313">
        <f t="shared" ref="DG515:DG578" si="521">IF(DC515=4,DG514,MIN(DB515,DD515))</f>
        <v>260</v>
      </c>
      <c r="DH515" s="313">
        <f t="shared" ref="DH515:DH578" si="522">IF(DC515=1,DG515,0)</f>
        <v>260</v>
      </c>
      <c r="DI515" s="313">
        <f t="shared" ref="DI515:DI578" si="523">IF(DC515=2,DG515,0)</f>
        <v>0</v>
      </c>
      <c r="DJ515" s="313">
        <f t="shared" ref="DJ515:DJ578" si="524">IF(DC515=3,DG515,0)</f>
        <v>0</v>
      </c>
      <c r="DK515" s="313">
        <f t="shared" si="511"/>
        <v>128724.51726962168</v>
      </c>
      <c r="DL515" s="313">
        <f t="shared" ref="DL515:DL578" si="525">IF(DC515&lt;4,DL516+DG515,0)</f>
        <v>22360</v>
      </c>
      <c r="DM515" s="314">
        <f t="shared" ref="DM515:DM578" si="526">IF($DC515&lt;&gt;4,IF($DA515=edge_width,$CY$2,IF($DA515=mid_width,$CY$3,1-DO515+DM514)),0)</f>
        <v>18.90570280914724</v>
      </c>
      <c r="DN515" s="312">
        <f t="shared" ref="DN515:DN578" si="527">IF(DC515&lt;&gt;4,CHOOSE(DC515,DM515/DA515,DM515/(DA515-edge_width+1),DM515/(DA515-mid_width+1)),0)</f>
        <v>3.6781522974994631E-2</v>
      </c>
      <c r="DO515" s="312">
        <f t="shared" si="512"/>
        <v>1</v>
      </c>
      <c r="DP515" s="315">
        <f t="shared" si="518"/>
        <v>6.5000000000000002E-2</v>
      </c>
      <c r="DQ515" s="316">
        <f t="shared" ref="DQ515:DQ578" si="528">IF(AND(DC515&lt;&gt;4,DG515&lt;&gt;0),1000*DP515/DG515,0)</f>
        <v>0.25</v>
      </c>
      <c r="DR515" s="316">
        <f t="shared" ref="DR515:DR578" si="529">IF(DC515&lt;&gt;4,DR514+DQ515,0)</f>
        <v>132.32075452294254</v>
      </c>
      <c r="DS515" s="314">
        <f t="shared" ref="DS515:DS578" si="530">IF(AND(DC515&lt;&gt;4,DR515&lt;&gt;0),DA515/DR515,0)</f>
        <v>3.8845002195848251</v>
      </c>
      <c r="DT515" s="316">
        <f t="shared" ref="DT515:DT578" si="531">IF(DC515&lt;&gt;4,IF(DA515=edge_width,$CY$4,IF(DA515=mid_width,$CY$5,DQ515+DT514)),0)</f>
        <v>132.32075452294254</v>
      </c>
      <c r="DU515" s="314">
        <f t="shared" si="519"/>
        <v>3.8845002195848251</v>
      </c>
      <c r="DV515" s="316">
        <f t="shared" si="513"/>
        <v>21.5</v>
      </c>
      <c r="DW515" s="310">
        <f t="shared" si="520"/>
        <v>4.0465116279069768</v>
      </c>
      <c r="FB515" s="307"/>
      <c r="FC515" s="307"/>
      <c r="FF515" s="307"/>
      <c r="FG515" s="307"/>
      <c r="FH515" s="306"/>
      <c r="FJ515" s="307"/>
      <c r="FK515" s="307"/>
      <c r="FL515" s="306"/>
      <c r="FM515" s="307"/>
      <c r="FN515" s="306"/>
      <c r="FO515" s="307"/>
      <c r="FP515" s="306"/>
    </row>
    <row r="516" spans="29:172">
      <c r="AC516" s="156"/>
      <c r="AQ516" s="154"/>
      <c r="CW516" s="364"/>
      <c r="CX516" s="316"/>
      <c r="CY516" s="316"/>
      <c r="DA516" s="309">
        <v>515</v>
      </c>
      <c r="DB516" s="313">
        <f t="shared" si="514"/>
        <v>387.4446706470942</v>
      </c>
      <c r="DC516" s="309">
        <f t="shared" si="515"/>
        <v>1</v>
      </c>
      <c r="DD516" s="309">
        <f t="shared" si="516"/>
        <v>260</v>
      </c>
      <c r="DE516" s="308">
        <f t="shared" si="517"/>
        <v>6.5000000000000002E-2</v>
      </c>
      <c r="DF516" s="313">
        <f t="shared" ref="DF516:DF579" si="532">IF(DC516&lt;4,DF515+1,DF515)</f>
        <v>515</v>
      </c>
      <c r="DG516" s="313">
        <f t="shared" si="521"/>
        <v>260</v>
      </c>
      <c r="DH516" s="313">
        <f t="shared" si="522"/>
        <v>260</v>
      </c>
      <c r="DI516" s="313">
        <f t="shared" si="523"/>
        <v>0</v>
      </c>
      <c r="DJ516" s="313">
        <f t="shared" si="524"/>
        <v>0</v>
      </c>
      <c r="DK516" s="313">
        <f t="shared" ref="DK516:DK579" si="533">IF(DC516&lt;4,DK515+DG516,0)</f>
        <v>128984.51726962168</v>
      </c>
      <c r="DL516" s="313">
        <f t="shared" si="525"/>
        <v>22100</v>
      </c>
      <c r="DM516" s="314">
        <f t="shared" si="526"/>
        <v>18.90570280914724</v>
      </c>
      <c r="DN516" s="312">
        <f t="shared" si="527"/>
        <v>3.6710102542033475E-2</v>
      </c>
      <c r="DO516" s="312">
        <f t="shared" ref="DO516:DO579" si="534">IF(AND(DC516&lt;&gt;4,DD516&lt;&gt;0),DG516/DD516,0)</f>
        <v>1</v>
      </c>
      <c r="DP516" s="315">
        <f t="shared" si="518"/>
        <v>6.5000000000000002E-2</v>
      </c>
      <c r="DQ516" s="316">
        <f t="shared" si="528"/>
        <v>0.25</v>
      </c>
      <c r="DR516" s="316">
        <f t="shared" si="529"/>
        <v>132.57075452294254</v>
      </c>
      <c r="DS516" s="314">
        <f t="shared" si="530"/>
        <v>3.8847180273902318</v>
      </c>
      <c r="DT516" s="316">
        <f t="shared" si="531"/>
        <v>132.57075452294254</v>
      </c>
      <c r="DU516" s="314">
        <f t="shared" si="519"/>
        <v>3.8847180273902318</v>
      </c>
      <c r="DV516" s="316">
        <f t="shared" ref="DV516:DV579" si="535">DV517+DQ516</f>
        <v>21.25</v>
      </c>
      <c r="DW516" s="310">
        <f t="shared" si="520"/>
        <v>4.0470588235294116</v>
      </c>
      <c r="FB516" s="307"/>
      <c r="FC516" s="307"/>
      <c r="FF516" s="307"/>
      <c r="FG516" s="307"/>
      <c r="FH516" s="306"/>
      <c r="FJ516" s="307"/>
      <c r="FK516" s="307"/>
      <c r="FL516" s="306"/>
      <c r="FM516" s="307"/>
      <c r="FN516" s="306"/>
      <c r="FO516" s="307"/>
      <c r="FP516" s="306"/>
    </row>
    <row r="517" spans="29:172">
      <c r="AC517" s="156"/>
      <c r="AQ517" s="154"/>
      <c r="CW517" s="364"/>
      <c r="CX517" s="316"/>
      <c r="CY517" s="316"/>
      <c r="DA517" s="309">
        <v>516</v>
      </c>
      <c r="DB517" s="313">
        <f t="shared" si="514"/>
        <v>387.80864088136042</v>
      </c>
      <c r="DC517" s="309">
        <f t="shared" si="515"/>
        <v>1</v>
      </c>
      <c r="DD517" s="309">
        <f t="shared" si="516"/>
        <v>260</v>
      </c>
      <c r="DE517" s="308">
        <f t="shared" si="517"/>
        <v>6.5000000000000002E-2</v>
      </c>
      <c r="DF517" s="313">
        <f t="shared" si="532"/>
        <v>516</v>
      </c>
      <c r="DG517" s="313">
        <f t="shared" si="521"/>
        <v>260</v>
      </c>
      <c r="DH517" s="313">
        <f t="shared" si="522"/>
        <v>260</v>
      </c>
      <c r="DI517" s="313">
        <f t="shared" si="523"/>
        <v>0</v>
      </c>
      <c r="DJ517" s="313">
        <f t="shared" si="524"/>
        <v>0</v>
      </c>
      <c r="DK517" s="313">
        <f t="shared" si="533"/>
        <v>129244.51726962168</v>
      </c>
      <c r="DL517" s="313">
        <f t="shared" si="525"/>
        <v>21840</v>
      </c>
      <c r="DM517" s="314">
        <f t="shared" si="526"/>
        <v>18.90570280914724</v>
      </c>
      <c r="DN517" s="312">
        <f t="shared" si="527"/>
        <v>3.663895893245589E-2</v>
      </c>
      <c r="DO517" s="312">
        <f t="shared" si="534"/>
        <v>1</v>
      </c>
      <c r="DP517" s="315">
        <f t="shared" si="518"/>
        <v>6.5000000000000002E-2</v>
      </c>
      <c r="DQ517" s="316">
        <f t="shared" si="528"/>
        <v>0.25</v>
      </c>
      <c r="DR517" s="316">
        <f t="shared" si="529"/>
        <v>132.82075452294254</v>
      </c>
      <c r="DS517" s="314">
        <f t="shared" si="530"/>
        <v>3.884935015264273</v>
      </c>
      <c r="DT517" s="316">
        <f t="shared" si="531"/>
        <v>132.82075452294254</v>
      </c>
      <c r="DU517" s="314">
        <f t="shared" si="519"/>
        <v>3.884935015264273</v>
      </c>
      <c r="DV517" s="316">
        <f t="shared" si="535"/>
        <v>21</v>
      </c>
      <c r="DW517" s="310">
        <f t="shared" si="520"/>
        <v>4.0476190476190474</v>
      </c>
      <c r="FB517" s="307"/>
      <c r="FC517" s="307"/>
      <c r="FF517" s="307"/>
      <c r="FG517" s="307"/>
      <c r="FH517" s="306"/>
      <c r="FJ517" s="307"/>
      <c r="FK517" s="307"/>
      <c r="FL517" s="306"/>
      <c r="FM517" s="307"/>
      <c r="FN517" s="306"/>
      <c r="FO517" s="307"/>
      <c r="FP517" s="306"/>
    </row>
    <row r="518" spans="29:172">
      <c r="AC518" s="156"/>
      <c r="CW518" s="364"/>
      <c r="CX518" s="316"/>
      <c r="CY518" s="316"/>
      <c r="DA518" s="309">
        <v>517</v>
      </c>
      <c r="DB518" s="313">
        <f t="shared" si="514"/>
        <v>388.17261111562664</v>
      </c>
      <c r="DC518" s="309">
        <f t="shared" si="515"/>
        <v>1</v>
      </c>
      <c r="DD518" s="309">
        <f t="shared" si="516"/>
        <v>260</v>
      </c>
      <c r="DE518" s="308">
        <f t="shared" si="517"/>
        <v>6.5000000000000002E-2</v>
      </c>
      <c r="DF518" s="313">
        <f t="shared" si="532"/>
        <v>517</v>
      </c>
      <c r="DG518" s="313">
        <f t="shared" si="521"/>
        <v>260</v>
      </c>
      <c r="DH518" s="313">
        <f t="shared" si="522"/>
        <v>260</v>
      </c>
      <c r="DI518" s="313">
        <f t="shared" si="523"/>
        <v>0</v>
      </c>
      <c r="DJ518" s="313">
        <f t="shared" si="524"/>
        <v>0</v>
      </c>
      <c r="DK518" s="313">
        <f t="shared" si="533"/>
        <v>129504.51726962168</v>
      </c>
      <c r="DL518" s="313">
        <f t="shared" si="525"/>
        <v>21580</v>
      </c>
      <c r="DM518" s="314">
        <f t="shared" si="526"/>
        <v>18.90570280914724</v>
      </c>
      <c r="DN518" s="312">
        <f t="shared" si="527"/>
        <v>3.6568090539936635E-2</v>
      </c>
      <c r="DO518" s="312">
        <f t="shared" si="534"/>
        <v>1</v>
      </c>
      <c r="DP518" s="315">
        <f t="shared" si="518"/>
        <v>6.5000000000000002E-2</v>
      </c>
      <c r="DQ518" s="316">
        <f t="shared" si="528"/>
        <v>0.25</v>
      </c>
      <c r="DR518" s="316">
        <f t="shared" si="529"/>
        <v>133.07075452294254</v>
      </c>
      <c r="DS518" s="314">
        <f t="shared" si="530"/>
        <v>3.8851511878281624</v>
      </c>
      <c r="DT518" s="316">
        <f t="shared" si="531"/>
        <v>133.07075452294254</v>
      </c>
      <c r="DU518" s="314">
        <f t="shared" si="519"/>
        <v>3.8851511878281624</v>
      </c>
      <c r="DV518" s="316">
        <f t="shared" si="535"/>
        <v>20.75</v>
      </c>
      <c r="DW518" s="310">
        <f t="shared" si="520"/>
        <v>4.0481927710843371</v>
      </c>
      <c r="FB518" s="307"/>
      <c r="FC518" s="307"/>
      <c r="FF518" s="307"/>
      <c r="FG518" s="307"/>
      <c r="FH518" s="306"/>
      <c r="FJ518" s="307"/>
      <c r="FK518" s="307"/>
      <c r="FL518" s="306"/>
      <c r="FM518" s="307"/>
      <c r="FN518" s="306"/>
      <c r="FO518" s="307"/>
      <c r="FP518" s="306"/>
    </row>
    <row r="519" spans="29:172">
      <c r="AC519" s="156"/>
      <c r="CW519" s="364"/>
      <c r="CX519" s="316"/>
      <c r="CY519" s="316"/>
      <c r="DA519" s="309">
        <v>518</v>
      </c>
      <c r="DB519" s="313">
        <f t="shared" si="514"/>
        <v>388.5365813498928</v>
      </c>
      <c r="DC519" s="309">
        <f t="shared" si="515"/>
        <v>1</v>
      </c>
      <c r="DD519" s="309">
        <f t="shared" si="516"/>
        <v>260</v>
      </c>
      <c r="DE519" s="308">
        <f t="shared" si="517"/>
        <v>6.5000000000000002E-2</v>
      </c>
      <c r="DF519" s="313">
        <f t="shared" si="532"/>
        <v>518</v>
      </c>
      <c r="DG519" s="313">
        <f t="shared" si="521"/>
        <v>260</v>
      </c>
      <c r="DH519" s="313">
        <f t="shared" si="522"/>
        <v>260</v>
      </c>
      <c r="DI519" s="313">
        <f t="shared" si="523"/>
        <v>0</v>
      </c>
      <c r="DJ519" s="313">
        <f t="shared" si="524"/>
        <v>0</v>
      </c>
      <c r="DK519" s="313">
        <f t="shared" si="533"/>
        <v>129764.51726962168</v>
      </c>
      <c r="DL519" s="313">
        <f t="shared" si="525"/>
        <v>21320</v>
      </c>
      <c r="DM519" s="314">
        <f t="shared" si="526"/>
        <v>18.90570280914724</v>
      </c>
      <c r="DN519" s="312">
        <f t="shared" si="527"/>
        <v>3.6497495770554514E-2</v>
      </c>
      <c r="DO519" s="312">
        <f t="shared" si="534"/>
        <v>1</v>
      </c>
      <c r="DP519" s="315">
        <f t="shared" si="518"/>
        <v>6.5000000000000002E-2</v>
      </c>
      <c r="DQ519" s="316">
        <f t="shared" si="528"/>
        <v>0.25</v>
      </c>
      <c r="DR519" s="316">
        <f t="shared" si="529"/>
        <v>133.32075452294254</v>
      </c>
      <c r="DS519" s="314">
        <f t="shared" si="530"/>
        <v>3.8853665496684529</v>
      </c>
      <c r="DT519" s="316">
        <f t="shared" si="531"/>
        <v>133.32075452294254</v>
      </c>
      <c r="DU519" s="314">
        <f t="shared" si="519"/>
        <v>3.8853665496684529</v>
      </c>
      <c r="DV519" s="316">
        <f t="shared" si="535"/>
        <v>20.5</v>
      </c>
      <c r="DW519" s="310">
        <f t="shared" si="520"/>
        <v>4.0487804878048781</v>
      </c>
      <c r="FB519" s="307"/>
      <c r="FC519" s="307"/>
      <c r="FF519" s="307"/>
      <c r="FG519" s="307"/>
      <c r="FH519" s="306"/>
      <c r="FJ519" s="307"/>
      <c r="FK519" s="307"/>
      <c r="FL519" s="306"/>
      <c r="FM519" s="307"/>
      <c r="FN519" s="306"/>
      <c r="FO519" s="307"/>
      <c r="FP519" s="306"/>
    </row>
    <row r="520" spans="29:172">
      <c r="AC520" s="156"/>
      <c r="CW520" s="364"/>
      <c r="CX520" s="316"/>
      <c r="CY520" s="316"/>
      <c r="DA520" s="309">
        <v>519</v>
      </c>
      <c r="DB520" s="313">
        <f t="shared" si="514"/>
        <v>388.90055158415902</v>
      </c>
      <c r="DC520" s="309">
        <f t="shared" si="515"/>
        <v>1</v>
      </c>
      <c r="DD520" s="309">
        <f t="shared" si="516"/>
        <v>260</v>
      </c>
      <c r="DE520" s="308">
        <f t="shared" si="517"/>
        <v>6.5000000000000002E-2</v>
      </c>
      <c r="DF520" s="313">
        <f t="shared" si="532"/>
        <v>519</v>
      </c>
      <c r="DG520" s="313">
        <f t="shared" si="521"/>
        <v>260</v>
      </c>
      <c r="DH520" s="313">
        <f t="shared" si="522"/>
        <v>260</v>
      </c>
      <c r="DI520" s="313">
        <f t="shared" si="523"/>
        <v>0</v>
      </c>
      <c r="DJ520" s="313">
        <f t="shared" si="524"/>
        <v>0</v>
      </c>
      <c r="DK520" s="313">
        <f t="shared" si="533"/>
        <v>130024.51726962168</v>
      </c>
      <c r="DL520" s="313">
        <f t="shared" si="525"/>
        <v>21060</v>
      </c>
      <c r="DM520" s="314">
        <f t="shared" si="526"/>
        <v>18.90570280914724</v>
      </c>
      <c r="DN520" s="312">
        <f t="shared" si="527"/>
        <v>3.6427173042672907E-2</v>
      </c>
      <c r="DO520" s="312">
        <f t="shared" si="534"/>
        <v>1</v>
      </c>
      <c r="DP520" s="315">
        <f t="shared" si="518"/>
        <v>6.5000000000000002E-2</v>
      </c>
      <c r="DQ520" s="316">
        <f t="shared" si="528"/>
        <v>0.25</v>
      </c>
      <c r="DR520" s="316">
        <f t="shared" si="529"/>
        <v>133.57075452294254</v>
      </c>
      <c r="DS520" s="314">
        <f t="shared" si="530"/>
        <v>3.8855811053373581</v>
      </c>
      <c r="DT520" s="316">
        <f t="shared" si="531"/>
        <v>133.57075452294254</v>
      </c>
      <c r="DU520" s="314">
        <f t="shared" si="519"/>
        <v>3.8855811053373581</v>
      </c>
      <c r="DV520" s="316">
        <f t="shared" si="535"/>
        <v>20.25</v>
      </c>
      <c r="DW520" s="310">
        <f t="shared" si="520"/>
        <v>4.0493827160493829</v>
      </c>
      <c r="FB520" s="307"/>
      <c r="FC520" s="307"/>
      <c r="FF520" s="307"/>
      <c r="FG520" s="307"/>
      <c r="FH520" s="306"/>
      <c r="FJ520" s="307"/>
      <c r="FK520" s="307"/>
      <c r="FL520" s="306"/>
      <c r="FM520" s="307"/>
      <c r="FN520" s="306"/>
      <c r="FO520" s="307"/>
      <c r="FP520" s="306"/>
    </row>
    <row r="521" spans="29:172">
      <c r="AC521" s="156"/>
      <c r="CW521" s="364"/>
      <c r="CX521" s="316"/>
      <c r="CY521" s="316"/>
      <c r="DA521" s="309">
        <v>520</v>
      </c>
      <c r="DB521" s="313">
        <f t="shared" si="514"/>
        <v>389.26452181842524</v>
      </c>
      <c r="DC521" s="309">
        <f t="shared" si="515"/>
        <v>1</v>
      </c>
      <c r="DD521" s="309">
        <f t="shared" si="516"/>
        <v>260</v>
      </c>
      <c r="DE521" s="308">
        <f t="shared" si="517"/>
        <v>6.5000000000000002E-2</v>
      </c>
      <c r="DF521" s="313">
        <f t="shared" si="532"/>
        <v>520</v>
      </c>
      <c r="DG521" s="313">
        <f t="shared" si="521"/>
        <v>260</v>
      </c>
      <c r="DH521" s="313">
        <f t="shared" si="522"/>
        <v>260</v>
      </c>
      <c r="DI521" s="313">
        <f t="shared" si="523"/>
        <v>0</v>
      </c>
      <c r="DJ521" s="313">
        <f t="shared" si="524"/>
        <v>0</v>
      </c>
      <c r="DK521" s="313">
        <f t="shared" si="533"/>
        <v>130284.51726962168</v>
      </c>
      <c r="DL521" s="313">
        <f t="shared" si="525"/>
        <v>20800</v>
      </c>
      <c r="DM521" s="314">
        <f t="shared" si="526"/>
        <v>18.90570280914724</v>
      </c>
      <c r="DN521" s="312">
        <f t="shared" si="527"/>
        <v>3.6357120786821615E-2</v>
      </c>
      <c r="DO521" s="312">
        <f t="shared" si="534"/>
        <v>1</v>
      </c>
      <c r="DP521" s="315">
        <f t="shared" si="518"/>
        <v>6.5000000000000002E-2</v>
      </c>
      <c r="DQ521" s="316">
        <f t="shared" si="528"/>
        <v>0.25</v>
      </c>
      <c r="DR521" s="316">
        <f t="shared" si="529"/>
        <v>133.82075452294254</v>
      </c>
      <c r="DS521" s="314">
        <f t="shared" si="530"/>
        <v>3.885794859353076</v>
      </c>
      <c r="DT521" s="316">
        <f t="shared" si="531"/>
        <v>133.82075452294254</v>
      </c>
      <c r="DU521" s="314">
        <f t="shared" si="519"/>
        <v>3.885794859353076</v>
      </c>
      <c r="DV521" s="316">
        <f t="shared" si="535"/>
        <v>20</v>
      </c>
      <c r="DW521" s="310">
        <f t="shared" si="520"/>
        <v>4.05</v>
      </c>
      <c r="FB521" s="307"/>
      <c r="FC521" s="307"/>
      <c r="FF521" s="307"/>
      <c r="FG521" s="307"/>
      <c r="FH521" s="306"/>
      <c r="FJ521" s="307"/>
      <c r="FK521" s="307"/>
      <c r="FL521" s="306"/>
      <c r="FM521" s="307"/>
      <c r="FN521" s="306"/>
      <c r="FO521" s="307"/>
      <c r="FP521" s="306"/>
    </row>
    <row r="522" spans="29:172">
      <c r="AC522" s="156"/>
      <c r="CW522" s="364"/>
      <c r="CX522" s="316"/>
      <c r="CY522" s="316"/>
      <c r="DA522" s="309">
        <v>521</v>
      </c>
      <c r="DB522" s="313">
        <f t="shared" si="514"/>
        <v>389.6284920526914</v>
      </c>
      <c r="DC522" s="309">
        <f t="shared" si="515"/>
        <v>1</v>
      </c>
      <c r="DD522" s="309">
        <f t="shared" si="516"/>
        <v>260</v>
      </c>
      <c r="DE522" s="308">
        <f t="shared" si="517"/>
        <v>6.5000000000000002E-2</v>
      </c>
      <c r="DF522" s="313">
        <f t="shared" si="532"/>
        <v>521</v>
      </c>
      <c r="DG522" s="313">
        <f t="shared" si="521"/>
        <v>260</v>
      </c>
      <c r="DH522" s="313">
        <f t="shared" si="522"/>
        <v>260</v>
      </c>
      <c r="DI522" s="313">
        <f t="shared" si="523"/>
        <v>0</v>
      </c>
      <c r="DJ522" s="313">
        <f t="shared" si="524"/>
        <v>0</v>
      </c>
      <c r="DK522" s="313">
        <f t="shared" si="533"/>
        <v>130544.51726962168</v>
      </c>
      <c r="DL522" s="313">
        <f t="shared" si="525"/>
        <v>20540</v>
      </c>
      <c r="DM522" s="314">
        <f t="shared" si="526"/>
        <v>18.90570280914724</v>
      </c>
      <c r="DN522" s="312">
        <f t="shared" si="527"/>
        <v>3.6287337445580117E-2</v>
      </c>
      <c r="DO522" s="312">
        <f t="shared" si="534"/>
        <v>1</v>
      </c>
      <c r="DP522" s="315">
        <f t="shared" si="518"/>
        <v>6.5000000000000002E-2</v>
      </c>
      <c r="DQ522" s="316">
        <f t="shared" si="528"/>
        <v>0.25</v>
      </c>
      <c r="DR522" s="316">
        <f t="shared" si="529"/>
        <v>134.07075452294254</v>
      </c>
      <c r="DS522" s="314">
        <f t="shared" si="530"/>
        <v>3.8860078162001028</v>
      </c>
      <c r="DT522" s="316">
        <f t="shared" si="531"/>
        <v>134.07075452294254</v>
      </c>
      <c r="DU522" s="314">
        <f t="shared" si="519"/>
        <v>3.8860078162001028</v>
      </c>
      <c r="DV522" s="316">
        <f t="shared" si="535"/>
        <v>19.75</v>
      </c>
      <c r="DW522" s="310">
        <f t="shared" si="520"/>
        <v>4.0506329113924053</v>
      </c>
      <c r="FB522" s="307"/>
      <c r="FC522" s="307"/>
      <c r="FF522" s="307"/>
      <c r="FG522" s="307"/>
      <c r="FH522" s="306"/>
      <c r="FJ522" s="307"/>
      <c r="FK522" s="307"/>
      <c r="FL522" s="306"/>
      <c r="FM522" s="307"/>
      <c r="FN522" s="306"/>
      <c r="FO522" s="307"/>
      <c r="FP522" s="306"/>
    </row>
    <row r="523" spans="29:172">
      <c r="AC523" s="156"/>
      <c r="CW523" s="364"/>
      <c r="CX523" s="316"/>
      <c r="CY523" s="316"/>
      <c r="DA523" s="309">
        <v>522</v>
      </c>
      <c r="DB523" s="313">
        <f t="shared" si="514"/>
        <v>389.99246228695762</v>
      </c>
      <c r="DC523" s="309">
        <f t="shared" si="515"/>
        <v>1</v>
      </c>
      <c r="DD523" s="309">
        <f t="shared" si="516"/>
        <v>260</v>
      </c>
      <c r="DE523" s="308">
        <f t="shared" si="517"/>
        <v>6.5000000000000002E-2</v>
      </c>
      <c r="DF523" s="313">
        <f t="shared" si="532"/>
        <v>522</v>
      </c>
      <c r="DG523" s="313">
        <f t="shared" si="521"/>
        <v>260</v>
      </c>
      <c r="DH523" s="313">
        <f t="shared" si="522"/>
        <v>260</v>
      </c>
      <c r="DI523" s="313">
        <f t="shared" si="523"/>
        <v>0</v>
      </c>
      <c r="DJ523" s="313">
        <f t="shared" si="524"/>
        <v>0</v>
      </c>
      <c r="DK523" s="313">
        <f t="shared" si="533"/>
        <v>130804.51726962168</v>
      </c>
      <c r="DL523" s="313">
        <f t="shared" si="525"/>
        <v>20280</v>
      </c>
      <c r="DM523" s="314">
        <f t="shared" si="526"/>
        <v>18.90570280914724</v>
      </c>
      <c r="DN523" s="312">
        <f t="shared" si="527"/>
        <v>3.6217821473462142E-2</v>
      </c>
      <c r="DO523" s="312">
        <f t="shared" si="534"/>
        <v>1</v>
      </c>
      <c r="DP523" s="315">
        <f t="shared" si="518"/>
        <v>6.5000000000000002E-2</v>
      </c>
      <c r="DQ523" s="316">
        <f t="shared" si="528"/>
        <v>0.25</v>
      </c>
      <c r="DR523" s="316">
        <f t="shared" si="529"/>
        <v>134.32075452294254</v>
      </c>
      <c r="DS523" s="314">
        <f t="shared" si="530"/>
        <v>3.8862199803295496</v>
      </c>
      <c r="DT523" s="316">
        <f t="shared" si="531"/>
        <v>134.32075452294254</v>
      </c>
      <c r="DU523" s="314">
        <f t="shared" si="519"/>
        <v>3.8862199803295496</v>
      </c>
      <c r="DV523" s="316">
        <f t="shared" si="535"/>
        <v>19.5</v>
      </c>
      <c r="DW523" s="310">
        <f t="shared" si="520"/>
        <v>4.0512820512820511</v>
      </c>
      <c r="FB523" s="307"/>
      <c r="FC523" s="307"/>
      <c r="FF523" s="307"/>
      <c r="FG523" s="307"/>
      <c r="FH523" s="306"/>
      <c r="FJ523" s="307"/>
      <c r="FK523" s="307"/>
      <c r="FL523" s="306"/>
      <c r="FM523" s="307"/>
      <c r="FN523" s="306"/>
      <c r="FO523" s="307"/>
      <c r="FP523" s="306"/>
    </row>
    <row r="524" spans="29:172">
      <c r="AC524" s="156"/>
      <c r="CW524" s="364"/>
      <c r="CX524" s="316"/>
      <c r="CY524" s="316"/>
      <c r="DA524" s="309">
        <v>523</v>
      </c>
      <c r="DB524" s="313">
        <f t="shared" si="514"/>
        <v>390.35643252122384</v>
      </c>
      <c r="DC524" s="309">
        <f t="shared" si="515"/>
        <v>1</v>
      </c>
      <c r="DD524" s="309">
        <f t="shared" si="516"/>
        <v>260</v>
      </c>
      <c r="DE524" s="308">
        <f t="shared" si="517"/>
        <v>6.5000000000000002E-2</v>
      </c>
      <c r="DF524" s="313">
        <f t="shared" si="532"/>
        <v>523</v>
      </c>
      <c r="DG524" s="313">
        <f t="shared" si="521"/>
        <v>260</v>
      </c>
      <c r="DH524" s="313">
        <f t="shared" si="522"/>
        <v>260</v>
      </c>
      <c r="DI524" s="313">
        <f t="shared" si="523"/>
        <v>0</v>
      </c>
      <c r="DJ524" s="313">
        <f t="shared" si="524"/>
        <v>0</v>
      </c>
      <c r="DK524" s="313">
        <f t="shared" si="533"/>
        <v>131064.51726962168</v>
      </c>
      <c r="DL524" s="313">
        <f t="shared" si="525"/>
        <v>20020</v>
      </c>
      <c r="DM524" s="314">
        <f t="shared" si="526"/>
        <v>18.90570280914724</v>
      </c>
      <c r="DN524" s="312">
        <f t="shared" si="527"/>
        <v>3.6148571336801605E-2</v>
      </c>
      <c r="DO524" s="312">
        <f t="shared" si="534"/>
        <v>1</v>
      </c>
      <c r="DP524" s="315">
        <f t="shared" si="518"/>
        <v>6.5000000000000002E-2</v>
      </c>
      <c r="DQ524" s="316">
        <f t="shared" si="528"/>
        <v>0.25</v>
      </c>
      <c r="DR524" s="316">
        <f t="shared" si="529"/>
        <v>134.57075452294254</v>
      </c>
      <c r="DS524" s="314">
        <f t="shared" si="530"/>
        <v>3.8864313561594499</v>
      </c>
      <c r="DT524" s="316">
        <f t="shared" si="531"/>
        <v>134.57075452294254</v>
      </c>
      <c r="DU524" s="314">
        <f t="shared" si="519"/>
        <v>3.8864313561594499</v>
      </c>
      <c r="DV524" s="316">
        <f t="shared" si="535"/>
        <v>19.25</v>
      </c>
      <c r="DW524" s="310">
        <f t="shared" si="520"/>
        <v>4.0519480519480515</v>
      </c>
      <c r="FB524" s="307"/>
      <c r="FC524" s="307"/>
      <c r="FF524" s="307"/>
      <c r="FG524" s="307"/>
      <c r="FH524" s="306"/>
      <c r="FJ524" s="307"/>
      <c r="FK524" s="307"/>
      <c r="FL524" s="306"/>
      <c r="FM524" s="307"/>
      <c r="FN524" s="306"/>
      <c r="FO524" s="307"/>
      <c r="FP524" s="306"/>
    </row>
    <row r="525" spans="29:172">
      <c r="AC525" s="156"/>
      <c r="CW525" s="364"/>
      <c r="CX525" s="316"/>
      <c r="CY525" s="316"/>
      <c r="DA525" s="309">
        <v>524</v>
      </c>
      <c r="DB525" s="313">
        <f t="shared" si="514"/>
        <v>390.72040275549</v>
      </c>
      <c r="DC525" s="309">
        <f t="shared" si="515"/>
        <v>1</v>
      </c>
      <c r="DD525" s="309">
        <f t="shared" si="516"/>
        <v>260</v>
      </c>
      <c r="DE525" s="308">
        <f t="shared" si="517"/>
        <v>6.5000000000000002E-2</v>
      </c>
      <c r="DF525" s="313">
        <f t="shared" si="532"/>
        <v>524</v>
      </c>
      <c r="DG525" s="313">
        <f t="shared" si="521"/>
        <v>260</v>
      </c>
      <c r="DH525" s="313">
        <f t="shared" si="522"/>
        <v>260</v>
      </c>
      <c r="DI525" s="313">
        <f t="shared" si="523"/>
        <v>0</v>
      </c>
      <c r="DJ525" s="313">
        <f t="shared" si="524"/>
        <v>0</v>
      </c>
      <c r="DK525" s="313">
        <f t="shared" si="533"/>
        <v>131324.51726962166</v>
      </c>
      <c r="DL525" s="313">
        <f t="shared" si="525"/>
        <v>19760</v>
      </c>
      <c r="DM525" s="314">
        <f t="shared" si="526"/>
        <v>18.90570280914724</v>
      </c>
      <c r="DN525" s="312">
        <f t="shared" si="527"/>
        <v>3.6079585513639767E-2</v>
      </c>
      <c r="DO525" s="312">
        <f t="shared" si="534"/>
        <v>1</v>
      </c>
      <c r="DP525" s="315">
        <f t="shared" si="518"/>
        <v>6.5000000000000002E-2</v>
      </c>
      <c r="DQ525" s="316">
        <f t="shared" si="528"/>
        <v>0.25</v>
      </c>
      <c r="DR525" s="316">
        <f t="shared" si="529"/>
        <v>134.82075452294254</v>
      </c>
      <c r="DS525" s="314">
        <f t="shared" si="530"/>
        <v>3.8866419480750687</v>
      </c>
      <c r="DT525" s="316">
        <f t="shared" si="531"/>
        <v>134.82075452294254</v>
      </c>
      <c r="DU525" s="314">
        <f t="shared" si="519"/>
        <v>3.8866419480750687</v>
      </c>
      <c r="DV525" s="316">
        <f t="shared" si="535"/>
        <v>19</v>
      </c>
      <c r="DW525" s="310">
        <f t="shared" si="520"/>
        <v>4.0526315789473681</v>
      </c>
      <c r="FB525" s="307"/>
      <c r="FC525" s="307"/>
      <c r="FF525" s="307"/>
      <c r="FG525" s="307"/>
      <c r="FH525" s="306"/>
      <c r="FJ525" s="307"/>
      <c r="FK525" s="307"/>
      <c r="FL525" s="306"/>
      <c r="FM525" s="307"/>
      <c r="FN525" s="306"/>
      <c r="FO525" s="307"/>
      <c r="FP525" s="306"/>
    </row>
    <row r="526" spans="29:172">
      <c r="AC526" s="156"/>
      <c r="CW526" s="364"/>
      <c r="CX526" s="316"/>
      <c r="CY526" s="316"/>
      <c r="DA526" s="309">
        <v>525</v>
      </c>
      <c r="DB526" s="313">
        <f t="shared" si="514"/>
        <v>391.08437298975622</v>
      </c>
      <c r="DC526" s="309">
        <f t="shared" si="515"/>
        <v>1</v>
      </c>
      <c r="DD526" s="309">
        <f t="shared" si="516"/>
        <v>260</v>
      </c>
      <c r="DE526" s="308">
        <f t="shared" si="517"/>
        <v>6.5000000000000002E-2</v>
      </c>
      <c r="DF526" s="313">
        <f t="shared" si="532"/>
        <v>525</v>
      </c>
      <c r="DG526" s="313">
        <f t="shared" si="521"/>
        <v>260</v>
      </c>
      <c r="DH526" s="313">
        <f t="shared" si="522"/>
        <v>260</v>
      </c>
      <c r="DI526" s="313">
        <f t="shared" si="523"/>
        <v>0</v>
      </c>
      <c r="DJ526" s="313">
        <f t="shared" si="524"/>
        <v>0</v>
      </c>
      <c r="DK526" s="313">
        <f t="shared" si="533"/>
        <v>131584.51726962166</v>
      </c>
      <c r="DL526" s="313">
        <f t="shared" si="525"/>
        <v>19500</v>
      </c>
      <c r="DM526" s="314">
        <f t="shared" si="526"/>
        <v>18.90570280914724</v>
      </c>
      <c r="DN526" s="312">
        <f t="shared" si="527"/>
        <v>3.6010862493613786E-2</v>
      </c>
      <c r="DO526" s="312">
        <f t="shared" si="534"/>
        <v>1</v>
      </c>
      <c r="DP526" s="315">
        <f t="shared" si="518"/>
        <v>6.5000000000000002E-2</v>
      </c>
      <c r="DQ526" s="316">
        <f t="shared" si="528"/>
        <v>0.25</v>
      </c>
      <c r="DR526" s="316">
        <f t="shared" si="529"/>
        <v>135.07075452294254</v>
      </c>
      <c r="DS526" s="314">
        <f t="shared" si="530"/>
        <v>3.8868517604292037</v>
      </c>
      <c r="DT526" s="316">
        <f t="shared" si="531"/>
        <v>135.07075452294254</v>
      </c>
      <c r="DU526" s="314">
        <f t="shared" si="519"/>
        <v>3.8868517604292037</v>
      </c>
      <c r="DV526" s="316">
        <f t="shared" si="535"/>
        <v>18.75</v>
      </c>
      <c r="DW526" s="310">
        <f t="shared" si="520"/>
        <v>4.0533333333333337</v>
      </c>
      <c r="FB526" s="307"/>
      <c r="FC526" s="307"/>
      <c r="FF526" s="307"/>
      <c r="FG526" s="307"/>
      <c r="FH526" s="306"/>
      <c r="FJ526" s="307"/>
      <c r="FK526" s="307"/>
      <c r="FL526" s="306"/>
      <c r="FM526" s="307"/>
      <c r="FN526" s="306"/>
      <c r="FO526" s="307"/>
      <c r="FP526" s="306"/>
    </row>
    <row r="527" spans="29:172">
      <c r="AC527" s="156"/>
      <c r="CW527" s="364"/>
      <c r="CX527" s="316"/>
      <c r="CY527" s="316"/>
      <c r="DA527" s="309">
        <v>526</v>
      </c>
      <c r="DB527" s="313">
        <f t="shared" si="514"/>
        <v>391.44834322402244</v>
      </c>
      <c r="DC527" s="309">
        <f t="shared" si="515"/>
        <v>1</v>
      </c>
      <c r="DD527" s="309">
        <f t="shared" si="516"/>
        <v>260</v>
      </c>
      <c r="DE527" s="308">
        <f t="shared" si="517"/>
        <v>6.5000000000000002E-2</v>
      </c>
      <c r="DF527" s="313">
        <f t="shared" si="532"/>
        <v>526</v>
      </c>
      <c r="DG527" s="313">
        <f t="shared" si="521"/>
        <v>260</v>
      </c>
      <c r="DH527" s="313">
        <f t="shared" si="522"/>
        <v>260</v>
      </c>
      <c r="DI527" s="313">
        <f t="shared" si="523"/>
        <v>0</v>
      </c>
      <c r="DJ527" s="313">
        <f t="shared" si="524"/>
        <v>0</v>
      </c>
      <c r="DK527" s="313">
        <f t="shared" si="533"/>
        <v>131844.51726962166</v>
      </c>
      <c r="DL527" s="313">
        <f t="shared" si="525"/>
        <v>19240</v>
      </c>
      <c r="DM527" s="314">
        <f t="shared" si="526"/>
        <v>18.90570280914724</v>
      </c>
      <c r="DN527" s="312">
        <f t="shared" si="527"/>
        <v>3.594240077784646E-2</v>
      </c>
      <c r="DO527" s="312">
        <f t="shared" si="534"/>
        <v>1</v>
      </c>
      <c r="DP527" s="315">
        <f t="shared" si="518"/>
        <v>6.5000000000000002E-2</v>
      </c>
      <c r="DQ527" s="316">
        <f t="shared" si="528"/>
        <v>0.25</v>
      </c>
      <c r="DR527" s="316">
        <f t="shared" si="529"/>
        <v>135.32075452294254</v>
      </c>
      <c r="DS527" s="314">
        <f t="shared" si="530"/>
        <v>3.8870607975424862</v>
      </c>
      <c r="DT527" s="316">
        <f t="shared" si="531"/>
        <v>135.32075452294254</v>
      </c>
      <c r="DU527" s="314">
        <f t="shared" si="519"/>
        <v>3.8870607975424862</v>
      </c>
      <c r="DV527" s="316">
        <f t="shared" si="535"/>
        <v>18.5</v>
      </c>
      <c r="DW527" s="310">
        <f t="shared" si="520"/>
        <v>4.0540540540540544</v>
      </c>
      <c r="FB527" s="307"/>
      <c r="FC527" s="307"/>
      <c r="FF527" s="307"/>
      <c r="FG527" s="307"/>
      <c r="FH527" s="306"/>
      <c r="FJ527" s="307"/>
      <c r="FK527" s="307"/>
      <c r="FL527" s="306"/>
      <c r="FM527" s="307"/>
      <c r="FN527" s="306"/>
      <c r="FO527" s="307"/>
      <c r="FP527" s="306"/>
    </row>
    <row r="528" spans="29:172">
      <c r="AC528" s="156"/>
      <c r="CW528" s="364"/>
      <c r="CX528" s="316"/>
      <c r="CY528" s="316"/>
      <c r="DA528" s="309">
        <v>527</v>
      </c>
      <c r="DB528" s="313">
        <f t="shared" si="514"/>
        <v>391.8123134582886</v>
      </c>
      <c r="DC528" s="309">
        <f t="shared" si="515"/>
        <v>1</v>
      </c>
      <c r="DD528" s="309">
        <f t="shared" si="516"/>
        <v>260</v>
      </c>
      <c r="DE528" s="308">
        <f t="shared" si="517"/>
        <v>6.5000000000000002E-2</v>
      </c>
      <c r="DF528" s="313">
        <f t="shared" si="532"/>
        <v>527</v>
      </c>
      <c r="DG528" s="313">
        <f t="shared" si="521"/>
        <v>260</v>
      </c>
      <c r="DH528" s="313">
        <f t="shared" si="522"/>
        <v>260</v>
      </c>
      <c r="DI528" s="313">
        <f t="shared" si="523"/>
        <v>0</v>
      </c>
      <c r="DJ528" s="313">
        <f t="shared" si="524"/>
        <v>0</v>
      </c>
      <c r="DK528" s="313">
        <f t="shared" si="533"/>
        <v>132104.51726962166</v>
      </c>
      <c r="DL528" s="313">
        <f t="shared" si="525"/>
        <v>18980</v>
      </c>
      <c r="DM528" s="314">
        <f t="shared" si="526"/>
        <v>18.90570280914724</v>
      </c>
      <c r="DN528" s="312">
        <f t="shared" si="527"/>
        <v>3.587419887883727E-2</v>
      </c>
      <c r="DO528" s="312">
        <f t="shared" si="534"/>
        <v>1</v>
      </c>
      <c r="DP528" s="315">
        <f t="shared" si="518"/>
        <v>6.5000000000000002E-2</v>
      </c>
      <c r="DQ528" s="316">
        <f t="shared" si="528"/>
        <v>0.25</v>
      </c>
      <c r="DR528" s="316">
        <f t="shared" si="529"/>
        <v>135.57075452294254</v>
      </c>
      <c r="DS528" s="314">
        <f t="shared" si="530"/>
        <v>3.8872690637036782</v>
      </c>
      <c r="DT528" s="316">
        <f t="shared" si="531"/>
        <v>135.57075452294254</v>
      </c>
      <c r="DU528" s="314">
        <f t="shared" si="519"/>
        <v>3.8872690637036782</v>
      </c>
      <c r="DV528" s="316">
        <f t="shared" si="535"/>
        <v>18.25</v>
      </c>
      <c r="DW528" s="310">
        <f t="shared" si="520"/>
        <v>4.0547945205479454</v>
      </c>
      <c r="FB528" s="307"/>
      <c r="FC528" s="307"/>
      <c r="FF528" s="307"/>
      <c r="FG528" s="307"/>
      <c r="FH528" s="306"/>
      <c r="FJ528" s="307"/>
      <c r="FK528" s="307"/>
      <c r="FL528" s="306"/>
      <c r="FM528" s="307"/>
      <c r="FN528" s="306"/>
      <c r="FO528" s="307"/>
      <c r="FP528" s="306"/>
    </row>
    <row r="529" spans="29:172">
      <c r="AC529" s="156"/>
      <c r="CW529" s="364"/>
      <c r="CX529" s="316"/>
      <c r="CY529" s="316"/>
      <c r="DA529" s="309">
        <v>528</v>
      </c>
      <c r="DB529" s="313">
        <f t="shared" si="514"/>
        <v>392.17628369255488</v>
      </c>
      <c r="DC529" s="309">
        <f t="shared" si="515"/>
        <v>1</v>
      </c>
      <c r="DD529" s="309">
        <f t="shared" si="516"/>
        <v>260</v>
      </c>
      <c r="DE529" s="308">
        <f t="shared" si="517"/>
        <v>6.5000000000000002E-2</v>
      </c>
      <c r="DF529" s="313">
        <f t="shared" si="532"/>
        <v>528</v>
      </c>
      <c r="DG529" s="313">
        <f t="shared" si="521"/>
        <v>260</v>
      </c>
      <c r="DH529" s="313">
        <f t="shared" si="522"/>
        <v>260</v>
      </c>
      <c r="DI529" s="313">
        <f t="shared" si="523"/>
        <v>0</v>
      </c>
      <c r="DJ529" s="313">
        <f t="shared" si="524"/>
        <v>0</v>
      </c>
      <c r="DK529" s="313">
        <f t="shared" si="533"/>
        <v>132364.51726962166</v>
      </c>
      <c r="DL529" s="313">
        <f t="shared" si="525"/>
        <v>18720</v>
      </c>
      <c r="DM529" s="314">
        <f t="shared" si="526"/>
        <v>18.90570280914724</v>
      </c>
      <c r="DN529" s="312">
        <f t="shared" si="527"/>
        <v>3.580625532035462E-2</v>
      </c>
      <c r="DO529" s="312">
        <f t="shared" si="534"/>
        <v>1</v>
      </c>
      <c r="DP529" s="315">
        <f t="shared" si="518"/>
        <v>6.5000000000000002E-2</v>
      </c>
      <c r="DQ529" s="316">
        <f t="shared" si="528"/>
        <v>0.25</v>
      </c>
      <c r="DR529" s="316">
        <f t="shared" si="529"/>
        <v>135.82075452294254</v>
      </c>
      <c r="DS529" s="314">
        <f t="shared" si="530"/>
        <v>3.8874765631699639</v>
      </c>
      <c r="DT529" s="316">
        <f t="shared" si="531"/>
        <v>135.82075452294254</v>
      </c>
      <c r="DU529" s="314">
        <f t="shared" si="519"/>
        <v>3.8874765631699639</v>
      </c>
      <c r="DV529" s="316">
        <f t="shared" si="535"/>
        <v>18</v>
      </c>
      <c r="DW529" s="310">
        <f t="shared" si="520"/>
        <v>4.0555555555555554</v>
      </c>
      <c r="FB529" s="307"/>
      <c r="FC529" s="307"/>
      <c r="FF529" s="307"/>
      <c r="FG529" s="307"/>
      <c r="FH529" s="306"/>
      <c r="FJ529" s="307"/>
      <c r="FK529" s="307"/>
      <c r="FL529" s="306"/>
      <c r="FM529" s="307"/>
      <c r="FN529" s="306"/>
      <c r="FO529" s="307"/>
      <c r="FP529" s="306"/>
    </row>
    <row r="530" spans="29:172">
      <c r="AC530" s="156"/>
      <c r="CW530" s="364"/>
      <c r="CX530" s="316"/>
      <c r="CY530" s="316"/>
      <c r="DA530" s="309">
        <v>529</v>
      </c>
      <c r="DB530" s="313">
        <f t="shared" si="514"/>
        <v>392.54025392682104</v>
      </c>
      <c r="DC530" s="309">
        <f t="shared" si="515"/>
        <v>1</v>
      </c>
      <c r="DD530" s="309">
        <f t="shared" si="516"/>
        <v>260</v>
      </c>
      <c r="DE530" s="308">
        <f t="shared" si="517"/>
        <v>6.5000000000000002E-2</v>
      </c>
      <c r="DF530" s="313">
        <f t="shared" si="532"/>
        <v>529</v>
      </c>
      <c r="DG530" s="313">
        <f t="shared" si="521"/>
        <v>260</v>
      </c>
      <c r="DH530" s="313">
        <f t="shared" si="522"/>
        <v>260</v>
      </c>
      <c r="DI530" s="313">
        <f t="shared" si="523"/>
        <v>0</v>
      </c>
      <c r="DJ530" s="313">
        <f t="shared" si="524"/>
        <v>0</v>
      </c>
      <c r="DK530" s="313">
        <f t="shared" si="533"/>
        <v>132624.51726962166</v>
      </c>
      <c r="DL530" s="313">
        <f t="shared" si="525"/>
        <v>18460</v>
      </c>
      <c r="DM530" s="314">
        <f t="shared" si="526"/>
        <v>18.90570280914724</v>
      </c>
      <c r="DN530" s="312">
        <f t="shared" si="527"/>
        <v>3.5738568637329375E-2</v>
      </c>
      <c r="DO530" s="312">
        <f t="shared" si="534"/>
        <v>1</v>
      </c>
      <c r="DP530" s="315">
        <f t="shared" si="518"/>
        <v>6.5000000000000002E-2</v>
      </c>
      <c r="DQ530" s="316">
        <f t="shared" si="528"/>
        <v>0.25</v>
      </c>
      <c r="DR530" s="316">
        <f t="shared" si="529"/>
        <v>136.07075452294254</v>
      </c>
      <c r="DS530" s="314">
        <f t="shared" si="530"/>
        <v>3.8876833001672426</v>
      </c>
      <c r="DT530" s="316">
        <f t="shared" si="531"/>
        <v>136.07075452294254</v>
      </c>
      <c r="DU530" s="314">
        <f t="shared" si="519"/>
        <v>3.8876833001672426</v>
      </c>
      <c r="DV530" s="316">
        <f t="shared" si="535"/>
        <v>17.75</v>
      </c>
      <c r="DW530" s="310">
        <f t="shared" si="520"/>
        <v>4.056338028169014</v>
      </c>
      <c r="FB530" s="307"/>
      <c r="FC530" s="307"/>
      <c r="FF530" s="307"/>
      <c r="FG530" s="307"/>
      <c r="FH530" s="306"/>
      <c r="FJ530" s="307"/>
      <c r="FK530" s="307"/>
      <c r="FL530" s="306"/>
      <c r="FM530" s="307"/>
      <c r="FN530" s="306"/>
      <c r="FO530" s="307"/>
      <c r="FP530" s="306"/>
    </row>
    <row r="531" spans="29:172">
      <c r="AC531" s="156"/>
      <c r="CW531" s="364"/>
      <c r="CX531" s="316"/>
      <c r="CY531" s="316"/>
      <c r="DA531" s="309">
        <v>530</v>
      </c>
      <c r="DB531" s="313">
        <f t="shared" si="514"/>
        <v>392.9042241610872</v>
      </c>
      <c r="DC531" s="309">
        <f t="shared" si="515"/>
        <v>1</v>
      </c>
      <c r="DD531" s="309">
        <f t="shared" si="516"/>
        <v>260</v>
      </c>
      <c r="DE531" s="308">
        <f t="shared" si="517"/>
        <v>6.5000000000000002E-2</v>
      </c>
      <c r="DF531" s="313">
        <f t="shared" si="532"/>
        <v>530</v>
      </c>
      <c r="DG531" s="313">
        <f t="shared" si="521"/>
        <v>260</v>
      </c>
      <c r="DH531" s="313">
        <f t="shared" si="522"/>
        <v>260</v>
      </c>
      <c r="DI531" s="313">
        <f t="shared" si="523"/>
        <v>0</v>
      </c>
      <c r="DJ531" s="313">
        <f t="shared" si="524"/>
        <v>0</v>
      </c>
      <c r="DK531" s="313">
        <f t="shared" si="533"/>
        <v>132884.51726962166</v>
      </c>
      <c r="DL531" s="313">
        <f t="shared" si="525"/>
        <v>18200</v>
      </c>
      <c r="DM531" s="314">
        <f t="shared" si="526"/>
        <v>18.90570280914724</v>
      </c>
      <c r="DN531" s="312">
        <f t="shared" si="527"/>
        <v>3.5671137375749506E-2</v>
      </c>
      <c r="DO531" s="312">
        <f t="shared" si="534"/>
        <v>1</v>
      </c>
      <c r="DP531" s="315">
        <f t="shared" si="518"/>
        <v>6.5000000000000002E-2</v>
      </c>
      <c r="DQ531" s="316">
        <f t="shared" si="528"/>
        <v>0.25</v>
      </c>
      <c r="DR531" s="316">
        <f t="shared" si="529"/>
        <v>136.32075452294254</v>
      </c>
      <c r="DS531" s="314">
        <f t="shared" si="530"/>
        <v>3.8878892788904125</v>
      </c>
      <c r="DT531" s="316">
        <f t="shared" si="531"/>
        <v>136.32075452294254</v>
      </c>
      <c r="DU531" s="314">
        <f t="shared" si="519"/>
        <v>3.8878892788904125</v>
      </c>
      <c r="DV531" s="316">
        <f t="shared" si="535"/>
        <v>17.5</v>
      </c>
      <c r="DW531" s="310">
        <f t="shared" si="520"/>
        <v>4.0571428571428569</v>
      </c>
      <c r="FB531" s="307"/>
      <c r="FC531" s="307"/>
      <c r="FF531" s="307"/>
      <c r="FG531" s="307"/>
      <c r="FH531" s="306"/>
      <c r="FJ531" s="307"/>
      <c r="FK531" s="307"/>
      <c r="FL531" s="306"/>
      <c r="FM531" s="307"/>
      <c r="FN531" s="306"/>
      <c r="FO531" s="307"/>
      <c r="FP531" s="306"/>
    </row>
    <row r="532" spans="29:172">
      <c r="AC532" s="156"/>
      <c r="CW532" s="364"/>
      <c r="CX532" s="316"/>
      <c r="CY532" s="316"/>
      <c r="DA532" s="309">
        <v>531</v>
      </c>
      <c r="DB532" s="313">
        <f t="shared" si="514"/>
        <v>393.26819439535348</v>
      </c>
      <c r="DC532" s="309">
        <f t="shared" si="515"/>
        <v>1</v>
      </c>
      <c r="DD532" s="309">
        <f t="shared" si="516"/>
        <v>260</v>
      </c>
      <c r="DE532" s="308">
        <f t="shared" si="517"/>
        <v>6.5000000000000002E-2</v>
      </c>
      <c r="DF532" s="313">
        <f t="shared" si="532"/>
        <v>531</v>
      </c>
      <c r="DG532" s="313">
        <f t="shared" si="521"/>
        <v>260</v>
      </c>
      <c r="DH532" s="313">
        <f t="shared" si="522"/>
        <v>260</v>
      </c>
      <c r="DI532" s="313">
        <f t="shared" si="523"/>
        <v>0</v>
      </c>
      <c r="DJ532" s="313">
        <f t="shared" si="524"/>
        <v>0</v>
      </c>
      <c r="DK532" s="313">
        <f t="shared" si="533"/>
        <v>133144.51726962166</v>
      </c>
      <c r="DL532" s="313">
        <f t="shared" si="525"/>
        <v>17940</v>
      </c>
      <c r="DM532" s="314">
        <f t="shared" si="526"/>
        <v>18.90570280914724</v>
      </c>
      <c r="DN532" s="312">
        <f t="shared" si="527"/>
        <v>3.5603960092556008E-2</v>
      </c>
      <c r="DO532" s="312">
        <f t="shared" si="534"/>
        <v>1</v>
      </c>
      <c r="DP532" s="315">
        <f t="shared" si="518"/>
        <v>6.5000000000000002E-2</v>
      </c>
      <c r="DQ532" s="316">
        <f t="shared" si="528"/>
        <v>0.25</v>
      </c>
      <c r="DR532" s="316">
        <f t="shared" si="529"/>
        <v>136.57075452294254</v>
      </c>
      <c r="DS532" s="314">
        <f t="shared" si="530"/>
        <v>3.8880945035036563</v>
      </c>
      <c r="DT532" s="316">
        <f t="shared" si="531"/>
        <v>136.57075452294254</v>
      </c>
      <c r="DU532" s="314">
        <f t="shared" si="519"/>
        <v>3.8880945035036563</v>
      </c>
      <c r="DV532" s="316">
        <f t="shared" si="535"/>
        <v>17.25</v>
      </c>
      <c r="DW532" s="310">
        <f t="shared" si="520"/>
        <v>4.0579710144927539</v>
      </c>
      <c r="FB532" s="307"/>
      <c r="FC532" s="307"/>
      <c r="FF532" s="307"/>
      <c r="FG532" s="307"/>
      <c r="FH532" s="306"/>
      <c r="FJ532" s="307"/>
      <c r="FK532" s="307"/>
      <c r="FL532" s="306"/>
      <c r="FM532" s="307"/>
      <c r="FN532" s="306"/>
      <c r="FO532" s="307"/>
      <c r="FP532" s="306"/>
    </row>
    <row r="533" spans="29:172">
      <c r="AC533" s="156"/>
      <c r="CW533" s="364"/>
      <c r="CX533" s="316"/>
      <c r="CY533" s="316"/>
      <c r="DA533" s="309">
        <v>532</v>
      </c>
      <c r="DB533" s="313">
        <f t="shared" si="514"/>
        <v>393.63216462961964</v>
      </c>
      <c r="DC533" s="309">
        <f t="shared" si="515"/>
        <v>1</v>
      </c>
      <c r="DD533" s="309">
        <f t="shared" si="516"/>
        <v>260</v>
      </c>
      <c r="DE533" s="308">
        <f t="shared" si="517"/>
        <v>6.5000000000000002E-2</v>
      </c>
      <c r="DF533" s="313">
        <f t="shared" si="532"/>
        <v>532</v>
      </c>
      <c r="DG533" s="313">
        <f t="shared" si="521"/>
        <v>260</v>
      </c>
      <c r="DH533" s="313">
        <f t="shared" si="522"/>
        <v>260</v>
      </c>
      <c r="DI533" s="313">
        <f t="shared" si="523"/>
        <v>0</v>
      </c>
      <c r="DJ533" s="313">
        <f t="shared" si="524"/>
        <v>0</v>
      </c>
      <c r="DK533" s="313">
        <f t="shared" si="533"/>
        <v>133404.51726962166</v>
      </c>
      <c r="DL533" s="313">
        <f t="shared" si="525"/>
        <v>17680</v>
      </c>
      <c r="DM533" s="314">
        <f t="shared" si="526"/>
        <v>18.90570280914724</v>
      </c>
      <c r="DN533" s="312">
        <f t="shared" si="527"/>
        <v>3.5537035355539925E-2</v>
      </c>
      <c r="DO533" s="312">
        <f t="shared" si="534"/>
        <v>1</v>
      </c>
      <c r="DP533" s="315">
        <f t="shared" si="518"/>
        <v>6.5000000000000002E-2</v>
      </c>
      <c r="DQ533" s="316">
        <f t="shared" si="528"/>
        <v>0.25</v>
      </c>
      <c r="DR533" s="316">
        <f t="shared" si="529"/>
        <v>136.82075452294254</v>
      </c>
      <c r="DS533" s="314">
        <f t="shared" si="530"/>
        <v>3.8882989781407216</v>
      </c>
      <c r="DT533" s="316">
        <f t="shared" si="531"/>
        <v>136.82075452294254</v>
      </c>
      <c r="DU533" s="314">
        <f t="shared" si="519"/>
        <v>3.8882989781407216</v>
      </c>
      <c r="DV533" s="316">
        <f t="shared" si="535"/>
        <v>17</v>
      </c>
      <c r="DW533" s="310">
        <f t="shared" si="520"/>
        <v>4.0588235294117645</v>
      </c>
      <c r="FB533" s="307"/>
      <c r="FC533" s="307"/>
      <c r="FF533" s="307"/>
      <c r="FG533" s="307"/>
      <c r="FH533" s="306"/>
      <c r="FJ533" s="307"/>
      <c r="FK533" s="307"/>
      <c r="FL533" s="306"/>
      <c r="FM533" s="307"/>
      <c r="FN533" s="306"/>
      <c r="FO533" s="307"/>
      <c r="FP533" s="306"/>
    </row>
    <row r="534" spans="29:172">
      <c r="AC534" s="156"/>
      <c r="CW534" s="364"/>
      <c r="CX534" s="316"/>
      <c r="CY534" s="316"/>
      <c r="DA534" s="309">
        <v>533</v>
      </c>
      <c r="DB534" s="313">
        <f t="shared" si="514"/>
        <v>393.99613486388586</v>
      </c>
      <c r="DC534" s="309">
        <f t="shared" si="515"/>
        <v>1</v>
      </c>
      <c r="DD534" s="309">
        <f t="shared" si="516"/>
        <v>260</v>
      </c>
      <c r="DE534" s="308">
        <f t="shared" si="517"/>
        <v>6.5000000000000002E-2</v>
      </c>
      <c r="DF534" s="313">
        <f t="shared" si="532"/>
        <v>533</v>
      </c>
      <c r="DG534" s="313">
        <f t="shared" si="521"/>
        <v>260</v>
      </c>
      <c r="DH534" s="313">
        <f t="shared" si="522"/>
        <v>260</v>
      </c>
      <c r="DI534" s="313">
        <f t="shared" si="523"/>
        <v>0</v>
      </c>
      <c r="DJ534" s="313">
        <f t="shared" si="524"/>
        <v>0</v>
      </c>
      <c r="DK534" s="313">
        <f t="shared" si="533"/>
        <v>133664.51726962166</v>
      </c>
      <c r="DL534" s="313">
        <f t="shared" si="525"/>
        <v>17420</v>
      </c>
      <c r="DM534" s="314">
        <f t="shared" si="526"/>
        <v>18.90570280914724</v>
      </c>
      <c r="DN534" s="312">
        <f t="shared" si="527"/>
        <v>3.54703617432406E-2</v>
      </c>
      <c r="DO534" s="312">
        <f t="shared" si="534"/>
        <v>1</v>
      </c>
      <c r="DP534" s="315">
        <f t="shared" si="518"/>
        <v>6.5000000000000002E-2</v>
      </c>
      <c r="DQ534" s="316">
        <f t="shared" si="528"/>
        <v>0.25</v>
      </c>
      <c r="DR534" s="316">
        <f t="shared" si="529"/>
        <v>137.07075452294254</v>
      </c>
      <c r="DS534" s="314">
        <f t="shared" si="530"/>
        <v>3.8885027069051983</v>
      </c>
      <c r="DT534" s="316">
        <f t="shared" si="531"/>
        <v>137.07075452294254</v>
      </c>
      <c r="DU534" s="314">
        <f t="shared" si="519"/>
        <v>3.8885027069051983</v>
      </c>
      <c r="DV534" s="316">
        <f t="shared" si="535"/>
        <v>16.75</v>
      </c>
      <c r="DW534" s="310">
        <f t="shared" si="520"/>
        <v>4.0597014925373136</v>
      </c>
      <c r="FB534" s="307"/>
      <c r="FC534" s="307"/>
      <c r="FF534" s="307"/>
      <c r="FG534" s="307"/>
      <c r="FH534" s="306"/>
      <c r="FJ534" s="307"/>
      <c r="FK534" s="307"/>
      <c r="FL534" s="306"/>
      <c r="FM534" s="307"/>
      <c r="FN534" s="306"/>
      <c r="FO534" s="307"/>
      <c r="FP534" s="306"/>
    </row>
    <row r="535" spans="29:172">
      <c r="AC535" s="156"/>
      <c r="CW535" s="364"/>
      <c r="CX535" s="316"/>
      <c r="CY535" s="316"/>
      <c r="DA535" s="309">
        <v>534</v>
      </c>
      <c r="DB535" s="313">
        <f t="shared" si="514"/>
        <v>394.36010509815208</v>
      </c>
      <c r="DC535" s="309">
        <f t="shared" si="515"/>
        <v>1</v>
      </c>
      <c r="DD535" s="309">
        <f t="shared" si="516"/>
        <v>260</v>
      </c>
      <c r="DE535" s="308">
        <f t="shared" si="517"/>
        <v>6.5000000000000002E-2</v>
      </c>
      <c r="DF535" s="313">
        <f t="shared" si="532"/>
        <v>534</v>
      </c>
      <c r="DG535" s="313">
        <f t="shared" si="521"/>
        <v>260</v>
      </c>
      <c r="DH535" s="313">
        <f t="shared" si="522"/>
        <v>260</v>
      </c>
      <c r="DI535" s="313">
        <f t="shared" si="523"/>
        <v>0</v>
      </c>
      <c r="DJ535" s="313">
        <f t="shared" si="524"/>
        <v>0</v>
      </c>
      <c r="DK535" s="313">
        <f t="shared" si="533"/>
        <v>133924.51726962166</v>
      </c>
      <c r="DL535" s="313">
        <f t="shared" si="525"/>
        <v>17160</v>
      </c>
      <c r="DM535" s="314">
        <f t="shared" si="526"/>
        <v>18.90570280914724</v>
      </c>
      <c r="DN535" s="312">
        <f t="shared" si="527"/>
        <v>3.5403937844845017E-2</v>
      </c>
      <c r="DO535" s="312">
        <f t="shared" si="534"/>
        <v>1</v>
      </c>
      <c r="DP535" s="315">
        <f t="shared" si="518"/>
        <v>6.5000000000000002E-2</v>
      </c>
      <c r="DQ535" s="316">
        <f t="shared" si="528"/>
        <v>0.25</v>
      </c>
      <c r="DR535" s="316">
        <f t="shared" si="529"/>
        <v>137.32075452294254</v>
      </c>
      <c r="DS535" s="314">
        <f t="shared" si="530"/>
        <v>3.8887056938707922</v>
      </c>
      <c r="DT535" s="316">
        <f t="shared" si="531"/>
        <v>137.32075452294254</v>
      </c>
      <c r="DU535" s="314">
        <f t="shared" si="519"/>
        <v>3.8887056938707922</v>
      </c>
      <c r="DV535" s="316">
        <f t="shared" si="535"/>
        <v>16.5</v>
      </c>
      <c r="DW535" s="310">
        <f t="shared" si="520"/>
        <v>4.0606060606060606</v>
      </c>
      <c r="FB535" s="307"/>
      <c r="FC535" s="307"/>
      <c r="FF535" s="307"/>
      <c r="FG535" s="307"/>
      <c r="FH535" s="306"/>
      <c r="FJ535" s="307"/>
      <c r="FK535" s="307"/>
      <c r="FL535" s="306"/>
      <c r="FM535" s="307"/>
      <c r="FN535" s="306"/>
      <c r="FO535" s="307"/>
      <c r="FP535" s="306"/>
    </row>
    <row r="536" spans="29:172">
      <c r="AC536" s="156"/>
      <c r="CW536" s="364"/>
      <c r="CX536" s="316"/>
      <c r="CY536" s="316"/>
      <c r="DA536" s="309">
        <v>535</v>
      </c>
      <c r="DB536" s="313">
        <f t="shared" si="514"/>
        <v>394.72407533241824</v>
      </c>
      <c r="DC536" s="309">
        <f t="shared" si="515"/>
        <v>1</v>
      </c>
      <c r="DD536" s="309">
        <f t="shared" si="516"/>
        <v>260</v>
      </c>
      <c r="DE536" s="308">
        <f t="shared" si="517"/>
        <v>6.5000000000000002E-2</v>
      </c>
      <c r="DF536" s="313">
        <f t="shared" si="532"/>
        <v>535</v>
      </c>
      <c r="DG536" s="313">
        <f t="shared" si="521"/>
        <v>260</v>
      </c>
      <c r="DH536" s="313">
        <f t="shared" si="522"/>
        <v>260</v>
      </c>
      <c r="DI536" s="313">
        <f t="shared" si="523"/>
        <v>0</v>
      </c>
      <c r="DJ536" s="313">
        <f t="shared" si="524"/>
        <v>0</v>
      </c>
      <c r="DK536" s="313">
        <f t="shared" si="533"/>
        <v>134184.51726962166</v>
      </c>
      <c r="DL536" s="313">
        <f t="shared" si="525"/>
        <v>16900</v>
      </c>
      <c r="DM536" s="314">
        <f t="shared" si="526"/>
        <v>18.90570280914724</v>
      </c>
      <c r="DN536" s="312">
        <f t="shared" si="527"/>
        <v>3.53377622600883E-2</v>
      </c>
      <c r="DO536" s="312">
        <f t="shared" si="534"/>
        <v>1</v>
      </c>
      <c r="DP536" s="315">
        <f t="shared" si="518"/>
        <v>6.5000000000000002E-2</v>
      </c>
      <c r="DQ536" s="316">
        <f t="shared" si="528"/>
        <v>0.25</v>
      </c>
      <c r="DR536" s="316">
        <f t="shared" si="529"/>
        <v>137.57075452294254</v>
      </c>
      <c r="DS536" s="314">
        <f t="shared" si="530"/>
        <v>3.8889079430815987</v>
      </c>
      <c r="DT536" s="316">
        <f t="shared" si="531"/>
        <v>137.57075452294254</v>
      </c>
      <c r="DU536" s="314">
        <f t="shared" si="519"/>
        <v>3.8889079430815987</v>
      </c>
      <c r="DV536" s="316">
        <f t="shared" si="535"/>
        <v>16.25</v>
      </c>
      <c r="DW536" s="310">
        <f t="shared" si="520"/>
        <v>4.0615384615384613</v>
      </c>
      <c r="FB536" s="307"/>
      <c r="FC536" s="307"/>
      <c r="FF536" s="307"/>
      <c r="FG536" s="307"/>
      <c r="FH536" s="306"/>
      <c r="FJ536" s="307"/>
      <c r="FK536" s="307"/>
      <c r="FL536" s="306"/>
      <c r="FM536" s="307"/>
      <c r="FN536" s="306"/>
      <c r="FO536" s="307"/>
      <c r="FP536" s="306"/>
    </row>
    <row r="537" spans="29:172">
      <c r="AC537" s="156"/>
      <c r="CW537" s="364"/>
      <c r="CX537" s="316"/>
      <c r="CY537" s="316"/>
      <c r="DA537" s="309">
        <v>536</v>
      </c>
      <c r="DB537" s="313">
        <f t="shared" si="514"/>
        <v>395.08804556668446</v>
      </c>
      <c r="DC537" s="309">
        <f t="shared" si="515"/>
        <v>1</v>
      </c>
      <c r="DD537" s="309">
        <f t="shared" si="516"/>
        <v>260</v>
      </c>
      <c r="DE537" s="308">
        <f t="shared" si="517"/>
        <v>6.5000000000000002E-2</v>
      </c>
      <c r="DF537" s="313">
        <f t="shared" si="532"/>
        <v>536</v>
      </c>
      <c r="DG537" s="313">
        <f t="shared" si="521"/>
        <v>260</v>
      </c>
      <c r="DH537" s="313">
        <f t="shared" si="522"/>
        <v>260</v>
      </c>
      <c r="DI537" s="313">
        <f t="shared" si="523"/>
        <v>0</v>
      </c>
      <c r="DJ537" s="313">
        <f t="shared" si="524"/>
        <v>0</v>
      </c>
      <c r="DK537" s="313">
        <f t="shared" si="533"/>
        <v>134444.51726962166</v>
      </c>
      <c r="DL537" s="313">
        <f t="shared" si="525"/>
        <v>16640</v>
      </c>
      <c r="DM537" s="314">
        <f t="shared" si="526"/>
        <v>18.90570280914724</v>
      </c>
      <c r="DN537" s="312">
        <f t="shared" si="527"/>
        <v>3.5271833599155297E-2</v>
      </c>
      <c r="DO537" s="312">
        <f t="shared" si="534"/>
        <v>1</v>
      </c>
      <c r="DP537" s="315">
        <f t="shared" si="518"/>
        <v>6.5000000000000002E-2</v>
      </c>
      <c r="DQ537" s="316">
        <f t="shared" si="528"/>
        <v>0.25</v>
      </c>
      <c r="DR537" s="316">
        <f t="shared" si="529"/>
        <v>137.82075452294254</v>
      </c>
      <c r="DS537" s="314">
        <f t="shared" si="530"/>
        <v>3.8891094585523689</v>
      </c>
      <c r="DT537" s="316">
        <f t="shared" si="531"/>
        <v>137.82075452294254</v>
      </c>
      <c r="DU537" s="314">
        <f t="shared" si="519"/>
        <v>3.8891094585523689</v>
      </c>
      <c r="DV537" s="316">
        <f t="shared" si="535"/>
        <v>16</v>
      </c>
      <c r="DW537" s="310">
        <f t="shared" si="520"/>
        <v>4.0625</v>
      </c>
      <c r="FB537" s="307"/>
      <c r="FC537" s="307"/>
      <c r="FF537" s="307"/>
      <c r="FG537" s="307"/>
      <c r="FH537" s="306"/>
      <c r="FJ537" s="307"/>
      <c r="FK537" s="307"/>
      <c r="FL537" s="306"/>
      <c r="FM537" s="307"/>
      <c r="FN537" s="306"/>
      <c r="FO537" s="307"/>
      <c r="FP537" s="306"/>
    </row>
    <row r="538" spans="29:172">
      <c r="AC538" s="156"/>
      <c r="CW538" s="364"/>
      <c r="CX538" s="316"/>
      <c r="CY538" s="316"/>
      <c r="DA538" s="309">
        <v>537</v>
      </c>
      <c r="DB538" s="313">
        <f t="shared" si="514"/>
        <v>395.45201580095068</v>
      </c>
      <c r="DC538" s="309">
        <f t="shared" si="515"/>
        <v>1</v>
      </c>
      <c r="DD538" s="309">
        <f t="shared" si="516"/>
        <v>260</v>
      </c>
      <c r="DE538" s="308">
        <f t="shared" si="517"/>
        <v>6.5000000000000002E-2</v>
      </c>
      <c r="DF538" s="313">
        <f t="shared" si="532"/>
        <v>537</v>
      </c>
      <c r="DG538" s="313">
        <f t="shared" si="521"/>
        <v>260</v>
      </c>
      <c r="DH538" s="313">
        <f t="shared" si="522"/>
        <v>260</v>
      </c>
      <c r="DI538" s="313">
        <f t="shared" si="523"/>
        <v>0</v>
      </c>
      <c r="DJ538" s="313">
        <f t="shared" si="524"/>
        <v>0</v>
      </c>
      <c r="DK538" s="313">
        <f t="shared" si="533"/>
        <v>134704.51726962166</v>
      </c>
      <c r="DL538" s="313">
        <f t="shared" si="525"/>
        <v>16380</v>
      </c>
      <c r="DM538" s="314">
        <f t="shared" si="526"/>
        <v>18.90570280914724</v>
      </c>
      <c r="DN538" s="312">
        <f t="shared" si="527"/>
        <v>3.5206150482583312E-2</v>
      </c>
      <c r="DO538" s="312">
        <f t="shared" si="534"/>
        <v>1</v>
      </c>
      <c r="DP538" s="315">
        <f t="shared" si="518"/>
        <v>6.5000000000000002E-2</v>
      </c>
      <c r="DQ538" s="316">
        <f t="shared" si="528"/>
        <v>0.25</v>
      </c>
      <c r="DR538" s="316">
        <f t="shared" si="529"/>
        <v>138.07075452294254</v>
      </c>
      <c r="DS538" s="314">
        <f t="shared" si="530"/>
        <v>3.8893102442687773</v>
      </c>
      <c r="DT538" s="316">
        <f t="shared" si="531"/>
        <v>138.07075452294254</v>
      </c>
      <c r="DU538" s="314">
        <f t="shared" si="519"/>
        <v>3.8893102442687773</v>
      </c>
      <c r="DV538" s="316">
        <f t="shared" si="535"/>
        <v>15.75</v>
      </c>
      <c r="DW538" s="310">
        <f t="shared" si="520"/>
        <v>4.0634920634920633</v>
      </c>
      <c r="FB538" s="307"/>
      <c r="FC538" s="307"/>
      <c r="FF538" s="307"/>
      <c r="FG538" s="307"/>
      <c r="FH538" s="306"/>
      <c r="FJ538" s="307"/>
      <c r="FK538" s="307"/>
      <c r="FL538" s="306"/>
      <c r="FM538" s="307"/>
      <c r="FN538" s="306"/>
      <c r="FO538" s="307"/>
      <c r="FP538" s="306"/>
    </row>
    <row r="539" spans="29:172">
      <c r="AC539" s="156"/>
      <c r="CW539" s="364"/>
      <c r="CX539" s="316"/>
      <c r="CY539" s="316"/>
      <c r="DA539" s="309">
        <v>538</v>
      </c>
      <c r="DB539" s="313">
        <f t="shared" si="514"/>
        <v>395.81598603521684</v>
      </c>
      <c r="DC539" s="309">
        <f t="shared" si="515"/>
        <v>1</v>
      </c>
      <c r="DD539" s="309">
        <f t="shared" si="516"/>
        <v>260</v>
      </c>
      <c r="DE539" s="308">
        <f t="shared" si="517"/>
        <v>6.5000000000000002E-2</v>
      </c>
      <c r="DF539" s="313">
        <f t="shared" si="532"/>
        <v>538</v>
      </c>
      <c r="DG539" s="313">
        <f t="shared" si="521"/>
        <v>260</v>
      </c>
      <c r="DH539" s="313">
        <f t="shared" si="522"/>
        <v>260</v>
      </c>
      <c r="DI539" s="313">
        <f t="shared" si="523"/>
        <v>0</v>
      </c>
      <c r="DJ539" s="313">
        <f t="shared" si="524"/>
        <v>0</v>
      </c>
      <c r="DK539" s="313">
        <f t="shared" si="533"/>
        <v>134964.51726962166</v>
      </c>
      <c r="DL539" s="313">
        <f t="shared" si="525"/>
        <v>16120</v>
      </c>
      <c r="DM539" s="314">
        <f t="shared" si="526"/>
        <v>18.90570280914724</v>
      </c>
      <c r="DN539" s="312">
        <f t="shared" si="527"/>
        <v>3.5140711541165874E-2</v>
      </c>
      <c r="DO539" s="312">
        <f t="shared" si="534"/>
        <v>1</v>
      </c>
      <c r="DP539" s="315">
        <f t="shared" si="518"/>
        <v>6.5000000000000002E-2</v>
      </c>
      <c r="DQ539" s="316">
        <f t="shared" si="528"/>
        <v>0.25</v>
      </c>
      <c r="DR539" s="316">
        <f t="shared" si="529"/>
        <v>138.32075452294254</v>
      </c>
      <c r="DS539" s="314">
        <f t="shared" si="530"/>
        <v>3.8895103041876826</v>
      </c>
      <c r="DT539" s="316">
        <f t="shared" si="531"/>
        <v>138.32075452294254</v>
      </c>
      <c r="DU539" s="314">
        <f t="shared" si="519"/>
        <v>3.8895103041876826</v>
      </c>
      <c r="DV539" s="316">
        <f t="shared" si="535"/>
        <v>15.5</v>
      </c>
      <c r="DW539" s="310">
        <f t="shared" si="520"/>
        <v>4.064516129032258</v>
      </c>
      <c r="FB539" s="307"/>
      <c r="FC539" s="307"/>
      <c r="FF539" s="307"/>
      <c r="FG539" s="307"/>
      <c r="FH539" s="306"/>
      <c r="FJ539" s="307"/>
      <c r="FK539" s="307"/>
      <c r="FL539" s="306"/>
      <c r="FM539" s="307"/>
      <c r="FN539" s="306"/>
      <c r="FO539" s="307"/>
      <c r="FP539" s="306"/>
    </row>
    <row r="540" spans="29:172">
      <c r="AC540" s="156"/>
      <c r="CW540" s="364"/>
      <c r="CX540" s="316"/>
      <c r="CY540" s="316"/>
      <c r="DA540" s="309">
        <v>539</v>
      </c>
      <c r="DB540" s="313">
        <f t="shared" si="514"/>
        <v>396.17995626948306</v>
      </c>
      <c r="DC540" s="309">
        <f t="shared" si="515"/>
        <v>1</v>
      </c>
      <c r="DD540" s="309">
        <f t="shared" si="516"/>
        <v>260</v>
      </c>
      <c r="DE540" s="308">
        <f t="shared" si="517"/>
        <v>6.5000000000000002E-2</v>
      </c>
      <c r="DF540" s="313">
        <f t="shared" si="532"/>
        <v>539</v>
      </c>
      <c r="DG540" s="313">
        <f t="shared" si="521"/>
        <v>260</v>
      </c>
      <c r="DH540" s="313">
        <f t="shared" si="522"/>
        <v>260</v>
      </c>
      <c r="DI540" s="313">
        <f t="shared" si="523"/>
        <v>0</v>
      </c>
      <c r="DJ540" s="313">
        <f t="shared" si="524"/>
        <v>0</v>
      </c>
      <c r="DK540" s="313">
        <f t="shared" si="533"/>
        <v>135224.51726962166</v>
      </c>
      <c r="DL540" s="313">
        <f t="shared" si="525"/>
        <v>15860</v>
      </c>
      <c r="DM540" s="314">
        <f t="shared" si="526"/>
        <v>18.90570280914724</v>
      </c>
      <c r="DN540" s="312">
        <f t="shared" si="527"/>
        <v>3.5075515415857586E-2</v>
      </c>
      <c r="DO540" s="312">
        <f t="shared" si="534"/>
        <v>1</v>
      </c>
      <c r="DP540" s="315">
        <f t="shared" si="518"/>
        <v>6.5000000000000002E-2</v>
      </c>
      <c r="DQ540" s="316">
        <f t="shared" si="528"/>
        <v>0.25</v>
      </c>
      <c r="DR540" s="316">
        <f t="shared" si="529"/>
        <v>138.57075452294254</v>
      </c>
      <c r="DS540" s="314">
        <f t="shared" si="530"/>
        <v>3.8897096422373898</v>
      </c>
      <c r="DT540" s="316">
        <f t="shared" si="531"/>
        <v>138.57075452294254</v>
      </c>
      <c r="DU540" s="314">
        <f t="shared" si="519"/>
        <v>3.8897096422373898</v>
      </c>
      <c r="DV540" s="316">
        <f t="shared" si="535"/>
        <v>15.25</v>
      </c>
      <c r="DW540" s="310">
        <f t="shared" si="520"/>
        <v>4.0655737704918034</v>
      </c>
      <c r="FB540" s="307"/>
      <c r="FC540" s="307"/>
      <c r="FF540" s="307"/>
      <c r="FG540" s="307"/>
      <c r="FH540" s="306"/>
      <c r="FJ540" s="307"/>
      <c r="FK540" s="307"/>
      <c r="FL540" s="306"/>
      <c r="FM540" s="307"/>
      <c r="FN540" s="306"/>
      <c r="FO540" s="307"/>
      <c r="FP540" s="306"/>
    </row>
    <row r="541" spans="29:172">
      <c r="AC541" s="156"/>
      <c r="CW541" s="364"/>
      <c r="CX541" s="316"/>
      <c r="CY541" s="316"/>
      <c r="DA541" s="309">
        <v>540</v>
      </c>
      <c r="DB541" s="313">
        <f t="shared" si="514"/>
        <v>396.54392650374928</v>
      </c>
      <c r="DC541" s="309">
        <f t="shared" si="515"/>
        <v>1</v>
      </c>
      <c r="DD541" s="309">
        <f t="shared" si="516"/>
        <v>260</v>
      </c>
      <c r="DE541" s="308">
        <f t="shared" si="517"/>
        <v>6.5000000000000002E-2</v>
      </c>
      <c r="DF541" s="313">
        <f t="shared" si="532"/>
        <v>540</v>
      </c>
      <c r="DG541" s="313">
        <f t="shared" si="521"/>
        <v>260</v>
      </c>
      <c r="DH541" s="313">
        <f t="shared" si="522"/>
        <v>260</v>
      </c>
      <c r="DI541" s="313">
        <f t="shared" si="523"/>
        <v>0</v>
      </c>
      <c r="DJ541" s="313">
        <f t="shared" si="524"/>
        <v>0</v>
      </c>
      <c r="DK541" s="313">
        <f t="shared" si="533"/>
        <v>135484.51726962166</v>
      </c>
      <c r="DL541" s="313">
        <f t="shared" si="525"/>
        <v>15600</v>
      </c>
      <c r="DM541" s="314">
        <f t="shared" si="526"/>
        <v>18.90570280914724</v>
      </c>
      <c r="DN541" s="312">
        <f t="shared" si="527"/>
        <v>3.5010560757680075E-2</v>
      </c>
      <c r="DO541" s="312">
        <f t="shared" si="534"/>
        <v>1</v>
      </c>
      <c r="DP541" s="315">
        <f t="shared" si="518"/>
        <v>6.5000000000000002E-2</v>
      </c>
      <c r="DQ541" s="316">
        <f t="shared" si="528"/>
        <v>0.25</v>
      </c>
      <c r="DR541" s="316">
        <f t="shared" si="529"/>
        <v>138.82075452294254</v>
      </c>
      <c r="DS541" s="314">
        <f t="shared" si="530"/>
        <v>3.8899082623179062</v>
      </c>
      <c r="DT541" s="316">
        <f t="shared" si="531"/>
        <v>138.82075452294254</v>
      </c>
      <c r="DU541" s="314">
        <f t="shared" si="519"/>
        <v>3.8899082623179062</v>
      </c>
      <c r="DV541" s="316">
        <f t="shared" si="535"/>
        <v>15</v>
      </c>
      <c r="DW541" s="310">
        <f t="shared" si="520"/>
        <v>4.0666666666666664</v>
      </c>
      <c r="FB541" s="307"/>
      <c r="FC541" s="307"/>
      <c r="FF541" s="307"/>
      <c r="FG541" s="307"/>
      <c r="FH541" s="306"/>
      <c r="FJ541" s="307"/>
      <c r="FK541" s="307"/>
      <c r="FL541" s="306"/>
      <c r="FM541" s="307"/>
      <c r="FN541" s="306"/>
      <c r="FO541" s="307"/>
      <c r="FP541" s="306"/>
    </row>
    <row r="542" spans="29:172">
      <c r="AC542" s="156"/>
      <c r="CW542" s="364"/>
      <c r="CX542" s="316"/>
      <c r="CY542" s="316"/>
      <c r="DA542" s="309">
        <v>541</v>
      </c>
      <c r="DB542" s="313">
        <f t="shared" si="514"/>
        <v>396.90789673801544</v>
      </c>
      <c r="DC542" s="309">
        <f t="shared" si="515"/>
        <v>1</v>
      </c>
      <c r="DD542" s="309">
        <f t="shared" si="516"/>
        <v>260</v>
      </c>
      <c r="DE542" s="308">
        <f t="shared" si="517"/>
        <v>6.5000000000000002E-2</v>
      </c>
      <c r="DF542" s="313">
        <f t="shared" si="532"/>
        <v>541</v>
      </c>
      <c r="DG542" s="313">
        <f t="shared" si="521"/>
        <v>260</v>
      </c>
      <c r="DH542" s="313">
        <f t="shared" si="522"/>
        <v>260</v>
      </c>
      <c r="DI542" s="313">
        <f t="shared" si="523"/>
        <v>0</v>
      </c>
      <c r="DJ542" s="313">
        <f t="shared" si="524"/>
        <v>0</v>
      </c>
      <c r="DK542" s="313">
        <f t="shared" si="533"/>
        <v>135744.51726962166</v>
      </c>
      <c r="DL542" s="313">
        <f t="shared" si="525"/>
        <v>15340</v>
      </c>
      <c r="DM542" s="314">
        <f t="shared" si="526"/>
        <v>18.90570280914724</v>
      </c>
      <c r="DN542" s="312">
        <f t="shared" si="527"/>
        <v>3.4945846227628911E-2</v>
      </c>
      <c r="DO542" s="312">
        <f t="shared" si="534"/>
        <v>1</v>
      </c>
      <c r="DP542" s="315">
        <f t="shared" si="518"/>
        <v>6.5000000000000002E-2</v>
      </c>
      <c r="DQ542" s="316">
        <f t="shared" si="528"/>
        <v>0.25</v>
      </c>
      <c r="DR542" s="316">
        <f t="shared" si="529"/>
        <v>139.07075452294254</v>
      </c>
      <c r="DS542" s="314">
        <f t="shared" si="530"/>
        <v>3.8901061683011946</v>
      </c>
      <c r="DT542" s="316">
        <f t="shared" si="531"/>
        <v>139.07075452294254</v>
      </c>
      <c r="DU542" s="314">
        <f t="shared" si="519"/>
        <v>3.8901061683011946</v>
      </c>
      <c r="DV542" s="316">
        <f t="shared" si="535"/>
        <v>14.75</v>
      </c>
      <c r="DW542" s="310">
        <f t="shared" si="520"/>
        <v>4.0677966101694913</v>
      </c>
      <c r="FB542" s="307"/>
      <c r="FC542" s="307"/>
      <c r="FF542" s="307"/>
      <c r="FG542" s="307"/>
      <c r="FH542" s="306"/>
      <c r="FJ542" s="307"/>
      <c r="FK542" s="307"/>
      <c r="FL542" s="306"/>
      <c r="FM542" s="307"/>
      <c r="FN542" s="306"/>
      <c r="FO542" s="307"/>
      <c r="FP542" s="306"/>
    </row>
    <row r="543" spans="29:172">
      <c r="AC543" s="156"/>
      <c r="CW543" s="364"/>
      <c r="CX543" s="316"/>
      <c r="CY543" s="316"/>
      <c r="DA543" s="309">
        <v>542</v>
      </c>
      <c r="DB543" s="313">
        <f t="shared" si="514"/>
        <v>397.27186697228166</v>
      </c>
      <c r="DC543" s="309">
        <f t="shared" si="515"/>
        <v>1</v>
      </c>
      <c r="DD543" s="309">
        <f t="shared" si="516"/>
        <v>260</v>
      </c>
      <c r="DE543" s="308">
        <f t="shared" si="517"/>
        <v>6.5000000000000002E-2</v>
      </c>
      <c r="DF543" s="313">
        <f t="shared" si="532"/>
        <v>542</v>
      </c>
      <c r="DG543" s="313">
        <f t="shared" si="521"/>
        <v>260</v>
      </c>
      <c r="DH543" s="313">
        <f t="shared" si="522"/>
        <v>260</v>
      </c>
      <c r="DI543" s="313">
        <f t="shared" si="523"/>
        <v>0</v>
      </c>
      <c r="DJ543" s="313">
        <f t="shared" si="524"/>
        <v>0</v>
      </c>
      <c r="DK543" s="313">
        <f t="shared" si="533"/>
        <v>136004.51726962166</v>
      </c>
      <c r="DL543" s="313">
        <f t="shared" si="525"/>
        <v>15080</v>
      </c>
      <c r="DM543" s="314">
        <f t="shared" si="526"/>
        <v>18.90570280914724</v>
      </c>
      <c r="DN543" s="312">
        <f t="shared" si="527"/>
        <v>3.4881370496581625E-2</v>
      </c>
      <c r="DO543" s="312">
        <f t="shared" si="534"/>
        <v>1</v>
      </c>
      <c r="DP543" s="315">
        <f t="shared" si="518"/>
        <v>6.5000000000000002E-2</v>
      </c>
      <c r="DQ543" s="316">
        <f t="shared" si="528"/>
        <v>0.25</v>
      </c>
      <c r="DR543" s="316">
        <f t="shared" si="529"/>
        <v>139.32075452294254</v>
      </c>
      <c r="DS543" s="314">
        <f t="shared" si="530"/>
        <v>3.8903033640314271</v>
      </c>
      <c r="DT543" s="316">
        <f t="shared" si="531"/>
        <v>139.32075452294254</v>
      </c>
      <c r="DU543" s="314">
        <f t="shared" si="519"/>
        <v>3.8903033640314271</v>
      </c>
      <c r="DV543" s="316">
        <f t="shared" si="535"/>
        <v>14.5</v>
      </c>
      <c r="DW543" s="310">
        <f t="shared" si="520"/>
        <v>4.068965517241379</v>
      </c>
      <c r="FB543" s="307"/>
      <c r="FC543" s="307"/>
      <c r="FF543" s="307"/>
      <c r="FG543" s="307"/>
      <c r="FH543" s="306"/>
      <c r="FJ543" s="307"/>
      <c r="FK543" s="307"/>
      <c r="FL543" s="306"/>
      <c r="FM543" s="307"/>
      <c r="FN543" s="306"/>
      <c r="FO543" s="307"/>
      <c r="FP543" s="306"/>
    </row>
    <row r="544" spans="29:172">
      <c r="AC544" s="156"/>
      <c r="CW544" s="364"/>
      <c r="CX544" s="316"/>
      <c r="CY544" s="316"/>
      <c r="DA544" s="309">
        <v>543</v>
      </c>
      <c r="DB544" s="313">
        <f t="shared" si="514"/>
        <v>397.63583720654788</v>
      </c>
      <c r="DC544" s="309">
        <f t="shared" si="515"/>
        <v>1</v>
      </c>
      <c r="DD544" s="309">
        <f t="shared" si="516"/>
        <v>260</v>
      </c>
      <c r="DE544" s="308">
        <f t="shared" si="517"/>
        <v>6.5000000000000002E-2</v>
      </c>
      <c r="DF544" s="313">
        <f t="shared" si="532"/>
        <v>543</v>
      </c>
      <c r="DG544" s="313">
        <f t="shared" si="521"/>
        <v>260</v>
      </c>
      <c r="DH544" s="313">
        <f t="shared" si="522"/>
        <v>260</v>
      </c>
      <c r="DI544" s="313">
        <f t="shared" si="523"/>
        <v>0</v>
      </c>
      <c r="DJ544" s="313">
        <f t="shared" si="524"/>
        <v>0</v>
      </c>
      <c r="DK544" s="313">
        <f t="shared" si="533"/>
        <v>136264.51726962166</v>
      </c>
      <c r="DL544" s="313">
        <f t="shared" si="525"/>
        <v>14820</v>
      </c>
      <c r="DM544" s="314">
        <f t="shared" si="526"/>
        <v>18.90570280914724</v>
      </c>
      <c r="DN544" s="312">
        <f t="shared" si="527"/>
        <v>3.4817132245206703E-2</v>
      </c>
      <c r="DO544" s="312">
        <f t="shared" si="534"/>
        <v>1</v>
      </c>
      <c r="DP544" s="315">
        <f t="shared" si="518"/>
        <v>6.5000000000000002E-2</v>
      </c>
      <c r="DQ544" s="316">
        <f t="shared" si="528"/>
        <v>0.25</v>
      </c>
      <c r="DR544" s="316">
        <f t="shared" si="529"/>
        <v>139.57075452294254</v>
      </c>
      <c r="DS544" s="314">
        <f t="shared" si="530"/>
        <v>3.8904998533252328</v>
      </c>
      <c r="DT544" s="316">
        <f t="shared" si="531"/>
        <v>139.57075452294254</v>
      </c>
      <c r="DU544" s="314">
        <f t="shared" si="519"/>
        <v>3.8904998533252328</v>
      </c>
      <c r="DV544" s="316">
        <f t="shared" si="535"/>
        <v>14.25</v>
      </c>
      <c r="DW544" s="310">
        <f t="shared" si="520"/>
        <v>4.0701754385964914</v>
      </c>
      <c r="FB544" s="307"/>
      <c r="FC544" s="307"/>
      <c r="FF544" s="307"/>
      <c r="FG544" s="307"/>
      <c r="FH544" s="306"/>
      <c r="FJ544" s="307"/>
      <c r="FK544" s="307"/>
      <c r="FL544" s="306"/>
      <c r="FM544" s="307"/>
      <c r="FN544" s="306"/>
      <c r="FO544" s="307"/>
      <c r="FP544" s="306"/>
    </row>
    <row r="545" spans="29:172">
      <c r="AC545" s="156"/>
      <c r="CW545" s="364"/>
      <c r="CX545" s="316"/>
      <c r="CY545" s="316"/>
      <c r="DA545" s="309">
        <v>544</v>
      </c>
      <c r="DB545" s="313">
        <f t="shared" si="514"/>
        <v>397.99980744081404</v>
      </c>
      <c r="DC545" s="309">
        <f t="shared" si="515"/>
        <v>1</v>
      </c>
      <c r="DD545" s="309">
        <f t="shared" si="516"/>
        <v>260</v>
      </c>
      <c r="DE545" s="308">
        <f t="shared" si="517"/>
        <v>6.5000000000000002E-2</v>
      </c>
      <c r="DF545" s="313">
        <f t="shared" si="532"/>
        <v>544</v>
      </c>
      <c r="DG545" s="313">
        <f t="shared" si="521"/>
        <v>260</v>
      </c>
      <c r="DH545" s="313">
        <f t="shared" si="522"/>
        <v>260</v>
      </c>
      <c r="DI545" s="313">
        <f t="shared" si="523"/>
        <v>0</v>
      </c>
      <c r="DJ545" s="313">
        <f t="shared" si="524"/>
        <v>0</v>
      </c>
      <c r="DK545" s="313">
        <f t="shared" si="533"/>
        <v>136524.51726962166</v>
      </c>
      <c r="DL545" s="313">
        <f t="shared" si="525"/>
        <v>14560</v>
      </c>
      <c r="DM545" s="314">
        <f t="shared" si="526"/>
        <v>18.90570280914724</v>
      </c>
      <c r="DN545" s="312">
        <f t="shared" si="527"/>
        <v>3.4753130163873602E-2</v>
      </c>
      <c r="DO545" s="312">
        <f t="shared" si="534"/>
        <v>1</v>
      </c>
      <c r="DP545" s="315">
        <f t="shared" si="518"/>
        <v>6.5000000000000002E-2</v>
      </c>
      <c r="DQ545" s="316">
        <f t="shared" si="528"/>
        <v>0.25</v>
      </c>
      <c r="DR545" s="316">
        <f t="shared" si="529"/>
        <v>139.82075452294254</v>
      </c>
      <c r="DS545" s="314">
        <f t="shared" si="530"/>
        <v>3.8906956399719439</v>
      </c>
      <c r="DT545" s="316">
        <f t="shared" si="531"/>
        <v>139.82075452294254</v>
      </c>
      <c r="DU545" s="314">
        <f t="shared" si="519"/>
        <v>3.8906956399719439</v>
      </c>
      <c r="DV545" s="316">
        <f t="shared" si="535"/>
        <v>14</v>
      </c>
      <c r="DW545" s="310">
        <f t="shared" si="520"/>
        <v>4.0714285714285712</v>
      </c>
      <c r="FB545" s="307"/>
      <c r="FC545" s="307"/>
      <c r="FF545" s="307"/>
      <c r="FG545" s="307"/>
      <c r="FH545" s="306"/>
      <c r="FJ545" s="307"/>
      <c r="FK545" s="307"/>
      <c r="FL545" s="306"/>
      <c r="FM545" s="307"/>
      <c r="FN545" s="306"/>
      <c r="FO545" s="307"/>
      <c r="FP545" s="306"/>
    </row>
    <row r="546" spans="29:172">
      <c r="AC546" s="156"/>
      <c r="CW546" s="364"/>
      <c r="CX546" s="316"/>
      <c r="CY546" s="316"/>
      <c r="DA546" s="309">
        <v>545</v>
      </c>
      <c r="DB546" s="313">
        <f t="shared" si="514"/>
        <v>398.36377767508031</v>
      </c>
      <c r="DC546" s="309">
        <f t="shared" si="515"/>
        <v>1</v>
      </c>
      <c r="DD546" s="309">
        <f t="shared" si="516"/>
        <v>260</v>
      </c>
      <c r="DE546" s="308">
        <f t="shared" si="517"/>
        <v>6.5000000000000002E-2</v>
      </c>
      <c r="DF546" s="313">
        <f t="shared" si="532"/>
        <v>545</v>
      </c>
      <c r="DG546" s="313">
        <f t="shared" si="521"/>
        <v>260</v>
      </c>
      <c r="DH546" s="313">
        <f t="shared" si="522"/>
        <v>260</v>
      </c>
      <c r="DI546" s="313">
        <f t="shared" si="523"/>
        <v>0</v>
      </c>
      <c r="DJ546" s="313">
        <f t="shared" si="524"/>
        <v>0</v>
      </c>
      <c r="DK546" s="313">
        <f t="shared" si="533"/>
        <v>136784.51726962166</v>
      </c>
      <c r="DL546" s="313">
        <f t="shared" si="525"/>
        <v>14300</v>
      </c>
      <c r="DM546" s="314">
        <f t="shared" si="526"/>
        <v>18.90570280914724</v>
      </c>
      <c r="DN546" s="312">
        <f t="shared" si="527"/>
        <v>3.4689362952563745E-2</v>
      </c>
      <c r="DO546" s="312">
        <f t="shared" si="534"/>
        <v>1</v>
      </c>
      <c r="DP546" s="315">
        <f t="shared" si="518"/>
        <v>6.5000000000000002E-2</v>
      </c>
      <c r="DQ546" s="316">
        <f t="shared" si="528"/>
        <v>0.25</v>
      </c>
      <c r="DR546" s="316">
        <f t="shared" si="529"/>
        <v>140.07075452294254</v>
      </c>
      <c r="DS546" s="314">
        <f t="shared" si="530"/>
        <v>3.8908907277338405</v>
      </c>
      <c r="DT546" s="316">
        <f t="shared" si="531"/>
        <v>140.07075452294254</v>
      </c>
      <c r="DU546" s="314">
        <f t="shared" si="519"/>
        <v>3.8908907277338405</v>
      </c>
      <c r="DV546" s="316">
        <f t="shared" si="535"/>
        <v>13.75</v>
      </c>
      <c r="DW546" s="310">
        <f t="shared" si="520"/>
        <v>4.0727272727272723</v>
      </c>
      <c r="FB546" s="307"/>
      <c r="FC546" s="307"/>
      <c r="FF546" s="307"/>
      <c r="FG546" s="307"/>
      <c r="FH546" s="306"/>
      <c r="FJ546" s="307"/>
      <c r="FK546" s="307"/>
      <c r="FL546" s="306"/>
      <c r="FM546" s="307"/>
      <c r="FN546" s="306"/>
      <c r="FO546" s="307"/>
      <c r="FP546" s="306"/>
    </row>
    <row r="547" spans="29:172">
      <c r="AC547" s="156"/>
      <c r="CW547" s="364"/>
      <c r="CX547" s="316"/>
      <c r="CY547" s="316"/>
      <c r="DA547" s="309">
        <v>546</v>
      </c>
      <c r="DB547" s="313">
        <f t="shared" si="514"/>
        <v>398.72774790934648</v>
      </c>
      <c r="DC547" s="309">
        <f t="shared" si="515"/>
        <v>1</v>
      </c>
      <c r="DD547" s="309">
        <f t="shared" si="516"/>
        <v>260</v>
      </c>
      <c r="DE547" s="308">
        <f t="shared" si="517"/>
        <v>6.5000000000000002E-2</v>
      </c>
      <c r="DF547" s="313">
        <f t="shared" si="532"/>
        <v>546</v>
      </c>
      <c r="DG547" s="313">
        <f t="shared" si="521"/>
        <v>260</v>
      </c>
      <c r="DH547" s="313">
        <f t="shared" si="522"/>
        <v>260</v>
      </c>
      <c r="DI547" s="313">
        <f t="shared" si="523"/>
        <v>0</v>
      </c>
      <c r="DJ547" s="313">
        <f t="shared" si="524"/>
        <v>0</v>
      </c>
      <c r="DK547" s="313">
        <f t="shared" si="533"/>
        <v>137044.51726962166</v>
      </c>
      <c r="DL547" s="313">
        <f t="shared" si="525"/>
        <v>14040</v>
      </c>
      <c r="DM547" s="314">
        <f t="shared" si="526"/>
        <v>18.90570280914724</v>
      </c>
      <c r="DN547" s="312">
        <f t="shared" si="527"/>
        <v>3.4625829320782488E-2</v>
      </c>
      <c r="DO547" s="312">
        <f t="shared" si="534"/>
        <v>1</v>
      </c>
      <c r="DP547" s="315">
        <f t="shared" si="518"/>
        <v>6.5000000000000002E-2</v>
      </c>
      <c r="DQ547" s="316">
        <f t="shared" si="528"/>
        <v>0.25</v>
      </c>
      <c r="DR547" s="316">
        <f t="shared" si="529"/>
        <v>140.32075452294254</v>
      </c>
      <c r="DS547" s="314">
        <f t="shared" si="530"/>
        <v>3.8910851203463892</v>
      </c>
      <c r="DT547" s="316">
        <f t="shared" si="531"/>
        <v>140.32075452294254</v>
      </c>
      <c r="DU547" s="314">
        <f t="shared" si="519"/>
        <v>3.8910851203463892</v>
      </c>
      <c r="DV547" s="316">
        <f t="shared" si="535"/>
        <v>13.5</v>
      </c>
      <c r="DW547" s="310">
        <f t="shared" si="520"/>
        <v>4.0740740740740744</v>
      </c>
      <c r="FB547" s="307"/>
      <c r="FC547" s="307"/>
      <c r="FF547" s="307"/>
      <c r="FG547" s="307"/>
      <c r="FH547" s="306"/>
      <c r="FJ547" s="307"/>
      <c r="FK547" s="307"/>
      <c r="FL547" s="306"/>
      <c r="FM547" s="307"/>
      <c r="FN547" s="306"/>
      <c r="FO547" s="307"/>
      <c r="FP547" s="306"/>
    </row>
    <row r="548" spans="29:172">
      <c r="AC548" s="156"/>
      <c r="CW548" s="364"/>
      <c r="CX548" s="316"/>
      <c r="CY548" s="316"/>
      <c r="DA548" s="309">
        <v>547</v>
      </c>
      <c r="DB548" s="313">
        <f t="shared" si="514"/>
        <v>399.09171814361264</v>
      </c>
      <c r="DC548" s="309">
        <f t="shared" si="515"/>
        <v>1</v>
      </c>
      <c r="DD548" s="309">
        <f t="shared" si="516"/>
        <v>260</v>
      </c>
      <c r="DE548" s="308">
        <f t="shared" si="517"/>
        <v>6.5000000000000002E-2</v>
      </c>
      <c r="DF548" s="313">
        <f t="shared" si="532"/>
        <v>547</v>
      </c>
      <c r="DG548" s="313">
        <f t="shared" si="521"/>
        <v>260</v>
      </c>
      <c r="DH548" s="313">
        <f t="shared" si="522"/>
        <v>260</v>
      </c>
      <c r="DI548" s="313">
        <f t="shared" si="523"/>
        <v>0</v>
      </c>
      <c r="DJ548" s="313">
        <f t="shared" si="524"/>
        <v>0</v>
      </c>
      <c r="DK548" s="313">
        <f t="shared" si="533"/>
        <v>137304.51726962166</v>
      </c>
      <c r="DL548" s="313">
        <f t="shared" si="525"/>
        <v>13780</v>
      </c>
      <c r="DM548" s="314">
        <f t="shared" si="526"/>
        <v>18.90570280914724</v>
      </c>
      <c r="DN548" s="312">
        <f t="shared" si="527"/>
        <v>3.45625279874721E-2</v>
      </c>
      <c r="DO548" s="312">
        <f t="shared" si="534"/>
        <v>1</v>
      </c>
      <c r="DP548" s="315">
        <f t="shared" si="518"/>
        <v>6.5000000000000002E-2</v>
      </c>
      <c r="DQ548" s="316">
        <f t="shared" si="528"/>
        <v>0.25</v>
      </c>
      <c r="DR548" s="316">
        <f t="shared" si="529"/>
        <v>140.57075452294254</v>
      </c>
      <c r="DS548" s="314">
        <f t="shared" si="530"/>
        <v>3.8912788215184846</v>
      </c>
      <c r="DT548" s="316">
        <f t="shared" si="531"/>
        <v>140.57075452294254</v>
      </c>
      <c r="DU548" s="314">
        <f t="shared" si="519"/>
        <v>3.8912788215184846</v>
      </c>
      <c r="DV548" s="316">
        <f t="shared" si="535"/>
        <v>13.25</v>
      </c>
      <c r="DW548" s="310">
        <f t="shared" si="520"/>
        <v>4.0754716981132075</v>
      </c>
      <c r="FB548" s="307"/>
      <c r="FC548" s="307"/>
      <c r="FF548" s="307"/>
      <c r="FG548" s="307"/>
      <c r="FH548" s="306"/>
      <c r="FJ548" s="307"/>
      <c r="FK548" s="307"/>
      <c r="FL548" s="306"/>
      <c r="FM548" s="307"/>
      <c r="FN548" s="306"/>
      <c r="FO548" s="307"/>
      <c r="FP548" s="306"/>
    </row>
    <row r="549" spans="29:172">
      <c r="AC549" s="156"/>
      <c r="CW549" s="364"/>
      <c r="CX549" s="316"/>
      <c r="CY549" s="316"/>
      <c r="DA549" s="309">
        <v>548</v>
      </c>
      <c r="DB549" s="313">
        <f t="shared" si="514"/>
        <v>399.45568837787891</v>
      </c>
      <c r="DC549" s="309">
        <f t="shared" si="515"/>
        <v>1</v>
      </c>
      <c r="DD549" s="309">
        <f t="shared" si="516"/>
        <v>260</v>
      </c>
      <c r="DE549" s="308">
        <f t="shared" si="517"/>
        <v>6.5000000000000002E-2</v>
      </c>
      <c r="DF549" s="313">
        <f t="shared" si="532"/>
        <v>548</v>
      </c>
      <c r="DG549" s="313">
        <f t="shared" si="521"/>
        <v>260</v>
      </c>
      <c r="DH549" s="313">
        <f t="shared" si="522"/>
        <v>260</v>
      </c>
      <c r="DI549" s="313">
        <f t="shared" si="523"/>
        <v>0</v>
      </c>
      <c r="DJ549" s="313">
        <f t="shared" si="524"/>
        <v>0</v>
      </c>
      <c r="DK549" s="313">
        <f t="shared" si="533"/>
        <v>137564.51726962166</v>
      </c>
      <c r="DL549" s="313">
        <f t="shared" si="525"/>
        <v>13520</v>
      </c>
      <c r="DM549" s="314">
        <f t="shared" si="526"/>
        <v>18.90570280914724</v>
      </c>
      <c r="DN549" s="312">
        <f t="shared" si="527"/>
        <v>3.4499457680925619E-2</v>
      </c>
      <c r="DO549" s="312">
        <f t="shared" si="534"/>
        <v>1</v>
      </c>
      <c r="DP549" s="315">
        <f t="shared" si="518"/>
        <v>6.5000000000000002E-2</v>
      </c>
      <c r="DQ549" s="316">
        <f t="shared" si="528"/>
        <v>0.25</v>
      </c>
      <c r="DR549" s="316">
        <f t="shared" si="529"/>
        <v>140.82075452294254</v>
      </c>
      <c r="DS549" s="314">
        <f t="shared" si="530"/>
        <v>3.8914718349326822</v>
      </c>
      <c r="DT549" s="316">
        <f t="shared" si="531"/>
        <v>140.82075452294254</v>
      </c>
      <c r="DU549" s="314">
        <f t="shared" si="519"/>
        <v>3.8914718349326822</v>
      </c>
      <c r="DV549" s="316">
        <f t="shared" si="535"/>
        <v>13</v>
      </c>
      <c r="DW549" s="310">
        <f t="shared" si="520"/>
        <v>4.0769230769230766</v>
      </c>
      <c r="FB549" s="307"/>
      <c r="FC549" s="307"/>
      <c r="FF549" s="307"/>
      <c r="FG549" s="307"/>
      <c r="FH549" s="306"/>
      <c r="FJ549" s="307"/>
      <c r="FK549" s="307"/>
      <c r="FL549" s="306"/>
      <c r="FM549" s="307"/>
      <c r="FN549" s="306"/>
      <c r="FO549" s="307"/>
      <c r="FP549" s="306"/>
    </row>
    <row r="550" spans="29:172">
      <c r="AC550" s="156"/>
      <c r="CW550" s="364"/>
      <c r="CX550" s="316"/>
      <c r="CY550" s="316"/>
      <c r="DA550" s="309">
        <v>549</v>
      </c>
      <c r="DB550" s="313">
        <f t="shared" si="514"/>
        <v>399.81965861214508</v>
      </c>
      <c r="DC550" s="309">
        <f t="shared" si="515"/>
        <v>1</v>
      </c>
      <c r="DD550" s="309">
        <f t="shared" si="516"/>
        <v>260</v>
      </c>
      <c r="DE550" s="308">
        <f t="shared" si="517"/>
        <v>6.5000000000000002E-2</v>
      </c>
      <c r="DF550" s="313">
        <f t="shared" si="532"/>
        <v>549</v>
      </c>
      <c r="DG550" s="313">
        <f t="shared" si="521"/>
        <v>260</v>
      </c>
      <c r="DH550" s="313">
        <f t="shared" si="522"/>
        <v>260</v>
      </c>
      <c r="DI550" s="313">
        <f t="shared" si="523"/>
        <v>0</v>
      </c>
      <c r="DJ550" s="313">
        <f t="shared" si="524"/>
        <v>0</v>
      </c>
      <c r="DK550" s="313">
        <f t="shared" si="533"/>
        <v>137824.51726962166</v>
      </c>
      <c r="DL550" s="313">
        <f t="shared" si="525"/>
        <v>13260</v>
      </c>
      <c r="DM550" s="314">
        <f t="shared" si="526"/>
        <v>18.90570280914724</v>
      </c>
      <c r="DN550" s="312">
        <f t="shared" si="527"/>
        <v>3.4436617138701713E-2</v>
      </c>
      <c r="DO550" s="312">
        <f t="shared" si="534"/>
        <v>1</v>
      </c>
      <c r="DP550" s="315">
        <f t="shared" si="518"/>
        <v>6.5000000000000002E-2</v>
      </c>
      <c r="DQ550" s="316">
        <f t="shared" si="528"/>
        <v>0.25</v>
      </c>
      <c r="DR550" s="316">
        <f t="shared" si="529"/>
        <v>141.07075452294254</v>
      </c>
      <c r="DS550" s="314">
        <f t="shared" si="530"/>
        <v>3.8916641642454346</v>
      </c>
      <c r="DT550" s="316">
        <f t="shared" si="531"/>
        <v>141.07075452294254</v>
      </c>
      <c r="DU550" s="314">
        <f t="shared" si="519"/>
        <v>3.8916641642454346</v>
      </c>
      <c r="DV550" s="316">
        <f t="shared" si="535"/>
        <v>12.75</v>
      </c>
      <c r="DW550" s="310">
        <f t="shared" si="520"/>
        <v>4.0784313725490193</v>
      </c>
      <c r="FB550" s="307"/>
      <c r="FC550" s="307"/>
      <c r="FF550" s="307"/>
      <c r="FG550" s="307"/>
      <c r="FH550" s="306"/>
      <c r="FJ550" s="307"/>
      <c r="FK550" s="307"/>
      <c r="FL550" s="306"/>
      <c r="FM550" s="307"/>
      <c r="FN550" s="306"/>
      <c r="FO550" s="307"/>
      <c r="FP550" s="306"/>
    </row>
    <row r="551" spans="29:172">
      <c r="AC551" s="156"/>
      <c r="CW551" s="364"/>
      <c r="CX551" s="316"/>
      <c r="CY551" s="316"/>
      <c r="DA551" s="309">
        <v>550</v>
      </c>
      <c r="DB551" s="313">
        <f t="shared" si="514"/>
        <v>400.1836288464113</v>
      </c>
      <c r="DC551" s="309">
        <f t="shared" si="515"/>
        <v>1</v>
      </c>
      <c r="DD551" s="309">
        <f t="shared" si="516"/>
        <v>260</v>
      </c>
      <c r="DE551" s="308">
        <f t="shared" si="517"/>
        <v>6.5000000000000002E-2</v>
      </c>
      <c r="DF551" s="313">
        <f t="shared" si="532"/>
        <v>550</v>
      </c>
      <c r="DG551" s="313">
        <f t="shared" si="521"/>
        <v>260</v>
      </c>
      <c r="DH551" s="313">
        <f t="shared" si="522"/>
        <v>260</v>
      </c>
      <c r="DI551" s="313">
        <f t="shared" si="523"/>
        <v>0</v>
      </c>
      <c r="DJ551" s="313">
        <f t="shared" si="524"/>
        <v>0</v>
      </c>
      <c r="DK551" s="313">
        <f t="shared" si="533"/>
        <v>138084.51726962166</v>
      </c>
      <c r="DL551" s="313">
        <f t="shared" si="525"/>
        <v>13000</v>
      </c>
      <c r="DM551" s="314">
        <f t="shared" si="526"/>
        <v>18.90570280914724</v>
      </c>
      <c r="DN551" s="312">
        <f t="shared" si="527"/>
        <v>3.4374005107540434E-2</v>
      </c>
      <c r="DO551" s="312">
        <f t="shared" si="534"/>
        <v>1</v>
      </c>
      <c r="DP551" s="315">
        <f t="shared" si="518"/>
        <v>6.5000000000000002E-2</v>
      </c>
      <c r="DQ551" s="316">
        <f t="shared" si="528"/>
        <v>0.25</v>
      </c>
      <c r="DR551" s="316">
        <f t="shared" si="529"/>
        <v>141.32075452294254</v>
      </c>
      <c r="DS551" s="314">
        <f t="shared" si="530"/>
        <v>3.8918558130873193</v>
      </c>
      <c r="DT551" s="316">
        <f t="shared" si="531"/>
        <v>141.32075452294254</v>
      </c>
      <c r="DU551" s="314">
        <f t="shared" si="519"/>
        <v>3.8918558130873193</v>
      </c>
      <c r="DV551" s="316">
        <f t="shared" si="535"/>
        <v>12.5</v>
      </c>
      <c r="DW551" s="310">
        <f t="shared" si="520"/>
        <v>4.08</v>
      </c>
      <c r="FB551" s="307"/>
      <c r="FC551" s="307"/>
      <c r="FF551" s="307"/>
      <c r="FG551" s="307"/>
      <c r="FH551" s="306"/>
      <c r="FJ551" s="307"/>
      <c r="FK551" s="307"/>
      <c r="FL551" s="306"/>
      <c r="FM551" s="307"/>
      <c r="FN551" s="306"/>
      <c r="FO551" s="307"/>
      <c r="FP551" s="306"/>
    </row>
    <row r="552" spans="29:172">
      <c r="AC552" s="156"/>
      <c r="CW552" s="364"/>
      <c r="CX552" s="316"/>
      <c r="CY552" s="316"/>
      <c r="DA552" s="309">
        <v>551</v>
      </c>
      <c r="DB552" s="313">
        <f t="shared" si="514"/>
        <v>400.54759908067751</v>
      </c>
      <c r="DC552" s="309">
        <f t="shared" si="515"/>
        <v>1</v>
      </c>
      <c r="DD552" s="309">
        <f t="shared" si="516"/>
        <v>260</v>
      </c>
      <c r="DE552" s="308">
        <f t="shared" si="517"/>
        <v>6.5000000000000002E-2</v>
      </c>
      <c r="DF552" s="313">
        <f t="shared" si="532"/>
        <v>551</v>
      </c>
      <c r="DG552" s="313">
        <f t="shared" si="521"/>
        <v>260</v>
      </c>
      <c r="DH552" s="313">
        <f t="shared" si="522"/>
        <v>260</v>
      </c>
      <c r="DI552" s="313">
        <f t="shared" si="523"/>
        <v>0</v>
      </c>
      <c r="DJ552" s="313">
        <f t="shared" si="524"/>
        <v>0</v>
      </c>
      <c r="DK552" s="313">
        <f t="shared" si="533"/>
        <v>138344.51726962166</v>
      </c>
      <c r="DL552" s="313">
        <f t="shared" si="525"/>
        <v>12740</v>
      </c>
      <c r="DM552" s="314">
        <f t="shared" si="526"/>
        <v>18.90570280914724</v>
      </c>
      <c r="DN552" s="312">
        <f t="shared" si="527"/>
        <v>3.4311620343279926E-2</v>
      </c>
      <c r="DO552" s="312">
        <f t="shared" si="534"/>
        <v>1</v>
      </c>
      <c r="DP552" s="315">
        <f t="shared" si="518"/>
        <v>6.5000000000000002E-2</v>
      </c>
      <c r="DQ552" s="316">
        <f t="shared" si="528"/>
        <v>0.25</v>
      </c>
      <c r="DR552" s="316">
        <f t="shared" si="529"/>
        <v>141.57075452294254</v>
      </c>
      <c r="DS552" s="314">
        <f t="shared" si="530"/>
        <v>3.892046785063271</v>
      </c>
      <c r="DT552" s="316">
        <f t="shared" si="531"/>
        <v>141.57075452294254</v>
      </c>
      <c r="DU552" s="314">
        <f t="shared" si="519"/>
        <v>3.892046785063271</v>
      </c>
      <c r="DV552" s="316">
        <f t="shared" si="535"/>
        <v>12.25</v>
      </c>
      <c r="DW552" s="310">
        <f t="shared" si="520"/>
        <v>4.0816326530612246</v>
      </c>
      <c r="FB552" s="307"/>
      <c r="FC552" s="307"/>
      <c r="FF552" s="307"/>
      <c r="FG552" s="307"/>
      <c r="FH552" s="306"/>
      <c r="FJ552" s="307"/>
      <c r="FK552" s="307"/>
      <c r="FL552" s="306"/>
      <c r="FM552" s="307"/>
      <c r="FN552" s="306"/>
      <c r="FO552" s="307"/>
      <c r="FP552" s="306"/>
    </row>
    <row r="553" spans="29:172">
      <c r="AC553" s="156"/>
      <c r="CW553" s="364"/>
      <c r="CX553" s="316"/>
      <c r="CY553" s="316"/>
      <c r="DA553" s="309">
        <v>552</v>
      </c>
      <c r="DB553" s="313">
        <f t="shared" si="514"/>
        <v>400.91156931494368</v>
      </c>
      <c r="DC553" s="309">
        <f t="shared" si="515"/>
        <v>1</v>
      </c>
      <c r="DD553" s="309">
        <f t="shared" si="516"/>
        <v>260</v>
      </c>
      <c r="DE553" s="308">
        <f t="shared" si="517"/>
        <v>6.5000000000000002E-2</v>
      </c>
      <c r="DF553" s="313">
        <f t="shared" si="532"/>
        <v>552</v>
      </c>
      <c r="DG553" s="313">
        <f t="shared" si="521"/>
        <v>260</v>
      </c>
      <c r="DH553" s="313">
        <f t="shared" si="522"/>
        <v>260</v>
      </c>
      <c r="DI553" s="313">
        <f t="shared" si="523"/>
        <v>0</v>
      </c>
      <c r="DJ553" s="313">
        <f t="shared" si="524"/>
        <v>0</v>
      </c>
      <c r="DK553" s="313">
        <f t="shared" si="533"/>
        <v>138604.51726962166</v>
      </c>
      <c r="DL553" s="313">
        <f t="shared" si="525"/>
        <v>12480</v>
      </c>
      <c r="DM553" s="314">
        <f t="shared" si="526"/>
        <v>18.90570280914724</v>
      </c>
      <c r="DN553" s="312">
        <f t="shared" si="527"/>
        <v>3.4249461610773982E-2</v>
      </c>
      <c r="DO553" s="312">
        <f t="shared" si="534"/>
        <v>1</v>
      </c>
      <c r="DP553" s="315">
        <f t="shared" si="518"/>
        <v>6.5000000000000002E-2</v>
      </c>
      <c r="DQ553" s="316">
        <f t="shared" si="528"/>
        <v>0.25</v>
      </c>
      <c r="DR553" s="316">
        <f t="shared" si="529"/>
        <v>141.82075452294254</v>
      </c>
      <c r="DS553" s="314">
        <f t="shared" si="530"/>
        <v>3.8922370837528031</v>
      </c>
      <c r="DT553" s="316">
        <f t="shared" si="531"/>
        <v>141.82075452294254</v>
      </c>
      <c r="DU553" s="314">
        <f t="shared" si="519"/>
        <v>3.8922370837528031</v>
      </c>
      <c r="DV553" s="316">
        <f t="shared" si="535"/>
        <v>12</v>
      </c>
      <c r="DW553" s="310">
        <f t="shared" si="520"/>
        <v>4.083333333333333</v>
      </c>
      <c r="FB553" s="307"/>
      <c r="FC553" s="307"/>
      <c r="FF553" s="307"/>
      <c r="FG553" s="307"/>
      <c r="FH553" s="306"/>
      <c r="FJ553" s="307"/>
      <c r="FK553" s="307"/>
      <c r="FL553" s="306"/>
      <c r="FM553" s="307"/>
      <c r="FN553" s="306"/>
      <c r="FO553" s="307"/>
      <c r="FP553" s="306"/>
    </row>
    <row r="554" spans="29:172">
      <c r="AC554" s="156"/>
      <c r="CW554" s="364"/>
      <c r="CX554" s="316"/>
      <c r="CY554" s="316"/>
      <c r="DA554" s="309">
        <v>553</v>
      </c>
      <c r="DB554" s="313">
        <f t="shared" si="514"/>
        <v>401.2755395492099</v>
      </c>
      <c r="DC554" s="309">
        <f t="shared" si="515"/>
        <v>1</v>
      </c>
      <c r="DD554" s="309">
        <f t="shared" si="516"/>
        <v>260</v>
      </c>
      <c r="DE554" s="308">
        <f t="shared" si="517"/>
        <v>6.5000000000000002E-2</v>
      </c>
      <c r="DF554" s="313">
        <f t="shared" si="532"/>
        <v>553</v>
      </c>
      <c r="DG554" s="313">
        <f t="shared" si="521"/>
        <v>260</v>
      </c>
      <c r="DH554" s="313">
        <f t="shared" si="522"/>
        <v>260</v>
      </c>
      <c r="DI554" s="313">
        <f t="shared" si="523"/>
        <v>0</v>
      </c>
      <c r="DJ554" s="313">
        <f t="shared" si="524"/>
        <v>0</v>
      </c>
      <c r="DK554" s="313">
        <f t="shared" si="533"/>
        <v>138864.51726962166</v>
      </c>
      <c r="DL554" s="313">
        <f t="shared" si="525"/>
        <v>12220</v>
      </c>
      <c r="DM554" s="314">
        <f t="shared" si="526"/>
        <v>18.90570280914724</v>
      </c>
      <c r="DN554" s="312">
        <f t="shared" si="527"/>
        <v>3.4187527683810559E-2</v>
      </c>
      <c r="DO554" s="312">
        <f t="shared" si="534"/>
        <v>1</v>
      </c>
      <c r="DP554" s="315">
        <f t="shared" si="518"/>
        <v>6.5000000000000002E-2</v>
      </c>
      <c r="DQ554" s="316">
        <f t="shared" si="528"/>
        <v>0.25</v>
      </c>
      <c r="DR554" s="316">
        <f t="shared" si="529"/>
        <v>142.07075452294254</v>
      </c>
      <c r="DS554" s="314">
        <f t="shared" si="530"/>
        <v>3.8924267127102352</v>
      </c>
      <c r="DT554" s="316">
        <f t="shared" si="531"/>
        <v>142.07075452294254</v>
      </c>
      <c r="DU554" s="314">
        <f t="shared" si="519"/>
        <v>3.8924267127102352</v>
      </c>
      <c r="DV554" s="316">
        <f t="shared" si="535"/>
        <v>11.75</v>
      </c>
      <c r="DW554" s="310">
        <f t="shared" si="520"/>
        <v>4.0851063829787231</v>
      </c>
      <c r="FB554" s="307"/>
      <c r="FC554" s="307"/>
      <c r="FF554" s="307"/>
      <c r="FG554" s="307"/>
      <c r="FH554" s="306"/>
      <c r="FJ554" s="307"/>
      <c r="FK554" s="307"/>
      <c r="FL554" s="306"/>
      <c r="FM554" s="307"/>
      <c r="FN554" s="306"/>
      <c r="FO554" s="307"/>
      <c r="FP554" s="306"/>
    </row>
    <row r="555" spans="29:172">
      <c r="AC555" s="156"/>
      <c r="CW555" s="364"/>
      <c r="CX555" s="316"/>
      <c r="CY555" s="316"/>
      <c r="DA555" s="309">
        <v>554</v>
      </c>
      <c r="DB555" s="313">
        <f t="shared" si="514"/>
        <v>401.63950978347611</v>
      </c>
      <c r="DC555" s="309">
        <f t="shared" si="515"/>
        <v>1</v>
      </c>
      <c r="DD555" s="309">
        <f t="shared" si="516"/>
        <v>260</v>
      </c>
      <c r="DE555" s="308">
        <f t="shared" si="517"/>
        <v>6.5000000000000002E-2</v>
      </c>
      <c r="DF555" s="313">
        <f t="shared" si="532"/>
        <v>554</v>
      </c>
      <c r="DG555" s="313">
        <f t="shared" si="521"/>
        <v>260</v>
      </c>
      <c r="DH555" s="313">
        <f t="shared" si="522"/>
        <v>260</v>
      </c>
      <c r="DI555" s="313">
        <f t="shared" si="523"/>
        <v>0</v>
      </c>
      <c r="DJ555" s="313">
        <f t="shared" si="524"/>
        <v>0</v>
      </c>
      <c r="DK555" s="313">
        <f t="shared" si="533"/>
        <v>139124.51726962166</v>
      </c>
      <c r="DL555" s="313">
        <f t="shared" si="525"/>
        <v>11960</v>
      </c>
      <c r="DM555" s="314">
        <f t="shared" si="526"/>
        <v>18.90570280914724</v>
      </c>
      <c r="DN555" s="312">
        <f t="shared" si="527"/>
        <v>3.4125817345031118E-2</v>
      </c>
      <c r="DO555" s="312">
        <f t="shared" si="534"/>
        <v>1</v>
      </c>
      <c r="DP555" s="315">
        <f t="shared" si="518"/>
        <v>6.5000000000000002E-2</v>
      </c>
      <c r="DQ555" s="316">
        <f t="shared" si="528"/>
        <v>0.25</v>
      </c>
      <c r="DR555" s="316">
        <f t="shared" si="529"/>
        <v>142.32075452294254</v>
      </c>
      <c r="DS555" s="314">
        <f t="shared" si="530"/>
        <v>3.8926156754649126</v>
      </c>
      <c r="DT555" s="316">
        <f t="shared" si="531"/>
        <v>142.32075452294254</v>
      </c>
      <c r="DU555" s="314">
        <f t="shared" si="519"/>
        <v>3.8926156754649126</v>
      </c>
      <c r="DV555" s="316">
        <f t="shared" si="535"/>
        <v>11.5</v>
      </c>
      <c r="DW555" s="310">
        <f t="shared" si="520"/>
        <v>4.0869565217391308</v>
      </c>
      <c r="FB555" s="307"/>
      <c r="FC555" s="307"/>
      <c r="FF555" s="307"/>
      <c r="FG555" s="307"/>
      <c r="FH555" s="306"/>
      <c r="FJ555" s="307"/>
      <c r="FK555" s="307"/>
      <c r="FL555" s="306"/>
      <c r="FM555" s="307"/>
      <c r="FN555" s="306"/>
      <c r="FO555" s="307"/>
      <c r="FP555" s="306"/>
    </row>
    <row r="556" spans="29:172">
      <c r="AC556" s="156"/>
      <c r="CW556" s="364"/>
      <c r="CX556" s="316"/>
      <c r="CY556" s="316"/>
      <c r="DA556" s="309">
        <v>555</v>
      </c>
      <c r="DB556" s="313">
        <f t="shared" si="514"/>
        <v>402.00348001774228</v>
      </c>
      <c r="DC556" s="309">
        <f t="shared" si="515"/>
        <v>1</v>
      </c>
      <c r="DD556" s="309">
        <f t="shared" si="516"/>
        <v>260</v>
      </c>
      <c r="DE556" s="308">
        <f t="shared" si="517"/>
        <v>6.5000000000000002E-2</v>
      </c>
      <c r="DF556" s="313">
        <f t="shared" si="532"/>
        <v>555</v>
      </c>
      <c r="DG556" s="313">
        <f t="shared" si="521"/>
        <v>260</v>
      </c>
      <c r="DH556" s="313">
        <f t="shared" si="522"/>
        <v>260</v>
      </c>
      <c r="DI556" s="313">
        <f t="shared" si="523"/>
        <v>0</v>
      </c>
      <c r="DJ556" s="313">
        <f t="shared" si="524"/>
        <v>0</v>
      </c>
      <c r="DK556" s="313">
        <f t="shared" si="533"/>
        <v>139384.51726962166</v>
      </c>
      <c r="DL556" s="313">
        <f t="shared" si="525"/>
        <v>11700</v>
      </c>
      <c r="DM556" s="314">
        <f t="shared" si="526"/>
        <v>18.90570280914724</v>
      </c>
      <c r="DN556" s="312">
        <f t="shared" si="527"/>
        <v>3.4064329385850883E-2</v>
      </c>
      <c r="DO556" s="312">
        <f t="shared" si="534"/>
        <v>1</v>
      </c>
      <c r="DP556" s="315">
        <f t="shared" si="518"/>
        <v>6.5000000000000002E-2</v>
      </c>
      <c r="DQ556" s="316">
        <f t="shared" si="528"/>
        <v>0.25</v>
      </c>
      <c r="DR556" s="316">
        <f t="shared" si="529"/>
        <v>142.57075452294254</v>
      </c>
      <c r="DS556" s="314">
        <f t="shared" si="530"/>
        <v>3.8928039755214257</v>
      </c>
      <c r="DT556" s="316">
        <f t="shared" si="531"/>
        <v>142.57075452294254</v>
      </c>
      <c r="DU556" s="314">
        <f t="shared" si="519"/>
        <v>3.8928039755214257</v>
      </c>
      <c r="DV556" s="316">
        <f t="shared" si="535"/>
        <v>11.25</v>
      </c>
      <c r="DW556" s="310">
        <f t="shared" si="520"/>
        <v>4.0888888888888886</v>
      </c>
      <c r="FB556" s="307"/>
      <c r="FC556" s="307"/>
      <c r="FF556" s="307"/>
      <c r="FG556" s="307"/>
      <c r="FH556" s="306"/>
      <c r="FJ556" s="307"/>
      <c r="FK556" s="307"/>
      <c r="FL556" s="306"/>
      <c r="FM556" s="307"/>
      <c r="FN556" s="306"/>
      <c r="FO556" s="307"/>
      <c r="FP556" s="306"/>
    </row>
    <row r="557" spans="29:172">
      <c r="AC557" s="156"/>
      <c r="CW557" s="364"/>
      <c r="CX557" s="316"/>
      <c r="CY557" s="316"/>
      <c r="DA557" s="309">
        <v>556</v>
      </c>
      <c r="DB557" s="313">
        <f t="shared" si="514"/>
        <v>402.3674502520085</v>
      </c>
      <c r="DC557" s="309">
        <f t="shared" si="515"/>
        <v>1</v>
      </c>
      <c r="DD557" s="309">
        <f t="shared" si="516"/>
        <v>260</v>
      </c>
      <c r="DE557" s="308">
        <f t="shared" si="517"/>
        <v>6.5000000000000002E-2</v>
      </c>
      <c r="DF557" s="313">
        <f t="shared" si="532"/>
        <v>556</v>
      </c>
      <c r="DG557" s="313">
        <f t="shared" si="521"/>
        <v>260</v>
      </c>
      <c r="DH557" s="313">
        <f t="shared" si="522"/>
        <v>260</v>
      </c>
      <c r="DI557" s="313">
        <f t="shared" si="523"/>
        <v>0</v>
      </c>
      <c r="DJ557" s="313">
        <f t="shared" si="524"/>
        <v>0</v>
      </c>
      <c r="DK557" s="313">
        <f t="shared" si="533"/>
        <v>139644.51726962166</v>
      </c>
      <c r="DL557" s="313">
        <f t="shared" si="525"/>
        <v>11440</v>
      </c>
      <c r="DM557" s="314">
        <f t="shared" si="526"/>
        <v>18.90570280914724</v>
      </c>
      <c r="DN557" s="312">
        <f t="shared" si="527"/>
        <v>3.4003062606379926E-2</v>
      </c>
      <c r="DO557" s="312">
        <f t="shared" si="534"/>
        <v>1</v>
      </c>
      <c r="DP557" s="315">
        <f t="shared" si="518"/>
        <v>6.5000000000000002E-2</v>
      </c>
      <c r="DQ557" s="316">
        <f t="shared" si="528"/>
        <v>0.25</v>
      </c>
      <c r="DR557" s="316">
        <f t="shared" si="529"/>
        <v>142.82075452294254</v>
      </c>
      <c r="DS557" s="314">
        <f t="shared" si="530"/>
        <v>3.8929916163598262</v>
      </c>
      <c r="DT557" s="316">
        <f t="shared" si="531"/>
        <v>142.82075452294254</v>
      </c>
      <c r="DU557" s="314">
        <f t="shared" si="519"/>
        <v>3.8929916163598262</v>
      </c>
      <c r="DV557" s="316">
        <f t="shared" si="535"/>
        <v>11</v>
      </c>
      <c r="DW557" s="310">
        <f t="shared" si="520"/>
        <v>4.0909090909090908</v>
      </c>
      <c r="FB557" s="307"/>
      <c r="FC557" s="307"/>
      <c r="FF557" s="307"/>
      <c r="FG557" s="307"/>
      <c r="FH557" s="306"/>
      <c r="FJ557" s="307"/>
      <c r="FK557" s="307"/>
      <c r="FL557" s="306"/>
      <c r="FM557" s="307"/>
      <c r="FN557" s="306"/>
      <c r="FO557" s="307"/>
      <c r="FP557" s="306"/>
    </row>
    <row r="558" spans="29:172">
      <c r="AC558" s="156"/>
      <c r="CW558" s="364"/>
      <c r="CX558" s="316"/>
      <c r="CY558" s="316"/>
      <c r="DA558" s="309">
        <v>557</v>
      </c>
      <c r="DB558" s="313">
        <f t="shared" si="514"/>
        <v>402.73142048627471</v>
      </c>
      <c r="DC558" s="309">
        <f t="shared" si="515"/>
        <v>1</v>
      </c>
      <c r="DD558" s="309">
        <f t="shared" si="516"/>
        <v>260</v>
      </c>
      <c r="DE558" s="308">
        <f t="shared" si="517"/>
        <v>6.5000000000000002E-2</v>
      </c>
      <c r="DF558" s="313">
        <f t="shared" si="532"/>
        <v>557</v>
      </c>
      <c r="DG558" s="313">
        <f t="shared" si="521"/>
        <v>260</v>
      </c>
      <c r="DH558" s="313">
        <f t="shared" si="522"/>
        <v>260</v>
      </c>
      <c r="DI558" s="313">
        <f t="shared" si="523"/>
        <v>0</v>
      </c>
      <c r="DJ558" s="313">
        <f t="shared" si="524"/>
        <v>0</v>
      </c>
      <c r="DK558" s="313">
        <f t="shared" si="533"/>
        <v>139904.51726962166</v>
      </c>
      <c r="DL558" s="313">
        <f t="shared" si="525"/>
        <v>11180</v>
      </c>
      <c r="DM558" s="314">
        <f t="shared" si="526"/>
        <v>18.90570280914724</v>
      </c>
      <c r="DN558" s="312">
        <f t="shared" si="527"/>
        <v>3.3942015815345131E-2</v>
      </c>
      <c r="DO558" s="312">
        <f t="shared" si="534"/>
        <v>1</v>
      </c>
      <c r="DP558" s="315">
        <f t="shared" si="518"/>
        <v>6.5000000000000002E-2</v>
      </c>
      <c r="DQ558" s="316">
        <f t="shared" si="528"/>
        <v>0.25</v>
      </c>
      <c r="DR558" s="316">
        <f t="shared" si="529"/>
        <v>143.07075452294254</v>
      </c>
      <c r="DS558" s="314">
        <f t="shared" si="530"/>
        <v>3.8931786014358414</v>
      </c>
      <c r="DT558" s="316">
        <f t="shared" si="531"/>
        <v>143.07075452294254</v>
      </c>
      <c r="DU558" s="314">
        <f t="shared" si="519"/>
        <v>3.8931786014358414</v>
      </c>
      <c r="DV558" s="316">
        <f t="shared" si="535"/>
        <v>10.75</v>
      </c>
      <c r="DW558" s="310">
        <f t="shared" si="520"/>
        <v>4.0930232558139537</v>
      </c>
      <c r="FB558" s="307"/>
      <c r="FC558" s="307"/>
      <c r="FF558" s="307"/>
      <c r="FG558" s="307"/>
      <c r="FH558" s="306"/>
      <c r="FJ558" s="307"/>
      <c r="FK558" s="307"/>
      <c r="FL558" s="306"/>
      <c r="FM558" s="307"/>
      <c r="FN558" s="306"/>
      <c r="FO558" s="307"/>
      <c r="FP558" s="306"/>
    </row>
    <row r="559" spans="29:172">
      <c r="AC559" s="156"/>
      <c r="CW559" s="364"/>
      <c r="CX559" s="316"/>
      <c r="CY559" s="316"/>
      <c r="DA559" s="309">
        <v>558</v>
      </c>
      <c r="DB559" s="313">
        <f t="shared" si="514"/>
        <v>403.09539072054088</v>
      </c>
      <c r="DC559" s="309">
        <f t="shared" si="515"/>
        <v>1</v>
      </c>
      <c r="DD559" s="309">
        <f t="shared" si="516"/>
        <v>260</v>
      </c>
      <c r="DE559" s="308">
        <f t="shared" si="517"/>
        <v>6.5000000000000002E-2</v>
      </c>
      <c r="DF559" s="313">
        <f t="shared" si="532"/>
        <v>558</v>
      </c>
      <c r="DG559" s="313">
        <f t="shared" si="521"/>
        <v>260</v>
      </c>
      <c r="DH559" s="313">
        <f t="shared" si="522"/>
        <v>260</v>
      </c>
      <c r="DI559" s="313">
        <f t="shared" si="523"/>
        <v>0</v>
      </c>
      <c r="DJ559" s="313">
        <f t="shared" si="524"/>
        <v>0</v>
      </c>
      <c r="DK559" s="313">
        <f t="shared" si="533"/>
        <v>140164.51726962166</v>
      </c>
      <c r="DL559" s="313">
        <f t="shared" si="525"/>
        <v>10920</v>
      </c>
      <c r="DM559" s="314">
        <f t="shared" si="526"/>
        <v>18.90570280914724</v>
      </c>
      <c r="DN559" s="312">
        <f t="shared" si="527"/>
        <v>3.3881187830012975E-2</v>
      </c>
      <c r="DO559" s="312">
        <f t="shared" si="534"/>
        <v>1</v>
      </c>
      <c r="DP559" s="315">
        <f t="shared" si="518"/>
        <v>6.5000000000000002E-2</v>
      </c>
      <c r="DQ559" s="316">
        <f t="shared" si="528"/>
        <v>0.25</v>
      </c>
      <c r="DR559" s="316">
        <f t="shared" si="529"/>
        <v>143.32075452294254</v>
      </c>
      <c r="DS559" s="314">
        <f t="shared" si="530"/>
        <v>3.8933649341810876</v>
      </c>
      <c r="DT559" s="316">
        <f t="shared" si="531"/>
        <v>143.32075452294254</v>
      </c>
      <c r="DU559" s="314">
        <f t="shared" si="519"/>
        <v>3.8933649341810876</v>
      </c>
      <c r="DV559" s="316">
        <f t="shared" si="535"/>
        <v>10.5</v>
      </c>
      <c r="DW559" s="310">
        <f t="shared" si="520"/>
        <v>4.0952380952380949</v>
      </c>
      <c r="FB559" s="307"/>
      <c r="FC559" s="307"/>
      <c r="FF559" s="307"/>
      <c r="FG559" s="307"/>
      <c r="FH559" s="306"/>
      <c r="FJ559" s="307"/>
      <c r="FK559" s="307"/>
      <c r="FL559" s="306"/>
      <c r="FM559" s="307"/>
      <c r="FN559" s="306"/>
      <c r="FO559" s="307"/>
      <c r="FP559" s="306"/>
    </row>
    <row r="560" spans="29:172">
      <c r="AC560" s="156"/>
      <c r="CW560" s="364"/>
      <c r="CX560" s="316"/>
      <c r="CY560" s="316"/>
      <c r="DA560" s="309">
        <v>559</v>
      </c>
      <c r="DB560" s="313">
        <f t="shared" si="514"/>
        <v>403.4593609548071</v>
      </c>
      <c r="DC560" s="309">
        <f t="shared" si="515"/>
        <v>1</v>
      </c>
      <c r="DD560" s="309">
        <f t="shared" si="516"/>
        <v>260</v>
      </c>
      <c r="DE560" s="308">
        <f t="shared" si="517"/>
        <v>6.5000000000000002E-2</v>
      </c>
      <c r="DF560" s="313">
        <f t="shared" si="532"/>
        <v>559</v>
      </c>
      <c r="DG560" s="313">
        <f t="shared" si="521"/>
        <v>260</v>
      </c>
      <c r="DH560" s="313">
        <f t="shared" si="522"/>
        <v>260</v>
      </c>
      <c r="DI560" s="313">
        <f t="shared" si="523"/>
        <v>0</v>
      </c>
      <c r="DJ560" s="313">
        <f t="shared" si="524"/>
        <v>0</v>
      </c>
      <c r="DK560" s="313">
        <f t="shared" si="533"/>
        <v>140424.51726962166</v>
      </c>
      <c r="DL560" s="313">
        <f t="shared" si="525"/>
        <v>10660</v>
      </c>
      <c r="DM560" s="314">
        <f t="shared" si="526"/>
        <v>18.90570280914724</v>
      </c>
      <c r="DN560" s="312">
        <f t="shared" si="527"/>
        <v>3.3820577476113133E-2</v>
      </c>
      <c r="DO560" s="312">
        <f t="shared" si="534"/>
        <v>1</v>
      </c>
      <c r="DP560" s="315">
        <f t="shared" si="518"/>
        <v>6.5000000000000002E-2</v>
      </c>
      <c r="DQ560" s="316">
        <f t="shared" si="528"/>
        <v>0.25</v>
      </c>
      <c r="DR560" s="316">
        <f t="shared" si="529"/>
        <v>143.57075452294254</v>
      </c>
      <c r="DS560" s="314">
        <f t="shared" si="530"/>
        <v>3.8935506180032791</v>
      </c>
      <c r="DT560" s="316">
        <f t="shared" si="531"/>
        <v>143.57075452294254</v>
      </c>
      <c r="DU560" s="314">
        <f t="shared" si="519"/>
        <v>3.8935506180032791</v>
      </c>
      <c r="DV560" s="316">
        <f t="shared" si="535"/>
        <v>10.25</v>
      </c>
      <c r="DW560" s="310">
        <f t="shared" si="520"/>
        <v>4.0975609756097562</v>
      </c>
      <c r="FB560" s="307"/>
      <c r="FC560" s="307"/>
      <c r="FF560" s="307"/>
      <c r="FG560" s="307"/>
      <c r="FH560" s="306"/>
      <c r="FJ560" s="307"/>
      <c r="FK560" s="307"/>
      <c r="FL560" s="306"/>
      <c r="FM560" s="307"/>
      <c r="FN560" s="306"/>
      <c r="FO560" s="307"/>
      <c r="FP560" s="306"/>
    </row>
    <row r="561" spans="29:172">
      <c r="AC561" s="156"/>
      <c r="CW561" s="364"/>
      <c r="CX561" s="316"/>
      <c r="CY561" s="316"/>
      <c r="DA561" s="309">
        <v>560</v>
      </c>
      <c r="DB561" s="313">
        <f t="shared" si="514"/>
        <v>403.82333118907331</v>
      </c>
      <c r="DC561" s="309">
        <f t="shared" si="515"/>
        <v>1</v>
      </c>
      <c r="DD561" s="309">
        <f t="shared" si="516"/>
        <v>260</v>
      </c>
      <c r="DE561" s="308">
        <f t="shared" si="517"/>
        <v>6.5000000000000002E-2</v>
      </c>
      <c r="DF561" s="313">
        <f t="shared" si="532"/>
        <v>560</v>
      </c>
      <c r="DG561" s="313">
        <f t="shared" si="521"/>
        <v>260</v>
      </c>
      <c r="DH561" s="313">
        <f t="shared" si="522"/>
        <v>260</v>
      </c>
      <c r="DI561" s="313">
        <f t="shared" si="523"/>
        <v>0</v>
      </c>
      <c r="DJ561" s="313">
        <f t="shared" si="524"/>
        <v>0</v>
      </c>
      <c r="DK561" s="313">
        <f t="shared" si="533"/>
        <v>140684.51726962166</v>
      </c>
      <c r="DL561" s="313">
        <f t="shared" si="525"/>
        <v>10400</v>
      </c>
      <c r="DM561" s="314">
        <f t="shared" si="526"/>
        <v>18.90570280914724</v>
      </c>
      <c r="DN561" s="312">
        <f t="shared" si="527"/>
        <v>3.3760183587762928E-2</v>
      </c>
      <c r="DO561" s="312">
        <f t="shared" si="534"/>
        <v>1</v>
      </c>
      <c r="DP561" s="315">
        <f t="shared" si="518"/>
        <v>6.5000000000000002E-2</v>
      </c>
      <c r="DQ561" s="316">
        <f t="shared" si="528"/>
        <v>0.25</v>
      </c>
      <c r="DR561" s="316">
        <f t="shared" si="529"/>
        <v>143.82075452294254</v>
      </c>
      <c r="DS561" s="314">
        <f t="shared" si="530"/>
        <v>3.8937356562864354</v>
      </c>
      <c r="DT561" s="316">
        <f t="shared" si="531"/>
        <v>143.82075452294254</v>
      </c>
      <c r="DU561" s="314">
        <f t="shared" si="519"/>
        <v>3.8937356562864354</v>
      </c>
      <c r="DV561" s="316">
        <f t="shared" si="535"/>
        <v>10</v>
      </c>
      <c r="DW561" s="310">
        <f t="shared" si="520"/>
        <v>4.0999999999999996</v>
      </c>
      <c r="FB561" s="307"/>
      <c r="FC561" s="307"/>
      <c r="FF561" s="307"/>
      <c r="FG561" s="307"/>
      <c r="FH561" s="306"/>
      <c r="FJ561" s="307"/>
      <c r="FK561" s="307"/>
      <c r="FL561" s="306"/>
      <c r="FM561" s="307"/>
      <c r="FN561" s="306"/>
      <c r="FO561" s="307"/>
      <c r="FP561" s="306"/>
    </row>
    <row r="562" spans="29:172">
      <c r="AC562" s="156"/>
      <c r="CW562" s="364"/>
      <c r="CX562" s="316"/>
      <c r="CY562" s="316"/>
      <c r="DA562" s="309">
        <v>561</v>
      </c>
      <c r="DB562" s="313">
        <f t="shared" si="514"/>
        <v>404.18730142333948</v>
      </c>
      <c r="DC562" s="309">
        <f t="shared" si="515"/>
        <v>1</v>
      </c>
      <c r="DD562" s="309">
        <f t="shared" si="516"/>
        <v>260</v>
      </c>
      <c r="DE562" s="308">
        <f t="shared" si="517"/>
        <v>6.5000000000000002E-2</v>
      </c>
      <c r="DF562" s="313">
        <f t="shared" si="532"/>
        <v>561</v>
      </c>
      <c r="DG562" s="313">
        <f t="shared" si="521"/>
        <v>260</v>
      </c>
      <c r="DH562" s="313">
        <f t="shared" si="522"/>
        <v>260</v>
      </c>
      <c r="DI562" s="313">
        <f t="shared" si="523"/>
        <v>0</v>
      </c>
      <c r="DJ562" s="313">
        <f t="shared" si="524"/>
        <v>0</v>
      </c>
      <c r="DK562" s="313">
        <f t="shared" si="533"/>
        <v>140944.51726962166</v>
      </c>
      <c r="DL562" s="313">
        <f t="shared" si="525"/>
        <v>10140</v>
      </c>
      <c r="DM562" s="314">
        <f t="shared" si="526"/>
        <v>18.90570280914724</v>
      </c>
      <c r="DN562" s="312">
        <f t="shared" si="527"/>
        <v>3.3700005007392585E-2</v>
      </c>
      <c r="DO562" s="312">
        <f t="shared" si="534"/>
        <v>1</v>
      </c>
      <c r="DP562" s="315">
        <f t="shared" si="518"/>
        <v>6.5000000000000002E-2</v>
      </c>
      <c r="DQ562" s="316">
        <f t="shared" si="528"/>
        <v>0.25</v>
      </c>
      <c r="DR562" s="316">
        <f t="shared" si="529"/>
        <v>144.07075452294254</v>
      </c>
      <c r="DS562" s="314">
        <f t="shared" si="530"/>
        <v>3.893920052391088</v>
      </c>
      <c r="DT562" s="316">
        <f t="shared" si="531"/>
        <v>144.07075452294254</v>
      </c>
      <c r="DU562" s="314">
        <f t="shared" si="519"/>
        <v>3.893920052391088</v>
      </c>
      <c r="DV562" s="316">
        <f t="shared" si="535"/>
        <v>9.75</v>
      </c>
      <c r="DW562" s="310">
        <f t="shared" si="520"/>
        <v>4.1025641025641022</v>
      </c>
      <c r="FB562" s="307"/>
      <c r="FC562" s="307"/>
      <c r="FF562" s="307"/>
      <c r="FG562" s="307"/>
      <c r="FH562" s="306"/>
      <c r="FJ562" s="307"/>
      <c r="FK562" s="307"/>
      <c r="FL562" s="306"/>
      <c r="FM562" s="307"/>
      <c r="FN562" s="306"/>
      <c r="FO562" s="307"/>
      <c r="FP562" s="306"/>
    </row>
    <row r="563" spans="29:172">
      <c r="AC563" s="156"/>
      <c r="CW563" s="364"/>
      <c r="CX563" s="316"/>
      <c r="CY563" s="316"/>
      <c r="DA563" s="309">
        <v>562</v>
      </c>
      <c r="DB563" s="313">
        <f t="shared" si="514"/>
        <v>404.55127165760575</v>
      </c>
      <c r="DC563" s="309">
        <f t="shared" si="515"/>
        <v>1</v>
      </c>
      <c r="DD563" s="309">
        <f t="shared" si="516"/>
        <v>260</v>
      </c>
      <c r="DE563" s="308">
        <f t="shared" si="517"/>
        <v>6.5000000000000002E-2</v>
      </c>
      <c r="DF563" s="313">
        <f t="shared" si="532"/>
        <v>562</v>
      </c>
      <c r="DG563" s="313">
        <f t="shared" si="521"/>
        <v>260</v>
      </c>
      <c r="DH563" s="313">
        <f t="shared" si="522"/>
        <v>260</v>
      </c>
      <c r="DI563" s="313">
        <f t="shared" si="523"/>
        <v>0</v>
      </c>
      <c r="DJ563" s="313">
        <f t="shared" si="524"/>
        <v>0</v>
      </c>
      <c r="DK563" s="313">
        <f t="shared" si="533"/>
        <v>141204.51726962166</v>
      </c>
      <c r="DL563" s="313">
        <f t="shared" si="525"/>
        <v>9880</v>
      </c>
      <c r="DM563" s="314">
        <f t="shared" si="526"/>
        <v>18.90570280914724</v>
      </c>
      <c r="DN563" s="312">
        <f t="shared" si="527"/>
        <v>3.3640040585671244E-2</v>
      </c>
      <c r="DO563" s="312">
        <f t="shared" si="534"/>
        <v>1</v>
      </c>
      <c r="DP563" s="315">
        <f t="shared" si="518"/>
        <v>6.5000000000000002E-2</v>
      </c>
      <c r="DQ563" s="316">
        <f t="shared" si="528"/>
        <v>0.25</v>
      </c>
      <c r="DR563" s="316">
        <f t="shared" si="529"/>
        <v>144.32075452294254</v>
      </c>
      <c r="DS563" s="314">
        <f t="shared" si="530"/>
        <v>3.8941038096544829</v>
      </c>
      <c r="DT563" s="316">
        <f t="shared" si="531"/>
        <v>144.32075452294254</v>
      </c>
      <c r="DU563" s="314">
        <f t="shared" si="519"/>
        <v>3.8941038096544829</v>
      </c>
      <c r="DV563" s="316">
        <f t="shared" si="535"/>
        <v>9.5</v>
      </c>
      <c r="DW563" s="310">
        <f t="shared" si="520"/>
        <v>4.1052631578947372</v>
      </c>
      <c r="FB563" s="307"/>
      <c r="FC563" s="307"/>
      <c r="FF563" s="307"/>
      <c r="FG563" s="307"/>
      <c r="FH563" s="306"/>
      <c r="FJ563" s="307"/>
      <c r="FK563" s="307"/>
      <c r="FL563" s="306"/>
      <c r="FM563" s="307"/>
      <c r="FN563" s="306"/>
      <c r="FO563" s="307"/>
      <c r="FP563" s="306"/>
    </row>
    <row r="564" spans="29:172">
      <c r="AC564" s="156"/>
      <c r="CW564" s="364"/>
      <c r="CX564" s="316"/>
      <c r="CY564" s="316"/>
      <c r="DA564" s="309">
        <v>563</v>
      </c>
      <c r="DB564" s="313">
        <f t="shared" si="514"/>
        <v>404.91524189187191</v>
      </c>
      <c r="DC564" s="309">
        <f t="shared" si="515"/>
        <v>1</v>
      </c>
      <c r="DD564" s="309">
        <f t="shared" si="516"/>
        <v>260</v>
      </c>
      <c r="DE564" s="308">
        <f t="shared" si="517"/>
        <v>6.5000000000000002E-2</v>
      </c>
      <c r="DF564" s="313">
        <f t="shared" si="532"/>
        <v>563</v>
      </c>
      <c r="DG564" s="313">
        <f t="shared" si="521"/>
        <v>260</v>
      </c>
      <c r="DH564" s="313">
        <f t="shared" si="522"/>
        <v>260</v>
      </c>
      <c r="DI564" s="313">
        <f t="shared" si="523"/>
        <v>0</v>
      </c>
      <c r="DJ564" s="313">
        <f t="shared" si="524"/>
        <v>0</v>
      </c>
      <c r="DK564" s="313">
        <f t="shared" si="533"/>
        <v>141464.51726962166</v>
      </c>
      <c r="DL564" s="313">
        <f t="shared" si="525"/>
        <v>9620</v>
      </c>
      <c r="DM564" s="314">
        <f t="shared" si="526"/>
        <v>18.90570280914724</v>
      </c>
      <c r="DN564" s="312">
        <f t="shared" si="527"/>
        <v>3.3580289181433819E-2</v>
      </c>
      <c r="DO564" s="312">
        <f t="shared" si="534"/>
        <v>1</v>
      </c>
      <c r="DP564" s="315">
        <f t="shared" si="518"/>
        <v>6.5000000000000002E-2</v>
      </c>
      <c r="DQ564" s="316">
        <f t="shared" si="528"/>
        <v>0.25</v>
      </c>
      <c r="DR564" s="316">
        <f t="shared" si="529"/>
        <v>144.57075452294254</v>
      </c>
      <c r="DS564" s="314">
        <f t="shared" si="530"/>
        <v>3.8942869313907829</v>
      </c>
      <c r="DT564" s="316">
        <f t="shared" si="531"/>
        <v>144.57075452294254</v>
      </c>
      <c r="DU564" s="314">
        <f t="shared" si="519"/>
        <v>3.8942869313907829</v>
      </c>
      <c r="DV564" s="316">
        <f t="shared" si="535"/>
        <v>9.25</v>
      </c>
      <c r="DW564" s="310">
        <f t="shared" si="520"/>
        <v>4.1081081081081079</v>
      </c>
      <c r="FB564" s="307"/>
      <c r="FC564" s="307"/>
      <c r="FF564" s="307"/>
      <c r="FG564" s="307"/>
      <c r="FH564" s="306"/>
      <c r="FJ564" s="307"/>
      <c r="FK564" s="307"/>
      <c r="FL564" s="306"/>
      <c r="FM564" s="307"/>
      <c r="FN564" s="306"/>
      <c r="FO564" s="307"/>
      <c r="FP564" s="306"/>
    </row>
    <row r="565" spans="29:172">
      <c r="AC565" s="156"/>
      <c r="CW565" s="364"/>
      <c r="CX565" s="316"/>
      <c r="CY565" s="316"/>
      <c r="DA565" s="309">
        <v>564</v>
      </c>
      <c r="DB565" s="313">
        <f t="shared" si="514"/>
        <v>405.27921212613813</v>
      </c>
      <c r="DC565" s="309">
        <f t="shared" si="515"/>
        <v>1</v>
      </c>
      <c r="DD565" s="309">
        <f t="shared" si="516"/>
        <v>260</v>
      </c>
      <c r="DE565" s="308">
        <f t="shared" si="517"/>
        <v>6.5000000000000002E-2</v>
      </c>
      <c r="DF565" s="313">
        <f t="shared" si="532"/>
        <v>564</v>
      </c>
      <c r="DG565" s="313">
        <f t="shared" si="521"/>
        <v>260</v>
      </c>
      <c r="DH565" s="313">
        <f t="shared" si="522"/>
        <v>260</v>
      </c>
      <c r="DI565" s="313">
        <f t="shared" si="523"/>
        <v>0</v>
      </c>
      <c r="DJ565" s="313">
        <f t="shared" si="524"/>
        <v>0</v>
      </c>
      <c r="DK565" s="313">
        <f t="shared" si="533"/>
        <v>141724.51726962166</v>
      </c>
      <c r="DL565" s="313">
        <f t="shared" si="525"/>
        <v>9360</v>
      </c>
      <c r="DM565" s="314">
        <f t="shared" si="526"/>
        <v>18.90570280914724</v>
      </c>
      <c r="DN565" s="312">
        <f t="shared" si="527"/>
        <v>3.3520749661608583E-2</v>
      </c>
      <c r="DO565" s="312">
        <f t="shared" si="534"/>
        <v>1</v>
      </c>
      <c r="DP565" s="315">
        <f t="shared" si="518"/>
        <v>6.5000000000000002E-2</v>
      </c>
      <c r="DQ565" s="316">
        <f t="shared" si="528"/>
        <v>0.25</v>
      </c>
      <c r="DR565" s="316">
        <f t="shared" si="529"/>
        <v>144.82075452294254</v>
      </c>
      <c r="DS565" s="314">
        <f t="shared" si="530"/>
        <v>3.8944694208912645</v>
      </c>
      <c r="DT565" s="316">
        <f t="shared" si="531"/>
        <v>144.82075452294254</v>
      </c>
      <c r="DU565" s="314">
        <f t="shared" si="519"/>
        <v>3.8944694208912645</v>
      </c>
      <c r="DV565" s="316">
        <f t="shared" si="535"/>
        <v>9</v>
      </c>
      <c r="DW565" s="310">
        <f t="shared" si="520"/>
        <v>4.1111111111111107</v>
      </c>
      <c r="FB565" s="307"/>
      <c r="FC565" s="307"/>
      <c r="FF565" s="307"/>
      <c r="FG565" s="307"/>
      <c r="FH565" s="306"/>
      <c r="FJ565" s="307"/>
      <c r="FK565" s="307"/>
      <c r="FL565" s="306"/>
      <c r="FM565" s="307"/>
      <c r="FN565" s="306"/>
      <c r="FO565" s="307"/>
      <c r="FP565" s="306"/>
    </row>
    <row r="566" spans="29:172">
      <c r="AC566" s="156"/>
      <c r="CW566" s="364"/>
      <c r="CX566" s="316"/>
      <c r="CY566" s="316"/>
      <c r="DA566" s="309">
        <v>565</v>
      </c>
      <c r="DB566" s="313">
        <f t="shared" si="514"/>
        <v>405.64318236040435</v>
      </c>
      <c r="DC566" s="309">
        <f t="shared" si="515"/>
        <v>1</v>
      </c>
      <c r="DD566" s="309">
        <f t="shared" si="516"/>
        <v>260</v>
      </c>
      <c r="DE566" s="308">
        <f t="shared" si="517"/>
        <v>6.5000000000000002E-2</v>
      </c>
      <c r="DF566" s="313">
        <f t="shared" si="532"/>
        <v>565</v>
      </c>
      <c r="DG566" s="313">
        <f t="shared" si="521"/>
        <v>260</v>
      </c>
      <c r="DH566" s="313">
        <f t="shared" si="522"/>
        <v>260</v>
      </c>
      <c r="DI566" s="313">
        <f t="shared" si="523"/>
        <v>0</v>
      </c>
      <c r="DJ566" s="313">
        <f t="shared" si="524"/>
        <v>0</v>
      </c>
      <c r="DK566" s="313">
        <f t="shared" si="533"/>
        <v>141984.51726962166</v>
      </c>
      <c r="DL566" s="313">
        <f t="shared" si="525"/>
        <v>9100</v>
      </c>
      <c r="DM566" s="314">
        <f t="shared" si="526"/>
        <v>18.90570280914724</v>
      </c>
      <c r="DN566" s="312">
        <f t="shared" si="527"/>
        <v>3.346142090114556E-2</v>
      </c>
      <c r="DO566" s="312">
        <f t="shared" si="534"/>
        <v>1</v>
      </c>
      <c r="DP566" s="315">
        <f t="shared" si="518"/>
        <v>6.5000000000000002E-2</v>
      </c>
      <c r="DQ566" s="316">
        <f t="shared" si="528"/>
        <v>0.25</v>
      </c>
      <c r="DR566" s="316">
        <f t="shared" si="529"/>
        <v>145.07075452294254</v>
      </c>
      <c r="DS566" s="314">
        <f t="shared" si="530"/>
        <v>3.8946512814245189</v>
      </c>
      <c r="DT566" s="316">
        <f t="shared" si="531"/>
        <v>145.07075452294254</v>
      </c>
      <c r="DU566" s="314">
        <f t="shared" si="519"/>
        <v>3.8946512814245189</v>
      </c>
      <c r="DV566" s="316">
        <f t="shared" si="535"/>
        <v>8.75</v>
      </c>
      <c r="DW566" s="310">
        <f t="shared" si="520"/>
        <v>4.1142857142857139</v>
      </c>
      <c r="FB566" s="307"/>
      <c r="FC566" s="307"/>
      <c r="FF566" s="307"/>
      <c r="FG566" s="307"/>
      <c r="FH566" s="306"/>
      <c r="FJ566" s="307"/>
      <c r="FK566" s="307"/>
      <c r="FL566" s="306"/>
      <c r="FM566" s="307"/>
      <c r="FN566" s="306"/>
      <c r="FO566" s="307"/>
      <c r="FP566" s="306"/>
    </row>
    <row r="567" spans="29:172">
      <c r="AC567" s="156"/>
      <c r="CW567" s="364"/>
      <c r="CX567" s="316"/>
      <c r="CY567" s="316"/>
      <c r="DA567" s="309">
        <v>566</v>
      </c>
      <c r="DB567" s="313">
        <f t="shared" si="514"/>
        <v>406.00715259467052</v>
      </c>
      <c r="DC567" s="309">
        <f t="shared" si="515"/>
        <v>1</v>
      </c>
      <c r="DD567" s="309">
        <f t="shared" si="516"/>
        <v>260</v>
      </c>
      <c r="DE567" s="308">
        <f t="shared" si="517"/>
        <v>6.5000000000000002E-2</v>
      </c>
      <c r="DF567" s="313">
        <f t="shared" si="532"/>
        <v>566</v>
      </c>
      <c r="DG567" s="313">
        <f t="shared" si="521"/>
        <v>260</v>
      </c>
      <c r="DH567" s="313">
        <f t="shared" si="522"/>
        <v>260</v>
      </c>
      <c r="DI567" s="313">
        <f t="shared" si="523"/>
        <v>0</v>
      </c>
      <c r="DJ567" s="313">
        <f t="shared" si="524"/>
        <v>0</v>
      </c>
      <c r="DK567" s="313">
        <f t="shared" si="533"/>
        <v>142244.51726962166</v>
      </c>
      <c r="DL567" s="313">
        <f t="shared" si="525"/>
        <v>8840</v>
      </c>
      <c r="DM567" s="314">
        <f t="shared" si="526"/>
        <v>18.90570280914724</v>
      </c>
      <c r="DN567" s="312">
        <f t="shared" si="527"/>
        <v>3.3402301782945655E-2</v>
      </c>
      <c r="DO567" s="312">
        <f t="shared" si="534"/>
        <v>1</v>
      </c>
      <c r="DP567" s="315">
        <f t="shared" si="518"/>
        <v>6.5000000000000002E-2</v>
      </c>
      <c r="DQ567" s="316">
        <f t="shared" si="528"/>
        <v>0.25</v>
      </c>
      <c r="DR567" s="316">
        <f t="shared" si="529"/>
        <v>145.32075452294254</v>
      </c>
      <c r="DS567" s="314">
        <f t="shared" si="530"/>
        <v>3.8948325162366442</v>
      </c>
      <c r="DT567" s="316">
        <f t="shared" si="531"/>
        <v>145.32075452294254</v>
      </c>
      <c r="DU567" s="314">
        <f t="shared" si="519"/>
        <v>3.8948325162366442</v>
      </c>
      <c r="DV567" s="316">
        <f t="shared" si="535"/>
        <v>8.5</v>
      </c>
      <c r="DW567" s="310">
        <f t="shared" si="520"/>
        <v>4.117647058823529</v>
      </c>
      <c r="FB567" s="307"/>
      <c r="FC567" s="307"/>
      <c r="FF567" s="307"/>
      <c r="FG567" s="307"/>
      <c r="FH567" s="306"/>
      <c r="FJ567" s="307"/>
      <c r="FK567" s="307"/>
      <c r="FL567" s="306"/>
      <c r="FM567" s="307"/>
      <c r="FN567" s="306"/>
      <c r="FO567" s="307"/>
      <c r="FP567" s="306"/>
    </row>
    <row r="568" spans="29:172">
      <c r="AC568" s="156"/>
      <c r="CW568" s="364"/>
      <c r="CX568" s="316"/>
      <c r="CY568" s="316"/>
      <c r="DA568" s="309">
        <v>567</v>
      </c>
      <c r="DB568" s="313">
        <f t="shared" si="514"/>
        <v>406.37112282893673</v>
      </c>
      <c r="DC568" s="309">
        <f t="shared" si="515"/>
        <v>1</v>
      </c>
      <c r="DD568" s="309">
        <f t="shared" si="516"/>
        <v>260</v>
      </c>
      <c r="DE568" s="308">
        <f t="shared" si="517"/>
        <v>6.5000000000000002E-2</v>
      </c>
      <c r="DF568" s="313">
        <f t="shared" si="532"/>
        <v>567</v>
      </c>
      <c r="DG568" s="313">
        <f t="shared" si="521"/>
        <v>260</v>
      </c>
      <c r="DH568" s="313">
        <f t="shared" si="522"/>
        <v>260</v>
      </c>
      <c r="DI568" s="313">
        <f t="shared" si="523"/>
        <v>0</v>
      </c>
      <c r="DJ568" s="313">
        <f t="shared" si="524"/>
        <v>0</v>
      </c>
      <c r="DK568" s="313">
        <f t="shared" si="533"/>
        <v>142504.51726962166</v>
      </c>
      <c r="DL568" s="313">
        <f t="shared" si="525"/>
        <v>8580</v>
      </c>
      <c r="DM568" s="314">
        <f t="shared" si="526"/>
        <v>18.90570280914724</v>
      </c>
      <c r="DN568" s="312">
        <f t="shared" si="527"/>
        <v>3.3343391197790548E-2</v>
      </c>
      <c r="DO568" s="312">
        <f t="shared" si="534"/>
        <v>1</v>
      </c>
      <c r="DP568" s="315">
        <f t="shared" si="518"/>
        <v>6.5000000000000002E-2</v>
      </c>
      <c r="DQ568" s="316">
        <f t="shared" si="528"/>
        <v>0.25</v>
      </c>
      <c r="DR568" s="316">
        <f t="shared" si="529"/>
        <v>145.57075452294254</v>
      </c>
      <c r="DS568" s="314">
        <f t="shared" si="530"/>
        <v>3.8950131285514393</v>
      </c>
      <c r="DT568" s="316">
        <f t="shared" si="531"/>
        <v>145.57075452294254</v>
      </c>
      <c r="DU568" s="314">
        <f t="shared" si="519"/>
        <v>3.8950131285514393</v>
      </c>
      <c r="DV568" s="316">
        <f t="shared" si="535"/>
        <v>8.25</v>
      </c>
      <c r="DW568" s="310">
        <f t="shared" si="520"/>
        <v>4.1212121212121211</v>
      </c>
      <c r="FB568" s="307"/>
      <c r="FC568" s="307"/>
      <c r="FF568" s="307"/>
      <c r="FG568" s="307"/>
      <c r="FH568" s="306"/>
      <c r="FJ568" s="307"/>
      <c r="FK568" s="307"/>
      <c r="FL568" s="306"/>
      <c r="FM568" s="307"/>
      <c r="FN568" s="306"/>
      <c r="FO568" s="307"/>
      <c r="FP568" s="306"/>
    </row>
    <row r="569" spans="29:172">
      <c r="AC569" s="156"/>
      <c r="CW569" s="364"/>
      <c r="CX569" s="316"/>
      <c r="CY569" s="316"/>
      <c r="DA569" s="309">
        <v>568</v>
      </c>
      <c r="DB569" s="313">
        <f t="shared" si="514"/>
        <v>406.73509306320295</v>
      </c>
      <c r="DC569" s="309">
        <f t="shared" si="515"/>
        <v>1</v>
      </c>
      <c r="DD569" s="309">
        <f t="shared" si="516"/>
        <v>260</v>
      </c>
      <c r="DE569" s="308">
        <f t="shared" si="517"/>
        <v>6.5000000000000002E-2</v>
      </c>
      <c r="DF569" s="313">
        <f t="shared" si="532"/>
        <v>568</v>
      </c>
      <c r="DG569" s="313">
        <f t="shared" si="521"/>
        <v>260</v>
      </c>
      <c r="DH569" s="313">
        <f t="shared" si="522"/>
        <v>260</v>
      </c>
      <c r="DI569" s="313">
        <f t="shared" si="523"/>
        <v>0</v>
      </c>
      <c r="DJ569" s="313">
        <f t="shared" si="524"/>
        <v>0</v>
      </c>
      <c r="DK569" s="313">
        <f t="shared" si="533"/>
        <v>142764.51726962166</v>
      </c>
      <c r="DL569" s="313">
        <f t="shared" si="525"/>
        <v>8320</v>
      </c>
      <c r="DM569" s="314">
        <f t="shared" si="526"/>
        <v>18.90570280914724</v>
      </c>
      <c r="DN569" s="312">
        <f t="shared" si="527"/>
        <v>3.3284688044273307E-2</v>
      </c>
      <c r="DO569" s="312">
        <f t="shared" si="534"/>
        <v>1</v>
      </c>
      <c r="DP569" s="315">
        <f t="shared" si="518"/>
        <v>6.5000000000000002E-2</v>
      </c>
      <c r="DQ569" s="316">
        <f t="shared" si="528"/>
        <v>0.25</v>
      </c>
      <c r="DR569" s="316">
        <f t="shared" si="529"/>
        <v>145.82075452294254</v>
      </c>
      <c r="DS569" s="314">
        <f t="shared" si="530"/>
        <v>3.8951931215705948</v>
      </c>
      <c r="DT569" s="316">
        <f t="shared" si="531"/>
        <v>145.82075452294254</v>
      </c>
      <c r="DU569" s="314">
        <f t="shared" si="519"/>
        <v>3.8951931215705948</v>
      </c>
      <c r="DV569" s="316">
        <f t="shared" si="535"/>
        <v>8</v>
      </c>
      <c r="DW569" s="310">
        <f t="shared" si="520"/>
        <v>4.125</v>
      </c>
      <c r="FB569" s="307"/>
      <c r="FC569" s="307"/>
      <c r="FF569" s="307"/>
      <c r="FG569" s="307"/>
      <c r="FH569" s="306"/>
      <c r="FJ569" s="307"/>
      <c r="FK569" s="307"/>
      <c r="FL569" s="306"/>
      <c r="FM569" s="307"/>
      <c r="FN569" s="306"/>
      <c r="FO569" s="307"/>
      <c r="FP569" s="306"/>
    </row>
    <row r="570" spans="29:172">
      <c r="AC570" s="156"/>
      <c r="CW570" s="364"/>
      <c r="CX570" s="316"/>
      <c r="CY570" s="316"/>
      <c r="DA570" s="309">
        <v>569</v>
      </c>
      <c r="DB570" s="313">
        <f t="shared" si="514"/>
        <v>407.09906329746912</v>
      </c>
      <c r="DC570" s="309">
        <f t="shared" si="515"/>
        <v>1</v>
      </c>
      <c r="DD570" s="309">
        <f t="shared" si="516"/>
        <v>260</v>
      </c>
      <c r="DE570" s="308">
        <f t="shared" si="517"/>
        <v>6.5000000000000002E-2</v>
      </c>
      <c r="DF570" s="313">
        <f t="shared" si="532"/>
        <v>569</v>
      </c>
      <c r="DG570" s="313">
        <f t="shared" si="521"/>
        <v>260</v>
      </c>
      <c r="DH570" s="313">
        <f t="shared" si="522"/>
        <v>260</v>
      </c>
      <c r="DI570" s="313">
        <f t="shared" si="523"/>
        <v>0</v>
      </c>
      <c r="DJ570" s="313">
        <f t="shared" si="524"/>
        <v>0</v>
      </c>
      <c r="DK570" s="313">
        <f t="shared" si="533"/>
        <v>143024.51726962166</v>
      </c>
      <c r="DL570" s="313">
        <f t="shared" si="525"/>
        <v>8060</v>
      </c>
      <c r="DM570" s="314">
        <f t="shared" si="526"/>
        <v>18.90570280914724</v>
      </c>
      <c r="DN570" s="312">
        <f t="shared" si="527"/>
        <v>3.3226191228729773E-2</v>
      </c>
      <c r="DO570" s="312">
        <f t="shared" si="534"/>
        <v>1</v>
      </c>
      <c r="DP570" s="315">
        <f t="shared" si="518"/>
        <v>6.5000000000000002E-2</v>
      </c>
      <c r="DQ570" s="316">
        <f t="shared" si="528"/>
        <v>0.25</v>
      </c>
      <c r="DR570" s="316">
        <f t="shared" si="529"/>
        <v>146.07075452294254</v>
      </c>
      <c r="DS570" s="314">
        <f t="shared" si="530"/>
        <v>3.8953724984738836</v>
      </c>
      <c r="DT570" s="316">
        <f t="shared" si="531"/>
        <v>146.07075452294254</v>
      </c>
      <c r="DU570" s="314">
        <f t="shared" si="519"/>
        <v>3.8953724984738836</v>
      </c>
      <c r="DV570" s="316">
        <f t="shared" si="535"/>
        <v>7.75</v>
      </c>
      <c r="DW570" s="310">
        <f t="shared" si="520"/>
        <v>4.129032258064516</v>
      </c>
      <c r="FB570" s="307"/>
      <c r="FC570" s="307"/>
      <c r="FF570" s="307"/>
      <c r="FG570" s="307"/>
      <c r="FH570" s="306"/>
      <c r="FJ570" s="307"/>
      <c r="FK570" s="307"/>
      <c r="FL570" s="306"/>
      <c r="FM570" s="307"/>
      <c r="FN570" s="306"/>
      <c r="FO570" s="307"/>
      <c r="FP570" s="306"/>
    </row>
    <row r="571" spans="29:172">
      <c r="AC571" s="156"/>
      <c r="CW571" s="364"/>
      <c r="CX571" s="316"/>
      <c r="CY571" s="316"/>
      <c r="DA571" s="309">
        <v>570</v>
      </c>
      <c r="DB571" s="313">
        <f t="shared" si="514"/>
        <v>407.46303353173533</v>
      </c>
      <c r="DC571" s="309">
        <f t="shared" si="515"/>
        <v>1</v>
      </c>
      <c r="DD571" s="309">
        <f t="shared" si="516"/>
        <v>260</v>
      </c>
      <c r="DE571" s="308">
        <f t="shared" si="517"/>
        <v>6.5000000000000002E-2</v>
      </c>
      <c r="DF571" s="313">
        <f t="shared" si="532"/>
        <v>570</v>
      </c>
      <c r="DG571" s="313">
        <f t="shared" si="521"/>
        <v>260</v>
      </c>
      <c r="DH571" s="313">
        <f t="shared" si="522"/>
        <v>260</v>
      </c>
      <c r="DI571" s="313">
        <f t="shared" si="523"/>
        <v>0</v>
      </c>
      <c r="DJ571" s="313">
        <f t="shared" si="524"/>
        <v>0</v>
      </c>
      <c r="DK571" s="313">
        <f t="shared" si="533"/>
        <v>143284.51726962166</v>
      </c>
      <c r="DL571" s="313">
        <f t="shared" si="525"/>
        <v>7800</v>
      </c>
      <c r="DM571" s="314">
        <f t="shared" si="526"/>
        <v>18.90570280914724</v>
      </c>
      <c r="DN571" s="312">
        <f t="shared" si="527"/>
        <v>3.3167899665170593E-2</v>
      </c>
      <c r="DO571" s="312">
        <f t="shared" si="534"/>
        <v>1</v>
      </c>
      <c r="DP571" s="315">
        <f t="shared" si="518"/>
        <v>6.5000000000000002E-2</v>
      </c>
      <c r="DQ571" s="316">
        <f t="shared" si="528"/>
        <v>0.25</v>
      </c>
      <c r="DR571" s="316">
        <f t="shared" si="529"/>
        <v>146.32075452294254</v>
      </c>
      <c r="DS571" s="314">
        <f t="shared" si="530"/>
        <v>3.895551262419346</v>
      </c>
      <c r="DT571" s="316">
        <f t="shared" si="531"/>
        <v>146.32075452294254</v>
      </c>
      <c r="DU571" s="314">
        <f t="shared" si="519"/>
        <v>3.895551262419346</v>
      </c>
      <c r="DV571" s="316">
        <f t="shared" si="535"/>
        <v>7.5</v>
      </c>
      <c r="DW571" s="310">
        <f t="shared" si="520"/>
        <v>4.1333333333333337</v>
      </c>
      <c r="FB571" s="307"/>
      <c r="FC571" s="307"/>
      <c r="FF571" s="307"/>
      <c r="FG571" s="307"/>
      <c r="FH571" s="306"/>
      <c r="FJ571" s="307"/>
      <c r="FK571" s="307"/>
      <c r="FL571" s="306"/>
      <c r="FM571" s="307"/>
      <c r="FN571" s="306"/>
      <c r="FO571" s="307"/>
      <c r="FP571" s="306"/>
    </row>
    <row r="572" spans="29:172">
      <c r="AC572" s="156"/>
      <c r="CW572" s="364"/>
      <c r="CX572" s="316"/>
      <c r="CY572" s="316"/>
      <c r="DA572" s="309">
        <v>571</v>
      </c>
      <c r="DB572" s="313">
        <f t="shared" si="514"/>
        <v>407.82700376600155</v>
      </c>
      <c r="DC572" s="309">
        <f t="shared" si="515"/>
        <v>1</v>
      </c>
      <c r="DD572" s="309">
        <f t="shared" si="516"/>
        <v>260</v>
      </c>
      <c r="DE572" s="308">
        <f t="shared" si="517"/>
        <v>6.5000000000000002E-2</v>
      </c>
      <c r="DF572" s="313">
        <f t="shared" si="532"/>
        <v>571</v>
      </c>
      <c r="DG572" s="313">
        <f t="shared" si="521"/>
        <v>260</v>
      </c>
      <c r="DH572" s="313">
        <f t="shared" si="522"/>
        <v>260</v>
      </c>
      <c r="DI572" s="313">
        <f t="shared" si="523"/>
        <v>0</v>
      </c>
      <c r="DJ572" s="313">
        <f t="shared" si="524"/>
        <v>0</v>
      </c>
      <c r="DK572" s="313">
        <f t="shared" si="533"/>
        <v>143544.51726962166</v>
      </c>
      <c r="DL572" s="313">
        <f t="shared" si="525"/>
        <v>7540</v>
      </c>
      <c r="DM572" s="314">
        <f t="shared" si="526"/>
        <v>18.90570280914724</v>
      </c>
      <c r="DN572" s="312">
        <f t="shared" si="527"/>
        <v>3.3109812275214083E-2</v>
      </c>
      <c r="DO572" s="312">
        <f t="shared" si="534"/>
        <v>1</v>
      </c>
      <c r="DP572" s="315">
        <f t="shared" si="518"/>
        <v>6.5000000000000002E-2</v>
      </c>
      <c r="DQ572" s="316">
        <f t="shared" si="528"/>
        <v>0.25</v>
      </c>
      <c r="DR572" s="316">
        <f t="shared" si="529"/>
        <v>146.57075452294254</v>
      </c>
      <c r="DS572" s="314">
        <f t="shared" si="530"/>
        <v>3.8957294165434764</v>
      </c>
      <c r="DT572" s="316">
        <f t="shared" si="531"/>
        <v>146.57075452294254</v>
      </c>
      <c r="DU572" s="314">
        <f t="shared" si="519"/>
        <v>3.8957294165434764</v>
      </c>
      <c r="DV572" s="316">
        <f t="shared" si="535"/>
        <v>7.25</v>
      </c>
      <c r="DW572" s="310">
        <f t="shared" si="520"/>
        <v>4.1379310344827589</v>
      </c>
      <c r="FB572" s="307"/>
      <c r="FC572" s="307"/>
      <c r="FF572" s="307"/>
      <c r="FG572" s="307"/>
      <c r="FH572" s="306"/>
      <c r="FJ572" s="307"/>
      <c r="FK572" s="307"/>
      <c r="FL572" s="306"/>
      <c r="FM572" s="307"/>
      <c r="FN572" s="306"/>
      <c r="FO572" s="307"/>
      <c r="FP572" s="306"/>
    </row>
    <row r="573" spans="29:172">
      <c r="AC573" s="156"/>
      <c r="CW573" s="364"/>
      <c r="CX573" s="316"/>
      <c r="CY573" s="316"/>
      <c r="DA573" s="309">
        <v>572</v>
      </c>
      <c r="DB573" s="313">
        <f t="shared" si="514"/>
        <v>408.19097400026772</v>
      </c>
      <c r="DC573" s="309">
        <f t="shared" si="515"/>
        <v>1</v>
      </c>
      <c r="DD573" s="309">
        <f t="shared" si="516"/>
        <v>260</v>
      </c>
      <c r="DE573" s="308">
        <f t="shared" si="517"/>
        <v>6.5000000000000002E-2</v>
      </c>
      <c r="DF573" s="313">
        <f t="shared" si="532"/>
        <v>572</v>
      </c>
      <c r="DG573" s="313">
        <f t="shared" si="521"/>
        <v>260</v>
      </c>
      <c r="DH573" s="313">
        <f t="shared" si="522"/>
        <v>260</v>
      </c>
      <c r="DI573" s="313">
        <f t="shared" si="523"/>
        <v>0</v>
      </c>
      <c r="DJ573" s="313">
        <f t="shared" si="524"/>
        <v>0</v>
      </c>
      <c r="DK573" s="313">
        <f t="shared" si="533"/>
        <v>143804.51726962166</v>
      </c>
      <c r="DL573" s="313">
        <f t="shared" si="525"/>
        <v>7280</v>
      </c>
      <c r="DM573" s="314">
        <f t="shared" si="526"/>
        <v>18.90570280914724</v>
      </c>
      <c r="DN573" s="312">
        <f t="shared" si="527"/>
        <v>3.3051927988019647E-2</v>
      </c>
      <c r="DO573" s="312">
        <f t="shared" si="534"/>
        <v>1</v>
      </c>
      <c r="DP573" s="315">
        <f t="shared" si="518"/>
        <v>6.5000000000000002E-2</v>
      </c>
      <c r="DQ573" s="316">
        <f t="shared" si="528"/>
        <v>0.25</v>
      </c>
      <c r="DR573" s="316">
        <f t="shared" si="529"/>
        <v>146.82075452294254</v>
      </c>
      <c r="DS573" s="314">
        <f t="shared" si="530"/>
        <v>3.8959069639614063</v>
      </c>
      <c r="DT573" s="316">
        <f t="shared" si="531"/>
        <v>146.82075452294254</v>
      </c>
      <c r="DU573" s="314">
        <f t="shared" si="519"/>
        <v>3.8959069639614063</v>
      </c>
      <c r="DV573" s="316">
        <f t="shared" si="535"/>
        <v>7</v>
      </c>
      <c r="DW573" s="310">
        <f t="shared" si="520"/>
        <v>4.1428571428571432</v>
      </c>
      <c r="FB573" s="307"/>
      <c r="FC573" s="307"/>
      <c r="FF573" s="307"/>
      <c r="FG573" s="307"/>
      <c r="FH573" s="306"/>
      <c r="FJ573" s="307"/>
      <c r="FK573" s="307"/>
      <c r="FL573" s="306"/>
      <c r="FM573" s="307"/>
      <c r="FN573" s="306"/>
      <c r="FO573" s="307"/>
      <c r="FP573" s="306"/>
    </row>
    <row r="574" spans="29:172">
      <c r="AC574" s="156"/>
      <c r="CW574" s="364"/>
      <c r="CX574" s="316"/>
      <c r="CY574" s="316"/>
      <c r="DA574" s="309">
        <v>573</v>
      </c>
      <c r="DB574" s="313">
        <f t="shared" si="514"/>
        <v>408.55494423453393</v>
      </c>
      <c r="DC574" s="309">
        <f t="shared" si="515"/>
        <v>1</v>
      </c>
      <c r="DD574" s="309">
        <f t="shared" si="516"/>
        <v>260</v>
      </c>
      <c r="DE574" s="308">
        <f t="shared" si="517"/>
        <v>6.5000000000000002E-2</v>
      </c>
      <c r="DF574" s="313">
        <f t="shared" si="532"/>
        <v>573</v>
      </c>
      <c r="DG574" s="313">
        <f t="shared" si="521"/>
        <v>260</v>
      </c>
      <c r="DH574" s="313">
        <f t="shared" si="522"/>
        <v>260</v>
      </c>
      <c r="DI574" s="313">
        <f t="shared" si="523"/>
        <v>0</v>
      </c>
      <c r="DJ574" s="313">
        <f t="shared" si="524"/>
        <v>0</v>
      </c>
      <c r="DK574" s="313">
        <f t="shared" si="533"/>
        <v>144064.51726962166</v>
      </c>
      <c r="DL574" s="313">
        <f t="shared" si="525"/>
        <v>7020</v>
      </c>
      <c r="DM574" s="314">
        <f t="shared" si="526"/>
        <v>18.90570280914724</v>
      </c>
      <c r="DN574" s="312">
        <f t="shared" si="527"/>
        <v>3.2994245740222056E-2</v>
      </c>
      <c r="DO574" s="312">
        <f t="shared" si="534"/>
        <v>1</v>
      </c>
      <c r="DP574" s="315">
        <f t="shared" si="518"/>
        <v>6.5000000000000002E-2</v>
      </c>
      <c r="DQ574" s="316">
        <f t="shared" si="528"/>
        <v>0.25</v>
      </c>
      <c r="DR574" s="316">
        <f t="shared" si="529"/>
        <v>147.07075452294254</v>
      </c>
      <c r="DS574" s="314">
        <f t="shared" si="530"/>
        <v>3.8960839077670872</v>
      </c>
      <c r="DT574" s="316">
        <f t="shared" si="531"/>
        <v>147.07075452294254</v>
      </c>
      <c r="DU574" s="314">
        <f t="shared" si="519"/>
        <v>3.8960839077670872</v>
      </c>
      <c r="DV574" s="316">
        <f t="shared" si="535"/>
        <v>6.75</v>
      </c>
      <c r="DW574" s="310">
        <f t="shared" si="520"/>
        <v>4.1481481481481479</v>
      </c>
      <c r="FB574" s="307"/>
      <c r="FC574" s="307"/>
      <c r="FF574" s="307"/>
      <c r="FG574" s="307"/>
      <c r="FH574" s="306"/>
      <c r="FJ574" s="307"/>
      <c r="FK574" s="307"/>
      <c r="FL574" s="306"/>
      <c r="FM574" s="307"/>
      <c r="FN574" s="306"/>
      <c r="FO574" s="307"/>
      <c r="FP574" s="306"/>
    </row>
    <row r="575" spans="29:172">
      <c r="AC575" s="156"/>
      <c r="CW575" s="364"/>
      <c r="CX575" s="316"/>
      <c r="CY575" s="316"/>
      <c r="DA575" s="309">
        <v>574</v>
      </c>
      <c r="DB575" s="313">
        <f t="shared" si="514"/>
        <v>408.91891446880015</v>
      </c>
      <c r="DC575" s="309">
        <f t="shared" si="515"/>
        <v>1</v>
      </c>
      <c r="DD575" s="309">
        <f t="shared" si="516"/>
        <v>260</v>
      </c>
      <c r="DE575" s="308">
        <f t="shared" si="517"/>
        <v>6.5000000000000002E-2</v>
      </c>
      <c r="DF575" s="313">
        <f t="shared" si="532"/>
        <v>574</v>
      </c>
      <c r="DG575" s="313">
        <f t="shared" si="521"/>
        <v>260</v>
      </c>
      <c r="DH575" s="313">
        <f t="shared" si="522"/>
        <v>260</v>
      </c>
      <c r="DI575" s="313">
        <f t="shared" si="523"/>
        <v>0</v>
      </c>
      <c r="DJ575" s="313">
        <f t="shared" si="524"/>
        <v>0</v>
      </c>
      <c r="DK575" s="313">
        <f t="shared" si="533"/>
        <v>144324.51726962166</v>
      </c>
      <c r="DL575" s="313">
        <f t="shared" si="525"/>
        <v>6760</v>
      </c>
      <c r="DM575" s="314">
        <f t="shared" si="526"/>
        <v>18.90570280914724</v>
      </c>
      <c r="DN575" s="312">
        <f t="shared" si="527"/>
        <v>3.293676447586627E-2</v>
      </c>
      <c r="DO575" s="312">
        <f t="shared" si="534"/>
        <v>1</v>
      </c>
      <c r="DP575" s="315">
        <f t="shared" si="518"/>
        <v>6.5000000000000002E-2</v>
      </c>
      <c r="DQ575" s="316">
        <f t="shared" si="528"/>
        <v>0.25</v>
      </c>
      <c r="DR575" s="316">
        <f t="shared" si="529"/>
        <v>147.32075452294254</v>
      </c>
      <c r="DS575" s="314">
        <f t="shared" si="530"/>
        <v>3.8962602510334681</v>
      </c>
      <c r="DT575" s="316">
        <f t="shared" si="531"/>
        <v>147.32075452294254</v>
      </c>
      <c r="DU575" s="314">
        <f t="shared" si="519"/>
        <v>3.8962602510334681</v>
      </c>
      <c r="DV575" s="316">
        <f t="shared" si="535"/>
        <v>6.5</v>
      </c>
      <c r="DW575" s="310">
        <f t="shared" si="520"/>
        <v>4.1538461538461542</v>
      </c>
      <c r="FB575" s="307"/>
      <c r="FC575" s="307"/>
      <c r="FF575" s="307"/>
      <c r="FG575" s="307"/>
      <c r="FH575" s="306"/>
      <c r="FJ575" s="307"/>
      <c r="FK575" s="307"/>
      <c r="FL575" s="306"/>
      <c r="FM575" s="307"/>
      <c r="FN575" s="306"/>
      <c r="FO575" s="307"/>
      <c r="FP575" s="306"/>
    </row>
    <row r="576" spans="29:172">
      <c r="AC576" s="156"/>
      <c r="CW576" s="364"/>
      <c r="CX576" s="316"/>
      <c r="CY576" s="316"/>
      <c r="DA576" s="309">
        <v>575</v>
      </c>
      <c r="DB576" s="313">
        <f t="shared" si="514"/>
        <v>409.28288470306632</v>
      </c>
      <c r="DC576" s="309">
        <f t="shared" si="515"/>
        <v>1</v>
      </c>
      <c r="DD576" s="309">
        <f t="shared" si="516"/>
        <v>260</v>
      </c>
      <c r="DE576" s="308">
        <f t="shared" si="517"/>
        <v>6.5000000000000002E-2</v>
      </c>
      <c r="DF576" s="313">
        <f t="shared" si="532"/>
        <v>575</v>
      </c>
      <c r="DG576" s="313">
        <f t="shared" si="521"/>
        <v>260</v>
      </c>
      <c r="DH576" s="313">
        <f t="shared" si="522"/>
        <v>260</v>
      </c>
      <c r="DI576" s="313">
        <f t="shared" si="523"/>
        <v>0</v>
      </c>
      <c r="DJ576" s="313">
        <f t="shared" si="524"/>
        <v>0</v>
      </c>
      <c r="DK576" s="313">
        <f t="shared" si="533"/>
        <v>144584.51726962166</v>
      </c>
      <c r="DL576" s="313">
        <f t="shared" si="525"/>
        <v>6500</v>
      </c>
      <c r="DM576" s="314">
        <f t="shared" si="526"/>
        <v>18.90570280914724</v>
      </c>
      <c r="DN576" s="312">
        <f t="shared" si="527"/>
        <v>3.2879483146343022E-2</v>
      </c>
      <c r="DO576" s="312">
        <f t="shared" si="534"/>
        <v>1</v>
      </c>
      <c r="DP576" s="315">
        <f t="shared" si="518"/>
        <v>6.5000000000000002E-2</v>
      </c>
      <c r="DQ576" s="316">
        <f t="shared" si="528"/>
        <v>0.25</v>
      </c>
      <c r="DR576" s="316">
        <f t="shared" si="529"/>
        <v>147.57075452294254</v>
      </c>
      <c r="DS576" s="314">
        <f t="shared" si="530"/>
        <v>3.8964359968126741</v>
      </c>
      <c r="DT576" s="316">
        <f t="shared" si="531"/>
        <v>147.57075452294254</v>
      </c>
      <c r="DU576" s="314">
        <f t="shared" si="519"/>
        <v>3.8964359968126741</v>
      </c>
      <c r="DV576" s="316">
        <f t="shared" si="535"/>
        <v>6.25</v>
      </c>
      <c r="DW576" s="310">
        <f t="shared" si="520"/>
        <v>4.16</v>
      </c>
      <c r="FB576" s="307"/>
      <c r="FC576" s="307"/>
      <c r="FF576" s="307"/>
      <c r="FG576" s="307"/>
      <c r="FH576" s="306"/>
      <c r="FJ576" s="307"/>
      <c r="FK576" s="307"/>
      <c r="FL576" s="306"/>
      <c r="FM576" s="307"/>
      <c r="FN576" s="306"/>
      <c r="FO576" s="307"/>
      <c r="FP576" s="306"/>
    </row>
    <row r="577" spans="29:172">
      <c r="AC577" s="156"/>
      <c r="CW577" s="364"/>
      <c r="CX577" s="316"/>
      <c r="CY577" s="316"/>
      <c r="DA577" s="309">
        <v>576</v>
      </c>
      <c r="DB577" s="313">
        <f t="shared" si="514"/>
        <v>409.64685493733253</v>
      </c>
      <c r="DC577" s="309">
        <f t="shared" si="515"/>
        <v>1</v>
      </c>
      <c r="DD577" s="309">
        <f t="shared" si="516"/>
        <v>260</v>
      </c>
      <c r="DE577" s="308">
        <f t="shared" si="517"/>
        <v>6.5000000000000002E-2</v>
      </c>
      <c r="DF577" s="313">
        <f t="shared" si="532"/>
        <v>576</v>
      </c>
      <c r="DG577" s="313">
        <f t="shared" si="521"/>
        <v>260</v>
      </c>
      <c r="DH577" s="313">
        <f t="shared" si="522"/>
        <v>260</v>
      </c>
      <c r="DI577" s="313">
        <f t="shared" si="523"/>
        <v>0</v>
      </c>
      <c r="DJ577" s="313">
        <f t="shared" si="524"/>
        <v>0</v>
      </c>
      <c r="DK577" s="313">
        <f t="shared" si="533"/>
        <v>144844.51726962166</v>
      </c>
      <c r="DL577" s="313">
        <f t="shared" si="525"/>
        <v>6240</v>
      </c>
      <c r="DM577" s="314">
        <f t="shared" si="526"/>
        <v>18.90570280914724</v>
      </c>
      <c r="DN577" s="312">
        <f t="shared" si="527"/>
        <v>3.2822400710325071E-2</v>
      </c>
      <c r="DO577" s="312">
        <f t="shared" si="534"/>
        <v>1</v>
      </c>
      <c r="DP577" s="315">
        <f t="shared" si="518"/>
        <v>6.5000000000000002E-2</v>
      </c>
      <c r="DQ577" s="316">
        <f t="shared" si="528"/>
        <v>0.25</v>
      </c>
      <c r="DR577" s="316">
        <f t="shared" si="529"/>
        <v>147.82075452294254</v>
      </c>
      <c r="DS577" s="314">
        <f t="shared" si="530"/>
        <v>3.8966111481361829</v>
      </c>
      <c r="DT577" s="316">
        <f t="shared" si="531"/>
        <v>147.82075452294254</v>
      </c>
      <c r="DU577" s="314">
        <f t="shared" si="519"/>
        <v>3.8966111481361829</v>
      </c>
      <c r="DV577" s="316">
        <f t="shared" si="535"/>
        <v>6</v>
      </c>
      <c r="DW577" s="310">
        <f t="shared" si="520"/>
        <v>4.166666666666667</v>
      </c>
      <c r="FB577" s="307"/>
      <c r="FC577" s="307"/>
      <c r="FF577" s="307"/>
      <c r="FG577" s="307"/>
      <c r="FH577" s="306"/>
      <c r="FJ577" s="307"/>
      <c r="FK577" s="307"/>
      <c r="FL577" s="306"/>
      <c r="FM577" s="307"/>
      <c r="FN577" s="306"/>
      <c r="FO577" s="307"/>
      <c r="FP577" s="306"/>
    </row>
    <row r="578" spans="29:172">
      <c r="AC578" s="156"/>
      <c r="CW578" s="364"/>
      <c r="CX578" s="316"/>
      <c r="CY578" s="316"/>
      <c r="DA578" s="309">
        <v>577</v>
      </c>
      <c r="DB578" s="313">
        <f t="shared" ref="DB578:DB641" si="536">start+DA578*tanO</f>
        <v>410.01082517159875</v>
      </c>
      <c r="DC578" s="309">
        <f t="shared" ref="DC578:DC641" si="537">IF(DA578&lt;edge_width,1,IF(DA578&lt;mid_width,2,IF(DA578&lt;=tot_width,3,4)))</f>
        <v>1</v>
      </c>
      <c r="DD578" s="309">
        <f t="shared" ref="DD578:DD641" si="538">CHOOSE(DC578,edge_thick,second_thick,core_thick,0)</f>
        <v>260</v>
      </c>
      <c r="DE578" s="308">
        <f t="shared" ref="DE578:DE641" si="539">CHOOSE(DC578,edge_k,second_k,core_k,0)</f>
        <v>6.5000000000000002E-2</v>
      </c>
      <c r="DF578" s="313">
        <f t="shared" si="532"/>
        <v>577</v>
      </c>
      <c r="DG578" s="313">
        <f t="shared" si="521"/>
        <v>260</v>
      </c>
      <c r="DH578" s="313">
        <f t="shared" si="522"/>
        <v>260</v>
      </c>
      <c r="DI578" s="313">
        <f t="shared" si="523"/>
        <v>0</v>
      </c>
      <c r="DJ578" s="313">
        <f t="shared" si="524"/>
        <v>0</v>
      </c>
      <c r="DK578" s="313">
        <f t="shared" si="533"/>
        <v>145104.51726962166</v>
      </c>
      <c r="DL578" s="313">
        <f t="shared" si="525"/>
        <v>5980</v>
      </c>
      <c r="DM578" s="314">
        <f t="shared" si="526"/>
        <v>18.90570280914724</v>
      </c>
      <c r="DN578" s="312">
        <f t="shared" si="527"/>
        <v>3.2765516133704056E-2</v>
      </c>
      <c r="DO578" s="312">
        <f t="shared" si="534"/>
        <v>1</v>
      </c>
      <c r="DP578" s="315">
        <f t="shared" ref="DP578:DP641" si="540">DE578*DO578^CHOOSE(DC578,mult1,mult2,mult3,0)</f>
        <v>6.5000000000000002E-2</v>
      </c>
      <c r="DQ578" s="316">
        <f t="shared" si="528"/>
        <v>0.25</v>
      </c>
      <c r="DR578" s="316">
        <f t="shared" si="529"/>
        <v>148.07075452294254</v>
      </c>
      <c r="DS578" s="314">
        <f t="shared" si="530"/>
        <v>3.8967857080150008</v>
      </c>
      <c r="DT578" s="316">
        <f t="shared" si="531"/>
        <v>148.07075452294254</v>
      </c>
      <c r="DU578" s="314">
        <f t="shared" ref="DU578:DU641" si="541">IF(DC578&lt;&gt;4,CHOOSE(DC578,DA578/DT578,(DA578-edge_width+1)/DT578,(DA578-mid_width+1)/DT578),0)</f>
        <v>3.8967857080150008</v>
      </c>
      <c r="DV578" s="316">
        <f t="shared" si="535"/>
        <v>5.75</v>
      </c>
      <c r="DW578" s="310">
        <f t="shared" ref="DW578:DW641" si="542">IF(DC578&lt;&gt;4,(tot_width-DA578+1)/DV578,0)</f>
        <v>4.1739130434782608</v>
      </c>
      <c r="FB578" s="307"/>
      <c r="FC578" s="307"/>
      <c r="FF578" s="307"/>
      <c r="FG578" s="307"/>
      <c r="FH578" s="306"/>
      <c r="FJ578" s="307"/>
      <c r="FK578" s="307"/>
      <c r="FL578" s="306"/>
      <c r="FM578" s="307"/>
      <c r="FN578" s="306"/>
      <c r="FO578" s="307"/>
      <c r="FP578" s="306"/>
    </row>
    <row r="579" spans="29:172">
      <c r="AC579" s="156"/>
      <c r="CW579" s="364"/>
      <c r="CX579" s="316"/>
      <c r="CY579" s="316"/>
      <c r="DA579" s="309">
        <v>578</v>
      </c>
      <c r="DB579" s="313">
        <f t="shared" si="536"/>
        <v>410.37479540586492</v>
      </c>
      <c r="DC579" s="309">
        <f t="shared" si="537"/>
        <v>1</v>
      </c>
      <c r="DD579" s="309">
        <f t="shared" si="538"/>
        <v>260</v>
      </c>
      <c r="DE579" s="308">
        <f t="shared" si="539"/>
        <v>6.5000000000000002E-2</v>
      </c>
      <c r="DF579" s="313">
        <f t="shared" si="532"/>
        <v>578</v>
      </c>
      <c r="DG579" s="313">
        <f t="shared" ref="DG579:DG642" si="543">IF(DC579=4,DG578,MIN(DB579,DD579))</f>
        <v>260</v>
      </c>
      <c r="DH579" s="313">
        <f t="shared" ref="DH579:DH642" si="544">IF(DC579=1,DG579,0)</f>
        <v>260</v>
      </c>
      <c r="DI579" s="313">
        <f t="shared" ref="DI579:DI642" si="545">IF(DC579=2,DG579,0)</f>
        <v>0</v>
      </c>
      <c r="DJ579" s="313">
        <f t="shared" ref="DJ579:DJ642" si="546">IF(DC579=3,DG579,0)</f>
        <v>0</v>
      </c>
      <c r="DK579" s="313">
        <f t="shared" si="533"/>
        <v>145364.51726962166</v>
      </c>
      <c r="DL579" s="313">
        <f t="shared" ref="DL579:DL642" si="547">IF(DC579&lt;4,DL580+DG579,0)</f>
        <v>5720</v>
      </c>
      <c r="DM579" s="314">
        <f t="shared" ref="DM579:DM642" si="548">IF($DC579&lt;&gt;4,IF($DA579=edge_width,$CY$2,IF($DA579=mid_width,$CY$3,1-DO579+DM578)),0)</f>
        <v>18.90570280914724</v>
      </c>
      <c r="DN579" s="312">
        <f t="shared" ref="DN579:DN642" si="549">IF(DC579&lt;&gt;4,CHOOSE(DC579,DM579/DA579,DM579/(DA579-edge_width+1),DM579/(DA579-mid_width+1)),0)</f>
        <v>3.27088283895281E-2</v>
      </c>
      <c r="DO579" s="312">
        <f t="shared" si="534"/>
        <v>1</v>
      </c>
      <c r="DP579" s="315">
        <f t="shared" si="540"/>
        <v>6.5000000000000002E-2</v>
      </c>
      <c r="DQ579" s="316">
        <f t="shared" ref="DQ579:DQ642" si="550">IF(AND(DC579&lt;&gt;4,DG579&lt;&gt;0),1000*DP579/DG579,0)</f>
        <v>0.25</v>
      </c>
      <c r="DR579" s="316">
        <f t="shared" ref="DR579:DR642" si="551">IF(DC579&lt;&gt;4,DR578+DQ579,0)</f>
        <v>148.32075452294254</v>
      </c>
      <c r="DS579" s="314">
        <f t="shared" ref="DS579:DS642" si="552">IF(AND(DC579&lt;&gt;4,DR579&lt;&gt;0),DA579/DR579,0)</f>
        <v>3.8969596794398309</v>
      </c>
      <c r="DT579" s="316">
        <f t="shared" ref="DT579:DT642" si="553">IF(DC579&lt;&gt;4,IF(DA579=edge_width,$CY$4,IF(DA579=mid_width,$CY$5,DQ579+DT578)),0)</f>
        <v>148.32075452294254</v>
      </c>
      <c r="DU579" s="314">
        <f t="shared" si="541"/>
        <v>3.8969596794398309</v>
      </c>
      <c r="DV579" s="316">
        <f t="shared" si="535"/>
        <v>5.5</v>
      </c>
      <c r="DW579" s="310">
        <f t="shared" si="542"/>
        <v>4.1818181818181817</v>
      </c>
      <c r="FB579" s="307"/>
      <c r="FC579" s="307"/>
      <c r="FF579" s="307"/>
      <c r="FG579" s="307"/>
      <c r="FH579" s="306"/>
      <c r="FJ579" s="307"/>
      <c r="FK579" s="307"/>
      <c r="FL579" s="306"/>
      <c r="FM579" s="307"/>
      <c r="FN579" s="306"/>
      <c r="FO579" s="307"/>
      <c r="FP579" s="306"/>
    </row>
    <row r="580" spans="29:172">
      <c r="AC580" s="156"/>
      <c r="CW580" s="364"/>
      <c r="CX580" s="316"/>
      <c r="CY580" s="316"/>
      <c r="DA580" s="309">
        <v>579</v>
      </c>
      <c r="DB580" s="313">
        <f t="shared" si="536"/>
        <v>410.73876564013119</v>
      </c>
      <c r="DC580" s="309">
        <f t="shared" si="537"/>
        <v>1</v>
      </c>
      <c r="DD580" s="309">
        <f t="shared" si="538"/>
        <v>260</v>
      </c>
      <c r="DE580" s="308">
        <f t="shared" si="539"/>
        <v>6.5000000000000002E-2</v>
      </c>
      <c r="DF580" s="313">
        <f t="shared" ref="DF580:DF643" si="554">IF(DC580&lt;4,DF579+1,DF579)</f>
        <v>579</v>
      </c>
      <c r="DG580" s="313">
        <f t="shared" si="543"/>
        <v>260</v>
      </c>
      <c r="DH580" s="313">
        <f t="shared" si="544"/>
        <v>260</v>
      </c>
      <c r="DI580" s="313">
        <f t="shared" si="545"/>
        <v>0</v>
      </c>
      <c r="DJ580" s="313">
        <f t="shared" si="546"/>
        <v>0</v>
      </c>
      <c r="DK580" s="313">
        <f t="shared" ref="DK580:DK643" si="555">IF(DC580&lt;4,DK579+DG580,0)</f>
        <v>145624.51726962166</v>
      </c>
      <c r="DL580" s="313">
        <f t="shared" si="547"/>
        <v>5460</v>
      </c>
      <c r="DM580" s="314">
        <f t="shared" si="548"/>
        <v>18.90570280914724</v>
      </c>
      <c r="DN580" s="312">
        <f t="shared" si="549"/>
        <v>3.2652336457939968E-2</v>
      </c>
      <c r="DO580" s="312">
        <f t="shared" ref="DO580:DO643" si="556">IF(AND(DC580&lt;&gt;4,DD580&lt;&gt;0),DG580/DD580,0)</f>
        <v>1</v>
      </c>
      <c r="DP580" s="315">
        <f t="shared" si="540"/>
        <v>6.5000000000000002E-2</v>
      </c>
      <c r="DQ580" s="316">
        <f t="shared" si="550"/>
        <v>0.25</v>
      </c>
      <c r="DR580" s="316">
        <f t="shared" si="551"/>
        <v>148.57075452294254</v>
      </c>
      <c r="DS580" s="314">
        <f t="shared" si="552"/>
        <v>3.8971330653812482</v>
      </c>
      <c r="DT580" s="316">
        <f t="shared" si="553"/>
        <v>148.57075452294254</v>
      </c>
      <c r="DU580" s="314">
        <f t="shared" si="541"/>
        <v>3.8971330653812482</v>
      </c>
      <c r="DV580" s="316">
        <f t="shared" ref="DV580:DV643" si="557">DV581+DQ580</f>
        <v>5.25</v>
      </c>
      <c r="DW580" s="310">
        <f t="shared" si="542"/>
        <v>4.1904761904761907</v>
      </c>
      <c r="FB580" s="307"/>
      <c r="FC580" s="307"/>
      <c r="FF580" s="307"/>
      <c r="FG580" s="307"/>
      <c r="FH580" s="306"/>
      <c r="FJ580" s="307"/>
      <c r="FK580" s="307"/>
      <c r="FL580" s="306"/>
      <c r="FM580" s="307"/>
      <c r="FN580" s="306"/>
      <c r="FO580" s="307"/>
      <c r="FP580" s="306"/>
    </row>
    <row r="581" spans="29:172">
      <c r="AC581" s="156"/>
      <c r="CW581" s="364"/>
      <c r="CX581" s="316"/>
      <c r="CY581" s="316"/>
      <c r="DA581" s="309">
        <v>580</v>
      </c>
      <c r="DB581" s="313">
        <f t="shared" si="536"/>
        <v>411.10273587439735</v>
      </c>
      <c r="DC581" s="309">
        <f t="shared" si="537"/>
        <v>1</v>
      </c>
      <c r="DD581" s="309">
        <f t="shared" si="538"/>
        <v>260</v>
      </c>
      <c r="DE581" s="308">
        <f t="shared" si="539"/>
        <v>6.5000000000000002E-2</v>
      </c>
      <c r="DF581" s="313">
        <f t="shared" si="554"/>
        <v>580</v>
      </c>
      <c r="DG581" s="313">
        <f t="shared" si="543"/>
        <v>260</v>
      </c>
      <c r="DH581" s="313">
        <f t="shared" si="544"/>
        <v>260</v>
      </c>
      <c r="DI581" s="313">
        <f t="shared" si="545"/>
        <v>0</v>
      </c>
      <c r="DJ581" s="313">
        <f t="shared" si="546"/>
        <v>0</v>
      </c>
      <c r="DK581" s="313">
        <f t="shared" si="555"/>
        <v>145884.51726962166</v>
      </c>
      <c r="DL581" s="313">
        <f t="shared" si="547"/>
        <v>5200</v>
      </c>
      <c r="DM581" s="314">
        <f t="shared" si="548"/>
        <v>18.90570280914724</v>
      </c>
      <c r="DN581" s="312">
        <f t="shared" si="549"/>
        <v>3.2596039326115933E-2</v>
      </c>
      <c r="DO581" s="312">
        <f t="shared" si="556"/>
        <v>1</v>
      </c>
      <c r="DP581" s="315">
        <f t="shared" si="540"/>
        <v>6.5000000000000002E-2</v>
      </c>
      <c r="DQ581" s="316">
        <f t="shared" si="550"/>
        <v>0.25</v>
      </c>
      <c r="DR581" s="316">
        <f t="shared" si="551"/>
        <v>148.82075452294254</v>
      </c>
      <c r="DS581" s="314">
        <f t="shared" si="552"/>
        <v>3.8973058687898665</v>
      </c>
      <c r="DT581" s="316">
        <f t="shared" si="553"/>
        <v>148.82075452294254</v>
      </c>
      <c r="DU581" s="314">
        <f t="shared" si="541"/>
        <v>3.8973058687898665</v>
      </c>
      <c r="DV581" s="316">
        <f t="shared" si="557"/>
        <v>5</v>
      </c>
      <c r="DW581" s="310">
        <f t="shared" si="542"/>
        <v>4.2</v>
      </c>
      <c r="FB581" s="307"/>
      <c r="FC581" s="307"/>
      <c r="FF581" s="307"/>
      <c r="FG581" s="307"/>
      <c r="FH581" s="306"/>
      <c r="FJ581" s="307"/>
      <c r="FK581" s="307"/>
      <c r="FL581" s="306"/>
      <c r="FM581" s="307"/>
      <c r="FN581" s="306"/>
      <c r="FO581" s="307"/>
      <c r="FP581" s="306"/>
    </row>
    <row r="582" spans="29:172">
      <c r="AC582" s="156"/>
      <c r="CW582" s="364"/>
      <c r="CX582" s="316"/>
      <c r="CY582" s="316"/>
      <c r="DA582" s="309">
        <v>581</v>
      </c>
      <c r="DB582" s="313">
        <f t="shared" si="536"/>
        <v>411.46670610866357</v>
      </c>
      <c r="DC582" s="309">
        <f t="shared" si="537"/>
        <v>1</v>
      </c>
      <c r="DD582" s="309">
        <f t="shared" si="538"/>
        <v>260</v>
      </c>
      <c r="DE582" s="308">
        <f t="shared" si="539"/>
        <v>6.5000000000000002E-2</v>
      </c>
      <c r="DF582" s="313">
        <f t="shared" si="554"/>
        <v>581</v>
      </c>
      <c r="DG582" s="313">
        <f t="shared" si="543"/>
        <v>260</v>
      </c>
      <c r="DH582" s="313">
        <f t="shared" si="544"/>
        <v>260</v>
      </c>
      <c r="DI582" s="313">
        <f t="shared" si="545"/>
        <v>0</v>
      </c>
      <c r="DJ582" s="313">
        <f t="shared" si="546"/>
        <v>0</v>
      </c>
      <c r="DK582" s="313">
        <f t="shared" si="555"/>
        <v>146144.51726962166</v>
      </c>
      <c r="DL582" s="313">
        <f t="shared" si="547"/>
        <v>4940</v>
      </c>
      <c r="DM582" s="314">
        <f t="shared" si="548"/>
        <v>18.90570280914724</v>
      </c>
      <c r="DN582" s="312">
        <f t="shared" si="549"/>
        <v>3.2539935988205232E-2</v>
      </c>
      <c r="DO582" s="312">
        <f t="shared" si="556"/>
        <v>1</v>
      </c>
      <c r="DP582" s="315">
        <f t="shared" si="540"/>
        <v>6.5000000000000002E-2</v>
      </c>
      <c r="DQ582" s="316">
        <f t="shared" si="550"/>
        <v>0.25</v>
      </c>
      <c r="DR582" s="316">
        <f t="shared" si="551"/>
        <v>149.07075452294254</v>
      </c>
      <c r="DS582" s="314">
        <f t="shared" si="552"/>
        <v>3.8974780925965056</v>
      </c>
      <c r="DT582" s="316">
        <f t="shared" si="553"/>
        <v>149.07075452294254</v>
      </c>
      <c r="DU582" s="314">
        <f t="shared" si="541"/>
        <v>3.8974780925965056</v>
      </c>
      <c r="DV582" s="316">
        <f t="shared" si="557"/>
        <v>4.75</v>
      </c>
      <c r="DW582" s="310">
        <f t="shared" si="542"/>
        <v>4.2105263157894735</v>
      </c>
      <c r="FB582" s="307"/>
      <c r="FC582" s="307"/>
      <c r="FF582" s="307"/>
      <c r="FG582" s="307"/>
      <c r="FH582" s="306"/>
      <c r="FJ582" s="307"/>
      <c r="FK582" s="307"/>
      <c r="FL582" s="306"/>
      <c r="FM582" s="307"/>
      <c r="FN582" s="306"/>
      <c r="FO582" s="307"/>
      <c r="FP582" s="306"/>
    </row>
    <row r="583" spans="29:172">
      <c r="AC583" s="156"/>
      <c r="CW583" s="364"/>
      <c r="CX583" s="316"/>
      <c r="CY583" s="316"/>
      <c r="DA583" s="309">
        <v>582</v>
      </c>
      <c r="DB583" s="313">
        <f t="shared" si="536"/>
        <v>411.83067634292979</v>
      </c>
      <c r="DC583" s="309">
        <f t="shared" si="537"/>
        <v>1</v>
      </c>
      <c r="DD583" s="309">
        <f t="shared" si="538"/>
        <v>260</v>
      </c>
      <c r="DE583" s="308">
        <f t="shared" si="539"/>
        <v>6.5000000000000002E-2</v>
      </c>
      <c r="DF583" s="313">
        <f t="shared" si="554"/>
        <v>582</v>
      </c>
      <c r="DG583" s="313">
        <f t="shared" si="543"/>
        <v>260</v>
      </c>
      <c r="DH583" s="313">
        <f t="shared" si="544"/>
        <v>260</v>
      </c>
      <c r="DI583" s="313">
        <f t="shared" si="545"/>
        <v>0</v>
      </c>
      <c r="DJ583" s="313">
        <f t="shared" si="546"/>
        <v>0</v>
      </c>
      <c r="DK583" s="313">
        <f t="shared" si="555"/>
        <v>146404.51726962166</v>
      </c>
      <c r="DL583" s="313">
        <f t="shared" si="547"/>
        <v>4680</v>
      </c>
      <c r="DM583" s="314">
        <f t="shared" si="548"/>
        <v>18.90570280914724</v>
      </c>
      <c r="DN583" s="312">
        <f t="shared" si="549"/>
        <v>3.2484025445270175E-2</v>
      </c>
      <c r="DO583" s="312">
        <f t="shared" si="556"/>
        <v>1</v>
      </c>
      <c r="DP583" s="315">
        <f t="shared" si="540"/>
        <v>6.5000000000000002E-2</v>
      </c>
      <c r="DQ583" s="316">
        <f t="shared" si="550"/>
        <v>0.25</v>
      </c>
      <c r="DR583" s="316">
        <f t="shared" si="551"/>
        <v>149.32075452294254</v>
      </c>
      <c r="DS583" s="314">
        <f t="shared" si="552"/>
        <v>3.8976497397123588</v>
      </c>
      <c r="DT583" s="316">
        <f t="shared" si="553"/>
        <v>149.32075452294254</v>
      </c>
      <c r="DU583" s="314">
        <f t="shared" si="541"/>
        <v>3.8976497397123588</v>
      </c>
      <c r="DV583" s="316">
        <f t="shared" si="557"/>
        <v>4.5</v>
      </c>
      <c r="DW583" s="310">
        <f t="shared" si="542"/>
        <v>4.2222222222222223</v>
      </c>
      <c r="FB583" s="307"/>
      <c r="FC583" s="307"/>
      <c r="FF583" s="307"/>
      <c r="FG583" s="307"/>
      <c r="FH583" s="306"/>
      <c r="FJ583" s="307"/>
      <c r="FK583" s="307"/>
      <c r="FL583" s="306"/>
      <c r="FM583" s="307"/>
      <c r="FN583" s="306"/>
      <c r="FO583" s="307"/>
      <c r="FP583" s="306"/>
    </row>
    <row r="584" spans="29:172">
      <c r="AC584" s="156"/>
      <c r="CW584" s="364"/>
      <c r="CX584" s="316"/>
      <c r="CY584" s="316"/>
      <c r="DA584" s="309">
        <v>583</v>
      </c>
      <c r="DB584" s="313">
        <f t="shared" si="536"/>
        <v>412.19464657719595</v>
      </c>
      <c r="DC584" s="309">
        <f t="shared" si="537"/>
        <v>1</v>
      </c>
      <c r="DD584" s="309">
        <f t="shared" si="538"/>
        <v>260</v>
      </c>
      <c r="DE584" s="308">
        <f t="shared" si="539"/>
        <v>6.5000000000000002E-2</v>
      </c>
      <c r="DF584" s="313">
        <f t="shared" si="554"/>
        <v>583</v>
      </c>
      <c r="DG584" s="313">
        <f t="shared" si="543"/>
        <v>260</v>
      </c>
      <c r="DH584" s="313">
        <f t="shared" si="544"/>
        <v>260</v>
      </c>
      <c r="DI584" s="313">
        <f t="shared" si="545"/>
        <v>0</v>
      </c>
      <c r="DJ584" s="313">
        <f t="shared" si="546"/>
        <v>0</v>
      </c>
      <c r="DK584" s="313">
        <f t="shared" si="555"/>
        <v>146664.51726962166</v>
      </c>
      <c r="DL584" s="313">
        <f t="shared" si="547"/>
        <v>4420</v>
      </c>
      <c r="DM584" s="314">
        <f t="shared" si="548"/>
        <v>18.90570280914724</v>
      </c>
      <c r="DN584" s="312">
        <f t="shared" si="549"/>
        <v>3.2428306705226825E-2</v>
      </c>
      <c r="DO584" s="312">
        <f t="shared" si="556"/>
        <v>1</v>
      </c>
      <c r="DP584" s="315">
        <f t="shared" si="540"/>
        <v>6.5000000000000002E-2</v>
      </c>
      <c r="DQ584" s="316">
        <f t="shared" si="550"/>
        <v>0.25</v>
      </c>
      <c r="DR584" s="316">
        <f t="shared" si="551"/>
        <v>149.57075452294254</v>
      </c>
      <c r="DS584" s="314">
        <f t="shared" si="552"/>
        <v>3.897820813029155</v>
      </c>
      <c r="DT584" s="316">
        <f t="shared" si="553"/>
        <v>149.57075452294254</v>
      </c>
      <c r="DU584" s="314">
        <f t="shared" si="541"/>
        <v>3.897820813029155</v>
      </c>
      <c r="DV584" s="316">
        <f t="shared" si="557"/>
        <v>4.25</v>
      </c>
      <c r="DW584" s="310">
        <f t="shared" si="542"/>
        <v>4.2352941176470589</v>
      </c>
      <c r="FB584" s="307"/>
      <c r="FC584" s="307"/>
      <c r="FF584" s="307"/>
      <c r="FG584" s="307"/>
      <c r="FH584" s="306"/>
      <c r="FJ584" s="307"/>
      <c r="FK584" s="307"/>
      <c r="FL584" s="306"/>
      <c r="FM584" s="307"/>
      <c r="FN584" s="306"/>
      <c r="FO584" s="307"/>
      <c r="FP584" s="306"/>
    </row>
    <row r="585" spans="29:172">
      <c r="AC585" s="156"/>
      <c r="CW585" s="364"/>
      <c r="CX585" s="316"/>
      <c r="CY585" s="316"/>
      <c r="DA585" s="309">
        <v>584</v>
      </c>
      <c r="DB585" s="313">
        <f t="shared" si="536"/>
        <v>412.55861681146217</v>
      </c>
      <c r="DC585" s="309">
        <f t="shared" si="537"/>
        <v>1</v>
      </c>
      <c r="DD585" s="309">
        <f t="shared" si="538"/>
        <v>260</v>
      </c>
      <c r="DE585" s="308">
        <f t="shared" si="539"/>
        <v>6.5000000000000002E-2</v>
      </c>
      <c r="DF585" s="313">
        <f t="shared" si="554"/>
        <v>584</v>
      </c>
      <c r="DG585" s="313">
        <f t="shared" si="543"/>
        <v>260</v>
      </c>
      <c r="DH585" s="313">
        <f t="shared" si="544"/>
        <v>260</v>
      </c>
      <c r="DI585" s="313">
        <f t="shared" si="545"/>
        <v>0</v>
      </c>
      <c r="DJ585" s="313">
        <f t="shared" si="546"/>
        <v>0</v>
      </c>
      <c r="DK585" s="313">
        <f t="shared" si="555"/>
        <v>146924.51726962166</v>
      </c>
      <c r="DL585" s="313">
        <f t="shared" si="547"/>
        <v>4160</v>
      </c>
      <c r="DM585" s="314">
        <f t="shared" si="548"/>
        <v>18.90570280914724</v>
      </c>
      <c r="DN585" s="312">
        <f t="shared" si="549"/>
        <v>3.2372778782786368E-2</v>
      </c>
      <c r="DO585" s="312">
        <f t="shared" si="556"/>
        <v>1</v>
      </c>
      <c r="DP585" s="315">
        <f t="shared" si="540"/>
        <v>6.5000000000000002E-2</v>
      </c>
      <c r="DQ585" s="316">
        <f t="shared" si="550"/>
        <v>0.25</v>
      </c>
      <c r="DR585" s="316">
        <f t="shared" si="551"/>
        <v>149.82075452294254</v>
      </c>
      <c r="DS585" s="314">
        <f t="shared" si="552"/>
        <v>3.8979913154193211</v>
      </c>
      <c r="DT585" s="316">
        <f t="shared" si="553"/>
        <v>149.82075452294254</v>
      </c>
      <c r="DU585" s="314">
        <f t="shared" si="541"/>
        <v>3.8979913154193211</v>
      </c>
      <c r="DV585" s="316">
        <f t="shared" si="557"/>
        <v>4</v>
      </c>
      <c r="DW585" s="310">
        <f t="shared" si="542"/>
        <v>4.25</v>
      </c>
      <c r="FB585" s="307"/>
      <c r="FC585" s="307"/>
      <c r="FF585" s="307"/>
      <c r="FG585" s="307"/>
      <c r="FH585" s="306"/>
      <c r="FJ585" s="307"/>
      <c r="FK585" s="307"/>
      <c r="FL585" s="306"/>
      <c r="FM585" s="307"/>
      <c r="FN585" s="306"/>
      <c r="FO585" s="307"/>
      <c r="FP585" s="306"/>
    </row>
    <row r="586" spans="29:172">
      <c r="AC586" s="156"/>
      <c r="CW586" s="364"/>
      <c r="CX586" s="316"/>
      <c r="CY586" s="316"/>
      <c r="DA586" s="309">
        <v>585</v>
      </c>
      <c r="DB586" s="313">
        <f t="shared" si="536"/>
        <v>412.92258704572839</v>
      </c>
      <c r="DC586" s="309">
        <f t="shared" si="537"/>
        <v>1</v>
      </c>
      <c r="DD586" s="309">
        <f t="shared" si="538"/>
        <v>260</v>
      </c>
      <c r="DE586" s="308">
        <f t="shared" si="539"/>
        <v>6.5000000000000002E-2</v>
      </c>
      <c r="DF586" s="313">
        <f t="shared" si="554"/>
        <v>585</v>
      </c>
      <c r="DG586" s="313">
        <f t="shared" si="543"/>
        <v>260</v>
      </c>
      <c r="DH586" s="313">
        <f t="shared" si="544"/>
        <v>260</v>
      </c>
      <c r="DI586" s="313">
        <f t="shared" si="545"/>
        <v>0</v>
      </c>
      <c r="DJ586" s="313">
        <f t="shared" si="546"/>
        <v>0</v>
      </c>
      <c r="DK586" s="313">
        <f t="shared" si="555"/>
        <v>147184.51726962166</v>
      </c>
      <c r="DL586" s="313">
        <f t="shared" si="547"/>
        <v>3900</v>
      </c>
      <c r="DM586" s="314">
        <f t="shared" si="548"/>
        <v>18.90570280914724</v>
      </c>
      <c r="DN586" s="312">
        <f t="shared" si="549"/>
        <v>3.2317440699396988E-2</v>
      </c>
      <c r="DO586" s="312">
        <f t="shared" si="556"/>
        <v>1</v>
      </c>
      <c r="DP586" s="315">
        <f t="shared" si="540"/>
        <v>6.5000000000000002E-2</v>
      </c>
      <c r="DQ586" s="316">
        <f t="shared" si="550"/>
        <v>0.25</v>
      </c>
      <c r="DR586" s="316">
        <f t="shared" si="551"/>
        <v>150.07075452294254</v>
      </c>
      <c r="DS586" s="314">
        <f t="shared" si="552"/>
        <v>3.8981612497361455</v>
      </c>
      <c r="DT586" s="316">
        <f t="shared" si="553"/>
        <v>150.07075452294254</v>
      </c>
      <c r="DU586" s="314">
        <f t="shared" si="541"/>
        <v>3.8981612497361455</v>
      </c>
      <c r="DV586" s="316">
        <f t="shared" si="557"/>
        <v>3.75</v>
      </c>
      <c r="DW586" s="310">
        <f t="shared" si="542"/>
        <v>4.2666666666666666</v>
      </c>
      <c r="FB586" s="307"/>
      <c r="FC586" s="307"/>
      <c r="FF586" s="307"/>
      <c r="FG586" s="307"/>
      <c r="FH586" s="306"/>
      <c r="FJ586" s="307"/>
      <c r="FK586" s="307"/>
      <c r="FL586" s="306"/>
      <c r="FM586" s="307"/>
      <c r="FN586" s="306"/>
      <c r="FO586" s="307"/>
      <c r="FP586" s="306"/>
    </row>
    <row r="587" spans="29:172">
      <c r="AC587" s="156"/>
      <c r="CW587" s="364"/>
      <c r="CX587" s="316"/>
      <c r="CY587" s="316"/>
      <c r="DA587" s="309">
        <v>586</v>
      </c>
      <c r="DB587" s="313">
        <f t="shared" si="536"/>
        <v>413.28655727999455</v>
      </c>
      <c r="DC587" s="309">
        <f t="shared" si="537"/>
        <v>1</v>
      </c>
      <c r="DD587" s="309">
        <f t="shared" si="538"/>
        <v>260</v>
      </c>
      <c r="DE587" s="308">
        <f t="shared" si="539"/>
        <v>6.5000000000000002E-2</v>
      </c>
      <c r="DF587" s="313">
        <f t="shared" si="554"/>
        <v>586</v>
      </c>
      <c r="DG587" s="313">
        <f t="shared" si="543"/>
        <v>260</v>
      </c>
      <c r="DH587" s="313">
        <f t="shared" si="544"/>
        <v>260</v>
      </c>
      <c r="DI587" s="313">
        <f t="shared" si="545"/>
        <v>0</v>
      </c>
      <c r="DJ587" s="313">
        <f t="shared" si="546"/>
        <v>0</v>
      </c>
      <c r="DK587" s="313">
        <f t="shared" si="555"/>
        <v>147444.51726962166</v>
      </c>
      <c r="DL587" s="313">
        <f t="shared" si="547"/>
        <v>3640</v>
      </c>
      <c r="DM587" s="314">
        <f t="shared" si="548"/>
        <v>18.90570280914724</v>
      </c>
      <c r="DN587" s="312">
        <f t="shared" si="549"/>
        <v>3.2262291483186413E-2</v>
      </c>
      <c r="DO587" s="312">
        <f t="shared" si="556"/>
        <v>1</v>
      </c>
      <c r="DP587" s="315">
        <f t="shared" si="540"/>
        <v>6.5000000000000002E-2</v>
      </c>
      <c r="DQ587" s="316">
        <f t="shared" si="550"/>
        <v>0.25</v>
      </c>
      <c r="DR587" s="316">
        <f t="shared" si="551"/>
        <v>150.32075452294254</v>
      </c>
      <c r="DS587" s="314">
        <f t="shared" si="552"/>
        <v>3.8983306188139335</v>
      </c>
      <c r="DT587" s="316">
        <f t="shared" si="553"/>
        <v>150.32075452294254</v>
      </c>
      <c r="DU587" s="314">
        <f t="shared" si="541"/>
        <v>3.8983306188139335</v>
      </c>
      <c r="DV587" s="316">
        <f t="shared" si="557"/>
        <v>3.5</v>
      </c>
      <c r="DW587" s="310">
        <f t="shared" si="542"/>
        <v>4.2857142857142856</v>
      </c>
      <c r="FB587" s="307"/>
      <c r="FC587" s="307"/>
      <c r="FF587" s="307"/>
      <c r="FG587" s="307"/>
      <c r="FH587" s="306"/>
      <c r="FJ587" s="307"/>
      <c r="FK587" s="307"/>
      <c r="FL587" s="306"/>
      <c r="FM587" s="307"/>
      <c r="FN587" s="306"/>
      <c r="FO587" s="307"/>
      <c r="FP587" s="306"/>
    </row>
    <row r="588" spans="29:172">
      <c r="AC588" s="156"/>
      <c r="CW588" s="364"/>
      <c r="CX588" s="316"/>
      <c r="CY588" s="316"/>
      <c r="DA588" s="309">
        <v>587</v>
      </c>
      <c r="DB588" s="313">
        <f t="shared" si="536"/>
        <v>413.65052751426077</v>
      </c>
      <c r="DC588" s="309">
        <f t="shared" si="537"/>
        <v>1</v>
      </c>
      <c r="DD588" s="309">
        <f t="shared" si="538"/>
        <v>260</v>
      </c>
      <c r="DE588" s="308">
        <f t="shared" si="539"/>
        <v>6.5000000000000002E-2</v>
      </c>
      <c r="DF588" s="313">
        <f t="shared" si="554"/>
        <v>587</v>
      </c>
      <c r="DG588" s="313">
        <f t="shared" si="543"/>
        <v>260</v>
      </c>
      <c r="DH588" s="313">
        <f t="shared" si="544"/>
        <v>260</v>
      </c>
      <c r="DI588" s="313">
        <f t="shared" si="545"/>
        <v>0</v>
      </c>
      <c r="DJ588" s="313">
        <f t="shared" si="546"/>
        <v>0</v>
      </c>
      <c r="DK588" s="313">
        <f t="shared" si="555"/>
        <v>147704.51726962166</v>
      </c>
      <c r="DL588" s="313">
        <f t="shared" si="547"/>
        <v>3380</v>
      </c>
      <c r="DM588" s="314">
        <f t="shared" si="548"/>
        <v>18.90570280914724</v>
      </c>
      <c r="DN588" s="312">
        <f t="shared" si="549"/>
        <v>3.2207330168905007E-2</v>
      </c>
      <c r="DO588" s="312">
        <f t="shared" si="556"/>
        <v>1</v>
      </c>
      <c r="DP588" s="315">
        <f t="shared" si="540"/>
        <v>6.5000000000000002E-2</v>
      </c>
      <c r="DQ588" s="316">
        <f t="shared" si="550"/>
        <v>0.25</v>
      </c>
      <c r="DR588" s="316">
        <f t="shared" si="551"/>
        <v>150.57075452294254</v>
      </c>
      <c r="DS588" s="314">
        <f t="shared" si="552"/>
        <v>3.898499425468168</v>
      </c>
      <c r="DT588" s="316">
        <f t="shared" si="553"/>
        <v>150.57075452294254</v>
      </c>
      <c r="DU588" s="314">
        <f t="shared" si="541"/>
        <v>3.898499425468168</v>
      </c>
      <c r="DV588" s="316">
        <f t="shared" si="557"/>
        <v>3.25</v>
      </c>
      <c r="DW588" s="310">
        <f t="shared" si="542"/>
        <v>4.3076923076923075</v>
      </c>
      <c r="FB588" s="307"/>
      <c r="FC588" s="307"/>
      <c r="FF588" s="307"/>
      <c r="FG588" s="307"/>
      <c r="FH588" s="306"/>
      <c r="FJ588" s="307"/>
      <c r="FK588" s="307"/>
      <c r="FL588" s="306"/>
      <c r="FM588" s="307"/>
      <c r="FN588" s="306"/>
      <c r="FO588" s="307"/>
      <c r="FP588" s="306"/>
    </row>
    <row r="589" spans="29:172">
      <c r="AC589" s="156"/>
      <c r="CW589" s="364"/>
      <c r="CX589" s="316"/>
      <c r="CY589" s="316"/>
      <c r="DA589" s="309">
        <v>588</v>
      </c>
      <c r="DB589" s="313">
        <f t="shared" si="536"/>
        <v>414.01449774852699</v>
      </c>
      <c r="DC589" s="309">
        <f t="shared" si="537"/>
        <v>1</v>
      </c>
      <c r="DD589" s="309">
        <f t="shared" si="538"/>
        <v>260</v>
      </c>
      <c r="DE589" s="308">
        <f t="shared" si="539"/>
        <v>6.5000000000000002E-2</v>
      </c>
      <c r="DF589" s="313">
        <f t="shared" si="554"/>
        <v>588</v>
      </c>
      <c r="DG589" s="313">
        <f t="shared" si="543"/>
        <v>260</v>
      </c>
      <c r="DH589" s="313">
        <f t="shared" si="544"/>
        <v>260</v>
      </c>
      <c r="DI589" s="313">
        <f t="shared" si="545"/>
        <v>0</v>
      </c>
      <c r="DJ589" s="313">
        <f t="shared" si="546"/>
        <v>0</v>
      </c>
      <c r="DK589" s="313">
        <f t="shared" si="555"/>
        <v>147964.51726962166</v>
      </c>
      <c r="DL589" s="313">
        <f t="shared" si="547"/>
        <v>3120</v>
      </c>
      <c r="DM589" s="314">
        <f t="shared" si="548"/>
        <v>18.90570280914724</v>
      </c>
      <c r="DN589" s="312">
        <f t="shared" si="549"/>
        <v>3.2152555797869457E-2</v>
      </c>
      <c r="DO589" s="312">
        <f t="shared" si="556"/>
        <v>1</v>
      </c>
      <c r="DP589" s="315">
        <f t="shared" si="540"/>
        <v>6.5000000000000002E-2</v>
      </c>
      <c r="DQ589" s="316">
        <f t="shared" si="550"/>
        <v>0.25</v>
      </c>
      <c r="DR589" s="316">
        <f t="shared" si="551"/>
        <v>150.82075452294254</v>
      </c>
      <c r="DS589" s="314">
        <f t="shared" si="552"/>
        <v>3.8986676724956624</v>
      </c>
      <c r="DT589" s="316">
        <f t="shared" si="553"/>
        <v>150.82075452294254</v>
      </c>
      <c r="DU589" s="314">
        <f t="shared" si="541"/>
        <v>3.8986676724956624</v>
      </c>
      <c r="DV589" s="316">
        <f t="shared" si="557"/>
        <v>3</v>
      </c>
      <c r="DW589" s="310">
        <f t="shared" si="542"/>
        <v>4.333333333333333</v>
      </c>
      <c r="FB589" s="307"/>
      <c r="FC589" s="307"/>
      <c r="FF589" s="307"/>
      <c r="FG589" s="307"/>
      <c r="FH589" s="306"/>
      <c r="FJ589" s="307"/>
      <c r="FK589" s="307"/>
      <c r="FL589" s="306"/>
      <c r="FM589" s="307"/>
      <c r="FN589" s="306"/>
      <c r="FO589" s="307"/>
      <c r="FP589" s="306"/>
    </row>
    <row r="590" spans="29:172">
      <c r="AC590" s="156"/>
      <c r="CW590" s="364"/>
      <c r="CX590" s="316"/>
      <c r="CY590" s="316"/>
      <c r="DA590" s="309">
        <v>589</v>
      </c>
      <c r="DB590" s="313">
        <f t="shared" si="536"/>
        <v>414.37846798279315</v>
      </c>
      <c r="DC590" s="309">
        <f t="shared" si="537"/>
        <v>1</v>
      </c>
      <c r="DD590" s="309">
        <f t="shared" si="538"/>
        <v>260</v>
      </c>
      <c r="DE590" s="308">
        <f t="shared" si="539"/>
        <v>6.5000000000000002E-2</v>
      </c>
      <c r="DF590" s="313">
        <f t="shared" si="554"/>
        <v>589</v>
      </c>
      <c r="DG590" s="313">
        <f t="shared" si="543"/>
        <v>260</v>
      </c>
      <c r="DH590" s="313">
        <f t="shared" si="544"/>
        <v>260</v>
      </c>
      <c r="DI590" s="313">
        <f t="shared" si="545"/>
        <v>0</v>
      </c>
      <c r="DJ590" s="313">
        <f t="shared" si="546"/>
        <v>0</v>
      </c>
      <c r="DK590" s="313">
        <f t="shared" si="555"/>
        <v>148224.51726962166</v>
      </c>
      <c r="DL590" s="313">
        <f t="shared" si="547"/>
        <v>2860</v>
      </c>
      <c r="DM590" s="314">
        <f t="shared" si="548"/>
        <v>18.90570280914724</v>
      </c>
      <c r="DN590" s="312">
        <f t="shared" si="549"/>
        <v>3.2097967417907027E-2</v>
      </c>
      <c r="DO590" s="312">
        <f t="shared" si="556"/>
        <v>1</v>
      </c>
      <c r="DP590" s="315">
        <f t="shared" si="540"/>
        <v>6.5000000000000002E-2</v>
      </c>
      <c r="DQ590" s="316">
        <f t="shared" si="550"/>
        <v>0.25</v>
      </c>
      <c r="DR590" s="316">
        <f t="shared" si="551"/>
        <v>151.07075452294254</v>
      </c>
      <c r="DS590" s="314">
        <f t="shared" si="552"/>
        <v>3.8988353626747183</v>
      </c>
      <c r="DT590" s="316">
        <f t="shared" si="553"/>
        <v>151.07075452294254</v>
      </c>
      <c r="DU590" s="314">
        <f t="shared" si="541"/>
        <v>3.8988353626747183</v>
      </c>
      <c r="DV590" s="316">
        <f t="shared" si="557"/>
        <v>2.75</v>
      </c>
      <c r="DW590" s="310">
        <f t="shared" si="542"/>
        <v>4.3636363636363633</v>
      </c>
      <c r="FB590" s="307"/>
      <c r="FC590" s="307"/>
      <c r="FF590" s="307"/>
      <c r="FG590" s="307"/>
      <c r="FH590" s="306"/>
      <c r="FJ590" s="307"/>
      <c r="FK590" s="307"/>
      <c r="FL590" s="306"/>
      <c r="FM590" s="307"/>
      <c r="FN590" s="306"/>
      <c r="FO590" s="307"/>
      <c r="FP590" s="306"/>
    </row>
    <row r="591" spans="29:172">
      <c r="AC591" s="156"/>
      <c r="CW591" s="364"/>
      <c r="CX591" s="316"/>
      <c r="CY591" s="316"/>
      <c r="DA591" s="309">
        <v>590</v>
      </c>
      <c r="DB591" s="313">
        <f t="shared" si="536"/>
        <v>414.74243821705937</v>
      </c>
      <c r="DC591" s="309">
        <f t="shared" si="537"/>
        <v>1</v>
      </c>
      <c r="DD591" s="309">
        <f t="shared" si="538"/>
        <v>260</v>
      </c>
      <c r="DE591" s="308">
        <f t="shared" si="539"/>
        <v>6.5000000000000002E-2</v>
      </c>
      <c r="DF591" s="313">
        <f t="shared" si="554"/>
        <v>590</v>
      </c>
      <c r="DG591" s="313">
        <f t="shared" si="543"/>
        <v>260</v>
      </c>
      <c r="DH591" s="313">
        <f t="shared" si="544"/>
        <v>260</v>
      </c>
      <c r="DI591" s="313">
        <f t="shared" si="545"/>
        <v>0</v>
      </c>
      <c r="DJ591" s="313">
        <f t="shared" si="546"/>
        <v>0</v>
      </c>
      <c r="DK591" s="313">
        <f t="shared" si="555"/>
        <v>148484.51726962166</v>
      </c>
      <c r="DL591" s="313">
        <f t="shared" si="547"/>
        <v>2600</v>
      </c>
      <c r="DM591" s="314">
        <f t="shared" si="548"/>
        <v>18.90570280914724</v>
      </c>
      <c r="DN591" s="312">
        <f t="shared" si="549"/>
        <v>3.2043564083300405E-2</v>
      </c>
      <c r="DO591" s="312">
        <f t="shared" si="556"/>
        <v>1</v>
      </c>
      <c r="DP591" s="315">
        <f t="shared" si="540"/>
        <v>6.5000000000000002E-2</v>
      </c>
      <c r="DQ591" s="316">
        <f t="shared" si="550"/>
        <v>0.25</v>
      </c>
      <c r="DR591" s="316">
        <f t="shared" si="551"/>
        <v>151.32075452294254</v>
      </c>
      <c r="DS591" s="314">
        <f t="shared" si="552"/>
        <v>3.8990024987652769</v>
      </c>
      <c r="DT591" s="316">
        <f t="shared" si="553"/>
        <v>151.32075452294254</v>
      </c>
      <c r="DU591" s="314">
        <f t="shared" si="541"/>
        <v>3.8990024987652769</v>
      </c>
      <c r="DV591" s="316">
        <f t="shared" si="557"/>
        <v>2.5</v>
      </c>
      <c r="DW591" s="310">
        <f t="shared" si="542"/>
        <v>4.4000000000000004</v>
      </c>
      <c r="FB591" s="307"/>
      <c r="FC591" s="307"/>
      <c r="FF591" s="307"/>
      <c r="FG591" s="307"/>
      <c r="FH591" s="306"/>
      <c r="FJ591" s="307"/>
      <c r="FK591" s="307"/>
      <c r="FL591" s="306"/>
      <c r="FM591" s="307"/>
      <c r="FN591" s="306"/>
      <c r="FO591" s="307"/>
      <c r="FP591" s="306"/>
    </row>
    <row r="592" spans="29:172">
      <c r="AC592" s="156"/>
      <c r="CW592" s="364"/>
      <c r="CX592" s="316"/>
      <c r="CY592" s="316"/>
      <c r="DA592" s="309">
        <v>591</v>
      </c>
      <c r="DB592" s="313">
        <f t="shared" si="536"/>
        <v>415.10640845132559</v>
      </c>
      <c r="DC592" s="309">
        <f t="shared" si="537"/>
        <v>1</v>
      </c>
      <c r="DD592" s="309">
        <f t="shared" si="538"/>
        <v>260</v>
      </c>
      <c r="DE592" s="308">
        <f t="shared" si="539"/>
        <v>6.5000000000000002E-2</v>
      </c>
      <c r="DF592" s="313">
        <f t="shared" si="554"/>
        <v>591</v>
      </c>
      <c r="DG592" s="313">
        <f t="shared" si="543"/>
        <v>260</v>
      </c>
      <c r="DH592" s="313">
        <f t="shared" si="544"/>
        <v>260</v>
      </c>
      <c r="DI592" s="313">
        <f t="shared" si="545"/>
        <v>0</v>
      </c>
      <c r="DJ592" s="313">
        <f t="shared" si="546"/>
        <v>0</v>
      </c>
      <c r="DK592" s="313">
        <f t="shared" si="555"/>
        <v>148744.51726962166</v>
      </c>
      <c r="DL592" s="313">
        <f t="shared" si="547"/>
        <v>2340</v>
      </c>
      <c r="DM592" s="314">
        <f t="shared" si="548"/>
        <v>18.90570280914724</v>
      </c>
      <c r="DN592" s="312">
        <f t="shared" si="549"/>
        <v>3.1989344854733065E-2</v>
      </c>
      <c r="DO592" s="312">
        <f t="shared" si="556"/>
        <v>1</v>
      </c>
      <c r="DP592" s="315">
        <f t="shared" si="540"/>
        <v>6.5000000000000002E-2</v>
      </c>
      <c r="DQ592" s="316">
        <f t="shared" si="550"/>
        <v>0.25</v>
      </c>
      <c r="DR592" s="316">
        <f t="shared" si="551"/>
        <v>151.57075452294254</v>
      </c>
      <c r="DS592" s="314">
        <f t="shared" si="552"/>
        <v>3.8991690835090695</v>
      </c>
      <c r="DT592" s="316">
        <f t="shared" si="553"/>
        <v>151.57075452294254</v>
      </c>
      <c r="DU592" s="314">
        <f t="shared" si="541"/>
        <v>3.8991690835090695</v>
      </c>
      <c r="DV592" s="316">
        <f t="shared" si="557"/>
        <v>2.25</v>
      </c>
      <c r="DW592" s="310">
        <f t="shared" si="542"/>
        <v>4.4444444444444446</v>
      </c>
      <c r="FB592" s="307"/>
      <c r="FC592" s="307"/>
      <c r="FF592" s="307"/>
      <c r="FG592" s="307"/>
      <c r="FH592" s="306"/>
      <c r="FJ592" s="307"/>
      <c r="FK592" s="307"/>
      <c r="FL592" s="306"/>
      <c r="FM592" s="307"/>
      <c r="FN592" s="306"/>
      <c r="FO592" s="307"/>
      <c r="FP592" s="306"/>
    </row>
    <row r="593" spans="29:172">
      <c r="AC593" s="156"/>
      <c r="CW593" s="364"/>
      <c r="CX593" s="316"/>
      <c r="CY593" s="316"/>
      <c r="DA593" s="309">
        <v>592</v>
      </c>
      <c r="DB593" s="313">
        <f t="shared" si="536"/>
        <v>415.47037868559175</v>
      </c>
      <c r="DC593" s="309">
        <f t="shared" si="537"/>
        <v>1</v>
      </c>
      <c r="DD593" s="309">
        <f t="shared" si="538"/>
        <v>260</v>
      </c>
      <c r="DE593" s="308">
        <f t="shared" si="539"/>
        <v>6.5000000000000002E-2</v>
      </c>
      <c r="DF593" s="313">
        <f t="shared" si="554"/>
        <v>592</v>
      </c>
      <c r="DG593" s="313">
        <f t="shared" si="543"/>
        <v>260</v>
      </c>
      <c r="DH593" s="313">
        <f t="shared" si="544"/>
        <v>260</v>
      </c>
      <c r="DI593" s="313">
        <f t="shared" si="545"/>
        <v>0</v>
      </c>
      <c r="DJ593" s="313">
        <f t="shared" si="546"/>
        <v>0</v>
      </c>
      <c r="DK593" s="313">
        <f t="shared" si="555"/>
        <v>149004.51726962166</v>
      </c>
      <c r="DL593" s="313">
        <f t="shared" si="547"/>
        <v>2080</v>
      </c>
      <c r="DM593" s="314">
        <f t="shared" si="548"/>
        <v>18.90570280914724</v>
      </c>
      <c r="DN593" s="312">
        <f t="shared" si="549"/>
        <v>3.1935308799235201E-2</v>
      </c>
      <c r="DO593" s="312">
        <f t="shared" si="556"/>
        <v>1</v>
      </c>
      <c r="DP593" s="315">
        <f t="shared" si="540"/>
        <v>6.5000000000000002E-2</v>
      </c>
      <c r="DQ593" s="316">
        <f t="shared" si="550"/>
        <v>0.25</v>
      </c>
      <c r="DR593" s="316">
        <f t="shared" si="551"/>
        <v>151.82075452294254</v>
      </c>
      <c r="DS593" s="314">
        <f t="shared" si="552"/>
        <v>3.8993351196297694</v>
      </c>
      <c r="DT593" s="316">
        <f t="shared" si="553"/>
        <v>151.82075452294254</v>
      </c>
      <c r="DU593" s="314">
        <f t="shared" si="541"/>
        <v>3.8993351196297694</v>
      </c>
      <c r="DV593" s="316">
        <f t="shared" si="557"/>
        <v>2</v>
      </c>
      <c r="DW593" s="310">
        <f t="shared" si="542"/>
        <v>4.5</v>
      </c>
      <c r="FB593" s="307"/>
      <c r="FC593" s="307"/>
      <c r="FF593" s="307"/>
      <c r="FG593" s="307"/>
      <c r="FH593" s="306"/>
      <c r="FJ593" s="307"/>
      <c r="FK593" s="307"/>
      <c r="FL593" s="306"/>
      <c r="FM593" s="307"/>
      <c r="FN593" s="306"/>
      <c r="FO593" s="307"/>
      <c r="FP593" s="306"/>
    </row>
    <row r="594" spans="29:172">
      <c r="AC594" s="156"/>
      <c r="CW594" s="364"/>
      <c r="CX594" s="316"/>
      <c r="CY594" s="316"/>
      <c r="DA594" s="309">
        <v>593</v>
      </c>
      <c r="DB594" s="313">
        <f t="shared" si="536"/>
        <v>415.83434891985803</v>
      </c>
      <c r="DC594" s="309">
        <f t="shared" si="537"/>
        <v>1</v>
      </c>
      <c r="DD594" s="309">
        <f t="shared" si="538"/>
        <v>260</v>
      </c>
      <c r="DE594" s="308">
        <f t="shared" si="539"/>
        <v>6.5000000000000002E-2</v>
      </c>
      <c r="DF594" s="313">
        <f t="shared" si="554"/>
        <v>593</v>
      </c>
      <c r="DG594" s="313">
        <f t="shared" si="543"/>
        <v>260</v>
      </c>
      <c r="DH594" s="313">
        <f t="shared" si="544"/>
        <v>260</v>
      </c>
      <c r="DI594" s="313">
        <f t="shared" si="545"/>
        <v>0</v>
      </c>
      <c r="DJ594" s="313">
        <f t="shared" si="546"/>
        <v>0</v>
      </c>
      <c r="DK594" s="313">
        <f t="shared" si="555"/>
        <v>149264.51726962166</v>
      </c>
      <c r="DL594" s="313">
        <f t="shared" si="547"/>
        <v>1820</v>
      </c>
      <c r="DM594" s="314">
        <f t="shared" si="548"/>
        <v>18.90570280914724</v>
      </c>
      <c r="DN594" s="312">
        <f t="shared" si="549"/>
        <v>3.1881454990130252E-2</v>
      </c>
      <c r="DO594" s="312">
        <f t="shared" si="556"/>
        <v>1</v>
      </c>
      <c r="DP594" s="315">
        <f t="shared" si="540"/>
        <v>6.5000000000000002E-2</v>
      </c>
      <c r="DQ594" s="316">
        <f t="shared" si="550"/>
        <v>0.25</v>
      </c>
      <c r="DR594" s="316">
        <f t="shared" si="551"/>
        <v>152.07075452294254</v>
      </c>
      <c r="DS594" s="314">
        <f t="shared" si="552"/>
        <v>3.8995006098331388</v>
      </c>
      <c r="DT594" s="316">
        <f t="shared" si="553"/>
        <v>152.07075452294254</v>
      </c>
      <c r="DU594" s="314">
        <f t="shared" si="541"/>
        <v>3.8995006098331388</v>
      </c>
      <c r="DV594" s="316">
        <f t="shared" si="557"/>
        <v>1.75</v>
      </c>
      <c r="DW594" s="310">
        <f t="shared" si="542"/>
        <v>4.5714285714285712</v>
      </c>
      <c r="FB594" s="307"/>
      <c r="FC594" s="307"/>
      <c r="FF594" s="307"/>
      <c r="FG594" s="307"/>
      <c r="FH594" s="306"/>
      <c r="FJ594" s="307"/>
      <c r="FK594" s="307"/>
      <c r="FL594" s="306"/>
      <c r="FM594" s="307"/>
      <c r="FN594" s="306"/>
      <c r="FO594" s="307"/>
      <c r="FP594" s="306"/>
    </row>
    <row r="595" spans="29:172">
      <c r="AC595" s="156"/>
      <c r="CW595" s="364"/>
      <c r="CX595" s="316"/>
      <c r="CY595" s="316"/>
      <c r="DA595" s="309">
        <v>594</v>
      </c>
      <c r="DB595" s="313">
        <f t="shared" si="536"/>
        <v>416.19831915412419</v>
      </c>
      <c r="DC595" s="309">
        <f t="shared" si="537"/>
        <v>1</v>
      </c>
      <c r="DD595" s="309">
        <f t="shared" si="538"/>
        <v>260</v>
      </c>
      <c r="DE595" s="308">
        <f t="shared" si="539"/>
        <v>6.5000000000000002E-2</v>
      </c>
      <c r="DF595" s="313">
        <f t="shared" si="554"/>
        <v>594</v>
      </c>
      <c r="DG595" s="313">
        <f t="shared" si="543"/>
        <v>260</v>
      </c>
      <c r="DH595" s="313">
        <f t="shared" si="544"/>
        <v>260</v>
      </c>
      <c r="DI595" s="313">
        <f t="shared" si="545"/>
        <v>0</v>
      </c>
      <c r="DJ595" s="313">
        <f t="shared" si="546"/>
        <v>0</v>
      </c>
      <c r="DK595" s="313">
        <f t="shared" si="555"/>
        <v>149524.51726962166</v>
      </c>
      <c r="DL595" s="313">
        <f t="shared" si="547"/>
        <v>1560</v>
      </c>
      <c r="DM595" s="314">
        <f t="shared" si="548"/>
        <v>18.90570280914724</v>
      </c>
      <c r="DN595" s="312">
        <f t="shared" si="549"/>
        <v>3.1827782506981886E-2</v>
      </c>
      <c r="DO595" s="312">
        <f t="shared" si="556"/>
        <v>1</v>
      </c>
      <c r="DP595" s="315">
        <f t="shared" si="540"/>
        <v>6.5000000000000002E-2</v>
      </c>
      <c r="DQ595" s="316">
        <f t="shared" si="550"/>
        <v>0.25</v>
      </c>
      <c r="DR595" s="316">
        <f t="shared" si="551"/>
        <v>152.32075452294254</v>
      </c>
      <c r="DS595" s="314">
        <f t="shared" si="552"/>
        <v>3.899665556807177</v>
      </c>
      <c r="DT595" s="316">
        <f t="shared" si="553"/>
        <v>152.32075452294254</v>
      </c>
      <c r="DU595" s="314">
        <f t="shared" si="541"/>
        <v>3.899665556807177</v>
      </c>
      <c r="DV595" s="316">
        <f t="shared" si="557"/>
        <v>1.5</v>
      </c>
      <c r="DW595" s="310">
        <f t="shared" si="542"/>
        <v>4.666666666666667</v>
      </c>
      <c r="FB595" s="307"/>
      <c r="FC595" s="307"/>
      <c r="FF595" s="307"/>
      <c r="FG595" s="307"/>
      <c r="FH595" s="306"/>
      <c r="FJ595" s="307"/>
      <c r="FK595" s="307"/>
      <c r="FL595" s="306"/>
      <c r="FM595" s="307"/>
      <c r="FN595" s="306"/>
      <c r="FO595" s="307"/>
      <c r="FP595" s="306"/>
    </row>
    <row r="596" spans="29:172">
      <c r="AC596" s="156"/>
      <c r="CW596" s="364"/>
      <c r="CX596" s="316"/>
      <c r="CY596" s="316"/>
      <c r="DA596" s="309">
        <v>595</v>
      </c>
      <c r="DB596" s="313">
        <f t="shared" si="536"/>
        <v>416.56228938839035</v>
      </c>
      <c r="DC596" s="309">
        <f t="shared" si="537"/>
        <v>1</v>
      </c>
      <c r="DD596" s="309">
        <f t="shared" si="538"/>
        <v>260</v>
      </c>
      <c r="DE596" s="308">
        <f t="shared" si="539"/>
        <v>6.5000000000000002E-2</v>
      </c>
      <c r="DF596" s="313">
        <f t="shared" si="554"/>
        <v>595</v>
      </c>
      <c r="DG596" s="313">
        <f t="shared" si="543"/>
        <v>260</v>
      </c>
      <c r="DH596" s="313">
        <f t="shared" si="544"/>
        <v>260</v>
      </c>
      <c r="DI596" s="313">
        <f t="shared" si="545"/>
        <v>0</v>
      </c>
      <c r="DJ596" s="313">
        <f t="shared" si="546"/>
        <v>0</v>
      </c>
      <c r="DK596" s="313">
        <f t="shared" si="555"/>
        <v>149784.51726962166</v>
      </c>
      <c r="DL596" s="313">
        <f t="shared" si="547"/>
        <v>1300</v>
      </c>
      <c r="DM596" s="314">
        <f t="shared" si="548"/>
        <v>18.90570280914724</v>
      </c>
      <c r="DN596" s="312">
        <f t="shared" si="549"/>
        <v>3.1774290435541579E-2</v>
      </c>
      <c r="DO596" s="312">
        <f t="shared" si="556"/>
        <v>1</v>
      </c>
      <c r="DP596" s="315">
        <f t="shared" si="540"/>
        <v>6.5000000000000002E-2</v>
      </c>
      <c r="DQ596" s="316">
        <f t="shared" si="550"/>
        <v>0.25</v>
      </c>
      <c r="DR596" s="316">
        <f t="shared" si="551"/>
        <v>152.57075452294254</v>
      </c>
      <c r="DS596" s="314">
        <f t="shared" si="552"/>
        <v>3.8998299632222637</v>
      </c>
      <c r="DT596" s="316">
        <f t="shared" si="553"/>
        <v>152.57075452294254</v>
      </c>
      <c r="DU596" s="314">
        <f t="shared" si="541"/>
        <v>3.8998299632222637</v>
      </c>
      <c r="DV596" s="316">
        <f t="shared" si="557"/>
        <v>1.25</v>
      </c>
      <c r="DW596" s="310">
        <f t="shared" si="542"/>
        <v>4.8</v>
      </c>
      <c r="FB596" s="307"/>
      <c r="FC596" s="307"/>
      <c r="FF596" s="307"/>
      <c r="FG596" s="307"/>
      <c r="FH596" s="306"/>
      <c r="FJ596" s="307"/>
      <c r="FK596" s="307"/>
      <c r="FL596" s="306"/>
      <c r="FM596" s="307"/>
      <c r="FN596" s="306"/>
      <c r="FO596" s="307"/>
      <c r="FP596" s="306"/>
    </row>
    <row r="597" spans="29:172">
      <c r="AC597" s="156"/>
      <c r="CW597" s="364"/>
      <c r="CX597" s="316"/>
      <c r="CY597" s="316"/>
      <c r="DA597" s="309">
        <v>596</v>
      </c>
      <c r="DB597" s="313">
        <f t="shared" si="536"/>
        <v>416.92625962265663</v>
      </c>
      <c r="DC597" s="309">
        <f t="shared" si="537"/>
        <v>1</v>
      </c>
      <c r="DD597" s="309">
        <f t="shared" si="538"/>
        <v>260</v>
      </c>
      <c r="DE597" s="308">
        <f t="shared" si="539"/>
        <v>6.5000000000000002E-2</v>
      </c>
      <c r="DF597" s="313">
        <f t="shared" si="554"/>
        <v>596</v>
      </c>
      <c r="DG597" s="313">
        <f t="shared" si="543"/>
        <v>260</v>
      </c>
      <c r="DH597" s="313">
        <f t="shared" si="544"/>
        <v>260</v>
      </c>
      <c r="DI597" s="313">
        <f t="shared" si="545"/>
        <v>0</v>
      </c>
      <c r="DJ597" s="313">
        <f t="shared" si="546"/>
        <v>0</v>
      </c>
      <c r="DK597" s="313">
        <f t="shared" si="555"/>
        <v>150044.51726962166</v>
      </c>
      <c r="DL597" s="313">
        <f t="shared" si="547"/>
        <v>1040</v>
      </c>
      <c r="DM597" s="314">
        <f t="shared" si="548"/>
        <v>18.90570280914724</v>
      </c>
      <c r="DN597" s="312">
        <f t="shared" si="549"/>
        <v>3.1720977867696711E-2</v>
      </c>
      <c r="DO597" s="312">
        <f t="shared" si="556"/>
        <v>1</v>
      </c>
      <c r="DP597" s="315">
        <f t="shared" si="540"/>
        <v>6.5000000000000002E-2</v>
      </c>
      <c r="DQ597" s="316">
        <f t="shared" si="550"/>
        <v>0.25</v>
      </c>
      <c r="DR597" s="316">
        <f t="shared" si="551"/>
        <v>152.82075452294254</v>
      </c>
      <c r="DS597" s="314">
        <f t="shared" si="552"/>
        <v>3.8999938317313063</v>
      </c>
      <c r="DT597" s="316">
        <f t="shared" si="553"/>
        <v>152.82075452294254</v>
      </c>
      <c r="DU597" s="314">
        <f t="shared" si="541"/>
        <v>3.8999938317313063</v>
      </c>
      <c r="DV597" s="316">
        <f t="shared" si="557"/>
        <v>1</v>
      </c>
      <c r="DW597" s="310">
        <f t="shared" si="542"/>
        <v>5</v>
      </c>
      <c r="FB597" s="307"/>
      <c r="FC597" s="307"/>
      <c r="FF597" s="307"/>
      <c r="FG597" s="307"/>
      <c r="FH597" s="306"/>
      <c r="FJ597" s="307"/>
      <c r="FK597" s="307"/>
      <c r="FL597" s="306"/>
      <c r="FM597" s="307"/>
      <c r="FN597" s="306"/>
      <c r="FO597" s="307"/>
      <c r="FP597" s="306"/>
    </row>
    <row r="598" spans="29:172">
      <c r="AC598" s="156"/>
      <c r="CW598" s="364"/>
      <c r="CX598" s="316"/>
      <c r="CY598" s="316"/>
      <c r="DA598" s="309">
        <v>597</v>
      </c>
      <c r="DB598" s="313">
        <f t="shared" si="536"/>
        <v>417.29022985692279</v>
      </c>
      <c r="DC598" s="309">
        <f t="shared" si="537"/>
        <v>1</v>
      </c>
      <c r="DD598" s="309">
        <f t="shared" si="538"/>
        <v>260</v>
      </c>
      <c r="DE598" s="308">
        <f t="shared" si="539"/>
        <v>6.5000000000000002E-2</v>
      </c>
      <c r="DF598" s="313">
        <f t="shared" si="554"/>
        <v>597</v>
      </c>
      <c r="DG598" s="313">
        <f t="shared" si="543"/>
        <v>260</v>
      </c>
      <c r="DH598" s="313">
        <f t="shared" si="544"/>
        <v>260</v>
      </c>
      <c r="DI598" s="313">
        <f t="shared" si="545"/>
        <v>0</v>
      </c>
      <c r="DJ598" s="313">
        <f t="shared" si="546"/>
        <v>0</v>
      </c>
      <c r="DK598" s="313">
        <f t="shared" si="555"/>
        <v>150304.51726962166</v>
      </c>
      <c r="DL598" s="313">
        <f t="shared" si="547"/>
        <v>780</v>
      </c>
      <c r="DM598" s="314">
        <f t="shared" si="548"/>
        <v>18.90570280914724</v>
      </c>
      <c r="DN598" s="312">
        <f t="shared" si="549"/>
        <v>3.1667843901419163E-2</v>
      </c>
      <c r="DO598" s="312">
        <f t="shared" si="556"/>
        <v>1</v>
      </c>
      <c r="DP598" s="315">
        <f t="shared" si="540"/>
        <v>6.5000000000000002E-2</v>
      </c>
      <c r="DQ598" s="316">
        <f t="shared" si="550"/>
        <v>0.25</v>
      </c>
      <c r="DR598" s="316">
        <f t="shared" si="551"/>
        <v>153.07075452294254</v>
      </c>
      <c r="DS598" s="314">
        <f t="shared" si="552"/>
        <v>3.9001571649698801</v>
      </c>
      <c r="DT598" s="316">
        <f t="shared" si="553"/>
        <v>153.07075452294254</v>
      </c>
      <c r="DU598" s="314">
        <f t="shared" si="541"/>
        <v>3.9001571649698801</v>
      </c>
      <c r="DV598" s="316">
        <f t="shared" si="557"/>
        <v>0.75</v>
      </c>
      <c r="DW598" s="310">
        <f t="shared" si="542"/>
        <v>5.333333333333333</v>
      </c>
      <c r="FB598" s="307"/>
      <c r="FC598" s="307"/>
      <c r="FF598" s="307"/>
      <c r="FG598" s="307"/>
      <c r="FH598" s="306"/>
      <c r="FJ598" s="307"/>
      <c r="FK598" s="307"/>
      <c r="FL598" s="306"/>
      <c r="FM598" s="307"/>
      <c r="FN598" s="306"/>
      <c r="FO598" s="307"/>
      <c r="FP598" s="306"/>
    </row>
    <row r="599" spans="29:172">
      <c r="AC599" s="156"/>
      <c r="CW599" s="364"/>
      <c r="CX599" s="316"/>
      <c r="CY599" s="316"/>
      <c r="DA599" s="309">
        <v>598</v>
      </c>
      <c r="DB599" s="313">
        <f t="shared" si="536"/>
        <v>417.65420009118901</v>
      </c>
      <c r="DC599" s="309">
        <f t="shared" si="537"/>
        <v>1</v>
      </c>
      <c r="DD599" s="309">
        <f t="shared" si="538"/>
        <v>260</v>
      </c>
      <c r="DE599" s="308">
        <f t="shared" si="539"/>
        <v>6.5000000000000002E-2</v>
      </c>
      <c r="DF599" s="313">
        <f t="shared" si="554"/>
        <v>598</v>
      </c>
      <c r="DG599" s="313">
        <f t="shared" si="543"/>
        <v>260</v>
      </c>
      <c r="DH599" s="313">
        <f t="shared" si="544"/>
        <v>260</v>
      </c>
      <c r="DI599" s="313">
        <f t="shared" si="545"/>
        <v>0</v>
      </c>
      <c r="DJ599" s="313">
        <f t="shared" si="546"/>
        <v>0</v>
      </c>
      <c r="DK599" s="313">
        <f t="shared" si="555"/>
        <v>150564.51726962166</v>
      </c>
      <c r="DL599" s="313">
        <f t="shared" si="547"/>
        <v>520</v>
      </c>
      <c r="DM599" s="314">
        <f t="shared" si="548"/>
        <v>18.90570280914724</v>
      </c>
      <c r="DN599" s="312">
        <f t="shared" si="549"/>
        <v>3.1614887640714448E-2</v>
      </c>
      <c r="DO599" s="312">
        <f t="shared" si="556"/>
        <v>1</v>
      </c>
      <c r="DP599" s="315">
        <f t="shared" si="540"/>
        <v>6.5000000000000002E-2</v>
      </c>
      <c r="DQ599" s="316">
        <f t="shared" si="550"/>
        <v>0.25</v>
      </c>
      <c r="DR599" s="316">
        <f t="shared" si="551"/>
        <v>153.32075452294254</v>
      </c>
      <c r="DS599" s="314">
        <f t="shared" si="552"/>
        <v>3.9003199655563705</v>
      </c>
      <c r="DT599" s="316">
        <f t="shared" si="553"/>
        <v>153.32075452294254</v>
      </c>
      <c r="DU599" s="314">
        <f t="shared" si="541"/>
        <v>3.9003199655563705</v>
      </c>
      <c r="DV599" s="316">
        <f t="shared" si="557"/>
        <v>0.5</v>
      </c>
      <c r="DW599" s="310">
        <f t="shared" si="542"/>
        <v>6</v>
      </c>
      <c r="FB599" s="307"/>
      <c r="FC599" s="307"/>
      <c r="FF599" s="307"/>
      <c r="FG599" s="307"/>
      <c r="FH599" s="306"/>
      <c r="FJ599" s="307"/>
      <c r="FK599" s="307"/>
      <c r="FL599" s="306"/>
      <c r="FM599" s="307"/>
      <c r="FN599" s="306"/>
      <c r="FO599" s="307"/>
      <c r="FP599" s="306"/>
    </row>
    <row r="600" spans="29:172">
      <c r="AC600" s="156"/>
      <c r="CW600" s="364"/>
      <c r="CX600" s="316"/>
      <c r="CY600" s="316"/>
      <c r="DA600" s="309">
        <v>599</v>
      </c>
      <c r="DB600" s="313">
        <f t="shared" si="536"/>
        <v>418.01817032545523</v>
      </c>
      <c r="DC600" s="309">
        <f t="shared" si="537"/>
        <v>1</v>
      </c>
      <c r="DD600" s="309">
        <f t="shared" si="538"/>
        <v>260</v>
      </c>
      <c r="DE600" s="308">
        <f t="shared" si="539"/>
        <v>6.5000000000000002E-2</v>
      </c>
      <c r="DF600" s="313">
        <f t="shared" si="554"/>
        <v>599</v>
      </c>
      <c r="DG600" s="313">
        <f t="shared" si="543"/>
        <v>260</v>
      </c>
      <c r="DH600" s="313">
        <f t="shared" si="544"/>
        <v>260</v>
      </c>
      <c r="DI600" s="313">
        <f t="shared" si="545"/>
        <v>0</v>
      </c>
      <c r="DJ600" s="313">
        <f t="shared" si="546"/>
        <v>0</v>
      </c>
      <c r="DK600" s="313">
        <f t="shared" si="555"/>
        <v>150824.51726962166</v>
      </c>
      <c r="DL600" s="313">
        <f t="shared" si="547"/>
        <v>260</v>
      </c>
      <c r="DM600" s="314">
        <f t="shared" si="548"/>
        <v>18.90570280914724</v>
      </c>
      <c r="DN600" s="312">
        <f t="shared" si="549"/>
        <v>3.1562108195571349E-2</v>
      </c>
      <c r="DO600" s="312">
        <f t="shared" si="556"/>
        <v>1</v>
      </c>
      <c r="DP600" s="315">
        <f t="shared" si="540"/>
        <v>6.5000000000000002E-2</v>
      </c>
      <c r="DQ600" s="316">
        <f t="shared" si="550"/>
        <v>0.25</v>
      </c>
      <c r="DR600" s="316">
        <f t="shared" si="551"/>
        <v>153.57075452294254</v>
      </c>
      <c r="DS600" s="314">
        <f t="shared" si="552"/>
        <v>3.9004822360921136</v>
      </c>
      <c r="DT600" s="316">
        <f t="shared" si="553"/>
        <v>153.57075452294254</v>
      </c>
      <c r="DU600" s="314">
        <f t="shared" si="541"/>
        <v>3.9004822360921136</v>
      </c>
      <c r="DV600" s="316">
        <f t="shared" si="557"/>
        <v>0.25</v>
      </c>
      <c r="DW600" s="310">
        <f t="shared" si="542"/>
        <v>8</v>
      </c>
      <c r="FB600" s="307"/>
      <c r="FC600" s="307"/>
      <c r="FF600" s="307"/>
      <c r="FG600" s="307"/>
      <c r="FH600" s="306"/>
      <c r="FJ600" s="307"/>
      <c r="FK600" s="307"/>
      <c r="FL600" s="306"/>
      <c r="FM600" s="307"/>
      <c r="FN600" s="306"/>
      <c r="FO600" s="307"/>
      <c r="FP600" s="306"/>
    </row>
    <row r="601" spans="29:172">
      <c r="AC601" s="156"/>
      <c r="CW601" s="364"/>
      <c r="CX601" s="316"/>
      <c r="CY601" s="316"/>
      <c r="DA601" s="309">
        <v>600</v>
      </c>
      <c r="DB601" s="313">
        <f t="shared" si="536"/>
        <v>418.38214055972139</v>
      </c>
      <c r="DC601" s="309">
        <f t="shared" si="537"/>
        <v>3</v>
      </c>
      <c r="DD601" s="309">
        <f t="shared" si="538"/>
        <v>0</v>
      </c>
      <c r="DE601" s="308">
        <f t="shared" si="539"/>
        <v>0</v>
      </c>
      <c r="DF601" s="313">
        <f t="shared" si="554"/>
        <v>600</v>
      </c>
      <c r="DG601" s="313">
        <f t="shared" si="543"/>
        <v>0</v>
      </c>
      <c r="DH601" s="313">
        <f t="shared" si="544"/>
        <v>0</v>
      </c>
      <c r="DI601" s="313">
        <f t="shared" si="545"/>
        <v>0</v>
      </c>
      <c r="DJ601" s="313">
        <f t="shared" si="546"/>
        <v>0</v>
      </c>
      <c r="DK601" s="313">
        <f t="shared" si="555"/>
        <v>150824.51726962166</v>
      </c>
      <c r="DL601" s="313">
        <f t="shared" si="547"/>
        <v>0</v>
      </c>
      <c r="DM601" s="314">
        <f t="shared" si="548"/>
        <v>1</v>
      </c>
      <c r="DN601" s="312">
        <f t="shared" si="549"/>
        <v>1</v>
      </c>
      <c r="DO601" s="312">
        <f t="shared" si="556"/>
        <v>0</v>
      </c>
      <c r="DP601" s="315" t="e">
        <f t="shared" si="540"/>
        <v>#NUM!</v>
      </c>
      <c r="DQ601" s="316">
        <f t="shared" si="550"/>
        <v>0</v>
      </c>
      <c r="DR601" s="316">
        <f t="shared" si="551"/>
        <v>153.57075452294254</v>
      </c>
      <c r="DS601" s="314">
        <f t="shared" si="552"/>
        <v>3.9069938925797465</v>
      </c>
      <c r="DT601" s="316">
        <f t="shared" si="553"/>
        <v>0</v>
      </c>
      <c r="DU601" s="314" t="e">
        <f t="shared" si="541"/>
        <v>#DIV/0!</v>
      </c>
      <c r="DV601" s="316">
        <f t="shared" si="557"/>
        <v>0</v>
      </c>
      <c r="DW601" s="310" t="e">
        <f t="shared" si="542"/>
        <v>#DIV/0!</v>
      </c>
      <c r="FB601" s="307"/>
      <c r="FC601" s="307"/>
      <c r="FF601" s="307"/>
      <c r="FG601" s="307"/>
      <c r="FH601" s="306"/>
      <c r="FJ601" s="307"/>
      <c r="FK601" s="307"/>
      <c r="FL601" s="306"/>
      <c r="FM601" s="307"/>
      <c r="FN601" s="306"/>
      <c r="FO601" s="307"/>
      <c r="FP601" s="306"/>
    </row>
    <row r="602" spans="29:172">
      <c r="AC602" s="156"/>
      <c r="CW602" s="364"/>
      <c r="CX602" s="316"/>
      <c r="CY602" s="316"/>
      <c r="DA602" s="309">
        <v>601</v>
      </c>
      <c r="DB602" s="313">
        <f t="shared" si="536"/>
        <v>418.74611079398761</v>
      </c>
      <c r="DC602" s="309">
        <f t="shared" si="537"/>
        <v>4</v>
      </c>
      <c r="DD602" s="309">
        <f t="shared" si="538"/>
        <v>0</v>
      </c>
      <c r="DE602" s="308">
        <f t="shared" si="539"/>
        <v>0</v>
      </c>
      <c r="DF602" s="313">
        <f t="shared" si="554"/>
        <v>600</v>
      </c>
      <c r="DG602" s="313">
        <f t="shared" si="543"/>
        <v>0</v>
      </c>
      <c r="DH602" s="313">
        <f t="shared" si="544"/>
        <v>0</v>
      </c>
      <c r="DI602" s="313">
        <f t="shared" si="545"/>
        <v>0</v>
      </c>
      <c r="DJ602" s="313">
        <f t="shared" si="546"/>
        <v>0</v>
      </c>
      <c r="DK602" s="313">
        <f t="shared" si="555"/>
        <v>0</v>
      </c>
      <c r="DL602" s="313">
        <f t="shared" si="547"/>
        <v>0</v>
      </c>
      <c r="DM602" s="314">
        <f t="shared" si="548"/>
        <v>0</v>
      </c>
      <c r="DN602" s="312">
        <f t="shared" si="549"/>
        <v>0</v>
      </c>
      <c r="DO602" s="312">
        <f t="shared" si="556"/>
        <v>0</v>
      </c>
      <c r="DP602" s="315" t="e">
        <f t="shared" si="540"/>
        <v>#NUM!</v>
      </c>
      <c r="DQ602" s="316">
        <f t="shared" si="550"/>
        <v>0</v>
      </c>
      <c r="DR602" s="316">
        <f t="shared" si="551"/>
        <v>0</v>
      </c>
      <c r="DS602" s="314">
        <f t="shared" si="552"/>
        <v>0</v>
      </c>
      <c r="DT602" s="316">
        <f t="shared" si="553"/>
        <v>0</v>
      </c>
      <c r="DU602" s="314">
        <f t="shared" si="541"/>
        <v>0</v>
      </c>
      <c r="DV602" s="316">
        <f t="shared" si="557"/>
        <v>0</v>
      </c>
      <c r="DW602" s="310">
        <f t="shared" si="542"/>
        <v>0</v>
      </c>
      <c r="FB602" s="307"/>
      <c r="FC602" s="307"/>
      <c r="FF602" s="307"/>
      <c r="FG602" s="307"/>
      <c r="FH602" s="306"/>
      <c r="FJ602" s="307"/>
      <c r="FK602" s="307"/>
      <c r="FL602" s="306"/>
      <c r="FM602" s="307"/>
      <c r="FN602" s="306"/>
      <c r="FO602" s="307"/>
      <c r="FP602" s="306"/>
    </row>
    <row r="603" spans="29:172">
      <c r="AC603" s="156"/>
      <c r="CW603" s="364"/>
      <c r="CX603" s="316"/>
      <c r="CY603" s="316"/>
      <c r="DA603" s="309">
        <v>602</v>
      </c>
      <c r="DB603" s="313">
        <f t="shared" si="536"/>
        <v>419.11008102825383</v>
      </c>
      <c r="DC603" s="309">
        <f t="shared" si="537"/>
        <v>4</v>
      </c>
      <c r="DD603" s="309">
        <f t="shared" si="538"/>
        <v>0</v>
      </c>
      <c r="DE603" s="308">
        <f t="shared" si="539"/>
        <v>0</v>
      </c>
      <c r="DF603" s="313">
        <f t="shared" si="554"/>
        <v>600</v>
      </c>
      <c r="DG603" s="313">
        <f t="shared" si="543"/>
        <v>0</v>
      </c>
      <c r="DH603" s="313">
        <f t="shared" si="544"/>
        <v>0</v>
      </c>
      <c r="DI603" s="313">
        <f t="shared" si="545"/>
        <v>0</v>
      </c>
      <c r="DJ603" s="313">
        <f t="shared" si="546"/>
        <v>0</v>
      </c>
      <c r="DK603" s="313">
        <f t="shared" si="555"/>
        <v>0</v>
      </c>
      <c r="DL603" s="313">
        <f t="shared" si="547"/>
        <v>0</v>
      </c>
      <c r="DM603" s="314">
        <f t="shared" si="548"/>
        <v>0</v>
      </c>
      <c r="DN603" s="312">
        <f t="shared" si="549"/>
        <v>0</v>
      </c>
      <c r="DO603" s="312">
        <f t="shared" si="556"/>
        <v>0</v>
      </c>
      <c r="DP603" s="315" t="e">
        <f t="shared" si="540"/>
        <v>#NUM!</v>
      </c>
      <c r="DQ603" s="316">
        <f t="shared" si="550"/>
        <v>0</v>
      </c>
      <c r="DR603" s="316">
        <f t="shared" si="551"/>
        <v>0</v>
      </c>
      <c r="DS603" s="314">
        <f t="shared" si="552"/>
        <v>0</v>
      </c>
      <c r="DT603" s="316">
        <f t="shared" si="553"/>
        <v>0</v>
      </c>
      <c r="DU603" s="314">
        <f t="shared" si="541"/>
        <v>0</v>
      </c>
      <c r="DV603" s="316">
        <f t="shared" si="557"/>
        <v>0</v>
      </c>
      <c r="DW603" s="310">
        <f t="shared" si="542"/>
        <v>0</v>
      </c>
      <c r="FB603" s="307"/>
      <c r="FC603" s="307"/>
      <c r="FF603" s="307"/>
      <c r="FG603" s="307"/>
      <c r="FH603" s="306"/>
      <c r="FJ603" s="307"/>
      <c r="FK603" s="307"/>
      <c r="FL603" s="306"/>
      <c r="FM603" s="307"/>
      <c r="FN603" s="306"/>
      <c r="FO603" s="307"/>
      <c r="FP603" s="306"/>
    </row>
    <row r="604" spans="29:172">
      <c r="AC604" s="156"/>
      <c r="CW604" s="364"/>
      <c r="CX604" s="316"/>
      <c r="CY604" s="316"/>
      <c r="DA604" s="309">
        <v>603</v>
      </c>
      <c r="DB604" s="313">
        <f t="shared" si="536"/>
        <v>419.47405126251999</v>
      </c>
      <c r="DC604" s="309">
        <f t="shared" si="537"/>
        <v>4</v>
      </c>
      <c r="DD604" s="309">
        <f t="shared" si="538"/>
        <v>0</v>
      </c>
      <c r="DE604" s="308">
        <f t="shared" si="539"/>
        <v>0</v>
      </c>
      <c r="DF604" s="313">
        <f t="shared" si="554"/>
        <v>600</v>
      </c>
      <c r="DG604" s="313">
        <f t="shared" si="543"/>
        <v>0</v>
      </c>
      <c r="DH604" s="313">
        <f t="shared" si="544"/>
        <v>0</v>
      </c>
      <c r="DI604" s="313">
        <f t="shared" si="545"/>
        <v>0</v>
      </c>
      <c r="DJ604" s="313">
        <f t="shared" si="546"/>
        <v>0</v>
      </c>
      <c r="DK604" s="313">
        <f t="shared" si="555"/>
        <v>0</v>
      </c>
      <c r="DL604" s="313">
        <f t="shared" si="547"/>
        <v>0</v>
      </c>
      <c r="DM604" s="314">
        <f t="shared" si="548"/>
        <v>0</v>
      </c>
      <c r="DN604" s="312">
        <f t="shared" si="549"/>
        <v>0</v>
      </c>
      <c r="DO604" s="312">
        <f t="shared" si="556"/>
        <v>0</v>
      </c>
      <c r="DP604" s="315" t="e">
        <f t="shared" si="540"/>
        <v>#NUM!</v>
      </c>
      <c r="DQ604" s="316">
        <f t="shared" si="550"/>
        <v>0</v>
      </c>
      <c r="DR604" s="316">
        <f t="shared" si="551"/>
        <v>0</v>
      </c>
      <c r="DS604" s="314">
        <f t="shared" si="552"/>
        <v>0</v>
      </c>
      <c r="DT604" s="316">
        <f t="shared" si="553"/>
        <v>0</v>
      </c>
      <c r="DU604" s="314">
        <f t="shared" si="541"/>
        <v>0</v>
      </c>
      <c r="DV604" s="316">
        <f t="shared" si="557"/>
        <v>0</v>
      </c>
      <c r="DW604" s="310">
        <f t="shared" si="542"/>
        <v>0</v>
      </c>
      <c r="FB604" s="307"/>
      <c r="FC604" s="307"/>
      <c r="FF604" s="307"/>
      <c r="FG604" s="307"/>
      <c r="FH604" s="306"/>
      <c r="FJ604" s="307"/>
      <c r="FK604" s="307"/>
      <c r="FL604" s="306"/>
      <c r="FM604" s="307"/>
      <c r="FN604" s="306"/>
      <c r="FO604" s="307"/>
      <c r="FP604" s="306"/>
    </row>
    <row r="605" spans="29:172">
      <c r="AC605" s="156"/>
      <c r="CW605" s="364"/>
      <c r="CX605" s="316"/>
      <c r="CY605" s="316"/>
      <c r="DA605" s="309">
        <v>604</v>
      </c>
      <c r="DB605" s="313">
        <f t="shared" si="536"/>
        <v>419.83802149678621</v>
      </c>
      <c r="DC605" s="309">
        <f t="shared" si="537"/>
        <v>4</v>
      </c>
      <c r="DD605" s="309">
        <f t="shared" si="538"/>
        <v>0</v>
      </c>
      <c r="DE605" s="308">
        <f t="shared" si="539"/>
        <v>0</v>
      </c>
      <c r="DF605" s="313">
        <f t="shared" si="554"/>
        <v>600</v>
      </c>
      <c r="DG605" s="313">
        <f t="shared" si="543"/>
        <v>0</v>
      </c>
      <c r="DH605" s="313">
        <f t="shared" si="544"/>
        <v>0</v>
      </c>
      <c r="DI605" s="313">
        <f t="shared" si="545"/>
        <v>0</v>
      </c>
      <c r="DJ605" s="313">
        <f t="shared" si="546"/>
        <v>0</v>
      </c>
      <c r="DK605" s="313">
        <f t="shared" si="555"/>
        <v>0</v>
      </c>
      <c r="DL605" s="313">
        <f t="shared" si="547"/>
        <v>0</v>
      </c>
      <c r="DM605" s="314">
        <f t="shared" si="548"/>
        <v>0</v>
      </c>
      <c r="DN605" s="312">
        <f t="shared" si="549"/>
        <v>0</v>
      </c>
      <c r="DO605" s="312">
        <f t="shared" si="556"/>
        <v>0</v>
      </c>
      <c r="DP605" s="315" t="e">
        <f t="shared" si="540"/>
        <v>#NUM!</v>
      </c>
      <c r="DQ605" s="316">
        <f t="shared" si="550"/>
        <v>0</v>
      </c>
      <c r="DR605" s="316">
        <f t="shared" si="551"/>
        <v>0</v>
      </c>
      <c r="DS605" s="314">
        <f t="shared" si="552"/>
        <v>0</v>
      </c>
      <c r="DT605" s="316">
        <f t="shared" si="553"/>
        <v>0</v>
      </c>
      <c r="DU605" s="314">
        <f t="shared" si="541"/>
        <v>0</v>
      </c>
      <c r="DV605" s="316">
        <f t="shared" si="557"/>
        <v>0</v>
      </c>
      <c r="DW605" s="310">
        <f t="shared" si="542"/>
        <v>0</v>
      </c>
      <c r="FB605" s="307"/>
      <c r="FC605" s="307"/>
      <c r="FF605" s="307"/>
      <c r="FG605" s="307"/>
      <c r="FH605" s="306"/>
      <c r="FJ605" s="307"/>
      <c r="FK605" s="307"/>
      <c r="FL605" s="306"/>
      <c r="FM605" s="307"/>
      <c r="FN605" s="306"/>
      <c r="FO605" s="307"/>
      <c r="FP605" s="306"/>
    </row>
    <row r="606" spans="29:172">
      <c r="AC606" s="156"/>
      <c r="CW606" s="364"/>
      <c r="CX606" s="316"/>
      <c r="CY606" s="316"/>
      <c r="DA606" s="309">
        <v>605</v>
      </c>
      <c r="DB606" s="313">
        <f t="shared" si="536"/>
        <v>420.20199173105243</v>
      </c>
      <c r="DC606" s="309">
        <f t="shared" si="537"/>
        <v>4</v>
      </c>
      <c r="DD606" s="309">
        <f t="shared" si="538"/>
        <v>0</v>
      </c>
      <c r="DE606" s="308">
        <f t="shared" si="539"/>
        <v>0</v>
      </c>
      <c r="DF606" s="313">
        <f t="shared" si="554"/>
        <v>600</v>
      </c>
      <c r="DG606" s="313">
        <f t="shared" si="543"/>
        <v>0</v>
      </c>
      <c r="DH606" s="313">
        <f t="shared" si="544"/>
        <v>0</v>
      </c>
      <c r="DI606" s="313">
        <f t="shared" si="545"/>
        <v>0</v>
      </c>
      <c r="DJ606" s="313">
        <f t="shared" si="546"/>
        <v>0</v>
      </c>
      <c r="DK606" s="313">
        <f t="shared" si="555"/>
        <v>0</v>
      </c>
      <c r="DL606" s="313">
        <f t="shared" si="547"/>
        <v>0</v>
      </c>
      <c r="DM606" s="314">
        <f t="shared" si="548"/>
        <v>0</v>
      </c>
      <c r="DN606" s="312">
        <f t="shared" si="549"/>
        <v>0</v>
      </c>
      <c r="DO606" s="312">
        <f t="shared" si="556"/>
        <v>0</v>
      </c>
      <c r="DP606" s="315" t="e">
        <f t="shared" si="540"/>
        <v>#NUM!</v>
      </c>
      <c r="DQ606" s="316">
        <f t="shared" si="550"/>
        <v>0</v>
      </c>
      <c r="DR606" s="316">
        <f t="shared" si="551"/>
        <v>0</v>
      </c>
      <c r="DS606" s="314">
        <f t="shared" si="552"/>
        <v>0</v>
      </c>
      <c r="DT606" s="316">
        <f t="shared" si="553"/>
        <v>0</v>
      </c>
      <c r="DU606" s="314">
        <f t="shared" si="541"/>
        <v>0</v>
      </c>
      <c r="DV606" s="316">
        <f t="shared" si="557"/>
        <v>0</v>
      </c>
      <c r="DW606" s="310">
        <f t="shared" si="542"/>
        <v>0</v>
      </c>
      <c r="FB606" s="307"/>
      <c r="FC606" s="307"/>
      <c r="FF606" s="307"/>
      <c r="FG606" s="307"/>
      <c r="FH606" s="306"/>
      <c r="FJ606" s="307"/>
      <c r="FK606" s="307"/>
      <c r="FL606" s="306"/>
      <c r="FM606" s="307"/>
      <c r="FN606" s="306"/>
      <c r="FO606" s="307"/>
      <c r="FP606" s="306"/>
    </row>
    <row r="607" spans="29:172">
      <c r="AC607" s="156"/>
      <c r="CW607" s="364"/>
      <c r="CX607" s="316"/>
      <c r="CY607" s="316"/>
      <c r="DA607" s="309">
        <v>606</v>
      </c>
      <c r="DB607" s="313">
        <f t="shared" si="536"/>
        <v>420.56596196531859</v>
      </c>
      <c r="DC607" s="309">
        <f t="shared" si="537"/>
        <v>4</v>
      </c>
      <c r="DD607" s="309">
        <f t="shared" si="538"/>
        <v>0</v>
      </c>
      <c r="DE607" s="308">
        <f t="shared" si="539"/>
        <v>0</v>
      </c>
      <c r="DF607" s="313">
        <f t="shared" si="554"/>
        <v>600</v>
      </c>
      <c r="DG607" s="313">
        <f t="shared" si="543"/>
        <v>0</v>
      </c>
      <c r="DH607" s="313">
        <f t="shared" si="544"/>
        <v>0</v>
      </c>
      <c r="DI607" s="313">
        <f t="shared" si="545"/>
        <v>0</v>
      </c>
      <c r="DJ607" s="313">
        <f t="shared" si="546"/>
        <v>0</v>
      </c>
      <c r="DK607" s="313">
        <f t="shared" si="555"/>
        <v>0</v>
      </c>
      <c r="DL607" s="313">
        <f t="shared" si="547"/>
        <v>0</v>
      </c>
      <c r="DM607" s="314">
        <f t="shared" si="548"/>
        <v>0</v>
      </c>
      <c r="DN607" s="312">
        <f t="shared" si="549"/>
        <v>0</v>
      </c>
      <c r="DO607" s="312">
        <f t="shared" si="556"/>
        <v>0</v>
      </c>
      <c r="DP607" s="315" t="e">
        <f t="shared" si="540"/>
        <v>#NUM!</v>
      </c>
      <c r="DQ607" s="316">
        <f t="shared" si="550"/>
        <v>0</v>
      </c>
      <c r="DR607" s="316">
        <f t="shared" si="551"/>
        <v>0</v>
      </c>
      <c r="DS607" s="314">
        <f t="shared" si="552"/>
        <v>0</v>
      </c>
      <c r="DT607" s="316">
        <f t="shared" si="553"/>
        <v>0</v>
      </c>
      <c r="DU607" s="314">
        <f t="shared" si="541"/>
        <v>0</v>
      </c>
      <c r="DV607" s="316">
        <f t="shared" si="557"/>
        <v>0</v>
      </c>
      <c r="DW607" s="310">
        <f t="shared" si="542"/>
        <v>0</v>
      </c>
      <c r="FB607" s="307"/>
      <c r="FC607" s="307"/>
      <c r="FF607" s="307"/>
      <c r="FG607" s="307"/>
      <c r="FH607" s="306"/>
      <c r="FJ607" s="307"/>
      <c r="FK607" s="307"/>
      <c r="FL607" s="306"/>
      <c r="FM607" s="307"/>
      <c r="FN607" s="306"/>
      <c r="FO607" s="307"/>
      <c r="FP607" s="306"/>
    </row>
    <row r="608" spans="29:172">
      <c r="AC608" s="156"/>
      <c r="CW608" s="364"/>
      <c r="CX608" s="316"/>
      <c r="CY608" s="316"/>
      <c r="DA608" s="309">
        <v>607</v>
      </c>
      <c r="DB608" s="313">
        <f t="shared" si="536"/>
        <v>420.92993219958481</v>
      </c>
      <c r="DC608" s="309">
        <f t="shared" si="537"/>
        <v>4</v>
      </c>
      <c r="DD608" s="309">
        <f t="shared" si="538"/>
        <v>0</v>
      </c>
      <c r="DE608" s="308">
        <f t="shared" si="539"/>
        <v>0</v>
      </c>
      <c r="DF608" s="313">
        <f t="shared" si="554"/>
        <v>600</v>
      </c>
      <c r="DG608" s="313">
        <f t="shared" si="543"/>
        <v>0</v>
      </c>
      <c r="DH608" s="313">
        <f t="shared" si="544"/>
        <v>0</v>
      </c>
      <c r="DI608" s="313">
        <f t="shared" si="545"/>
        <v>0</v>
      </c>
      <c r="DJ608" s="313">
        <f t="shared" si="546"/>
        <v>0</v>
      </c>
      <c r="DK608" s="313">
        <f t="shared" si="555"/>
        <v>0</v>
      </c>
      <c r="DL608" s="313">
        <f t="shared" si="547"/>
        <v>0</v>
      </c>
      <c r="DM608" s="314">
        <f t="shared" si="548"/>
        <v>0</v>
      </c>
      <c r="DN608" s="312">
        <f t="shared" si="549"/>
        <v>0</v>
      </c>
      <c r="DO608" s="312">
        <f t="shared" si="556"/>
        <v>0</v>
      </c>
      <c r="DP608" s="315" t="e">
        <f t="shared" si="540"/>
        <v>#NUM!</v>
      </c>
      <c r="DQ608" s="316">
        <f t="shared" si="550"/>
        <v>0</v>
      </c>
      <c r="DR608" s="316">
        <f t="shared" si="551"/>
        <v>0</v>
      </c>
      <c r="DS608" s="314">
        <f t="shared" si="552"/>
        <v>0</v>
      </c>
      <c r="DT608" s="316">
        <f t="shared" si="553"/>
        <v>0</v>
      </c>
      <c r="DU608" s="314">
        <f t="shared" si="541"/>
        <v>0</v>
      </c>
      <c r="DV608" s="316">
        <f t="shared" si="557"/>
        <v>0</v>
      </c>
      <c r="DW608" s="310">
        <f t="shared" si="542"/>
        <v>0</v>
      </c>
      <c r="FB608" s="307"/>
      <c r="FC608" s="307"/>
      <c r="FF608" s="307"/>
      <c r="FG608" s="307"/>
      <c r="FH608" s="306"/>
      <c r="FJ608" s="307"/>
      <c r="FK608" s="307"/>
      <c r="FL608" s="306"/>
      <c r="FM608" s="307"/>
      <c r="FN608" s="306"/>
      <c r="FO608" s="307"/>
      <c r="FP608" s="306"/>
    </row>
    <row r="609" spans="29:172">
      <c r="AC609" s="156"/>
      <c r="CW609" s="364"/>
      <c r="CX609" s="316"/>
      <c r="CY609" s="316"/>
      <c r="DA609" s="309">
        <v>608</v>
      </c>
      <c r="DB609" s="313">
        <f t="shared" si="536"/>
        <v>421.29390243385103</v>
      </c>
      <c r="DC609" s="309">
        <f t="shared" si="537"/>
        <v>4</v>
      </c>
      <c r="DD609" s="309">
        <f t="shared" si="538"/>
        <v>0</v>
      </c>
      <c r="DE609" s="308">
        <f t="shared" si="539"/>
        <v>0</v>
      </c>
      <c r="DF609" s="313">
        <f t="shared" si="554"/>
        <v>600</v>
      </c>
      <c r="DG609" s="313">
        <f t="shared" si="543"/>
        <v>0</v>
      </c>
      <c r="DH609" s="313">
        <f t="shared" si="544"/>
        <v>0</v>
      </c>
      <c r="DI609" s="313">
        <f t="shared" si="545"/>
        <v>0</v>
      </c>
      <c r="DJ609" s="313">
        <f t="shared" si="546"/>
        <v>0</v>
      </c>
      <c r="DK609" s="313">
        <f t="shared" si="555"/>
        <v>0</v>
      </c>
      <c r="DL609" s="313">
        <f t="shared" si="547"/>
        <v>0</v>
      </c>
      <c r="DM609" s="314">
        <f t="shared" si="548"/>
        <v>0</v>
      </c>
      <c r="DN609" s="312">
        <f t="shared" si="549"/>
        <v>0</v>
      </c>
      <c r="DO609" s="312">
        <f t="shared" si="556"/>
        <v>0</v>
      </c>
      <c r="DP609" s="315" t="e">
        <f t="shared" si="540"/>
        <v>#NUM!</v>
      </c>
      <c r="DQ609" s="316">
        <f t="shared" si="550"/>
        <v>0</v>
      </c>
      <c r="DR609" s="316">
        <f t="shared" si="551"/>
        <v>0</v>
      </c>
      <c r="DS609" s="314">
        <f t="shared" si="552"/>
        <v>0</v>
      </c>
      <c r="DT609" s="316">
        <f t="shared" si="553"/>
        <v>0</v>
      </c>
      <c r="DU609" s="314">
        <f t="shared" si="541"/>
        <v>0</v>
      </c>
      <c r="DV609" s="316">
        <f t="shared" si="557"/>
        <v>0</v>
      </c>
      <c r="DW609" s="310">
        <f t="shared" si="542"/>
        <v>0</v>
      </c>
      <c r="FB609" s="307"/>
      <c r="FC609" s="307"/>
      <c r="FF609" s="307"/>
      <c r="FG609" s="307"/>
      <c r="FH609" s="306"/>
      <c r="FJ609" s="307"/>
      <c r="FK609" s="307"/>
      <c r="FL609" s="306"/>
      <c r="FM609" s="307"/>
      <c r="FN609" s="306"/>
      <c r="FO609" s="307"/>
      <c r="FP609" s="306"/>
    </row>
    <row r="610" spans="29:172">
      <c r="AC610" s="156"/>
      <c r="CW610" s="364"/>
      <c r="CX610" s="316"/>
      <c r="CY610" s="316"/>
      <c r="DA610" s="309">
        <v>609</v>
      </c>
      <c r="DB610" s="313">
        <f t="shared" si="536"/>
        <v>421.65787266811719</v>
      </c>
      <c r="DC610" s="309">
        <f t="shared" si="537"/>
        <v>4</v>
      </c>
      <c r="DD610" s="309">
        <f t="shared" si="538"/>
        <v>0</v>
      </c>
      <c r="DE610" s="308">
        <f t="shared" si="539"/>
        <v>0</v>
      </c>
      <c r="DF610" s="313">
        <f t="shared" si="554"/>
        <v>600</v>
      </c>
      <c r="DG610" s="313">
        <f t="shared" si="543"/>
        <v>0</v>
      </c>
      <c r="DH610" s="313">
        <f t="shared" si="544"/>
        <v>0</v>
      </c>
      <c r="DI610" s="313">
        <f t="shared" si="545"/>
        <v>0</v>
      </c>
      <c r="DJ610" s="313">
        <f t="shared" si="546"/>
        <v>0</v>
      </c>
      <c r="DK610" s="313">
        <f t="shared" si="555"/>
        <v>0</v>
      </c>
      <c r="DL610" s="313">
        <f t="shared" si="547"/>
        <v>0</v>
      </c>
      <c r="DM610" s="314">
        <f t="shared" si="548"/>
        <v>0</v>
      </c>
      <c r="DN610" s="312">
        <f t="shared" si="549"/>
        <v>0</v>
      </c>
      <c r="DO610" s="312">
        <f t="shared" si="556"/>
        <v>0</v>
      </c>
      <c r="DP610" s="315" t="e">
        <f t="shared" si="540"/>
        <v>#NUM!</v>
      </c>
      <c r="DQ610" s="316">
        <f t="shared" si="550"/>
        <v>0</v>
      </c>
      <c r="DR610" s="316">
        <f t="shared" si="551"/>
        <v>0</v>
      </c>
      <c r="DS610" s="314">
        <f t="shared" si="552"/>
        <v>0</v>
      </c>
      <c r="DT610" s="316">
        <f t="shared" si="553"/>
        <v>0</v>
      </c>
      <c r="DU610" s="314">
        <f t="shared" si="541"/>
        <v>0</v>
      </c>
      <c r="DV610" s="316">
        <f t="shared" si="557"/>
        <v>0</v>
      </c>
      <c r="DW610" s="310">
        <f t="shared" si="542"/>
        <v>0</v>
      </c>
      <c r="FB610" s="307"/>
      <c r="FC610" s="307"/>
      <c r="FF610" s="307"/>
      <c r="FG610" s="307"/>
      <c r="FH610" s="306"/>
      <c r="FJ610" s="307"/>
      <c r="FK610" s="307"/>
      <c r="FL610" s="306"/>
      <c r="FM610" s="307"/>
      <c r="FN610" s="306"/>
      <c r="FO610" s="307"/>
      <c r="FP610" s="306"/>
    </row>
    <row r="611" spans="29:172">
      <c r="AC611" s="156"/>
      <c r="CW611" s="364"/>
      <c r="CX611" s="316"/>
      <c r="CY611" s="316"/>
      <c r="DA611" s="309">
        <v>610</v>
      </c>
      <c r="DB611" s="313">
        <f t="shared" si="536"/>
        <v>422.02184290238347</v>
      </c>
      <c r="DC611" s="309">
        <f t="shared" si="537"/>
        <v>4</v>
      </c>
      <c r="DD611" s="309">
        <f t="shared" si="538"/>
        <v>0</v>
      </c>
      <c r="DE611" s="308">
        <f t="shared" si="539"/>
        <v>0</v>
      </c>
      <c r="DF611" s="313">
        <f t="shared" si="554"/>
        <v>600</v>
      </c>
      <c r="DG611" s="313">
        <f t="shared" si="543"/>
        <v>0</v>
      </c>
      <c r="DH611" s="313">
        <f t="shared" si="544"/>
        <v>0</v>
      </c>
      <c r="DI611" s="313">
        <f t="shared" si="545"/>
        <v>0</v>
      </c>
      <c r="DJ611" s="313">
        <f t="shared" si="546"/>
        <v>0</v>
      </c>
      <c r="DK611" s="313">
        <f t="shared" si="555"/>
        <v>0</v>
      </c>
      <c r="DL611" s="313">
        <f t="shared" si="547"/>
        <v>0</v>
      </c>
      <c r="DM611" s="314">
        <f t="shared" si="548"/>
        <v>0</v>
      </c>
      <c r="DN611" s="312">
        <f t="shared" si="549"/>
        <v>0</v>
      </c>
      <c r="DO611" s="312">
        <f t="shared" si="556"/>
        <v>0</v>
      </c>
      <c r="DP611" s="315" t="e">
        <f t="shared" si="540"/>
        <v>#NUM!</v>
      </c>
      <c r="DQ611" s="316">
        <f t="shared" si="550"/>
        <v>0</v>
      </c>
      <c r="DR611" s="316">
        <f t="shared" si="551"/>
        <v>0</v>
      </c>
      <c r="DS611" s="314">
        <f t="shared" si="552"/>
        <v>0</v>
      </c>
      <c r="DT611" s="316">
        <f t="shared" si="553"/>
        <v>0</v>
      </c>
      <c r="DU611" s="314">
        <f t="shared" si="541"/>
        <v>0</v>
      </c>
      <c r="DV611" s="316">
        <f t="shared" si="557"/>
        <v>0</v>
      </c>
      <c r="DW611" s="310">
        <f t="shared" si="542"/>
        <v>0</v>
      </c>
      <c r="FB611" s="307"/>
      <c r="FC611" s="307"/>
      <c r="FF611" s="307"/>
      <c r="FG611" s="307"/>
      <c r="FH611" s="306"/>
      <c r="FJ611" s="307"/>
      <c r="FK611" s="307"/>
      <c r="FL611" s="306"/>
      <c r="FM611" s="307"/>
      <c r="FN611" s="306"/>
      <c r="FO611" s="307"/>
      <c r="FP611" s="306"/>
    </row>
    <row r="612" spans="29:172">
      <c r="AC612" s="156"/>
      <c r="CW612" s="364"/>
      <c r="CX612" s="316"/>
      <c r="CY612" s="316"/>
      <c r="DA612" s="309">
        <v>611</v>
      </c>
      <c r="DB612" s="313">
        <f t="shared" si="536"/>
        <v>422.38581313664963</v>
      </c>
      <c r="DC612" s="309">
        <f t="shared" si="537"/>
        <v>4</v>
      </c>
      <c r="DD612" s="309">
        <f t="shared" si="538"/>
        <v>0</v>
      </c>
      <c r="DE612" s="308">
        <f t="shared" si="539"/>
        <v>0</v>
      </c>
      <c r="DF612" s="313">
        <f t="shared" si="554"/>
        <v>600</v>
      </c>
      <c r="DG612" s="313">
        <f t="shared" si="543"/>
        <v>0</v>
      </c>
      <c r="DH612" s="313">
        <f t="shared" si="544"/>
        <v>0</v>
      </c>
      <c r="DI612" s="313">
        <f t="shared" si="545"/>
        <v>0</v>
      </c>
      <c r="DJ612" s="313">
        <f t="shared" si="546"/>
        <v>0</v>
      </c>
      <c r="DK612" s="313">
        <f t="shared" si="555"/>
        <v>0</v>
      </c>
      <c r="DL612" s="313">
        <f t="shared" si="547"/>
        <v>0</v>
      </c>
      <c r="DM612" s="314">
        <f t="shared" si="548"/>
        <v>0</v>
      </c>
      <c r="DN612" s="312">
        <f t="shared" si="549"/>
        <v>0</v>
      </c>
      <c r="DO612" s="312">
        <f t="shared" si="556"/>
        <v>0</v>
      </c>
      <c r="DP612" s="315" t="e">
        <f t="shared" si="540"/>
        <v>#NUM!</v>
      </c>
      <c r="DQ612" s="316">
        <f t="shared" si="550"/>
        <v>0</v>
      </c>
      <c r="DR612" s="316">
        <f t="shared" si="551"/>
        <v>0</v>
      </c>
      <c r="DS612" s="314">
        <f t="shared" si="552"/>
        <v>0</v>
      </c>
      <c r="DT612" s="316">
        <f t="shared" si="553"/>
        <v>0</v>
      </c>
      <c r="DU612" s="314">
        <f t="shared" si="541"/>
        <v>0</v>
      </c>
      <c r="DV612" s="316">
        <f t="shared" si="557"/>
        <v>0</v>
      </c>
      <c r="DW612" s="310">
        <f t="shared" si="542"/>
        <v>0</v>
      </c>
      <c r="FB612" s="307"/>
      <c r="FC612" s="307"/>
      <c r="FF612" s="307"/>
      <c r="FG612" s="307"/>
      <c r="FH612" s="306"/>
      <c r="FJ612" s="307"/>
      <c r="FK612" s="307"/>
      <c r="FL612" s="306"/>
      <c r="FM612" s="307"/>
      <c r="FN612" s="306"/>
      <c r="FO612" s="307"/>
      <c r="FP612" s="306"/>
    </row>
    <row r="613" spans="29:172">
      <c r="AC613" s="156"/>
      <c r="CW613" s="364"/>
      <c r="CX613" s="316"/>
      <c r="CY613" s="316"/>
      <c r="DA613" s="309">
        <v>612</v>
      </c>
      <c r="DB613" s="313">
        <f t="shared" si="536"/>
        <v>422.74978337091579</v>
      </c>
      <c r="DC613" s="309">
        <f t="shared" si="537"/>
        <v>4</v>
      </c>
      <c r="DD613" s="309">
        <f t="shared" si="538"/>
        <v>0</v>
      </c>
      <c r="DE613" s="308">
        <f t="shared" si="539"/>
        <v>0</v>
      </c>
      <c r="DF613" s="313">
        <f t="shared" si="554"/>
        <v>600</v>
      </c>
      <c r="DG613" s="313">
        <f t="shared" si="543"/>
        <v>0</v>
      </c>
      <c r="DH613" s="313">
        <f t="shared" si="544"/>
        <v>0</v>
      </c>
      <c r="DI613" s="313">
        <f t="shared" si="545"/>
        <v>0</v>
      </c>
      <c r="DJ613" s="313">
        <f t="shared" si="546"/>
        <v>0</v>
      </c>
      <c r="DK613" s="313">
        <f t="shared" si="555"/>
        <v>0</v>
      </c>
      <c r="DL613" s="313">
        <f t="shared" si="547"/>
        <v>0</v>
      </c>
      <c r="DM613" s="314">
        <f t="shared" si="548"/>
        <v>0</v>
      </c>
      <c r="DN613" s="312">
        <f t="shared" si="549"/>
        <v>0</v>
      </c>
      <c r="DO613" s="312">
        <f t="shared" si="556"/>
        <v>0</v>
      </c>
      <c r="DP613" s="315" t="e">
        <f t="shared" si="540"/>
        <v>#NUM!</v>
      </c>
      <c r="DQ613" s="316">
        <f t="shared" si="550"/>
        <v>0</v>
      </c>
      <c r="DR613" s="316">
        <f t="shared" si="551"/>
        <v>0</v>
      </c>
      <c r="DS613" s="314">
        <f t="shared" si="552"/>
        <v>0</v>
      </c>
      <c r="DT613" s="316">
        <f t="shared" si="553"/>
        <v>0</v>
      </c>
      <c r="DU613" s="314">
        <f t="shared" si="541"/>
        <v>0</v>
      </c>
      <c r="DV613" s="316">
        <f t="shared" si="557"/>
        <v>0</v>
      </c>
      <c r="DW613" s="310">
        <f t="shared" si="542"/>
        <v>0</v>
      </c>
      <c r="FB613" s="307"/>
      <c r="FC613" s="307"/>
      <c r="FF613" s="307"/>
      <c r="FG613" s="307"/>
      <c r="FH613" s="306"/>
      <c r="FJ613" s="307"/>
      <c r="FK613" s="307"/>
      <c r="FL613" s="306"/>
      <c r="FM613" s="307"/>
      <c r="FN613" s="306"/>
      <c r="FO613" s="307"/>
      <c r="FP613" s="306"/>
    </row>
    <row r="614" spans="29:172">
      <c r="AC614" s="156"/>
      <c r="CW614" s="364"/>
      <c r="CX614" s="316"/>
      <c r="CY614" s="316"/>
      <c r="DA614" s="309">
        <v>613</v>
      </c>
      <c r="DB614" s="313">
        <f t="shared" si="536"/>
        <v>423.11375360518207</v>
      </c>
      <c r="DC614" s="309">
        <f t="shared" si="537"/>
        <v>4</v>
      </c>
      <c r="DD614" s="309">
        <f t="shared" si="538"/>
        <v>0</v>
      </c>
      <c r="DE614" s="308">
        <f t="shared" si="539"/>
        <v>0</v>
      </c>
      <c r="DF614" s="313">
        <f t="shared" si="554"/>
        <v>600</v>
      </c>
      <c r="DG614" s="313">
        <f t="shared" si="543"/>
        <v>0</v>
      </c>
      <c r="DH614" s="313">
        <f t="shared" si="544"/>
        <v>0</v>
      </c>
      <c r="DI614" s="313">
        <f t="shared" si="545"/>
        <v>0</v>
      </c>
      <c r="DJ614" s="313">
        <f t="shared" si="546"/>
        <v>0</v>
      </c>
      <c r="DK614" s="313">
        <f t="shared" si="555"/>
        <v>0</v>
      </c>
      <c r="DL614" s="313">
        <f t="shared" si="547"/>
        <v>0</v>
      </c>
      <c r="DM614" s="314">
        <f t="shared" si="548"/>
        <v>0</v>
      </c>
      <c r="DN614" s="312">
        <f t="shared" si="549"/>
        <v>0</v>
      </c>
      <c r="DO614" s="312">
        <f t="shared" si="556"/>
        <v>0</v>
      </c>
      <c r="DP614" s="315" t="e">
        <f t="shared" si="540"/>
        <v>#NUM!</v>
      </c>
      <c r="DQ614" s="316">
        <f t="shared" si="550"/>
        <v>0</v>
      </c>
      <c r="DR614" s="316">
        <f t="shared" si="551"/>
        <v>0</v>
      </c>
      <c r="DS614" s="314">
        <f t="shared" si="552"/>
        <v>0</v>
      </c>
      <c r="DT614" s="316">
        <f t="shared" si="553"/>
        <v>0</v>
      </c>
      <c r="DU614" s="314">
        <f t="shared" si="541"/>
        <v>0</v>
      </c>
      <c r="DV614" s="316">
        <f t="shared" si="557"/>
        <v>0</v>
      </c>
      <c r="DW614" s="310">
        <f t="shared" si="542"/>
        <v>0</v>
      </c>
      <c r="FB614" s="307"/>
      <c r="FC614" s="307"/>
      <c r="FF614" s="307"/>
      <c r="FG614" s="307"/>
      <c r="FH614" s="306"/>
      <c r="FJ614" s="307"/>
      <c r="FK614" s="307"/>
      <c r="FL614" s="306"/>
      <c r="FM614" s="307"/>
      <c r="FN614" s="306"/>
      <c r="FO614" s="307"/>
      <c r="FP614" s="306"/>
    </row>
    <row r="615" spans="29:172">
      <c r="AC615" s="156"/>
      <c r="CW615" s="364"/>
      <c r="CX615" s="316"/>
      <c r="CY615" s="316"/>
      <c r="DA615" s="309">
        <v>614</v>
      </c>
      <c r="DB615" s="313">
        <f t="shared" si="536"/>
        <v>423.47772383944823</v>
      </c>
      <c r="DC615" s="309">
        <f t="shared" si="537"/>
        <v>4</v>
      </c>
      <c r="DD615" s="309">
        <f t="shared" si="538"/>
        <v>0</v>
      </c>
      <c r="DE615" s="308">
        <f t="shared" si="539"/>
        <v>0</v>
      </c>
      <c r="DF615" s="313">
        <f t="shared" si="554"/>
        <v>600</v>
      </c>
      <c r="DG615" s="313">
        <f t="shared" si="543"/>
        <v>0</v>
      </c>
      <c r="DH615" s="313">
        <f t="shared" si="544"/>
        <v>0</v>
      </c>
      <c r="DI615" s="313">
        <f t="shared" si="545"/>
        <v>0</v>
      </c>
      <c r="DJ615" s="313">
        <f t="shared" si="546"/>
        <v>0</v>
      </c>
      <c r="DK615" s="313">
        <f t="shared" si="555"/>
        <v>0</v>
      </c>
      <c r="DL615" s="313">
        <f t="shared" si="547"/>
        <v>0</v>
      </c>
      <c r="DM615" s="314">
        <f t="shared" si="548"/>
        <v>0</v>
      </c>
      <c r="DN615" s="312">
        <f t="shared" si="549"/>
        <v>0</v>
      </c>
      <c r="DO615" s="312">
        <f t="shared" si="556"/>
        <v>0</v>
      </c>
      <c r="DP615" s="315" t="e">
        <f t="shared" si="540"/>
        <v>#NUM!</v>
      </c>
      <c r="DQ615" s="316">
        <f t="shared" si="550"/>
        <v>0</v>
      </c>
      <c r="DR615" s="316">
        <f t="shared" si="551"/>
        <v>0</v>
      </c>
      <c r="DS615" s="314">
        <f t="shared" si="552"/>
        <v>0</v>
      </c>
      <c r="DT615" s="316">
        <f t="shared" si="553"/>
        <v>0</v>
      </c>
      <c r="DU615" s="314">
        <f t="shared" si="541"/>
        <v>0</v>
      </c>
      <c r="DV615" s="316">
        <f t="shared" si="557"/>
        <v>0</v>
      </c>
      <c r="DW615" s="310">
        <f t="shared" si="542"/>
        <v>0</v>
      </c>
      <c r="FB615" s="307"/>
      <c r="FC615" s="307"/>
      <c r="FF615" s="307"/>
      <c r="FG615" s="307"/>
      <c r="FH615" s="306"/>
      <c r="FJ615" s="307"/>
      <c r="FK615" s="307"/>
      <c r="FL615" s="306"/>
      <c r="FM615" s="307"/>
      <c r="FN615" s="306"/>
      <c r="FO615" s="307"/>
      <c r="FP615" s="306"/>
    </row>
    <row r="616" spans="29:172">
      <c r="AC616" s="156"/>
      <c r="CW616" s="364"/>
      <c r="CX616" s="316"/>
      <c r="CY616" s="316"/>
      <c r="DA616" s="309">
        <v>615</v>
      </c>
      <c r="DB616" s="313">
        <f t="shared" si="536"/>
        <v>423.84169407371445</v>
      </c>
      <c r="DC616" s="309">
        <f t="shared" si="537"/>
        <v>4</v>
      </c>
      <c r="DD616" s="309">
        <f t="shared" si="538"/>
        <v>0</v>
      </c>
      <c r="DE616" s="308">
        <f t="shared" si="539"/>
        <v>0</v>
      </c>
      <c r="DF616" s="313">
        <f t="shared" si="554"/>
        <v>600</v>
      </c>
      <c r="DG616" s="313">
        <f t="shared" si="543"/>
        <v>0</v>
      </c>
      <c r="DH616" s="313">
        <f t="shared" si="544"/>
        <v>0</v>
      </c>
      <c r="DI616" s="313">
        <f t="shared" si="545"/>
        <v>0</v>
      </c>
      <c r="DJ616" s="313">
        <f t="shared" si="546"/>
        <v>0</v>
      </c>
      <c r="DK616" s="313">
        <f t="shared" si="555"/>
        <v>0</v>
      </c>
      <c r="DL616" s="313">
        <f t="shared" si="547"/>
        <v>0</v>
      </c>
      <c r="DM616" s="314">
        <f t="shared" si="548"/>
        <v>0</v>
      </c>
      <c r="DN616" s="312">
        <f t="shared" si="549"/>
        <v>0</v>
      </c>
      <c r="DO616" s="312">
        <f t="shared" si="556"/>
        <v>0</v>
      </c>
      <c r="DP616" s="315" t="e">
        <f t="shared" si="540"/>
        <v>#NUM!</v>
      </c>
      <c r="DQ616" s="316">
        <f t="shared" si="550"/>
        <v>0</v>
      </c>
      <c r="DR616" s="316">
        <f t="shared" si="551"/>
        <v>0</v>
      </c>
      <c r="DS616" s="314">
        <f t="shared" si="552"/>
        <v>0</v>
      </c>
      <c r="DT616" s="316">
        <f t="shared" si="553"/>
        <v>0</v>
      </c>
      <c r="DU616" s="314">
        <f t="shared" si="541"/>
        <v>0</v>
      </c>
      <c r="DV616" s="316">
        <f t="shared" si="557"/>
        <v>0</v>
      </c>
      <c r="DW616" s="310">
        <f t="shared" si="542"/>
        <v>0</v>
      </c>
      <c r="FB616" s="307"/>
      <c r="FC616" s="307"/>
      <c r="FF616" s="307"/>
      <c r="FG616" s="307"/>
      <c r="FH616" s="306"/>
      <c r="FJ616" s="307"/>
      <c r="FK616" s="307"/>
      <c r="FL616" s="306"/>
      <c r="FM616" s="307"/>
      <c r="FN616" s="306"/>
      <c r="FO616" s="307"/>
      <c r="FP616" s="306"/>
    </row>
    <row r="617" spans="29:172">
      <c r="AC617" s="156"/>
      <c r="CW617" s="364"/>
      <c r="CX617" s="316"/>
      <c r="CY617" s="316"/>
      <c r="DA617" s="309">
        <v>616</v>
      </c>
      <c r="DB617" s="313">
        <f t="shared" si="536"/>
        <v>424.20566430798067</v>
      </c>
      <c r="DC617" s="309">
        <f t="shared" si="537"/>
        <v>4</v>
      </c>
      <c r="DD617" s="309">
        <f t="shared" si="538"/>
        <v>0</v>
      </c>
      <c r="DE617" s="308">
        <f t="shared" si="539"/>
        <v>0</v>
      </c>
      <c r="DF617" s="313">
        <f t="shared" si="554"/>
        <v>600</v>
      </c>
      <c r="DG617" s="313">
        <f t="shared" si="543"/>
        <v>0</v>
      </c>
      <c r="DH617" s="313">
        <f t="shared" si="544"/>
        <v>0</v>
      </c>
      <c r="DI617" s="313">
        <f t="shared" si="545"/>
        <v>0</v>
      </c>
      <c r="DJ617" s="313">
        <f t="shared" si="546"/>
        <v>0</v>
      </c>
      <c r="DK617" s="313">
        <f t="shared" si="555"/>
        <v>0</v>
      </c>
      <c r="DL617" s="313">
        <f t="shared" si="547"/>
        <v>0</v>
      </c>
      <c r="DM617" s="314">
        <f t="shared" si="548"/>
        <v>0</v>
      </c>
      <c r="DN617" s="312">
        <f t="shared" si="549"/>
        <v>0</v>
      </c>
      <c r="DO617" s="312">
        <f t="shared" si="556"/>
        <v>0</v>
      </c>
      <c r="DP617" s="315" t="e">
        <f t="shared" si="540"/>
        <v>#NUM!</v>
      </c>
      <c r="DQ617" s="316">
        <f t="shared" si="550"/>
        <v>0</v>
      </c>
      <c r="DR617" s="316">
        <f t="shared" si="551"/>
        <v>0</v>
      </c>
      <c r="DS617" s="314">
        <f t="shared" si="552"/>
        <v>0</v>
      </c>
      <c r="DT617" s="316">
        <f t="shared" si="553"/>
        <v>0</v>
      </c>
      <c r="DU617" s="314">
        <f t="shared" si="541"/>
        <v>0</v>
      </c>
      <c r="DV617" s="316">
        <f t="shared" si="557"/>
        <v>0</v>
      </c>
      <c r="DW617" s="310">
        <f t="shared" si="542"/>
        <v>0</v>
      </c>
      <c r="FB617" s="307"/>
      <c r="FC617" s="307"/>
      <c r="FF617" s="307"/>
      <c r="FG617" s="307"/>
      <c r="FH617" s="306"/>
      <c r="FJ617" s="307"/>
      <c r="FK617" s="307"/>
      <c r="FL617" s="306"/>
      <c r="FM617" s="307"/>
      <c r="FN617" s="306"/>
      <c r="FO617" s="307"/>
      <c r="FP617" s="306"/>
    </row>
    <row r="618" spans="29:172">
      <c r="AC618" s="156"/>
      <c r="CW618" s="364"/>
      <c r="CX618" s="316"/>
      <c r="CY618" s="316"/>
      <c r="DA618" s="309">
        <v>617</v>
      </c>
      <c r="DB618" s="313">
        <f t="shared" si="536"/>
        <v>424.56963454224683</v>
      </c>
      <c r="DC618" s="309">
        <f t="shared" si="537"/>
        <v>4</v>
      </c>
      <c r="DD618" s="309">
        <f t="shared" si="538"/>
        <v>0</v>
      </c>
      <c r="DE618" s="308">
        <f t="shared" si="539"/>
        <v>0</v>
      </c>
      <c r="DF618" s="313">
        <f t="shared" si="554"/>
        <v>600</v>
      </c>
      <c r="DG618" s="313">
        <f t="shared" si="543"/>
        <v>0</v>
      </c>
      <c r="DH618" s="313">
        <f t="shared" si="544"/>
        <v>0</v>
      </c>
      <c r="DI618" s="313">
        <f t="shared" si="545"/>
        <v>0</v>
      </c>
      <c r="DJ618" s="313">
        <f t="shared" si="546"/>
        <v>0</v>
      </c>
      <c r="DK618" s="313">
        <f t="shared" si="555"/>
        <v>0</v>
      </c>
      <c r="DL618" s="313">
        <f t="shared" si="547"/>
        <v>0</v>
      </c>
      <c r="DM618" s="314">
        <f t="shared" si="548"/>
        <v>0</v>
      </c>
      <c r="DN618" s="312">
        <f t="shared" si="549"/>
        <v>0</v>
      </c>
      <c r="DO618" s="312">
        <f t="shared" si="556"/>
        <v>0</v>
      </c>
      <c r="DP618" s="315" t="e">
        <f t="shared" si="540"/>
        <v>#NUM!</v>
      </c>
      <c r="DQ618" s="316">
        <f t="shared" si="550"/>
        <v>0</v>
      </c>
      <c r="DR618" s="316">
        <f t="shared" si="551"/>
        <v>0</v>
      </c>
      <c r="DS618" s="314">
        <f t="shared" si="552"/>
        <v>0</v>
      </c>
      <c r="DT618" s="316">
        <f t="shared" si="553"/>
        <v>0</v>
      </c>
      <c r="DU618" s="314">
        <f t="shared" si="541"/>
        <v>0</v>
      </c>
      <c r="DV618" s="316">
        <f t="shared" si="557"/>
        <v>0</v>
      </c>
      <c r="DW618" s="310">
        <f t="shared" si="542"/>
        <v>0</v>
      </c>
      <c r="FB618" s="307"/>
      <c r="FC618" s="307"/>
      <c r="FF618" s="307"/>
      <c r="FG618" s="307"/>
      <c r="FH618" s="306"/>
      <c r="FJ618" s="307"/>
      <c r="FK618" s="307"/>
      <c r="FL618" s="306"/>
      <c r="FM618" s="307"/>
      <c r="FN618" s="306"/>
      <c r="FO618" s="307"/>
      <c r="FP618" s="306"/>
    </row>
    <row r="619" spans="29:172">
      <c r="AC619" s="156"/>
      <c r="CW619" s="364"/>
      <c r="CX619" s="316"/>
      <c r="CY619" s="316"/>
      <c r="DA619" s="309">
        <v>618</v>
      </c>
      <c r="DB619" s="313">
        <f t="shared" si="536"/>
        <v>424.93360477651305</v>
      </c>
      <c r="DC619" s="309">
        <f t="shared" si="537"/>
        <v>4</v>
      </c>
      <c r="DD619" s="309">
        <f t="shared" si="538"/>
        <v>0</v>
      </c>
      <c r="DE619" s="308">
        <f t="shared" si="539"/>
        <v>0</v>
      </c>
      <c r="DF619" s="313">
        <f t="shared" si="554"/>
        <v>600</v>
      </c>
      <c r="DG619" s="313">
        <f t="shared" si="543"/>
        <v>0</v>
      </c>
      <c r="DH619" s="313">
        <f t="shared" si="544"/>
        <v>0</v>
      </c>
      <c r="DI619" s="313">
        <f t="shared" si="545"/>
        <v>0</v>
      </c>
      <c r="DJ619" s="313">
        <f t="shared" si="546"/>
        <v>0</v>
      </c>
      <c r="DK619" s="313">
        <f t="shared" si="555"/>
        <v>0</v>
      </c>
      <c r="DL619" s="313">
        <f t="shared" si="547"/>
        <v>0</v>
      </c>
      <c r="DM619" s="314">
        <f t="shared" si="548"/>
        <v>0</v>
      </c>
      <c r="DN619" s="312">
        <f t="shared" si="549"/>
        <v>0</v>
      </c>
      <c r="DO619" s="312">
        <f t="shared" si="556"/>
        <v>0</v>
      </c>
      <c r="DP619" s="315" t="e">
        <f t="shared" si="540"/>
        <v>#NUM!</v>
      </c>
      <c r="DQ619" s="316">
        <f t="shared" si="550"/>
        <v>0</v>
      </c>
      <c r="DR619" s="316">
        <f t="shared" si="551"/>
        <v>0</v>
      </c>
      <c r="DS619" s="314">
        <f t="shared" si="552"/>
        <v>0</v>
      </c>
      <c r="DT619" s="316">
        <f t="shared" si="553"/>
        <v>0</v>
      </c>
      <c r="DU619" s="314">
        <f t="shared" si="541"/>
        <v>0</v>
      </c>
      <c r="DV619" s="316">
        <f t="shared" si="557"/>
        <v>0</v>
      </c>
      <c r="DW619" s="310">
        <f t="shared" si="542"/>
        <v>0</v>
      </c>
      <c r="FB619" s="307"/>
      <c r="FC619" s="307"/>
      <c r="FF619" s="307"/>
      <c r="FG619" s="307"/>
      <c r="FH619" s="306"/>
      <c r="FJ619" s="307"/>
      <c r="FK619" s="307"/>
      <c r="FL619" s="306"/>
      <c r="FM619" s="307"/>
      <c r="FN619" s="306"/>
      <c r="FO619" s="307"/>
      <c r="FP619" s="306"/>
    </row>
    <row r="620" spans="29:172">
      <c r="AC620" s="156"/>
      <c r="CW620" s="364"/>
      <c r="CX620" s="316"/>
      <c r="CY620" s="316"/>
      <c r="DA620" s="309">
        <v>619</v>
      </c>
      <c r="DB620" s="313">
        <f t="shared" si="536"/>
        <v>425.29757501077927</v>
      </c>
      <c r="DC620" s="309">
        <f t="shared" si="537"/>
        <v>4</v>
      </c>
      <c r="DD620" s="309">
        <f t="shared" si="538"/>
        <v>0</v>
      </c>
      <c r="DE620" s="308">
        <f t="shared" si="539"/>
        <v>0</v>
      </c>
      <c r="DF620" s="313">
        <f t="shared" si="554"/>
        <v>600</v>
      </c>
      <c r="DG620" s="313">
        <f t="shared" si="543"/>
        <v>0</v>
      </c>
      <c r="DH620" s="313">
        <f t="shared" si="544"/>
        <v>0</v>
      </c>
      <c r="DI620" s="313">
        <f t="shared" si="545"/>
        <v>0</v>
      </c>
      <c r="DJ620" s="313">
        <f t="shared" si="546"/>
        <v>0</v>
      </c>
      <c r="DK620" s="313">
        <f t="shared" si="555"/>
        <v>0</v>
      </c>
      <c r="DL620" s="313">
        <f t="shared" si="547"/>
        <v>0</v>
      </c>
      <c r="DM620" s="314">
        <f t="shared" si="548"/>
        <v>0</v>
      </c>
      <c r="DN620" s="312">
        <f t="shared" si="549"/>
        <v>0</v>
      </c>
      <c r="DO620" s="312">
        <f t="shared" si="556"/>
        <v>0</v>
      </c>
      <c r="DP620" s="315" t="e">
        <f t="shared" si="540"/>
        <v>#NUM!</v>
      </c>
      <c r="DQ620" s="316">
        <f t="shared" si="550"/>
        <v>0</v>
      </c>
      <c r="DR620" s="316">
        <f t="shared" si="551"/>
        <v>0</v>
      </c>
      <c r="DS620" s="314">
        <f t="shared" si="552"/>
        <v>0</v>
      </c>
      <c r="DT620" s="316">
        <f t="shared" si="553"/>
        <v>0</v>
      </c>
      <c r="DU620" s="314">
        <f t="shared" si="541"/>
        <v>0</v>
      </c>
      <c r="DV620" s="316">
        <f t="shared" si="557"/>
        <v>0</v>
      </c>
      <c r="DW620" s="310">
        <f t="shared" si="542"/>
        <v>0</v>
      </c>
      <c r="FB620" s="307"/>
      <c r="FC620" s="307"/>
      <c r="FF620" s="307"/>
      <c r="FG620" s="307"/>
      <c r="FH620" s="306"/>
      <c r="FJ620" s="307"/>
      <c r="FK620" s="307"/>
      <c r="FL620" s="306"/>
      <c r="FM620" s="307"/>
      <c r="FN620" s="306"/>
      <c r="FO620" s="307"/>
      <c r="FP620" s="306"/>
    </row>
    <row r="621" spans="29:172">
      <c r="AC621" s="156"/>
      <c r="CW621" s="364"/>
      <c r="CX621" s="316"/>
      <c r="CY621" s="316"/>
      <c r="DA621" s="309">
        <v>620</v>
      </c>
      <c r="DB621" s="313">
        <f t="shared" si="536"/>
        <v>425.66154524504543</v>
      </c>
      <c r="DC621" s="309">
        <f t="shared" si="537"/>
        <v>4</v>
      </c>
      <c r="DD621" s="309">
        <f t="shared" si="538"/>
        <v>0</v>
      </c>
      <c r="DE621" s="308">
        <f t="shared" si="539"/>
        <v>0</v>
      </c>
      <c r="DF621" s="313">
        <f t="shared" si="554"/>
        <v>600</v>
      </c>
      <c r="DG621" s="313">
        <f t="shared" si="543"/>
        <v>0</v>
      </c>
      <c r="DH621" s="313">
        <f t="shared" si="544"/>
        <v>0</v>
      </c>
      <c r="DI621" s="313">
        <f t="shared" si="545"/>
        <v>0</v>
      </c>
      <c r="DJ621" s="313">
        <f t="shared" si="546"/>
        <v>0</v>
      </c>
      <c r="DK621" s="313">
        <f t="shared" si="555"/>
        <v>0</v>
      </c>
      <c r="DL621" s="313">
        <f t="shared" si="547"/>
        <v>0</v>
      </c>
      <c r="DM621" s="314">
        <f t="shared" si="548"/>
        <v>0</v>
      </c>
      <c r="DN621" s="312">
        <f t="shared" si="549"/>
        <v>0</v>
      </c>
      <c r="DO621" s="312">
        <f t="shared" si="556"/>
        <v>0</v>
      </c>
      <c r="DP621" s="315" t="e">
        <f t="shared" si="540"/>
        <v>#NUM!</v>
      </c>
      <c r="DQ621" s="316">
        <f t="shared" si="550"/>
        <v>0</v>
      </c>
      <c r="DR621" s="316">
        <f t="shared" si="551"/>
        <v>0</v>
      </c>
      <c r="DS621" s="314">
        <f t="shared" si="552"/>
        <v>0</v>
      </c>
      <c r="DT621" s="316">
        <f t="shared" si="553"/>
        <v>0</v>
      </c>
      <c r="DU621" s="314">
        <f t="shared" si="541"/>
        <v>0</v>
      </c>
      <c r="DV621" s="316">
        <f t="shared" si="557"/>
        <v>0</v>
      </c>
      <c r="DW621" s="310">
        <f t="shared" si="542"/>
        <v>0</v>
      </c>
      <c r="FB621" s="307"/>
      <c r="FC621" s="307"/>
      <c r="FF621" s="307"/>
      <c r="FG621" s="307"/>
      <c r="FH621" s="306"/>
      <c r="FJ621" s="307"/>
      <c r="FK621" s="307"/>
      <c r="FL621" s="306"/>
      <c r="FM621" s="307"/>
      <c r="FN621" s="306"/>
      <c r="FO621" s="307"/>
      <c r="FP621" s="306"/>
    </row>
    <row r="622" spans="29:172">
      <c r="AC622" s="156"/>
      <c r="CW622" s="364"/>
      <c r="CX622" s="316"/>
      <c r="CY622" s="316"/>
      <c r="DA622" s="309">
        <v>621</v>
      </c>
      <c r="DB622" s="313">
        <f t="shared" si="536"/>
        <v>426.02551547931165</v>
      </c>
      <c r="DC622" s="309">
        <f t="shared" si="537"/>
        <v>4</v>
      </c>
      <c r="DD622" s="309">
        <f t="shared" si="538"/>
        <v>0</v>
      </c>
      <c r="DE622" s="308">
        <f t="shared" si="539"/>
        <v>0</v>
      </c>
      <c r="DF622" s="313">
        <f t="shared" si="554"/>
        <v>600</v>
      </c>
      <c r="DG622" s="313">
        <f t="shared" si="543"/>
        <v>0</v>
      </c>
      <c r="DH622" s="313">
        <f t="shared" si="544"/>
        <v>0</v>
      </c>
      <c r="DI622" s="313">
        <f t="shared" si="545"/>
        <v>0</v>
      </c>
      <c r="DJ622" s="313">
        <f t="shared" si="546"/>
        <v>0</v>
      </c>
      <c r="DK622" s="313">
        <f t="shared" si="555"/>
        <v>0</v>
      </c>
      <c r="DL622" s="313">
        <f t="shared" si="547"/>
        <v>0</v>
      </c>
      <c r="DM622" s="314">
        <f t="shared" si="548"/>
        <v>0</v>
      </c>
      <c r="DN622" s="312">
        <f t="shared" si="549"/>
        <v>0</v>
      </c>
      <c r="DO622" s="312">
        <f t="shared" si="556"/>
        <v>0</v>
      </c>
      <c r="DP622" s="315" t="e">
        <f t="shared" si="540"/>
        <v>#NUM!</v>
      </c>
      <c r="DQ622" s="316">
        <f t="shared" si="550"/>
        <v>0</v>
      </c>
      <c r="DR622" s="316">
        <f t="shared" si="551"/>
        <v>0</v>
      </c>
      <c r="DS622" s="314">
        <f t="shared" si="552"/>
        <v>0</v>
      </c>
      <c r="DT622" s="316">
        <f t="shared" si="553"/>
        <v>0</v>
      </c>
      <c r="DU622" s="314">
        <f t="shared" si="541"/>
        <v>0</v>
      </c>
      <c r="DV622" s="316">
        <f t="shared" si="557"/>
        <v>0</v>
      </c>
      <c r="DW622" s="310">
        <f t="shared" si="542"/>
        <v>0</v>
      </c>
      <c r="FB622" s="307"/>
      <c r="FC622" s="307"/>
      <c r="FF622" s="307"/>
      <c r="FG622" s="307"/>
      <c r="FH622" s="306"/>
      <c r="FJ622" s="307"/>
      <c r="FK622" s="307"/>
      <c r="FL622" s="306"/>
      <c r="FM622" s="307"/>
      <c r="FN622" s="306"/>
      <c r="FO622" s="307"/>
      <c r="FP622" s="306"/>
    </row>
    <row r="623" spans="29:172">
      <c r="AC623" s="156"/>
      <c r="CW623" s="364"/>
      <c r="CX623" s="316"/>
      <c r="CY623" s="316"/>
      <c r="DA623" s="309">
        <v>622</v>
      </c>
      <c r="DB623" s="313">
        <f t="shared" si="536"/>
        <v>426.38948571357787</v>
      </c>
      <c r="DC623" s="309">
        <f t="shared" si="537"/>
        <v>4</v>
      </c>
      <c r="DD623" s="309">
        <f t="shared" si="538"/>
        <v>0</v>
      </c>
      <c r="DE623" s="308">
        <f t="shared" si="539"/>
        <v>0</v>
      </c>
      <c r="DF623" s="313">
        <f t="shared" si="554"/>
        <v>600</v>
      </c>
      <c r="DG623" s="313">
        <f t="shared" si="543"/>
        <v>0</v>
      </c>
      <c r="DH623" s="313">
        <f t="shared" si="544"/>
        <v>0</v>
      </c>
      <c r="DI623" s="313">
        <f t="shared" si="545"/>
        <v>0</v>
      </c>
      <c r="DJ623" s="313">
        <f t="shared" si="546"/>
        <v>0</v>
      </c>
      <c r="DK623" s="313">
        <f t="shared" si="555"/>
        <v>0</v>
      </c>
      <c r="DL623" s="313">
        <f t="shared" si="547"/>
        <v>0</v>
      </c>
      <c r="DM623" s="314">
        <f t="shared" si="548"/>
        <v>0</v>
      </c>
      <c r="DN623" s="312">
        <f t="shared" si="549"/>
        <v>0</v>
      </c>
      <c r="DO623" s="312">
        <f t="shared" si="556"/>
        <v>0</v>
      </c>
      <c r="DP623" s="315" t="e">
        <f t="shared" si="540"/>
        <v>#NUM!</v>
      </c>
      <c r="DQ623" s="316">
        <f t="shared" si="550"/>
        <v>0</v>
      </c>
      <c r="DR623" s="316">
        <f t="shared" si="551"/>
        <v>0</v>
      </c>
      <c r="DS623" s="314">
        <f t="shared" si="552"/>
        <v>0</v>
      </c>
      <c r="DT623" s="316">
        <f t="shared" si="553"/>
        <v>0</v>
      </c>
      <c r="DU623" s="314">
        <f t="shared" si="541"/>
        <v>0</v>
      </c>
      <c r="DV623" s="316">
        <f t="shared" si="557"/>
        <v>0</v>
      </c>
      <c r="DW623" s="310">
        <f t="shared" si="542"/>
        <v>0</v>
      </c>
      <c r="FB623" s="307"/>
      <c r="FC623" s="307"/>
      <c r="FF623" s="307"/>
      <c r="FG623" s="307"/>
      <c r="FH623" s="306"/>
      <c r="FJ623" s="307"/>
      <c r="FK623" s="307"/>
      <c r="FL623" s="306"/>
      <c r="FM623" s="307"/>
      <c r="FN623" s="306"/>
      <c r="FO623" s="307"/>
      <c r="FP623" s="306"/>
    </row>
    <row r="624" spans="29:172">
      <c r="AC624" s="156"/>
      <c r="CW624" s="364"/>
      <c r="CX624" s="316"/>
      <c r="CY624" s="316"/>
      <c r="DA624" s="309">
        <v>623</v>
      </c>
      <c r="DB624" s="313">
        <f t="shared" si="536"/>
        <v>426.75345594784403</v>
      </c>
      <c r="DC624" s="309">
        <f t="shared" si="537"/>
        <v>4</v>
      </c>
      <c r="DD624" s="309">
        <f t="shared" si="538"/>
        <v>0</v>
      </c>
      <c r="DE624" s="308">
        <f t="shared" si="539"/>
        <v>0</v>
      </c>
      <c r="DF624" s="313">
        <f t="shared" si="554"/>
        <v>600</v>
      </c>
      <c r="DG624" s="313">
        <f t="shared" si="543"/>
        <v>0</v>
      </c>
      <c r="DH624" s="313">
        <f t="shared" si="544"/>
        <v>0</v>
      </c>
      <c r="DI624" s="313">
        <f t="shared" si="545"/>
        <v>0</v>
      </c>
      <c r="DJ624" s="313">
        <f t="shared" si="546"/>
        <v>0</v>
      </c>
      <c r="DK624" s="313">
        <f t="shared" si="555"/>
        <v>0</v>
      </c>
      <c r="DL624" s="313">
        <f t="shared" si="547"/>
        <v>0</v>
      </c>
      <c r="DM624" s="314">
        <f t="shared" si="548"/>
        <v>0</v>
      </c>
      <c r="DN624" s="312">
        <f t="shared" si="549"/>
        <v>0</v>
      </c>
      <c r="DO624" s="312">
        <f t="shared" si="556"/>
        <v>0</v>
      </c>
      <c r="DP624" s="315" t="e">
        <f t="shared" si="540"/>
        <v>#NUM!</v>
      </c>
      <c r="DQ624" s="316">
        <f t="shared" si="550"/>
        <v>0</v>
      </c>
      <c r="DR624" s="316">
        <f t="shared" si="551"/>
        <v>0</v>
      </c>
      <c r="DS624" s="314">
        <f t="shared" si="552"/>
        <v>0</v>
      </c>
      <c r="DT624" s="316">
        <f t="shared" si="553"/>
        <v>0</v>
      </c>
      <c r="DU624" s="314">
        <f t="shared" si="541"/>
        <v>0</v>
      </c>
      <c r="DV624" s="316">
        <f t="shared" si="557"/>
        <v>0</v>
      </c>
      <c r="DW624" s="310">
        <f t="shared" si="542"/>
        <v>0</v>
      </c>
      <c r="FB624" s="307"/>
      <c r="FC624" s="307"/>
      <c r="FF624" s="307"/>
      <c r="FG624" s="307"/>
      <c r="FH624" s="306"/>
      <c r="FJ624" s="307"/>
      <c r="FK624" s="307"/>
      <c r="FL624" s="306"/>
      <c r="FM624" s="307"/>
      <c r="FN624" s="306"/>
      <c r="FO624" s="307"/>
      <c r="FP624" s="306"/>
    </row>
    <row r="625" spans="29:172">
      <c r="AC625" s="156"/>
      <c r="CW625" s="364"/>
      <c r="CX625" s="316"/>
      <c r="CY625" s="316"/>
      <c r="DA625" s="309">
        <v>624</v>
      </c>
      <c r="DB625" s="313">
        <f t="shared" si="536"/>
        <v>427.11742618211025</v>
      </c>
      <c r="DC625" s="309">
        <f t="shared" si="537"/>
        <v>4</v>
      </c>
      <c r="DD625" s="309">
        <f t="shared" si="538"/>
        <v>0</v>
      </c>
      <c r="DE625" s="308">
        <f t="shared" si="539"/>
        <v>0</v>
      </c>
      <c r="DF625" s="313">
        <f t="shared" si="554"/>
        <v>600</v>
      </c>
      <c r="DG625" s="313">
        <f t="shared" si="543"/>
        <v>0</v>
      </c>
      <c r="DH625" s="313">
        <f t="shared" si="544"/>
        <v>0</v>
      </c>
      <c r="DI625" s="313">
        <f t="shared" si="545"/>
        <v>0</v>
      </c>
      <c r="DJ625" s="313">
        <f t="shared" si="546"/>
        <v>0</v>
      </c>
      <c r="DK625" s="313">
        <f t="shared" si="555"/>
        <v>0</v>
      </c>
      <c r="DL625" s="313">
        <f t="shared" si="547"/>
        <v>0</v>
      </c>
      <c r="DM625" s="314">
        <f t="shared" si="548"/>
        <v>0</v>
      </c>
      <c r="DN625" s="312">
        <f t="shared" si="549"/>
        <v>0</v>
      </c>
      <c r="DO625" s="312">
        <f t="shared" si="556"/>
        <v>0</v>
      </c>
      <c r="DP625" s="315" t="e">
        <f t="shared" si="540"/>
        <v>#NUM!</v>
      </c>
      <c r="DQ625" s="316">
        <f t="shared" si="550"/>
        <v>0</v>
      </c>
      <c r="DR625" s="316">
        <f t="shared" si="551"/>
        <v>0</v>
      </c>
      <c r="DS625" s="314">
        <f t="shared" si="552"/>
        <v>0</v>
      </c>
      <c r="DT625" s="316">
        <f t="shared" si="553"/>
        <v>0</v>
      </c>
      <c r="DU625" s="314">
        <f t="shared" si="541"/>
        <v>0</v>
      </c>
      <c r="DV625" s="316">
        <f t="shared" si="557"/>
        <v>0</v>
      </c>
      <c r="DW625" s="310">
        <f t="shared" si="542"/>
        <v>0</v>
      </c>
      <c r="FB625" s="307"/>
      <c r="FC625" s="307"/>
      <c r="FF625" s="307"/>
      <c r="FG625" s="307"/>
      <c r="FH625" s="306"/>
      <c r="FJ625" s="307"/>
      <c r="FK625" s="307"/>
      <c r="FL625" s="306"/>
      <c r="FM625" s="307"/>
      <c r="FN625" s="306"/>
      <c r="FO625" s="307"/>
      <c r="FP625" s="306"/>
    </row>
    <row r="626" spans="29:172">
      <c r="AC626" s="156"/>
      <c r="CW626" s="364"/>
      <c r="CX626" s="316"/>
      <c r="CY626" s="316"/>
      <c r="DA626" s="309">
        <v>625</v>
      </c>
      <c r="DB626" s="313">
        <f t="shared" si="536"/>
        <v>427.48139641637647</v>
      </c>
      <c r="DC626" s="309">
        <f t="shared" si="537"/>
        <v>4</v>
      </c>
      <c r="DD626" s="309">
        <f t="shared" si="538"/>
        <v>0</v>
      </c>
      <c r="DE626" s="308">
        <f t="shared" si="539"/>
        <v>0</v>
      </c>
      <c r="DF626" s="313">
        <f t="shared" si="554"/>
        <v>600</v>
      </c>
      <c r="DG626" s="313">
        <f t="shared" si="543"/>
        <v>0</v>
      </c>
      <c r="DH626" s="313">
        <f t="shared" si="544"/>
        <v>0</v>
      </c>
      <c r="DI626" s="313">
        <f t="shared" si="545"/>
        <v>0</v>
      </c>
      <c r="DJ626" s="313">
        <f t="shared" si="546"/>
        <v>0</v>
      </c>
      <c r="DK626" s="313">
        <f t="shared" si="555"/>
        <v>0</v>
      </c>
      <c r="DL626" s="313">
        <f t="shared" si="547"/>
        <v>0</v>
      </c>
      <c r="DM626" s="314">
        <f t="shared" si="548"/>
        <v>0</v>
      </c>
      <c r="DN626" s="312">
        <f t="shared" si="549"/>
        <v>0</v>
      </c>
      <c r="DO626" s="312">
        <f t="shared" si="556"/>
        <v>0</v>
      </c>
      <c r="DP626" s="315" t="e">
        <f t="shared" si="540"/>
        <v>#NUM!</v>
      </c>
      <c r="DQ626" s="316">
        <f t="shared" si="550"/>
        <v>0</v>
      </c>
      <c r="DR626" s="316">
        <f t="shared" si="551"/>
        <v>0</v>
      </c>
      <c r="DS626" s="314">
        <f t="shared" si="552"/>
        <v>0</v>
      </c>
      <c r="DT626" s="316">
        <f t="shared" si="553"/>
        <v>0</v>
      </c>
      <c r="DU626" s="314">
        <f t="shared" si="541"/>
        <v>0</v>
      </c>
      <c r="DV626" s="316">
        <f t="shared" si="557"/>
        <v>0</v>
      </c>
      <c r="DW626" s="310">
        <f t="shared" si="542"/>
        <v>0</v>
      </c>
      <c r="FB626" s="307"/>
      <c r="FC626" s="307"/>
      <c r="FF626" s="307"/>
      <c r="FG626" s="307"/>
      <c r="FH626" s="306"/>
      <c r="FJ626" s="307"/>
      <c r="FK626" s="307"/>
      <c r="FL626" s="306"/>
      <c r="FM626" s="307"/>
      <c r="FN626" s="306"/>
      <c r="FO626" s="307"/>
      <c r="FP626" s="306"/>
    </row>
    <row r="627" spans="29:172">
      <c r="AC627" s="156"/>
      <c r="CW627" s="364"/>
      <c r="CX627" s="316"/>
      <c r="CY627" s="316"/>
      <c r="DA627" s="309">
        <v>626</v>
      </c>
      <c r="DB627" s="313">
        <f t="shared" si="536"/>
        <v>427.84536665064263</v>
      </c>
      <c r="DC627" s="309">
        <f t="shared" si="537"/>
        <v>4</v>
      </c>
      <c r="DD627" s="309">
        <f t="shared" si="538"/>
        <v>0</v>
      </c>
      <c r="DE627" s="308">
        <f t="shared" si="539"/>
        <v>0</v>
      </c>
      <c r="DF627" s="313">
        <f t="shared" si="554"/>
        <v>600</v>
      </c>
      <c r="DG627" s="313">
        <f t="shared" si="543"/>
        <v>0</v>
      </c>
      <c r="DH627" s="313">
        <f t="shared" si="544"/>
        <v>0</v>
      </c>
      <c r="DI627" s="313">
        <f t="shared" si="545"/>
        <v>0</v>
      </c>
      <c r="DJ627" s="313">
        <f t="shared" si="546"/>
        <v>0</v>
      </c>
      <c r="DK627" s="313">
        <f t="shared" si="555"/>
        <v>0</v>
      </c>
      <c r="DL627" s="313">
        <f t="shared" si="547"/>
        <v>0</v>
      </c>
      <c r="DM627" s="314">
        <f t="shared" si="548"/>
        <v>0</v>
      </c>
      <c r="DN627" s="312">
        <f t="shared" si="549"/>
        <v>0</v>
      </c>
      <c r="DO627" s="312">
        <f t="shared" si="556"/>
        <v>0</v>
      </c>
      <c r="DP627" s="315" t="e">
        <f t="shared" si="540"/>
        <v>#NUM!</v>
      </c>
      <c r="DQ627" s="316">
        <f t="shared" si="550"/>
        <v>0</v>
      </c>
      <c r="DR627" s="316">
        <f t="shared" si="551"/>
        <v>0</v>
      </c>
      <c r="DS627" s="314">
        <f t="shared" si="552"/>
        <v>0</v>
      </c>
      <c r="DT627" s="316">
        <f t="shared" si="553"/>
        <v>0</v>
      </c>
      <c r="DU627" s="314">
        <f t="shared" si="541"/>
        <v>0</v>
      </c>
      <c r="DV627" s="316">
        <f t="shared" si="557"/>
        <v>0</v>
      </c>
      <c r="DW627" s="310">
        <f t="shared" si="542"/>
        <v>0</v>
      </c>
      <c r="FB627" s="307"/>
      <c r="FC627" s="307"/>
      <c r="FF627" s="307"/>
      <c r="FG627" s="307"/>
      <c r="FH627" s="306"/>
      <c r="FJ627" s="307"/>
      <c r="FK627" s="307"/>
      <c r="FL627" s="306"/>
      <c r="FM627" s="307"/>
      <c r="FN627" s="306"/>
      <c r="FO627" s="307"/>
      <c r="FP627" s="306"/>
    </row>
    <row r="628" spans="29:172">
      <c r="AC628" s="156"/>
      <c r="CW628" s="364"/>
      <c r="CX628" s="316"/>
      <c r="CY628" s="316"/>
      <c r="DA628" s="309">
        <v>627</v>
      </c>
      <c r="DB628" s="313">
        <f t="shared" si="536"/>
        <v>428.20933688490891</v>
      </c>
      <c r="DC628" s="309">
        <f t="shared" si="537"/>
        <v>4</v>
      </c>
      <c r="DD628" s="309">
        <f t="shared" si="538"/>
        <v>0</v>
      </c>
      <c r="DE628" s="308">
        <f t="shared" si="539"/>
        <v>0</v>
      </c>
      <c r="DF628" s="313">
        <f t="shared" si="554"/>
        <v>600</v>
      </c>
      <c r="DG628" s="313">
        <f t="shared" si="543"/>
        <v>0</v>
      </c>
      <c r="DH628" s="313">
        <f t="shared" si="544"/>
        <v>0</v>
      </c>
      <c r="DI628" s="313">
        <f t="shared" si="545"/>
        <v>0</v>
      </c>
      <c r="DJ628" s="313">
        <f t="shared" si="546"/>
        <v>0</v>
      </c>
      <c r="DK628" s="313">
        <f t="shared" si="555"/>
        <v>0</v>
      </c>
      <c r="DL628" s="313">
        <f t="shared" si="547"/>
        <v>0</v>
      </c>
      <c r="DM628" s="314">
        <f t="shared" si="548"/>
        <v>0</v>
      </c>
      <c r="DN628" s="312">
        <f t="shared" si="549"/>
        <v>0</v>
      </c>
      <c r="DO628" s="312">
        <f t="shared" si="556"/>
        <v>0</v>
      </c>
      <c r="DP628" s="315" t="e">
        <f t="shared" si="540"/>
        <v>#NUM!</v>
      </c>
      <c r="DQ628" s="316">
        <f t="shared" si="550"/>
        <v>0</v>
      </c>
      <c r="DR628" s="316">
        <f t="shared" si="551"/>
        <v>0</v>
      </c>
      <c r="DS628" s="314">
        <f t="shared" si="552"/>
        <v>0</v>
      </c>
      <c r="DT628" s="316">
        <f t="shared" si="553"/>
        <v>0</v>
      </c>
      <c r="DU628" s="314">
        <f t="shared" si="541"/>
        <v>0</v>
      </c>
      <c r="DV628" s="316">
        <f t="shared" si="557"/>
        <v>0</v>
      </c>
      <c r="DW628" s="310">
        <f t="shared" si="542"/>
        <v>0</v>
      </c>
      <c r="FB628" s="307"/>
      <c r="FC628" s="307"/>
      <c r="FF628" s="307"/>
      <c r="FG628" s="307"/>
      <c r="FH628" s="306"/>
      <c r="FJ628" s="307"/>
      <c r="FK628" s="307"/>
      <c r="FL628" s="306"/>
      <c r="FM628" s="307"/>
      <c r="FN628" s="306"/>
      <c r="FO628" s="307"/>
      <c r="FP628" s="306"/>
    </row>
    <row r="629" spans="29:172">
      <c r="AC629" s="156"/>
      <c r="CW629" s="364"/>
      <c r="CX629" s="316"/>
      <c r="CY629" s="316"/>
      <c r="DA629" s="309">
        <v>628</v>
      </c>
      <c r="DB629" s="313">
        <f t="shared" si="536"/>
        <v>428.57330711917507</v>
      </c>
      <c r="DC629" s="309">
        <f t="shared" si="537"/>
        <v>4</v>
      </c>
      <c r="DD629" s="309">
        <f t="shared" si="538"/>
        <v>0</v>
      </c>
      <c r="DE629" s="308">
        <f t="shared" si="539"/>
        <v>0</v>
      </c>
      <c r="DF629" s="313">
        <f t="shared" si="554"/>
        <v>600</v>
      </c>
      <c r="DG629" s="313">
        <f t="shared" si="543"/>
        <v>0</v>
      </c>
      <c r="DH629" s="313">
        <f t="shared" si="544"/>
        <v>0</v>
      </c>
      <c r="DI629" s="313">
        <f t="shared" si="545"/>
        <v>0</v>
      </c>
      <c r="DJ629" s="313">
        <f t="shared" si="546"/>
        <v>0</v>
      </c>
      <c r="DK629" s="313">
        <f t="shared" si="555"/>
        <v>0</v>
      </c>
      <c r="DL629" s="313">
        <f t="shared" si="547"/>
        <v>0</v>
      </c>
      <c r="DM629" s="314">
        <f t="shared" si="548"/>
        <v>0</v>
      </c>
      <c r="DN629" s="312">
        <f t="shared" si="549"/>
        <v>0</v>
      </c>
      <c r="DO629" s="312">
        <f t="shared" si="556"/>
        <v>0</v>
      </c>
      <c r="DP629" s="315" t="e">
        <f t="shared" si="540"/>
        <v>#NUM!</v>
      </c>
      <c r="DQ629" s="316">
        <f t="shared" si="550"/>
        <v>0</v>
      </c>
      <c r="DR629" s="316">
        <f t="shared" si="551"/>
        <v>0</v>
      </c>
      <c r="DS629" s="314">
        <f t="shared" si="552"/>
        <v>0</v>
      </c>
      <c r="DT629" s="316">
        <f t="shared" si="553"/>
        <v>0</v>
      </c>
      <c r="DU629" s="314">
        <f t="shared" si="541"/>
        <v>0</v>
      </c>
      <c r="DV629" s="316">
        <f t="shared" si="557"/>
        <v>0</v>
      </c>
      <c r="DW629" s="310">
        <f t="shared" si="542"/>
        <v>0</v>
      </c>
      <c r="FB629" s="307"/>
      <c r="FC629" s="307"/>
      <c r="FF629" s="307"/>
      <c r="FG629" s="307"/>
      <c r="FH629" s="306"/>
      <c r="FJ629" s="307"/>
      <c r="FK629" s="307"/>
      <c r="FL629" s="306"/>
      <c r="FM629" s="307"/>
      <c r="FN629" s="306"/>
      <c r="FO629" s="307"/>
      <c r="FP629" s="306"/>
    </row>
    <row r="630" spans="29:172">
      <c r="AC630" s="156"/>
      <c r="CW630" s="364"/>
      <c r="CX630" s="316"/>
      <c r="CY630" s="316"/>
      <c r="DA630" s="309">
        <v>629</v>
      </c>
      <c r="DB630" s="313">
        <f t="shared" si="536"/>
        <v>428.93727735344123</v>
      </c>
      <c r="DC630" s="309">
        <f t="shared" si="537"/>
        <v>4</v>
      </c>
      <c r="DD630" s="309">
        <f t="shared" si="538"/>
        <v>0</v>
      </c>
      <c r="DE630" s="308">
        <f t="shared" si="539"/>
        <v>0</v>
      </c>
      <c r="DF630" s="313">
        <f t="shared" si="554"/>
        <v>600</v>
      </c>
      <c r="DG630" s="313">
        <f t="shared" si="543"/>
        <v>0</v>
      </c>
      <c r="DH630" s="313">
        <f t="shared" si="544"/>
        <v>0</v>
      </c>
      <c r="DI630" s="313">
        <f t="shared" si="545"/>
        <v>0</v>
      </c>
      <c r="DJ630" s="313">
        <f t="shared" si="546"/>
        <v>0</v>
      </c>
      <c r="DK630" s="313">
        <f t="shared" si="555"/>
        <v>0</v>
      </c>
      <c r="DL630" s="313">
        <f t="shared" si="547"/>
        <v>0</v>
      </c>
      <c r="DM630" s="314">
        <f t="shared" si="548"/>
        <v>0</v>
      </c>
      <c r="DN630" s="312">
        <f t="shared" si="549"/>
        <v>0</v>
      </c>
      <c r="DO630" s="312">
        <f t="shared" si="556"/>
        <v>0</v>
      </c>
      <c r="DP630" s="315" t="e">
        <f t="shared" si="540"/>
        <v>#NUM!</v>
      </c>
      <c r="DQ630" s="316">
        <f t="shared" si="550"/>
        <v>0</v>
      </c>
      <c r="DR630" s="316">
        <f t="shared" si="551"/>
        <v>0</v>
      </c>
      <c r="DS630" s="314">
        <f t="shared" si="552"/>
        <v>0</v>
      </c>
      <c r="DT630" s="316">
        <f t="shared" si="553"/>
        <v>0</v>
      </c>
      <c r="DU630" s="314">
        <f t="shared" si="541"/>
        <v>0</v>
      </c>
      <c r="DV630" s="316">
        <f t="shared" si="557"/>
        <v>0</v>
      </c>
      <c r="DW630" s="310">
        <f t="shared" si="542"/>
        <v>0</v>
      </c>
      <c r="FB630" s="307"/>
      <c r="FC630" s="307"/>
      <c r="FF630" s="307"/>
      <c r="FG630" s="307"/>
      <c r="FH630" s="306"/>
      <c r="FJ630" s="307"/>
      <c r="FK630" s="307"/>
      <c r="FL630" s="306"/>
      <c r="FM630" s="307"/>
      <c r="FN630" s="306"/>
      <c r="FO630" s="307"/>
      <c r="FP630" s="306"/>
    </row>
    <row r="631" spans="29:172">
      <c r="AC631" s="156"/>
      <c r="CW631" s="364"/>
      <c r="CX631" s="316"/>
      <c r="CY631" s="316"/>
      <c r="DA631" s="309">
        <v>630</v>
      </c>
      <c r="DB631" s="313">
        <f t="shared" si="536"/>
        <v>429.30124758770751</v>
      </c>
      <c r="DC631" s="309">
        <f t="shared" si="537"/>
        <v>4</v>
      </c>
      <c r="DD631" s="309">
        <f t="shared" si="538"/>
        <v>0</v>
      </c>
      <c r="DE631" s="308">
        <f t="shared" si="539"/>
        <v>0</v>
      </c>
      <c r="DF631" s="313">
        <f t="shared" si="554"/>
        <v>600</v>
      </c>
      <c r="DG631" s="313">
        <f t="shared" si="543"/>
        <v>0</v>
      </c>
      <c r="DH631" s="313">
        <f t="shared" si="544"/>
        <v>0</v>
      </c>
      <c r="DI631" s="313">
        <f t="shared" si="545"/>
        <v>0</v>
      </c>
      <c r="DJ631" s="313">
        <f t="shared" si="546"/>
        <v>0</v>
      </c>
      <c r="DK631" s="313">
        <f t="shared" si="555"/>
        <v>0</v>
      </c>
      <c r="DL631" s="313">
        <f t="shared" si="547"/>
        <v>0</v>
      </c>
      <c r="DM631" s="314">
        <f t="shared" si="548"/>
        <v>0</v>
      </c>
      <c r="DN631" s="312">
        <f t="shared" si="549"/>
        <v>0</v>
      </c>
      <c r="DO631" s="312">
        <f t="shared" si="556"/>
        <v>0</v>
      </c>
      <c r="DP631" s="315" t="e">
        <f t="shared" si="540"/>
        <v>#NUM!</v>
      </c>
      <c r="DQ631" s="316">
        <f t="shared" si="550"/>
        <v>0</v>
      </c>
      <c r="DR631" s="316">
        <f t="shared" si="551"/>
        <v>0</v>
      </c>
      <c r="DS631" s="314">
        <f t="shared" si="552"/>
        <v>0</v>
      </c>
      <c r="DT631" s="316">
        <f t="shared" si="553"/>
        <v>0</v>
      </c>
      <c r="DU631" s="314">
        <f t="shared" si="541"/>
        <v>0</v>
      </c>
      <c r="DV631" s="316">
        <f t="shared" si="557"/>
        <v>0</v>
      </c>
      <c r="DW631" s="310">
        <f t="shared" si="542"/>
        <v>0</v>
      </c>
      <c r="FB631" s="307"/>
      <c r="FC631" s="307"/>
      <c r="FF631" s="307"/>
      <c r="FG631" s="307"/>
      <c r="FH631" s="306"/>
      <c r="FJ631" s="307"/>
      <c r="FK631" s="307"/>
      <c r="FL631" s="306"/>
      <c r="FM631" s="307"/>
      <c r="FN631" s="306"/>
      <c r="FO631" s="307"/>
      <c r="FP631" s="306"/>
    </row>
    <row r="632" spans="29:172">
      <c r="AC632" s="156"/>
      <c r="CW632" s="364"/>
      <c r="CX632" s="316"/>
      <c r="CY632" s="316"/>
      <c r="DA632" s="309">
        <v>631</v>
      </c>
      <c r="DB632" s="313">
        <f t="shared" si="536"/>
        <v>429.66521782197367</v>
      </c>
      <c r="DC632" s="309">
        <f t="shared" si="537"/>
        <v>4</v>
      </c>
      <c r="DD632" s="309">
        <f t="shared" si="538"/>
        <v>0</v>
      </c>
      <c r="DE632" s="308">
        <f t="shared" si="539"/>
        <v>0</v>
      </c>
      <c r="DF632" s="313">
        <f t="shared" si="554"/>
        <v>600</v>
      </c>
      <c r="DG632" s="313">
        <f t="shared" si="543"/>
        <v>0</v>
      </c>
      <c r="DH632" s="313">
        <f t="shared" si="544"/>
        <v>0</v>
      </c>
      <c r="DI632" s="313">
        <f t="shared" si="545"/>
        <v>0</v>
      </c>
      <c r="DJ632" s="313">
        <f t="shared" si="546"/>
        <v>0</v>
      </c>
      <c r="DK632" s="313">
        <f t="shared" si="555"/>
        <v>0</v>
      </c>
      <c r="DL632" s="313">
        <f t="shared" si="547"/>
        <v>0</v>
      </c>
      <c r="DM632" s="314">
        <f t="shared" si="548"/>
        <v>0</v>
      </c>
      <c r="DN632" s="312">
        <f t="shared" si="549"/>
        <v>0</v>
      </c>
      <c r="DO632" s="312">
        <f t="shared" si="556"/>
        <v>0</v>
      </c>
      <c r="DP632" s="315" t="e">
        <f t="shared" si="540"/>
        <v>#NUM!</v>
      </c>
      <c r="DQ632" s="316">
        <f t="shared" si="550"/>
        <v>0</v>
      </c>
      <c r="DR632" s="316">
        <f t="shared" si="551"/>
        <v>0</v>
      </c>
      <c r="DS632" s="314">
        <f t="shared" si="552"/>
        <v>0</v>
      </c>
      <c r="DT632" s="316">
        <f t="shared" si="553"/>
        <v>0</v>
      </c>
      <c r="DU632" s="314">
        <f t="shared" si="541"/>
        <v>0</v>
      </c>
      <c r="DV632" s="316">
        <f t="shared" si="557"/>
        <v>0</v>
      </c>
      <c r="DW632" s="310">
        <f t="shared" si="542"/>
        <v>0</v>
      </c>
      <c r="FB632" s="307"/>
      <c r="FC632" s="307"/>
      <c r="FF632" s="307"/>
      <c r="FG632" s="307"/>
      <c r="FH632" s="306"/>
      <c r="FJ632" s="307"/>
      <c r="FK632" s="307"/>
      <c r="FL632" s="306"/>
      <c r="FM632" s="307"/>
      <c r="FN632" s="306"/>
      <c r="FO632" s="307"/>
      <c r="FP632" s="306"/>
    </row>
    <row r="633" spans="29:172">
      <c r="AC633" s="156"/>
      <c r="CW633" s="364"/>
      <c r="CX633" s="316"/>
      <c r="CY633" s="316"/>
      <c r="DA633" s="309">
        <v>632</v>
      </c>
      <c r="DB633" s="313">
        <f t="shared" si="536"/>
        <v>430.02918805623989</v>
      </c>
      <c r="DC633" s="309">
        <f t="shared" si="537"/>
        <v>4</v>
      </c>
      <c r="DD633" s="309">
        <f t="shared" si="538"/>
        <v>0</v>
      </c>
      <c r="DE633" s="308">
        <f t="shared" si="539"/>
        <v>0</v>
      </c>
      <c r="DF633" s="313">
        <f t="shared" si="554"/>
        <v>600</v>
      </c>
      <c r="DG633" s="313">
        <f t="shared" si="543"/>
        <v>0</v>
      </c>
      <c r="DH633" s="313">
        <f t="shared" si="544"/>
        <v>0</v>
      </c>
      <c r="DI633" s="313">
        <f t="shared" si="545"/>
        <v>0</v>
      </c>
      <c r="DJ633" s="313">
        <f t="shared" si="546"/>
        <v>0</v>
      </c>
      <c r="DK633" s="313">
        <f t="shared" si="555"/>
        <v>0</v>
      </c>
      <c r="DL633" s="313">
        <f t="shared" si="547"/>
        <v>0</v>
      </c>
      <c r="DM633" s="314">
        <f t="shared" si="548"/>
        <v>0</v>
      </c>
      <c r="DN633" s="312">
        <f t="shared" si="549"/>
        <v>0</v>
      </c>
      <c r="DO633" s="312">
        <f t="shared" si="556"/>
        <v>0</v>
      </c>
      <c r="DP633" s="315" t="e">
        <f t="shared" si="540"/>
        <v>#NUM!</v>
      </c>
      <c r="DQ633" s="316">
        <f t="shared" si="550"/>
        <v>0</v>
      </c>
      <c r="DR633" s="316">
        <f t="shared" si="551"/>
        <v>0</v>
      </c>
      <c r="DS633" s="314">
        <f t="shared" si="552"/>
        <v>0</v>
      </c>
      <c r="DT633" s="316">
        <f t="shared" si="553"/>
        <v>0</v>
      </c>
      <c r="DU633" s="314">
        <f t="shared" si="541"/>
        <v>0</v>
      </c>
      <c r="DV633" s="316">
        <f t="shared" si="557"/>
        <v>0</v>
      </c>
      <c r="DW633" s="310">
        <f t="shared" si="542"/>
        <v>0</v>
      </c>
      <c r="FB633" s="307"/>
      <c r="FC633" s="307"/>
      <c r="FF633" s="307"/>
      <c r="FG633" s="307"/>
      <c r="FH633" s="306"/>
      <c r="FJ633" s="307"/>
      <c r="FK633" s="307"/>
      <c r="FL633" s="306"/>
      <c r="FM633" s="307"/>
      <c r="FN633" s="306"/>
      <c r="FO633" s="307"/>
      <c r="FP633" s="306"/>
    </row>
    <row r="634" spans="29:172">
      <c r="AC634" s="156"/>
      <c r="CW634" s="364"/>
      <c r="CX634" s="316"/>
      <c r="CY634" s="316"/>
      <c r="DA634" s="309">
        <v>633</v>
      </c>
      <c r="DB634" s="313">
        <f t="shared" si="536"/>
        <v>430.39315829050611</v>
      </c>
      <c r="DC634" s="309">
        <f t="shared" si="537"/>
        <v>4</v>
      </c>
      <c r="DD634" s="309">
        <f t="shared" si="538"/>
        <v>0</v>
      </c>
      <c r="DE634" s="308">
        <f t="shared" si="539"/>
        <v>0</v>
      </c>
      <c r="DF634" s="313">
        <f t="shared" si="554"/>
        <v>600</v>
      </c>
      <c r="DG634" s="313">
        <f t="shared" si="543"/>
        <v>0</v>
      </c>
      <c r="DH634" s="313">
        <f t="shared" si="544"/>
        <v>0</v>
      </c>
      <c r="DI634" s="313">
        <f t="shared" si="545"/>
        <v>0</v>
      </c>
      <c r="DJ634" s="313">
        <f t="shared" si="546"/>
        <v>0</v>
      </c>
      <c r="DK634" s="313">
        <f t="shared" si="555"/>
        <v>0</v>
      </c>
      <c r="DL634" s="313">
        <f t="shared" si="547"/>
        <v>0</v>
      </c>
      <c r="DM634" s="314">
        <f t="shared" si="548"/>
        <v>0</v>
      </c>
      <c r="DN634" s="312">
        <f t="shared" si="549"/>
        <v>0</v>
      </c>
      <c r="DO634" s="312">
        <f t="shared" si="556"/>
        <v>0</v>
      </c>
      <c r="DP634" s="315" t="e">
        <f t="shared" si="540"/>
        <v>#NUM!</v>
      </c>
      <c r="DQ634" s="316">
        <f t="shared" si="550"/>
        <v>0</v>
      </c>
      <c r="DR634" s="316">
        <f t="shared" si="551"/>
        <v>0</v>
      </c>
      <c r="DS634" s="314">
        <f t="shared" si="552"/>
        <v>0</v>
      </c>
      <c r="DT634" s="316">
        <f t="shared" si="553"/>
        <v>0</v>
      </c>
      <c r="DU634" s="314">
        <f t="shared" si="541"/>
        <v>0</v>
      </c>
      <c r="DV634" s="316">
        <f t="shared" si="557"/>
        <v>0</v>
      </c>
      <c r="DW634" s="310">
        <f t="shared" si="542"/>
        <v>0</v>
      </c>
      <c r="FB634" s="307"/>
      <c r="FC634" s="307"/>
      <c r="FF634" s="307"/>
      <c r="FG634" s="307"/>
      <c r="FH634" s="306"/>
      <c r="FJ634" s="307"/>
      <c r="FK634" s="307"/>
      <c r="FL634" s="306"/>
      <c r="FM634" s="307"/>
      <c r="FN634" s="306"/>
      <c r="FO634" s="307"/>
      <c r="FP634" s="306"/>
    </row>
    <row r="635" spans="29:172">
      <c r="AC635" s="156"/>
      <c r="CW635" s="364"/>
      <c r="CX635" s="316"/>
      <c r="CY635" s="316"/>
      <c r="DA635" s="309">
        <v>634</v>
      </c>
      <c r="DB635" s="313">
        <f t="shared" si="536"/>
        <v>430.75712852477227</v>
      </c>
      <c r="DC635" s="309">
        <f t="shared" si="537"/>
        <v>4</v>
      </c>
      <c r="DD635" s="309">
        <f t="shared" si="538"/>
        <v>0</v>
      </c>
      <c r="DE635" s="308">
        <f t="shared" si="539"/>
        <v>0</v>
      </c>
      <c r="DF635" s="313">
        <f t="shared" si="554"/>
        <v>600</v>
      </c>
      <c r="DG635" s="313">
        <f t="shared" si="543"/>
        <v>0</v>
      </c>
      <c r="DH635" s="313">
        <f t="shared" si="544"/>
        <v>0</v>
      </c>
      <c r="DI635" s="313">
        <f t="shared" si="545"/>
        <v>0</v>
      </c>
      <c r="DJ635" s="313">
        <f t="shared" si="546"/>
        <v>0</v>
      </c>
      <c r="DK635" s="313">
        <f t="shared" si="555"/>
        <v>0</v>
      </c>
      <c r="DL635" s="313">
        <f t="shared" si="547"/>
        <v>0</v>
      </c>
      <c r="DM635" s="314">
        <f t="shared" si="548"/>
        <v>0</v>
      </c>
      <c r="DN635" s="312">
        <f t="shared" si="549"/>
        <v>0</v>
      </c>
      <c r="DO635" s="312">
        <f t="shared" si="556"/>
        <v>0</v>
      </c>
      <c r="DP635" s="315" t="e">
        <f t="shared" si="540"/>
        <v>#NUM!</v>
      </c>
      <c r="DQ635" s="316">
        <f t="shared" si="550"/>
        <v>0</v>
      </c>
      <c r="DR635" s="316">
        <f t="shared" si="551"/>
        <v>0</v>
      </c>
      <c r="DS635" s="314">
        <f t="shared" si="552"/>
        <v>0</v>
      </c>
      <c r="DT635" s="316">
        <f t="shared" si="553"/>
        <v>0</v>
      </c>
      <c r="DU635" s="314">
        <f t="shared" si="541"/>
        <v>0</v>
      </c>
      <c r="DV635" s="316">
        <f t="shared" si="557"/>
        <v>0</v>
      </c>
      <c r="DW635" s="310">
        <f t="shared" si="542"/>
        <v>0</v>
      </c>
      <c r="FB635" s="307"/>
      <c r="FC635" s="307"/>
      <c r="FF635" s="307"/>
      <c r="FG635" s="307"/>
      <c r="FH635" s="306"/>
      <c r="FJ635" s="307"/>
      <c r="FK635" s="307"/>
      <c r="FL635" s="306"/>
      <c r="FM635" s="307"/>
      <c r="FN635" s="306"/>
      <c r="FO635" s="307"/>
      <c r="FP635" s="306"/>
    </row>
    <row r="636" spans="29:172">
      <c r="AC636" s="156"/>
      <c r="CW636" s="364"/>
      <c r="CX636" s="316"/>
      <c r="CY636" s="316"/>
      <c r="DA636" s="309">
        <v>635</v>
      </c>
      <c r="DB636" s="313">
        <f t="shared" si="536"/>
        <v>431.12109875903849</v>
      </c>
      <c r="DC636" s="309">
        <f t="shared" si="537"/>
        <v>4</v>
      </c>
      <c r="DD636" s="309">
        <f t="shared" si="538"/>
        <v>0</v>
      </c>
      <c r="DE636" s="308">
        <f t="shared" si="539"/>
        <v>0</v>
      </c>
      <c r="DF636" s="313">
        <f t="shared" si="554"/>
        <v>600</v>
      </c>
      <c r="DG636" s="313">
        <f t="shared" si="543"/>
        <v>0</v>
      </c>
      <c r="DH636" s="313">
        <f t="shared" si="544"/>
        <v>0</v>
      </c>
      <c r="DI636" s="313">
        <f t="shared" si="545"/>
        <v>0</v>
      </c>
      <c r="DJ636" s="313">
        <f t="shared" si="546"/>
        <v>0</v>
      </c>
      <c r="DK636" s="313">
        <f t="shared" si="555"/>
        <v>0</v>
      </c>
      <c r="DL636" s="313">
        <f t="shared" si="547"/>
        <v>0</v>
      </c>
      <c r="DM636" s="314">
        <f t="shared" si="548"/>
        <v>0</v>
      </c>
      <c r="DN636" s="312">
        <f t="shared" si="549"/>
        <v>0</v>
      </c>
      <c r="DO636" s="312">
        <f t="shared" si="556"/>
        <v>0</v>
      </c>
      <c r="DP636" s="315" t="e">
        <f t="shared" si="540"/>
        <v>#NUM!</v>
      </c>
      <c r="DQ636" s="316">
        <f t="shared" si="550"/>
        <v>0</v>
      </c>
      <c r="DR636" s="316">
        <f t="shared" si="551"/>
        <v>0</v>
      </c>
      <c r="DS636" s="314">
        <f t="shared" si="552"/>
        <v>0</v>
      </c>
      <c r="DT636" s="316">
        <f t="shared" si="553"/>
        <v>0</v>
      </c>
      <c r="DU636" s="314">
        <f t="shared" si="541"/>
        <v>0</v>
      </c>
      <c r="DV636" s="316">
        <f t="shared" si="557"/>
        <v>0</v>
      </c>
      <c r="DW636" s="310">
        <f t="shared" si="542"/>
        <v>0</v>
      </c>
      <c r="FB636" s="307"/>
      <c r="FC636" s="307"/>
      <c r="FF636" s="307"/>
      <c r="FG636" s="307"/>
      <c r="FH636" s="306"/>
      <c r="FJ636" s="307"/>
      <c r="FK636" s="307"/>
      <c r="FL636" s="306"/>
      <c r="FM636" s="307"/>
      <c r="FN636" s="306"/>
      <c r="FO636" s="307"/>
      <c r="FP636" s="306"/>
    </row>
    <row r="637" spans="29:172">
      <c r="AC637" s="156"/>
      <c r="CW637" s="364"/>
      <c r="CX637" s="316"/>
      <c r="CY637" s="316"/>
      <c r="DA637" s="309">
        <v>636</v>
      </c>
      <c r="DB637" s="313">
        <f t="shared" si="536"/>
        <v>431.48506899330471</v>
      </c>
      <c r="DC637" s="309">
        <f t="shared" si="537"/>
        <v>4</v>
      </c>
      <c r="DD637" s="309">
        <f t="shared" si="538"/>
        <v>0</v>
      </c>
      <c r="DE637" s="308">
        <f t="shared" si="539"/>
        <v>0</v>
      </c>
      <c r="DF637" s="313">
        <f t="shared" si="554"/>
        <v>600</v>
      </c>
      <c r="DG637" s="313">
        <f t="shared" si="543"/>
        <v>0</v>
      </c>
      <c r="DH637" s="313">
        <f t="shared" si="544"/>
        <v>0</v>
      </c>
      <c r="DI637" s="313">
        <f t="shared" si="545"/>
        <v>0</v>
      </c>
      <c r="DJ637" s="313">
        <f t="shared" si="546"/>
        <v>0</v>
      </c>
      <c r="DK637" s="313">
        <f t="shared" si="555"/>
        <v>0</v>
      </c>
      <c r="DL637" s="313">
        <f t="shared" si="547"/>
        <v>0</v>
      </c>
      <c r="DM637" s="314">
        <f t="shared" si="548"/>
        <v>0</v>
      </c>
      <c r="DN637" s="312">
        <f t="shared" si="549"/>
        <v>0</v>
      </c>
      <c r="DO637" s="312">
        <f t="shared" si="556"/>
        <v>0</v>
      </c>
      <c r="DP637" s="315" t="e">
        <f t="shared" si="540"/>
        <v>#NUM!</v>
      </c>
      <c r="DQ637" s="316">
        <f t="shared" si="550"/>
        <v>0</v>
      </c>
      <c r="DR637" s="316">
        <f t="shared" si="551"/>
        <v>0</v>
      </c>
      <c r="DS637" s="314">
        <f t="shared" si="552"/>
        <v>0</v>
      </c>
      <c r="DT637" s="316">
        <f t="shared" si="553"/>
        <v>0</v>
      </c>
      <c r="DU637" s="314">
        <f t="shared" si="541"/>
        <v>0</v>
      </c>
      <c r="DV637" s="316">
        <f t="shared" si="557"/>
        <v>0</v>
      </c>
      <c r="DW637" s="310">
        <f t="shared" si="542"/>
        <v>0</v>
      </c>
      <c r="FB637" s="307"/>
      <c r="FC637" s="307"/>
      <c r="FF637" s="307"/>
      <c r="FG637" s="307"/>
      <c r="FH637" s="306"/>
      <c r="FJ637" s="307"/>
      <c r="FK637" s="307"/>
      <c r="FL637" s="306"/>
      <c r="FM637" s="307"/>
      <c r="FN637" s="306"/>
      <c r="FO637" s="307"/>
      <c r="FP637" s="306"/>
    </row>
    <row r="638" spans="29:172">
      <c r="AC638" s="156"/>
      <c r="CW638" s="364"/>
      <c r="CX638" s="316"/>
      <c r="CY638" s="316"/>
      <c r="DA638" s="309">
        <v>637</v>
      </c>
      <c r="DB638" s="313">
        <f t="shared" si="536"/>
        <v>431.84903922757087</v>
      </c>
      <c r="DC638" s="309">
        <f t="shared" si="537"/>
        <v>4</v>
      </c>
      <c r="DD638" s="309">
        <f t="shared" si="538"/>
        <v>0</v>
      </c>
      <c r="DE638" s="308">
        <f t="shared" si="539"/>
        <v>0</v>
      </c>
      <c r="DF638" s="313">
        <f t="shared" si="554"/>
        <v>600</v>
      </c>
      <c r="DG638" s="313">
        <f t="shared" si="543"/>
        <v>0</v>
      </c>
      <c r="DH638" s="313">
        <f t="shared" si="544"/>
        <v>0</v>
      </c>
      <c r="DI638" s="313">
        <f t="shared" si="545"/>
        <v>0</v>
      </c>
      <c r="DJ638" s="313">
        <f t="shared" si="546"/>
        <v>0</v>
      </c>
      <c r="DK638" s="313">
        <f t="shared" si="555"/>
        <v>0</v>
      </c>
      <c r="DL638" s="313">
        <f t="shared" si="547"/>
        <v>0</v>
      </c>
      <c r="DM638" s="314">
        <f t="shared" si="548"/>
        <v>0</v>
      </c>
      <c r="DN638" s="312">
        <f t="shared" si="549"/>
        <v>0</v>
      </c>
      <c r="DO638" s="312">
        <f t="shared" si="556"/>
        <v>0</v>
      </c>
      <c r="DP638" s="315" t="e">
        <f t="shared" si="540"/>
        <v>#NUM!</v>
      </c>
      <c r="DQ638" s="316">
        <f t="shared" si="550"/>
        <v>0</v>
      </c>
      <c r="DR638" s="316">
        <f t="shared" si="551"/>
        <v>0</v>
      </c>
      <c r="DS638" s="314">
        <f t="shared" si="552"/>
        <v>0</v>
      </c>
      <c r="DT638" s="316">
        <f t="shared" si="553"/>
        <v>0</v>
      </c>
      <c r="DU638" s="314">
        <f t="shared" si="541"/>
        <v>0</v>
      </c>
      <c r="DV638" s="316">
        <f t="shared" si="557"/>
        <v>0</v>
      </c>
      <c r="DW638" s="310">
        <f t="shared" si="542"/>
        <v>0</v>
      </c>
      <c r="FB638" s="307"/>
      <c r="FC638" s="307"/>
      <c r="FF638" s="307"/>
      <c r="FG638" s="307"/>
      <c r="FH638" s="306"/>
      <c r="FJ638" s="307"/>
      <c r="FK638" s="307"/>
      <c r="FL638" s="306"/>
      <c r="FM638" s="307"/>
      <c r="FN638" s="306"/>
      <c r="FO638" s="307"/>
      <c r="FP638" s="306"/>
    </row>
    <row r="639" spans="29:172">
      <c r="AC639" s="156"/>
      <c r="CW639" s="364"/>
      <c r="CX639" s="316"/>
      <c r="CY639" s="316"/>
      <c r="DA639" s="309">
        <v>638</v>
      </c>
      <c r="DB639" s="313">
        <f t="shared" si="536"/>
        <v>432.21300946183709</v>
      </c>
      <c r="DC639" s="309">
        <f t="shared" si="537"/>
        <v>4</v>
      </c>
      <c r="DD639" s="309">
        <f t="shared" si="538"/>
        <v>0</v>
      </c>
      <c r="DE639" s="308">
        <f t="shared" si="539"/>
        <v>0</v>
      </c>
      <c r="DF639" s="313">
        <f t="shared" si="554"/>
        <v>600</v>
      </c>
      <c r="DG639" s="313">
        <f t="shared" si="543"/>
        <v>0</v>
      </c>
      <c r="DH639" s="313">
        <f t="shared" si="544"/>
        <v>0</v>
      </c>
      <c r="DI639" s="313">
        <f t="shared" si="545"/>
        <v>0</v>
      </c>
      <c r="DJ639" s="313">
        <f t="shared" si="546"/>
        <v>0</v>
      </c>
      <c r="DK639" s="313">
        <f t="shared" si="555"/>
        <v>0</v>
      </c>
      <c r="DL639" s="313">
        <f t="shared" si="547"/>
        <v>0</v>
      </c>
      <c r="DM639" s="314">
        <f t="shared" si="548"/>
        <v>0</v>
      </c>
      <c r="DN639" s="312">
        <f t="shared" si="549"/>
        <v>0</v>
      </c>
      <c r="DO639" s="312">
        <f t="shared" si="556"/>
        <v>0</v>
      </c>
      <c r="DP639" s="315" t="e">
        <f t="shared" si="540"/>
        <v>#NUM!</v>
      </c>
      <c r="DQ639" s="316">
        <f t="shared" si="550"/>
        <v>0</v>
      </c>
      <c r="DR639" s="316">
        <f t="shared" si="551"/>
        <v>0</v>
      </c>
      <c r="DS639" s="314">
        <f t="shared" si="552"/>
        <v>0</v>
      </c>
      <c r="DT639" s="316">
        <f t="shared" si="553"/>
        <v>0</v>
      </c>
      <c r="DU639" s="314">
        <f t="shared" si="541"/>
        <v>0</v>
      </c>
      <c r="DV639" s="316">
        <f t="shared" si="557"/>
        <v>0</v>
      </c>
      <c r="DW639" s="310">
        <f t="shared" si="542"/>
        <v>0</v>
      </c>
      <c r="FB639" s="307"/>
      <c r="FC639" s="307"/>
      <c r="FF639" s="307"/>
      <c r="FG639" s="307"/>
      <c r="FH639" s="306"/>
      <c r="FJ639" s="307"/>
      <c r="FK639" s="307"/>
      <c r="FL639" s="306"/>
      <c r="FM639" s="307"/>
      <c r="FN639" s="306"/>
      <c r="FO639" s="307"/>
      <c r="FP639" s="306"/>
    </row>
    <row r="640" spans="29:172">
      <c r="AC640" s="156"/>
      <c r="CW640" s="364"/>
      <c r="CX640" s="316"/>
      <c r="CY640" s="316"/>
      <c r="DA640" s="309">
        <v>639</v>
      </c>
      <c r="DB640" s="313">
        <f t="shared" si="536"/>
        <v>432.57697969610331</v>
      </c>
      <c r="DC640" s="309">
        <f t="shared" si="537"/>
        <v>4</v>
      </c>
      <c r="DD640" s="309">
        <f t="shared" si="538"/>
        <v>0</v>
      </c>
      <c r="DE640" s="308">
        <f t="shared" si="539"/>
        <v>0</v>
      </c>
      <c r="DF640" s="313">
        <f t="shared" si="554"/>
        <v>600</v>
      </c>
      <c r="DG640" s="313">
        <f t="shared" si="543"/>
        <v>0</v>
      </c>
      <c r="DH640" s="313">
        <f t="shared" si="544"/>
        <v>0</v>
      </c>
      <c r="DI640" s="313">
        <f t="shared" si="545"/>
        <v>0</v>
      </c>
      <c r="DJ640" s="313">
        <f t="shared" si="546"/>
        <v>0</v>
      </c>
      <c r="DK640" s="313">
        <f t="shared" si="555"/>
        <v>0</v>
      </c>
      <c r="DL640" s="313">
        <f t="shared" si="547"/>
        <v>0</v>
      </c>
      <c r="DM640" s="314">
        <f t="shared" si="548"/>
        <v>0</v>
      </c>
      <c r="DN640" s="312">
        <f t="shared" si="549"/>
        <v>0</v>
      </c>
      <c r="DO640" s="312">
        <f t="shared" si="556"/>
        <v>0</v>
      </c>
      <c r="DP640" s="315" t="e">
        <f t="shared" si="540"/>
        <v>#NUM!</v>
      </c>
      <c r="DQ640" s="316">
        <f t="shared" si="550"/>
        <v>0</v>
      </c>
      <c r="DR640" s="316">
        <f t="shared" si="551"/>
        <v>0</v>
      </c>
      <c r="DS640" s="314">
        <f t="shared" si="552"/>
        <v>0</v>
      </c>
      <c r="DT640" s="316">
        <f t="shared" si="553"/>
        <v>0</v>
      </c>
      <c r="DU640" s="314">
        <f t="shared" si="541"/>
        <v>0</v>
      </c>
      <c r="DV640" s="316">
        <f t="shared" si="557"/>
        <v>0</v>
      </c>
      <c r="DW640" s="310">
        <f t="shared" si="542"/>
        <v>0</v>
      </c>
      <c r="FB640" s="307"/>
      <c r="FC640" s="307"/>
      <c r="FF640" s="307"/>
      <c r="FG640" s="307"/>
      <c r="FH640" s="306"/>
      <c r="FJ640" s="307"/>
      <c r="FK640" s="307"/>
      <c r="FL640" s="306"/>
      <c r="FM640" s="307"/>
      <c r="FN640" s="306"/>
      <c r="FO640" s="307"/>
      <c r="FP640" s="306"/>
    </row>
    <row r="641" spans="29:172">
      <c r="AC641" s="156"/>
      <c r="CW641" s="364"/>
      <c r="CX641" s="316"/>
      <c r="CY641" s="316"/>
      <c r="DA641" s="309">
        <v>640</v>
      </c>
      <c r="DB641" s="313">
        <f t="shared" si="536"/>
        <v>432.94094993036947</v>
      </c>
      <c r="DC641" s="309">
        <f t="shared" si="537"/>
        <v>4</v>
      </c>
      <c r="DD641" s="309">
        <f t="shared" si="538"/>
        <v>0</v>
      </c>
      <c r="DE641" s="308">
        <f t="shared" si="539"/>
        <v>0</v>
      </c>
      <c r="DF641" s="313">
        <f t="shared" si="554"/>
        <v>600</v>
      </c>
      <c r="DG641" s="313">
        <f t="shared" si="543"/>
        <v>0</v>
      </c>
      <c r="DH641" s="313">
        <f t="shared" si="544"/>
        <v>0</v>
      </c>
      <c r="DI641" s="313">
        <f t="shared" si="545"/>
        <v>0</v>
      </c>
      <c r="DJ641" s="313">
        <f t="shared" si="546"/>
        <v>0</v>
      </c>
      <c r="DK641" s="313">
        <f t="shared" si="555"/>
        <v>0</v>
      </c>
      <c r="DL641" s="313">
        <f t="shared" si="547"/>
        <v>0</v>
      </c>
      <c r="DM641" s="314">
        <f t="shared" si="548"/>
        <v>0</v>
      </c>
      <c r="DN641" s="312">
        <f t="shared" si="549"/>
        <v>0</v>
      </c>
      <c r="DO641" s="312">
        <f t="shared" si="556"/>
        <v>0</v>
      </c>
      <c r="DP641" s="315" t="e">
        <f t="shared" si="540"/>
        <v>#NUM!</v>
      </c>
      <c r="DQ641" s="316">
        <f t="shared" si="550"/>
        <v>0</v>
      </c>
      <c r="DR641" s="316">
        <f t="shared" si="551"/>
        <v>0</v>
      </c>
      <c r="DS641" s="314">
        <f t="shared" si="552"/>
        <v>0</v>
      </c>
      <c r="DT641" s="316">
        <f t="shared" si="553"/>
        <v>0</v>
      </c>
      <c r="DU641" s="314">
        <f t="shared" si="541"/>
        <v>0</v>
      </c>
      <c r="DV641" s="316">
        <f t="shared" si="557"/>
        <v>0</v>
      </c>
      <c r="DW641" s="310">
        <f t="shared" si="542"/>
        <v>0</v>
      </c>
      <c r="FB641" s="307"/>
      <c r="FC641" s="307"/>
      <c r="FF641" s="307"/>
      <c r="FG641" s="307"/>
      <c r="FH641" s="306"/>
      <c r="FJ641" s="307"/>
      <c r="FK641" s="307"/>
      <c r="FL641" s="306"/>
      <c r="FM641" s="307"/>
      <c r="FN641" s="306"/>
      <c r="FO641" s="307"/>
      <c r="FP641" s="306"/>
    </row>
    <row r="642" spans="29:172">
      <c r="AC642" s="156"/>
      <c r="CW642" s="364"/>
      <c r="CX642" s="316"/>
      <c r="CY642" s="316"/>
      <c r="DA642" s="309">
        <v>641</v>
      </c>
      <c r="DB642" s="313">
        <f t="shared" ref="DB642:DB705" si="558">start+DA642*tanO</f>
        <v>433.30492016463569</v>
      </c>
      <c r="DC642" s="309">
        <f t="shared" ref="DC642:DC705" si="559">IF(DA642&lt;edge_width,1,IF(DA642&lt;mid_width,2,IF(DA642&lt;=tot_width,3,4)))</f>
        <v>4</v>
      </c>
      <c r="DD642" s="309">
        <f t="shared" ref="DD642:DD705" si="560">CHOOSE(DC642,edge_thick,second_thick,core_thick,0)</f>
        <v>0</v>
      </c>
      <c r="DE642" s="308">
        <f t="shared" ref="DE642:DE705" si="561">CHOOSE(DC642,edge_k,second_k,core_k,0)</f>
        <v>0</v>
      </c>
      <c r="DF642" s="313">
        <f t="shared" si="554"/>
        <v>600</v>
      </c>
      <c r="DG642" s="313">
        <f t="shared" si="543"/>
        <v>0</v>
      </c>
      <c r="DH642" s="313">
        <f t="shared" si="544"/>
        <v>0</v>
      </c>
      <c r="DI642" s="313">
        <f t="shared" si="545"/>
        <v>0</v>
      </c>
      <c r="DJ642" s="313">
        <f t="shared" si="546"/>
        <v>0</v>
      </c>
      <c r="DK642" s="313">
        <f t="shared" si="555"/>
        <v>0</v>
      </c>
      <c r="DL642" s="313">
        <f t="shared" si="547"/>
        <v>0</v>
      </c>
      <c r="DM642" s="314">
        <f t="shared" si="548"/>
        <v>0</v>
      </c>
      <c r="DN642" s="312">
        <f t="shared" si="549"/>
        <v>0</v>
      </c>
      <c r="DO642" s="312">
        <f t="shared" si="556"/>
        <v>0</v>
      </c>
      <c r="DP642" s="315" t="e">
        <f t="shared" ref="DP642:DP705" si="562">DE642*DO642^CHOOSE(DC642,mult1,mult2,mult3,0)</f>
        <v>#NUM!</v>
      </c>
      <c r="DQ642" s="316">
        <f t="shared" si="550"/>
        <v>0</v>
      </c>
      <c r="DR642" s="316">
        <f t="shared" si="551"/>
        <v>0</v>
      </c>
      <c r="DS642" s="314">
        <f t="shared" si="552"/>
        <v>0</v>
      </c>
      <c r="DT642" s="316">
        <f t="shared" si="553"/>
        <v>0</v>
      </c>
      <c r="DU642" s="314">
        <f t="shared" ref="DU642:DU705" si="563">IF(DC642&lt;&gt;4,CHOOSE(DC642,DA642/DT642,(DA642-edge_width+1)/DT642,(DA642-mid_width+1)/DT642),0)</f>
        <v>0</v>
      </c>
      <c r="DV642" s="316">
        <f t="shared" si="557"/>
        <v>0</v>
      </c>
      <c r="DW642" s="310">
        <f t="shared" ref="DW642:DW705" si="564">IF(DC642&lt;&gt;4,(tot_width-DA642+1)/DV642,0)</f>
        <v>0</v>
      </c>
      <c r="FB642" s="307"/>
      <c r="FC642" s="307"/>
      <c r="FF642" s="307"/>
      <c r="FG642" s="307"/>
      <c r="FH642" s="306"/>
      <c r="FJ642" s="307"/>
      <c r="FK642" s="307"/>
      <c r="FL642" s="306"/>
      <c r="FM642" s="307"/>
      <c r="FN642" s="306"/>
      <c r="FO642" s="307"/>
      <c r="FP642" s="306"/>
    </row>
    <row r="643" spans="29:172">
      <c r="AC643" s="156"/>
      <c r="CW643" s="364"/>
      <c r="CX643" s="316"/>
      <c r="CY643" s="316"/>
      <c r="DA643" s="309">
        <v>642</v>
      </c>
      <c r="DB643" s="313">
        <f t="shared" si="558"/>
        <v>433.66889039890191</v>
      </c>
      <c r="DC643" s="309">
        <f t="shared" si="559"/>
        <v>4</v>
      </c>
      <c r="DD643" s="309">
        <f t="shared" si="560"/>
        <v>0</v>
      </c>
      <c r="DE643" s="308">
        <f t="shared" si="561"/>
        <v>0</v>
      </c>
      <c r="DF643" s="313">
        <f t="shared" si="554"/>
        <v>600</v>
      </c>
      <c r="DG643" s="313">
        <f t="shared" ref="DG643:DG681" si="565">IF(DC643=4,DG642,MIN(DB643,DD643))</f>
        <v>0</v>
      </c>
      <c r="DH643" s="313">
        <f t="shared" ref="DH643:DH706" si="566">IF(DC643=1,DG643,0)</f>
        <v>0</v>
      </c>
      <c r="DI643" s="313">
        <f t="shared" ref="DI643:DI706" si="567">IF(DC643=2,DG643,0)</f>
        <v>0</v>
      </c>
      <c r="DJ643" s="313">
        <f t="shared" ref="DJ643:DJ706" si="568">IF(DC643=3,DG643,0)</f>
        <v>0</v>
      </c>
      <c r="DK643" s="313">
        <f t="shared" si="555"/>
        <v>0</v>
      </c>
      <c r="DL643" s="313">
        <f t="shared" ref="DL643:DL706" si="569">IF(DC643&lt;4,DL644+DG643,0)</f>
        <v>0</v>
      </c>
      <c r="DM643" s="314">
        <f t="shared" ref="DM643:DM706" si="570">IF($DC643&lt;&gt;4,IF($DA643=edge_width,$CY$2,IF($DA643=mid_width,$CY$3,1-DO643+DM642)),0)</f>
        <v>0</v>
      </c>
      <c r="DN643" s="312">
        <f t="shared" ref="DN643:DN706" si="571">IF(DC643&lt;&gt;4,CHOOSE(DC643,DM643/DA643,DM643/(DA643-edge_width+1),DM643/(DA643-mid_width+1)),0)</f>
        <v>0</v>
      </c>
      <c r="DO643" s="312">
        <f t="shared" si="556"/>
        <v>0</v>
      </c>
      <c r="DP643" s="315" t="e">
        <f t="shared" si="562"/>
        <v>#NUM!</v>
      </c>
      <c r="DQ643" s="316">
        <f t="shared" ref="DQ643:DQ706" si="572">IF(AND(DC643&lt;&gt;4,DG643&lt;&gt;0),1000*DP643/DG643,0)</f>
        <v>0</v>
      </c>
      <c r="DR643" s="316">
        <f t="shared" ref="DR643:DR706" si="573">IF(DC643&lt;&gt;4,DR642+DQ643,0)</f>
        <v>0</v>
      </c>
      <c r="DS643" s="314">
        <f t="shared" ref="DS643:DS706" si="574">IF(AND(DC643&lt;&gt;4,DR643&lt;&gt;0),DA643/DR643,0)</f>
        <v>0</v>
      </c>
      <c r="DT643" s="316">
        <f t="shared" ref="DT643:DT706" si="575">IF(DC643&lt;&gt;4,IF(DA643=edge_width,$CY$4,IF(DA643=mid_width,$CY$5,DQ643+DT642)),0)</f>
        <v>0</v>
      </c>
      <c r="DU643" s="314">
        <f t="shared" si="563"/>
        <v>0</v>
      </c>
      <c r="DV643" s="316">
        <f t="shared" si="557"/>
        <v>0</v>
      </c>
      <c r="DW643" s="310">
        <f t="shared" si="564"/>
        <v>0</v>
      </c>
      <c r="FB643" s="307"/>
      <c r="FC643" s="307"/>
      <c r="FF643" s="307"/>
      <c r="FG643" s="307"/>
      <c r="FH643" s="306"/>
      <c r="FJ643" s="307"/>
      <c r="FK643" s="307"/>
      <c r="FL643" s="306"/>
      <c r="FM643" s="307"/>
      <c r="FN643" s="306"/>
      <c r="FO643" s="307"/>
      <c r="FP643" s="306"/>
    </row>
    <row r="644" spans="29:172">
      <c r="AC644" s="156"/>
      <c r="CW644" s="364"/>
      <c r="CX644" s="316"/>
      <c r="CY644" s="316"/>
      <c r="DA644" s="309">
        <v>643</v>
      </c>
      <c r="DB644" s="313">
        <f t="shared" si="558"/>
        <v>434.03286063316807</v>
      </c>
      <c r="DC644" s="309">
        <f t="shared" si="559"/>
        <v>4</v>
      </c>
      <c r="DD644" s="309">
        <f t="shared" si="560"/>
        <v>0</v>
      </c>
      <c r="DE644" s="308">
        <f t="shared" si="561"/>
        <v>0</v>
      </c>
      <c r="DF644" s="313">
        <f t="shared" ref="DF644:DF707" si="576">IF(DC644&lt;4,DF643+1,DF643)</f>
        <v>600</v>
      </c>
      <c r="DG644" s="313">
        <f t="shared" si="565"/>
        <v>0</v>
      </c>
      <c r="DH644" s="313">
        <f t="shared" si="566"/>
        <v>0</v>
      </c>
      <c r="DI644" s="313">
        <f t="shared" si="567"/>
        <v>0</v>
      </c>
      <c r="DJ644" s="313">
        <f t="shared" si="568"/>
        <v>0</v>
      </c>
      <c r="DK644" s="313">
        <f t="shared" ref="DK644:DK707" si="577">IF(DC644&lt;4,DK643+DG644,0)</f>
        <v>0</v>
      </c>
      <c r="DL644" s="313">
        <f t="shared" si="569"/>
        <v>0</v>
      </c>
      <c r="DM644" s="314">
        <f t="shared" si="570"/>
        <v>0</v>
      </c>
      <c r="DN644" s="312">
        <f t="shared" si="571"/>
        <v>0</v>
      </c>
      <c r="DO644" s="312">
        <f t="shared" ref="DO644:DO707" si="578">IF(AND(DC644&lt;&gt;4,DD644&lt;&gt;0),DG644/DD644,0)</f>
        <v>0</v>
      </c>
      <c r="DP644" s="315" t="e">
        <f t="shared" si="562"/>
        <v>#NUM!</v>
      </c>
      <c r="DQ644" s="316">
        <f t="shared" si="572"/>
        <v>0</v>
      </c>
      <c r="DR644" s="316">
        <f t="shared" si="573"/>
        <v>0</v>
      </c>
      <c r="DS644" s="314">
        <f t="shared" si="574"/>
        <v>0</v>
      </c>
      <c r="DT644" s="316">
        <f t="shared" si="575"/>
        <v>0</v>
      </c>
      <c r="DU644" s="314">
        <f t="shared" si="563"/>
        <v>0</v>
      </c>
      <c r="DV644" s="316">
        <f t="shared" ref="DV644:DV707" si="579">DV645+DQ644</f>
        <v>0</v>
      </c>
      <c r="DW644" s="310">
        <f t="shared" si="564"/>
        <v>0</v>
      </c>
      <c r="FB644" s="307"/>
      <c r="FC644" s="307"/>
      <c r="FF644" s="307"/>
      <c r="FG644" s="307"/>
      <c r="FH644" s="306"/>
      <c r="FJ644" s="307"/>
      <c r="FK644" s="307"/>
      <c r="FL644" s="306"/>
      <c r="FM644" s="307"/>
      <c r="FN644" s="306"/>
      <c r="FO644" s="307"/>
      <c r="FP644" s="306"/>
    </row>
    <row r="645" spans="29:172">
      <c r="AC645" s="156"/>
      <c r="CW645" s="364"/>
      <c r="CX645" s="316"/>
      <c r="CY645" s="316"/>
      <c r="DA645" s="309">
        <v>644</v>
      </c>
      <c r="DB645" s="313">
        <f t="shared" si="558"/>
        <v>434.39683086743435</v>
      </c>
      <c r="DC645" s="309">
        <f t="shared" si="559"/>
        <v>4</v>
      </c>
      <c r="DD645" s="309">
        <f t="shared" si="560"/>
        <v>0</v>
      </c>
      <c r="DE645" s="308">
        <f t="shared" si="561"/>
        <v>0</v>
      </c>
      <c r="DF645" s="313">
        <f t="shared" si="576"/>
        <v>600</v>
      </c>
      <c r="DG645" s="313">
        <f t="shared" si="565"/>
        <v>0</v>
      </c>
      <c r="DH645" s="313">
        <f t="shared" si="566"/>
        <v>0</v>
      </c>
      <c r="DI645" s="313">
        <f t="shared" si="567"/>
        <v>0</v>
      </c>
      <c r="DJ645" s="313">
        <f t="shared" si="568"/>
        <v>0</v>
      </c>
      <c r="DK645" s="313">
        <f t="shared" si="577"/>
        <v>0</v>
      </c>
      <c r="DL645" s="313">
        <f t="shared" si="569"/>
        <v>0</v>
      </c>
      <c r="DM645" s="314">
        <f t="shared" si="570"/>
        <v>0</v>
      </c>
      <c r="DN645" s="312">
        <f t="shared" si="571"/>
        <v>0</v>
      </c>
      <c r="DO645" s="312">
        <f t="shared" si="578"/>
        <v>0</v>
      </c>
      <c r="DP645" s="315" t="e">
        <f t="shared" si="562"/>
        <v>#NUM!</v>
      </c>
      <c r="DQ645" s="316">
        <f t="shared" si="572"/>
        <v>0</v>
      </c>
      <c r="DR645" s="316">
        <f t="shared" si="573"/>
        <v>0</v>
      </c>
      <c r="DS645" s="314">
        <f t="shared" si="574"/>
        <v>0</v>
      </c>
      <c r="DT645" s="316">
        <f t="shared" si="575"/>
        <v>0</v>
      </c>
      <c r="DU645" s="314">
        <f t="shared" si="563"/>
        <v>0</v>
      </c>
      <c r="DV645" s="316">
        <f t="shared" si="579"/>
        <v>0</v>
      </c>
      <c r="DW645" s="310">
        <f t="shared" si="564"/>
        <v>0</v>
      </c>
      <c r="FB645" s="307"/>
      <c r="FC645" s="307"/>
      <c r="FF645" s="307"/>
      <c r="FG645" s="307"/>
      <c r="FH645" s="306"/>
      <c r="FJ645" s="307"/>
      <c r="FK645" s="307"/>
      <c r="FL645" s="306"/>
      <c r="FM645" s="307"/>
      <c r="FN645" s="306"/>
      <c r="FO645" s="307"/>
      <c r="FP645" s="306"/>
    </row>
    <row r="646" spans="29:172">
      <c r="AC646" s="156"/>
      <c r="CW646" s="364"/>
      <c r="CX646" s="316"/>
      <c r="CY646" s="316"/>
      <c r="DA646" s="309">
        <v>645</v>
      </c>
      <c r="DB646" s="313">
        <f t="shared" si="558"/>
        <v>434.76080110170051</v>
      </c>
      <c r="DC646" s="309">
        <f t="shared" si="559"/>
        <v>4</v>
      </c>
      <c r="DD646" s="309">
        <f t="shared" si="560"/>
        <v>0</v>
      </c>
      <c r="DE646" s="308">
        <f t="shared" si="561"/>
        <v>0</v>
      </c>
      <c r="DF646" s="313">
        <f t="shared" si="576"/>
        <v>600</v>
      </c>
      <c r="DG646" s="313">
        <f t="shared" si="565"/>
        <v>0</v>
      </c>
      <c r="DH646" s="313">
        <f t="shared" si="566"/>
        <v>0</v>
      </c>
      <c r="DI646" s="313">
        <f t="shared" si="567"/>
        <v>0</v>
      </c>
      <c r="DJ646" s="313">
        <f t="shared" si="568"/>
        <v>0</v>
      </c>
      <c r="DK646" s="313">
        <f t="shared" si="577"/>
        <v>0</v>
      </c>
      <c r="DL646" s="313">
        <f t="shared" si="569"/>
        <v>0</v>
      </c>
      <c r="DM646" s="314">
        <f t="shared" si="570"/>
        <v>0</v>
      </c>
      <c r="DN646" s="312">
        <f t="shared" si="571"/>
        <v>0</v>
      </c>
      <c r="DO646" s="312">
        <f t="shared" si="578"/>
        <v>0</v>
      </c>
      <c r="DP646" s="315" t="e">
        <f t="shared" si="562"/>
        <v>#NUM!</v>
      </c>
      <c r="DQ646" s="316">
        <f t="shared" si="572"/>
        <v>0</v>
      </c>
      <c r="DR646" s="316">
        <f t="shared" si="573"/>
        <v>0</v>
      </c>
      <c r="DS646" s="314">
        <f t="shared" si="574"/>
        <v>0</v>
      </c>
      <c r="DT646" s="316">
        <f t="shared" si="575"/>
        <v>0</v>
      </c>
      <c r="DU646" s="314">
        <f t="shared" si="563"/>
        <v>0</v>
      </c>
      <c r="DV646" s="316">
        <f t="shared" si="579"/>
        <v>0</v>
      </c>
      <c r="DW646" s="310">
        <f t="shared" si="564"/>
        <v>0</v>
      </c>
      <c r="FB646" s="307"/>
      <c r="FC646" s="307"/>
      <c r="FF646" s="307"/>
      <c r="FG646" s="307"/>
      <c r="FH646" s="306"/>
      <c r="FJ646" s="307"/>
      <c r="FK646" s="307"/>
      <c r="FL646" s="306"/>
      <c r="FM646" s="307"/>
      <c r="FN646" s="306"/>
      <c r="FO646" s="307"/>
      <c r="FP646" s="306"/>
    </row>
    <row r="647" spans="29:172">
      <c r="AC647" s="156"/>
      <c r="CW647" s="364"/>
      <c r="CX647" s="316"/>
      <c r="CY647" s="316"/>
      <c r="DA647" s="309">
        <v>646</v>
      </c>
      <c r="DB647" s="313">
        <f t="shared" si="558"/>
        <v>435.12477133596667</v>
      </c>
      <c r="DC647" s="309">
        <f t="shared" si="559"/>
        <v>4</v>
      </c>
      <c r="DD647" s="309">
        <f t="shared" si="560"/>
        <v>0</v>
      </c>
      <c r="DE647" s="308">
        <f t="shared" si="561"/>
        <v>0</v>
      </c>
      <c r="DF647" s="313">
        <f t="shared" si="576"/>
        <v>600</v>
      </c>
      <c r="DG647" s="313">
        <f t="shared" si="565"/>
        <v>0</v>
      </c>
      <c r="DH647" s="313">
        <f t="shared" si="566"/>
        <v>0</v>
      </c>
      <c r="DI647" s="313">
        <f t="shared" si="567"/>
        <v>0</v>
      </c>
      <c r="DJ647" s="313">
        <f t="shared" si="568"/>
        <v>0</v>
      </c>
      <c r="DK647" s="313">
        <f t="shared" si="577"/>
        <v>0</v>
      </c>
      <c r="DL647" s="313">
        <f t="shared" si="569"/>
        <v>0</v>
      </c>
      <c r="DM647" s="314">
        <f t="shared" si="570"/>
        <v>0</v>
      </c>
      <c r="DN647" s="312">
        <f t="shared" si="571"/>
        <v>0</v>
      </c>
      <c r="DO647" s="312">
        <f t="shared" si="578"/>
        <v>0</v>
      </c>
      <c r="DP647" s="315" t="e">
        <f t="shared" si="562"/>
        <v>#NUM!</v>
      </c>
      <c r="DQ647" s="316">
        <f t="shared" si="572"/>
        <v>0</v>
      </c>
      <c r="DR647" s="316">
        <f t="shared" si="573"/>
        <v>0</v>
      </c>
      <c r="DS647" s="314">
        <f t="shared" si="574"/>
        <v>0</v>
      </c>
      <c r="DT647" s="316">
        <f t="shared" si="575"/>
        <v>0</v>
      </c>
      <c r="DU647" s="314">
        <f t="shared" si="563"/>
        <v>0</v>
      </c>
      <c r="DV647" s="316">
        <f t="shared" si="579"/>
        <v>0</v>
      </c>
      <c r="DW647" s="310">
        <f t="shared" si="564"/>
        <v>0</v>
      </c>
      <c r="FB647" s="307"/>
      <c r="FC647" s="307"/>
      <c r="FF647" s="307"/>
      <c r="FG647" s="307"/>
      <c r="FH647" s="306"/>
      <c r="FJ647" s="307"/>
      <c r="FK647" s="307"/>
      <c r="FL647" s="306"/>
      <c r="FM647" s="307"/>
      <c r="FN647" s="306"/>
      <c r="FO647" s="307"/>
      <c r="FP647" s="306"/>
    </row>
    <row r="648" spans="29:172">
      <c r="AC648" s="156"/>
      <c r="CW648" s="364"/>
      <c r="CX648" s="316"/>
      <c r="CY648" s="316"/>
      <c r="DA648" s="309">
        <v>647</v>
      </c>
      <c r="DB648" s="313">
        <f t="shared" si="558"/>
        <v>435.48874157023295</v>
      </c>
      <c r="DC648" s="309">
        <f t="shared" si="559"/>
        <v>4</v>
      </c>
      <c r="DD648" s="309">
        <f t="shared" si="560"/>
        <v>0</v>
      </c>
      <c r="DE648" s="308">
        <f t="shared" si="561"/>
        <v>0</v>
      </c>
      <c r="DF648" s="313">
        <f t="shared" si="576"/>
        <v>600</v>
      </c>
      <c r="DG648" s="313">
        <f t="shared" si="565"/>
        <v>0</v>
      </c>
      <c r="DH648" s="313">
        <f t="shared" si="566"/>
        <v>0</v>
      </c>
      <c r="DI648" s="313">
        <f t="shared" si="567"/>
        <v>0</v>
      </c>
      <c r="DJ648" s="313">
        <f t="shared" si="568"/>
        <v>0</v>
      </c>
      <c r="DK648" s="313">
        <f t="shared" si="577"/>
        <v>0</v>
      </c>
      <c r="DL648" s="313">
        <f t="shared" si="569"/>
        <v>0</v>
      </c>
      <c r="DM648" s="314">
        <f t="shared" si="570"/>
        <v>0</v>
      </c>
      <c r="DN648" s="312">
        <f t="shared" si="571"/>
        <v>0</v>
      </c>
      <c r="DO648" s="312">
        <f t="shared" si="578"/>
        <v>0</v>
      </c>
      <c r="DP648" s="315" t="e">
        <f t="shared" si="562"/>
        <v>#NUM!</v>
      </c>
      <c r="DQ648" s="316">
        <f t="shared" si="572"/>
        <v>0</v>
      </c>
      <c r="DR648" s="316">
        <f t="shared" si="573"/>
        <v>0</v>
      </c>
      <c r="DS648" s="314">
        <f t="shared" si="574"/>
        <v>0</v>
      </c>
      <c r="DT648" s="316">
        <f t="shared" si="575"/>
        <v>0</v>
      </c>
      <c r="DU648" s="314">
        <f t="shared" si="563"/>
        <v>0</v>
      </c>
      <c r="DV648" s="316">
        <f t="shared" si="579"/>
        <v>0</v>
      </c>
      <c r="DW648" s="310">
        <f t="shared" si="564"/>
        <v>0</v>
      </c>
      <c r="FB648" s="307"/>
      <c r="FC648" s="307"/>
      <c r="FF648" s="307"/>
      <c r="FG648" s="307"/>
      <c r="FH648" s="306"/>
      <c r="FJ648" s="307"/>
      <c r="FK648" s="307"/>
      <c r="FL648" s="306"/>
      <c r="FM648" s="307"/>
      <c r="FN648" s="306"/>
      <c r="FO648" s="307"/>
      <c r="FP648" s="306"/>
    </row>
    <row r="649" spans="29:172">
      <c r="AC649" s="156"/>
      <c r="CW649" s="364"/>
      <c r="CX649" s="316"/>
      <c r="CY649" s="316"/>
      <c r="DA649" s="309">
        <v>648</v>
      </c>
      <c r="DB649" s="313">
        <f t="shared" si="558"/>
        <v>435.85271180449911</v>
      </c>
      <c r="DC649" s="309">
        <f t="shared" si="559"/>
        <v>4</v>
      </c>
      <c r="DD649" s="309">
        <f t="shared" si="560"/>
        <v>0</v>
      </c>
      <c r="DE649" s="308">
        <f t="shared" si="561"/>
        <v>0</v>
      </c>
      <c r="DF649" s="313">
        <f t="shared" si="576"/>
        <v>600</v>
      </c>
      <c r="DG649" s="313">
        <f t="shared" si="565"/>
        <v>0</v>
      </c>
      <c r="DH649" s="313">
        <f t="shared" si="566"/>
        <v>0</v>
      </c>
      <c r="DI649" s="313">
        <f t="shared" si="567"/>
        <v>0</v>
      </c>
      <c r="DJ649" s="313">
        <f t="shared" si="568"/>
        <v>0</v>
      </c>
      <c r="DK649" s="313">
        <f t="shared" si="577"/>
        <v>0</v>
      </c>
      <c r="DL649" s="313">
        <f t="shared" si="569"/>
        <v>0</v>
      </c>
      <c r="DM649" s="314">
        <f t="shared" si="570"/>
        <v>0</v>
      </c>
      <c r="DN649" s="312">
        <f t="shared" si="571"/>
        <v>0</v>
      </c>
      <c r="DO649" s="312">
        <f t="shared" si="578"/>
        <v>0</v>
      </c>
      <c r="DP649" s="315" t="e">
        <f t="shared" si="562"/>
        <v>#NUM!</v>
      </c>
      <c r="DQ649" s="316">
        <f t="shared" si="572"/>
        <v>0</v>
      </c>
      <c r="DR649" s="316">
        <f t="shared" si="573"/>
        <v>0</v>
      </c>
      <c r="DS649" s="314">
        <f t="shared" si="574"/>
        <v>0</v>
      </c>
      <c r="DT649" s="316">
        <f t="shared" si="575"/>
        <v>0</v>
      </c>
      <c r="DU649" s="314">
        <f t="shared" si="563"/>
        <v>0</v>
      </c>
      <c r="DV649" s="316">
        <f t="shared" si="579"/>
        <v>0</v>
      </c>
      <c r="DW649" s="310">
        <f t="shared" si="564"/>
        <v>0</v>
      </c>
      <c r="FB649" s="307"/>
      <c r="FC649" s="307"/>
      <c r="FF649" s="307"/>
      <c r="FG649" s="307"/>
      <c r="FH649" s="306"/>
      <c r="FJ649" s="307"/>
      <c r="FK649" s="307"/>
      <c r="FL649" s="306"/>
      <c r="FM649" s="307"/>
      <c r="FN649" s="306"/>
      <c r="FO649" s="307"/>
      <c r="FP649" s="306"/>
    </row>
    <row r="650" spans="29:172">
      <c r="AC650" s="156"/>
      <c r="CW650" s="364"/>
      <c r="CX650" s="316"/>
      <c r="CY650" s="316"/>
      <c r="DA650" s="309">
        <v>649</v>
      </c>
      <c r="DB650" s="313">
        <f t="shared" si="558"/>
        <v>436.21668203876533</v>
      </c>
      <c r="DC650" s="309">
        <f t="shared" si="559"/>
        <v>4</v>
      </c>
      <c r="DD650" s="309">
        <f t="shared" si="560"/>
        <v>0</v>
      </c>
      <c r="DE650" s="308">
        <f t="shared" si="561"/>
        <v>0</v>
      </c>
      <c r="DF650" s="313">
        <f t="shared" si="576"/>
        <v>600</v>
      </c>
      <c r="DG650" s="313">
        <f t="shared" si="565"/>
        <v>0</v>
      </c>
      <c r="DH650" s="313">
        <f t="shared" si="566"/>
        <v>0</v>
      </c>
      <c r="DI650" s="313">
        <f t="shared" si="567"/>
        <v>0</v>
      </c>
      <c r="DJ650" s="313">
        <f t="shared" si="568"/>
        <v>0</v>
      </c>
      <c r="DK650" s="313">
        <f t="shared" si="577"/>
        <v>0</v>
      </c>
      <c r="DL650" s="313">
        <f t="shared" si="569"/>
        <v>0</v>
      </c>
      <c r="DM650" s="314">
        <f t="shared" si="570"/>
        <v>0</v>
      </c>
      <c r="DN650" s="312">
        <f t="shared" si="571"/>
        <v>0</v>
      </c>
      <c r="DO650" s="312">
        <f t="shared" si="578"/>
        <v>0</v>
      </c>
      <c r="DP650" s="315" t="e">
        <f t="shared" si="562"/>
        <v>#NUM!</v>
      </c>
      <c r="DQ650" s="316">
        <f t="shared" si="572"/>
        <v>0</v>
      </c>
      <c r="DR650" s="316">
        <f t="shared" si="573"/>
        <v>0</v>
      </c>
      <c r="DS650" s="314">
        <f t="shared" si="574"/>
        <v>0</v>
      </c>
      <c r="DT650" s="316">
        <f t="shared" si="575"/>
        <v>0</v>
      </c>
      <c r="DU650" s="314">
        <f t="shared" si="563"/>
        <v>0</v>
      </c>
      <c r="DV650" s="316">
        <f t="shared" si="579"/>
        <v>0</v>
      </c>
      <c r="DW650" s="310">
        <f t="shared" si="564"/>
        <v>0</v>
      </c>
      <c r="FB650" s="307"/>
      <c r="FC650" s="307"/>
      <c r="FF650" s="307"/>
      <c r="FG650" s="307"/>
      <c r="FH650" s="306"/>
      <c r="FJ650" s="307"/>
      <c r="FK650" s="307"/>
      <c r="FL650" s="306"/>
      <c r="FM650" s="307"/>
      <c r="FN650" s="306"/>
      <c r="FO650" s="307"/>
      <c r="FP650" s="306"/>
    </row>
    <row r="651" spans="29:172">
      <c r="AC651" s="156"/>
      <c r="CW651" s="364"/>
      <c r="CX651" s="316"/>
      <c r="CY651" s="316"/>
      <c r="DA651" s="309">
        <v>650</v>
      </c>
      <c r="DB651" s="313">
        <f t="shared" si="558"/>
        <v>436.58065227303155</v>
      </c>
      <c r="DC651" s="309">
        <f t="shared" si="559"/>
        <v>4</v>
      </c>
      <c r="DD651" s="309">
        <f t="shared" si="560"/>
        <v>0</v>
      </c>
      <c r="DE651" s="308">
        <f t="shared" si="561"/>
        <v>0</v>
      </c>
      <c r="DF651" s="313">
        <f t="shared" si="576"/>
        <v>600</v>
      </c>
      <c r="DG651" s="313">
        <f t="shared" si="565"/>
        <v>0</v>
      </c>
      <c r="DH651" s="313">
        <f t="shared" si="566"/>
        <v>0</v>
      </c>
      <c r="DI651" s="313">
        <f t="shared" si="567"/>
        <v>0</v>
      </c>
      <c r="DJ651" s="313">
        <f t="shared" si="568"/>
        <v>0</v>
      </c>
      <c r="DK651" s="313">
        <f t="shared" si="577"/>
        <v>0</v>
      </c>
      <c r="DL651" s="313">
        <f t="shared" si="569"/>
        <v>0</v>
      </c>
      <c r="DM651" s="314">
        <f t="shared" si="570"/>
        <v>0</v>
      </c>
      <c r="DN651" s="312">
        <f t="shared" si="571"/>
        <v>0</v>
      </c>
      <c r="DO651" s="312">
        <f t="shared" si="578"/>
        <v>0</v>
      </c>
      <c r="DP651" s="315" t="e">
        <f t="shared" si="562"/>
        <v>#NUM!</v>
      </c>
      <c r="DQ651" s="316">
        <f t="shared" si="572"/>
        <v>0</v>
      </c>
      <c r="DR651" s="316">
        <f t="shared" si="573"/>
        <v>0</v>
      </c>
      <c r="DS651" s="314">
        <f t="shared" si="574"/>
        <v>0</v>
      </c>
      <c r="DT651" s="316">
        <f t="shared" si="575"/>
        <v>0</v>
      </c>
      <c r="DU651" s="314">
        <f t="shared" si="563"/>
        <v>0</v>
      </c>
      <c r="DV651" s="316">
        <f t="shared" si="579"/>
        <v>0</v>
      </c>
      <c r="DW651" s="310">
        <f t="shared" si="564"/>
        <v>0</v>
      </c>
      <c r="FB651" s="307"/>
      <c r="FC651" s="307"/>
      <c r="FF651" s="307"/>
      <c r="FG651" s="307"/>
      <c r="FH651" s="306"/>
      <c r="FJ651" s="307"/>
      <c r="FK651" s="307"/>
      <c r="FL651" s="306"/>
      <c r="FM651" s="307"/>
      <c r="FN651" s="306"/>
      <c r="FO651" s="307"/>
      <c r="FP651" s="306"/>
    </row>
    <row r="652" spans="29:172">
      <c r="AC652" s="156"/>
      <c r="CW652" s="364"/>
      <c r="CX652" s="316"/>
      <c r="CY652" s="316"/>
      <c r="DA652" s="309">
        <v>651</v>
      </c>
      <c r="DB652" s="313">
        <f t="shared" si="558"/>
        <v>436.94462250729771</v>
      </c>
      <c r="DC652" s="309">
        <f t="shared" si="559"/>
        <v>4</v>
      </c>
      <c r="DD652" s="309">
        <f t="shared" si="560"/>
        <v>0</v>
      </c>
      <c r="DE652" s="308">
        <f t="shared" si="561"/>
        <v>0</v>
      </c>
      <c r="DF652" s="313">
        <f t="shared" si="576"/>
        <v>600</v>
      </c>
      <c r="DG652" s="313">
        <f t="shared" si="565"/>
        <v>0</v>
      </c>
      <c r="DH652" s="313">
        <f t="shared" si="566"/>
        <v>0</v>
      </c>
      <c r="DI652" s="313">
        <f t="shared" si="567"/>
        <v>0</v>
      </c>
      <c r="DJ652" s="313">
        <f t="shared" si="568"/>
        <v>0</v>
      </c>
      <c r="DK652" s="313">
        <f t="shared" si="577"/>
        <v>0</v>
      </c>
      <c r="DL652" s="313">
        <f t="shared" si="569"/>
        <v>0</v>
      </c>
      <c r="DM652" s="314">
        <f t="shared" si="570"/>
        <v>0</v>
      </c>
      <c r="DN652" s="312">
        <f t="shared" si="571"/>
        <v>0</v>
      </c>
      <c r="DO652" s="312">
        <f t="shared" si="578"/>
        <v>0</v>
      </c>
      <c r="DP652" s="315" t="e">
        <f t="shared" si="562"/>
        <v>#NUM!</v>
      </c>
      <c r="DQ652" s="316">
        <f t="shared" si="572"/>
        <v>0</v>
      </c>
      <c r="DR652" s="316">
        <f t="shared" si="573"/>
        <v>0</v>
      </c>
      <c r="DS652" s="314">
        <f t="shared" si="574"/>
        <v>0</v>
      </c>
      <c r="DT652" s="316">
        <f t="shared" si="575"/>
        <v>0</v>
      </c>
      <c r="DU652" s="314">
        <f t="shared" si="563"/>
        <v>0</v>
      </c>
      <c r="DV652" s="316">
        <f t="shared" si="579"/>
        <v>0</v>
      </c>
      <c r="DW652" s="310">
        <f t="shared" si="564"/>
        <v>0</v>
      </c>
      <c r="FB652" s="307"/>
      <c r="FC652" s="307"/>
      <c r="FF652" s="307"/>
      <c r="FG652" s="307"/>
      <c r="FH652" s="306"/>
      <c r="FJ652" s="307"/>
      <c r="FK652" s="307"/>
      <c r="FL652" s="306"/>
      <c r="FM652" s="307"/>
      <c r="FN652" s="306"/>
      <c r="FO652" s="307"/>
      <c r="FP652" s="306"/>
    </row>
    <row r="653" spans="29:172">
      <c r="AC653" s="156"/>
      <c r="CW653" s="364"/>
      <c r="CX653" s="316"/>
      <c r="CY653" s="316"/>
      <c r="DA653" s="309">
        <v>652</v>
      </c>
      <c r="DB653" s="313">
        <f t="shared" si="558"/>
        <v>437.30859274156393</v>
      </c>
      <c r="DC653" s="309">
        <f t="shared" si="559"/>
        <v>4</v>
      </c>
      <c r="DD653" s="309">
        <f t="shared" si="560"/>
        <v>0</v>
      </c>
      <c r="DE653" s="308">
        <f t="shared" si="561"/>
        <v>0</v>
      </c>
      <c r="DF653" s="313">
        <f t="shared" si="576"/>
        <v>600</v>
      </c>
      <c r="DG653" s="313">
        <f t="shared" si="565"/>
        <v>0</v>
      </c>
      <c r="DH653" s="313">
        <f t="shared" si="566"/>
        <v>0</v>
      </c>
      <c r="DI653" s="313">
        <f t="shared" si="567"/>
        <v>0</v>
      </c>
      <c r="DJ653" s="313">
        <f t="shared" si="568"/>
        <v>0</v>
      </c>
      <c r="DK653" s="313">
        <f t="shared" si="577"/>
        <v>0</v>
      </c>
      <c r="DL653" s="313">
        <f t="shared" si="569"/>
        <v>0</v>
      </c>
      <c r="DM653" s="314">
        <f t="shared" si="570"/>
        <v>0</v>
      </c>
      <c r="DN653" s="312">
        <f t="shared" si="571"/>
        <v>0</v>
      </c>
      <c r="DO653" s="312">
        <f t="shared" si="578"/>
        <v>0</v>
      </c>
      <c r="DP653" s="315" t="e">
        <f t="shared" si="562"/>
        <v>#NUM!</v>
      </c>
      <c r="DQ653" s="316">
        <f t="shared" si="572"/>
        <v>0</v>
      </c>
      <c r="DR653" s="316">
        <f t="shared" si="573"/>
        <v>0</v>
      </c>
      <c r="DS653" s="314">
        <f t="shared" si="574"/>
        <v>0</v>
      </c>
      <c r="DT653" s="316">
        <f t="shared" si="575"/>
        <v>0</v>
      </c>
      <c r="DU653" s="314">
        <f t="shared" si="563"/>
        <v>0</v>
      </c>
      <c r="DV653" s="316">
        <f t="shared" si="579"/>
        <v>0</v>
      </c>
      <c r="DW653" s="310">
        <f t="shared" si="564"/>
        <v>0</v>
      </c>
      <c r="FB653" s="307"/>
      <c r="FC653" s="307"/>
      <c r="FF653" s="307"/>
      <c r="FG653" s="307"/>
      <c r="FH653" s="306"/>
      <c r="FJ653" s="307"/>
      <c r="FK653" s="307"/>
      <c r="FL653" s="306"/>
      <c r="FM653" s="307"/>
      <c r="FN653" s="306"/>
      <c r="FO653" s="307"/>
      <c r="FP653" s="306"/>
    </row>
    <row r="654" spans="29:172">
      <c r="AC654" s="156"/>
      <c r="CW654" s="364"/>
      <c r="CX654" s="316"/>
      <c r="CY654" s="316"/>
      <c r="DA654" s="309">
        <v>653</v>
      </c>
      <c r="DB654" s="313">
        <f t="shared" si="558"/>
        <v>437.67256297583015</v>
      </c>
      <c r="DC654" s="309">
        <f t="shared" si="559"/>
        <v>4</v>
      </c>
      <c r="DD654" s="309">
        <f t="shared" si="560"/>
        <v>0</v>
      </c>
      <c r="DE654" s="308">
        <f t="shared" si="561"/>
        <v>0</v>
      </c>
      <c r="DF654" s="313">
        <f t="shared" si="576"/>
        <v>600</v>
      </c>
      <c r="DG654" s="313">
        <f t="shared" si="565"/>
        <v>0</v>
      </c>
      <c r="DH654" s="313">
        <f t="shared" si="566"/>
        <v>0</v>
      </c>
      <c r="DI654" s="313">
        <f t="shared" si="567"/>
        <v>0</v>
      </c>
      <c r="DJ654" s="313">
        <f t="shared" si="568"/>
        <v>0</v>
      </c>
      <c r="DK654" s="313">
        <f t="shared" si="577"/>
        <v>0</v>
      </c>
      <c r="DL654" s="313">
        <f t="shared" si="569"/>
        <v>0</v>
      </c>
      <c r="DM654" s="314">
        <f t="shared" si="570"/>
        <v>0</v>
      </c>
      <c r="DN654" s="312">
        <f t="shared" si="571"/>
        <v>0</v>
      </c>
      <c r="DO654" s="312">
        <f t="shared" si="578"/>
        <v>0</v>
      </c>
      <c r="DP654" s="315" t="e">
        <f t="shared" si="562"/>
        <v>#NUM!</v>
      </c>
      <c r="DQ654" s="316">
        <f t="shared" si="572"/>
        <v>0</v>
      </c>
      <c r="DR654" s="316">
        <f t="shared" si="573"/>
        <v>0</v>
      </c>
      <c r="DS654" s="314">
        <f t="shared" si="574"/>
        <v>0</v>
      </c>
      <c r="DT654" s="316">
        <f t="shared" si="575"/>
        <v>0</v>
      </c>
      <c r="DU654" s="314">
        <f t="shared" si="563"/>
        <v>0</v>
      </c>
      <c r="DV654" s="316">
        <f t="shared" si="579"/>
        <v>0</v>
      </c>
      <c r="DW654" s="310">
        <f t="shared" si="564"/>
        <v>0</v>
      </c>
      <c r="FB654" s="307"/>
      <c r="FC654" s="307"/>
      <c r="FF654" s="307"/>
      <c r="FG654" s="307"/>
      <c r="FH654" s="306"/>
      <c r="FJ654" s="307"/>
      <c r="FK654" s="307"/>
      <c r="FL654" s="306"/>
      <c r="FM654" s="307"/>
      <c r="FN654" s="306"/>
      <c r="FO654" s="307"/>
      <c r="FP654" s="306"/>
    </row>
    <row r="655" spans="29:172">
      <c r="AC655" s="156"/>
      <c r="CW655" s="364"/>
      <c r="CX655" s="316"/>
      <c r="CY655" s="316"/>
      <c r="DA655" s="309">
        <v>654</v>
      </c>
      <c r="DB655" s="313">
        <f t="shared" si="558"/>
        <v>438.03653321009631</v>
      </c>
      <c r="DC655" s="309">
        <f t="shared" si="559"/>
        <v>4</v>
      </c>
      <c r="DD655" s="309">
        <f t="shared" si="560"/>
        <v>0</v>
      </c>
      <c r="DE655" s="308">
        <f t="shared" si="561"/>
        <v>0</v>
      </c>
      <c r="DF655" s="313">
        <f t="shared" si="576"/>
        <v>600</v>
      </c>
      <c r="DG655" s="313">
        <f t="shared" si="565"/>
        <v>0</v>
      </c>
      <c r="DH655" s="313">
        <f t="shared" si="566"/>
        <v>0</v>
      </c>
      <c r="DI655" s="313">
        <f t="shared" si="567"/>
        <v>0</v>
      </c>
      <c r="DJ655" s="313">
        <f t="shared" si="568"/>
        <v>0</v>
      </c>
      <c r="DK655" s="313">
        <f t="shared" si="577"/>
        <v>0</v>
      </c>
      <c r="DL655" s="313">
        <f t="shared" si="569"/>
        <v>0</v>
      </c>
      <c r="DM655" s="314">
        <f t="shared" si="570"/>
        <v>0</v>
      </c>
      <c r="DN655" s="312">
        <f t="shared" si="571"/>
        <v>0</v>
      </c>
      <c r="DO655" s="312">
        <f t="shared" si="578"/>
        <v>0</v>
      </c>
      <c r="DP655" s="315" t="e">
        <f t="shared" si="562"/>
        <v>#NUM!</v>
      </c>
      <c r="DQ655" s="316">
        <f t="shared" si="572"/>
        <v>0</v>
      </c>
      <c r="DR655" s="316">
        <f t="shared" si="573"/>
        <v>0</v>
      </c>
      <c r="DS655" s="314">
        <f t="shared" si="574"/>
        <v>0</v>
      </c>
      <c r="DT655" s="316">
        <f t="shared" si="575"/>
        <v>0</v>
      </c>
      <c r="DU655" s="314">
        <f t="shared" si="563"/>
        <v>0</v>
      </c>
      <c r="DV655" s="316">
        <f t="shared" si="579"/>
        <v>0</v>
      </c>
      <c r="DW655" s="310">
        <f t="shared" si="564"/>
        <v>0</v>
      </c>
      <c r="FB655" s="307"/>
      <c r="FC655" s="307"/>
      <c r="FF655" s="307"/>
      <c r="FG655" s="307"/>
      <c r="FH655" s="306"/>
      <c r="FJ655" s="307"/>
      <c r="FK655" s="307"/>
      <c r="FL655" s="306"/>
      <c r="FM655" s="307"/>
      <c r="FN655" s="306"/>
      <c r="FO655" s="307"/>
      <c r="FP655" s="306"/>
    </row>
    <row r="656" spans="29:172">
      <c r="AC656" s="156"/>
      <c r="CW656" s="364"/>
      <c r="CX656" s="316"/>
      <c r="CY656" s="316"/>
      <c r="DA656" s="309">
        <v>655</v>
      </c>
      <c r="DB656" s="313">
        <f t="shared" si="558"/>
        <v>438.40050344436253</v>
      </c>
      <c r="DC656" s="309">
        <f t="shared" si="559"/>
        <v>4</v>
      </c>
      <c r="DD656" s="309">
        <f t="shared" si="560"/>
        <v>0</v>
      </c>
      <c r="DE656" s="308">
        <f t="shared" si="561"/>
        <v>0</v>
      </c>
      <c r="DF656" s="313">
        <f t="shared" si="576"/>
        <v>600</v>
      </c>
      <c r="DG656" s="313">
        <f t="shared" si="565"/>
        <v>0</v>
      </c>
      <c r="DH656" s="313">
        <f t="shared" si="566"/>
        <v>0</v>
      </c>
      <c r="DI656" s="313">
        <f t="shared" si="567"/>
        <v>0</v>
      </c>
      <c r="DJ656" s="313">
        <f t="shared" si="568"/>
        <v>0</v>
      </c>
      <c r="DK656" s="313">
        <f t="shared" si="577"/>
        <v>0</v>
      </c>
      <c r="DL656" s="313">
        <f t="shared" si="569"/>
        <v>0</v>
      </c>
      <c r="DM656" s="314">
        <f t="shared" si="570"/>
        <v>0</v>
      </c>
      <c r="DN656" s="312">
        <f t="shared" si="571"/>
        <v>0</v>
      </c>
      <c r="DO656" s="312">
        <f t="shared" si="578"/>
        <v>0</v>
      </c>
      <c r="DP656" s="315" t="e">
        <f t="shared" si="562"/>
        <v>#NUM!</v>
      </c>
      <c r="DQ656" s="316">
        <f t="shared" si="572"/>
        <v>0</v>
      </c>
      <c r="DR656" s="316">
        <f t="shared" si="573"/>
        <v>0</v>
      </c>
      <c r="DS656" s="314">
        <f t="shared" si="574"/>
        <v>0</v>
      </c>
      <c r="DT656" s="316">
        <f t="shared" si="575"/>
        <v>0</v>
      </c>
      <c r="DU656" s="314">
        <f t="shared" si="563"/>
        <v>0</v>
      </c>
      <c r="DV656" s="316">
        <f t="shared" si="579"/>
        <v>0</v>
      </c>
      <c r="DW656" s="310">
        <f t="shared" si="564"/>
        <v>0</v>
      </c>
      <c r="FB656" s="307"/>
      <c r="FC656" s="307"/>
      <c r="FF656" s="307"/>
      <c r="FG656" s="307"/>
      <c r="FH656" s="306"/>
      <c r="FJ656" s="307"/>
      <c r="FK656" s="307"/>
      <c r="FL656" s="306"/>
      <c r="FM656" s="307"/>
      <c r="FN656" s="306"/>
      <c r="FO656" s="307"/>
      <c r="FP656" s="306"/>
    </row>
    <row r="657" spans="29:172">
      <c r="AC657" s="156"/>
      <c r="CW657" s="364"/>
      <c r="CX657" s="316"/>
      <c r="CY657" s="316"/>
      <c r="DA657" s="309">
        <v>656</v>
      </c>
      <c r="DB657" s="313">
        <f t="shared" si="558"/>
        <v>438.76447367862875</v>
      </c>
      <c r="DC657" s="309">
        <f t="shared" si="559"/>
        <v>4</v>
      </c>
      <c r="DD657" s="309">
        <f t="shared" si="560"/>
        <v>0</v>
      </c>
      <c r="DE657" s="308">
        <f t="shared" si="561"/>
        <v>0</v>
      </c>
      <c r="DF657" s="313">
        <f t="shared" si="576"/>
        <v>600</v>
      </c>
      <c r="DG657" s="313">
        <f t="shared" si="565"/>
        <v>0</v>
      </c>
      <c r="DH657" s="313">
        <f t="shared" si="566"/>
        <v>0</v>
      </c>
      <c r="DI657" s="313">
        <f t="shared" si="567"/>
        <v>0</v>
      </c>
      <c r="DJ657" s="313">
        <f t="shared" si="568"/>
        <v>0</v>
      </c>
      <c r="DK657" s="313">
        <f t="shared" si="577"/>
        <v>0</v>
      </c>
      <c r="DL657" s="313">
        <f t="shared" si="569"/>
        <v>0</v>
      </c>
      <c r="DM657" s="314">
        <f t="shared" si="570"/>
        <v>0</v>
      </c>
      <c r="DN657" s="312">
        <f t="shared" si="571"/>
        <v>0</v>
      </c>
      <c r="DO657" s="312">
        <f t="shared" si="578"/>
        <v>0</v>
      </c>
      <c r="DP657" s="315" t="e">
        <f t="shared" si="562"/>
        <v>#NUM!</v>
      </c>
      <c r="DQ657" s="316">
        <f t="shared" si="572"/>
        <v>0</v>
      </c>
      <c r="DR657" s="316">
        <f t="shared" si="573"/>
        <v>0</v>
      </c>
      <c r="DS657" s="314">
        <f t="shared" si="574"/>
        <v>0</v>
      </c>
      <c r="DT657" s="316">
        <f t="shared" si="575"/>
        <v>0</v>
      </c>
      <c r="DU657" s="314">
        <f t="shared" si="563"/>
        <v>0</v>
      </c>
      <c r="DV657" s="316">
        <f t="shared" si="579"/>
        <v>0</v>
      </c>
      <c r="DW657" s="310">
        <f t="shared" si="564"/>
        <v>0</v>
      </c>
      <c r="FB657" s="307"/>
      <c r="FC657" s="307"/>
      <c r="FF657" s="307"/>
      <c r="FG657" s="307"/>
      <c r="FH657" s="306"/>
      <c r="FJ657" s="307"/>
      <c r="FK657" s="307"/>
      <c r="FL657" s="306"/>
      <c r="FM657" s="307"/>
      <c r="FN657" s="306"/>
      <c r="FO657" s="307"/>
      <c r="FP657" s="306"/>
    </row>
    <row r="658" spans="29:172">
      <c r="AC658" s="156"/>
      <c r="CW658" s="364"/>
      <c r="CX658" s="316"/>
      <c r="CY658" s="316"/>
      <c r="DA658" s="309">
        <v>657</v>
      </c>
      <c r="DB658" s="313">
        <f t="shared" si="558"/>
        <v>439.12844391289491</v>
      </c>
      <c r="DC658" s="309">
        <f t="shared" si="559"/>
        <v>4</v>
      </c>
      <c r="DD658" s="309">
        <f t="shared" si="560"/>
        <v>0</v>
      </c>
      <c r="DE658" s="308">
        <f t="shared" si="561"/>
        <v>0</v>
      </c>
      <c r="DF658" s="313">
        <f t="shared" si="576"/>
        <v>600</v>
      </c>
      <c r="DG658" s="313">
        <f t="shared" si="565"/>
        <v>0</v>
      </c>
      <c r="DH658" s="313">
        <f t="shared" si="566"/>
        <v>0</v>
      </c>
      <c r="DI658" s="313">
        <f t="shared" si="567"/>
        <v>0</v>
      </c>
      <c r="DJ658" s="313">
        <f t="shared" si="568"/>
        <v>0</v>
      </c>
      <c r="DK658" s="313">
        <f t="shared" si="577"/>
        <v>0</v>
      </c>
      <c r="DL658" s="313">
        <f t="shared" si="569"/>
        <v>0</v>
      </c>
      <c r="DM658" s="314">
        <f t="shared" si="570"/>
        <v>0</v>
      </c>
      <c r="DN658" s="312">
        <f t="shared" si="571"/>
        <v>0</v>
      </c>
      <c r="DO658" s="312">
        <f t="shared" si="578"/>
        <v>0</v>
      </c>
      <c r="DP658" s="315" t="e">
        <f t="shared" si="562"/>
        <v>#NUM!</v>
      </c>
      <c r="DQ658" s="316">
        <f t="shared" si="572"/>
        <v>0</v>
      </c>
      <c r="DR658" s="316">
        <f t="shared" si="573"/>
        <v>0</v>
      </c>
      <c r="DS658" s="314">
        <f t="shared" si="574"/>
        <v>0</v>
      </c>
      <c r="DT658" s="316">
        <f t="shared" si="575"/>
        <v>0</v>
      </c>
      <c r="DU658" s="314">
        <f t="shared" si="563"/>
        <v>0</v>
      </c>
      <c r="DV658" s="316">
        <f t="shared" si="579"/>
        <v>0</v>
      </c>
      <c r="DW658" s="310">
        <f t="shared" si="564"/>
        <v>0</v>
      </c>
      <c r="FB658" s="307"/>
      <c r="FC658" s="307"/>
      <c r="FF658" s="307"/>
      <c r="FG658" s="307"/>
      <c r="FH658" s="306"/>
      <c r="FJ658" s="307"/>
      <c r="FK658" s="307"/>
      <c r="FL658" s="306"/>
      <c r="FM658" s="307"/>
      <c r="FN658" s="306"/>
      <c r="FO658" s="307"/>
      <c r="FP658" s="306"/>
    </row>
    <row r="659" spans="29:172">
      <c r="AC659" s="156"/>
      <c r="CW659" s="364"/>
      <c r="CX659" s="316"/>
      <c r="CY659" s="316"/>
      <c r="DA659" s="309">
        <v>658</v>
      </c>
      <c r="DB659" s="313">
        <f t="shared" si="558"/>
        <v>439.49241414716113</v>
      </c>
      <c r="DC659" s="309">
        <f t="shared" si="559"/>
        <v>4</v>
      </c>
      <c r="DD659" s="309">
        <f t="shared" si="560"/>
        <v>0</v>
      </c>
      <c r="DE659" s="308">
        <f t="shared" si="561"/>
        <v>0</v>
      </c>
      <c r="DF659" s="313">
        <f t="shared" si="576"/>
        <v>600</v>
      </c>
      <c r="DG659" s="313">
        <f t="shared" si="565"/>
        <v>0</v>
      </c>
      <c r="DH659" s="313">
        <f t="shared" si="566"/>
        <v>0</v>
      </c>
      <c r="DI659" s="313">
        <f t="shared" si="567"/>
        <v>0</v>
      </c>
      <c r="DJ659" s="313">
        <f t="shared" si="568"/>
        <v>0</v>
      </c>
      <c r="DK659" s="313">
        <f t="shared" si="577"/>
        <v>0</v>
      </c>
      <c r="DL659" s="313">
        <f t="shared" si="569"/>
        <v>0</v>
      </c>
      <c r="DM659" s="314">
        <f t="shared" si="570"/>
        <v>0</v>
      </c>
      <c r="DN659" s="312">
        <f t="shared" si="571"/>
        <v>0</v>
      </c>
      <c r="DO659" s="312">
        <f t="shared" si="578"/>
        <v>0</v>
      </c>
      <c r="DP659" s="315" t="e">
        <f t="shared" si="562"/>
        <v>#NUM!</v>
      </c>
      <c r="DQ659" s="316">
        <f t="shared" si="572"/>
        <v>0</v>
      </c>
      <c r="DR659" s="316">
        <f t="shared" si="573"/>
        <v>0</v>
      </c>
      <c r="DS659" s="314">
        <f t="shared" si="574"/>
        <v>0</v>
      </c>
      <c r="DT659" s="316">
        <f t="shared" si="575"/>
        <v>0</v>
      </c>
      <c r="DU659" s="314">
        <f t="shared" si="563"/>
        <v>0</v>
      </c>
      <c r="DV659" s="316">
        <f t="shared" si="579"/>
        <v>0</v>
      </c>
      <c r="DW659" s="310">
        <f t="shared" si="564"/>
        <v>0</v>
      </c>
      <c r="FB659" s="307"/>
      <c r="FC659" s="307"/>
      <c r="FF659" s="307"/>
      <c r="FG659" s="307"/>
      <c r="FH659" s="306"/>
      <c r="FJ659" s="307"/>
      <c r="FK659" s="307"/>
      <c r="FL659" s="306"/>
      <c r="FM659" s="307"/>
      <c r="FN659" s="306"/>
      <c r="FO659" s="307"/>
      <c r="FP659" s="306"/>
    </row>
    <row r="660" spans="29:172">
      <c r="AC660" s="156"/>
      <c r="CW660" s="364"/>
      <c r="CX660" s="316"/>
      <c r="CY660" s="316"/>
      <c r="DA660" s="309">
        <v>659</v>
      </c>
      <c r="DB660" s="313">
        <f t="shared" si="558"/>
        <v>439.85638438142735</v>
      </c>
      <c r="DC660" s="309">
        <f t="shared" si="559"/>
        <v>4</v>
      </c>
      <c r="DD660" s="309">
        <f t="shared" si="560"/>
        <v>0</v>
      </c>
      <c r="DE660" s="308">
        <f t="shared" si="561"/>
        <v>0</v>
      </c>
      <c r="DF660" s="313">
        <f t="shared" si="576"/>
        <v>600</v>
      </c>
      <c r="DG660" s="313">
        <f t="shared" si="565"/>
        <v>0</v>
      </c>
      <c r="DH660" s="313">
        <f t="shared" si="566"/>
        <v>0</v>
      </c>
      <c r="DI660" s="313">
        <f t="shared" si="567"/>
        <v>0</v>
      </c>
      <c r="DJ660" s="313">
        <f t="shared" si="568"/>
        <v>0</v>
      </c>
      <c r="DK660" s="313">
        <f t="shared" si="577"/>
        <v>0</v>
      </c>
      <c r="DL660" s="313">
        <f t="shared" si="569"/>
        <v>0</v>
      </c>
      <c r="DM660" s="314">
        <f t="shared" si="570"/>
        <v>0</v>
      </c>
      <c r="DN660" s="312">
        <f t="shared" si="571"/>
        <v>0</v>
      </c>
      <c r="DO660" s="312">
        <f t="shared" si="578"/>
        <v>0</v>
      </c>
      <c r="DP660" s="315" t="e">
        <f t="shared" si="562"/>
        <v>#NUM!</v>
      </c>
      <c r="DQ660" s="316">
        <f t="shared" si="572"/>
        <v>0</v>
      </c>
      <c r="DR660" s="316">
        <f t="shared" si="573"/>
        <v>0</v>
      </c>
      <c r="DS660" s="314">
        <f t="shared" si="574"/>
        <v>0</v>
      </c>
      <c r="DT660" s="316">
        <f t="shared" si="575"/>
        <v>0</v>
      </c>
      <c r="DU660" s="314">
        <f t="shared" si="563"/>
        <v>0</v>
      </c>
      <c r="DV660" s="316">
        <f t="shared" si="579"/>
        <v>0</v>
      </c>
      <c r="DW660" s="310">
        <f t="shared" si="564"/>
        <v>0</v>
      </c>
      <c r="FB660" s="307"/>
      <c r="FC660" s="307"/>
      <c r="FF660" s="307"/>
      <c r="FG660" s="307"/>
      <c r="FH660" s="306"/>
      <c r="FJ660" s="307"/>
      <c r="FK660" s="307"/>
      <c r="FL660" s="306"/>
      <c r="FM660" s="307"/>
      <c r="FN660" s="306"/>
      <c r="FO660" s="307"/>
      <c r="FP660" s="306"/>
    </row>
    <row r="661" spans="29:172">
      <c r="AC661" s="156"/>
      <c r="CW661" s="364"/>
      <c r="CX661" s="316"/>
      <c r="CY661" s="316"/>
      <c r="DA661" s="309">
        <v>660</v>
      </c>
      <c r="DB661" s="313">
        <f t="shared" si="558"/>
        <v>440.22035461569351</v>
      </c>
      <c r="DC661" s="309">
        <f t="shared" si="559"/>
        <v>4</v>
      </c>
      <c r="DD661" s="309">
        <f t="shared" si="560"/>
        <v>0</v>
      </c>
      <c r="DE661" s="308">
        <f t="shared" si="561"/>
        <v>0</v>
      </c>
      <c r="DF661" s="313">
        <f t="shared" si="576"/>
        <v>600</v>
      </c>
      <c r="DG661" s="313">
        <f t="shared" si="565"/>
        <v>0</v>
      </c>
      <c r="DH661" s="313">
        <f t="shared" si="566"/>
        <v>0</v>
      </c>
      <c r="DI661" s="313">
        <f t="shared" si="567"/>
        <v>0</v>
      </c>
      <c r="DJ661" s="313">
        <f t="shared" si="568"/>
        <v>0</v>
      </c>
      <c r="DK661" s="313">
        <f t="shared" si="577"/>
        <v>0</v>
      </c>
      <c r="DL661" s="313">
        <f t="shared" si="569"/>
        <v>0</v>
      </c>
      <c r="DM661" s="314">
        <f t="shared" si="570"/>
        <v>0</v>
      </c>
      <c r="DN661" s="312">
        <f t="shared" si="571"/>
        <v>0</v>
      </c>
      <c r="DO661" s="312">
        <f t="shared" si="578"/>
        <v>0</v>
      </c>
      <c r="DP661" s="315" t="e">
        <f t="shared" si="562"/>
        <v>#NUM!</v>
      </c>
      <c r="DQ661" s="316">
        <f t="shared" si="572"/>
        <v>0</v>
      </c>
      <c r="DR661" s="316">
        <f t="shared" si="573"/>
        <v>0</v>
      </c>
      <c r="DS661" s="314">
        <f t="shared" si="574"/>
        <v>0</v>
      </c>
      <c r="DT661" s="316">
        <f t="shared" si="575"/>
        <v>0</v>
      </c>
      <c r="DU661" s="314">
        <f t="shared" si="563"/>
        <v>0</v>
      </c>
      <c r="DV661" s="316">
        <f t="shared" si="579"/>
        <v>0</v>
      </c>
      <c r="DW661" s="310">
        <f t="shared" si="564"/>
        <v>0</v>
      </c>
      <c r="FB661" s="307"/>
      <c r="FC661" s="307"/>
      <c r="FF661" s="307"/>
      <c r="FG661" s="307"/>
      <c r="FH661" s="306"/>
      <c r="FJ661" s="307"/>
      <c r="FK661" s="307"/>
      <c r="FL661" s="306"/>
      <c r="FM661" s="307"/>
      <c r="FN661" s="306"/>
      <c r="FO661" s="307"/>
      <c r="FP661" s="306"/>
    </row>
    <row r="662" spans="29:172">
      <c r="AC662" s="156"/>
      <c r="CW662" s="364"/>
      <c r="CX662" s="316"/>
      <c r="CY662" s="316"/>
      <c r="DA662" s="309">
        <v>661</v>
      </c>
      <c r="DB662" s="313">
        <f t="shared" si="558"/>
        <v>440.58432484995978</v>
      </c>
      <c r="DC662" s="309">
        <f t="shared" si="559"/>
        <v>4</v>
      </c>
      <c r="DD662" s="309">
        <f t="shared" si="560"/>
        <v>0</v>
      </c>
      <c r="DE662" s="308">
        <f t="shared" si="561"/>
        <v>0</v>
      </c>
      <c r="DF662" s="313">
        <f t="shared" si="576"/>
        <v>600</v>
      </c>
      <c r="DG662" s="313">
        <f t="shared" si="565"/>
        <v>0</v>
      </c>
      <c r="DH662" s="313">
        <f t="shared" si="566"/>
        <v>0</v>
      </c>
      <c r="DI662" s="313">
        <f t="shared" si="567"/>
        <v>0</v>
      </c>
      <c r="DJ662" s="313">
        <f t="shared" si="568"/>
        <v>0</v>
      </c>
      <c r="DK662" s="313">
        <f t="shared" si="577"/>
        <v>0</v>
      </c>
      <c r="DL662" s="313">
        <f t="shared" si="569"/>
        <v>0</v>
      </c>
      <c r="DM662" s="314">
        <f t="shared" si="570"/>
        <v>0</v>
      </c>
      <c r="DN662" s="312">
        <f t="shared" si="571"/>
        <v>0</v>
      </c>
      <c r="DO662" s="312">
        <f t="shared" si="578"/>
        <v>0</v>
      </c>
      <c r="DP662" s="315" t="e">
        <f t="shared" si="562"/>
        <v>#NUM!</v>
      </c>
      <c r="DQ662" s="316">
        <f t="shared" si="572"/>
        <v>0</v>
      </c>
      <c r="DR662" s="316">
        <f t="shared" si="573"/>
        <v>0</v>
      </c>
      <c r="DS662" s="314">
        <f t="shared" si="574"/>
        <v>0</v>
      </c>
      <c r="DT662" s="316">
        <f t="shared" si="575"/>
        <v>0</v>
      </c>
      <c r="DU662" s="314">
        <f t="shared" si="563"/>
        <v>0</v>
      </c>
      <c r="DV662" s="316">
        <f t="shared" si="579"/>
        <v>0</v>
      </c>
      <c r="DW662" s="310">
        <f t="shared" si="564"/>
        <v>0</v>
      </c>
      <c r="FB662" s="307"/>
      <c r="FC662" s="307"/>
      <c r="FF662" s="307"/>
      <c r="FG662" s="307"/>
      <c r="FH662" s="306"/>
      <c r="FJ662" s="307"/>
      <c r="FK662" s="307"/>
      <c r="FL662" s="306"/>
      <c r="FM662" s="307"/>
      <c r="FN662" s="306"/>
      <c r="FO662" s="307"/>
      <c r="FP662" s="306"/>
    </row>
    <row r="663" spans="29:172">
      <c r="AC663" s="156"/>
      <c r="CW663" s="364"/>
      <c r="CX663" s="316"/>
      <c r="CY663" s="316"/>
      <c r="DA663" s="309">
        <v>662</v>
      </c>
      <c r="DB663" s="313">
        <f t="shared" si="558"/>
        <v>440.94829508422595</v>
      </c>
      <c r="DC663" s="309">
        <f t="shared" si="559"/>
        <v>4</v>
      </c>
      <c r="DD663" s="309">
        <f t="shared" si="560"/>
        <v>0</v>
      </c>
      <c r="DE663" s="308">
        <f t="shared" si="561"/>
        <v>0</v>
      </c>
      <c r="DF663" s="313">
        <f t="shared" si="576"/>
        <v>600</v>
      </c>
      <c r="DG663" s="313">
        <f t="shared" si="565"/>
        <v>0</v>
      </c>
      <c r="DH663" s="313">
        <f t="shared" si="566"/>
        <v>0</v>
      </c>
      <c r="DI663" s="313">
        <f t="shared" si="567"/>
        <v>0</v>
      </c>
      <c r="DJ663" s="313">
        <f t="shared" si="568"/>
        <v>0</v>
      </c>
      <c r="DK663" s="313">
        <f t="shared" si="577"/>
        <v>0</v>
      </c>
      <c r="DL663" s="313">
        <f t="shared" si="569"/>
        <v>0</v>
      </c>
      <c r="DM663" s="314">
        <f t="shared" si="570"/>
        <v>0</v>
      </c>
      <c r="DN663" s="312">
        <f t="shared" si="571"/>
        <v>0</v>
      </c>
      <c r="DO663" s="312">
        <f t="shared" si="578"/>
        <v>0</v>
      </c>
      <c r="DP663" s="315" t="e">
        <f t="shared" si="562"/>
        <v>#NUM!</v>
      </c>
      <c r="DQ663" s="316">
        <f t="shared" si="572"/>
        <v>0</v>
      </c>
      <c r="DR663" s="316">
        <f t="shared" si="573"/>
        <v>0</v>
      </c>
      <c r="DS663" s="314">
        <f t="shared" si="574"/>
        <v>0</v>
      </c>
      <c r="DT663" s="316">
        <f t="shared" si="575"/>
        <v>0</v>
      </c>
      <c r="DU663" s="314">
        <f t="shared" si="563"/>
        <v>0</v>
      </c>
      <c r="DV663" s="316">
        <f t="shared" si="579"/>
        <v>0</v>
      </c>
      <c r="DW663" s="310">
        <f t="shared" si="564"/>
        <v>0</v>
      </c>
      <c r="FB663" s="307"/>
      <c r="FC663" s="307"/>
      <c r="FF663" s="307"/>
      <c r="FG663" s="307"/>
      <c r="FH663" s="306"/>
      <c r="FJ663" s="307"/>
      <c r="FK663" s="307"/>
      <c r="FL663" s="306"/>
      <c r="FM663" s="307"/>
      <c r="FN663" s="306"/>
      <c r="FO663" s="307"/>
      <c r="FP663" s="306"/>
    </row>
    <row r="664" spans="29:172">
      <c r="AC664" s="156"/>
      <c r="CW664" s="364"/>
      <c r="CX664" s="316"/>
      <c r="CY664" s="316"/>
      <c r="DA664" s="309">
        <v>663</v>
      </c>
      <c r="DB664" s="313">
        <f t="shared" si="558"/>
        <v>441.31226531849217</v>
      </c>
      <c r="DC664" s="309">
        <f t="shared" si="559"/>
        <v>4</v>
      </c>
      <c r="DD664" s="309">
        <f t="shared" si="560"/>
        <v>0</v>
      </c>
      <c r="DE664" s="308">
        <f t="shared" si="561"/>
        <v>0</v>
      </c>
      <c r="DF664" s="313">
        <f t="shared" si="576"/>
        <v>600</v>
      </c>
      <c r="DG664" s="313">
        <f t="shared" si="565"/>
        <v>0</v>
      </c>
      <c r="DH664" s="313">
        <f t="shared" si="566"/>
        <v>0</v>
      </c>
      <c r="DI664" s="313">
        <f t="shared" si="567"/>
        <v>0</v>
      </c>
      <c r="DJ664" s="313">
        <f t="shared" si="568"/>
        <v>0</v>
      </c>
      <c r="DK664" s="313">
        <f t="shared" si="577"/>
        <v>0</v>
      </c>
      <c r="DL664" s="313">
        <f t="shared" si="569"/>
        <v>0</v>
      </c>
      <c r="DM664" s="314">
        <f t="shared" si="570"/>
        <v>0</v>
      </c>
      <c r="DN664" s="312">
        <f t="shared" si="571"/>
        <v>0</v>
      </c>
      <c r="DO664" s="312">
        <f t="shared" si="578"/>
        <v>0</v>
      </c>
      <c r="DP664" s="315" t="e">
        <f t="shared" si="562"/>
        <v>#NUM!</v>
      </c>
      <c r="DQ664" s="316">
        <f t="shared" si="572"/>
        <v>0</v>
      </c>
      <c r="DR664" s="316">
        <f t="shared" si="573"/>
        <v>0</v>
      </c>
      <c r="DS664" s="314">
        <f t="shared" si="574"/>
        <v>0</v>
      </c>
      <c r="DT664" s="316">
        <f t="shared" si="575"/>
        <v>0</v>
      </c>
      <c r="DU664" s="314">
        <f t="shared" si="563"/>
        <v>0</v>
      </c>
      <c r="DV664" s="316">
        <f t="shared" si="579"/>
        <v>0</v>
      </c>
      <c r="DW664" s="310">
        <f t="shared" si="564"/>
        <v>0</v>
      </c>
      <c r="FB664" s="307"/>
      <c r="FC664" s="307"/>
      <c r="FF664" s="307"/>
      <c r="FG664" s="307"/>
      <c r="FH664" s="306"/>
      <c r="FJ664" s="307"/>
      <c r="FK664" s="307"/>
      <c r="FL664" s="306"/>
      <c r="FM664" s="307"/>
      <c r="FN664" s="306"/>
      <c r="FO664" s="307"/>
      <c r="FP664" s="306"/>
    </row>
    <row r="665" spans="29:172">
      <c r="AC665" s="156"/>
      <c r="CW665" s="364"/>
      <c r="CX665" s="316"/>
      <c r="CY665" s="316"/>
      <c r="DA665" s="309">
        <v>664</v>
      </c>
      <c r="DB665" s="313">
        <f t="shared" si="558"/>
        <v>441.67623555275838</v>
      </c>
      <c r="DC665" s="309">
        <f t="shared" si="559"/>
        <v>4</v>
      </c>
      <c r="DD665" s="309">
        <f t="shared" si="560"/>
        <v>0</v>
      </c>
      <c r="DE665" s="308">
        <f t="shared" si="561"/>
        <v>0</v>
      </c>
      <c r="DF665" s="313">
        <f t="shared" si="576"/>
        <v>600</v>
      </c>
      <c r="DG665" s="313">
        <f t="shared" si="565"/>
        <v>0</v>
      </c>
      <c r="DH665" s="313">
        <f t="shared" si="566"/>
        <v>0</v>
      </c>
      <c r="DI665" s="313">
        <f t="shared" si="567"/>
        <v>0</v>
      </c>
      <c r="DJ665" s="313">
        <f t="shared" si="568"/>
        <v>0</v>
      </c>
      <c r="DK665" s="313">
        <f t="shared" si="577"/>
        <v>0</v>
      </c>
      <c r="DL665" s="313">
        <f t="shared" si="569"/>
        <v>0</v>
      </c>
      <c r="DM665" s="314">
        <f t="shared" si="570"/>
        <v>0</v>
      </c>
      <c r="DN665" s="312">
        <f t="shared" si="571"/>
        <v>0</v>
      </c>
      <c r="DO665" s="312">
        <f t="shared" si="578"/>
        <v>0</v>
      </c>
      <c r="DP665" s="315" t="e">
        <f t="shared" si="562"/>
        <v>#NUM!</v>
      </c>
      <c r="DQ665" s="316">
        <f t="shared" si="572"/>
        <v>0</v>
      </c>
      <c r="DR665" s="316">
        <f t="shared" si="573"/>
        <v>0</v>
      </c>
      <c r="DS665" s="314">
        <f t="shared" si="574"/>
        <v>0</v>
      </c>
      <c r="DT665" s="316">
        <f t="shared" si="575"/>
        <v>0</v>
      </c>
      <c r="DU665" s="314">
        <f t="shared" si="563"/>
        <v>0</v>
      </c>
      <c r="DV665" s="316">
        <f t="shared" si="579"/>
        <v>0</v>
      </c>
      <c r="DW665" s="310">
        <f t="shared" si="564"/>
        <v>0</v>
      </c>
      <c r="FB665" s="307"/>
      <c r="FC665" s="307"/>
      <c r="FF665" s="307"/>
      <c r="FG665" s="307"/>
      <c r="FH665" s="306"/>
      <c r="FJ665" s="307"/>
      <c r="FK665" s="307"/>
      <c r="FL665" s="306"/>
      <c r="FM665" s="307"/>
      <c r="FN665" s="306"/>
      <c r="FO665" s="307"/>
      <c r="FP665" s="306"/>
    </row>
    <row r="666" spans="29:172">
      <c r="AC666" s="156"/>
      <c r="CW666" s="364"/>
      <c r="CX666" s="316"/>
      <c r="CY666" s="316"/>
      <c r="DA666" s="309">
        <v>665</v>
      </c>
      <c r="DB666" s="313">
        <f t="shared" si="558"/>
        <v>442.04020578702455</v>
      </c>
      <c r="DC666" s="309">
        <f t="shared" si="559"/>
        <v>4</v>
      </c>
      <c r="DD666" s="309">
        <f t="shared" si="560"/>
        <v>0</v>
      </c>
      <c r="DE666" s="308">
        <f t="shared" si="561"/>
        <v>0</v>
      </c>
      <c r="DF666" s="313">
        <f t="shared" si="576"/>
        <v>600</v>
      </c>
      <c r="DG666" s="313">
        <f t="shared" si="565"/>
        <v>0</v>
      </c>
      <c r="DH666" s="313">
        <f t="shared" si="566"/>
        <v>0</v>
      </c>
      <c r="DI666" s="313">
        <f t="shared" si="567"/>
        <v>0</v>
      </c>
      <c r="DJ666" s="313">
        <f t="shared" si="568"/>
        <v>0</v>
      </c>
      <c r="DK666" s="313">
        <f t="shared" si="577"/>
        <v>0</v>
      </c>
      <c r="DL666" s="313">
        <f t="shared" si="569"/>
        <v>0</v>
      </c>
      <c r="DM666" s="314">
        <f t="shared" si="570"/>
        <v>0</v>
      </c>
      <c r="DN666" s="312">
        <f t="shared" si="571"/>
        <v>0</v>
      </c>
      <c r="DO666" s="312">
        <f t="shared" si="578"/>
        <v>0</v>
      </c>
      <c r="DP666" s="315" t="e">
        <f t="shared" si="562"/>
        <v>#NUM!</v>
      </c>
      <c r="DQ666" s="316">
        <f t="shared" si="572"/>
        <v>0</v>
      </c>
      <c r="DR666" s="316">
        <f t="shared" si="573"/>
        <v>0</v>
      </c>
      <c r="DS666" s="314">
        <f t="shared" si="574"/>
        <v>0</v>
      </c>
      <c r="DT666" s="316">
        <f t="shared" si="575"/>
        <v>0</v>
      </c>
      <c r="DU666" s="314">
        <f t="shared" si="563"/>
        <v>0</v>
      </c>
      <c r="DV666" s="316">
        <f t="shared" si="579"/>
        <v>0</v>
      </c>
      <c r="DW666" s="310">
        <f t="shared" si="564"/>
        <v>0</v>
      </c>
      <c r="FB666" s="307"/>
      <c r="FC666" s="307"/>
      <c r="FF666" s="307"/>
      <c r="FG666" s="307"/>
      <c r="FH666" s="306"/>
      <c r="FJ666" s="307"/>
      <c r="FK666" s="307"/>
      <c r="FL666" s="306"/>
      <c r="FM666" s="307"/>
      <c r="FN666" s="306"/>
      <c r="FO666" s="307"/>
      <c r="FP666" s="306"/>
    </row>
    <row r="667" spans="29:172">
      <c r="AC667" s="156"/>
      <c r="CW667" s="364"/>
      <c r="CX667" s="316"/>
      <c r="CY667" s="316"/>
      <c r="DA667" s="309">
        <v>666</v>
      </c>
      <c r="DB667" s="313">
        <f t="shared" si="558"/>
        <v>442.40417602129077</v>
      </c>
      <c r="DC667" s="309">
        <f t="shared" si="559"/>
        <v>4</v>
      </c>
      <c r="DD667" s="309">
        <f t="shared" si="560"/>
        <v>0</v>
      </c>
      <c r="DE667" s="308">
        <f t="shared" si="561"/>
        <v>0</v>
      </c>
      <c r="DF667" s="313">
        <f t="shared" si="576"/>
        <v>600</v>
      </c>
      <c r="DG667" s="313">
        <f t="shared" si="565"/>
        <v>0</v>
      </c>
      <c r="DH667" s="313">
        <f t="shared" si="566"/>
        <v>0</v>
      </c>
      <c r="DI667" s="313">
        <f t="shared" si="567"/>
        <v>0</v>
      </c>
      <c r="DJ667" s="313">
        <f t="shared" si="568"/>
        <v>0</v>
      </c>
      <c r="DK667" s="313">
        <f t="shared" si="577"/>
        <v>0</v>
      </c>
      <c r="DL667" s="313">
        <f t="shared" si="569"/>
        <v>0</v>
      </c>
      <c r="DM667" s="314">
        <f t="shared" si="570"/>
        <v>0</v>
      </c>
      <c r="DN667" s="312">
        <f t="shared" si="571"/>
        <v>0</v>
      </c>
      <c r="DO667" s="312">
        <f t="shared" si="578"/>
        <v>0</v>
      </c>
      <c r="DP667" s="315" t="e">
        <f t="shared" si="562"/>
        <v>#NUM!</v>
      </c>
      <c r="DQ667" s="316">
        <f t="shared" si="572"/>
        <v>0</v>
      </c>
      <c r="DR667" s="316">
        <f t="shared" si="573"/>
        <v>0</v>
      </c>
      <c r="DS667" s="314">
        <f t="shared" si="574"/>
        <v>0</v>
      </c>
      <c r="DT667" s="316">
        <f t="shared" si="575"/>
        <v>0</v>
      </c>
      <c r="DU667" s="314">
        <f t="shared" si="563"/>
        <v>0</v>
      </c>
      <c r="DV667" s="316">
        <f t="shared" si="579"/>
        <v>0</v>
      </c>
      <c r="DW667" s="310">
        <f t="shared" si="564"/>
        <v>0</v>
      </c>
      <c r="FB667" s="307"/>
      <c r="FC667" s="307"/>
      <c r="FF667" s="307"/>
      <c r="FG667" s="307"/>
      <c r="FH667" s="306"/>
      <c r="FJ667" s="307"/>
      <c r="FK667" s="307"/>
      <c r="FL667" s="306"/>
      <c r="FM667" s="307"/>
      <c r="FN667" s="306"/>
      <c r="FO667" s="307"/>
      <c r="FP667" s="306"/>
    </row>
    <row r="668" spans="29:172">
      <c r="AC668" s="156"/>
      <c r="CW668" s="364"/>
      <c r="CX668" s="316"/>
      <c r="CY668" s="316"/>
      <c r="DA668" s="309">
        <v>667</v>
      </c>
      <c r="DB668" s="313">
        <f t="shared" si="558"/>
        <v>442.76814625555699</v>
      </c>
      <c r="DC668" s="309">
        <f t="shared" si="559"/>
        <v>4</v>
      </c>
      <c r="DD668" s="309">
        <f t="shared" si="560"/>
        <v>0</v>
      </c>
      <c r="DE668" s="308">
        <f t="shared" si="561"/>
        <v>0</v>
      </c>
      <c r="DF668" s="313">
        <f t="shared" si="576"/>
        <v>600</v>
      </c>
      <c r="DG668" s="313">
        <f t="shared" si="565"/>
        <v>0</v>
      </c>
      <c r="DH668" s="313">
        <f t="shared" si="566"/>
        <v>0</v>
      </c>
      <c r="DI668" s="313">
        <f t="shared" si="567"/>
        <v>0</v>
      </c>
      <c r="DJ668" s="313">
        <f t="shared" si="568"/>
        <v>0</v>
      </c>
      <c r="DK668" s="313">
        <f t="shared" si="577"/>
        <v>0</v>
      </c>
      <c r="DL668" s="313">
        <f t="shared" si="569"/>
        <v>0</v>
      </c>
      <c r="DM668" s="314">
        <f t="shared" si="570"/>
        <v>0</v>
      </c>
      <c r="DN668" s="312">
        <f t="shared" si="571"/>
        <v>0</v>
      </c>
      <c r="DO668" s="312">
        <f t="shared" si="578"/>
        <v>0</v>
      </c>
      <c r="DP668" s="315" t="e">
        <f t="shared" si="562"/>
        <v>#NUM!</v>
      </c>
      <c r="DQ668" s="316">
        <f t="shared" si="572"/>
        <v>0</v>
      </c>
      <c r="DR668" s="316">
        <f t="shared" si="573"/>
        <v>0</v>
      </c>
      <c r="DS668" s="314">
        <f t="shared" si="574"/>
        <v>0</v>
      </c>
      <c r="DT668" s="316">
        <f t="shared" si="575"/>
        <v>0</v>
      </c>
      <c r="DU668" s="314">
        <f t="shared" si="563"/>
        <v>0</v>
      </c>
      <c r="DV668" s="316">
        <f t="shared" si="579"/>
        <v>0</v>
      </c>
      <c r="DW668" s="310">
        <f t="shared" si="564"/>
        <v>0</v>
      </c>
      <c r="FB668" s="307"/>
      <c r="FC668" s="307"/>
      <c r="FF668" s="307"/>
      <c r="FG668" s="307"/>
      <c r="FH668" s="306"/>
      <c r="FJ668" s="307"/>
      <c r="FK668" s="307"/>
      <c r="FL668" s="306"/>
      <c r="FM668" s="307"/>
      <c r="FN668" s="306"/>
      <c r="FO668" s="307"/>
      <c r="FP668" s="306"/>
    </row>
    <row r="669" spans="29:172">
      <c r="AC669" s="156"/>
      <c r="CW669" s="364"/>
      <c r="CX669" s="316"/>
      <c r="CY669" s="316"/>
      <c r="DA669" s="309">
        <v>668</v>
      </c>
      <c r="DB669" s="313">
        <f t="shared" si="558"/>
        <v>443.13211648982315</v>
      </c>
      <c r="DC669" s="309">
        <f t="shared" si="559"/>
        <v>4</v>
      </c>
      <c r="DD669" s="309">
        <f t="shared" si="560"/>
        <v>0</v>
      </c>
      <c r="DE669" s="308">
        <f t="shared" si="561"/>
        <v>0</v>
      </c>
      <c r="DF669" s="313">
        <f t="shared" si="576"/>
        <v>600</v>
      </c>
      <c r="DG669" s="313">
        <f t="shared" si="565"/>
        <v>0</v>
      </c>
      <c r="DH669" s="313">
        <f t="shared" si="566"/>
        <v>0</v>
      </c>
      <c r="DI669" s="313">
        <f t="shared" si="567"/>
        <v>0</v>
      </c>
      <c r="DJ669" s="313">
        <f t="shared" si="568"/>
        <v>0</v>
      </c>
      <c r="DK669" s="313">
        <f t="shared" si="577"/>
        <v>0</v>
      </c>
      <c r="DL669" s="313">
        <f t="shared" si="569"/>
        <v>0</v>
      </c>
      <c r="DM669" s="314">
        <f t="shared" si="570"/>
        <v>0</v>
      </c>
      <c r="DN669" s="312">
        <f t="shared" si="571"/>
        <v>0</v>
      </c>
      <c r="DO669" s="312">
        <f t="shared" si="578"/>
        <v>0</v>
      </c>
      <c r="DP669" s="315" t="e">
        <f t="shared" si="562"/>
        <v>#NUM!</v>
      </c>
      <c r="DQ669" s="316">
        <f t="shared" si="572"/>
        <v>0</v>
      </c>
      <c r="DR669" s="316">
        <f t="shared" si="573"/>
        <v>0</v>
      </c>
      <c r="DS669" s="314">
        <f t="shared" si="574"/>
        <v>0</v>
      </c>
      <c r="DT669" s="316">
        <f t="shared" si="575"/>
        <v>0</v>
      </c>
      <c r="DU669" s="314">
        <f t="shared" si="563"/>
        <v>0</v>
      </c>
      <c r="DV669" s="316">
        <f t="shared" si="579"/>
        <v>0</v>
      </c>
      <c r="DW669" s="310">
        <f t="shared" si="564"/>
        <v>0</v>
      </c>
      <c r="FB669" s="307"/>
      <c r="FC669" s="307"/>
      <c r="FF669" s="307"/>
      <c r="FG669" s="307"/>
      <c r="FH669" s="306"/>
      <c r="FJ669" s="307"/>
      <c r="FK669" s="307"/>
      <c r="FL669" s="306"/>
      <c r="FM669" s="307"/>
      <c r="FN669" s="306"/>
      <c r="FO669" s="307"/>
      <c r="FP669" s="306"/>
    </row>
    <row r="670" spans="29:172">
      <c r="AC670" s="156"/>
      <c r="CW670" s="364"/>
      <c r="CX670" s="316"/>
      <c r="CY670" s="316"/>
      <c r="DA670" s="309">
        <v>669</v>
      </c>
      <c r="DB670" s="313">
        <f t="shared" si="558"/>
        <v>443.49608672408937</v>
      </c>
      <c r="DC670" s="309">
        <f t="shared" si="559"/>
        <v>4</v>
      </c>
      <c r="DD670" s="309">
        <f t="shared" si="560"/>
        <v>0</v>
      </c>
      <c r="DE670" s="308">
        <f t="shared" si="561"/>
        <v>0</v>
      </c>
      <c r="DF670" s="313">
        <f t="shared" si="576"/>
        <v>600</v>
      </c>
      <c r="DG670" s="313">
        <f t="shared" si="565"/>
        <v>0</v>
      </c>
      <c r="DH670" s="313">
        <f t="shared" si="566"/>
        <v>0</v>
      </c>
      <c r="DI670" s="313">
        <f t="shared" si="567"/>
        <v>0</v>
      </c>
      <c r="DJ670" s="313">
        <f t="shared" si="568"/>
        <v>0</v>
      </c>
      <c r="DK670" s="313">
        <f t="shared" si="577"/>
        <v>0</v>
      </c>
      <c r="DL670" s="313">
        <f t="shared" si="569"/>
        <v>0</v>
      </c>
      <c r="DM670" s="314">
        <f t="shared" si="570"/>
        <v>0</v>
      </c>
      <c r="DN670" s="312">
        <f t="shared" si="571"/>
        <v>0</v>
      </c>
      <c r="DO670" s="312">
        <f t="shared" si="578"/>
        <v>0</v>
      </c>
      <c r="DP670" s="315" t="e">
        <f t="shared" si="562"/>
        <v>#NUM!</v>
      </c>
      <c r="DQ670" s="316">
        <f t="shared" si="572"/>
        <v>0</v>
      </c>
      <c r="DR670" s="316">
        <f t="shared" si="573"/>
        <v>0</v>
      </c>
      <c r="DS670" s="314">
        <f t="shared" si="574"/>
        <v>0</v>
      </c>
      <c r="DT670" s="316">
        <f t="shared" si="575"/>
        <v>0</v>
      </c>
      <c r="DU670" s="314">
        <f t="shared" si="563"/>
        <v>0</v>
      </c>
      <c r="DV670" s="316">
        <f t="shared" si="579"/>
        <v>0</v>
      </c>
      <c r="DW670" s="310">
        <f t="shared" si="564"/>
        <v>0</v>
      </c>
      <c r="FB670" s="307"/>
      <c r="FC670" s="307"/>
      <c r="FF670" s="307"/>
      <c r="FG670" s="307"/>
      <c r="FH670" s="306"/>
      <c r="FJ670" s="307"/>
      <c r="FK670" s="307"/>
      <c r="FL670" s="306"/>
      <c r="FM670" s="307"/>
      <c r="FN670" s="306"/>
      <c r="FO670" s="307"/>
      <c r="FP670" s="306"/>
    </row>
    <row r="671" spans="29:172">
      <c r="AC671" s="156"/>
      <c r="CW671" s="364"/>
      <c r="CX671" s="316"/>
      <c r="CY671" s="316"/>
      <c r="DA671" s="309">
        <v>670</v>
      </c>
      <c r="DB671" s="313">
        <f t="shared" si="558"/>
        <v>443.86005695835559</v>
      </c>
      <c r="DC671" s="309">
        <f t="shared" si="559"/>
        <v>4</v>
      </c>
      <c r="DD671" s="309">
        <f t="shared" si="560"/>
        <v>0</v>
      </c>
      <c r="DE671" s="308">
        <f t="shared" si="561"/>
        <v>0</v>
      </c>
      <c r="DF671" s="313">
        <f t="shared" si="576"/>
        <v>600</v>
      </c>
      <c r="DG671" s="313">
        <f t="shared" si="565"/>
        <v>0</v>
      </c>
      <c r="DH671" s="313">
        <f t="shared" si="566"/>
        <v>0</v>
      </c>
      <c r="DI671" s="313">
        <f t="shared" si="567"/>
        <v>0</v>
      </c>
      <c r="DJ671" s="313">
        <f t="shared" si="568"/>
        <v>0</v>
      </c>
      <c r="DK671" s="313">
        <f t="shared" si="577"/>
        <v>0</v>
      </c>
      <c r="DL671" s="313">
        <f t="shared" si="569"/>
        <v>0</v>
      </c>
      <c r="DM671" s="314">
        <f t="shared" si="570"/>
        <v>0</v>
      </c>
      <c r="DN671" s="312">
        <f t="shared" si="571"/>
        <v>0</v>
      </c>
      <c r="DO671" s="312">
        <f t="shared" si="578"/>
        <v>0</v>
      </c>
      <c r="DP671" s="315" t="e">
        <f t="shared" si="562"/>
        <v>#NUM!</v>
      </c>
      <c r="DQ671" s="316">
        <f t="shared" si="572"/>
        <v>0</v>
      </c>
      <c r="DR671" s="316">
        <f t="shared" si="573"/>
        <v>0</v>
      </c>
      <c r="DS671" s="314">
        <f t="shared" si="574"/>
        <v>0</v>
      </c>
      <c r="DT671" s="316">
        <f t="shared" si="575"/>
        <v>0</v>
      </c>
      <c r="DU671" s="314">
        <f t="shared" si="563"/>
        <v>0</v>
      </c>
      <c r="DV671" s="316">
        <f t="shared" si="579"/>
        <v>0</v>
      </c>
      <c r="DW671" s="310">
        <f t="shared" si="564"/>
        <v>0</v>
      </c>
      <c r="FB671" s="307"/>
      <c r="FC671" s="307"/>
      <c r="FF671" s="307"/>
      <c r="FG671" s="307"/>
      <c r="FH671" s="306"/>
      <c r="FJ671" s="307"/>
      <c r="FK671" s="307"/>
      <c r="FL671" s="306"/>
      <c r="FM671" s="307"/>
      <c r="FN671" s="306"/>
      <c r="FO671" s="307"/>
      <c r="FP671" s="306"/>
    </row>
    <row r="672" spans="29:172">
      <c r="AC672" s="156"/>
      <c r="CW672" s="364"/>
      <c r="CX672" s="316"/>
      <c r="CY672" s="316"/>
      <c r="DA672" s="309">
        <v>671</v>
      </c>
      <c r="DB672" s="313">
        <f t="shared" si="558"/>
        <v>444.22402719262175</v>
      </c>
      <c r="DC672" s="309">
        <f t="shared" si="559"/>
        <v>4</v>
      </c>
      <c r="DD672" s="309">
        <f t="shared" si="560"/>
        <v>0</v>
      </c>
      <c r="DE672" s="308">
        <f t="shared" si="561"/>
        <v>0</v>
      </c>
      <c r="DF672" s="313">
        <f t="shared" si="576"/>
        <v>600</v>
      </c>
      <c r="DG672" s="313">
        <f t="shared" si="565"/>
        <v>0</v>
      </c>
      <c r="DH672" s="313">
        <f t="shared" si="566"/>
        <v>0</v>
      </c>
      <c r="DI672" s="313">
        <f t="shared" si="567"/>
        <v>0</v>
      </c>
      <c r="DJ672" s="313">
        <f t="shared" si="568"/>
        <v>0</v>
      </c>
      <c r="DK672" s="313">
        <f t="shared" si="577"/>
        <v>0</v>
      </c>
      <c r="DL672" s="313">
        <f t="shared" si="569"/>
        <v>0</v>
      </c>
      <c r="DM672" s="314">
        <f t="shared" si="570"/>
        <v>0</v>
      </c>
      <c r="DN672" s="312">
        <f t="shared" si="571"/>
        <v>0</v>
      </c>
      <c r="DO672" s="312">
        <f t="shared" si="578"/>
        <v>0</v>
      </c>
      <c r="DP672" s="315" t="e">
        <f t="shared" si="562"/>
        <v>#NUM!</v>
      </c>
      <c r="DQ672" s="316">
        <f t="shared" si="572"/>
        <v>0</v>
      </c>
      <c r="DR672" s="316">
        <f t="shared" si="573"/>
        <v>0</v>
      </c>
      <c r="DS672" s="314">
        <f t="shared" si="574"/>
        <v>0</v>
      </c>
      <c r="DT672" s="316">
        <f t="shared" si="575"/>
        <v>0</v>
      </c>
      <c r="DU672" s="314">
        <f t="shared" si="563"/>
        <v>0</v>
      </c>
      <c r="DV672" s="316">
        <f t="shared" si="579"/>
        <v>0</v>
      </c>
      <c r="DW672" s="310">
        <f t="shared" si="564"/>
        <v>0</v>
      </c>
      <c r="FB672" s="307"/>
      <c r="FC672" s="307"/>
      <c r="FF672" s="307"/>
      <c r="FG672" s="307"/>
      <c r="FH672" s="306"/>
      <c r="FJ672" s="307"/>
      <c r="FK672" s="307"/>
      <c r="FL672" s="306"/>
      <c r="FM672" s="307"/>
      <c r="FN672" s="306"/>
      <c r="FO672" s="307"/>
      <c r="FP672" s="306"/>
    </row>
    <row r="673" spans="29:172">
      <c r="AC673" s="156"/>
      <c r="CW673" s="364"/>
      <c r="CX673" s="316"/>
      <c r="CY673" s="316"/>
      <c r="DA673" s="309">
        <v>672</v>
      </c>
      <c r="DB673" s="313">
        <f t="shared" si="558"/>
        <v>444.58799742688797</v>
      </c>
      <c r="DC673" s="309">
        <f t="shared" si="559"/>
        <v>4</v>
      </c>
      <c r="DD673" s="309">
        <f t="shared" si="560"/>
        <v>0</v>
      </c>
      <c r="DE673" s="308">
        <f t="shared" si="561"/>
        <v>0</v>
      </c>
      <c r="DF673" s="313">
        <f t="shared" si="576"/>
        <v>600</v>
      </c>
      <c r="DG673" s="313">
        <f t="shared" si="565"/>
        <v>0</v>
      </c>
      <c r="DH673" s="313">
        <f t="shared" si="566"/>
        <v>0</v>
      </c>
      <c r="DI673" s="313">
        <f t="shared" si="567"/>
        <v>0</v>
      </c>
      <c r="DJ673" s="313">
        <f t="shared" si="568"/>
        <v>0</v>
      </c>
      <c r="DK673" s="313">
        <f t="shared" si="577"/>
        <v>0</v>
      </c>
      <c r="DL673" s="313">
        <f t="shared" si="569"/>
        <v>0</v>
      </c>
      <c r="DM673" s="314">
        <f t="shared" si="570"/>
        <v>0</v>
      </c>
      <c r="DN673" s="312">
        <f t="shared" si="571"/>
        <v>0</v>
      </c>
      <c r="DO673" s="312">
        <f t="shared" si="578"/>
        <v>0</v>
      </c>
      <c r="DP673" s="315" t="e">
        <f t="shared" si="562"/>
        <v>#NUM!</v>
      </c>
      <c r="DQ673" s="316">
        <f t="shared" si="572"/>
        <v>0</v>
      </c>
      <c r="DR673" s="316">
        <f t="shared" si="573"/>
        <v>0</v>
      </c>
      <c r="DS673" s="314">
        <f t="shared" si="574"/>
        <v>0</v>
      </c>
      <c r="DT673" s="316">
        <f t="shared" si="575"/>
        <v>0</v>
      </c>
      <c r="DU673" s="314">
        <f t="shared" si="563"/>
        <v>0</v>
      </c>
      <c r="DV673" s="316">
        <f t="shared" si="579"/>
        <v>0</v>
      </c>
      <c r="DW673" s="310">
        <f t="shared" si="564"/>
        <v>0</v>
      </c>
      <c r="FB673" s="307"/>
      <c r="FC673" s="307"/>
      <c r="FF673" s="307"/>
      <c r="FG673" s="307"/>
      <c r="FH673" s="306"/>
      <c r="FJ673" s="307"/>
      <c r="FK673" s="307"/>
      <c r="FL673" s="306"/>
      <c r="FM673" s="307"/>
      <c r="FN673" s="306"/>
      <c r="FO673" s="307"/>
      <c r="FP673" s="306"/>
    </row>
    <row r="674" spans="29:172">
      <c r="AC674" s="156"/>
      <c r="CW674" s="364"/>
      <c r="CX674" s="316"/>
      <c r="CY674" s="316"/>
      <c r="DA674" s="309">
        <v>673</v>
      </c>
      <c r="DB674" s="313">
        <f t="shared" si="558"/>
        <v>444.95196766115419</v>
      </c>
      <c r="DC674" s="309">
        <f t="shared" si="559"/>
        <v>4</v>
      </c>
      <c r="DD674" s="309">
        <f t="shared" si="560"/>
        <v>0</v>
      </c>
      <c r="DE674" s="308">
        <f t="shared" si="561"/>
        <v>0</v>
      </c>
      <c r="DF674" s="313">
        <f t="shared" si="576"/>
        <v>600</v>
      </c>
      <c r="DG674" s="313">
        <f t="shared" si="565"/>
        <v>0</v>
      </c>
      <c r="DH674" s="313">
        <f t="shared" si="566"/>
        <v>0</v>
      </c>
      <c r="DI674" s="313">
        <f t="shared" si="567"/>
        <v>0</v>
      </c>
      <c r="DJ674" s="313">
        <f t="shared" si="568"/>
        <v>0</v>
      </c>
      <c r="DK674" s="313">
        <f t="shared" si="577"/>
        <v>0</v>
      </c>
      <c r="DL674" s="313">
        <f t="shared" si="569"/>
        <v>0</v>
      </c>
      <c r="DM674" s="314">
        <f t="shared" si="570"/>
        <v>0</v>
      </c>
      <c r="DN674" s="312">
        <f t="shared" si="571"/>
        <v>0</v>
      </c>
      <c r="DO674" s="312">
        <f t="shared" si="578"/>
        <v>0</v>
      </c>
      <c r="DP674" s="315" t="e">
        <f t="shared" si="562"/>
        <v>#NUM!</v>
      </c>
      <c r="DQ674" s="316">
        <f t="shared" si="572"/>
        <v>0</v>
      </c>
      <c r="DR674" s="316">
        <f t="shared" si="573"/>
        <v>0</v>
      </c>
      <c r="DS674" s="314">
        <f t="shared" si="574"/>
        <v>0</v>
      </c>
      <c r="DT674" s="316">
        <f t="shared" si="575"/>
        <v>0</v>
      </c>
      <c r="DU674" s="314">
        <f t="shared" si="563"/>
        <v>0</v>
      </c>
      <c r="DV674" s="316">
        <f t="shared" si="579"/>
        <v>0</v>
      </c>
      <c r="DW674" s="310">
        <f t="shared" si="564"/>
        <v>0</v>
      </c>
      <c r="FB674" s="307"/>
      <c r="FC674" s="307"/>
      <c r="FF674" s="307"/>
      <c r="FG674" s="307"/>
      <c r="FH674" s="306"/>
      <c r="FJ674" s="307"/>
      <c r="FK674" s="307"/>
      <c r="FL674" s="306"/>
      <c r="FM674" s="307"/>
      <c r="FN674" s="306"/>
      <c r="FO674" s="307"/>
      <c r="FP674" s="306"/>
    </row>
    <row r="675" spans="29:172">
      <c r="AC675" s="156"/>
      <c r="CW675" s="364"/>
      <c r="CX675" s="316"/>
      <c r="CY675" s="316"/>
      <c r="DA675" s="309">
        <v>674</v>
      </c>
      <c r="DB675" s="313">
        <f t="shared" si="558"/>
        <v>445.31593789542035</v>
      </c>
      <c r="DC675" s="309">
        <f t="shared" si="559"/>
        <v>4</v>
      </c>
      <c r="DD675" s="309">
        <f t="shared" si="560"/>
        <v>0</v>
      </c>
      <c r="DE675" s="308">
        <f t="shared" si="561"/>
        <v>0</v>
      </c>
      <c r="DF675" s="313">
        <f t="shared" si="576"/>
        <v>600</v>
      </c>
      <c r="DG675" s="313">
        <f t="shared" si="565"/>
        <v>0</v>
      </c>
      <c r="DH675" s="313">
        <f t="shared" si="566"/>
        <v>0</v>
      </c>
      <c r="DI675" s="313">
        <f t="shared" si="567"/>
        <v>0</v>
      </c>
      <c r="DJ675" s="313">
        <f t="shared" si="568"/>
        <v>0</v>
      </c>
      <c r="DK675" s="313">
        <f t="shared" si="577"/>
        <v>0</v>
      </c>
      <c r="DL675" s="313">
        <f t="shared" si="569"/>
        <v>0</v>
      </c>
      <c r="DM675" s="314">
        <f t="shared" si="570"/>
        <v>0</v>
      </c>
      <c r="DN675" s="312">
        <f t="shared" si="571"/>
        <v>0</v>
      </c>
      <c r="DO675" s="312">
        <f t="shared" si="578"/>
        <v>0</v>
      </c>
      <c r="DP675" s="315" t="e">
        <f t="shared" si="562"/>
        <v>#NUM!</v>
      </c>
      <c r="DQ675" s="316">
        <f t="shared" si="572"/>
        <v>0</v>
      </c>
      <c r="DR675" s="316">
        <f t="shared" si="573"/>
        <v>0</v>
      </c>
      <c r="DS675" s="314">
        <f t="shared" si="574"/>
        <v>0</v>
      </c>
      <c r="DT675" s="316">
        <f t="shared" si="575"/>
        <v>0</v>
      </c>
      <c r="DU675" s="314">
        <f t="shared" si="563"/>
        <v>0</v>
      </c>
      <c r="DV675" s="316">
        <f t="shared" si="579"/>
        <v>0</v>
      </c>
      <c r="DW675" s="310">
        <f t="shared" si="564"/>
        <v>0</v>
      </c>
      <c r="FB675" s="307"/>
      <c r="FC675" s="307"/>
      <c r="FF675" s="307"/>
      <c r="FG675" s="307"/>
      <c r="FH675" s="306"/>
      <c r="FJ675" s="307"/>
      <c r="FK675" s="307"/>
      <c r="FL675" s="306"/>
      <c r="FM675" s="307"/>
      <c r="FN675" s="306"/>
      <c r="FO675" s="307"/>
      <c r="FP675" s="306"/>
    </row>
    <row r="676" spans="29:172">
      <c r="AC676" s="156"/>
      <c r="CW676" s="364"/>
      <c r="CX676" s="316"/>
      <c r="CY676" s="316"/>
      <c r="DA676" s="309">
        <v>675</v>
      </c>
      <c r="DB676" s="313">
        <f t="shared" si="558"/>
        <v>445.67990812968657</v>
      </c>
      <c r="DC676" s="309">
        <f t="shared" si="559"/>
        <v>4</v>
      </c>
      <c r="DD676" s="309">
        <f t="shared" si="560"/>
        <v>0</v>
      </c>
      <c r="DE676" s="308">
        <f t="shared" si="561"/>
        <v>0</v>
      </c>
      <c r="DF676" s="313">
        <f t="shared" si="576"/>
        <v>600</v>
      </c>
      <c r="DG676" s="313">
        <f t="shared" si="565"/>
        <v>0</v>
      </c>
      <c r="DH676" s="313">
        <f t="shared" si="566"/>
        <v>0</v>
      </c>
      <c r="DI676" s="313">
        <f t="shared" si="567"/>
        <v>0</v>
      </c>
      <c r="DJ676" s="313">
        <f t="shared" si="568"/>
        <v>0</v>
      </c>
      <c r="DK676" s="313">
        <f t="shared" si="577"/>
        <v>0</v>
      </c>
      <c r="DL676" s="313">
        <f t="shared" si="569"/>
        <v>0</v>
      </c>
      <c r="DM676" s="314">
        <f t="shared" si="570"/>
        <v>0</v>
      </c>
      <c r="DN676" s="312">
        <f t="shared" si="571"/>
        <v>0</v>
      </c>
      <c r="DO676" s="312">
        <f t="shared" si="578"/>
        <v>0</v>
      </c>
      <c r="DP676" s="315" t="e">
        <f t="shared" si="562"/>
        <v>#NUM!</v>
      </c>
      <c r="DQ676" s="316">
        <f t="shared" si="572"/>
        <v>0</v>
      </c>
      <c r="DR676" s="316">
        <f t="shared" si="573"/>
        <v>0</v>
      </c>
      <c r="DS676" s="314">
        <f t="shared" si="574"/>
        <v>0</v>
      </c>
      <c r="DT676" s="316">
        <f t="shared" si="575"/>
        <v>0</v>
      </c>
      <c r="DU676" s="314">
        <f t="shared" si="563"/>
        <v>0</v>
      </c>
      <c r="DV676" s="316">
        <f t="shared" si="579"/>
        <v>0</v>
      </c>
      <c r="DW676" s="310">
        <f t="shared" si="564"/>
        <v>0</v>
      </c>
      <c r="FB676" s="307"/>
      <c r="FC676" s="307"/>
      <c r="FF676" s="307"/>
      <c r="FG676" s="307"/>
      <c r="FH676" s="306"/>
      <c r="FJ676" s="307"/>
      <c r="FK676" s="307"/>
      <c r="FL676" s="306"/>
      <c r="FM676" s="307"/>
      <c r="FN676" s="306"/>
      <c r="FO676" s="307"/>
      <c r="FP676" s="306"/>
    </row>
    <row r="677" spans="29:172">
      <c r="AC677" s="156"/>
      <c r="CW677" s="364"/>
      <c r="CX677" s="316"/>
      <c r="CY677" s="316"/>
      <c r="DA677" s="309">
        <v>676</v>
      </c>
      <c r="DB677" s="313">
        <f t="shared" si="558"/>
        <v>446.04387836395279</v>
      </c>
      <c r="DC677" s="309">
        <f t="shared" si="559"/>
        <v>4</v>
      </c>
      <c r="DD677" s="309">
        <f t="shared" si="560"/>
        <v>0</v>
      </c>
      <c r="DE677" s="308">
        <f t="shared" si="561"/>
        <v>0</v>
      </c>
      <c r="DF677" s="313">
        <f t="shared" si="576"/>
        <v>600</v>
      </c>
      <c r="DG677" s="313">
        <f t="shared" si="565"/>
        <v>0</v>
      </c>
      <c r="DH677" s="313">
        <f t="shared" si="566"/>
        <v>0</v>
      </c>
      <c r="DI677" s="313">
        <f t="shared" si="567"/>
        <v>0</v>
      </c>
      <c r="DJ677" s="313">
        <f t="shared" si="568"/>
        <v>0</v>
      </c>
      <c r="DK677" s="313">
        <f t="shared" si="577"/>
        <v>0</v>
      </c>
      <c r="DL677" s="313">
        <f t="shared" si="569"/>
        <v>0</v>
      </c>
      <c r="DM677" s="314">
        <f t="shared" si="570"/>
        <v>0</v>
      </c>
      <c r="DN677" s="312">
        <f t="shared" si="571"/>
        <v>0</v>
      </c>
      <c r="DO677" s="312">
        <f t="shared" si="578"/>
        <v>0</v>
      </c>
      <c r="DP677" s="315" t="e">
        <f t="shared" si="562"/>
        <v>#NUM!</v>
      </c>
      <c r="DQ677" s="316">
        <f t="shared" si="572"/>
        <v>0</v>
      </c>
      <c r="DR677" s="316">
        <f t="shared" si="573"/>
        <v>0</v>
      </c>
      <c r="DS677" s="314">
        <f t="shared" si="574"/>
        <v>0</v>
      </c>
      <c r="DT677" s="316">
        <f t="shared" si="575"/>
        <v>0</v>
      </c>
      <c r="DU677" s="314">
        <f t="shared" si="563"/>
        <v>0</v>
      </c>
      <c r="DV677" s="316">
        <f t="shared" si="579"/>
        <v>0</v>
      </c>
      <c r="DW677" s="310">
        <f t="shared" si="564"/>
        <v>0</v>
      </c>
      <c r="FB677" s="307"/>
      <c r="FC677" s="307"/>
      <c r="FF677" s="307"/>
      <c r="FG677" s="307"/>
      <c r="FH677" s="306"/>
      <c r="FJ677" s="307"/>
      <c r="FK677" s="307"/>
      <c r="FL677" s="306"/>
      <c r="FM677" s="307"/>
      <c r="FN677" s="306"/>
      <c r="FO677" s="307"/>
      <c r="FP677" s="306"/>
    </row>
    <row r="678" spans="29:172">
      <c r="AC678" s="156"/>
      <c r="CW678" s="364"/>
      <c r="CX678" s="316"/>
      <c r="CY678" s="316"/>
      <c r="DA678" s="309">
        <v>677</v>
      </c>
      <c r="DB678" s="313">
        <f t="shared" si="558"/>
        <v>446.40784859821895</v>
      </c>
      <c r="DC678" s="309">
        <f t="shared" si="559"/>
        <v>4</v>
      </c>
      <c r="DD678" s="309">
        <f t="shared" si="560"/>
        <v>0</v>
      </c>
      <c r="DE678" s="308">
        <f t="shared" si="561"/>
        <v>0</v>
      </c>
      <c r="DF678" s="313">
        <f t="shared" si="576"/>
        <v>600</v>
      </c>
      <c r="DG678" s="313">
        <f t="shared" si="565"/>
        <v>0</v>
      </c>
      <c r="DH678" s="313">
        <f t="shared" si="566"/>
        <v>0</v>
      </c>
      <c r="DI678" s="313">
        <f t="shared" si="567"/>
        <v>0</v>
      </c>
      <c r="DJ678" s="313">
        <f t="shared" si="568"/>
        <v>0</v>
      </c>
      <c r="DK678" s="313">
        <f t="shared" si="577"/>
        <v>0</v>
      </c>
      <c r="DL678" s="313">
        <f t="shared" si="569"/>
        <v>0</v>
      </c>
      <c r="DM678" s="314">
        <f t="shared" si="570"/>
        <v>0</v>
      </c>
      <c r="DN678" s="312">
        <f t="shared" si="571"/>
        <v>0</v>
      </c>
      <c r="DO678" s="312">
        <f t="shared" si="578"/>
        <v>0</v>
      </c>
      <c r="DP678" s="315" t="e">
        <f t="shared" si="562"/>
        <v>#NUM!</v>
      </c>
      <c r="DQ678" s="316">
        <f t="shared" si="572"/>
        <v>0</v>
      </c>
      <c r="DR678" s="316">
        <f t="shared" si="573"/>
        <v>0</v>
      </c>
      <c r="DS678" s="314">
        <f t="shared" si="574"/>
        <v>0</v>
      </c>
      <c r="DT678" s="316">
        <f t="shared" si="575"/>
        <v>0</v>
      </c>
      <c r="DU678" s="314">
        <f t="shared" si="563"/>
        <v>0</v>
      </c>
      <c r="DV678" s="316">
        <f t="shared" si="579"/>
        <v>0</v>
      </c>
      <c r="DW678" s="310">
        <f t="shared" si="564"/>
        <v>0</v>
      </c>
      <c r="FB678" s="307"/>
      <c r="FC678" s="307"/>
      <c r="FF678" s="307"/>
      <c r="FG678" s="307"/>
      <c r="FH678" s="306"/>
      <c r="FJ678" s="307"/>
      <c r="FK678" s="307"/>
      <c r="FL678" s="306"/>
      <c r="FM678" s="307"/>
      <c r="FN678" s="306"/>
      <c r="FO678" s="307"/>
      <c r="FP678" s="306"/>
    </row>
    <row r="679" spans="29:172">
      <c r="AC679" s="156"/>
      <c r="CW679" s="364"/>
      <c r="CX679" s="316"/>
      <c r="CY679" s="316"/>
      <c r="DA679" s="309">
        <v>678</v>
      </c>
      <c r="DB679" s="313">
        <f t="shared" si="558"/>
        <v>446.77181883248522</v>
      </c>
      <c r="DC679" s="309">
        <f t="shared" si="559"/>
        <v>4</v>
      </c>
      <c r="DD679" s="309">
        <f t="shared" si="560"/>
        <v>0</v>
      </c>
      <c r="DE679" s="308">
        <f t="shared" si="561"/>
        <v>0</v>
      </c>
      <c r="DF679" s="313">
        <f t="shared" si="576"/>
        <v>600</v>
      </c>
      <c r="DG679" s="313">
        <f t="shared" si="565"/>
        <v>0</v>
      </c>
      <c r="DH679" s="313">
        <f t="shared" si="566"/>
        <v>0</v>
      </c>
      <c r="DI679" s="313">
        <f t="shared" si="567"/>
        <v>0</v>
      </c>
      <c r="DJ679" s="313">
        <f t="shared" si="568"/>
        <v>0</v>
      </c>
      <c r="DK679" s="313">
        <f t="shared" si="577"/>
        <v>0</v>
      </c>
      <c r="DL679" s="313">
        <f t="shared" si="569"/>
        <v>0</v>
      </c>
      <c r="DM679" s="314">
        <f t="shared" si="570"/>
        <v>0</v>
      </c>
      <c r="DN679" s="312">
        <f t="shared" si="571"/>
        <v>0</v>
      </c>
      <c r="DO679" s="312">
        <f t="shared" si="578"/>
        <v>0</v>
      </c>
      <c r="DP679" s="315" t="e">
        <f t="shared" si="562"/>
        <v>#NUM!</v>
      </c>
      <c r="DQ679" s="316">
        <f t="shared" si="572"/>
        <v>0</v>
      </c>
      <c r="DR679" s="316">
        <f t="shared" si="573"/>
        <v>0</v>
      </c>
      <c r="DS679" s="314">
        <f t="shared" si="574"/>
        <v>0</v>
      </c>
      <c r="DT679" s="316">
        <f t="shared" si="575"/>
        <v>0</v>
      </c>
      <c r="DU679" s="314">
        <f t="shared" si="563"/>
        <v>0</v>
      </c>
      <c r="DV679" s="316">
        <f t="shared" si="579"/>
        <v>0</v>
      </c>
      <c r="DW679" s="310">
        <f t="shared" si="564"/>
        <v>0</v>
      </c>
      <c r="FB679" s="307"/>
      <c r="FC679" s="307"/>
      <c r="FF679" s="307"/>
      <c r="FG679" s="307"/>
      <c r="FH679" s="306"/>
      <c r="FJ679" s="307"/>
      <c r="FK679" s="307"/>
      <c r="FL679" s="306"/>
      <c r="FM679" s="307"/>
      <c r="FN679" s="306"/>
      <c r="FO679" s="307"/>
      <c r="FP679" s="306"/>
    </row>
    <row r="680" spans="29:172">
      <c r="AC680" s="156"/>
      <c r="CW680" s="364"/>
      <c r="CX680" s="316"/>
      <c r="CY680" s="316"/>
      <c r="DA680" s="309">
        <v>679</v>
      </c>
      <c r="DB680" s="313">
        <f t="shared" si="558"/>
        <v>447.13578906675139</v>
      </c>
      <c r="DC680" s="309">
        <f t="shared" si="559"/>
        <v>4</v>
      </c>
      <c r="DD680" s="309">
        <f t="shared" si="560"/>
        <v>0</v>
      </c>
      <c r="DE680" s="308">
        <f t="shared" si="561"/>
        <v>0</v>
      </c>
      <c r="DF680" s="313">
        <f t="shared" si="576"/>
        <v>600</v>
      </c>
      <c r="DG680" s="313">
        <f t="shared" si="565"/>
        <v>0</v>
      </c>
      <c r="DH680" s="313">
        <f t="shared" si="566"/>
        <v>0</v>
      </c>
      <c r="DI680" s="313">
        <f t="shared" si="567"/>
        <v>0</v>
      </c>
      <c r="DJ680" s="313">
        <f t="shared" si="568"/>
        <v>0</v>
      </c>
      <c r="DK680" s="313">
        <f t="shared" si="577"/>
        <v>0</v>
      </c>
      <c r="DL680" s="313">
        <f t="shared" si="569"/>
        <v>0</v>
      </c>
      <c r="DM680" s="314">
        <f t="shared" si="570"/>
        <v>0</v>
      </c>
      <c r="DN680" s="312">
        <f t="shared" si="571"/>
        <v>0</v>
      </c>
      <c r="DO680" s="312">
        <f t="shared" si="578"/>
        <v>0</v>
      </c>
      <c r="DP680" s="315" t="e">
        <f t="shared" si="562"/>
        <v>#NUM!</v>
      </c>
      <c r="DQ680" s="316">
        <f t="shared" si="572"/>
        <v>0</v>
      </c>
      <c r="DR680" s="316">
        <f t="shared" si="573"/>
        <v>0</v>
      </c>
      <c r="DS680" s="314">
        <f t="shared" si="574"/>
        <v>0</v>
      </c>
      <c r="DT680" s="316">
        <f t="shared" si="575"/>
        <v>0</v>
      </c>
      <c r="DU680" s="314">
        <f t="shared" si="563"/>
        <v>0</v>
      </c>
      <c r="DV680" s="316">
        <f t="shared" si="579"/>
        <v>0</v>
      </c>
      <c r="DW680" s="310">
        <f t="shared" si="564"/>
        <v>0</v>
      </c>
      <c r="FB680" s="307"/>
      <c r="FC680" s="307"/>
      <c r="FF680" s="307"/>
      <c r="FG680" s="307"/>
      <c r="FH680" s="306"/>
      <c r="FJ680" s="307"/>
      <c r="FK680" s="307"/>
      <c r="FL680" s="306"/>
      <c r="FM680" s="307"/>
      <c r="FN680" s="306"/>
      <c r="FO680" s="307"/>
      <c r="FP680" s="306"/>
    </row>
    <row r="681" spans="29:172">
      <c r="AC681" s="156"/>
      <c r="CW681" s="364"/>
      <c r="CX681" s="316"/>
      <c r="CY681" s="316"/>
      <c r="DA681" s="309">
        <v>680</v>
      </c>
      <c r="DB681" s="313">
        <f t="shared" si="558"/>
        <v>447.4997593010176</v>
      </c>
      <c r="DC681" s="309">
        <f t="shared" si="559"/>
        <v>4</v>
      </c>
      <c r="DD681" s="309">
        <f t="shared" si="560"/>
        <v>0</v>
      </c>
      <c r="DE681" s="308">
        <f t="shared" si="561"/>
        <v>0</v>
      </c>
      <c r="DF681" s="313">
        <f t="shared" si="576"/>
        <v>600</v>
      </c>
      <c r="DG681" s="313">
        <f t="shared" si="565"/>
        <v>0</v>
      </c>
      <c r="DH681" s="313">
        <f t="shared" si="566"/>
        <v>0</v>
      </c>
      <c r="DI681" s="313">
        <f t="shared" si="567"/>
        <v>0</v>
      </c>
      <c r="DJ681" s="313">
        <f t="shared" si="568"/>
        <v>0</v>
      </c>
      <c r="DK681" s="313">
        <f t="shared" si="577"/>
        <v>0</v>
      </c>
      <c r="DL681" s="313">
        <f t="shared" si="569"/>
        <v>0</v>
      </c>
      <c r="DM681" s="314">
        <f t="shared" si="570"/>
        <v>0</v>
      </c>
      <c r="DN681" s="312">
        <f t="shared" si="571"/>
        <v>0</v>
      </c>
      <c r="DO681" s="312">
        <f t="shared" si="578"/>
        <v>0</v>
      </c>
      <c r="DP681" s="315" t="e">
        <f t="shared" si="562"/>
        <v>#NUM!</v>
      </c>
      <c r="DQ681" s="316">
        <f t="shared" si="572"/>
        <v>0</v>
      </c>
      <c r="DR681" s="316">
        <f t="shared" si="573"/>
        <v>0</v>
      </c>
      <c r="DS681" s="314">
        <f t="shared" si="574"/>
        <v>0</v>
      </c>
      <c r="DT681" s="316">
        <f t="shared" si="575"/>
        <v>0</v>
      </c>
      <c r="DU681" s="314">
        <f t="shared" si="563"/>
        <v>0</v>
      </c>
      <c r="DV681" s="316">
        <f t="shared" si="579"/>
        <v>0</v>
      </c>
      <c r="DW681" s="310">
        <f t="shared" si="564"/>
        <v>0</v>
      </c>
      <c r="FB681" s="307"/>
      <c r="FC681" s="307"/>
      <c r="FF681" s="307"/>
      <c r="FG681" s="307"/>
      <c r="FH681" s="306"/>
      <c r="FJ681" s="307"/>
      <c r="FK681" s="307"/>
      <c r="FL681" s="306"/>
      <c r="FM681" s="307"/>
      <c r="FN681" s="306"/>
      <c r="FO681" s="307"/>
      <c r="FP681" s="306"/>
    </row>
    <row r="682" spans="29:172">
      <c r="AC682" s="156"/>
      <c r="CW682" s="364"/>
      <c r="CX682" s="316"/>
      <c r="CY682" s="316"/>
      <c r="DA682" s="309">
        <v>681</v>
      </c>
      <c r="DB682" s="313">
        <f t="shared" si="558"/>
        <v>447.86372953528382</v>
      </c>
      <c r="DC682" s="309">
        <f t="shared" si="559"/>
        <v>4</v>
      </c>
      <c r="DD682" s="309">
        <f t="shared" si="560"/>
        <v>0</v>
      </c>
      <c r="DE682" s="308">
        <f t="shared" si="561"/>
        <v>0</v>
      </c>
      <c r="DF682" s="313">
        <f t="shared" si="576"/>
        <v>600</v>
      </c>
      <c r="DG682" s="313">
        <f>IF(DC682=4,DG681,MIN(DB682,DD682))</f>
        <v>0</v>
      </c>
      <c r="DH682" s="313">
        <f t="shared" si="566"/>
        <v>0</v>
      </c>
      <c r="DI682" s="313">
        <f t="shared" si="567"/>
        <v>0</v>
      </c>
      <c r="DJ682" s="313">
        <f t="shared" si="568"/>
        <v>0</v>
      </c>
      <c r="DK682" s="313">
        <f t="shared" si="577"/>
        <v>0</v>
      </c>
      <c r="DL682" s="313">
        <f t="shared" si="569"/>
        <v>0</v>
      </c>
      <c r="DM682" s="314">
        <f t="shared" si="570"/>
        <v>0</v>
      </c>
      <c r="DN682" s="312">
        <f t="shared" si="571"/>
        <v>0</v>
      </c>
      <c r="DO682" s="312">
        <f t="shared" si="578"/>
        <v>0</v>
      </c>
      <c r="DP682" s="315" t="e">
        <f t="shared" si="562"/>
        <v>#NUM!</v>
      </c>
      <c r="DQ682" s="316">
        <f t="shared" si="572"/>
        <v>0</v>
      </c>
      <c r="DR682" s="316">
        <f t="shared" si="573"/>
        <v>0</v>
      </c>
      <c r="DS682" s="314">
        <f t="shared" si="574"/>
        <v>0</v>
      </c>
      <c r="DT682" s="316">
        <f t="shared" si="575"/>
        <v>0</v>
      </c>
      <c r="DU682" s="314">
        <f t="shared" si="563"/>
        <v>0</v>
      </c>
      <c r="DV682" s="316">
        <f t="shared" si="579"/>
        <v>0</v>
      </c>
      <c r="DW682" s="310">
        <f t="shared" si="564"/>
        <v>0</v>
      </c>
      <c r="FB682" s="307"/>
      <c r="FC682" s="307"/>
      <c r="FF682" s="307"/>
      <c r="FG682" s="307"/>
      <c r="FH682" s="306"/>
      <c r="FJ682" s="307"/>
      <c r="FK682" s="307"/>
      <c r="FL682" s="306"/>
      <c r="FM682" s="307"/>
      <c r="FN682" s="306"/>
      <c r="FO682" s="307"/>
      <c r="FP682" s="306"/>
    </row>
    <row r="683" spans="29:172">
      <c r="AC683" s="156"/>
      <c r="CW683" s="364"/>
      <c r="CX683" s="316"/>
      <c r="CY683" s="316"/>
      <c r="DA683" s="309">
        <v>682</v>
      </c>
      <c r="DB683" s="313">
        <f t="shared" si="558"/>
        <v>448.22769976954999</v>
      </c>
      <c r="DC683" s="309">
        <f t="shared" si="559"/>
        <v>4</v>
      </c>
      <c r="DD683" s="309">
        <f t="shared" si="560"/>
        <v>0</v>
      </c>
      <c r="DE683" s="308">
        <f t="shared" si="561"/>
        <v>0</v>
      </c>
      <c r="DF683" s="313">
        <f t="shared" si="576"/>
        <v>600</v>
      </c>
      <c r="DG683" s="313">
        <f t="shared" ref="DG683:DG746" si="580">IF(DC683=4,DG682,MIN(DB683,DD683))</f>
        <v>0</v>
      </c>
      <c r="DH683" s="313">
        <f t="shared" si="566"/>
        <v>0</v>
      </c>
      <c r="DI683" s="313">
        <f t="shared" si="567"/>
        <v>0</v>
      </c>
      <c r="DJ683" s="313">
        <f t="shared" si="568"/>
        <v>0</v>
      </c>
      <c r="DK683" s="313">
        <f t="shared" si="577"/>
        <v>0</v>
      </c>
      <c r="DL683" s="313">
        <f t="shared" si="569"/>
        <v>0</v>
      </c>
      <c r="DM683" s="314">
        <f t="shared" si="570"/>
        <v>0</v>
      </c>
      <c r="DN683" s="312">
        <f t="shared" si="571"/>
        <v>0</v>
      </c>
      <c r="DO683" s="312">
        <f t="shared" si="578"/>
        <v>0</v>
      </c>
      <c r="DP683" s="315" t="e">
        <f t="shared" si="562"/>
        <v>#NUM!</v>
      </c>
      <c r="DQ683" s="316">
        <f t="shared" si="572"/>
        <v>0</v>
      </c>
      <c r="DR683" s="316">
        <f t="shared" si="573"/>
        <v>0</v>
      </c>
      <c r="DS683" s="314">
        <f t="shared" si="574"/>
        <v>0</v>
      </c>
      <c r="DT683" s="316">
        <f t="shared" si="575"/>
        <v>0</v>
      </c>
      <c r="DU683" s="314">
        <f t="shared" si="563"/>
        <v>0</v>
      </c>
      <c r="DV683" s="316">
        <f t="shared" si="579"/>
        <v>0</v>
      </c>
      <c r="DW683" s="310">
        <f t="shared" si="564"/>
        <v>0</v>
      </c>
      <c r="FB683" s="307"/>
      <c r="FC683" s="307"/>
      <c r="FF683" s="307"/>
      <c r="FG683" s="307"/>
      <c r="FH683" s="306"/>
      <c r="FJ683" s="307"/>
      <c r="FK683" s="307"/>
      <c r="FL683" s="306"/>
      <c r="FM683" s="307"/>
      <c r="FN683" s="306"/>
      <c r="FO683" s="307"/>
      <c r="FP683" s="306"/>
    </row>
    <row r="684" spans="29:172">
      <c r="AC684" s="156"/>
      <c r="CW684" s="364"/>
      <c r="CX684" s="316"/>
      <c r="CY684" s="316"/>
      <c r="DA684" s="309">
        <v>683</v>
      </c>
      <c r="DB684" s="313">
        <f t="shared" si="558"/>
        <v>448.5916700038162</v>
      </c>
      <c r="DC684" s="309">
        <f t="shared" si="559"/>
        <v>4</v>
      </c>
      <c r="DD684" s="309">
        <f t="shared" si="560"/>
        <v>0</v>
      </c>
      <c r="DE684" s="308">
        <f t="shared" si="561"/>
        <v>0</v>
      </c>
      <c r="DF684" s="313">
        <f t="shared" si="576"/>
        <v>600</v>
      </c>
      <c r="DG684" s="313">
        <f t="shared" si="580"/>
        <v>0</v>
      </c>
      <c r="DH684" s="313">
        <f t="shared" si="566"/>
        <v>0</v>
      </c>
      <c r="DI684" s="313">
        <f t="shared" si="567"/>
        <v>0</v>
      </c>
      <c r="DJ684" s="313">
        <f t="shared" si="568"/>
        <v>0</v>
      </c>
      <c r="DK684" s="313">
        <f t="shared" si="577"/>
        <v>0</v>
      </c>
      <c r="DL684" s="313">
        <f t="shared" si="569"/>
        <v>0</v>
      </c>
      <c r="DM684" s="314">
        <f t="shared" si="570"/>
        <v>0</v>
      </c>
      <c r="DN684" s="312">
        <f t="shared" si="571"/>
        <v>0</v>
      </c>
      <c r="DO684" s="312">
        <f t="shared" si="578"/>
        <v>0</v>
      </c>
      <c r="DP684" s="315" t="e">
        <f t="shared" si="562"/>
        <v>#NUM!</v>
      </c>
      <c r="DQ684" s="316">
        <f t="shared" si="572"/>
        <v>0</v>
      </c>
      <c r="DR684" s="316">
        <f t="shared" si="573"/>
        <v>0</v>
      </c>
      <c r="DS684" s="314">
        <f t="shared" si="574"/>
        <v>0</v>
      </c>
      <c r="DT684" s="316">
        <f t="shared" si="575"/>
        <v>0</v>
      </c>
      <c r="DU684" s="314">
        <f t="shared" si="563"/>
        <v>0</v>
      </c>
      <c r="DV684" s="316">
        <f t="shared" si="579"/>
        <v>0</v>
      </c>
      <c r="DW684" s="310">
        <f t="shared" si="564"/>
        <v>0</v>
      </c>
      <c r="FB684" s="307"/>
      <c r="FC684" s="307"/>
      <c r="FF684" s="307"/>
      <c r="FG684" s="307"/>
      <c r="FH684" s="306"/>
      <c r="FJ684" s="307"/>
      <c r="FK684" s="307"/>
      <c r="FL684" s="306"/>
      <c r="FM684" s="307"/>
      <c r="FN684" s="306"/>
      <c r="FO684" s="307"/>
      <c r="FP684" s="306"/>
    </row>
    <row r="685" spans="29:172">
      <c r="AC685" s="156"/>
      <c r="CW685" s="364"/>
      <c r="CX685" s="316"/>
      <c r="CY685" s="316"/>
      <c r="DA685" s="309">
        <v>684</v>
      </c>
      <c r="DB685" s="313">
        <f t="shared" si="558"/>
        <v>448.95564023808242</v>
      </c>
      <c r="DC685" s="309">
        <f t="shared" si="559"/>
        <v>4</v>
      </c>
      <c r="DD685" s="309">
        <f t="shared" si="560"/>
        <v>0</v>
      </c>
      <c r="DE685" s="308">
        <f t="shared" si="561"/>
        <v>0</v>
      </c>
      <c r="DF685" s="313">
        <f t="shared" si="576"/>
        <v>600</v>
      </c>
      <c r="DG685" s="313">
        <f t="shared" si="580"/>
        <v>0</v>
      </c>
      <c r="DH685" s="313">
        <f t="shared" si="566"/>
        <v>0</v>
      </c>
      <c r="DI685" s="313">
        <f t="shared" si="567"/>
        <v>0</v>
      </c>
      <c r="DJ685" s="313">
        <f t="shared" si="568"/>
        <v>0</v>
      </c>
      <c r="DK685" s="313">
        <f t="shared" si="577"/>
        <v>0</v>
      </c>
      <c r="DL685" s="313">
        <f t="shared" si="569"/>
        <v>0</v>
      </c>
      <c r="DM685" s="314">
        <f t="shared" si="570"/>
        <v>0</v>
      </c>
      <c r="DN685" s="312">
        <f t="shared" si="571"/>
        <v>0</v>
      </c>
      <c r="DO685" s="312">
        <f t="shared" si="578"/>
        <v>0</v>
      </c>
      <c r="DP685" s="315" t="e">
        <f t="shared" si="562"/>
        <v>#NUM!</v>
      </c>
      <c r="DQ685" s="316">
        <f t="shared" si="572"/>
        <v>0</v>
      </c>
      <c r="DR685" s="316">
        <f t="shared" si="573"/>
        <v>0</v>
      </c>
      <c r="DS685" s="314">
        <f t="shared" si="574"/>
        <v>0</v>
      </c>
      <c r="DT685" s="316">
        <f t="shared" si="575"/>
        <v>0</v>
      </c>
      <c r="DU685" s="314">
        <f t="shared" si="563"/>
        <v>0</v>
      </c>
      <c r="DV685" s="316">
        <f t="shared" si="579"/>
        <v>0</v>
      </c>
      <c r="DW685" s="310">
        <f t="shared" si="564"/>
        <v>0</v>
      </c>
      <c r="FB685" s="307"/>
      <c r="FC685" s="307"/>
      <c r="FF685" s="307"/>
      <c r="FG685" s="307"/>
      <c r="FH685" s="306"/>
      <c r="FJ685" s="307"/>
      <c r="FK685" s="307"/>
      <c r="FL685" s="306"/>
      <c r="FM685" s="307"/>
      <c r="FN685" s="306"/>
      <c r="FO685" s="307"/>
      <c r="FP685" s="306"/>
    </row>
    <row r="686" spans="29:172">
      <c r="AC686" s="156"/>
      <c r="CW686" s="364"/>
      <c r="CX686" s="316"/>
      <c r="CY686" s="316"/>
      <c r="DA686" s="309">
        <v>685</v>
      </c>
      <c r="DB686" s="313">
        <f t="shared" si="558"/>
        <v>449.31961047234859</v>
      </c>
      <c r="DC686" s="309">
        <f t="shared" si="559"/>
        <v>4</v>
      </c>
      <c r="DD686" s="309">
        <f t="shared" si="560"/>
        <v>0</v>
      </c>
      <c r="DE686" s="308">
        <f t="shared" si="561"/>
        <v>0</v>
      </c>
      <c r="DF686" s="313">
        <f t="shared" si="576"/>
        <v>600</v>
      </c>
      <c r="DG686" s="313">
        <f t="shared" si="580"/>
        <v>0</v>
      </c>
      <c r="DH686" s="313">
        <f t="shared" si="566"/>
        <v>0</v>
      </c>
      <c r="DI686" s="313">
        <f t="shared" si="567"/>
        <v>0</v>
      </c>
      <c r="DJ686" s="313">
        <f t="shared" si="568"/>
        <v>0</v>
      </c>
      <c r="DK686" s="313">
        <f t="shared" si="577"/>
        <v>0</v>
      </c>
      <c r="DL686" s="313">
        <f t="shared" si="569"/>
        <v>0</v>
      </c>
      <c r="DM686" s="314">
        <f t="shared" si="570"/>
        <v>0</v>
      </c>
      <c r="DN686" s="312">
        <f t="shared" si="571"/>
        <v>0</v>
      </c>
      <c r="DO686" s="312">
        <f t="shared" si="578"/>
        <v>0</v>
      </c>
      <c r="DP686" s="315" t="e">
        <f t="shared" si="562"/>
        <v>#NUM!</v>
      </c>
      <c r="DQ686" s="316">
        <f t="shared" si="572"/>
        <v>0</v>
      </c>
      <c r="DR686" s="316">
        <f t="shared" si="573"/>
        <v>0</v>
      </c>
      <c r="DS686" s="314">
        <f t="shared" si="574"/>
        <v>0</v>
      </c>
      <c r="DT686" s="316">
        <f t="shared" si="575"/>
        <v>0</v>
      </c>
      <c r="DU686" s="314">
        <f t="shared" si="563"/>
        <v>0</v>
      </c>
      <c r="DV686" s="316">
        <f t="shared" si="579"/>
        <v>0</v>
      </c>
      <c r="DW686" s="310">
        <f t="shared" si="564"/>
        <v>0</v>
      </c>
      <c r="FB686" s="307"/>
      <c r="FC686" s="307"/>
      <c r="FF686" s="307"/>
      <c r="FG686" s="307"/>
      <c r="FH686" s="306"/>
      <c r="FJ686" s="307"/>
      <c r="FK686" s="307"/>
      <c r="FL686" s="306"/>
      <c r="FM686" s="307"/>
      <c r="FN686" s="306"/>
      <c r="FO686" s="307"/>
      <c r="FP686" s="306"/>
    </row>
    <row r="687" spans="29:172">
      <c r="AC687" s="156"/>
      <c r="CW687" s="364"/>
      <c r="CX687" s="316"/>
      <c r="CY687" s="316"/>
      <c r="DA687" s="309">
        <v>686</v>
      </c>
      <c r="DB687" s="313">
        <f t="shared" si="558"/>
        <v>449.6835807066148</v>
      </c>
      <c r="DC687" s="309">
        <f t="shared" si="559"/>
        <v>4</v>
      </c>
      <c r="DD687" s="309">
        <f t="shared" si="560"/>
        <v>0</v>
      </c>
      <c r="DE687" s="308">
        <f t="shared" si="561"/>
        <v>0</v>
      </c>
      <c r="DF687" s="313">
        <f t="shared" si="576"/>
        <v>600</v>
      </c>
      <c r="DG687" s="313">
        <f t="shared" si="580"/>
        <v>0</v>
      </c>
      <c r="DH687" s="313">
        <f t="shared" si="566"/>
        <v>0</v>
      </c>
      <c r="DI687" s="313">
        <f t="shared" si="567"/>
        <v>0</v>
      </c>
      <c r="DJ687" s="313">
        <f t="shared" si="568"/>
        <v>0</v>
      </c>
      <c r="DK687" s="313">
        <f t="shared" si="577"/>
        <v>0</v>
      </c>
      <c r="DL687" s="313">
        <f t="shared" si="569"/>
        <v>0</v>
      </c>
      <c r="DM687" s="314">
        <f t="shared" si="570"/>
        <v>0</v>
      </c>
      <c r="DN687" s="312">
        <f t="shared" si="571"/>
        <v>0</v>
      </c>
      <c r="DO687" s="312">
        <f t="shared" si="578"/>
        <v>0</v>
      </c>
      <c r="DP687" s="315" t="e">
        <f t="shared" si="562"/>
        <v>#NUM!</v>
      </c>
      <c r="DQ687" s="316">
        <f t="shared" si="572"/>
        <v>0</v>
      </c>
      <c r="DR687" s="316">
        <f t="shared" si="573"/>
        <v>0</v>
      </c>
      <c r="DS687" s="314">
        <f t="shared" si="574"/>
        <v>0</v>
      </c>
      <c r="DT687" s="316">
        <f t="shared" si="575"/>
        <v>0</v>
      </c>
      <c r="DU687" s="314">
        <f t="shared" si="563"/>
        <v>0</v>
      </c>
      <c r="DV687" s="316">
        <f t="shared" si="579"/>
        <v>0</v>
      </c>
      <c r="DW687" s="310">
        <f t="shared" si="564"/>
        <v>0</v>
      </c>
      <c r="FB687" s="307"/>
      <c r="FC687" s="307"/>
      <c r="FF687" s="307"/>
      <c r="FG687" s="307"/>
      <c r="FH687" s="306"/>
      <c r="FJ687" s="307"/>
      <c r="FK687" s="307"/>
      <c r="FL687" s="306"/>
      <c r="FM687" s="307"/>
      <c r="FN687" s="306"/>
      <c r="FO687" s="307"/>
      <c r="FP687" s="306"/>
    </row>
    <row r="688" spans="29:172">
      <c r="AC688" s="156"/>
      <c r="CW688" s="364"/>
      <c r="CX688" s="316"/>
      <c r="CY688" s="316"/>
      <c r="DA688" s="309">
        <v>687</v>
      </c>
      <c r="DB688" s="313">
        <f t="shared" si="558"/>
        <v>450.04755094088102</v>
      </c>
      <c r="DC688" s="309">
        <f t="shared" si="559"/>
        <v>4</v>
      </c>
      <c r="DD688" s="309">
        <f t="shared" si="560"/>
        <v>0</v>
      </c>
      <c r="DE688" s="308">
        <f t="shared" si="561"/>
        <v>0</v>
      </c>
      <c r="DF688" s="313">
        <f t="shared" si="576"/>
        <v>600</v>
      </c>
      <c r="DG688" s="313">
        <f t="shared" si="580"/>
        <v>0</v>
      </c>
      <c r="DH688" s="313">
        <f t="shared" si="566"/>
        <v>0</v>
      </c>
      <c r="DI688" s="313">
        <f t="shared" si="567"/>
        <v>0</v>
      </c>
      <c r="DJ688" s="313">
        <f t="shared" si="568"/>
        <v>0</v>
      </c>
      <c r="DK688" s="313">
        <f t="shared" si="577"/>
        <v>0</v>
      </c>
      <c r="DL688" s="313">
        <f t="shared" si="569"/>
        <v>0</v>
      </c>
      <c r="DM688" s="314">
        <f t="shared" si="570"/>
        <v>0</v>
      </c>
      <c r="DN688" s="312">
        <f t="shared" si="571"/>
        <v>0</v>
      </c>
      <c r="DO688" s="312">
        <f t="shared" si="578"/>
        <v>0</v>
      </c>
      <c r="DP688" s="315" t="e">
        <f t="shared" si="562"/>
        <v>#NUM!</v>
      </c>
      <c r="DQ688" s="316">
        <f t="shared" si="572"/>
        <v>0</v>
      </c>
      <c r="DR688" s="316">
        <f t="shared" si="573"/>
        <v>0</v>
      </c>
      <c r="DS688" s="314">
        <f t="shared" si="574"/>
        <v>0</v>
      </c>
      <c r="DT688" s="316">
        <f t="shared" si="575"/>
        <v>0</v>
      </c>
      <c r="DU688" s="314">
        <f t="shared" si="563"/>
        <v>0</v>
      </c>
      <c r="DV688" s="316">
        <f t="shared" si="579"/>
        <v>0</v>
      </c>
      <c r="DW688" s="310">
        <f t="shared" si="564"/>
        <v>0</v>
      </c>
      <c r="FB688" s="307"/>
      <c r="FC688" s="307"/>
      <c r="FF688" s="307"/>
      <c r="FG688" s="307"/>
      <c r="FH688" s="306"/>
      <c r="FJ688" s="307"/>
      <c r="FK688" s="307"/>
      <c r="FL688" s="306"/>
      <c r="FM688" s="307"/>
      <c r="FN688" s="306"/>
      <c r="FO688" s="307"/>
      <c r="FP688" s="306"/>
    </row>
    <row r="689" spans="29:172">
      <c r="AC689" s="156"/>
      <c r="CW689" s="364"/>
      <c r="CX689" s="316"/>
      <c r="CY689" s="316"/>
      <c r="DA689" s="309">
        <v>688</v>
      </c>
      <c r="DB689" s="313">
        <f t="shared" si="558"/>
        <v>450.41152117514719</v>
      </c>
      <c r="DC689" s="309">
        <f t="shared" si="559"/>
        <v>4</v>
      </c>
      <c r="DD689" s="309">
        <f t="shared" si="560"/>
        <v>0</v>
      </c>
      <c r="DE689" s="308">
        <f t="shared" si="561"/>
        <v>0</v>
      </c>
      <c r="DF689" s="313">
        <f t="shared" si="576"/>
        <v>600</v>
      </c>
      <c r="DG689" s="313">
        <f t="shared" si="580"/>
        <v>0</v>
      </c>
      <c r="DH689" s="313">
        <f t="shared" si="566"/>
        <v>0</v>
      </c>
      <c r="DI689" s="313">
        <f t="shared" si="567"/>
        <v>0</v>
      </c>
      <c r="DJ689" s="313">
        <f t="shared" si="568"/>
        <v>0</v>
      </c>
      <c r="DK689" s="313">
        <f t="shared" si="577"/>
        <v>0</v>
      </c>
      <c r="DL689" s="313">
        <f t="shared" si="569"/>
        <v>0</v>
      </c>
      <c r="DM689" s="314">
        <f t="shared" si="570"/>
        <v>0</v>
      </c>
      <c r="DN689" s="312">
        <f t="shared" si="571"/>
        <v>0</v>
      </c>
      <c r="DO689" s="312">
        <f t="shared" si="578"/>
        <v>0</v>
      </c>
      <c r="DP689" s="315" t="e">
        <f t="shared" si="562"/>
        <v>#NUM!</v>
      </c>
      <c r="DQ689" s="316">
        <f t="shared" si="572"/>
        <v>0</v>
      </c>
      <c r="DR689" s="316">
        <f t="shared" si="573"/>
        <v>0</v>
      </c>
      <c r="DS689" s="314">
        <f t="shared" si="574"/>
        <v>0</v>
      </c>
      <c r="DT689" s="316">
        <f t="shared" si="575"/>
        <v>0</v>
      </c>
      <c r="DU689" s="314">
        <f t="shared" si="563"/>
        <v>0</v>
      </c>
      <c r="DV689" s="316">
        <f t="shared" si="579"/>
        <v>0</v>
      </c>
      <c r="DW689" s="310">
        <f t="shared" si="564"/>
        <v>0</v>
      </c>
      <c r="FB689" s="307"/>
      <c r="FC689" s="307"/>
      <c r="FF689" s="307"/>
      <c r="FG689" s="307"/>
      <c r="FH689" s="306"/>
      <c r="FJ689" s="307"/>
      <c r="FK689" s="307"/>
      <c r="FL689" s="306"/>
      <c r="FM689" s="307"/>
      <c r="FN689" s="306"/>
      <c r="FO689" s="307"/>
      <c r="FP689" s="306"/>
    </row>
    <row r="690" spans="29:172">
      <c r="AC690" s="156"/>
      <c r="CW690" s="364"/>
      <c r="CX690" s="316"/>
      <c r="CY690" s="316"/>
      <c r="DA690" s="309">
        <v>689</v>
      </c>
      <c r="DB690" s="313">
        <f t="shared" si="558"/>
        <v>450.77549140941341</v>
      </c>
      <c r="DC690" s="309">
        <f t="shared" si="559"/>
        <v>4</v>
      </c>
      <c r="DD690" s="309">
        <f t="shared" si="560"/>
        <v>0</v>
      </c>
      <c r="DE690" s="308">
        <f t="shared" si="561"/>
        <v>0</v>
      </c>
      <c r="DF690" s="313">
        <f t="shared" si="576"/>
        <v>600</v>
      </c>
      <c r="DG690" s="313">
        <f t="shared" si="580"/>
        <v>0</v>
      </c>
      <c r="DH690" s="313">
        <f t="shared" si="566"/>
        <v>0</v>
      </c>
      <c r="DI690" s="313">
        <f t="shared" si="567"/>
        <v>0</v>
      </c>
      <c r="DJ690" s="313">
        <f t="shared" si="568"/>
        <v>0</v>
      </c>
      <c r="DK690" s="313">
        <f t="shared" si="577"/>
        <v>0</v>
      </c>
      <c r="DL690" s="313">
        <f t="shared" si="569"/>
        <v>0</v>
      </c>
      <c r="DM690" s="314">
        <f t="shared" si="570"/>
        <v>0</v>
      </c>
      <c r="DN690" s="312">
        <f t="shared" si="571"/>
        <v>0</v>
      </c>
      <c r="DO690" s="312">
        <f t="shared" si="578"/>
        <v>0</v>
      </c>
      <c r="DP690" s="315" t="e">
        <f t="shared" si="562"/>
        <v>#NUM!</v>
      </c>
      <c r="DQ690" s="316">
        <f t="shared" si="572"/>
        <v>0</v>
      </c>
      <c r="DR690" s="316">
        <f t="shared" si="573"/>
        <v>0</v>
      </c>
      <c r="DS690" s="314">
        <f t="shared" si="574"/>
        <v>0</v>
      </c>
      <c r="DT690" s="316">
        <f t="shared" si="575"/>
        <v>0</v>
      </c>
      <c r="DU690" s="314">
        <f t="shared" si="563"/>
        <v>0</v>
      </c>
      <c r="DV690" s="316">
        <f t="shared" si="579"/>
        <v>0</v>
      </c>
      <c r="DW690" s="310">
        <f t="shared" si="564"/>
        <v>0</v>
      </c>
      <c r="FB690" s="307"/>
      <c r="FC690" s="307"/>
      <c r="FF690" s="307"/>
      <c r="FG690" s="307"/>
      <c r="FH690" s="306"/>
      <c r="FJ690" s="307"/>
      <c r="FK690" s="307"/>
      <c r="FL690" s="306"/>
      <c r="FM690" s="307"/>
      <c r="FN690" s="306"/>
      <c r="FO690" s="307"/>
      <c r="FP690" s="306"/>
    </row>
    <row r="691" spans="29:172">
      <c r="AC691" s="156"/>
      <c r="CW691" s="364"/>
      <c r="CX691" s="316"/>
      <c r="CY691" s="316"/>
      <c r="DA691" s="309">
        <v>690</v>
      </c>
      <c r="DB691" s="313">
        <f t="shared" si="558"/>
        <v>451.13946164367962</v>
      </c>
      <c r="DC691" s="309">
        <f t="shared" si="559"/>
        <v>4</v>
      </c>
      <c r="DD691" s="309">
        <f t="shared" si="560"/>
        <v>0</v>
      </c>
      <c r="DE691" s="308">
        <f t="shared" si="561"/>
        <v>0</v>
      </c>
      <c r="DF691" s="313">
        <f t="shared" si="576"/>
        <v>600</v>
      </c>
      <c r="DG691" s="313">
        <f t="shared" si="580"/>
        <v>0</v>
      </c>
      <c r="DH691" s="313">
        <f t="shared" si="566"/>
        <v>0</v>
      </c>
      <c r="DI691" s="313">
        <f t="shared" si="567"/>
        <v>0</v>
      </c>
      <c r="DJ691" s="313">
        <f t="shared" si="568"/>
        <v>0</v>
      </c>
      <c r="DK691" s="313">
        <f t="shared" si="577"/>
        <v>0</v>
      </c>
      <c r="DL691" s="313">
        <f t="shared" si="569"/>
        <v>0</v>
      </c>
      <c r="DM691" s="314">
        <f t="shared" si="570"/>
        <v>0</v>
      </c>
      <c r="DN691" s="312">
        <f t="shared" si="571"/>
        <v>0</v>
      </c>
      <c r="DO691" s="312">
        <f t="shared" si="578"/>
        <v>0</v>
      </c>
      <c r="DP691" s="315" t="e">
        <f t="shared" si="562"/>
        <v>#NUM!</v>
      </c>
      <c r="DQ691" s="316">
        <f t="shared" si="572"/>
        <v>0</v>
      </c>
      <c r="DR691" s="316">
        <f t="shared" si="573"/>
        <v>0</v>
      </c>
      <c r="DS691" s="314">
        <f t="shared" si="574"/>
        <v>0</v>
      </c>
      <c r="DT691" s="316">
        <f t="shared" si="575"/>
        <v>0</v>
      </c>
      <c r="DU691" s="314">
        <f t="shared" si="563"/>
        <v>0</v>
      </c>
      <c r="DV691" s="316">
        <f t="shared" si="579"/>
        <v>0</v>
      </c>
      <c r="DW691" s="310">
        <f t="shared" si="564"/>
        <v>0</v>
      </c>
      <c r="FB691" s="307"/>
      <c r="FC691" s="307"/>
      <c r="FF691" s="307"/>
      <c r="FG691" s="307"/>
      <c r="FH691" s="306"/>
      <c r="FJ691" s="307"/>
      <c r="FK691" s="307"/>
      <c r="FL691" s="306"/>
      <c r="FM691" s="307"/>
      <c r="FN691" s="306"/>
      <c r="FO691" s="307"/>
      <c r="FP691" s="306"/>
    </row>
    <row r="692" spans="29:172">
      <c r="AC692" s="156"/>
      <c r="CW692" s="364"/>
      <c r="CX692" s="316"/>
      <c r="CY692" s="316"/>
      <c r="DA692" s="309">
        <v>691</v>
      </c>
      <c r="DB692" s="313">
        <f t="shared" si="558"/>
        <v>451.50343187794579</v>
      </c>
      <c r="DC692" s="309">
        <f t="shared" si="559"/>
        <v>4</v>
      </c>
      <c r="DD692" s="309">
        <f t="shared" si="560"/>
        <v>0</v>
      </c>
      <c r="DE692" s="308">
        <f t="shared" si="561"/>
        <v>0</v>
      </c>
      <c r="DF692" s="313">
        <f t="shared" si="576"/>
        <v>600</v>
      </c>
      <c r="DG692" s="313">
        <f t="shared" si="580"/>
        <v>0</v>
      </c>
      <c r="DH692" s="313">
        <f t="shared" si="566"/>
        <v>0</v>
      </c>
      <c r="DI692" s="313">
        <f t="shared" si="567"/>
        <v>0</v>
      </c>
      <c r="DJ692" s="313">
        <f t="shared" si="568"/>
        <v>0</v>
      </c>
      <c r="DK692" s="313">
        <f t="shared" si="577"/>
        <v>0</v>
      </c>
      <c r="DL692" s="313">
        <f t="shared" si="569"/>
        <v>0</v>
      </c>
      <c r="DM692" s="314">
        <f t="shared" si="570"/>
        <v>0</v>
      </c>
      <c r="DN692" s="312">
        <f t="shared" si="571"/>
        <v>0</v>
      </c>
      <c r="DO692" s="312">
        <f t="shared" si="578"/>
        <v>0</v>
      </c>
      <c r="DP692" s="315" t="e">
        <f t="shared" si="562"/>
        <v>#NUM!</v>
      </c>
      <c r="DQ692" s="316">
        <f t="shared" si="572"/>
        <v>0</v>
      </c>
      <c r="DR692" s="316">
        <f t="shared" si="573"/>
        <v>0</v>
      </c>
      <c r="DS692" s="314">
        <f t="shared" si="574"/>
        <v>0</v>
      </c>
      <c r="DT692" s="316">
        <f t="shared" si="575"/>
        <v>0</v>
      </c>
      <c r="DU692" s="314">
        <f t="shared" si="563"/>
        <v>0</v>
      </c>
      <c r="DV692" s="316">
        <f t="shared" si="579"/>
        <v>0</v>
      </c>
      <c r="DW692" s="310">
        <f t="shared" si="564"/>
        <v>0</v>
      </c>
      <c r="FB692" s="307"/>
      <c r="FC692" s="307"/>
      <c r="FF692" s="307"/>
      <c r="FG692" s="307"/>
      <c r="FH692" s="306"/>
      <c r="FJ692" s="307"/>
      <c r="FK692" s="307"/>
      <c r="FL692" s="306"/>
      <c r="FM692" s="307"/>
      <c r="FN692" s="306"/>
      <c r="FO692" s="307"/>
      <c r="FP692" s="306"/>
    </row>
    <row r="693" spans="29:172">
      <c r="AC693" s="156"/>
      <c r="CW693" s="364"/>
      <c r="CX693" s="316"/>
      <c r="CY693" s="316"/>
      <c r="DA693" s="309">
        <v>692</v>
      </c>
      <c r="DB693" s="313">
        <f t="shared" si="558"/>
        <v>451.86740211221206</v>
      </c>
      <c r="DC693" s="309">
        <f t="shared" si="559"/>
        <v>4</v>
      </c>
      <c r="DD693" s="309">
        <f t="shared" si="560"/>
        <v>0</v>
      </c>
      <c r="DE693" s="308">
        <f t="shared" si="561"/>
        <v>0</v>
      </c>
      <c r="DF693" s="313">
        <f t="shared" si="576"/>
        <v>600</v>
      </c>
      <c r="DG693" s="313">
        <f t="shared" si="580"/>
        <v>0</v>
      </c>
      <c r="DH693" s="313">
        <f t="shared" si="566"/>
        <v>0</v>
      </c>
      <c r="DI693" s="313">
        <f t="shared" si="567"/>
        <v>0</v>
      </c>
      <c r="DJ693" s="313">
        <f t="shared" si="568"/>
        <v>0</v>
      </c>
      <c r="DK693" s="313">
        <f t="shared" si="577"/>
        <v>0</v>
      </c>
      <c r="DL693" s="313">
        <f t="shared" si="569"/>
        <v>0</v>
      </c>
      <c r="DM693" s="314">
        <f t="shared" si="570"/>
        <v>0</v>
      </c>
      <c r="DN693" s="312">
        <f t="shared" si="571"/>
        <v>0</v>
      </c>
      <c r="DO693" s="312">
        <f t="shared" si="578"/>
        <v>0</v>
      </c>
      <c r="DP693" s="315" t="e">
        <f t="shared" si="562"/>
        <v>#NUM!</v>
      </c>
      <c r="DQ693" s="316">
        <f t="shared" si="572"/>
        <v>0</v>
      </c>
      <c r="DR693" s="316">
        <f t="shared" si="573"/>
        <v>0</v>
      </c>
      <c r="DS693" s="314">
        <f t="shared" si="574"/>
        <v>0</v>
      </c>
      <c r="DT693" s="316">
        <f t="shared" si="575"/>
        <v>0</v>
      </c>
      <c r="DU693" s="314">
        <f t="shared" si="563"/>
        <v>0</v>
      </c>
      <c r="DV693" s="316">
        <f t="shared" si="579"/>
        <v>0</v>
      </c>
      <c r="DW693" s="310">
        <f t="shared" si="564"/>
        <v>0</v>
      </c>
      <c r="FB693" s="307"/>
      <c r="FC693" s="307"/>
      <c r="FF693" s="307"/>
      <c r="FG693" s="307"/>
      <c r="FH693" s="306"/>
      <c r="FJ693" s="307"/>
      <c r="FK693" s="307"/>
      <c r="FL693" s="306"/>
      <c r="FM693" s="307"/>
      <c r="FN693" s="306"/>
      <c r="FO693" s="307"/>
      <c r="FP693" s="306"/>
    </row>
    <row r="694" spans="29:172">
      <c r="AC694" s="156"/>
      <c r="CW694" s="364"/>
      <c r="CX694" s="316"/>
      <c r="CY694" s="316"/>
      <c r="DA694" s="309">
        <v>693</v>
      </c>
      <c r="DB694" s="313">
        <f t="shared" si="558"/>
        <v>452.23137234647822</v>
      </c>
      <c r="DC694" s="309">
        <f t="shared" si="559"/>
        <v>4</v>
      </c>
      <c r="DD694" s="309">
        <f t="shared" si="560"/>
        <v>0</v>
      </c>
      <c r="DE694" s="308">
        <f t="shared" si="561"/>
        <v>0</v>
      </c>
      <c r="DF694" s="313">
        <f t="shared" si="576"/>
        <v>600</v>
      </c>
      <c r="DG694" s="313">
        <f t="shared" si="580"/>
        <v>0</v>
      </c>
      <c r="DH694" s="313">
        <f t="shared" si="566"/>
        <v>0</v>
      </c>
      <c r="DI694" s="313">
        <f t="shared" si="567"/>
        <v>0</v>
      </c>
      <c r="DJ694" s="313">
        <f t="shared" si="568"/>
        <v>0</v>
      </c>
      <c r="DK694" s="313">
        <f t="shared" si="577"/>
        <v>0</v>
      </c>
      <c r="DL694" s="313">
        <f t="shared" si="569"/>
        <v>0</v>
      </c>
      <c r="DM694" s="314">
        <f t="shared" si="570"/>
        <v>0</v>
      </c>
      <c r="DN694" s="312">
        <f t="shared" si="571"/>
        <v>0</v>
      </c>
      <c r="DO694" s="312">
        <f t="shared" si="578"/>
        <v>0</v>
      </c>
      <c r="DP694" s="315" t="e">
        <f t="shared" si="562"/>
        <v>#NUM!</v>
      </c>
      <c r="DQ694" s="316">
        <f t="shared" si="572"/>
        <v>0</v>
      </c>
      <c r="DR694" s="316">
        <f t="shared" si="573"/>
        <v>0</v>
      </c>
      <c r="DS694" s="314">
        <f t="shared" si="574"/>
        <v>0</v>
      </c>
      <c r="DT694" s="316">
        <f t="shared" si="575"/>
        <v>0</v>
      </c>
      <c r="DU694" s="314">
        <f t="shared" si="563"/>
        <v>0</v>
      </c>
      <c r="DV694" s="316">
        <f t="shared" si="579"/>
        <v>0</v>
      </c>
      <c r="DW694" s="310">
        <f t="shared" si="564"/>
        <v>0</v>
      </c>
      <c r="FB694" s="307"/>
      <c r="FC694" s="307"/>
      <c r="FF694" s="307"/>
      <c r="FG694" s="307"/>
      <c r="FH694" s="306"/>
      <c r="FJ694" s="307"/>
      <c r="FK694" s="307"/>
      <c r="FL694" s="306"/>
      <c r="FM694" s="307"/>
      <c r="FN694" s="306"/>
      <c r="FO694" s="307"/>
      <c r="FP694" s="306"/>
    </row>
    <row r="695" spans="29:172">
      <c r="AC695" s="156"/>
      <c r="CW695" s="364"/>
      <c r="CX695" s="316"/>
      <c r="CY695" s="316"/>
      <c r="DA695" s="309">
        <v>694</v>
      </c>
      <c r="DB695" s="313">
        <f t="shared" si="558"/>
        <v>452.59534258074439</v>
      </c>
      <c r="DC695" s="309">
        <f t="shared" si="559"/>
        <v>4</v>
      </c>
      <c r="DD695" s="309">
        <f t="shared" si="560"/>
        <v>0</v>
      </c>
      <c r="DE695" s="308">
        <f t="shared" si="561"/>
        <v>0</v>
      </c>
      <c r="DF695" s="313">
        <f t="shared" si="576"/>
        <v>600</v>
      </c>
      <c r="DG695" s="313">
        <f t="shared" si="580"/>
        <v>0</v>
      </c>
      <c r="DH695" s="313">
        <f t="shared" si="566"/>
        <v>0</v>
      </c>
      <c r="DI695" s="313">
        <f t="shared" si="567"/>
        <v>0</v>
      </c>
      <c r="DJ695" s="313">
        <f t="shared" si="568"/>
        <v>0</v>
      </c>
      <c r="DK695" s="313">
        <f t="shared" si="577"/>
        <v>0</v>
      </c>
      <c r="DL695" s="313">
        <f t="shared" si="569"/>
        <v>0</v>
      </c>
      <c r="DM695" s="314">
        <f t="shared" si="570"/>
        <v>0</v>
      </c>
      <c r="DN695" s="312">
        <f t="shared" si="571"/>
        <v>0</v>
      </c>
      <c r="DO695" s="312">
        <f t="shared" si="578"/>
        <v>0</v>
      </c>
      <c r="DP695" s="315" t="e">
        <f t="shared" si="562"/>
        <v>#NUM!</v>
      </c>
      <c r="DQ695" s="316">
        <f t="shared" si="572"/>
        <v>0</v>
      </c>
      <c r="DR695" s="316">
        <f t="shared" si="573"/>
        <v>0</v>
      </c>
      <c r="DS695" s="314">
        <f t="shared" si="574"/>
        <v>0</v>
      </c>
      <c r="DT695" s="316">
        <f t="shared" si="575"/>
        <v>0</v>
      </c>
      <c r="DU695" s="314">
        <f t="shared" si="563"/>
        <v>0</v>
      </c>
      <c r="DV695" s="316">
        <f t="shared" si="579"/>
        <v>0</v>
      </c>
      <c r="DW695" s="310">
        <f t="shared" si="564"/>
        <v>0</v>
      </c>
      <c r="FB695" s="307"/>
      <c r="FC695" s="307"/>
      <c r="FF695" s="307"/>
      <c r="FG695" s="307"/>
      <c r="FH695" s="306"/>
      <c r="FJ695" s="307"/>
      <c r="FK695" s="307"/>
      <c r="FL695" s="306"/>
      <c r="FM695" s="307"/>
      <c r="FN695" s="306"/>
      <c r="FO695" s="307"/>
      <c r="FP695" s="306"/>
    </row>
    <row r="696" spans="29:172">
      <c r="AC696" s="156"/>
      <c r="CW696" s="364"/>
      <c r="CX696" s="316"/>
      <c r="CY696" s="316"/>
      <c r="DA696" s="309">
        <v>695</v>
      </c>
      <c r="DB696" s="313">
        <f t="shared" si="558"/>
        <v>452.95931281501066</v>
      </c>
      <c r="DC696" s="309">
        <f t="shared" si="559"/>
        <v>4</v>
      </c>
      <c r="DD696" s="309">
        <f t="shared" si="560"/>
        <v>0</v>
      </c>
      <c r="DE696" s="308">
        <f t="shared" si="561"/>
        <v>0</v>
      </c>
      <c r="DF696" s="313">
        <f t="shared" si="576"/>
        <v>600</v>
      </c>
      <c r="DG696" s="313">
        <f t="shared" si="580"/>
        <v>0</v>
      </c>
      <c r="DH696" s="313">
        <f t="shared" si="566"/>
        <v>0</v>
      </c>
      <c r="DI696" s="313">
        <f t="shared" si="567"/>
        <v>0</v>
      </c>
      <c r="DJ696" s="313">
        <f t="shared" si="568"/>
        <v>0</v>
      </c>
      <c r="DK696" s="313">
        <f t="shared" si="577"/>
        <v>0</v>
      </c>
      <c r="DL696" s="313">
        <f t="shared" si="569"/>
        <v>0</v>
      </c>
      <c r="DM696" s="314">
        <f t="shared" si="570"/>
        <v>0</v>
      </c>
      <c r="DN696" s="312">
        <f t="shared" si="571"/>
        <v>0</v>
      </c>
      <c r="DO696" s="312">
        <f t="shared" si="578"/>
        <v>0</v>
      </c>
      <c r="DP696" s="315" t="e">
        <f t="shared" si="562"/>
        <v>#NUM!</v>
      </c>
      <c r="DQ696" s="316">
        <f t="shared" si="572"/>
        <v>0</v>
      </c>
      <c r="DR696" s="316">
        <f t="shared" si="573"/>
        <v>0</v>
      </c>
      <c r="DS696" s="314">
        <f t="shared" si="574"/>
        <v>0</v>
      </c>
      <c r="DT696" s="316">
        <f t="shared" si="575"/>
        <v>0</v>
      </c>
      <c r="DU696" s="314">
        <f t="shared" si="563"/>
        <v>0</v>
      </c>
      <c r="DV696" s="316">
        <f t="shared" si="579"/>
        <v>0</v>
      </c>
      <c r="DW696" s="310">
        <f t="shared" si="564"/>
        <v>0</v>
      </c>
      <c r="FB696" s="307"/>
      <c r="FC696" s="307"/>
      <c r="FF696" s="307"/>
      <c r="FG696" s="307"/>
      <c r="FH696" s="306"/>
      <c r="FJ696" s="307"/>
      <c r="FK696" s="307"/>
      <c r="FL696" s="306"/>
      <c r="FM696" s="307"/>
      <c r="FN696" s="306"/>
      <c r="FO696" s="307"/>
      <c r="FP696" s="306"/>
    </row>
    <row r="697" spans="29:172">
      <c r="AC697" s="156"/>
      <c r="CW697" s="364"/>
      <c r="CX697" s="316"/>
      <c r="CY697" s="316"/>
      <c r="DA697" s="309">
        <v>696</v>
      </c>
      <c r="DB697" s="313">
        <f t="shared" si="558"/>
        <v>453.32328304927682</v>
      </c>
      <c r="DC697" s="309">
        <f t="shared" si="559"/>
        <v>4</v>
      </c>
      <c r="DD697" s="309">
        <f t="shared" si="560"/>
        <v>0</v>
      </c>
      <c r="DE697" s="308">
        <f t="shared" si="561"/>
        <v>0</v>
      </c>
      <c r="DF697" s="313">
        <f t="shared" si="576"/>
        <v>600</v>
      </c>
      <c r="DG697" s="313">
        <f t="shared" si="580"/>
        <v>0</v>
      </c>
      <c r="DH697" s="313">
        <f t="shared" si="566"/>
        <v>0</v>
      </c>
      <c r="DI697" s="313">
        <f t="shared" si="567"/>
        <v>0</v>
      </c>
      <c r="DJ697" s="313">
        <f t="shared" si="568"/>
        <v>0</v>
      </c>
      <c r="DK697" s="313">
        <f t="shared" si="577"/>
        <v>0</v>
      </c>
      <c r="DL697" s="313">
        <f t="shared" si="569"/>
        <v>0</v>
      </c>
      <c r="DM697" s="314">
        <f t="shared" si="570"/>
        <v>0</v>
      </c>
      <c r="DN697" s="312">
        <f t="shared" si="571"/>
        <v>0</v>
      </c>
      <c r="DO697" s="312">
        <f t="shared" si="578"/>
        <v>0</v>
      </c>
      <c r="DP697" s="315" t="e">
        <f t="shared" si="562"/>
        <v>#NUM!</v>
      </c>
      <c r="DQ697" s="316">
        <f t="shared" si="572"/>
        <v>0</v>
      </c>
      <c r="DR697" s="316">
        <f t="shared" si="573"/>
        <v>0</v>
      </c>
      <c r="DS697" s="314">
        <f t="shared" si="574"/>
        <v>0</v>
      </c>
      <c r="DT697" s="316">
        <f t="shared" si="575"/>
        <v>0</v>
      </c>
      <c r="DU697" s="314">
        <f t="shared" si="563"/>
        <v>0</v>
      </c>
      <c r="DV697" s="316">
        <f t="shared" si="579"/>
        <v>0</v>
      </c>
      <c r="DW697" s="310">
        <f t="shared" si="564"/>
        <v>0</v>
      </c>
      <c r="FB697" s="307"/>
      <c r="FC697" s="307"/>
      <c r="FF697" s="307"/>
      <c r="FG697" s="307"/>
      <c r="FH697" s="306"/>
      <c r="FJ697" s="307"/>
      <c r="FK697" s="307"/>
      <c r="FL697" s="306"/>
      <c r="FM697" s="307"/>
      <c r="FN697" s="306"/>
      <c r="FO697" s="307"/>
      <c r="FP697" s="306"/>
    </row>
    <row r="698" spans="29:172">
      <c r="AC698" s="156"/>
      <c r="CW698" s="364"/>
      <c r="CX698" s="316"/>
      <c r="CY698" s="316"/>
      <c r="DA698" s="309">
        <v>697</v>
      </c>
      <c r="DB698" s="313">
        <f t="shared" si="558"/>
        <v>453.68725328354304</v>
      </c>
      <c r="DC698" s="309">
        <f t="shared" si="559"/>
        <v>4</v>
      </c>
      <c r="DD698" s="309">
        <f t="shared" si="560"/>
        <v>0</v>
      </c>
      <c r="DE698" s="308">
        <f t="shared" si="561"/>
        <v>0</v>
      </c>
      <c r="DF698" s="313">
        <f t="shared" si="576"/>
        <v>600</v>
      </c>
      <c r="DG698" s="313">
        <f t="shared" si="580"/>
        <v>0</v>
      </c>
      <c r="DH698" s="313">
        <f t="shared" si="566"/>
        <v>0</v>
      </c>
      <c r="DI698" s="313">
        <f t="shared" si="567"/>
        <v>0</v>
      </c>
      <c r="DJ698" s="313">
        <f t="shared" si="568"/>
        <v>0</v>
      </c>
      <c r="DK698" s="313">
        <f t="shared" si="577"/>
        <v>0</v>
      </c>
      <c r="DL698" s="313">
        <f t="shared" si="569"/>
        <v>0</v>
      </c>
      <c r="DM698" s="314">
        <f t="shared" si="570"/>
        <v>0</v>
      </c>
      <c r="DN698" s="312">
        <f t="shared" si="571"/>
        <v>0</v>
      </c>
      <c r="DO698" s="312">
        <f t="shared" si="578"/>
        <v>0</v>
      </c>
      <c r="DP698" s="315" t="e">
        <f t="shared" si="562"/>
        <v>#NUM!</v>
      </c>
      <c r="DQ698" s="316">
        <f t="shared" si="572"/>
        <v>0</v>
      </c>
      <c r="DR698" s="316">
        <f t="shared" si="573"/>
        <v>0</v>
      </c>
      <c r="DS698" s="314">
        <f t="shared" si="574"/>
        <v>0</v>
      </c>
      <c r="DT698" s="316">
        <f t="shared" si="575"/>
        <v>0</v>
      </c>
      <c r="DU698" s="314">
        <f t="shared" si="563"/>
        <v>0</v>
      </c>
      <c r="DV698" s="316">
        <f t="shared" si="579"/>
        <v>0</v>
      </c>
      <c r="DW698" s="310">
        <f t="shared" si="564"/>
        <v>0</v>
      </c>
      <c r="FB698" s="307"/>
      <c r="FC698" s="307"/>
      <c r="FF698" s="307"/>
      <c r="FG698" s="307"/>
      <c r="FH698" s="306"/>
      <c r="FJ698" s="307"/>
      <c r="FK698" s="307"/>
      <c r="FL698" s="306"/>
      <c r="FM698" s="307"/>
      <c r="FN698" s="306"/>
      <c r="FO698" s="307"/>
      <c r="FP698" s="306"/>
    </row>
    <row r="699" spans="29:172">
      <c r="AC699" s="156"/>
      <c r="CW699" s="364"/>
      <c r="CX699" s="316"/>
      <c r="CY699" s="316"/>
      <c r="DA699" s="309">
        <v>698</v>
      </c>
      <c r="DB699" s="313">
        <f t="shared" si="558"/>
        <v>454.05122351780926</v>
      </c>
      <c r="DC699" s="309">
        <f t="shared" si="559"/>
        <v>4</v>
      </c>
      <c r="DD699" s="309">
        <f t="shared" si="560"/>
        <v>0</v>
      </c>
      <c r="DE699" s="308">
        <f t="shared" si="561"/>
        <v>0</v>
      </c>
      <c r="DF699" s="313">
        <f t="shared" si="576"/>
        <v>600</v>
      </c>
      <c r="DG699" s="313">
        <f t="shared" si="580"/>
        <v>0</v>
      </c>
      <c r="DH699" s="313">
        <f t="shared" si="566"/>
        <v>0</v>
      </c>
      <c r="DI699" s="313">
        <f t="shared" si="567"/>
        <v>0</v>
      </c>
      <c r="DJ699" s="313">
        <f t="shared" si="568"/>
        <v>0</v>
      </c>
      <c r="DK699" s="313">
        <f t="shared" si="577"/>
        <v>0</v>
      </c>
      <c r="DL699" s="313">
        <f t="shared" si="569"/>
        <v>0</v>
      </c>
      <c r="DM699" s="314">
        <f t="shared" si="570"/>
        <v>0</v>
      </c>
      <c r="DN699" s="312">
        <f t="shared" si="571"/>
        <v>0</v>
      </c>
      <c r="DO699" s="312">
        <f t="shared" si="578"/>
        <v>0</v>
      </c>
      <c r="DP699" s="315" t="e">
        <f t="shared" si="562"/>
        <v>#NUM!</v>
      </c>
      <c r="DQ699" s="316">
        <f t="shared" si="572"/>
        <v>0</v>
      </c>
      <c r="DR699" s="316">
        <f t="shared" si="573"/>
        <v>0</v>
      </c>
      <c r="DS699" s="314">
        <f t="shared" si="574"/>
        <v>0</v>
      </c>
      <c r="DT699" s="316">
        <f t="shared" si="575"/>
        <v>0</v>
      </c>
      <c r="DU699" s="314">
        <f t="shared" si="563"/>
        <v>0</v>
      </c>
      <c r="DV699" s="316">
        <f t="shared" si="579"/>
        <v>0</v>
      </c>
      <c r="DW699" s="310">
        <f t="shared" si="564"/>
        <v>0</v>
      </c>
      <c r="FB699" s="307"/>
      <c r="FC699" s="307"/>
      <c r="FF699" s="307"/>
      <c r="FG699" s="307"/>
      <c r="FH699" s="306"/>
      <c r="FJ699" s="307"/>
      <c r="FK699" s="307"/>
      <c r="FL699" s="306"/>
      <c r="FM699" s="307"/>
      <c r="FN699" s="306"/>
      <c r="FO699" s="307"/>
      <c r="FP699" s="306"/>
    </row>
    <row r="700" spans="29:172">
      <c r="AC700" s="156"/>
      <c r="CW700" s="364"/>
      <c r="CX700" s="316"/>
      <c r="CY700" s="316"/>
      <c r="DA700" s="309">
        <v>699</v>
      </c>
      <c r="DB700" s="313">
        <f t="shared" si="558"/>
        <v>454.41519375207542</v>
      </c>
      <c r="DC700" s="309">
        <f t="shared" si="559"/>
        <v>4</v>
      </c>
      <c r="DD700" s="309">
        <f t="shared" si="560"/>
        <v>0</v>
      </c>
      <c r="DE700" s="308">
        <f t="shared" si="561"/>
        <v>0</v>
      </c>
      <c r="DF700" s="313">
        <f t="shared" si="576"/>
        <v>600</v>
      </c>
      <c r="DG700" s="313">
        <f t="shared" si="580"/>
        <v>0</v>
      </c>
      <c r="DH700" s="313">
        <f t="shared" si="566"/>
        <v>0</v>
      </c>
      <c r="DI700" s="313">
        <f t="shared" si="567"/>
        <v>0</v>
      </c>
      <c r="DJ700" s="313">
        <f t="shared" si="568"/>
        <v>0</v>
      </c>
      <c r="DK700" s="313">
        <f t="shared" si="577"/>
        <v>0</v>
      </c>
      <c r="DL700" s="313">
        <f t="shared" si="569"/>
        <v>0</v>
      </c>
      <c r="DM700" s="314">
        <f t="shared" si="570"/>
        <v>0</v>
      </c>
      <c r="DN700" s="312">
        <f t="shared" si="571"/>
        <v>0</v>
      </c>
      <c r="DO700" s="312">
        <f t="shared" si="578"/>
        <v>0</v>
      </c>
      <c r="DP700" s="315" t="e">
        <f t="shared" si="562"/>
        <v>#NUM!</v>
      </c>
      <c r="DQ700" s="316">
        <f t="shared" si="572"/>
        <v>0</v>
      </c>
      <c r="DR700" s="316">
        <f t="shared" si="573"/>
        <v>0</v>
      </c>
      <c r="DS700" s="314">
        <f t="shared" si="574"/>
        <v>0</v>
      </c>
      <c r="DT700" s="316">
        <f t="shared" si="575"/>
        <v>0</v>
      </c>
      <c r="DU700" s="314">
        <f t="shared" si="563"/>
        <v>0</v>
      </c>
      <c r="DV700" s="316">
        <f t="shared" si="579"/>
        <v>0</v>
      </c>
      <c r="DW700" s="310">
        <f t="shared" si="564"/>
        <v>0</v>
      </c>
      <c r="FB700" s="307"/>
      <c r="FC700" s="307"/>
      <c r="FF700" s="307"/>
      <c r="FG700" s="307"/>
      <c r="FH700" s="306"/>
      <c r="FJ700" s="307"/>
      <c r="FK700" s="307"/>
      <c r="FL700" s="306"/>
      <c r="FM700" s="307"/>
      <c r="FN700" s="306"/>
      <c r="FO700" s="307"/>
      <c r="FP700" s="306"/>
    </row>
    <row r="701" spans="29:172">
      <c r="AC701" s="156"/>
      <c r="CW701" s="364"/>
      <c r="CX701" s="316"/>
      <c r="CY701" s="316"/>
      <c r="DA701" s="309">
        <v>700</v>
      </c>
      <c r="DB701" s="313">
        <f t="shared" si="558"/>
        <v>454.77916398634164</v>
      </c>
      <c r="DC701" s="309">
        <f t="shared" si="559"/>
        <v>4</v>
      </c>
      <c r="DD701" s="309">
        <f t="shared" si="560"/>
        <v>0</v>
      </c>
      <c r="DE701" s="308">
        <f t="shared" si="561"/>
        <v>0</v>
      </c>
      <c r="DF701" s="313">
        <f t="shared" si="576"/>
        <v>600</v>
      </c>
      <c r="DG701" s="313">
        <f t="shared" si="580"/>
        <v>0</v>
      </c>
      <c r="DH701" s="313">
        <f t="shared" si="566"/>
        <v>0</v>
      </c>
      <c r="DI701" s="313">
        <f t="shared" si="567"/>
        <v>0</v>
      </c>
      <c r="DJ701" s="313">
        <f t="shared" si="568"/>
        <v>0</v>
      </c>
      <c r="DK701" s="313">
        <f t="shared" si="577"/>
        <v>0</v>
      </c>
      <c r="DL701" s="313">
        <f t="shared" si="569"/>
        <v>0</v>
      </c>
      <c r="DM701" s="314">
        <f t="shared" si="570"/>
        <v>0</v>
      </c>
      <c r="DN701" s="312">
        <f t="shared" si="571"/>
        <v>0</v>
      </c>
      <c r="DO701" s="312">
        <f t="shared" si="578"/>
        <v>0</v>
      </c>
      <c r="DP701" s="315" t="e">
        <f t="shared" si="562"/>
        <v>#NUM!</v>
      </c>
      <c r="DQ701" s="316">
        <f t="shared" si="572"/>
        <v>0</v>
      </c>
      <c r="DR701" s="316">
        <f t="shared" si="573"/>
        <v>0</v>
      </c>
      <c r="DS701" s="314">
        <f t="shared" si="574"/>
        <v>0</v>
      </c>
      <c r="DT701" s="316">
        <f t="shared" si="575"/>
        <v>0</v>
      </c>
      <c r="DU701" s="314">
        <f t="shared" si="563"/>
        <v>0</v>
      </c>
      <c r="DV701" s="316">
        <f t="shared" si="579"/>
        <v>0</v>
      </c>
      <c r="DW701" s="310">
        <f t="shared" si="564"/>
        <v>0</v>
      </c>
      <c r="FB701" s="307"/>
      <c r="FC701" s="307"/>
      <c r="FF701" s="307"/>
      <c r="FG701" s="307"/>
      <c r="FH701" s="306"/>
      <c r="FJ701" s="307"/>
      <c r="FK701" s="307"/>
      <c r="FL701" s="306"/>
      <c r="FM701" s="307"/>
      <c r="FN701" s="306"/>
      <c r="FO701" s="307"/>
      <c r="FP701" s="306"/>
    </row>
    <row r="702" spans="29:172">
      <c r="AC702" s="156"/>
      <c r="CW702" s="364"/>
      <c r="CX702" s="316"/>
      <c r="CY702" s="316"/>
      <c r="DA702" s="309">
        <v>701</v>
      </c>
      <c r="DB702" s="313">
        <f t="shared" si="558"/>
        <v>455.14313422060786</v>
      </c>
      <c r="DC702" s="309">
        <f t="shared" si="559"/>
        <v>4</v>
      </c>
      <c r="DD702" s="309">
        <f t="shared" si="560"/>
        <v>0</v>
      </c>
      <c r="DE702" s="308">
        <f t="shared" si="561"/>
        <v>0</v>
      </c>
      <c r="DF702" s="313">
        <f t="shared" si="576"/>
        <v>600</v>
      </c>
      <c r="DG702" s="313">
        <f t="shared" si="580"/>
        <v>0</v>
      </c>
      <c r="DH702" s="313">
        <f t="shared" si="566"/>
        <v>0</v>
      </c>
      <c r="DI702" s="313">
        <f t="shared" si="567"/>
        <v>0</v>
      </c>
      <c r="DJ702" s="313">
        <f t="shared" si="568"/>
        <v>0</v>
      </c>
      <c r="DK702" s="313">
        <f t="shared" si="577"/>
        <v>0</v>
      </c>
      <c r="DL702" s="313">
        <f t="shared" si="569"/>
        <v>0</v>
      </c>
      <c r="DM702" s="314">
        <f t="shared" si="570"/>
        <v>0</v>
      </c>
      <c r="DN702" s="312">
        <f t="shared" si="571"/>
        <v>0</v>
      </c>
      <c r="DO702" s="312">
        <f t="shared" si="578"/>
        <v>0</v>
      </c>
      <c r="DP702" s="315" t="e">
        <f t="shared" si="562"/>
        <v>#NUM!</v>
      </c>
      <c r="DQ702" s="316">
        <f t="shared" si="572"/>
        <v>0</v>
      </c>
      <c r="DR702" s="316">
        <f t="shared" si="573"/>
        <v>0</v>
      </c>
      <c r="DS702" s="314">
        <f t="shared" si="574"/>
        <v>0</v>
      </c>
      <c r="DT702" s="316">
        <f t="shared" si="575"/>
        <v>0</v>
      </c>
      <c r="DU702" s="314">
        <f t="shared" si="563"/>
        <v>0</v>
      </c>
      <c r="DV702" s="316">
        <f t="shared" si="579"/>
        <v>0</v>
      </c>
      <c r="DW702" s="310">
        <f t="shared" si="564"/>
        <v>0</v>
      </c>
      <c r="FB702" s="307"/>
      <c r="FC702" s="307"/>
      <c r="FF702" s="307"/>
      <c r="FG702" s="307"/>
      <c r="FH702" s="306"/>
      <c r="FJ702" s="307"/>
      <c r="FK702" s="307"/>
      <c r="FL702" s="306"/>
      <c r="FM702" s="307"/>
      <c r="FN702" s="306"/>
      <c r="FO702" s="307"/>
      <c r="FP702" s="306"/>
    </row>
    <row r="703" spans="29:172">
      <c r="AC703" s="156"/>
      <c r="CW703" s="364"/>
      <c r="CX703" s="316"/>
      <c r="CY703" s="316"/>
      <c r="DA703" s="309">
        <v>702</v>
      </c>
      <c r="DB703" s="313">
        <f t="shared" si="558"/>
        <v>455.50710445487402</v>
      </c>
      <c r="DC703" s="309">
        <f t="shared" si="559"/>
        <v>4</v>
      </c>
      <c r="DD703" s="309">
        <f t="shared" si="560"/>
        <v>0</v>
      </c>
      <c r="DE703" s="308">
        <f t="shared" si="561"/>
        <v>0</v>
      </c>
      <c r="DF703" s="313">
        <f t="shared" si="576"/>
        <v>600</v>
      </c>
      <c r="DG703" s="313">
        <f t="shared" si="580"/>
        <v>0</v>
      </c>
      <c r="DH703" s="313">
        <f t="shared" si="566"/>
        <v>0</v>
      </c>
      <c r="DI703" s="313">
        <f t="shared" si="567"/>
        <v>0</v>
      </c>
      <c r="DJ703" s="313">
        <f t="shared" si="568"/>
        <v>0</v>
      </c>
      <c r="DK703" s="313">
        <f t="shared" si="577"/>
        <v>0</v>
      </c>
      <c r="DL703" s="313">
        <f t="shared" si="569"/>
        <v>0</v>
      </c>
      <c r="DM703" s="314">
        <f t="shared" si="570"/>
        <v>0</v>
      </c>
      <c r="DN703" s="312">
        <f t="shared" si="571"/>
        <v>0</v>
      </c>
      <c r="DO703" s="312">
        <f t="shared" si="578"/>
        <v>0</v>
      </c>
      <c r="DP703" s="315" t="e">
        <f t="shared" si="562"/>
        <v>#NUM!</v>
      </c>
      <c r="DQ703" s="316">
        <f t="shared" si="572"/>
        <v>0</v>
      </c>
      <c r="DR703" s="316">
        <f t="shared" si="573"/>
        <v>0</v>
      </c>
      <c r="DS703" s="314">
        <f t="shared" si="574"/>
        <v>0</v>
      </c>
      <c r="DT703" s="316">
        <f t="shared" si="575"/>
        <v>0</v>
      </c>
      <c r="DU703" s="314">
        <f t="shared" si="563"/>
        <v>0</v>
      </c>
      <c r="DV703" s="316">
        <f t="shared" si="579"/>
        <v>0</v>
      </c>
      <c r="DW703" s="310">
        <f t="shared" si="564"/>
        <v>0</v>
      </c>
      <c r="FB703" s="307"/>
      <c r="FC703" s="307"/>
      <c r="FF703" s="307"/>
      <c r="FG703" s="307"/>
      <c r="FH703" s="306"/>
      <c r="FJ703" s="307"/>
      <c r="FK703" s="307"/>
      <c r="FL703" s="306"/>
      <c r="FM703" s="307"/>
      <c r="FN703" s="306"/>
      <c r="FO703" s="307"/>
      <c r="FP703" s="306"/>
    </row>
    <row r="704" spans="29:172">
      <c r="AC704" s="156"/>
      <c r="CW704" s="364"/>
      <c r="CX704" s="316"/>
      <c r="CY704" s="316"/>
      <c r="DA704" s="309">
        <v>703</v>
      </c>
      <c r="DB704" s="313">
        <f t="shared" si="558"/>
        <v>455.87107468914024</v>
      </c>
      <c r="DC704" s="309">
        <f t="shared" si="559"/>
        <v>4</v>
      </c>
      <c r="DD704" s="309">
        <f t="shared" si="560"/>
        <v>0</v>
      </c>
      <c r="DE704" s="308">
        <f t="shared" si="561"/>
        <v>0</v>
      </c>
      <c r="DF704" s="313">
        <f t="shared" si="576"/>
        <v>600</v>
      </c>
      <c r="DG704" s="313">
        <f t="shared" si="580"/>
        <v>0</v>
      </c>
      <c r="DH704" s="313">
        <f t="shared" si="566"/>
        <v>0</v>
      </c>
      <c r="DI704" s="313">
        <f t="shared" si="567"/>
        <v>0</v>
      </c>
      <c r="DJ704" s="313">
        <f t="shared" si="568"/>
        <v>0</v>
      </c>
      <c r="DK704" s="313">
        <f t="shared" si="577"/>
        <v>0</v>
      </c>
      <c r="DL704" s="313">
        <f t="shared" si="569"/>
        <v>0</v>
      </c>
      <c r="DM704" s="314">
        <f t="shared" si="570"/>
        <v>0</v>
      </c>
      <c r="DN704" s="312">
        <f t="shared" si="571"/>
        <v>0</v>
      </c>
      <c r="DO704" s="312">
        <f t="shared" si="578"/>
        <v>0</v>
      </c>
      <c r="DP704" s="315" t="e">
        <f t="shared" si="562"/>
        <v>#NUM!</v>
      </c>
      <c r="DQ704" s="316">
        <f t="shared" si="572"/>
        <v>0</v>
      </c>
      <c r="DR704" s="316">
        <f t="shared" si="573"/>
        <v>0</v>
      </c>
      <c r="DS704" s="314">
        <f t="shared" si="574"/>
        <v>0</v>
      </c>
      <c r="DT704" s="316">
        <f t="shared" si="575"/>
        <v>0</v>
      </c>
      <c r="DU704" s="314">
        <f t="shared" si="563"/>
        <v>0</v>
      </c>
      <c r="DV704" s="316">
        <f t="shared" si="579"/>
        <v>0</v>
      </c>
      <c r="DW704" s="310">
        <f t="shared" si="564"/>
        <v>0</v>
      </c>
      <c r="FB704" s="307"/>
      <c r="FC704" s="307"/>
      <c r="FF704" s="307"/>
      <c r="FG704" s="307"/>
      <c r="FH704" s="306"/>
      <c r="FJ704" s="307"/>
      <c r="FK704" s="307"/>
      <c r="FL704" s="306"/>
      <c r="FM704" s="307"/>
      <c r="FN704" s="306"/>
      <c r="FO704" s="307"/>
      <c r="FP704" s="306"/>
    </row>
    <row r="705" spans="29:172">
      <c r="AC705" s="156"/>
      <c r="CW705" s="364"/>
      <c r="CX705" s="316"/>
      <c r="CY705" s="316"/>
      <c r="DA705" s="309">
        <v>704</v>
      </c>
      <c r="DB705" s="313">
        <f t="shared" si="558"/>
        <v>456.23504492340646</v>
      </c>
      <c r="DC705" s="309">
        <f t="shared" si="559"/>
        <v>4</v>
      </c>
      <c r="DD705" s="309">
        <f t="shared" si="560"/>
        <v>0</v>
      </c>
      <c r="DE705" s="308">
        <f t="shared" si="561"/>
        <v>0</v>
      </c>
      <c r="DF705" s="313">
        <f t="shared" si="576"/>
        <v>600</v>
      </c>
      <c r="DG705" s="313">
        <f t="shared" si="580"/>
        <v>0</v>
      </c>
      <c r="DH705" s="313">
        <f t="shared" si="566"/>
        <v>0</v>
      </c>
      <c r="DI705" s="313">
        <f t="shared" si="567"/>
        <v>0</v>
      </c>
      <c r="DJ705" s="313">
        <f t="shared" si="568"/>
        <v>0</v>
      </c>
      <c r="DK705" s="313">
        <f t="shared" si="577"/>
        <v>0</v>
      </c>
      <c r="DL705" s="313">
        <f t="shared" si="569"/>
        <v>0</v>
      </c>
      <c r="DM705" s="314">
        <f t="shared" si="570"/>
        <v>0</v>
      </c>
      <c r="DN705" s="312">
        <f t="shared" si="571"/>
        <v>0</v>
      </c>
      <c r="DO705" s="312">
        <f t="shared" si="578"/>
        <v>0</v>
      </c>
      <c r="DP705" s="315" t="e">
        <f t="shared" si="562"/>
        <v>#NUM!</v>
      </c>
      <c r="DQ705" s="316">
        <f t="shared" si="572"/>
        <v>0</v>
      </c>
      <c r="DR705" s="316">
        <f t="shared" si="573"/>
        <v>0</v>
      </c>
      <c r="DS705" s="314">
        <f t="shared" si="574"/>
        <v>0</v>
      </c>
      <c r="DT705" s="316">
        <f t="shared" si="575"/>
        <v>0</v>
      </c>
      <c r="DU705" s="314">
        <f t="shared" si="563"/>
        <v>0</v>
      </c>
      <c r="DV705" s="316">
        <f t="shared" si="579"/>
        <v>0</v>
      </c>
      <c r="DW705" s="310">
        <f t="shared" si="564"/>
        <v>0</v>
      </c>
      <c r="FB705" s="307"/>
      <c r="FC705" s="307"/>
      <c r="FF705" s="307"/>
      <c r="FG705" s="307"/>
      <c r="FH705" s="306"/>
      <c r="FJ705" s="307"/>
      <c r="FK705" s="307"/>
      <c r="FL705" s="306"/>
      <c r="FM705" s="307"/>
      <c r="FN705" s="306"/>
      <c r="FO705" s="307"/>
      <c r="FP705" s="306"/>
    </row>
    <row r="706" spans="29:172">
      <c r="AC706" s="156"/>
      <c r="CW706" s="364"/>
      <c r="CX706" s="316"/>
      <c r="CY706" s="316"/>
      <c r="DA706" s="309">
        <v>705</v>
      </c>
      <c r="DB706" s="313">
        <f t="shared" ref="DB706:DB769" si="581">start+DA706*tanO</f>
        <v>456.59901515767262</v>
      </c>
      <c r="DC706" s="309">
        <f t="shared" ref="DC706:DC769" si="582">IF(DA706&lt;edge_width,1,IF(DA706&lt;mid_width,2,IF(DA706&lt;=tot_width,3,4)))</f>
        <v>4</v>
      </c>
      <c r="DD706" s="309">
        <f t="shared" ref="DD706:DD769" si="583">CHOOSE(DC706,edge_thick,second_thick,core_thick,0)</f>
        <v>0</v>
      </c>
      <c r="DE706" s="308">
        <f t="shared" ref="DE706:DE769" si="584">CHOOSE(DC706,edge_k,second_k,core_k,0)</f>
        <v>0</v>
      </c>
      <c r="DF706" s="313">
        <f t="shared" si="576"/>
        <v>600</v>
      </c>
      <c r="DG706" s="313">
        <f t="shared" si="580"/>
        <v>0</v>
      </c>
      <c r="DH706" s="313">
        <f t="shared" si="566"/>
        <v>0</v>
      </c>
      <c r="DI706" s="313">
        <f t="shared" si="567"/>
        <v>0</v>
      </c>
      <c r="DJ706" s="313">
        <f t="shared" si="568"/>
        <v>0</v>
      </c>
      <c r="DK706" s="313">
        <f t="shared" si="577"/>
        <v>0</v>
      </c>
      <c r="DL706" s="313">
        <f t="shared" si="569"/>
        <v>0</v>
      </c>
      <c r="DM706" s="314">
        <f t="shared" si="570"/>
        <v>0</v>
      </c>
      <c r="DN706" s="312">
        <f t="shared" si="571"/>
        <v>0</v>
      </c>
      <c r="DO706" s="312">
        <f t="shared" si="578"/>
        <v>0</v>
      </c>
      <c r="DP706" s="315" t="e">
        <f t="shared" ref="DP706:DP769" si="585">DE706*DO706^CHOOSE(DC706,mult1,mult2,mult3,0)</f>
        <v>#NUM!</v>
      </c>
      <c r="DQ706" s="316">
        <f t="shared" si="572"/>
        <v>0</v>
      </c>
      <c r="DR706" s="316">
        <f t="shared" si="573"/>
        <v>0</v>
      </c>
      <c r="DS706" s="314">
        <f t="shared" si="574"/>
        <v>0</v>
      </c>
      <c r="DT706" s="316">
        <f t="shared" si="575"/>
        <v>0</v>
      </c>
      <c r="DU706" s="314">
        <f t="shared" ref="DU706:DU769" si="586">IF(DC706&lt;&gt;4,CHOOSE(DC706,DA706/DT706,(DA706-edge_width+1)/DT706,(DA706-mid_width+1)/DT706),0)</f>
        <v>0</v>
      </c>
      <c r="DV706" s="316">
        <f t="shared" si="579"/>
        <v>0</v>
      </c>
      <c r="DW706" s="310">
        <f t="shared" ref="DW706:DW769" si="587">IF(DC706&lt;&gt;4,(tot_width-DA706+1)/DV706,0)</f>
        <v>0</v>
      </c>
      <c r="FB706" s="307"/>
      <c r="FC706" s="307"/>
      <c r="FF706" s="307"/>
      <c r="FG706" s="307"/>
      <c r="FH706" s="306"/>
      <c r="FJ706" s="307"/>
      <c r="FK706" s="307"/>
      <c r="FL706" s="306"/>
      <c r="FM706" s="307"/>
      <c r="FN706" s="306"/>
      <c r="FO706" s="307"/>
      <c r="FP706" s="306"/>
    </row>
    <row r="707" spans="29:172">
      <c r="AC707" s="156"/>
      <c r="CW707" s="364"/>
      <c r="CX707" s="316"/>
      <c r="CY707" s="316"/>
      <c r="DA707" s="309">
        <v>706</v>
      </c>
      <c r="DB707" s="313">
        <f t="shared" si="581"/>
        <v>456.96298539193884</v>
      </c>
      <c r="DC707" s="309">
        <f t="shared" si="582"/>
        <v>4</v>
      </c>
      <c r="DD707" s="309">
        <f t="shared" si="583"/>
        <v>0</v>
      </c>
      <c r="DE707" s="308">
        <f t="shared" si="584"/>
        <v>0</v>
      </c>
      <c r="DF707" s="313">
        <f t="shared" si="576"/>
        <v>600</v>
      </c>
      <c r="DG707" s="313">
        <f t="shared" si="580"/>
        <v>0</v>
      </c>
      <c r="DH707" s="313">
        <f t="shared" ref="DH707:DH770" si="588">IF(DC707=1,DG707,0)</f>
        <v>0</v>
      </c>
      <c r="DI707" s="313">
        <f t="shared" ref="DI707:DI770" si="589">IF(DC707=2,DG707,0)</f>
        <v>0</v>
      </c>
      <c r="DJ707" s="313">
        <f t="shared" ref="DJ707:DJ770" si="590">IF(DC707=3,DG707,0)</f>
        <v>0</v>
      </c>
      <c r="DK707" s="313">
        <f t="shared" si="577"/>
        <v>0</v>
      </c>
      <c r="DL707" s="313">
        <f t="shared" ref="DL707:DL770" si="591">IF(DC707&lt;4,DL708+DG707,0)</f>
        <v>0</v>
      </c>
      <c r="DM707" s="314">
        <f t="shared" ref="DM707:DM770" si="592">IF($DC707&lt;&gt;4,IF($DA707=edge_width,$CY$2,IF($DA707=mid_width,$CY$3,1-DO707+DM706)),0)</f>
        <v>0</v>
      </c>
      <c r="DN707" s="312">
        <f t="shared" ref="DN707:DN770" si="593">IF(DC707&lt;&gt;4,CHOOSE(DC707,DM707/DA707,DM707/(DA707-edge_width+1),DM707/(DA707-mid_width+1)),0)</f>
        <v>0</v>
      </c>
      <c r="DO707" s="312">
        <f t="shared" si="578"/>
        <v>0</v>
      </c>
      <c r="DP707" s="315" t="e">
        <f t="shared" si="585"/>
        <v>#NUM!</v>
      </c>
      <c r="DQ707" s="316">
        <f t="shared" ref="DQ707:DQ770" si="594">IF(AND(DC707&lt;&gt;4,DG707&lt;&gt;0),1000*DP707/DG707,0)</f>
        <v>0</v>
      </c>
      <c r="DR707" s="316">
        <f t="shared" ref="DR707:DR770" si="595">IF(DC707&lt;&gt;4,DR706+DQ707,0)</f>
        <v>0</v>
      </c>
      <c r="DS707" s="314">
        <f t="shared" ref="DS707:DS770" si="596">IF(AND(DC707&lt;&gt;4,DR707&lt;&gt;0),DA707/DR707,0)</f>
        <v>0</v>
      </c>
      <c r="DT707" s="316">
        <f t="shared" ref="DT707:DT770" si="597">IF(DC707&lt;&gt;4,IF(DA707=edge_width,$CY$4,IF(DA707=mid_width,$CY$5,DQ707+DT706)),0)</f>
        <v>0</v>
      </c>
      <c r="DU707" s="314">
        <f t="shared" si="586"/>
        <v>0</v>
      </c>
      <c r="DV707" s="316">
        <f t="shared" si="579"/>
        <v>0</v>
      </c>
      <c r="DW707" s="310">
        <f t="shared" si="587"/>
        <v>0</v>
      </c>
      <c r="FB707" s="307"/>
      <c r="FC707" s="307"/>
      <c r="FF707" s="307"/>
      <c r="FG707" s="307"/>
      <c r="FH707" s="306"/>
      <c r="FJ707" s="307"/>
      <c r="FK707" s="307"/>
      <c r="FL707" s="306"/>
      <c r="FM707" s="307"/>
      <c r="FN707" s="306"/>
      <c r="FO707" s="307"/>
      <c r="FP707" s="306"/>
    </row>
    <row r="708" spans="29:172">
      <c r="AC708" s="156"/>
      <c r="CW708" s="364"/>
      <c r="CX708" s="316"/>
      <c r="CY708" s="316"/>
      <c r="DA708" s="309">
        <v>707</v>
      </c>
      <c r="DB708" s="313">
        <f t="shared" si="581"/>
        <v>457.32695562620506</v>
      </c>
      <c r="DC708" s="309">
        <f t="shared" si="582"/>
        <v>4</v>
      </c>
      <c r="DD708" s="309">
        <f t="shared" si="583"/>
        <v>0</v>
      </c>
      <c r="DE708" s="308">
        <f t="shared" si="584"/>
        <v>0</v>
      </c>
      <c r="DF708" s="313">
        <f t="shared" ref="DF708:DF771" si="598">IF(DC708&lt;4,DF707+1,DF707)</f>
        <v>600</v>
      </c>
      <c r="DG708" s="313">
        <f t="shared" si="580"/>
        <v>0</v>
      </c>
      <c r="DH708" s="313">
        <f t="shared" si="588"/>
        <v>0</v>
      </c>
      <c r="DI708" s="313">
        <f t="shared" si="589"/>
        <v>0</v>
      </c>
      <c r="DJ708" s="313">
        <f t="shared" si="590"/>
        <v>0</v>
      </c>
      <c r="DK708" s="313">
        <f t="shared" ref="DK708:DK771" si="599">IF(DC708&lt;4,DK707+DG708,0)</f>
        <v>0</v>
      </c>
      <c r="DL708" s="313">
        <f t="shared" si="591"/>
        <v>0</v>
      </c>
      <c r="DM708" s="314">
        <f t="shared" si="592"/>
        <v>0</v>
      </c>
      <c r="DN708" s="312">
        <f t="shared" si="593"/>
        <v>0</v>
      </c>
      <c r="DO708" s="312">
        <f t="shared" ref="DO708:DO771" si="600">IF(AND(DC708&lt;&gt;4,DD708&lt;&gt;0),DG708/DD708,0)</f>
        <v>0</v>
      </c>
      <c r="DP708" s="315" t="e">
        <f t="shared" si="585"/>
        <v>#NUM!</v>
      </c>
      <c r="DQ708" s="316">
        <f t="shared" si="594"/>
        <v>0</v>
      </c>
      <c r="DR708" s="316">
        <f t="shared" si="595"/>
        <v>0</v>
      </c>
      <c r="DS708" s="314">
        <f t="shared" si="596"/>
        <v>0</v>
      </c>
      <c r="DT708" s="316">
        <f t="shared" si="597"/>
        <v>0</v>
      </c>
      <c r="DU708" s="314">
        <f t="shared" si="586"/>
        <v>0</v>
      </c>
      <c r="DV708" s="316">
        <f t="shared" ref="DV708:DV771" si="601">DV709+DQ708</f>
        <v>0</v>
      </c>
      <c r="DW708" s="310">
        <f t="shared" si="587"/>
        <v>0</v>
      </c>
      <c r="FB708" s="307"/>
      <c r="FC708" s="307"/>
      <c r="FF708" s="307"/>
      <c r="FG708" s="307"/>
      <c r="FH708" s="306"/>
      <c r="FJ708" s="307"/>
      <c r="FK708" s="307"/>
      <c r="FL708" s="306"/>
      <c r="FM708" s="307"/>
      <c r="FN708" s="306"/>
      <c r="FO708" s="307"/>
      <c r="FP708" s="306"/>
    </row>
    <row r="709" spans="29:172">
      <c r="AC709" s="156"/>
      <c r="CW709" s="364"/>
      <c r="CX709" s="316"/>
      <c r="CY709" s="316"/>
      <c r="DA709" s="309">
        <v>708</v>
      </c>
      <c r="DB709" s="313">
        <f t="shared" si="581"/>
        <v>457.69092586047128</v>
      </c>
      <c r="DC709" s="309">
        <f t="shared" si="582"/>
        <v>4</v>
      </c>
      <c r="DD709" s="309">
        <f t="shared" si="583"/>
        <v>0</v>
      </c>
      <c r="DE709" s="308">
        <f t="shared" si="584"/>
        <v>0</v>
      </c>
      <c r="DF709" s="313">
        <f t="shared" si="598"/>
        <v>600</v>
      </c>
      <c r="DG709" s="313">
        <f t="shared" si="580"/>
        <v>0</v>
      </c>
      <c r="DH709" s="313">
        <f t="shared" si="588"/>
        <v>0</v>
      </c>
      <c r="DI709" s="313">
        <f t="shared" si="589"/>
        <v>0</v>
      </c>
      <c r="DJ709" s="313">
        <f t="shared" si="590"/>
        <v>0</v>
      </c>
      <c r="DK709" s="313">
        <f t="shared" si="599"/>
        <v>0</v>
      </c>
      <c r="DL709" s="313">
        <f t="shared" si="591"/>
        <v>0</v>
      </c>
      <c r="DM709" s="314">
        <f t="shared" si="592"/>
        <v>0</v>
      </c>
      <c r="DN709" s="312">
        <f t="shared" si="593"/>
        <v>0</v>
      </c>
      <c r="DO709" s="312">
        <f t="shared" si="600"/>
        <v>0</v>
      </c>
      <c r="DP709" s="315" t="e">
        <f t="shared" si="585"/>
        <v>#NUM!</v>
      </c>
      <c r="DQ709" s="316">
        <f t="shared" si="594"/>
        <v>0</v>
      </c>
      <c r="DR709" s="316">
        <f t="shared" si="595"/>
        <v>0</v>
      </c>
      <c r="DS709" s="314">
        <f t="shared" si="596"/>
        <v>0</v>
      </c>
      <c r="DT709" s="316">
        <f t="shared" si="597"/>
        <v>0</v>
      </c>
      <c r="DU709" s="314">
        <f t="shared" si="586"/>
        <v>0</v>
      </c>
      <c r="DV709" s="316">
        <f t="shared" si="601"/>
        <v>0</v>
      </c>
      <c r="DW709" s="310">
        <f t="shared" si="587"/>
        <v>0</v>
      </c>
      <c r="FB709" s="307"/>
      <c r="FC709" s="307"/>
      <c r="FF709" s="307"/>
      <c r="FG709" s="307"/>
      <c r="FH709" s="306"/>
      <c r="FJ709" s="307"/>
      <c r="FK709" s="307"/>
      <c r="FL709" s="306"/>
      <c r="FM709" s="307"/>
      <c r="FN709" s="306"/>
      <c r="FO709" s="307"/>
      <c r="FP709" s="306"/>
    </row>
    <row r="710" spans="29:172">
      <c r="AC710" s="156"/>
      <c r="CW710" s="364"/>
      <c r="CX710" s="316"/>
      <c r="CY710" s="316"/>
      <c r="DA710" s="309">
        <v>709</v>
      </c>
      <c r="DB710" s="313">
        <f t="shared" si="581"/>
        <v>458.05489609473744</v>
      </c>
      <c r="DC710" s="309">
        <f t="shared" si="582"/>
        <v>4</v>
      </c>
      <c r="DD710" s="309">
        <f t="shared" si="583"/>
        <v>0</v>
      </c>
      <c r="DE710" s="308">
        <f t="shared" si="584"/>
        <v>0</v>
      </c>
      <c r="DF710" s="313">
        <f t="shared" si="598"/>
        <v>600</v>
      </c>
      <c r="DG710" s="313">
        <f t="shared" si="580"/>
        <v>0</v>
      </c>
      <c r="DH710" s="313">
        <f t="shared" si="588"/>
        <v>0</v>
      </c>
      <c r="DI710" s="313">
        <f t="shared" si="589"/>
        <v>0</v>
      </c>
      <c r="DJ710" s="313">
        <f t="shared" si="590"/>
        <v>0</v>
      </c>
      <c r="DK710" s="313">
        <f t="shared" si="599"/>
        <v>0</v>
      </c>
      <c r="DL710" s="313">
        <f t="shared" si="591"/>
        <v>0</v>
      </c>
      <c r="DM710" s="314">
        <f t="shared" si="592"/>
        <v>0</v>
      </c>
      <c r="DN710" s="312">
        <f t="shared" si="593"/>
        <v>0</v>
      </c>
      <c r="DO710" s="312">
        <f t="shared" si="600"/>
        <v>0</v>
      </c>
      <c r="DP710" s="315" t="e">
        <f t="shared" si="585"/>
        <v>#NUM!</v>
      </c>
      <c r="DQ710" s="316">
        <f t="shared" si="594"/>
        <v>0</v>
      </c>
      <c r="DR710" s="316">
        <f t="shared" si="595"/>
        <v>0</v>
      </c>
      <c r="DS710" s="314">
        <f t="shared" si="596"/>
        <v>0</v>
      </c>
      <c r="DT710" s="316">
        <f t="shared" si="597"/>
        <v>0</v>
      </c>
      <c r="DU710" s="314">
        <f t="shared" si="586"/>
        <v>0</v>
      </c>
      <c r="DV710" s="316">
        <f t="shared" si="601"/>
        <v>0</v>
      </c>
      <c r="DW710" s="310">
        <f t="shared" si="587"/>
        <v>0</v>
      </c>
      <c r="FB710" s="307"/>
      <c r="FC710" s="307"/>
      <c r="FF710" s="307"/>
      <c r="FG710" s="307"/>
      <c r="FH710" s="306"/>
      <c r="FJ710" s="307"/>
      <c r="FK710" s="307"/>
      <c r="FL710" s="306"/>
      <c r="FM710" s="307"/>
      <c r="FN710" s="306"/>
      <c r="FO710" s="307"/>
      <c r="FP710" s="306"/>
    </row>
    <row r="711" spans="29:172">
      <c r="AC711" s="156"/>
      <c r="CW711" s="364"/>
      <c r="CX711" s="316"/>
      <c r="CY711" s="316"/>
      <c r="DA711" s="309">
        <v>710</v>
      </c>
      <c r="DB711" s="313">
        <f t="shared" si="581"/>
        <v>458.41886632900366</v>
      </c>
      <c r="DC711" s="309">
        <f t="shared" si="582"/>
        <v>4</v>
      </c>
      <c r="DD711" s="309">
        <f t="shared" si="583"/>
        <v>0</v>
      </c>
      <c r="DE711" s="308">
        <f t="shared" si="584"/>
        <v>0</v>
      </c>
      <c r="DF711" s="313">
        <f t="shared" si="598"/>
        <v>600</v>
      </c>
      <c r="DG711" s="313">
        <f t="shared" si="580"/>
        <v>0</v>
      </c>
      <c r="DH711" s="313">
        <f t="shared" si="588"/>
        <v>0</v>
      </c>
      <c r="DI711" s="313">
        <f t="shared" si="589"/>
        <v>0</v>
      </c>
      <c r="DJ711" s="313">
        <f t="shared" si="590"/>
        <v>0</v>
      </c>
      <c r="DK711" s="313">
        <f t="shared" si="599"/>
        <v>0</v>
      </c>
      <c r="DL711" s="313">
        <f t="shared" si="591"/>
        <v>0</v>
      </c>
      <c r="DM711" s="314">
        <f t="shared" si="592"/>
        <v>0</v>
      </c>
      <c r="DN711" s="312">
        <f t="shared" si="593"/>
        <v>0</v>
      </c>
      <c r="DO711" s="312">
        <f t="shared" si="600"/>
        <v>0</v>
      </c>
      <c r="DP711" s="315" t="e">
        <f t="shared" si="585"/>
        <v>#NUM!</v>
      </c>
      <c r="DQ711" s="316">
        <f t="shared" si="594"/>
        <v>0</v>
      </c>
      <c r="DR711" s="316">
        <f t="shared" si="595"/>
        <v>0</v>
      </c>
      <c r="DS711" s="314">
        <f t="shared" si="596"/>
        <v>0</v>
      </c>
      <c r="DT711" s="316">
        <f t="shared" si="597"/>
        <v>0</v>
      </c>
      <c r="DU711" s="314">
        <f t="shared" si="586"/>
        <v>0</v>
      </c>
      <c r="DV711" s="316">
        <f t="shared" si="601"/>
        <v>0</v>
      </c>
      <c r="DW711" s="310">
        <f t="shared" si="587"/>
        <v>0</v>
      </c>
      <c r="FB711" s="307"/>
      <c r="FC711" s="307"/>
      <c r="FF711" s="307"/>
      <c r="FG711" s="307"/>
      <c r="FH711" s="306"/>
      <c r="FJ711" s="307"/>
      <c r="FK711" s="307"/>
      <c r="FL711" s="306"/>
      <c r="FM711" s="307"/>
      <c r="FN711" s="306"/>
      <c r="FO711" s="307"/>
      <c r="FP711" s="306"/>
    </row>
    <row r="712" spans="29:172">
      <c r="AC712" s="156"/>
      <c r="CW712" s="364"/>
      <c r="CX712" s="316"/>
      <c r="CY712" s="316"/>
      <c r="DA712" s="309">
        <v>711</v>
      </c>
      <c r="DB712" s="313">
        <f t="shared" si="581"/>
        <v>458.78283656326988</v>
      </c>
      <c r="DC712" s="309">
        <f t="shared" si="582"/>
        <v>4</v>
      </c>
      <c r="DD712" s="309">
        <f t="shared" si="583"/>
        <v>0</v>
      </c>
      <c r="DE712" s="308">
        <f t="shared" si="584"/>
        <v>0</v>
      </c>
      <c r="DF712" s="313">
        <f t="shared" si="598"/>
        <v>600</v>
      </c>
      <c r="DG712" s="313">
        <f t="shared" si="580"/>
        <v>0</v>
      </c>
      <c r="DH712" s="313">
        <f t="shared" si="588"/>
        <v>0</v>
      </c>
      <c r="DI712" s="313">
        <f t="shared" si="589"/>
        <v>0</v>
      </c>
      <c r="DJ712" s="313">
        <f t="shared" si="590"/>
        <v>0</v>
      </c>
      <c r="DK712" s="313">
        <f t="shared" si="599"/>
        <v>0</v>
      </c>
      <c r="DL712" s="313">
        <f t="shared" si="591"/>
        <v>0</v>
      </c>
      <c r="DM712" s="314">
        <f t="shared" si="592"/>
        <v>0</v>
      </c>
      <c r="DN712" s="312">
        <f t="shared" si="593"/>
        <v>0</v>
      </c>
      <c r="DO712" s="312">
        <f t="shared" si="600"/>
        <v>0</v>
      </c>
      <c r="DP712" s="315" t="e">
        <f t="shared" si="585"/>
        <v>#NUM!</v>
      </c>
      <c r="DQ712" s="316">
        <f t="shared" si="594"/>
        <v>0</v>
      </c>
      <c r="DR712" s="316">
        <f t="shared" si="595"/>
        <v>0</v>
      </c>
      <c r="DS712" s="314">
        <f t="shared" si="596"/>
        <v>0</v>
      </c>
      <c r="DT712" s="316">
        <f t="shared" si="597"/>
        <v>0</v>
      </c>
      <c r="DU712" s="314">
        <f t="shared" si="586"/>
        <v>0</v>
      </c>
      <c r="DV712" s="316">
        <f t="shared" si="601"/>
        <v>0</v>
      </c>
      <c r="DW712" s="310">
        <f t="shared" si="587"/>
        <v>0</v>
      </c>
      <c r="FB712" s="307"/>
      <c r="FC712" s="307"/>
      <c r="FF712" s="307"/>
      <c r="FG712" s="307"/>
      <c r="FH712" s="306"/>
      <c r="FJ712" s="307"/>
      <c r="FK712" s="307"/>
      <c r="FL712" s="306"/>
      <c r="FM712" s="307"/>
      <c r="FN712" s="306"/>
      <c r="FO712" s="307"/>
      <c r="FP712" s="306"/>
    </row>
    <row r="713" spans="29:172">
      <c r="AC713" s="156"/>
      <c r="CW713" s="364"/>
      <c r="CX713" s="316"/>
      <c r="CY713" s="316"/>
      <c r="DA713" s="309">
        <v>712</v>
      </c>
      <c r="DB713" s="313">
        <f t="shared" si="581"/>
        <v>459.14680679753604</v>
      </c>
      <c r="DC713" s="309">
        <f t="shared" si="582"/>
        <v>4</v>
      </c>
      <c r="DD713" s="309">
        <f t="shared" si="583"/>
        <v>0</v>
      </c>
      <c r="DE713" s="308">
        <f t="shared" si="584"/>
        <v>0</v>
      </c>
      <c r="DF713" s="313">
        <f t="shared" si="598"/>
        <v>600</v>
      </c>
      <c r="DG713" s="313">
        <f t="shared" si="580"/>
        <v>0</v>
      </c>
      <c r="DH713" s="313">
        <f t="shared" si="588"/>
        <v>0</v>
      </c>
      <c r="DI713" s="313">
        <f t="shared" si="589"/>
        <v>0</v>
      </c>
      <c r="DJ713" s="313">
        <f t="shared" si="590"/>
        <v>0</v>
      </c>
      <c r="DK713" s="313">
        <f t="shared" si="599"/>
        <v>0</v>
      </c>
      <c r="DL713" s="313">
        <f t="shared" si="591"/>
        <v>0</v>
      </c>
      <c r="DM713" s="314">
        <f t="shared" si="592"/>
        <v>0</v>
      </c>
      <c r="DN713" s="312">
        <f t="shared" si="593"/>
        <v>0</v>
      </c>
      <c r="DO713" s="312">
        <f t="shared" si="600"/>
        <v>0</v>
      </c>
      <c r="DP713" s="315" t="e">
        <f t="shared" si="585"/>
        <v>#NUM!</v>
      </c>
      <c r="DQ713" s="316">
        <f t="shared" si="594"/>
        <v>0</v>
      </c>
      <c r="DR713" s="316">
        <f t="shared" si="595"/>
        <v>0</v>
      </c>
      <c r="DS713" s="314">
        <f t="shared" si="596"/>
        <v>0</v>
      </c>
      <c r="DT713" s="316">
        <f t="shared" si="597"/>
        <v>0</v>
      </c>
      <c r="DU713" s="314">
        <f t="shared" si="586"/>
        <v>0</v>
      </c>
      <c r="DV713" s="316">
        <f t="shared" si="601"/>
        <v>0</v>
      </c>
      <c r="DW713" s="310">
        <f t="shared" si="587"/>
        <v>0</v>
      </c>
      <c r="FB713" s="307"/>
      <c r="FC713" s="307"/>
      <c r="FF713" s="307"/>
      <c r="FG713" s="307"/>
      <c r="FH713" s="306"/>
      <c r="FJ713" s="307"/>
      <c r="FK713" s="307"/>
      <c r="FL713" s="306"/>
      <c r="FM713" s="307"/>
      <c r="FN713" s="306"/>
      <c r="FO713" s="307"/>
      <c r="FP713" s="306"/>
    </row>
    <row r="714" spans="29:172">
      <c r="AC714" s="156"/>
      <c r="CW714" s="364"/>
      <c r="CX714" s="316"/>
      <c r="CY714" s="316"/>
      <c r="DA714" s="309">
        <v>713</v>
      </c>
      <c r="DB714" s="313">
        <f t="shared" si="581"/>
        <v>459.51077703180226</v>
      </c>
      <c r="DC714" s="309">
        <f t="shared" si="582"/>
        <v>4</v>
      </c>
      <c r="DD714" s="309">
        <f t="shared" si="583"/>
        <v>0</v>
      </c>
      <c r="DE714" s="308">
        <f t="shared" si="584"/>
        <v>0</v>
      </c>
      <c r="DF714" s="313">
        <f t="shared" si="598"/>
        <v>600</v>
      </c>
      <c r="DG714" s="313">
        <f t="shared" si="580"/>
        <v>0</v>
      </c>
      <c r="DH714" s="313">
        <f t="shared" si="588"/>
        <v>0</v>
      </c>
      <c r="DI714" s="313">
        <f t="shared" si="589"/>
        <v>0</v>
      </c>
      <c r="DJ714" s="313">
        <f t="shared" si="590"/>
        <v>0</v>
      </c>
      <c r="DK714" s="313">
        <f t="shared" si="599"/>
        <v>0</v>
      </c>
      <c r="DL714" s="313">
        <f t="shared" si="591"/>
        <v>0</v>
      </c>
      <c r="DM714" s="314">
        <f t="shared" si="592"/>
        <v>0</v>
      </c>
      <c r="DN714" s="312">
        <f t="shared" si="593"/>
        <v>0</v>
      </c>
      <c r="DO714" s="312">
        <f t="shared" si="600"/>
        <v>0</v>
      </c>
      <c r="DP714" s="315" t="e">
        <f t="shared" si="585"/>
        <v>#NUM!</v>
      </c>
      <c r="DQ714" s="316">
        <f t="shared" si="594"/>
        <v>0</v>
      </c>
      <c r="DR714" s="316">
        <f t="shared" si="595"/>
        <v>0</v>
      </c>
      <c r="DS714" s="314">
        <f t="shared" si="596"/>
        <v>0</v>
      </c>
      <c r="DT714" s="316">
        <f t="shared" si="597"/>
        <v>0</v>
      </c>
      <c r="DU714" s="314">
        <f t="shared" si="586"/>
        <v>0</v>
      </c>
      <c r="DV714" s="316">
        <f t="shared" si="601"/>
        <v>0</v>
      </c>
      <c r="DW714" s="310">
        <f t="shared" si="587"/>
        <v>0</v>
      </c>
      <c r="FB714" s="307"/>
      <c r="FC714" s="307"/>
      <c r="FF714" s="307"/>
      <c r="FG714" s="307"/>
      <c r="FH714" s="306"/>
      <c r="FJ714" s="307"/>
      <c r="FK714" s="307"/>
      <c r="FL714" s="306"/>
      <c r="FM714" s="307"/>
      <c r="FN714" s="306"/>
      <c r="FO714" s="307"/>
      <c r="FP714" s="306"/>
    </row>
    <row r="715" spans="29:172">
      <c r="AC715" s="156"/>
      <c r="CW715" s="364"/>
      <c r="CX715" s="316"/>
      <c r="CY715" s="316"/>
      <c r="DA715" s="309">
        <v>714</v>
      </c>
      <c r="DB715" s="313">
        <f t="shared" si="581"/>
        <v>459.87474726606848</v>
      </c>
      <c r="DC715" s="309">
        <f t="shared" si="582"/>
        <v>4</v>
      </c>
      <c r="DD715" s="309">
        <f t="shared" si="583"/>
        <v>0</v>
      </c>
      <c r="DE715" s="308">
        <f t="shared" si="584"/>
        <v>0</v>
      </c>
      <c r="DF715" s="313">
        <f t="shared" si="598"/>
        <v>600</v>
      </c>
      <c r="DG715" s="313">
        <f t="shared" si="580"/>
        <v>0</v>
      </c>
      <c r="DH715" s="313">
        <f t="shared" si="588"/>
        <v>0</v>
      </c>
      <c r="DI715" s="313">
        <f t="shared" si="589"/>
        <v>0</v>
      </c>
      <c r="DJ715" s="313">
        <f t="shared" si="590"/>
        <v>0</v>
      </c>
      <c r="DK715" s="313">
        <f t="shared" si="599"/>
        <v>0</v>
      </c>
      <c r="DL715" s="313">
        <f t="shared" si="591"/>
        <v>0</v>
      </c>
      <c r="DM715" s="314">
        <f t="shared" si="592"/>
        <v>0</v>
      </c>
      <c r="DN715" s="312">
        <f t="shared" si="593"/>
        <v>0</v>
      </c>
      <c r="DO715" s="312">
        <f t="shared" si="600"/>
        <v>0</v>
      </c>
      <c r="DP715" s="315" t="e">
        <f t="shared" si="585"/>
        <v>#NUM!</v>
      </c>
      <c r="DQ715" s="316">
        <f t="shared" si="594"/>
        <v>0</v>
      </c>
      <c r="DR715" s="316">
        <f t="shared" si="595"/>
        <v>0</v>
      </c>
      <c r="DS715" s="314">
        <f t="shared" si="596"/>
        <v>0</v>
      </c>
      <c r="DT715" s="316">
        <f t="shared" si="597"/>
        <v>0</v>
      </c>
      <c r="DU715" s="314">
        <f t="shared" si="586"/>
        <v>0</v>
      </c>
      <c r="DV715" s="316">
        <f t="shared" si="601"/>
        <v>0</v>
      </c>
      <c r="DW715" s="310">
        <f t="shared" si="587"/>
        <v>0</v>
      </c>
      <c r="FB715" s="307"/>
      <c r="FC715" s="307"/>
      <c r="FF715" s="307"/>
      <c r="FG715" s="307"/>
      <c r="FH715" s="306"/>
      <c r="FJ715" s="307"/>
      <c r="FK715" s="307"/>
      <c r="FL715" s="306"/>
      <c r="FM715" s="307"/>
      <c r="FN715" s="306"/>
      <c r="FO715" s="307"/>
      <c r="FP715" s="306"/>
    </row>
    <row r="716" spans="29:172">
      <c r="AC716" s="156"/>
      <c r="CW716" s="364"/>
      <c r="CX716" s="316"/>
      <c r="CY716" s="316"/>
      <c r="DA716" s="309">
        <v>715</v>
      </c>
      <c r="DB716" s="313">
        <f t="shared" si="581"/>
        <v>460.2387175003347</v>
      </c>
      <c r="DC716" s="309">
        <f t="shared" si="582"/>
        <v>4</v>
      </c>
      <c r="DD716" s="309">
        <f t="shared" si="583"/>
        <v>0</v>
      </c>
      <c r="DE716" s="308">
        <f t="shared" si="584"/>
        <v>0</v>
      </c>
      <c r="DF716" s="313">
        <f t="shared" si="598"/>
        <v>600</v>
      </c>
      <c r="DG716" s="313">
        <f t="shared" si="580"/>
        <v>0</v>
      </c>
      <c r="DH716" s="313">
        <f t="shared" si="588"/>
        <v>0</v>
      </c>
      <c r="DI716" s="313">
        <f t="shared" si="589"/>
        <v>0</v>
      </c>
      <c r="DJ716" s="313">
        <f t="shared" si="590"/>
        <v>0</v>
      </c>
      <c r="DK716" s="313">
        <f t="shared" si="599"/>
        <v>0</v>
      </c>
      <c r="DL716" s="313">
        <f t="shared" si="591"/>
        <v>0</v>
      </c>
      <c r="DM716" s="314">
        <f t="shared" si="592"/>
        <v>0</v>
      </c>
      <c r="DN716" s="312">
        <f t="shared" si="593"/>
        <v>0</v>
      </c>
      <c r="DO716" s="312">
        <f t="shared" si="600"/>
        <v>0</v>
      </c>
      <c r="DP716" s="315" t="e">
        <f t="shared" si="585"/>
        <v>#NUM!</v>
      </c>
      <c r="DQ716" s="316">
        <f t="shared" si="594"/>
        <v>0</v>
      </c>
      <c r="DR716" s="316">
        <f t="shared" si="595"/>
        <v>0</v>
      </c>
      <c r="DS716" s="314">
        <f t="shared" si="596"/>
        <v>0</v>
      </c>
      <c r="DT716" s="316">
        <f t="shared" si="597"/>
        <v>0</v>
      </c>
      <c r="DU716" s="314">
        <f t="shared" si="586"/>
        <v>0</v>
      </c>
      <c r="DV716" s="316">
        <f t="shared" si="601"/>
        <v>0</v>
      </c>
      <c r="DW716" s="310">
        <f t="shared" si="587"/>
        <v>0</v>
      </c>
      <c r="FB716" s="307"/>
      <c r="FC716" s="307"/>
      <c r="FF716" s="307"/>
      <c r="FG716" s="307"/>
      <c r="FH716" s="306"/>
      <c r="FJ716" s="307"/>
      <c r="FK716" s="307"/>
      <c r="FL716" s="306"/>
      <c r="FM716" s="307"/>
      <c r="FN716" s="306"/>
      <c r="FO716" s="307"/>
      <c r="FP716" s="306"/>
    </row>
    <row r="717" spans="29:172">
      <c r="AC717" s="156"/>
      <c r="CW717" s="364"/>
      <c r="CX717" s="316"/>
      <c r="CY717" s="316"/>
      <c r="DA717" s="309">
        <v>716</v>
      </c>
      <c r="DB717" s="313">
        <f t="shared" si="581"/>
        <v>460.60268773460086</v>
      </c>
      <c r="DC717" s="309">
        <f t="shared" si="582"/>
        <v>4</v>
      </c>
      <c r="DD717" s="309">
        <f t="shared" si="583"/>
        <v>0</v>
      </c>
      <c r="DE717" s="308">
        <f t="shared" si="584"/>
        <v>0</v>
      </c>
      <c r="DF717" s="313">
        <f t="shared" si="598"/>
        <v>600</v>
      </c>
      <c r="DG717" s="313">
        <f t="shared" si="580"/>
        <v>0</v>
      </c>
      <c r="DH717" s="313">
        <f t="shared" si="588"/>
        <v>0</v>
      </c>
      <c r="DI717" s="313">
        <f t="shared" si="589"/>
        <v>0</v>
      </c>
      <c r="DJ717" s="313">
        <f t="shared" si="590"/>
        <v>0</v>
      </c>
      <c r="DK717" s="313">
        <f t="shared" si="599"/>
        <v>0</v>
      </c>
      <c r="DL717" s="313">
        <f t="shared" si="591"/>
        <v>0</v>
      </c>
      <c r="DM717" s="314">
        <f t="shared" si="592"/>
        <v>0</v>
      </c>
      <c r="DN717" s="312">
        <f t="shared" si="593"/>
        <v>0</v>
      </c>
      <c r="DO717" s="312">
        <f t="shared" si="600"/>
        <v>0</v>
      </c>
      <c r="DP717" s="315" t="e">
        <f t="shared" si="585"/>
        <v>#NUM!</v>
      </c>
      <c r="DQ717" s="316">
        <f t="shared" si="594"/>
        <v>0</v>
      </c>
      <c r="DR717" s="316">
        <f t="shared" si="595"/>
        <v>0</v>
      </c>
      <c r="DS717" s="314">
        <f t="shared" si="596"/>
        <v>0</v>
      </c>
      <c r="DT717" s="316">
        <f t="shared" si="597"/>
        <v>0</v>
      </c>
      <c r="DU717" s="314">
        <f t="shared" si="586"/>
        <v>0</v>
      </c>
      <c r="DV717" s="316">
        <f t="shared" si="601"/>
        <v>0</v>
      </c>
      <c r="DW717" s="310">
        <f t="shared" si="587"/>
        <v>0</v>
      </c>
      <c r="FB717" s="307"/>
      <c r="FC717" s="307"/>
      <c r="FF717" s="307"/>
      <c r="FG717" s="307"/>
      <c r="FH717" s="306"/>
      <c r="FJ717" s="307"/>
      <c r="FK717" s="307"/>
      <c r="FL717" s="306"/>
      <c r="FM717" s="307"/>
      <c r="FN717" s="306"/>
      <c r="FO717" s="307"/>
      <c r="FP717" s="306"/>
    </row>
    <row r="718" spans="29:172">
      <c r="AC718" s="156"/>
      <c r="CW718" s="364"/>
      <c r="CX718" s="316"/>
      <c r="CY718" s="316"/>
      <c r="DA718" s="309">
        <v>717</v>
      </c>
      <c r="DB718" s="313">
        <f t="shared" si="581"/>
        <v>460.96665796886708</v>
      </c>
      <c r="DC718" s="309">
        <f t="shared" si="582"/>
        <v>4</v>
      </c>
      <c r="DD718" s="309">
        <f t="shared" si="583"/>
        <v>0</v>
      </c>
      <c r="DE718" s="308">
        <f t="shared" si="584"/>
        <v>0</v>
      </c>
      <c r="DF718" s="313">
        <f t="shared" si="598"/>
        <v>600</v>
      </c>
      <c r="DG718" s="313">
        <f t="shared" si="580"/>
        <v>0</v>
      </c>
      <c r="DH718" s="313">
        <f t="shared" si="588"/>
        <v>0</v>
      </c>
      <c r="DI718" s="313">
        <f t="shared" si="589"/>
        <v>0</v>
      </c>
      <c r="DJ718" s="313">
        <f t="shared" si="590"/>
        <v>0</v>
      </c>
      <c r="DK718" s="313">
        <f t="shared" si="599"/>
        <v>0</v>
      </c>
      <c r="DL718" s="313">
        <f t="shared" si="591"/>
        <v>0</v>
      </c>
      <c r="DM718" s="314">
        <f t="shared" si="592"/>
        <v>0</v>
      </c>
      <c r="DN718" s="312">
        <f t="shared" si="593"/>
        <v>0</v>
      </c>
      <c r="DO718" s="312">
        <f t="shared" si="600"/>
        <v>0</v>
      </c>
      <c r="DP718" s="315" t="e">
        <f t="shared" si="585"/>
        <v>#NUM!</v>
      </c>
      <c r="DQ718" s="316">
        <f t="shared" si="594"/>
        <v>0</v>
      </c>
      <c r="DR718" s="316">
        <f t="shared" si="595"/>
        <v>0</v>
      </c>
      <c r="DS718" s="314">
        <f t="shared" si="596"/>
        <v>0</v>
      </c>
      <c r="DT718" s="316">
        <f t="shared" si="597"/>
        <v>0</v>
      </c>
      <c r="DU718" s="314">
        <f t="shared" si="586"/>
        <v>0</v>
      </c>
      <c r="DV718" s="316">
        <f t="shared" si="601"/>
        <v>0</v>
      </c>
      <c r="DW718" s="310">
        <f t="shared" si="587"/>
        <v>0</v>
      </c>
      <c r="FB718" s="307"/>
      <c r="FC718" s="307"/>
      <c r="FF718" s="307"/>
      <c r="FG718" s="307"/>
      <c r="FH718" s="306"/>
      <c r="FJ718" s="307"/>
      <c r="FK718" s="307"/>
      <c r="FL718" s="306"/>
      <c r="FM718" s="307"/>
      <c r="FN718" s="306"/>
      <c r="FO718" s="307"/>
      <c r="FP718" s="306"/>
    </row>
    <row r="719" spans="29:172">
      <c r="AC719" s="156"/>
      <c r="CW719" s="364"/>
      <c r="CX719" s="316"/>
      <c r="CY719" s="316"/>
      <c r="DA719" s="309">
        <v>718</v>
      </c>
      <c r="DB719" s="313">
        <f t="shared" si="581"/>
        <v>461.3306282031333</v>
      </c>
      <c r="DC719" s="309">
        <f t="shared" si="582"/>
        <v>4</v>
      </c>
      <c r="DD719" s="309">
        <f t="shared" si="583"/>
        <v>0</v>
      </c>
      <c r="DE719" s="308">
        <f t="shared" si="584"/>
        <v>0</v>
      </c>
      <c r="DF719" s="313">
        <f t="shared" si="598"/>
        <v>600</v>
      </c>
      <c r="DG719" s="313">
        <f t="shared" si="580"/>
        <v>0</v>
      </c>
      <c r="DH719" s="313">
        <f t="shared" si="588"/>
        <v>0</v>
      </c>
      <c r="DI719" s="313">
        <f t="shared" si="589"/>
        <v>0</v>
      </c>
      <c r="DJ719" s="313">
        <f t="shared" si="590"/>
        <v>0</v>
      </c>
      <c r="DK719" s="313">
        <f t="shared" si="599"/>
        <v>0</v>
      </c>
      <c r="DL719" s="313">
        <f t="shared" si="591"/>
        <v>0</v>
      </c>
      <c r="DM719" s="314">
        <f t="shared" si="592"/>
        <v>0</v>
      </c>
      <c r="DN719" s="312">
        <f t="shared" si="593"/>
        <v>0</v>
      </c>
      <c r="DO719" s="312">
        <f t="shared" si="600"/>
        <v>0</v>
      </c>
      <c r="DP719" s="315" t="e">
        <f t="shared" si="585"/>
        <v>#NUM!</v>
      </c>
      <c r="DQ719" s="316">
        <f t="shared" si="594"/>
        <v>0</v>
      </c>
      <c r="DR719" s="316">
        <f t="shared" si="595"/>
        <v>0</v>
      </c>
      <c r="DS719" s="314">
        <f t="shared" si="596"/>
        <v>0</v>
      </c>
      <c r="DT719" s="316">
        <f t="shared" si="597"/>
        <v>0</v>
      </c>
      <c r="DU719" s="314">
        <f t="shared" si="586"/>
        <v>0</v>
      </c>
      <c r="DV719" s="316">
        <f t="shared" si="601"/>
        <v>0</v>
      </c>
      <c r="DW719" s="310">
        <f t="shared" si="587"/>
        <v>0</v>
      </c>
      <c r="FB719" s="307"/>
      <c r="FC719" s="307"/>
      <c r="FF719" s="307"/>
      <c r="FG719" s="307"/>
      <c r="FH719" s="306"/>
      <c r="FJ719" s="307"/>
      <c r="FK719" s="307"/>
      <c r="FL719" s="306"/>
      <c r="FM719" s="307"/>
      <c r="FN719" s="306"/>
      <c r="FO719" s="307"/>
      <c r="FP719" s="306"/>
    </row>
    <row r="720" spans="29:172">
      <c r="AC720" s="156"/>
      <c r="CW720" s="364"/>
      <c r="CX720" s="316"/>
      <c r="CY720" s="316"/>
      <c r="DA720" s="309">
        <v>719</v>
      </c>
      <c r="DB720" s="313">
        <f t="shared" si="581"/>
        <v>461.69459843739946</v>
      </c>
      <c r="DC720" s="309">
        <f t="shared" si="582"/>
        <v>4</v>
      </c>
      <c r="DD720" s="309">
        <f t="shared" si="583"/>
        <v>0</v>
      </c>
      <c r="DE720" s="308">
        <f t="shared" si="584"/>
        <v>0</v>
      </c>
      <c r="DF720" s="313">
        <f t="shared" si="598"/>
        <v>600</v>
      </c>
      <c r="DG720" s="313">
        <f t="shared" si="580"/>
        <v>0</v>
      </c>
      <c r="DH720" s="313">
        <f t="shared" si="588"/>
        <v>0</v>
      </c>
      <c r="DI720" s="313">
        <f t="shared" si="589"/>
        <v>0</v>
      </c>
      <c r="DJ720" s="313">
        <f t="shared" si="590"/>
        <v>0</v>
      </c>
      <c r="DK720" s="313">
        <f t="shared" si="599"/>
        <v>0</v>
      </c>
      <c r="DL720" s="313">
        <f t="shared" si="591"/>
        <v>0</v>
      </c>
      <c r="DM720" s="314">
        <f t="shared" si="592"/>
        <v>0</v>
      </c>
      <c r="DN720" s="312">
        <f t="shared" si="593"/>
        <v>0</v>
      </c>
      <c r="DO720" s="312">
        <f t="shared" si="600"/>
        <v>0</v>
      </c>
      <c r="DP720" s="315" t="e">
        <f t="shared" si="585"/>
        <v>#NUM!</v>
      </c>
      <c r="DQ720" s="316">
        <f t="shared" si="594"/>
        <v>0</v>
      </c>
      <c r="DR720" s="316">
        <f t="shared" si="595"/>
        <v>0</v>
      </c>
      <c r="DS720" s="314">
        <f t="shared" si="596"/>
        <v>0</v>
      </c>
      <c r="DT720" s="316">
        <f t="shared" si="597"/>
        <v>0</v>
      </c>
      <c r="DU720" s="314">
        <f t="shared" si="586"/>
        <v>0</v>
      </c>
      <c r="DV720" s="316">
        <f t="shared" si="601"/>
        <v>0</v>
      </c>
      <c r="DW720" s="310">
        <f t="shared" si="587"/>
        <v>0</v>
      </c>
      <c r="FB720" s="307"/>
      <c r="FC720" s="307"/>
      <c r="FF720" s="307"/>
      <c r="FG720" s="307"/>
      <c r="FH720" s="306"/>
      <c r="FJ720" s="307"/>
      <c r="FK720" s="307"/>
      <c r="FL720" s="306"/>
      <c r="FM720" s="307"/>
      <c r="FN720" s="306"/>
      <c r="FO720" s="307"/>
      <c r="FP720" s="306"/>
    </row>
    <row r="721" spans="29:172">
      <c r="AC721" s="156"/>
      <c r="CW721" s="364"/>
      <c r="CX721" s="316"/>
      <c r="CY721" s="316"/>
      <c r="DA721" s="309">
        <v>720</v>
      </c>
      <c r="DB721" s="313">
        <f t="shared" si="581"/>
        <v>462.05856867166568</v>
      </c>
      <c r="DC721" s="309">
        <f t="shared" si="582"/>
        <v>4</v>
      </c>
      <c r="DD721" s="309">
        <f t="shared" si="583"/>
        <v>0</v>
      </c>
      <c r="DE721" s="308">
        <f t="shared" si="584"/>
        <v>0</v>
      </c>
      <c r="DF721" s="313">
        <f t="shared" si="598"/>
        <v>600</v>
      </c>
      <c r="DG721" s="313">
        <f t="shared" si="580"/>
        <v>0</v>
      </c>
      <c r="DH721" s="313">
        <f t="shared" si="588"/>
        <v>0</v>
      </c>
      <c r="DI721" s="313">
        <f t="shared" si="589"/>
        <v>0</v>
      </c>
      <c r="DJ721" s="313">
        <f t="shared" si="590"/>
        <v>0</v>
      </c>
      <c r="DK721" s="313">
        <f t="shared" si="599"/>
        <v>0</v>
      </c>
      <c r="DL721" s="313">
        <f t="shared" si="591"/>
        <v>0</v>
      </c>
      <c r="DM721" s="314">
        <f t="shared" si="592"/>
        <v>0</v>
      </c>
      <c r="DN721" s="312">
        <f t="shared" si="593"/>
        <v>0</v>
      </c>
      <c r="DO721" s="312">
        <f t="shared" si="600"/>
        <v>0</v>
      </c>
      <c r="DP721" s="315" t="e">
        <f t="shared" si="585"/>
        <v>#NUM!</v>
      </c>
      <c r="DQ721" s="316">
        <f t="shared" si="594"/>
        <v>0</v>
      </c>
      <c r="DR721" s="316">
        <f t="shared" si="595"/>
        <v>0</v>
      </c>
      <c r="DS721" s="314">
        <f t="shared" si="596"/>
        <v>0</v>
      </c>
      <c r="DT721" s="316">
        <f t="shared" si="597"/>
        <v>0</v>
      </c>
      <c r="DU721" s="314">
        <f t="shared" si="586"/>
        <v>0</v>
      </c>
      <c r="DV721" s="316">
        <f t="shared" si="601"/>
        <v>0</v>
      </c>
      <c r="DW721" s="310">
        <f t="shared" si="587"/>
        <v>0</v>
      </c>
      <c r="FB721" s="307"/>
      <c r="FC721" s="307"/>
      <c r="FF721" s="307"/>
      <c r="FG721" s="307"/>
      <c r="FH721" s="306"/>
      <c r="FJ721" s="307"/>
      <c r="FK721" s="307"/>
      <c r="FL721" s="306"/>
      <c r="FM721" s="307"/>
      <c r="FN721" s="306"/>
      <c r="FO721" s="307"/>
      <c r="FP721" s="306"/>
    </row>
    <row r="722" spans="29:172">
      <c r="AC722" s="156"/>
      <c r="CW722" s="364"/>
      <c r="CX722" s="316"/>
      <c r="CY722" s="316"/>
      <c r="DA722" s="309">
        <v>721</v>
      </c>
      <c r="DB722" s="313">
        <f t="shared" si="581"/>
        <v>462.4225389059319</v>
      </c>
      <c r="DC722" s="309">
        <f t="shared" si="582"/>
        <v>4</v>
      </c>
      <c r="DD722" s="309">
        <f t="shared" si="583"/>
        <v>0</v>
      </c>
      <c r="DE722" s="308">
        <f t="shared" si="584"/>
        <v>0</v>
      </c>
      <c r="DF722" s="313">
        <f t="shared" si="598"/>
        <v>600</v>
      </c>
      <c r="DG722" s="313">
        <f t="shared" si="580"/>
        <v>0</v>
      </c>
      <c r="DH722" s="313">
        <f t="shared" si="588"/>
        <v>0</v>
      </c>
      <c r="DI722" s="313">
        <f t="shared" si="589"/>
        <v>0</v>
      </c>
      <c r="DJ722" s="313">
        <f t="shared" si="590"/>
        <v>0</v>
      </c>
      <c r="DK722" s="313">
        <f t="shared" si="599"/>
        <v>0</v>
      </c>
      <c r="DL722" s="313">
        <f t="shared" si="591"/>
        <v>0</v>
      </c>
      <c r="DM722" s="314">
        <f t="shared" si="592"/>
        <v>0</v>
      </c>
      <c r="DN722" s="312">
        <f t="shared" si="593"/>
        <v>0</v>
      </c>
      <c r="DO722" s="312">
        <f t="shared" si="600"/>
        <v>0</v>
      </c>
      <c r="DP722" s="315" t="e">
        <f t="shared" si="585"/>
        <v>#NUM!</v>
      </c>
      <c r="DQ722" s="316">
        <f t="shared" si="594"/>
        <v>0</v>
      </c>
      <c r="DR722" s="316">
        <f t="shared" si="595"/>
        <v>0</v>
      </c>
      <c r="DS722" s="314">
        <f t="shared" si="596"/>
        <v>0</v>
      </c>
      <c r="DT722" s="316">
        <f t="shared" si="597"/>
        <v>0</v>
      </c>
      <c r="DU722" s="314">
        <f t="shared" si="586"/>
        <v>0</v>
      </c>
      <c r="DV722" s="316">
        <f t="shared" si="601"/>
        <v>0</v>
      </c>
      <c r="DW722" s="310">
        <f t="shared" si="587"/>
        <v>0</v>
      </c>
      <c r="FB722" s="307"/>
      <c r="FC722" s="307"/>
      <c r="FF722" s="307"/>
      <c r="FG722" s="307"/>
      <c r="FH722" s="306"/>
      <c r="FJ722" s="307"/>
      <c r="FK722" s="307"/>
      <c r="FL722" s="306"/>
      <c r="FM722" s="307"/>
      <c r="FN722" s="306"/>
      <c r="FO722" s="307"/>
      <c r="FP722" s="306"/>
    </row>
    <row r="723" spans="29:172">
      <c r="AC723" s="156"/>
      <c r="CW723" s="364"/>
      <c r="CX723" s="316"/>
      <c r="CY723" s="316"/>
      <c r="DA723" s="309">
        <v>722</v>
      </c>
      <c r="DB723" s="313">
        <f t="shared" si="581"/>
        <v>462.78650914019806</v>
      </c>
      <c r="DC723" s="309">
        <f t="shared" si="582"/>
        <v>4</v>
      </c>
      <c r="DD723" s="309">
        <f t="shared" si="583"/>
        <v>0</v>
      </c>
      <c r="DE723" s="308">
        <f t="shared" si="584"/>
        <v>0</v>
      </c>
      <c r="DF723" s="313">
        <f t="shared" si="598"/>
        <v>600</v>
      </c>
      <c r="DG723" s="313">
        <f t="shared" si="580"/>
        <v>0</v>
      </c>
      <c r="DH723" s="313">
        <f t="shared" si="588"/>
        <v>0</v>
      </c>
      <c r="DI723" s="313">
        <f t="shared" si="589"/>
        <v>0</v>
      </c>
      <c r="DJ723" s="313">
        <f t="shared" si="590"/>
        <v>0</v>
      </c>
      <c r="DK723" s="313">
        <f t="shared" si="599"/>
        <v>0</v>
      </c>
      <c r="DL723" s="313">
        <f t="shared" si="591"/>
        <v>0</v>
      </c>
      <c r="DM723" s="314">
        <f t="shared" si="592"/>
        <v>0</v>
      </c>
      <c r="DN723" s="312">
        <f t="shared" si="593"/>
        <v>0</v>
      </c>
      <c r="DO723" s="312">
        <f t="shared" si="600"/>
        <v>0</v>
      </c>
      <c r="DP723" s="315" t="e">
        <f t="shared" si="585"/>
        <v>#NUM!</v>
      </c>
      <c r="DQ723" s="316">
        <f t="shared" si="594"/>
        <v>0</v>
      </c>
      <c r="DR723" s="316">
        <f t="shared" si="595"/>
        <v>0</v>
      </c>
      <c r="DS723" s="314">
        <f t="shared" si="596"/>
        <v>0</v>
      </c>
      <c r="DT723" s="316">
        <f t="shared" si="597"/>
        <v>0</v>
      </c>
      <c r="DU723" s="314">
        <f t="shared" si="586"/>
        <v>0</v>
      </c>
      <c r="DV723" s="316">
        <f t="shared" si="601"/>
        <v>0</v>
      </c>
      <c r="DW723" s="310">
        <f t="shared" si="587"/>
        <v>0</v>
      </c>
      <c r="FB723" s="307"/>
      <c r="FC723" s="307"/>
      <c r="FF723" s="307"/>
      <c r="FG723" s="307"/>
      <c r="FH723" s="306"/>
      <c r="FJ723" s="307"/>
      <c r="FK723" s="307"/>
      <c r="FL723" s="306"/>
      <c r="FM723" s="307"/>
      <c r="FN723" s="306"/>
      <c r="FO723" s="307"/>
      <c r="FP723" s="306"/>
    </row>
    <row r="724" spans="29:172">
      <c r="AC724" s="156"/>
      <c r="CW724" s="364"/>
      <c r="CX724" s="316"/>
      <c r="CY724" s="316"/>
      <c r="DA724" s="309">
        <v>723</v>
      </c>
      <c r="DB724" s="313">
        <f t="shared" si="581"/>
        <v>463.15047937446428</v>
      </c>
      <c r="DC724" s="309">
        <f t="shared" si="582"/>
        <v>4</v>
      </c>
      <c r="DD724" s="309">
        <f t="shared" si="583"/>
        <v>0</v>
      </c>
      <c r="DE724" s="308">
        <f t="shared" si="584"/>
        <v>0</v>
      </c>
      <c r="DF724" s="313">
        <f t="shared" si="598"/>
        <v>600</v>
      </c>
      <c r="DG724" s="313">
        <f t="shared" si="580"/>
        <v>0</v>
      </c>
      <c r="DH724" s="313">
        <f t="shared" si="588"/>
        <v>0</v>
      </c>
      <c r="DI724" s="313">
        <f t="shared" si="589"/>
        <v>0</v>
      </c>
      <c r="DJ724" s="313">
        <f t="shared" si="590"/>
        <v>0</v>
      </c>
      <c r="DK724" s="313">
        <f t="shared" si="599"/>
        <v>0</v>
      </c>
      <c r="DL724" s="313">
        <f t="shared" si="591"/>
        <v>0</v>
      </c>
      <c r="DM724" s="314">
        <f t="shared" si="592"/>
        <v>0</v>
      </c>
      <c r="DN724" s="312">
        <f t="shared" si="593"/>
        <v>0</v>
      </c>
      <c r="DO724" s="312">
        <f t="shared" si="600"/>
        <v>0</v>
      </c>
      <c r="DP724" s="315" t="e">
        <f t="shared" si="585"/>
        <v>#NUM!</v>
      </c>
      <c r="DQ724" s="316">
        <f t="shared" si="594"/>
        <v>0</v>
      </c>
      <c r="DR724" s="316">
        <f t="shared" si="595"/>
        <v>0</v>
      </c>
      <c r="DS724" s="314">
        <f t="shared" si="596"/>
        <v>0</v>
      </c>
      <c r="DT724" s="316">
        <f t="shared" si="597"/>
        <v>0</v>
      </c>
      <c r="DU724" s="314">
        <f t="shared" si="586"/>
        <v>0</v>
      </c>
      <c r="DV724" s="316">
        <f t="shared" si="601"/>
        <v>0</v>
      </c>
      <c r="DW724" s="310">
        <f t="shared" si="587"/>
        <v>0</v>
      </c>
      <c r="FB724" s="307"/>
      <c r="FC724" s="307"/>
      <c r="FF724" s="307"/>
      <c r="FG724" s="307"/>
      <c r="FH724" s="306"/>
      <c r="FJ724" s="307"/>
      <c r="FK724" s="307"/>
      <c r="FL724" s="306"/>
      <c r="FM724" s="307"/>
      <c r="FN724" s="306"/>
      <c r="FO724" s="307"/>
      <c r="FP724" s="306"/>
    </row>
    <row r="725" spans="29:172">
      <c r="AC725" s="156"/>
      <c r="CW725" s="364"/>
      <c r="CX725" s="316"/>
      <c r="CY725" s="316"/>
      <c r="DA725" s="309">
        <v>724</v>
      </c>
      <c r="DB725" s="313">
        <f t="shared" si="581"/>
        <v>463.5144496087305</v>
      </c>
      <c r="DC725" s="309">
        <f t="shared" si="582"/>
        <v>4</v>
      </c>
      <c r="DD725" s="309">
        <f t="shared" si="583"/>
        <v>0</v>
      </c>
      <c r="DE725" s="308">
        <f t="shared" si="584"/>
        <v>0</v>
      </c>
      <c r="DF725" s="313">
        <f t="shared" si="598"/>
        <v>600</v>
      </c>
      <c r="DG725" s="313">
        <f t="shared" si="580"/>
        <v>0</v>
      </c>
      <c r="DH725" s="313">
        <f t="shared" si="588"/>
        <v>0</v>
      </c>
      <c r="DI725" s="313">
        <f t="shared" si="589"/>
        <v>0</v>
      </c>
      <c r="DJ725" s="313">
        <f t="shared" si="590"/>
        <v>0</v>
      </c>
      <c r="DK725" s="313">
        <f t="shared" si="599"/>
        <v>0</v>
      </c>
      <c r="DL725" s="313">
        <f t="shared" si="591"/>
        <v>0</v>
      </c>
      <c r="DM725" s="314">
        <f t="shared" si="592"/>
        <v>0</v>
      </c>
      <c r="DN725" s="312">
        <f t="shared" si="593"/>
        <v>0</v>
      </c>
      <c r="DO725" s="312">
        <f t="shared" si="600"/>
        <v>0</v>
      </c>
      <c r="DP725" s="315" t="e">
        <f t="shared" si="585"/>
        <v>#NUM!</v>
      </c>
      <c r="DQ725" s="316">
        <f t="shared" si="594"/>
        <v>0</v>
      </c>
      <c r="DR725" s="316">
        <f t="shared" si="595"/>
        <v>0</v>
      </c>
      <c r="DS725" s="314">
        <f t="shared" si="596"/>
        <v>0</v>
      </c>
      <c r="DT725" s="316">
        <f t="shared" si="597"/>
        <v>0</v>
      </c>
      <c r="DU725" s="314">
        <f t="shared" si="586"/>
        <v>0</v>
      </c>
      <c r="DV725" s="316">
        <f t="shared" si="601"/>
        <v>0</v>
      </c>
      <c r="DW725" s="310">
        <f t="shared" si="587"/>
        <v>0</v>
      </c>
      <c r="FB725" s="307"/>
      <c r="FC725" s="307"/>
      <c r="FF725" s="307"/>
      <c r="FG725" s="307"/>
      <c r="FH725" s="306"/>
      <c r="FJ725" s="307"/>
      <c r="FK725" s="307"/>
      <c r="FL725" s="306"/>
      <c r="FM725" s="307"/>
      <c r="FN725" s="306"/>
      <c r="FO725" s="307"/>
      <c r="FP725" s="306"/>
    </row>
    <row r="726" spans="29:172">
      <c r="AC726" s="156"/>
      <c r="CW726" s="364"/>
      <c r="CX726" s="316"/>
      <c r="CY726" s="316"/>
      <c r="DA726" s="309">
        <v>725</v>
      </c>
      <c r="DB726" s="313">
        <f t="shared" si="581"/>
        <v>463.87841984299672</v>
      </c>
      <c r="DC726" s="309">
        <f t="shared" si="582"/>
        <v>4</v>
      </c>
      <c r="DD726" s="309">
        <f t="shared" si="583"/>
        <v>0</v>
      </c>
      <c r="DE726" s="308">
        <f t="shared" si="584"/>
        <v>0</v>
      </c>
      <c r="DF726" s="313">
        <f t="shared" si="598"/>
        <v>600</v>
      </c>
      <c r="DG726" s="313">
        <f t="shared" si="580"/>
        <v>0</v>
      </c>
      <c r="DH726" s="313">
        <f t="shared" si="588"/>
        <v>0</v>
      </c>
      <c r="DI726" s="313">
        <f t="shared" si="589"/>
        <v>0</v>
      </c>
      <c r="DJ726" s="313">
        <f t="shared" si="590"/>
        <v>0</v>
      </c>
      <c r="DK726" s="313">
        <f t="shared" si="599"/>
        <v>0</v>
      </c>
      <c r="DL726" s="313">
        <f t="shared" si="591"/>
        <v>0</v>
      </c>
      <c r="DM726" s="314">
        <f t="shared" si="592"/>
        <v>0</v>
      </c>
      <c r="DN726" s="312">
        <f t="shared" si="593"/>
        <v>0</v>
      </c>
      <c r="DO726" s="312">
        <f t="shared" si="600"/>
        <v>0</v>
      </c>
      <c r="DP726" s="315" t="e">
        <f t="shared" si="585"/>
        <v>#NUM!</v>
      </c>
      <c r="DQ726" s="316">
        <f t="shared" si="594"/>
        <v>0</v>
      </c>
      <c r="DR726" s="316">
        <f t="shared" si="595"/>
        <v>0</v>
      </c>
      <c r="DS726" s="314">
        <f t="shared" si="596"/>
        <v>0</v>
      </c>
      <c r="DT726" s="316">
        <f t="shared" si="597"/>
        <v>0</v>
      </c>
      <c r="DU726" s="314">
        <f t="shared" si="586"/>
        <v>0</v>
      </c>
      <c r="DV726" s="316">
        <f t="shared" si="601"/>
        <v>0</v>
      </c>
      <c r="DW726" s="310">
        <f t="shared" si="587"/>
        <v>0</v>
      </c>
      <c r="FB726" s="307"/>
      <c r="FC726" s="307"/>
      <c r="FF726" s="307"/>
      <c r="FG726" s="307"/>
      <c r="FH726" s="306"/>
      <c r="FJ726" s="307"/>
      <c r="FK726" s="307"/>
      <c r="FL726" s="306"/>
      <c r="FM726" s="307"/>
      <c r="FN726" s="306"/>
      <c r="FO726" s="307"/>
      <c r="FP726" s="306"/>
    </row>
    <row r="727" spans="29:172">
      <c r="AC727" s="156"/>
      <c r="CW727" s="364"/>
      <c r="CX727" s="316"/>
      <c r="CY727" s="316"/>
      <c r="DA727" s="309">
        <v>726</v>
      </c>
      <c r="DB727" s="313">
        <f t="shared" si="581"/>
        <v>464.24239007726288</v>
      </c>
      <c r="DC727" s="309">
        <f t="shared" si="582"/>
        <v>4</v>
      </c>
      <c r="DD727" s="309">
        <f t="shared" si="583"/>
        <v>0</v>
      </c>
      <c r="DE727" s="308">
        <f t="shared" si="584"/>
        <v>0</v>
      </c>
      <c r="DF727" s="313">
        <f t="shared" si="598"/>
        <v>600</v>
      </c>
      <c r="DG727" s="313">
        <f t="shared" si="580"/>
        <v>0</v>
      </c>
      <c r="DH727" s="313">
        <f t="shared" si="588"/>
        <v>0</v>
      </c>
      <c r="DI727" s="313">
        <f t="shared" si="589"/>
        <v>0</v>
      </c>
      <c r="DJ727" s="313">
        <f t="shared" si="590"/>
        <v>0</v>
      </c>
      <c r="DK727" s="313">
        <f t="shared" si="599"/>
        <v>0</v>
      </c>
      <c r="DL727" s="313">
        <f t="shared" si="591"/>
        <v>0</v>
      </c>
      <c r="DM727" s="314">
        <f t="shared" si="592"/>
        <v>0</v>
      </c>
      <c r="DN727" s="312">
        <f t="shared" si="593"/>
        <v>0</v>
      </c>
      <c r="DO727" s="312">
        <f t="shared" si="600"/>
        <v>0</v>
      </c>
      <c r="DP727" s="315" t="e">
        <f t="shared" si="585"/>
        <v>#NUM!</v>
      </c>
      <c r="DQ727" s="316">
        <f t="shared" si="594"/>
        <v>0</v>
      </c>
      <c r="DR727" s="316">
        <f t="shared" si="595"/>
        <v>0</v>
      </c>
      <c r="DS727" s="314">
        <f t="shared" si="596"/>
        <v>0</v>
      </c>
      <c r="DT727" s="316">
        <f t="shared" si="597"/>
        <v>0</v>
      </c>
      <c r="DU727" s="314">
        <f t="shared" si="586"/>
        <v>0</v>
      </c>
      <c r="DV727" s="316">
        <f t="shared" si="601"/>
        <v>0</v>
      </c>
      <c r="DW727" s="310">
        <f t="shared" si="587"/>
        <v>0</v>
      </c>
      <c r="FB727" s="307"/>
      <c r="FC727" s="307"/>
      <c r="FF727" s="307"/>
      <c r="FG727" s="307"/>
      <c r="FH727" s="306"/>
      <c r="FJ727" s="307"/>
      <c r="FK727" s="307"/>
      <c r="FL727" s="306"/>
      <c r="FM727" s="307"/>
      <c r="FN727" s="306"/>
      <c r="FO727" s="307"/>
      <c r="FP727" s="306"/>
    </row>
    <row r="728" spans="29:172">
      <c r="AC728" s="156"/>
      <c r="CW728" s="364"/>
      <c r="CX728" s="316"/>
      <c r="CY728" s="316"/>
      <c r="DA728" s="309">
        <v>727</v>
      </c>
      <c r="DB728" s="313">
        <f t="shared" si="581"/>
        <v>464.6063603115291</v>
      </c>
      <c r="DC728" s="309">
        <f t="shared" si="582"/>
        <v>4</v>
      </c>
      <c r="DD728" s="309">
        <f t="shared" si="583"/>
        <v>0</v>
      </c>
      <c r="DE728" s="308">
        <f t="shared" si="584"/>
        <v>0</v>
      </c>
      <c r="DF728" s="313">
        <f t="shared" si="598"/>
        <v>600</v>
      </c>
      <c r="DG728" s="313">
        <f t="shared" si="580"/>
        <v>0</v>
      </c>
      <c r="DH728" s="313">
        <f t="shared" si="588"/>
        <v>0</v>
      </c>
      <c r="DI728" s="313">
        <f t="shared" si="589"/>
        <v>0</v>
      </c>
      <c r="DJ728" s="313">
        <f t="shared" si="590"/>
        <v>0</v>
      </c>
      <c r="DK728" s="313">
        <f t="shared" si="599"/>
        <v>0</v>
      </c>
      <c r="DL728" s="313">
        <f t="shared" si="591"/>
        <v>0</v>
      </c>
      <c r="DM728" s="314">
        <f t="shared" si="592"/>
        <v>0</v>
      </c>
      <c r="DN728" s="312">
        <f t="shared" si="593"/>
        <v>0</v>
      </c>
      <c r="DO728" s="312">
        <f t="shared" si="600"/>
        <v>0</v>
      </c>
      <c r="DP728" s="315" t="e">
        <f t="shared" si="585"/>
        <v>#NUM!</v>
      </c>
      <c r="DQ728" s="316">
        <f t="shared" si="594"/>
        <v>0</v>
      </c>
      <c r="DR728" s="316">
        <f t="shared" si="595"/>
        <v>0</v>
      </c>
      <c r="DS728" s="314">
        <f t="shared" si="596"/>
        <v>0</v>
      </c>
      <c r="DT728" s="316">
        <f t="shared" si="597"/>
        <v>0</v>
      </c>
      <c r="DU728" s="314">
        <f t="shared" si="586"/>
        <v>0</v>
      </c>
      <c r="DV728" s="316">
        <f t="shared" si="601"/>
        <v>0</v>
      </c>
      <c r="DW728" s="310">
        <f t="shared" si="587"/>
        <v>0</v>
      </c>
      <c r="FB728" s="307"/>
      <c r="FC728" s="307"/>
      <c r="FF728" s="307"/>
      <c r="FG728" s="307"/>
      <c r="FH728" s="306"/>
      <c r="FJ728" s="307"/>
      <c r="FK728" s="307"/>
      <c r="FL728" s="306"/>
      <c r="FM728" s="307"/>
      <c r="FN728" s="306"/>
      <c r="FO728" s="307"/>
      <c r="FP728" s="306"/>
    </row>
    <row r="729" spans="29:172">
      <c r="AC729" s="156"/>
      <c r="CW729" s="364"/>
      <c r="CX729" s="316"/>
      <c r="CY729" s="316"/>
      <c r="DA729" s="309">
        <v>728</v>
      </c>
      <c r="DB729" s="313">
        <f t="shared" si="581"/>
        <v>464.97033054579532</v>
      </c>
      <c r="DC729" s="309">
        <f t="shared" si="582"/>
        <v>4</v>
      </c>
      <c r="DD729" s="309">
        <f t="shared" si="583"/>
        <v>0</v>
      </c>
      <c r="DE729" s="308">
        <f t="shared" si="584"/>
        <v>0</v>
      </c>
      <c r="DF729" s="313">
        <f t="shared" si="598"/>
        <v>600</v>
      </c>
      <c r="DG729" s="313">
        <f t="shared" si="580"/>
        <v>0</v>
      </c>
      <c r="DH729" s="313">
        <f t="shared" si="588"/>
        <v>0</v>
      </c>
      <c r="DI729" s="313">
        <f t="shared" si="589"/>
        <v>0</v>
      </c>
      <c r="DJ729" s="313">
        <f t="shared" si="590"/>
        <v>0</v>
      </c>
      <c r="DK729" s="313">
        <f t="shared" si="599"/>
        <v>0</v>
      </c>
      <c r="DL729" s="313">
        <f t="shared" si="591"/>
        <v>0</v>
      </c>
      <c r="DM729" s="314">
        <f t="shared" si="592"/>
        <v>0</v>
      </c>
      <c r="DN729" s="312">
        <f t="shared" si="593"/>
        <v>0</v>
      </c>
      <c r="DO729" s="312">
        <f t="shared" si="600"/>
        <v>0</v>
      </c>
      <c r="DP729" s="315" t="e">
        <f t="shared" si="585"/>
        <v>#NUM!</v>
      </c>
      <c r="DQ729" s="316">
        <f t="shared" si="594"/>
        <v>0</v>
      </c>
      <c r="DR729" s="316">
        <f t="shared" si="595"/>
        <v>0</v>
      </c>
      <c r="DS729" s="314">
        <f t="shared" si="596"/>
        <v>0</v>
      </c>
      <c r="DT729" s="316">
        <f t="shared" si="597"/>
        <v>0</v>
      </c>
      <c r="DU729" s="314">
        <f t="shared" si="586"/>
        <v>0</v>
      </c>
      <c r="DV729" s="316">
        <f t="shared" si="601"/>
        <v>0</v>
      </c>
      <c r="DW729" s="310">
        <f t="shared" si="587"/>
        <v>0</v>
      </c>
      <c r="FB729" s="307"/>
      <c r="FC729" s="307"/>
      <c r="FF729" s="307"/>
      <c r="FG729" s="307"/>
      <c r="FH729" s="306"/>
      <c r="FJ729" s="307"/>
      <c r="FK729" s="307"/>
      <c r="FL729" s="306"/>
      <c r="FM729" s="307"/>
      <c r="FN729" s="306"/>
      <c r="FO729" s="307"/>
      <c r="FP729" s="306"/>
    </row>
    <row r="730" spans="29:172">
      <c r="AC730" s="156"/>
      <c r="CW730" s="364"/>
      <c r="CX730" s="316"/>
      <c r="CY730" s="316"/>
      <c r="DA730" s="309">
        <v>729</v>
      </c>
      <c r="DB730" s="313">
        <f t="shared" si="581"/>
        <v>465.33430078006148</v>
      </c>
      <c r="DC730" s="309">
        <f t="shared" si="582"/>
        <v>4</v>
      </c>
      <c r="DD730" s="309">
        <f t="shared" si="583"/>
        <v>0</v>
      </c>
      <c r="DE730" s="308">
        <f t="shared" si="584"/>
        <v>0</v>
      </c>
      <c r="DF730" s="313">
        <f t="shared" si="598"/>
        <v>600</v>
      </c>
      <c r="DG730" s="313">
        <f t="shared" si="580"/>
        <v>0</v>
      </c>
      <c r="DH730" s="313">
        <f t="shared" si="588"/>
        <v>0</v>
      </c>
      <c r="DI730" s="313">
        <f t="shared" si="589"/>
        <v>0</v>
      </c>
      <c r="DJ730" s="313">
        <f t="shared" si="590"/>
        <v>0</v>
      </c>
      <c r="DK730" s="313">
        <f t="shared" si="599"/>
        <v>0</v>
      </c>
      <c r="DL730" s="313">
        <f t="shared" si="591"/>
        <v>0</v>
      </c>
      <c r="DM730" s="314">
        <f t="shared" si="592"/>
        <v>0</v>
      </c>
      <c r="DN730" s="312">
        <f t="shared" si="593"/>
        <v>0</v>
      </c>
      <c r="DO730" s="312">
        <f t="shared" si="600"/>
        <v>0</v>
      </c>
      <c r="DP730" s="315" t="e">
        <f t="shared" si="585"/>
        <v>#NUM!</v>
      </c>
      <c r="DQ730" s="316">
        <f t="shared" si="594"/>
        <v>0</v>
      </c>
      <c r="DR730" s="316">
        <f t="shared" si="595"/>
        <v>0</v>
      </c>
      <c r="DS730" s="314">
        <f t="shared" si="596"/>
        <v>0</v>
      </c>
      <c r="DT730" s="316">
        <f t="shared" si="597"/>
        <v>0</v>
      </c>
      <c r="DU730" s="314">
        <f t="shared" si="586"/>
        <v>0</v>
      </c>
      <c r="DV730" s="316">
        <f t="shared" si="601"/>
        <v>0</v>
      </c>
      <c r="DW730" s="310">
        <f t="shared" si="587"/>
        <v>0</v>
      </c>
      <c r="FB730" s="307"/>
      <c r="FC730" s="307"/>
      <c r="FF730" s="307"/>
      <c r="FG730" s="307"/>
      <c r="FH730" s="306"/>
      <c r="FJ730" s="307"/>
      <c r="FK730" s="307"/>
      <c r="FL730" s="306"/>
      <c r="FM730" s="307"/>
      <c r="FN730" s="306"/>
      <c r="FO730" s="307"/>
      <c r="FP730" s="306"/>
    </row>
    <row r="731" spans="29:172">
      <c r="AC731" s="156"/>
      <c r="CW731" s="364"/>
      <c r="CX731" s="316"/>
      <c r="CY731" s="316"/>
      <c r="DA731" s="309">
        <v>730</v>
      </c>
      <c r="DB731" s="313">
        <f t="shared" si="581"/>
        <v>465.6982710143277</v>
      </c>
      <c r="DC731" s="309">
        <f t="shared" si="582"/>
        <v>4</v>
      </c>
      <c r="DD731" s="309">
        <f t="shared" si="583"/>
        <v>0</v>
      </c>
      <c r="DE731" s="308">
        <f t="shared" si="584"/>
        <v>0</v>
      </c>
      <c r="DF731" s="313">
        <f t="shared" si="598"/>
        <v>600</v>
      </c>
      <c r="DG731" s="313">
        <f t="shared" si="580"/>
        <v>0</v>
      </c>
      <c r="DH731" s="313">
        <f t="shared" si="588"/>
        <v>0</v>
      </c>
      <c r="DI731" s="313">
        <f t="shared" si="589"/>
        <v>0</v>
      </c>
      <c r="DJ731" s="313">
        <f t="shared" si="590"/>
        <v>0</v>
      </c>
      <c r="DK731" s="313">
        <f t="shared" si="599"/>
        <v>0</v>
      </c>
      <c r="DL731" s="313">
        <f t="shared" si="591"/>
        <v>0</v>
      </c>
      <c r="DM731" s="314">
        <f t="shared" si="592"/>
        <v>0</v>
      </c>
      <c r="DN731" s="312">
        <f t="shared" si="593"/>
        <v>0</v>
      </c>
      <c r="DO731" s="312">
        <f t="shared" si="600"/>
        <v>0</v>
      </c>
      <c r="DP731" s="315" t="e">
        <f t="shared" si="585"/>
        <v>#NUM!</v>
      </c>
      <c r="DQ731" s="316">
        <f t="shared" si="594"/>
        <v>0</v>
      </c>
      <c r="DR731" s="316">
        <f t="shared" si="595"/>
        <v>0</v>
      </c>
      <c r="DS731" s="314">
        <f t="shared" si="596"/>
        <v>0</v>
      </c>
      <c r="DT731" s="316">
        <f t="shared" si="597"/>
        <v>0</v>
      </c>
      <c r="DU731" s="314">
        <f t="shared" si="586"/>
        <v>0</v>
      </c>
      <c r="DV731" s="316">
        <f t="shared" si="601"/>
        <v>0</v>
      </c>
      <c r="DW731" s="310">
        <f t="shared" si="587"/>
        <v>0</v>
      </c>
      <c r="FB731" s="307"/>
      <c r="FC731" s="307"/>
      <c r="FF731" s="307"/>
      <c r="FG731" s="307"/>
      <c r="FH731" s="306"/>
      <c r="FJ731" s="307"/>
      <c r="FK731" s="307"/>
      <c r="FL731" s="306"/>
      <c r="FM731" s="307"/>
      <c r="FN731" s="306"/>
      <c r="FO731" s="307"/>
      <c r="FP731" s="306"/>
    </row>
    <row r="732" spans="29:172">
      <c r="AC732" s="156"/>
      <c r="CW732" s="364"/>
      <c r="CX732" s="316"/>
      <c r="CY732" s="316"/>
      <c r="DA732" s="309">
        <v>731</v>
      </c>
      <c r="DB732" s="313">
        <f t="shared" si="581"/>
        <v>466.06224124859392</v>
      </c>
      <c r="DC732" s="309">
        <f t="shared" si="582"/>
        <v>4</v>
      </c>
      <c r="DD732" s="309">
        <f t="shared" si="583"/>
        <v>0</v>
      </c>
      <c r="DE732" s="308">
        <f t="shared" si="584"/>
        <v>0</v>
      </c>
      <c r="DF732" s="313">
        <f t="shared" si="598"/>
        <v>600</v>
      </c>
      <c r="DG732" s="313">
        <f t="shared" si="580"/>
        <v>0</v>
      </c>
      <c r="DH732" s="313">
        <f t="shared" si="588"/>
        <v>0</v>
      </c>
      <c r="DI732" s="313">
        <f t="shared" si="589"/>
        <v>0</v>
      </c>
      <c r="DJ732" s="313">
        <f t="shared" si="590"/>
        <v>0</v>
      </c>
      <c r="DK732" s="313">
        <f t="shared" si="599"/>
        <v>0</v>
      </c>
      <c r="DL732" s="313">
        <f t="shared" si="591"/>
        <v>0</v>
      </c>
      <c r="DM732" s="314">
        <f t="shared" si="592"/>
        <v>0</v>
      </c>
      <c r="DN732" s="312">
        <f t="shared" si="593"/>
        <v>0</v>
      </c>
      <c r="DO732" s="312">
        <f t="shared" si="600"/>
        <v>0</v>
      </c>
      <c r="DP732" s="315" t="e">
        <f t="shared" si="585"/>
        <v>#NUM!</v>
      </c>
      <c r="DQ732" s="316">
        <f t="shared" si="594"/>
        <v>0</v>
      </c>
      <c r="DR732" s="316">
        <f t="shared" si="595"/>
        <v>0</v>
      </c>
      <c r="DS732" s="314">
        <f t="shared" si="596"/>
        <v>0</v>
      </c>
      <c r="DT732" s="316">
        <f t="shared" si="597"/>
        <v>0</v>
      </c>
      <c r="DU732" s="314">
        <f t="shared" si="586"/>
        <v>0</v>
      </c>
      <c r="DV732" s="316">
        <f t="shared" si="601"/>
        <v>0</v>
      </c>
      <c r="DW732" s="310">
        <f t="shared" si="587"/>
        <v>0</v>
      </c>
      <c r="FB732" s="307"/>
      <c r="FC732" s="307"/>
      <c r="FF732" s="307"/>
      <c r="FG732" s="307"/>
      <c r="FH732" s="306"/>
      <c r="FJ732" s="307"/>
      <c r="FK732" s="307"/>
      <c r="FL732" s="306"/>
      <c r="FM732" s="307"/>
      <c r="FN732" s="306"/>
      <c r="FO732" s="307"/>
      <c r="FP732" s="306"/>
    </row>
    <row r="733" spans="29:172">
      <c r="AC733" s="156"/>
      <c r="CW733" s="364"/>
      <c r="CX733" s="316"/>
      <c r="CY733" s="316"/>
      <c r="DA733" s="309">
        <v>732</v>
      </c>
      <c r="DB733" s="313">
        <f t="shared" si="581"/>
        <v>466.42621148286014</v>
      </c>
      <c r="DC733" s="309">
        <f t="shared" si="582"/>
        <v>4</v>
      </c>
      <c r="DD733" s="309">
        <f t="shared" si="583"/>
        <v>0</v>
      </c>
      <c r="DE733" s="308">
        <f t="shared" si="584"/>
        <v>0</v>
      </c>
      <c r="DF733" s="313">
        <f t="shared" si="598"/>
        <v>600</v>
      </c>
      <c r="DG733" s="313">
        <f t="shared" si="580"/>
        <v>0</v>
      </c>
      <c r="DH733" s="313">
        <f t="shared" si="588"/>
        <v>0</v>
      </c>
      <c r="DI733" s="313">
        <f t="shared" si="589"/>
        <v>0</v>
      </c>
      <c r="DJ733" s="313">
        <f t="shared" si="590"/>
        <v>0</v>
      </c>
      <c r="DK733" s="313">
        <f t="shared" si="599"/>
        <v>0</v>
      </c>
      <c r="DL733" s="313">
        <f t="shared" si="591"/>
        <v>0</v>
      </c>
      <c r="DM733" s="314">
        <f t="shared" si="592"/>
        <v>0</v>
      </c>
      <c r="DN733" s="312">
        <f t="shared" si="593"/>
        <v>0</v>
      </c>
      <c r="DO733" s="312">
        <f t="shared" si="600"/>
        <v>0</v>
      </c>
      <c r="DP733" s="315" t="e">
        <f t="shared" si="585"/>
        <v>#NUM!</v>
      </c>
      <c r="DQ733" s="316">
        <f t="shared" si="594"/>
        <v>0</v>
      </c>
      <c r="DR733" s="316">
        <f t="shared" si="595"/>
        <v>0</v>
      </c>
      <c r="DS733" s="314">
        <f t="shared" si="596"/>
        <v>0</v>
      </c>
      <c r="DT733" s="316">
        <f t="shared" si="597"/>
        <v>0</v>
      </c>
      <c r="DU733" s="314">
        <f t="shared" si="586"/>
        <v>0</v>
      </c>
      <c r="DV733" s="316">
        <f t="shared" si="601"/>
        <v>0</v>
      </c>
      <c r="DW733" s="310">
        <f t="shared" si="587"/>
        <v>0</v>
      </c>
      <c r="FB733" s="307"/>
      <c r="FC733" s="307"/>
      <c r="FF733" s="307"/>
      <c r="FG733" s="307"/>
      <c r="FH733" s="306"/>
      <c r="FJ733" s="307"/>
      <c r="FK733" s="307"/>
      <c r="FL733" s="306"/>
      <c r="FM733" s="307"/>
      <c r="FN733" s="306"/>
      <c r="FO733" s="307"/>
      <c r="FP733" s="306"/>
    </row>
    <row r="734" spans="29:172">
      <c r="AC734" s="156"/>
      <c r="CW734" s="364"/>
      <c r="CX734" s="316"/>
      <c r="CY734" s="316"/>
      <c r="DA734" s="309">
        <v>733</v>
      </c>
      <c r="DB734" s="313">
        <f t="shared" si="581"/>
        <v>466.7901817171263</v>
      </c>
      <c r="DC734" s="309">
        <f t="shared" si="582"/>
        <v>4</v>
      </c>
      <c r="DD734" s="309">
        <f t="shared" si="583"/>
        <v>0</v>
      </c>
      <c r="DE734" s="308">
        <f t="shared" si="584"/>
        <v>0</v>
      </c>
      <c r="DF734" s="313">
        <f t="shared" si="598"/>
        <v>600</v>
      </c>
      <c r="DG734" s="313">
        <f t="shared" si="580"/>
        <v>0</v>
      </c>
      <c r="DH734" s="313">
        <f t="shared" si="588"/>
        <v>0</v>
      </c>
      <c r="DI734" s="313">
        <f t="shared" si="589"/>
        <v>0</v>
      </c>
      <c r="DJ734" s="313">
        <f t="shared" si="590"/>
        <v>0</v>
      </c>
      <c r="DK734" s="313">
        <f t="shared" si="599"/>
        <v>0</v>
      </c>
      <c r="DL734" s="313">
        <f t="shared" si="591"/>
        <v>0</v>
      </c>
      <c r="DM734" s="314">
        <f t="shared" si="592"/>
        <v>0</v>
      </c>
      <c r="DN734" s="312">
        <f t="shared" si="593"/>
        <v>0</v>
      </c>
      <c r="DO734" s="312">
        <f t="shared" si="600"/>
        <v>0</v>
      </c>
      <c r="DP734" s="315" t="e">
        <f t="shared" si="585"/>
        <v>#NUM!</v>
      </c>
      <c r="DQ734" s="316">
        <f t="shared" si="594"/>
        <v>0</v>
      </c>
      <c r="DR734" s="316">
        <f t="shared" si="595"/>
        <v>0</v>
      </c>
      <c r="DS734" s="314">
        <f t="shared" si="596"/>
        <v>0</v>
      </c>
      <c r="DT734" s="316">
        <f t="shared" si="597"/>
        <v>0</v>
      </c>
      <c r="DU734" s="314">
        <f t="shared" si="586"/>
        <v>0</v>
      </c>
      <c r="DV734" s="316">
        <f t="shared" si="601"/>
        <v>0</v>
      </c>
      <c r="DW734" s="310">
        <f t="shared" si="587"/>
        <v>0</v>
      </c>
      <c r="FB734" s="307"/>
      <c r="FC734" s="307"/>
      <c r="FF734" s="307"/>
      <c r="FG734" s="307"/>
      <c r="FH734" s="306"/>
      <c r="FJ734" s="307"/>
      <c r="FK734" s="307"/>
      <c r="FL734" s="306"/>
      <c r="FM734" s="307"/>
      <c r="FN734" s="306"/>
      <c r="FO734" s="307"/>
      <c r="FP734" s="306"/>
    </row>
    <row r="735" spans="29:172">
      <c r="AC735" s="156"/>
      <c r="CW735" s="364"/>
      <c r="CX735" s="316"/>
      <c r="CY735" s="316"/>
      <c r="DA735" s="309">
        <v>734</v>
      </c>
      <c r="DB735" s="313">
        <f t="shared" si="581"/>
        <v>467.15415195139252</v>
      </c>
      <c r="DC735" s="309">
        <f t="shared" si="582"/>
        <v>4</v>
      </c>
      <c r="DD735" s="309">
        <f t="shared" si="583"/>
        <v>0</v>
      </c>
      <c r="DE735" s="308">
        <f t="shared" si="584"/>
        <v>0</v>
      </c>
      <c r="DF735" s="313">
        <f t="shared" si="598"/>
        <v>600</v>
      </c>
      <c r="DG735" s="313">
        <f t="shared" si="580"/>
        <v>0</v>
      </c>
      <c r="DH735" s="313">
        <f t="shared" si="588"/>
        <v>0</v>
      </c>
      <c r="DI735" s="313">
        <f t="shared" si="589"/>
        <v>0</v>
      </c>
      <c r="DJ735" s="313">
        <f t="shared" si="590"/>
        <v>0</v>
      </c>
      <c r="DK735" s="313">
        <f t="shared" si="599"/>
        <v>0</v>
      </c>
      <c r="DL735" s="313">
        <f t="shared" si="591"/>
        <v>0</v>
      </c>
      <c r="DM735" s="314">
        <f t="shared" si="592"/>
        <v>0</v>
      </c>
      <c r="DN735" s="312">
        <f t="shared" si="593"/>
        <v>0</v>
      </c>
      <c r="DO735" s="312">
        <f t="shared" si="600"/>
        <v>0</v>
      </c>
      <c r="DP735" s="315" t="e">
        <f t="shared" si="585"/>
        <v>#NUM!</v>
      </c>
      <c r="DQ735" s="316">
        <f t="shared" si="594"/>
        <v>0</v>
      </c>
      <c r="DR735" s="316">
        <f t="shared" si="595"/>
        <v>0</v>
      </c>
      <c r="DS735" s="314">
        <f t="shared" si="596"/>
        <v>0</v>
      </c>
      <c r="DT735" s="316">
        <f t="shared" si="597"/>
        <v>0</v>
      </c>
      <c r="DU735" s="314">
        <f t="shared" si="586"/>
        <v>0</v>
      </c>
      <c r="DV735" s="316">
        <f t="shared" si="601"/>
        <v>0</v>
      </c>
      <c r="DW735" s="310">
        <f t="shared" si="587"/>
        <v>0</v>
      </c>
      <c r="FB735" s="307"/>
      <c r="FC735" s="307"/>
      <c r="FF735" s="307"/>
      <c r="FG735" s="307"/>
      <c r="FH735" s="306"/>
      <c r="FJ735" s="307"/>
      <c r="FK735" s="307"/>
      <c r="FL735" s="306"/>
      <c r="FM735" s="307"/>
      <c r="FN735" s="306"/>
      <c r="FO735" s="307"/>
      <c r="FP735" s="306"/>
    </row>
    <row r="736" spans="29:172">
      <c r="AC736" s="156"/>
      <c r="CW736" s="364"/>
      <c r="CX736" s="316"/>
      <c r="CY736" s="316"/>
      <c r="DA736" s="309">
        <v>735</v>
      </c>
      <c r="DB736" s="313">
        <f t="shared" si="581"/>
        <v>467.51812218565874</v>
      </c>
      <c r="DC736" s="309">
        <f t="shared" si="582"/>
        <v>4</v>
      </c>
      <c r="DD736" s="309">
        <f t="shared" si="583"/>
        <v>0</v>
      </c>
      <c r="DE736" s="308">
        <f t="shared" si="584"/>
        <v>0</v>
      </c>
      <c r="DF736" s="313">
        <f t="shared" si="598"/>
        <v>600</v>
      </c>
      <c r="DG736" s="313">
        <f t="shared" si="580"/>
        <v>0</v>
      </c>
      <c r="DH736" s="313">
        <f t="shared" si="588"/>
        <v>0</v>
      </c>
      <c r="DI736" s="313">
        <f t="shared" si="589"/>
        <v>0</v>
      </c>
      <c r="DJ736" s="313">
        <f t="shared" si="590"/>
        <v>0</v>
      </c>
      <c r="DK736" s="313">
        <f t="shared" si="599"/>
        <v>0</v>
      </c>
      <c r="DL736" s="313">
        <f t="shared" si="591"/>
        <v>0</v>
      </c>
      <c r="DM736" s="314">
        <f t="shared" si="592"/>
        <v>0</v>
      </c>
      <c r="DN736" s="312">
        <f t="shared" si="593"/>
        <v>0</v>
      </c>
      <c r="DO736" s="312">
        <f t="shared" si="600"/>
        <v>0</v>
      </c>
      <c r="DP736" s="315" t="e">
        <f t="shared" si="585"/>
        <v>#NUM!</v>
      </c>
      <c r="DQ736" s="316">
        <f t="shared" si="594"/>
        <v>0</v>
      </c>
      <c r="DR736" s="316">
        <f t="shared" si="595"/>
        <v>0</v>
      </c>
      <c r="DS736" s="314">
        <f t="shared" si="596"/>
        <v>0</v>
      </c>
      <c r="DT736" s="316">
        <f t="shared" si="597"/>
        <v>0</v>
      </c>
      <c r="DU736" s="314">
        <f t="shared" si="586"/>
        <v>0</v>
      </c>
      <c r="DV736" s="316">
        <f t="shared" si="601"/>
        <v>0</v>
      </c>
      <c r="DW736" s="310">
        <f t="shared" si="587"/>
        <v>0</v>
      </c>
      <c r="FB736" s="307"/>
      <c r="FC736" s="307"/>
      <c r="FF736" s="307"/>
      <c r="FG736" s="307"/>
      <c r="FH736" s="306"/>
      <c r="FJ736" s="307"/>
      <c r="FK736" s="307"/>
      <c r="FL736" s="306"/>
      <c r="FM736" s="307"/>
      <c r="FN736" s="306"/>
      <c r="FO736" s="307"/>
      <c r="FP736" s="306"/>
    </row>
    <row r="737" spans="29:172">
      <c r="AC737" s="156"/>
      <c r="CW737" s="364"/>
      <c r="CX737" s="316"/>
      <c r="CY737" s="316"/>
      <c r="DA737" s="309">
        <v>736</v>
      </c>
      <c r="DB737" s="313">
        <f t="shared" si="581"/>
        <v>467.8820924199249</v>
      </c>
      <c r="DC737" s="309">
        <f t="shared" si="582"/>
        <v>4</v>
      </c>
      <c r="DD737" s="309">
        <f t="shared" si="583"/>
        <v>0</v>
      </c>
      <c r="DE737" s="308">
        <f t="shared" si="584"/>
        <v>0</v>
      </c>
      <c r="DF737" s="313">
        <f t="shared" si="598"/>
        <v>600</v>
      </c>
      <c r="DG737" s="313">
        <f t="shared" si="580"/>
        <v>0</v>
      </c>
      <c r="DH737" s="313">
        <f t="shared" si="588"/>
        <v>0</v>
      </c>
      <c r="DI737" s="313">
        <f t="shared" si="589"/>
        <v>0</v>
      </c>
      <c r="DJ737" s="313">
        <f t="shared" si="590"/>
        <v>0</v>
      </c>
      <c r="DK737" s="313">
        <f t="shared" si="599"/>
        <v>0</v>
      </c>
      <c r="DL737" s="313">
        <f t="shared" si="591"/>
        <v>0</v>
      </c>
      <c r="DM737" s="314">
        <f t="shared" si="592"/>
        <v>0</v>
      </c>
      <c r="DN737" s="312">
        <f t="shared" si="593"/>
        <v>0</v>
      </c>
      <c r="DO737" s="312">
        <f t="shared" si="600"/>
        <v>0</v>
      </c>
      <c r="DP737" s="315" t="e">
        <f t="shared" si="585"/>
        <v>#NUM!</v>
      </c>
      <c r="DQ737" s="316">
        <f t="shared" si="594"/>
        <v>0</v>
      </c>
      <c r="DR737" s="316">
        <f t="shared" si="595"/>
        <v>0</v>
      </c>
      <c r="DS737" s="314">
        <f t="shared" si="596"/>
        <v>0</v>
      </c>
      <c r="DT737" s="316">
        <f t="shared" si="597"/>
        <v>0</v>
      </c>
      <c r="DU737" s="314">
        <f t="shared" si="586"/>
        <v>0</v>
      </c>
      <c r="DV737" s="316">
        <f t="shared" si="601"/>
        <v>0</v>
      </c>
      <c r="DW737" s="310">
        <f t="shared" si="587"/>
        <v>0</v>
      </c>
      <c r="FB737" s="307"/>
      <c r="FC737" s="307"/>
      <c r="FF737" s="307"/>
      <c r="FG737" s="307"/>
      <c r="FH737" s="306"/>
      <c r="FJ737" s="307"/>
      <c r="FK737" s="307"/>
      <c r="FL737" s="306"/>
      <c r="FM737" s="307"/>
      <c r="FN737" s="306"/>
      <c r="FO737" s="307"/>
      <c r="FP737" s="306"/>
    </row>
    <row r="738" spans="29:172">
      <c r="AC738" s="156"/>
      <c r="CW738" s="364"/>
      <c r="CX738" s="316"/>
      <c r="CY738" s="316"/>
      <c r="DA738" s="309">
        <v>737</v>
      </c>
      <c r="DB738" s="313">
        <f t="shared" si="581"/>
        <v>468.24606265419112</v>
      </c>
      <c r="DC738" s="309">
        <f t="shared" si="582"/>
        <v>4</v>
      </c>
      <c r="DD738" s="309">
        <f t="shared" si="583"/>
        <v>0</v>
      </c>
      <c r="DE738" s="308">
        <f t="shared" si="584"/>
        <v>0</v>
      </c>
      <c r="DF738" s="313">
        <f t="shared" si="598"/>
        <v>600</v>
      </c>
      <c r="DG738" s="313">
        <f t="shared" si="580"/>
        <v>0</v>
      </c>
      <c r="DH738" s="313">
        <f t="shared" si="588"/>
        <v>0</v>
      </c>
      <c r="DI738" s="313">
        <f t="shared" si="589"/>
        <v>0</v>
      </c>
      <c r="DJ738" s="313">
        <f t="shared" si="590"/>
        <v>0</v>
      </c>
      <c r="DK738" s="313">
        <f t="shared" si="599"/>
        <v>0</v>
      </c>
      <c r="DL738" s="313">
        <f t="shared" si="591"/>
        <v>0</v>
      </c>
      <c r="DM738" s="314">
        <f t="shared" si="592"/>
        <v>0</v>
      </c>
      <c r="DN738" s="312">
        <f t="shared" si="593"/>
        <v>0</v>
      </c>
      <c r="DO738" s="312">
        <f t="shared" si="600"/>
        <v>0</v>
      </c>
      <c r="DP738" s="315" t="e">
        <f t="shared" si="585"/>
        <v>#NUM!</v>
      </c>
      <c r="DQ738" s="316">
        <f t="shared" si="594"/>
        <v>0</v>
      </c>
      <c r="DR738" s="316">
        <f t="shared" si="595"/>
        <v>0</v>
      </c>
      <c r="DS738" s="314">
        <f t="shared" si="596"/>
        <v>0</v>
      </c>
      <c r="DT738" s="316">
        <f t="shared" si="597"/>
        <v>0</v>
      </c>
      <c r="DU738" s="314">
        <f t="shared" si="586"/>
        <v>0</v>
      </c>
      <c r="DV738" s="316">
        <f t="shared" si="601"/>
        <v>0</v>
      </c>
      <c r="DW738" s="310">
        <f t="shared" si="587"/>
        <v>0</v>
      </c>
      <c r="FB738" s="307"/>
      <c r="FC738" s="307"/>
      <c r="FF738" s="307"/>
      <c r="FG738" s="307"/>
      <c r="FH738" s="306"/>
      <c r="FJ738" s="307"/>
      <c r="FK738" s="307"/>
      <c r="FL738" s="306"/>
      <c r="FM738" s="307"/>
      <c r="FN738" s="306"/>
      <c r="FO738" s="307"/>
      <c r="FP738" s="306"/>
    </row>
    <row r="739" spans="29:172">
      <c r="AC739" s="156"/>
      <c r="CW739" s="364"/>
      <c r="CX739" s="316"/>
      <c r="CY739" s="316"/>
      <c r="DA739" s="309">
        <v>738</v>
      </c>
      <c r="DB739" s="313">
        <f t="shared" si="581"/>
        <v>468.61003288845734</v>
      </c>
      <c r="DC739" s="309">
        <f t="shared" si="582"/>
        <v>4</v>
      </c>
      <c r="DD739" s="309">
        <f t="shared" si="583"/>
        <v>0</v>
      </c>
      <c r="DE739" s="308">
        <f t="shared" si="584"/>
        <v>0</v>
      </c>
      <c r="DF739" s="313">
        <f t="shared" si="598"/>
        <v>600</v>
      </c>
      <c r="DG739" s="313">
        <f t="shared" si="580"/>
        <v>0</v>
      </c>
      <c r="DH739" s="313">
        <f t="shared" si="588"/>
        <v>0</v>
      </c>
      <c r="DI739" s="313">
        <f t="shared" si="589"/>
        <v>0</v>
      </c>
      <c r="DJ739" s="313">
        <f t="shared" si="590"/>
        <v>0</v>
      </c>
      <c r="DK739" s="313">
        <f t="shared" si="599"/>
        <v>0</v>
      </c>
      <c r="DL739" s="313">
        <f t="shared" si="591"/>
        <v>0</v>
      </c>
      <c r="DM739" s="314">
        <f t="shared" si="592"/>
        <v>0</v>
      </c>
      <c r="DN739" s="312">
        <f t="shared" si="593"/>
        <v>0</v>
      </c>
      <c r="DO739" s="312">
        <f t="shared" si="600"/>
        <v>0</v>
      </c>
      <c r="DP739" s="315" t="e">
        <f t="shared" si="585"/>
        <v>#NUM!</v>
      </c>
      <c r="DQ739" s="316">
        <f t="shared" si="594"/>
        <v>0</v>
      </c>
      <c r="DR739" s="316">
        <f t="shared" si="595"/>
        <v>0</v>
      </c>
      <c r="DS739" s="314">
        <f t="shared" si="596"/>
        <v>0</v>
      </c>
      <c r="DT739" s="316">
        <f t="shared" si="597"/>
        <v>0</v>
      </c>
      <c r="DU739" s="314">
        <f t="shared" si="586"/>
        <v>0</v>
      </c>
      <c r="DV739" s="316">
        <f t="shared" si="601"/>
        <v>0</v>
      </c>
      <c r="DW739" s="310">
        <f t="shared" si="587"/>
        <v>0</v>
      </c>
      <c r="FB739" s="307"/>
      <c r="FC739" s="307"/>
      <c r="FF739" s="307"/>
      <c r="FG739" s="307"/>
      <c r="FH739" s="306"/>
      <c r="FJ739" s="307"/>
      <c r="FK739" s="307"/>
      <c r="FL739" s="306"/>
      <c r="FM739" s="307"/>
      <c r="FN739" s="306"/>
      <c r="FO739" s="307"/>
      <c r="FP739" s="306"/>
    </row>
    <row r="740" spans="29:172">
      <c r="AC740" s="156"/>
      <c r="CW740" s="364"/>
      <c r="CX740" s="316"/>
      <c r="CY740" s="316"/>
      <c r="DA740" s="309">
        <v>739</v>
      </c>
      <c r="DB740" s="313">
        <f t="shared" si="581"/>
        <v>468.9740031227235</v>
      </c>
      <c r="DC740" s="309">
        <f t="shared" si="582"/>
        <v>4</v>
      </c>
      <c r="DD740" s="309">
        <f t="shared" si="583"/>
        <v>0</v>
      </c>
      <c r="DE740" s="308">
        <f t="shared" si="584"/>
        <v>0</v>
      </c>
      <c r="DF740" s="313">
        <f t="shared" si="598"/>
        <v>600</v>
      </c>
      <c r="DG740" s="313">
        <f t="shared" si="580"/>
        <v>0</v>
      </c>
      <c r="DH740" s="313">
        <f t="shared" si="588"/>
        <v>0</v>
      </c>
      <c r="DI740" s="313">
        <f t="shared" si="589"/>
        <v>0</v>
      </c>
      <c r="DJ740" s="313">
        <f t="shared" si="590"/>
        <v>0</v>
      </c>
      <c r="DK740" s="313">
        <f t="shared" si="599"/>
        <v>0</v>
      </c>
      <c r="DL740" s="313">
        <f t="shared" si="591"/>
        <v>0</v>
      </c>
      <c r="DM740" s="314">
        <f t="shared" si="592"/>
        <v>0</v>
      </c>
      <c r="DN740" s="312">
        <f t="shared" si="593"/>
        <v>0</v>
      </c>
      <c r="DO740" s="312">
        <f t="shared" si="600"/>
        <v>0</v>
      </c>
      <c r="DP740" s="315" t="e">
        <f t="shared" si="585"/>
        <v>#NUM!</v>
      </c>
      <c r="DQ740" s="316">
        <f t="shared" si="594"/>
        <v>0</v>
      </c>
      <c r="DR740" s="316">
        <f t="shared" si="595"/>
        <v>0</v>
      </c>
      <c r="DS740" s="314">
        <f t="shared" si="596"/>
        <v>0</v>
      </c>
      <c r="DT740" s="316">
        <f t="shared" si="597"/>
        <v>0</v>
      </c>
      <c r="DU740" s="314">
        <f t="shared" si="586"/>
        <v>0</v>
      </c>
      <c r="DV740" s="316">
        <f t="shared" si="601"/>
        <v>0</v>
      </c>
      <c r="DW740" s="310">
        <f t="shared" si="587"/>
        <v>0</v>
      </c>
      <c r="FB740" s="307"/>
      <c r="FC740" s="307"/>
      <c r="FF740" s="307"/>
      <c r="FG740" s="307"/>
      <c r="FH740" s="306"/>
      <c r="FJ740" s="307"/>
      <c r="FK740" s="307"/>
      <c r="FL740" s="306"/>
      <c r="FM740" s="307"/>
      <c r="FN740" s="306"/>
      <c r="FO740" s="307"/>
      <c r="FP740" s="306"/>
    </row>
    <row r="741" spans="29:172">
      <c r="AC741" s="156"/>
      <c r="CW741" s="364"/>
      <c r="CX741" s="316"/>
      <c r="CY741" s="316"/>
      <c r="DA741" s="309">
        <v>740</v>
      </c>
      <c r="DB741" s="313">
        <f t="shared" si="581"/>
        <v>469.33797335698972</v>
      </c>
      <c r="DC741" s="309">
        <f t="shared" si="582"/>
        <v>4</v>
      </c>
      <c r="DD741" s="309">
        <f t="shared" si="583"/>
        <v>0</v>
      </c>
      <c r="DE741" s="308">
        <f t="shared" si="584"/>
        <v>0</v>
      </c>
      <c r="DF741" s="313">
        <f t="shared" si="598"/>
        <v>600</v>
      </c>
      <c r="DG741" s="313">
        <f t="shared" si="580"/>
        <v>0</v>
      </c>
      <c r="DH741" s="313">
        <f t="shared" si="588"/>
        <v>0</v>
      </c>
      <c r="DI741" s="313">
        <f t="shared" si="589"/>
        <v>0</v>
      </c>
      <c r="DJ741" s="313">
        <f t="shared" si="590"/>
        <v>0</v>
      </c>
      <c r="DK741" s="313">
        <f t="shared" si="599"/>
        <v>0</v>
      </c>
      <c r="DL741" s="313">
        <f t="shared" si="591"/>
        <v>0</v>
      </c>
      <c r="DM741" s="314">
        <f t="shared" si="592"/>
        <v>0</v>
      </c>
      <c r="DN741" s="312">
        <f t="shared" si="593"/>
        <v>0</v>
      </c>
      <c r="DO741" s="312">
        <f t="shared" si="600"/>
        <v>0</v>
      </c>
      <c r="DP741" s="315" t="e">
        <f t="shared" si="585"/>
        <v>#NUM!</v>
      </c>
      <c r="DQ741" s="316">
        <f t="shared" si="594"/>
        <v>0</v>
      </c>
      <c r="DR741" s="316">
        <f t="shared" si="595"/>
        <v>0</v>
      </c>
      <c r="DS741" s="314">
        <f t="shared" si="596"/>
        <v>0</v>
      </c>
      <c r="DT741" s="316">
        <f t="shared" si="597"/>
        <v>0</v>
      </c>
      <c r="DU741" s="314">
        <f t="shared" si="586"/>
        <v>0</v>
      </c>
      <c r="DV741" s="316">
        <f t="shared" si="601"/>
        <v>0</v>
      </c>
      <c r="DW741" s="310">
        <f t="shared" si="587"/>
        <v>0</v>
      </c>
      <c r="FB741" s="307"/>
      <c r="FC741" s="307"/>
      <c r="FF741" s="307"/>
      <c r="FG741" s="307"/>
      <c r="FH741" s="306"/>
      <c r="FJ741" s="307"/>
      <c r="FK741" s="307"/>
      <c r="FL741" s="306"/>
      <c r="FM741" s="307"/>
      <c r="FN741" s="306"/>
      <c r="FO741" s="307"/>
      <c r="FP741" s="306"/>
    </row>
    <row r="742" spans="29:172">
      <c r="AC742" s="156"/>
      <c r="CW742" s="364"/>
      <c r="CX742" s="316"/>
      <c r="CY742" s="316"/>
      <c r="DA742" s="309">
        <v>741</v>
      </c>
      <c r="DB742" s="313">
        <f t="shared" si="581"/>
        <v>469.70194359125594</v>
      </c>
      <c r="DC742" s="309">
        <f t="shared" si="582"/>
        <v>4</v>
      </c>
      <c r="DD742" s="309">
        <f t="shared" si="583"/>
        <v>0</v>
      </c>
      <c r="DE742" s="308">
        <f t="shared" si="584"/>
        <v>0</v>
      </c>
      <c r="DF742" s="313">
        <f t="shared" si="598"/>
        <v>600</v>
      </c>
      <c r="DG742" s="313">
        <f t="shared" si="580"/>
        <v>0</v>
      </c>
      <c r="DH742" s="313">
        <f t="shared" si="588"/>
        <v>0</v>
      </c>
      <c r="DI742" s="313">
        <f t="shared" si="589"/>
        <v>0</v>
      </c>
      <c r="DJ742" s="313">
        <f t="shared" si="590"/>
        <v>0</v>
      </c>
      <c r="DK742" s="313">
        <f t="shared" si="599"/>
        <v>0</v>
      </c>
      <c r="DL742" s="313">
        <f t="shared" si="591"/>
        <v>0</v>
      </c>
      <c r="DM742" s="314">
        <f t="shared" si="592"/>
        <v>0</v>
      </c>
      <c r="DN742" s="312">
        <f t="shared" si="593"/>
        <v>0</v>
      </c>
      <c r="DO742" s="312">
        <f t="shared" si="600"/>
        <v>0</v>
      </c>
      <c r="DP742" s="315" t="e">
        <f t="shared" si="585"/>
        <v>#NUM!</v>
      </c>
      <c r="DQ742" s="316">
        <f t="shared" si="594"/>
        <v>0</v>
      </c>
      <c r="DR742" s="316">
        <f t="shared" si="595"/>
        <v>0</v>
      </c>
      <c r="DS742" s="314">
        <f t="shared" si="596"/>
        <v>0</v>
      </c>
      <c r="DT742" s="316">
        <f t="shared" si="597"/>
        <v>0</v>
      </c>
      <c r="DU742" s="314">
        <f t="shared" si="586"/>
        <v>0</v>
      </c>
      <c r="DV742" s="316">
        <f t="shared" si="601"/>
        <v>0</v>
      </c>
      <c r="DW742" s="310">
        <f t="shared" si="587"/>
        <v>0</v>
      </c>
      <c r="FB742" s="307"/>
      <c r="FC742" s="307"/>
      <c r="FF742" s="307"/>
      <c r="FG742" s="307"/>
      <c r="FH742" s="306"/>
      <c r="FJ742" s="307"/>
      <c r="FK742" s="307"/>
      <c r="FL742" s="306"/>
      <c r="FM742" s="307"/>
      <c r="FN742" s="306"/>
      <c r="FO742" s="307"/>
      <c r="FP742" s="306"/>
    </row>
    <row r="743" spans="29:172">
      <c r="AC743" s="156"/>
      <c r="CW743" s="364"/>
      <c r="CX743" s="316"/>
      <c r="CY743" s="316"/>
      <c r="DA743" s="309">
        <v>742</v>
      </c>
      <c r="DB743" s="313">
        <f t="shared" si="581"/>
        <v>470.06591382552216</v>
      </c>
      <c r="DC743" s="309">
        <f t="shared" si="582"/>
        <v>4</v>
      </c>
      <c r="DD743" s="309">
        <f t="shared" si="583"/>
        <v>0</v>
      </c>
      <c r="DE743" s="308">
        <f t="shared" si="584"/>
        <v>0</v>
      </c>
      <c r="DF743" s="313">
        <f t="shared" si="598"/>
        <v>600</v>
      </c>
      <c r="DG743" s="313">
        <f t="shared" si="580"/>
        <v>0</v>
      </c>
      <c r="DH743" s="313">
        <f t="shared" si="588"/>
        <v>0</v>
      </c>
      <c r="DI743" s="313">
        <f t="shared" si="589"/>
        <v>0</v>
      </c>
      <c r="DJ743" s="313">
        <f t="shared" si="590"/>
        <v>0</v>
      </c>
      <c r="DK743" s="313">
        <f t="shared" si="599"/>
        <v>0</v>
      </c>
      <c r="DL743" s="313">
        <f t="shared" si="591"/>
        <v>0</v>
      </c>
      <c r="DM743" s="314">
        <f t="shared" si="592"/>
        <v>0</v>
      </c>
      <c r="DN743" s="312">
        <f t="shared" si="593"/>
        <v>0</v>
      </c>
      <c r="DO743" s="312">
        <f t="shared" si="600"/>
        <v>0</v>
      </c>
      <c r="DP743" s="315" t="e">
        <f t="shared" si="585"/>
        <v>#NUM!</v>
      </c>
      <c r="DQ743" s="316">
        <f t="shared" si="594"/>
        <v>0</v>
      </c>
      <c r="DR743" s="316">
        <f t="shared" si="595"/>
        <v>0</v>
      </c>
      <c r="DS743" s="314">
        <f t="shared" si="596"/>
        <v>0</v>
      </c>
      <c r="DT743" s="316">
        <f t="shared" si="597"/>
        <v>0</v>
      </c>
      <c r="DU743" s="314">
        <f t="shared" si="586"/>
        <v>0</v>
      </c>
      <c r="DV743" s="316">
        <f t="shared" si="601"/>
        <v>0</v>
      </c>
      <c r="DW743" s="310">
        <f t="shared" si="587"/>
        <v>0</v>
      </c>
      <c r="FB743" s="307"/>
      <c r="FC743" s="307"/>
      <c r="FF743" s="307"/>
      <c r="FG743" s="307"/>
      <c r="FH743" s="306"/>
      <c r="FJ743" s="307"/>
      <c r="FK743" s="307"/>
      <c r="FL743" s="306"/>
      <c r="FM743" s="307"/>
      <c r="FN743" s="306"/>
      <c r="FO743" s="307"/>
      <c r="FP743" s="306"/>
    </row>
    <row r="744" spans="29:172">
      <c r="AC744" s="156"/>
      <c r="CW744" s="364"/>
      <c r="CX744" s="316"/>
      <c r="CY744" s="316"/>
      <c r="DA744" s="309">
        <v>743</v>
      </c>
      <c r="DB744" s="313">
        <f t="shared" si="581"/>
        <v>470.42988405978832</v>
      </c>
      <c r="DC744" s="309">
        <f t="shared" si="582"/>
        <v>4</v>
      </c>
      <c r="DD744" s="309">
        <f t="shared" si="583"/>
        <v>0</v>
      </c>
      <c r="DE744" s="308">
        <f t="shared" si="584"/>
        <v>0</v>
      </c>
      <c r="DF744" s="313">
        <f t="shared" si="598"/>
        <v>600</v>
      </c>
      <c r="DG744" s="313">
        <f t="shared" si="580"/>
        <v>0</v>
      </c>
      <c r="DH744" s="313">
        <f t="shared" si="588"/>
        <v>0</v>
      </c>
      <c r="DI744" s="313">
        <f t="shared" si="589"/>
        <v>0</v>
      </c>
      <c r="DJ744" s="313">
        <f t="shared" si="590"/>
        <v>0</v>
      </c>
      <c r="DK744" s="313">
        <f t="shared" si="599"/>
        <v>0</v>
      </c>
      <c r="DL744" s="313">
        <f t="shared" si="591"/>
        <v>0</v>
      </c>
      <c r="DM744" s="314">
        <f t="shared" si="592"/>
        <v>0</v>
      </c>
      <c r="DN744" s="312">
        <f t="shared" si="593"/>
        <v>0</v>
      </c>
      <c r="DO744" s="312">
        <f t="shared" si="600"/>
        <v>0</v>
      </c>
      <c r="DP744" s="315" t="e">
        <f t="shared" si="585"/>
        <v>#NUM!</v>
      </c>
      <c r="DQ744" s="316">
        <f t="shared" si="594"/>
        <v>0</v>
      </c>
      <c r="DR744" s="316">
        <f t="shared" si="595"/>
        <v>0</v>
      </c>
      <c r="DS744" s="314">
        <f t="shared" si="596"/>
        <v>0</v>
      </c>
      <c r="DT744" s="316">
        <f t="shared" si="597"/>
        <v>0</v>
      </c>
      <c r="DU744" s="314">
        <f t="shared" si="586"/>
        <v>0</v>
      </c>
      <c r="DV744" s="316">
        <f t="shared" si="601"/>
        <v>0</v>
      </c>
      <c r="DW744" s="310">
        <f t="shared" si="587"/>
        <v>0</v>
      </c>
      <c r="FB744" s="307"/>
      <c r="FC744" s="307"/>
      <c r="FF744" s="307"/>
      <c r="FG744" s="307"/>
      <c r="FH744" s="306"/>
      <c r="FJ744" s="307"/>
      <c r="FK744" s="307"/>
      <c r="FL744" s="306"/>
      <c r="FM744" s="307"/>
      <c r="FN744" s="306"/>
      <c r="FO744" s="307"/>
      <c r="FP744" s="306"/>
    </row>
    <row r="745" spans="29:172">
      <c r="AC745" s="156"/>
      <c r="CW745" s="364"/>
      <c r="CX745" s="316"/>
      <c r="CY745" s="316"/>
      <c r="DA745" s="309">
        <v>744</v>
      </c>
      <c r="DB745" s="313">
        <f t="shared" si="581"/>
        <v>470.79385429405454</v>
      </c>
      <c r="DC745" s="309">
        <f t="shared" si="582"/>
        <v>4</v>
      </c>
      <c r="DD745" s="309">
        <f t="shared" si="583"/>
        <v>0</v>
      </c>
      <c r="DE745" s="308">
        <f t="shared" si="584"/>
        <v>0</v>
      </c>
      <c r="DF745" s="313">
        <f t="shared" si="598"/>
        <v>600</v>
      </c>
      <c r="DG745" s="313">
        <f t="shared" si="580"/>
        <v>0</v>
      </c>
      <c r="DH745" s="313">
        <f t="shared" si="588"/>
        <v>0</v>
      </c>
      <c r="DI745" s="313">
        <f t="shared" si="589"/>
        <v>0</v>
      </c>
      <c r="DJ745" s="313">
        <f t="shared" si="590"/>
        <v>0</v>
      </c>
      <c r="DK745" s="313">
        <f t="shared" si="599"/>
        <v>0</v>
      </c>
      <c r="DL745" s="313">
        <f t="shared" si="591"/>
        <v>0</v>
      </c>
      <c r="DM745" s="314">
        <f t="shared" si="592"/>
        <v>0</v>
      </c>
      <c r="DN745" s="312">
        <f t="shared" si="593"/>
        <v>0</v>
      </c>
      <c r="DO745" s="312">
        <f t="shared" si="600"/>
        <v>0</v>
      </c>
      <c r="DP745" s="315" t="e">
        <f t="shared" si="585"/>
        <v>#NUM!</v>
      </c>
      <c r="DQ745" s="316">
        <f t="shared" si="594"/>
        <v>0</v>
      </c>
      <c r="DR745" s="316">
        <f t="shared" si="595"/>
        <v>0</v>
      </c>
      <c r="DS745" s="314">
        <f t="shared" si="596"/>
        <v>0</v>
      </c>
      <c r="DT745" s="316">
        <f t="shared" si="597"/>
        <v>0</v>
      </c>
      <c r="DU745" s="314">
        <f t="shared" si="586"/>
        <v>0</v>
      </c>
      <c r="DV745" s="316">
        <f t="shared" si="601"/>
        <v>0</v>
      </c>
      <c r="DW745" s="310">
        <f t="shared" si="587"/>
        <v>0</v>
      </c>
      <c r="FB745" s="307"/>
      <c r="FC745" s="307"/>
      <c r="FF745" s="307"/>
      <c r="FG745" s="307"/>
      <c r="FH745" s="306"/>
      <c r="FJ745" s="307"/>
      <c r="FK745" s="307"/>
      <c r="FL745" s="306"/>
      <c r="FM745" s="307"/>
      <c r="FN745" s="306"/>
      <c r="FO745" s="307"/>
      <c r="FP745" s="306"/>
    </row>
    <row r="746" spans="29:172">
      <c r="AC746" s="156"/>
      <c r="CW746" s="364"/>
      <c r="CX746" s="316"/>
      <c r="CY746" s="316"/>
      <c r="DA746" s="309">
        <v>745</v>
      </c>
      <c r="DB746" s="313">
        <f t="shared" si="581"/>
        <v>471.15782452832076</v>
      </c>
      <c r="DC746" s="309">
        <f t="shared" si="582"/>
        <v>4</v>
      </c>
      <c r="DD746" s="309">
        <f t="shared" si="583"/>
        <v>0</v>
      </c>
      <c r="DE746" s="308">
        <f t="shared" si="584"/>
        <v>0</v>
      </c>
      <c r="DF746" s="313">
        <f t="shared" si="598"/>
        <v>600</v>
      </c>
      <c r="DG746" s="313">
        <f t="shared" si="580"/>
        <v>0</v>
      </c>
      <c r="DH746" s="313">
        <f t="shared" si="588"/>
        <v>0</v>
      </c>
      <c r="DI746" s="313">
        <f t="shared" si="589"/>
        <v>0</v>
      </c>
      <c r="DJ746" s="313">
        <f t="shared" si="590"/>
        <v>0</v>
      </c>
      <c r="DK746" s="313">
        <f t="shared" si="599"/>
        <v>0</v>
      </c>
      <c r="DL746" s="313">
        <f t="shared" si="591"/>
        <v>0</v>
      </c>
      <c r="DM746" s="314">
        <f t="shared" si="592"/>
        <v>0</v>
      </c>
      <c r="DN746" s="312">
        <f t="shared" si="593"/>
        <v>0</v>
      </c>
      <c r="DO746" s="312">
        <f t="shared" si="600"/>
        <v>0</v>
      </c>
      <c r="DP746" s="315" t="e">
        <f t="shared" si="585"/>
        <v>#NUM!</v>
      </c>
      <c r="DQ746" s="316">
        <f t="shared" si="594"/>
        <v>0</v>
      </c>
      <c r="DR746" s="316">
        <f t="shared" si="595"/>
        <v>0</v>
      </c>
      <c r="DS746" s="314">
        <f t="shared" si="596"/>
        <v>0</v>
      </c>
      <c r="DT746" s="316">
        <f t="shared" si="597"/>
        <v>0</v>
      </c>
      <c r="DU746" s="314">
        <f t="shared" si="586"/>
        <v>0</v>
      </c>
      <c r="DV746" s="316">
        <f t="shared" si="601"/>
        <v>0</v>
      </c>
      <c r="DW746" s="310">
        <f t="shared" si="587"/>
        <v>0</v>
      </c>
      <c r="FB746" s="307"/>
      <c r="FC746" s="307"/>
      <c r="FF746" s="307"/>
      <c r="FG746" s="307"/>
      <c r="FH746" s="306"/>
      <c r="FJ746" s="307"/>
      <c r="FK746" s="307"/>
      <c r="FL746" s="306"/>
      <c r="FM746" s="307"/>
      <c r="FN746" s="306"/>
      <c r="FO746" s="307"/>
      <c r="FP746" s="306"/>
    </row>
    <row r="747" spans="29:172">
      <c r="AC747" s="156"/>
      <c r="CW747" s="364"/>
      <c r="CX747" s="316"/>
      <c r="CY747" s="316"/>
      <c r="DA747" s="309">
        <v>746</v>
      </c>
      <c r="DB747" s="313">
        <f t="shared" si="581"/>
        <v>471.52179476258692</v>
      </c>
      <c r="DC747" s="309">
        <f t="shared" si="582"/>
        <v>4</v>
      </c>
      <c r="DD747" s="309">
        <f t="shared" si="583"/>
        <v>0</v>
      </c>
      <c r="DE747" s="308">
        <f t="shared" si="584"/>
        <v>0</v>
      </c>
      <c r="DF747" s="313">
        <f t="shared" si="598"/>
        <v>600</v>
      </c>
      <c r="DG747" s="313">
        <f t="shared" ref="DG747:DG810" si="602">IF(DC747=4,DG746,MIN(DB747,DD747))</f>
        <v>0</v>
      </c>
      <c r="DH747" s="313">
        <f t="shared" si="588"/>
        <v>0</v>
      </c>
      <c r="DI747" s="313">
        <f t="shared" si="589"/>
        <v>0</v>
      </c>
      <c r="DJ747" s="313">
        <f t="shared" si="590"/>
        <v>0</v>
      </c>
      <c r="DK747" s="313">
        <f t="shared" si="599"/>
        <v>0</v>
      </c>
      <c r="DL747" s="313">
        <f t="shared" si="591"/>
        <v>0</v>
      </c>
      <c r="DM747" s="314">
        <f t="shared" si="592"/>
        <v>0</v>
      </c>
      <c r="DN747" s="312">
        <f t="shared" si="593"/>
        <v>0</v>
      </c>
      <c r="DO747" s="312">
        <f t="shared" si="600"/>
        <v>0</v>
      </c>
      <c r="DP747" s="315" t="e">
        <f t="shared" si="585"/>
        <v>#NUM!</v>
      </c>
      <c r="DQ747" s="316">
        <f t="shared" si="594"/>
        <v>0</v>
      </c>
      <c r="DR747" s="316">
        <f t="shared" si="595"/>
        <v>0</v>
      </c>
      <c r="DS747" s="314">
        <f t="shared" si="596"/>
        <v>0</v>
      </c>
      <c r="DT747" s="316">
        <f t="shared" si="597"/>
        <v>0</v>
      </c>
      <c r="DU747" s="314">
        <f t="shared" si="586"/>
        <v>0</v>
      </c>
      <c r="DV747" s="316">
        <f t="shared" si="601"/>
        <v>0</v>
      </c>
      <c r="DW747" s="310">
        <f t="shared" si="587"/>
        <v>0</v>
      </c>
      <c r="FB747" s="307"/>
      <c r="FC747" s="307"/>
      <c r="FF747" s="307"/>
      <c r="FG747" s="307"/>
      <c r="FH747" s="306"/>
      <c r="FJ747" s="307"/>
      <c r="FK747" s="307"/>
      <c r="FL747" s="306"/>
      <c r="FM747" s="307"/>
      <c r="FN747" s="306"/>
      <c r="FO747" s="307"/>
      <c r="FP747" s="306"/>
    </row>
    <row r="748" spans="29:172">
      <c r="AC748" s="156"/>
      <c r="CW748" s="364"/>
      <c r="CX748" s="316"/>
      <c r="CY748" s="316"/>
      <c r="DA748" s="309">
        <v>747</v>
      </c>
      <c r="DB748" s="313">
        <f t="shared" si="581"/>
        <v>471.88576499685314</v>
      </c>
      <c r="DC748" s="309">
        <f t="shared" si="582"/>
        <v>4</v>
      </c>
      <c r="DD748" s="309">
        <f t="shared" si="583"/>
        <v>0</v>
      </c>
      <c r="DE748" s="308">
        <f t="shared" si="584"/>
        <v>0</v>
      </c>
      <c r="DF748" s="313">
        <f t="shared" si="598"/>
        <v>600</v>
      </c>
      <c r="DG748" s="313">
        <f t="shared" si="602"/>
        <v>0</v>
      </c>
      <c r="DH748" s="313">
        <f t="shared" si="588"/>
        <v>0</v>
      </c>
      <c r="DI748" s="313">
        <f t="shared" si="589"/>
        <v>0</v>
      </c>
      <c r="DJ748" s="313">
        <f t="shared" si="590"/>
        <v>0</v>
      </c>
      <c r="DK748" s="313">
        <f t="shared" si="599"/>
        <v>0</v>
      </c>
      <c r="DL748" s="313">
        <f t="shared" si="591"/>
        <v>0</v>
      </c>
      <c r="DM748" s="314">
        <f t="shared" si="592"/>
        <v>0</v>
      </c>
      <c r="DN748" s="312">
        <f t="shared" si="593"/>
        <v>0</v>
      </c>
      <c r="DO748" s="312">
        <f t="shared" si="600"/>
        <v>0</v>
      </c>
      <c r="DP748" s="315" t="e">
        <f t="shared" si="585"/>
        <v>#NUM!</v>
      </c>
      <c r="DQ748" s="316">
        <f t="shared" si="594"/>
        <v>0</v>
      </c>
      <c r="DR748" s="316">
        <f t="shared" si="595"/>
        <v>0</v>
      </c>
      <c r="DS748" s="314">
        <f t="shared" si="596"/>
        <v>0</v>
      </c>
      <c r="DT748" s="316">
        <f t="shared" si="597"/>
        <v>0</v>
      </c>
      <c r="DU748" s="314">
        <f t="shared" si="586"/>
        <v>0</v>
      </c>
      <c r="DV748" s="316">
        <f t="shared" si="601"/>
        <v>0</v>
      </c>
      <c r="DW748" s="310">
        <f t="shared" si="587"/>
        <v>0</v>
      </c>
      <c r="FB748" s="307"/>
      <c r="FC748" s="307"/>
      <c r="FF748" s="307"/>
      <c r="FG748" s="307"/>
      <c r="FH748" s="306"/>
      <c r="FJ748" s="307"/>
      <c r="FK748" s="307"/>
      <c r="FL748" s="306"/>
      <c r="FM748" s="307"/>
      <c r="FN748" s="306"/>
      <c r="FO748" s="307"/>
      <c r="FP748" s="306"/>
    </row>
    <row r="749" spans="29:172">
      <c r="AC749" s="156"/>
      <c r="CW749" s="364"/>
      <c r="CX749" s="316"/>
      <c r="CY749" s="316"/>
      <c r="DA749" s="309">
        <v>748</v>
      </c>
      <c r="DB749" s="313">
        <f t="shared" si="581"/>
        <v>472.24973523111936</v>
      </c>
      <c r="DC749" s="309">
        <f t="shared" si="582"/>
        <v>4</v>
      </c>
      <c r="DD749" s="309">
        <f t="shared" si="583"/>
        <v>0</v>
      </c>
      <c r="DE749" s="308">
        <f t="shared" si="584"/>
        <v>0</v>
      </c>
      <c r="DF749" s="313">
        <f t="shared" si="598"/>
        <v>600</v>
      </c>
      <c r="DG749" s="313">
        <f t="shared" si="602"/>
        <v>0</v>
      </c>
      <c r="DH749" s="313">
        <f t="shared" si="588"/>
        <v>0</v>
      </c>
      <c r="DI749" s="313">
        <f t="shared" si="589"/>
        <v>0</v>
      </c>
      <c r="DJ749" s="313">
        <f t="shared" si="590"/>
        <v>0</v>
      </c>
      <c r="DK749" s="313">
        <f t="shared" si="599"/>
        <v>0</v>
      </c>
      <c r="DL749" s="313">
        <f t="shared" si="591"/>
        <v>0</v>
      </c>
      <c r="DM749" s="314">
        <f t="shared" si="592"/>
        <v>0</v>
      </c>
      <c r="DN749" s="312">
        <f t="shared" si="593"/>
        <v>0</v>
      </c>
      <c r="DO749" s="312">
        <f t="shared" si="600"/>
        <v>0</v>
      </c>
      <c r="DP749" s="315" t="e">
        <f t="shared" si="585"/>
        <v>#NUM!</v>
      </c>
      <c r="DQ749" s="316">
        <f t="shared" si="594"/>
        <v>0</v>
      </c>
      <c r="DR749" s="316">
        <f t="shared" si="595"/>
        <v>0</v>
      </c>
      <c r="DS749" s="314">
        <f t="shared" si="596"/>
        <v>0</v>
      </c>
      <c r="DT749" s="316">
        <f t="shared" si="597"/>
        <v>0</v>
      </c>
      <c r="DU749" s="314">
        <f t="shared" si="586"/>
        <v>0</v>
      </c>
      <c r="DV749" s="316">
        <f t="shared" si="601"/>
        <v>0</v>
      </c>
      <c r="DW749" s="310">
        <f t="shared" si="587"/>
        <v>0</v>
      </c>
      <c r="FB749" s="307"/>
      <c r="FC749" s="307"/>
      <c r="FF749" s="307"/>
      <c r="FG749" s="307"/>
      <c r="FH749" s="306"/>
      <c r="FJ749" s="307"/>
      <c r="FK749" s="307"/>
      <c r="FL749" s="306"/>
      <c r="FM749" s="307"/>
      <c r="FN749" s="306"/>
      <c r="FO749" s="307"/>
      <c r="FP749" s="306"/>
    </row>
    <row r="750" spans="29:172">
      <c r="AC750" s="156"/>
      <c r="CW750" s="364"/>
      <c r="CX750" s="316"/>
      <c r="CY750" s="316"/>
      <c r="DA750" s="309">
        <v>749</v>
      </c>
      <c r="DB750" s="313">
        <f t="shared" si="581"/>
        <v>472.61370546538558</v>
      </c>
      <c r="DC750" s="309">
        <f t="shared" si="582"/>
        <v>4</v>
      </c>
      <c r="DD750" s="309">
        <f t="shared" si="583"/>
        <v>0</v>
      </c>
      <c r="DE750" s="308">
        <f t="shared" si="584"/>
        <v>0</v>
      </c>
      <c r="DF750" s="313">
        <f t="shared" si="598"/>
        <v>600</v>
      </c>
      <c r="DG750" s="313">
        <f t="shared" si="602"/>
        <v>0</v>
      </c>
      <c r="DH750" s="313">
        <f t="shared" si="588"/>
        <v>0</v>
      </c>
      <c r="DI750" s="313">
        <f t="shared" si="589"/>
        <v>0</v>
      </c>
      <c r="DJ750" s="313">
        <f t="shared" si="590"/>
        <v>0</v>
      </c>
      <c r="DK750" s="313">
        <f t="shared" si="599"/>
        <v>0</v>
      </c>
      <c r="DL750" s="313">
        <f t="shared" si="591"/>
        <v>0</v>
      </c>
      <c r="DM750" s="314">
        <f t="shared" si="592"/>
        <v>0</v>
      </c>
      <c r="DN750" s="312">
        <f t="shared" si="593"/>
        <v>0</v>
      </c>
      <c r="DO750" s="312">
        <f t="shared" si="600"/>
        <v>0</v>
      </c>
      <c r="DP750" s="315" t="e">
        <f t="shared" si="585"/>
        <v>#NUM!</v>
      </c>
      <c r="DQ750" s="316">
        <f t="shared" si="594"/>
        <v>0</v>
      </c>
      <c r="DR750" s="316">
        <f t="shared" si="595"/>
        <v>0</v>
      </c>
      <c r="DS750" s="314">
        <f t="shared" si="596"/>
        <v>0</v>
      </c>
      <c r="DT750" s="316">
        <f t="shared" si="597"/>
        <v>0</v>
      </c>
      <c r="DU750" s="314">
        <f t="shared" si="586"/>
        <v>0</v>
      </c>
      <c r="DV750" s="316">
        <f t="shared" si="601"/>
        <v>0</v>
      </c>
      <c r="DW750" s="310">
        <f t="shared" si="587"/>
        <v>0</v>
      </c>
      <c r="FB750" s="307"/>
      <c r="FC750" s="307"/>
      <c r="FF750" s="307"/>
      <c r="FG750" s="307"/>
      <c r="FH750" s="306"/>
      <c r="FJ750" s="307"/>
      <c r="FK750" s="307"/>
      <c r="FL750" s="306"/>
      <c r="FM750" s="307"/>
      <c r="FN750" s="306"/>
      <c r="FO750" s="307"/>
      <c r="FP750" s="306"/>
    </row>
    <row r="751" spans="29:172">
      <c r="AC751" s="156"/>
      <c r="CW751" s="364"/>
      <c r="CX751" s="316"/>
      <c r="CY751" s="316"/>
      <c r="DA751" s="309">
        <v>750</v>
      </c>
      <c r="DB751" s="313">
        <f t="shared" si="581"/>
        <v>472.97767569965174</v>
      </c>
      <c r="DC751" s="309">
        <f t="shared" si="582"/>
        <v>4</v>
      </c>
      <c r="DD751" s="309">
        <f t="shared" si="583"/>
        <v>0</v>
      </c>
      <c r="DE751" s="308">
        <f t="shared" si="584"/>
        <v>0</v>
      </c>
      <c r="DF751" s="313">
        <f t="shared" si="598"/>
        <v>600</v>
      </c>
      <c r="DG751" s="313">
        <f t="shared" si="602"/>
        <v>0</v>
      </c>
      <c r="DH751" s="313">
        <f t="shared" si="588"/>
        <v>0</v>
      </c>
      <c r="DI751" s="313">
        <f t="shared" si="589"/>
        <v>0</v>
      </c>
      <c r="DJ751" s="313">
        <f t="shared" si="590"/>
        <v>0</v>
      </c>
      <c r="DK751" s="313">
        <f t="shared" si="599"/>
        <v>0</v>
      </c>
      <c r="DL751" s="313">
        <f t="shared" si="591"/>
        <v>0</v>
      </c>
      <c r="DM751" s="314">
        <f t="shared" si="592"/>
        <v>0</v>
      </c>
      <c r="DN751" s="312">
        <f t="shared" si="593"/>
        <v>0</v>
      </c>
      <c r="DO751" s="312">
        <f t="shared" si="600"/>
        <v>0</v>
      </c>
      <c r="DP751" s="315" t="e">
        <f t="shared" si="585"/>
        <v>#NUM!</v>
      </c>
      <c r="DQ751" s="316">
        <f t="shared" si="594"/>
        <v>0</v>
      </c>
      <c r="DR751" s="316">
        <f t="shared" si="595"/>
        <v>0</v>
      </c>
      <c r="DS751" s="314">
        <f t="shared" si="596"/>
        <v>0</v>
      </c>
      <c r="DT751" s="316">
        <f t="shared" si="597"/>
        <v>0</v>
      </c>
      <c r="DU751" s="314">
        <f t="shared" si="586"/>
        <v>0</v>
      </c>
      <c r="DV751" s="316">
        <f t="shared" si="601"/>
        <v>0</v>
      </c>
      <c r="DW751" s="310">
        <f t="shared" si="587"/>
        <v>0</v>
      </c>
      <c r="FB751" s="307"/>
      <c r="FC751" s="307"/>
      <c r="FF751" s="307"/>
      <c r="FG751" s="307"/>
      <c r="FH751" s="306"/>
      <c r="FJ751" s="307"/>
      <c r="FK751" s="307"/>
      <c r="FL751" s="306"/>
      <c r="FM751" s="307"/>
      <c r="FN751" s="306"/>
      <c r="FO751" s="307"/>
      <c r="FP751" s="306"/>
    </row>
    <row r="752" spans="29:172">
      <c r="AC752" s="156"/>
      <c r="CW752" s="364"/>
      <c r="CX752" s="316"/>
      <c r="CY752" s="316"/>
      <c r="DA752" s="309">
        <v>751</v>
      </c>
      <c r="DB752" s="313">
        <f t="shared" si="581"/>
        <v>473.34164593391796</v>
      </c>
      <c r="DC752" s="309">
        <f t="shared" si="582"/>
        <v>4</v>
      </c>
      <c r="DD752" s="309">
        <f t="shared" si="583"/>
        <v>0</v>
      </c>
      <c r="DE752" s="308">
        <f t="shared" si="584"/>
        <v>0</v>
      </c>
      <c r="DF752" s="313">
        <f t="shared" si="598"/>
        <v>600</v>
      </c>
      <c r="DG752" s="313">
        <f t="shared" si="602"/>
        <v>0</v>
      </c>
      <c r="DH752" s="313">
        <f t="shared" si="588"/>
        <v>0</v>
      </c>
      <c r="DI752" s="313">
        <f t="shared" si="589"/>
        <v>0</v>
      </c>
      <c r="DJ752" s="313">
        <f t="shared" si="590"/>
        <v>0</v>
      </c>
      <c r="DK752" s="313">
        <f t="shared" si="599"/>
        <v>0</v>
      </c>
      <c r="DL752" s="313">
        <f t="shared" si="591"/>
        <v>0</v>
      </c>
      <c r="DM752" s="314">
        <f t="shared" si="592"/>
        <v>0</v>
      </c>
      <c r="DN752" s="312">
        <f t="shared" si="593"/>
        <v>0</v>
      </c>
      <c r="DO752" s="312">
        <f t="shared" si="600"/>
        <v>0</v>
      </c>
      <c r="DP752" s="315" t="e">
        <f t="shared" si="585"/>
        <v>#NUM!</v>
      </c>
      <c r="DQ752" s="316">
        <f t="shared" si="594"/>
        <v>0</v>
      </c>
      <c r="DR752" s="316">
        <f t="shared" si="595"/>
        <v>0</v>
      </c>
      <c r="DS752" s="314">
        <f t="shared" si="596"/>
        <v>0</v>
      </c>
      <c r="DT752" s="316">
        <f t="shared" si="597"/>
        <v>0</v>
      </c>
      <c r="DU752" s="314">
        <f t="shared" si="586"/>
        <v>0</v>
      </c>
      <c r="DV752" s="316">
        <f t="shared" si="601"/>
        <v>0</v>
      </c>
      <c r="DW752" s="310">
        <f t="shared" si="587"/>
        <v>0</v>
      </c>
      <c r="FB752" s="307"/>
      <c r="FC752" s="307"/>
      <c r="FF752" s="307"/>
      <c r="FG752" s="307"/>
      <c r="FH752" s="306"/>
      <c r="FJ752" s="307"/>
      <c r="FK752" s="307"/>
      <c r="FL752" s="306"/>
      <c r="FM752" s="307"/>
      <c r="FN752" s="306"/>
      <c r="FO752" s="307"/>
      <c r="FP752" s="306"/>
    </row>
    <row r="753" spans="29:172">
      <c r="AC753" s="156"/>
      <c r="CW753" s="364"/>
      <c r="CX753" s="316"/>
      <c r="CY753" s="316"/>
      <c r="DA753" s="309">
        <v>752</v>
      </c>
      <c r="DB753" s="313">
        <f t="shared" si="581"/>
        <v>473.70561616818418</v>
      </c>
      <c r="DC753" s="309">
        <f t="shared" si="582"/>
        <v>4</v>
      </c>
      <c r="DD753" s="309">
        <f t="shared" si="583"/>
        <v>0</v>
      </c>
      <c r="DE753" s="308">
        <f t="shared" si="584"/>
        <v>0</v>
      </c>
      <c r="DF753" s="313">
        <f t="shared" si="598"/>
        <v>600</v>
      </c>
      <c r="DG753" s="313">
        <f t="shared" si="602"/>
        <v>0</v>
      </c>
      <c r="DH753" s="313">
        <f t="shared" si="588"/>
        <v>0</v>
      </c>
      <c r="DI753" s="313">
        <f t="shared" si="589"/>
        <v>0</v>
      </c>
      <c r="DJ753" s="313">
        <f t="shared" si="590"/>
        <v>0</v>
      </c>
      <c r="DK753" s="313">
        <f t="shared" si="599"/>
        <v>0</v>
      </c>
      <c r="DL753" s="313">
        <f t="shared" si="591"/>
        <v>0</v>
      </c>
      <c r="DM753" s="314">
        <f t="shared" si="592"/>
        <v>0</v>
      </c>
      <c r="DN753" s="312">
        <f t="shared" si="593"/>
        <v>0</v>
      </c>
      <c r="DO753" s="312">
        <f t="shared" si="600"/>
        <v>0</v>
      </c>
      <c r="DP753" s="315" t="e">
        <f t="shared" si="585"/>
        <v>#NUM!</v>
      </c>
      <c r="DQ753" s="316">
        <f t="shared" si="594"/>
        <v>0</v>
      </c>
      <c r="DR753" s="316">
        <f t="shared" si="595"/>
        <v>0</v>
      </c>
      <c r="DS753" s="314">
        <f t="shared" si="596"/>
        <v>0</v>
      </c>
      <c r="DT753" s="316">
        <f t="shared" si="597"/>
        <v>0</v>
      </c>
      <c r="DU753" s="314">
        <f t="shared" si="586"/>
        <v>0</v>
      </c>
      <c r="DV753" s="316">
        <f t="shared" si="601"/>
        <v>0</v>
      </c>
      <c r="DW753" s="310">
        <f t="shared" si="587"/>
        <v>0</v>
      </c>
      <c r="FB753" s="307"/>
      <c r="FC753" s="307"/>
      <c r="FF753" s="307"/>
      <c r="FG753" s="307"/>
      <c r="FH753" s="306"/>
      <c r="FJ753" s="307"/>
      <c r="FK753" s="307"/>
      <c r="FL753" s="306"/>
      <c r="FM753" s="307"/>
      <c r="FN753" s="306"/>
      <c r="FO753" s="307"/>
      <c r="FP753" s="306"/>
    </row>
    <row r="754" spans="29:172">
      <c r="AC754" s="156"/>
      <c r="CW754" s="364"/>
      <c r="CX754" s="316"/>
      <c r="CY754" s="316"/>
      <c r="DA754" s="309">
        <v>753</v>
      </c>
      <c r="DB754" s="313">
        <f t="shared" si="581"/>
        <v>474.06958640245034</v>
      </c>
      <c r="DC754" s="309">
        <f t="shared" si="582"/>
        <v>4</v>
      </c>
      <c r="DD754" s="309">
        <f t="shared" si="583"/>
        <v>0</v>
      </c>
      <c r="DE754" s="308">
        <f t="shared" si="584"/>
        <v>0</v>
      </c>
      <c r="DF754" s="313">
        <f t="shared" si="598"/>
        <v>600</v>
      </c>
      <c r="DG754" s="313">
        <f t="shared" si="602"/>
        <v>0</v>
      </c>
      <c r="DH754" s="313">
        <f t="shared" si="588"/>
        <v>0</v>
      </c>
      <c r="DI754" s="313">
        <f t="shared" si="589"/>
        <v>0</v>
      </c>
      <c r="DJ754" s="313">
        <f t="shared" si="590"/>
        <v>0</v>
      </c>
      <c r="DK754" s="313">
        <f t="shared" si="599"/>
        <v>0</v>
      </c>
      <c r="DL754" s="313">
        <f t="shared" si="591"/>
        <v>0</v>
      </c>
      <c r="DM754" s="314">
        <f t="shared" si="592"/>
        <v>0</v>
      </c>
      <c r="DN754" s="312">
        <f t="shared" si="593"/>
        <v>0</v>
      </c>
      <c r="DO754" s="312">
        <f t="shared" si="600"/>
        <v>0</v>
      </c>
      <c r="DP754" s="315" t="e">
        <f t="shared" si="585"/>
        <v>#NUM!</v>
      </c>
      <c r="DQ754" s="316">
        <f t="shared" si="594"/>
        <v>0</v>
      </c>
      <c r="DR754" s="316">
        <f t="shared" si="595"/>
        <v>0</v>
      </c>
      <c r="DS754" s="314">
        <f t="shared" si="596"/>
        <v>0</v>
      </c>
      <c r="DT754" s="316">
        <f t="shared" si="597"/>
        <v>0</v>
      </c>
      <c r="DU754" s="314">
        <f t="shared" si="586"/>
        <v>0</v>
      </c>
      <c r="DV754" s="316">
        <f t="shared" si="601"/>
        <v>0</v>
      </c>
      <c r="DW754" s="310">
        <f t="shared" si="587"/>
        <v>0</v>
      </c>
      <c r="FB754" s="307"/>
      <c r="FC754" s="307"/>
      <c r="FF754" s="307"/>
      <c r="FG754" s="307"/>
      <c r="FH754" s="306"/>
      <c r="FJ754" s="307"/>
      <c r="FK754" s="307"/>
      <c r="FL754" s="306"/>
      <c r="FM754" s="307"/>
      <c r="FN754" s="306"/>
      <c r="FO754" s="307"/>
      <c r="FP754" s="306"/>
    </row>
    <row r="755" spans="29:172">
      <c r="AC755" s="156"/>
      <c r="CW755" s="364"/>
      <c r="CX755" s="316"/>
      <c r="CY755" s="316"/>
      <c r="DA755" s="309">
        <v>754</v>
      </c>
      <c r="DB755" s="313">
        <f t="shared" si="581"/>
        <v>474.43355663671656</v>
      </c>
      <c r="DC755" s="309">
        <f t="shared" si="582"/>
        <v>4</v>
      </c>
      <c r="DD755" s="309">
        <f t="shared" si="583"/>
        <v>0</v>
      </c>
      <c r="DE755" s="308">
        <f t="shared" si="584"/>
        <v>0</v>
      </c>
      <c r="DF755" s="313">
        <f t="shared" si="598"/>
        <v>600</v>
      </c>
      <c r="DG755" s="313">
        <f t="shared" si="602"/>
        <v>0</v>
      </c>
      <c r="DH755" s="313">
        <f t="shared" si="588"/>
        <v>0</v>
      </c>
      <c r="DI755" s="313">
        <f t="shared" si="589"/>
        <v>0</v>
      </c>
      <c r="DJ755" s="313">
        <f t="shared" si="590"/>
        <v>0</v>
      </c>
      <c r="DK755" s="313">
        <f t="shared" si="599"/>
        <v>0</v>
      </c>
      <c r="DL755" s="313">
        <f t="shared" si="591"/>
        <v>0</v>
      </c>
      <c r="DM755" s="314">
        <f t="shared" si="592"/>
        <v>0</v>
      </c>
      <c r="DN755" s="312">
        <f t="shared" si="593"/>
        <v>0</v>
      </c>
      <c r="DO755" s="312">
        <f t="shared" si="600"/>
        <v>0</v>
      </c>
      <c r="DP755" s="315" t="e">
        <f t="shared" si="585"/>
        <v>#NUM!</v>
      </c>
      <c r="DQ755" s="316">
        <f t="shared" si="594"/>
        <v>0</v>
      </c>
      <c r="DR755" s="316">
        <f t="shared" si="595"/>
        <v>0</v>
      </c>
      <c r="DS755" s="314">
        <f t="shared" si="596"/>
        <v>0</v>
      </c>
      <c r="DT755" s="316">
        <f t="shared" si="597"/>
        <v>0</v>
      </c>
      <c r="DU755" s="314">
        <f t="shared" si="586"/>
        <v>0</v>
      </c>
      <c r="DV755" s="316">
        <f t="shared" si="601"/>
        <v>0</v>
      </c>
      <c r="DW755" s="310">
        <f t="shared" si="587"/>
        <v>0</v>
      </c>
      <c r="FB755" s="307"/>
      <c r="FC755" s="307"/>
      <c r="FF755" s="307"/>
      <c r="FG755" s="307"/>
      <c r="FH755" s="306"/>
      <c r="FJ755" s="307"/>
      <c r="FK755" s="307"/>
      <c r="FL755" s="306"/>
      <c r="FM755" s="307"/>
      <c r="FN755" s="306"/>
      <c r="FO755" s="307"/>
      <c r="FP755" s="306"/>
    </row>
    <row r="756" spans="29:172">
      <c r="AC756" s="156"/>
      <c r="CW756" s="364"/>
      <c r="CX756" s="316"/>
      <c r="CY756" s="316"/>
      <c r="DA756" s="309">
        <v>755</v>
      </c>
      <c r="DB756" s="313">
        <f t="shared" si="581"/>
        <v>474.79752687098278</v>
      </c>
      <c r="DC756" s="309">
        <f t="shared" si="582"/>
        <v>4</v>
      </c>
      <c r="DD756" s="309">
        <f t="shared" si="583"/>
        <v>0</v>
      </c>
      <c r="DE756" s="308">
        <f t="shared" si="584"/>
        <v>0</v>
      </c>
      <c r="DF756" s="313">
        <f t="shared" si="598"/>
        <v>600</v>
      </c>
      <c r="DG756" s="313">
        <f t="shared" si="602"/>
        <v>0</v>
      </c>
      <c r="DH756" s="313">
        <f t="shared" si="588"/>
        <v>0</v>
      </c>
      <c r="DI756" s="313">
        <f t="shared" si="589"/>
        <v>0</v>
      </c>
      <c r="DJ756" s="313">
        <f t="shared" si="590"/>
        <v>0</v>
      </c>
      <c r="DK756" s="313">
        <f t="shared" si="599"/>
        <v>0</v>
      </c>
      <c r="DL756" s="313">
        <f t="shared" si="591"/>
        <v>0</v>
      </c>
      <c r="DM756" s="314">
        <f t="shared" si="592"/>
        <v>0</v>
      </c>
      <c r="DN756" s="312">
        <f t="shared" si="593"/>
        <v>0</v>
      </c>
      <c r="DO756" s="312">
        <f t="shared" si="600"/>
        <v>0</v>
      </c>
      <c r="DP756" s="315" t="e">
        <f t="shared" si="585"/>
        <v>#NUM!</v>
      </c>
      <c r="DQ756" s="316">
        <f t="shared" si="594"/>
        <v>0</v>
      </c>
      <c r="DR756" s="316">
        <f t="shared" si="595"/>
        <v>0</v>
      </c>
      <c r="DS756" s="314">
        <f t="shared" si="596"/>
        <v>0</v>
      </c>
      <c r="DT756" s="316">
        <f t="shared" si="597"/>
        <v>0</v>
      </c>
      <c r="DU756" s="314">
        <f t="shared" si="586"/>
        <v>0</v>
      </c>
      <c r="DV756" s="316">
        <f t="shared" si="601"/>
        <v>0</v>
      </c>
      <c r="DW756" s="310">
        <f t="shared" si="587"/>
        <v>0</v>
      </c>
      <c r="FB756" s="307"/>
      <c r="FC756" s="307"/>
      <c r="FF756" s="307"/>
      <c r="FG756" s="307"/>
      <c r="FH756" s="306"/>
      <c r="FJ756" s="307"/>
      <c r="FK756" s="307"/>
      <c r="FL756" s="306"/>
      <c r="FM756" s="307"/>
      <c r="FN756" s="306"/>
      <c r="FO756" s="307"/>
      <c r="FP756" s="306"/>
    </row>
    <row r="757" spans="29:172">
      <c r="AC757" s="156"/>
      <c r="CW757" s="364"/>
      <c r="CX757" s="316"/>
      <c r="CY757" s="316"/>
      <c r="DA757" s="309">
        <v>756</v>
      </c>
      <c r="DB757" s="313">
        <f t="shared" si="581"/>
        <v>475.161497105249</v>
      </c>
      <c r="DC757" s="309">
        <f t="shared" si="582"/>
        <v>4</v>
      </c>
      <c r="DD757" s="309">
        <f t="shared" si="583"/>
        <v>0</v>
      </c>
      <c r="DE757" s="308">
        <f t="shared" si="584"/>
        <v>0</v>
      </c>
      <c r="DF757" s="313">
        <f t="shared" si="598"/>
        <v>600</v>
      </c>
      <c r="DG757" s="313">
        <f t="shared" si="602"/>
        <v>0</v>
      </c>
      <c r="DH757" s="313">
        <f t="shared" si="588"/>
        <v>0</v>
      </c>
      <c r="DI757" s="313">
        <f t="shared" si="589"/>
        <v>0</v>
      </c>
      <c r="DJ757" s="313">
        <f t="shared" si="590"/>
        <v>0</v>
      </c>
      <c r="DK757" s="313">
        <f t="shared" si="599"/>
        <v>0</v>
      </c>
      <c r="DL757" s="313">
        <f t="shared" si="591"/>
        <v>0</v>
      </c>
      <c r="DM757" s="314">
        <f t="shared" si="592"/>
        <v>0</v>
      </c>
      <c r="DN757" s="312">
        <f t="shared" si="593"/>
        <v>0</v>
      </c>
      <c r="DO757" s="312">
        <f t="shared" si="600"/>
        <v>0</v>
      </c>
      <c r="DP757" s="315" t="e">
        <f t="shared" si="585"/>
        <v>#NUM!</v>
      </c>
      <c r="DQ757" s="316">
        <f t="shared" si="594"/>
        <v>0</v>
      </c>
      <c r="DR757" s="316">
        <f t="shared" si="595"/>
        <v>0</v>
      </c>
      <c r="DS757" s="314">
        <f t="shared" si="596"/>
        <v>0</v>
      </c>
      <c r="DT757" s="316">
        <f t="shared" si="597"/>
        <v>0</v>
      </c>
      <c r="DU757" s="314">
        <f t="shared" si="586"/>
        <v>0</v>
      </c>
      <c r="DV757" s="316">
        <f t="shared" si="601"/>
        <v>0</v>
      </c>
      <c r="DW757" s="310">
        <f t="shared" si="587"/>
        <v>0</v>
      </c>
      <c r="FB757" s="307"/>
      <c r="FC757" s="307"/>
      <c r="FF757" s="307"/>
      <c r="FG757" s="307"/>
      <c r="FH757" s="306"/>
      <c r="FJ757" s="307"/>
      <c r="FK757" s="307"/>
      <c r="FL757" s="306"/>
      <c r="FM757" s="307"/>
      <c r="FN757" s="306"/>
      <c r="FO757" s="307"/>
      <c r="FP757" s="306"/>
    </row>
    <row r="758" spans="29:172">
      <c r="AC758" s="156"/>
      <c r="CW758" s="364"/>
      <c r="CX758" s="316"/>
      <c r="CY758" s="316"/>
      <c r="DA758" s="309">
        <v>757</v>
      </c>
      <c r="DB758" s="313">
        <f t="shared" si="581"/>
        <v>475.52546733951516</v>
      </c>
      <c r="DC758" s="309">
        <f t="shared" si="582"/>
        <v>4</v>
      </c>
      <c r="DD758" s="309">
        <f t="shared" si="583"/>
        <v>0</v>
      </c>
      <c r="DE758" s="308">
        <f t="shared" si="584"/>
        <v>0</v>
      </c>
      <c r="DF758" s="313">
        <f t="shared" si="598"/>
        <v>600</v>
      </c>
      <c r="DG758" s="313">
        <f t="shared" si="602"/>
        <v>0</v>
      </c>
      <c r="DH758" s="313">
        <f t="shared" si="588"/>
        <v>0</v>
      </c>
      <c r="DI758" s="313">
        <f t="shared" si="589"/>
        <v>0</v>
      </c>
      <c r="DJ758" s="313">
        <f t="shared" si="590"/>
        <v>0</v>
      </c>
      <c r="DK758" s="313">
        <f t="shared" si="599"/>
        <v>0</v>
      </c>
      <c r="DL758" s="313">
        <f t="shared" si="591"/>
        <v>0</v>
      </c>
      <c r="DM758" s="314">
        <f t="shared" si="592"/>
        <v>0</v>
      </c>
      <c r="DN758" s="312">
        <f t="shared" si="593"/>
        <v>0</v>
      </c>
      <c r="DO758" s="312">
        <f t="shared" si="600"/>
        <v>0</v>
      </c>
      <c r="DP758" s="315" t="e">
        <f t="shared" si="585"/>
        <v>#NUM!</v>
      </c>
      <c r="DQ758" s="316">
        <f t="shared" si="594"/>
        <v>0</v>
      </c>
      <c r="DR758" s="316">
        <f t="shared" si="595"/>
        <v>0</v>
      </c>
      <c r="DS758" s="314">
        <f t="shared" si="596"/>
        <v>0</v>
      </c>
      <c r="DT758" s="316">
        <f t="shared" si="597"/>
        <v>0</v>
      </c>
      <c r="DU758" s="314">
        <f t="shared" si="586"/>
        <v>0</v>
      </c>
      <c r="DV758" s="316">
        <f t="shared" si="601"/>
        <v>0</v>
      </c>
      <c r="DW758" s="310">
        <f t="shared" si="587"/>
        <v>0</v>
      </c>
      <c r="FB758" s="307"/>
      <c r="FC758" s="307"/>
      <c r="FF758" s="307"/>
      <c r="FG758" s="307"/>
      <c r="FH758" s="306"/>
      <c r="FJ758" s="307"/>
      <c r="FK758" s="307"/>
      <c r="FL758" s="306"/>
      <c r="FM758" s="307"/>
      <c r="FN758" s="306"/>
      <c r="FO758" s="307"/>
      <c r="FP758" s="306"/>
    </row>
    <row r="759" spans="29:172">
      <c r="AC759" s="156"/>
      <c r="CW759" s="364"/>
      <c r="CX759" s="316"/>
      <c r="CY759" s="316"/>
      <c r="DA759" s="309">
        <v>758</v>
      </c>
      <c r="DB759" s="313">
        <f t="shared" si="581"/>
        <v>475.88943757378138</v>
      </c>
      <c r="DC759" s="309">
        <f t="shared" si="582"/>
        <v>4</v>
      </c>
      <c r="DD759" s="309">
        <f t="shared" si="583"/>
        <v>0</v>
      </c>
      <c r="DE759" s="308">
        <f t="shared" si="584"/>
        <v>0</v>
      </c>
      <c r="DF759" s="313">
        <f t="shared" si="598"/>
        <v>600</v>
      </c>
      <c r="DG759" s="313">
        <f t="shared" si="602"/>
        <v>0</v>
      </c>
      <c r="DH759" s="313">
        <f t="shared" si="588"/>
        <v>0</v>
      </c>
      <c r="DI759" s="313">
        <f t="shared" si="589"/>
        <v>0</v>
      </c>
      <c r="DJ759" s="313">
        <f t="shared" si="590"/>
        <v>0</v>
      </c>
      <c r="DK759" s="313">
        <f t="shared" si="599"/>
        <v>0</v>
      </c>
      <c r="DL759" s="313">
        <f t="shared" si="591"/>
        <v>0</v>
      </c>
      <c r="DM759" s="314">
        <f t="shared" si="592"/>
        <v>0</v>
      </c>
      <c r="DN759" s="312">
        <f t="shared" si="593"/>
        <v>0</v>
      </c>
      <c r="DO759" s="312">
        <f t="shared" si="600"/>
        <v>0</v>
      </c>
      <c r="DP759" s="315" t="e">
        <f t="shared" si="585"/>
        <v>#NUM!</v>
      </c>
      <c r="DQ759" s="316">
        <f t="shared" si="594"/>
        <v>0</v>
      </c>
      <c r="DR759" s="316">
        <f t="shared" si="595"/>
        <v>0</v>
      </c>
      <c r="DS759" s="314">
        <f t="shared" si="596"/>
        <v>0</v>
      </c>
      <c r="DT759" s="316">
        <f t="shared" si="597"/>
        <v>0</v>
      </c>
      <c r="DU759" s="314">
        <f t="shared" si="586"/>
        <v>0</v>
      </c>
      <c r="DV759" s="316">
        <f t="shared" si="601"/>
        <v>0</v>
      </c>
      <c r="DW759" s="310">
        <f t="shared" si="587"/>
        <v>0</v>
      </c>
      <c r="FB759" s="307"/>
      <c r="FC759" s="307"/>
      <c r="FF759" s="307"/>
      <c r="FG759" s="307"/>
      <c r="FH759" s="306"/>
      <c r="FJ759" s="307"/>
      <c r="FK759" s="307"/>
      <c r="FL759" s="306"/>
      <c r="FM759" s="307"/>
      <c r="FN759" s="306"/>
      <c r="FO759" s="307"/>
      <c r="FP759" s="306"/>
    </row>
    <row r="760" spans="29:172">
      <c r="AC760" s="156"/>
      <c r="CW760" s="364"/>
      <c r="CX760" s="316"/>
      <c r="CY760" s="316"/>
      <c r="DA760" s="309">
        <v>759</v>
      </c>
      <c r="DB760" s="313">
        <f t="shared" si="581"/>
        <v>476.2534078080476</v>
      </c>
      <c r="DC760" s="309">
        <f t="shared" si="582"/>
        <v>4</v>
      </c>
      <c r="DD760" s="309">
        <f t="shared" si="583"/>
        <v>0</v>
      </c>
      <c r="DE760" s="308">
        <f t="shared" si="584"/>
        <v>0</v>
      </c>
      <c r="DF760" s="313">
        <f t="shared" si="598"/>
        <v>600</v>
      </c>
      <c r="DG760" s="313">
        <f t="shared" si="602"/>
        <v>0</v>
      </c>
      <c r="DH760" s="313">
        <f t="shared" si="588"/>
        <v>0</v>
      </c>
      <c r="DI760" s="313">
        <f t="shared" si="589"/>
        <v>0</v>
      </c>
      <c r="DJ760" s="313">
        <f t="shared" si="590"/>
        <v>0</v>
      </c>
      <c r="DK760" s="313">
        <f t="shared" si="599"/>
        <v>0</v>
      </c>
      <c r="DL760" s="313">
        <f t="shared" si="591"/>
        <v>0</v>
      </c>
      <c r="DM760" s="314">
        <f t="shared" si="592"/>
        <v>0</v>
      </c>
      <c r="DN760" s="312">
        <f t="shared" si="593"/>
        <v>0</v>
      </c>
      <c r="DO760" s="312">
        <f t="shared" si="600"/>
        <v>0</v>
      </c>
      <c r="DP760" s="315" t="e">
        <f t="shared" si="585"/>
        <v>#NUM!</v>
      </c>
      <c r="DQ760" s="316">
        <f t="shared" si="594"/>
        <v>0</v>
      </c>
      <c r="DR760" s="316">
        <f t="shared" si="595"/>
        <v>0</v>
      </c>
      <c r="DS760" s="314">
        <f t="shared" si="596"/>
        <v>0</v>
      </c>
      <c r="DT760" s="316">
        <f t="shared" si="597"/>
        <v>0</v>
      </c>
      <c r="DU760" s="314">
        <f t="shared" si="586"/>
        <v>0</v>
      </c>
      <c r="DV760" s="316">
        <f t="shared" si="601"/>
        <v>0</v>
      </c>
      <c r="DW760" s="310">
        <f t="shared" si="587"/>
        <v>0</v>
      </c>
      <c r="FB760" s="307"/>
      <c r="FC760" s="307"/>
      <c r="FF760" s="307"/>
      <c r="FG760" s="307"/>
      <c r="FH760" s="306"/>
      <c r="FJ760" s="307"/>
      <c r="FK760" s="307"/>
      <c r="FL760" s="306"/>
      <c r="FM760" s="307"/>
      <c r="FN760" s="306"/>
      <c r="FO760" s="307"/>
      <c r="FP760" s="306"/>
    </row>
    <row r="761" spans="29:172">
      <c r="AC761" s="156"/>
      <c r="CW761" s="364"/>
      <c r="CX761" s="316"/>
      <c r="CY761" s="316"/>
      <c r="DA761" s="309">
        <v>760</v>
      </c>
      <c r="DB761" s="313">
        <f t="shared" si="581"/>
        <v>476.61737804231376</v>
      </c>
      <c r="DC761" s="309">
        <f t="shared" si="582"/>
        <v>4</v>
      </c>
      <c r="DD761" s="309">
        <f t="shared" si="583"/>
        <v>0</v>
      </c>
      <c r="DE761" s="308">
        <f t="shared" si="584"/>
        <v>0</v>
      </c>
      <c r="DF761" s="313">
        <f t="shared" si="598"/>
        <v>600</v>
      </c>
      <c r="DG761" s="313">
        <f t="shared" si="602"/>
        <v>0</v>
      </c>
      <c r="DH761" s="313">
        <f t="shared" si="588"/>
        <v>0</v>
      </c>
      <c r="DI761" s="313">
        <f t="shared" si="589"/>
        <v>0</v>
      </c>
      <c r="DJ761" s="313">
        <f t="shared" si="590"/>
        <v>0</v>
      </c>
      <c r="DK761" s="313">
        <f t="shared" si="599"/>
        <v>0</v>
      </c>
      <c r="DL761" s="313">
        <f t="shared" si="591"/>
        <v>0</v>
      </c>
      <c r="DM761" s="314">
        <f t="shared" si="592"/>
        <v>0</v>
      </c>
      <c r="DN761" s="312">
        <f t="shared" si="593"/>
        <v>0</v>
      </c>
      <c r="DO761" s="312">
        <f t="shared" si="600"/>
        <v>0</v>
      </c>
      <c r="DP761" s="315" t="e">
        <f t="shared" si="585"/>
        <v>#NUM!</v>
      </c>
      <c r="DQ761" s="316">
        <f t="shared" si="594"/>
        <v>0</v>
      </c>
      <c r="DR761" s="316">
        <f t="shared" si="595"/>
        <v>0</v>
      </c>
      <c r="DS761" s="314">
        <f t="shared" si="596"/>
        <v>0</v>
      </c>
      <c r="DT761" s="316">
        <f t="shared" si="597"/>
        <v>0</v>
      </c>
      <c r="DU761" s="314">
        <f t="shared" si="586"/>
        <v>0</v>
      </c>
      <c r="DV761" s="316">
        <f t="shared" si="601"/>
        <v>0</v>
      </c>
      <c r="DW761" s="310">
        <f t="shared" si="587"/>
        <v>0</v>
      </c>
      <c r="FB761" s="307"/>
      <c r="FC761" s="307"/>
      <c r="FF761" s="307"/>
      <c r="FG761" s="307"/>
      <c r="FH761" s="306"/>
      <c r="FJ761" s="307"/>
      <c r="FK761" s="307"/>
      <c r="FL761" s="306"/>
      <c r="FM761" s="307"/>
      <c r="FN761" s="306"/>
      <c r="FO761" s="307"/>
      <c r="FP761" s="306"/>
    </row>
    <row r="762" spans="29:172">
      <c r="AC762" s="156"/>
      <c r="CW762" s="364"/>
      <c r="CX762" s="316"/>
      <c r="CY762" s="316"/>
      <c r="DA762" s="309">
        <v>761</v>
      </c>
      <c r="DB762" s="313">
        <f t="shared" si="581"/>
        <v>476.98134827657998</v>
      </c>
      <c r="DC762" s="309">
        <f t="shared" si="582"/>
        <v>4</v>
      </c>
      <c r="DD762" s="309">
        <f t="shared" si="583"/>
        <v>0</v>
      </c>
      <c r="DE762" s="308">
        <f t="shared" si="584"/>
        <v>0</v>
      </c>
      <c r="DF762" s="313">
        <f t="shared" si="598"/>
        <v>600</v>
      </c>
      <c r="DG762" s="313">
        <f t="shared" si="602"/>
        <v>0</v>
      </c>
      <c r="DH762" s="313">
        <f t="shared" si="588"/>
        <v>0</v>
      </c>
      <c r="DI762" s="313">
        <f t="shared" si="589"/>
        <v>0</v>
      </c>
      <c r="DJ762" s="313">
        <f t="shared" si="590"/>
        <v>0</v>
      </c>
      <c r="DK762" s="313">
        <f t="shared" si="599"/>
        <v>0</v>
      </c>
      <c r="DL762" s="313">
        <f t="shared" si="591"/>
        <v>0</v>
      </c>
      <c r="DM762" s="314">
        <f t="shared" si="592"/>
        <v>0</v>
      </c>
      <c r="DN762" s="312">
        <f t="shared" si="593"/>
        <v>0</v>
      </c>
      <c r="DO762" s="312">
        <f t="shared" si="600"/>
        <v>0</v>
      </c>
      <c r="DP762" s="315" t="e">
        <f t="shared" si="585"/>
        <v>#NUM!</v>
      </c>
      <c r="DQ762" s="316">
        <f t="shared" si="594"/>
        <v>0</v>
      </c>
      <c r="DR762" s="316">
        <f t="shared" si="595"/>
        <v>0</v>
      </c>
      <c r="DS762" s="314">
        <f t="shared" si="596"/>
        <v>0</v>
      </c>
      <c r="DT762" s="316">
        <f t="shared" si="597"/>
        <v>0</v>
      </c>
      <c r="DU762" s="314">
        <f t="shared" si="586"/>
        <v>0</v>
      </c>
      <c r="DV762" s="316">
        <f t="shared" si="601"/>
        <v>0</v>
      </c>
      <c r="DW762" s="310">
        <f t="shared" si="587"/>
        <v>0</v>
      </c>
      <c r="FB762" s="307"/>
      <c r="FC762" s="307"/>
      <c r="FF762" s="307"/>
      <c r="FG762" s="307"/>
      <c r="FH762" s="306"/>
      <c r="FJ762" s="307"/>
      <c r="FK762" s="307"/>
      <c r="FL762" s="306"/>
      <c r="FM762" s="307"/>
      <c r="FN762" s="306"/>
      <c r="FO762" s="307"/>
      <c r="FP762" s="306"/>
    </row>
    <row r="763" spans="29:172">
      <c r="AC763" s="156"/>
      <c r="CW763" s="364"/>
      <c r="CX763" s="316"/>
      <c r="CY763" s="316"/>
      <c r="DA763" s="309">
        <v>762</v>
      </c>
      <c r="DB763" s="313">
        <f t="shared" si="581"/>
        <v>477.3453185108462</v>
      </c>
      <c r="DC763" s="309">
        <f t="shared" si="582"/>
        <v>4</v>
      </c>
      <c r="DD763" s="309">
        <f t="shared" si="583"/>
        <v>0</v>
      </c>
      <c r="DE763" s="308">
        <f t="shared" si="584"/>
        <v>0</v>
      </c>
      <c r="DF763" s="313">
        <f t="shared" si="598"/>
        <v>600</v>
      </c>
      <c r="DG763" s="313">
        <f t="shared" si="602"/>
        <v>0</v>
      </c>
      <c r="DH763" s="313">
        <f t="shared" si="588"/>
        <v>0</v>
      </c>
      <c r="DI763" s="313">
        <f t="shared" si="589"/>
        <v>0</v>
      </c>
      <c r="DJ763" s="313">
        <f t="shared" si="590"/>
        <v>0</v>
      </c>
      <c r="DK763" s="313">
        <f t="shared" si="599"/>
        <v>0</v>
      </c>
      <c r="DL763" s="313">
        <f t="shared" si="591"/>
        <v>0</v>
      </c>
      <c r="DM763" s="314">
        <f t="shared" si="592"/>
        <v>0</v>
      </c>
      <c r="DN763" s="312">
        <f t="shared" si="593"/>
        <v>0</v>
      </c>
      <c r="DO763" s="312">
        <f t="shared" si="600"/>
        <v>0</v>
      </c>
      <c r="DP763" s="315" t="e">
        <f t="shared" si="585"/>
        <v>#NUM!</v>
      </c>
      <c r="DQ763" s="316">
        <f t="shared" si="594"/>
        <v>0</v>
      </c>
      <c r="DR763" s="316">
        <f t="shared" si="595"/>
        <v>0</v>
      </c>
      <c r="DS763" s="314">
        <f t="shared" si="596"/>
        <v>0</v>
      </c>
      <c r="DT763" s="316">
        <f t="shared" si="597"/>
        <v>0</v>
      </c>
      <c r="DU763" s="314">
        <f t="shared" si="586"/>
        <v>0</v>
      </c>
      <c r="DV763" s="316">
        <f t="shared" si="601"/>
        <v>0</v>
      </c>
      <c r="DW763" s="310">
        <f t="shared" si="587"/>
        <v>0</v>
      </c>
      <c r="FB763" s="307"/>
      <c r="FC763" s="307"/>
      <c r="FF763" s="307"/>
      <c r="FG763" s="307"/>
      <c r="FH763" s="306"/>
      <c r="FJ763" s="307"/>
      <c r="FK763" s="307"/>
      <c r="FL763" s="306"/>
      <c r="FM763" s="307"/>
      <c r="FN763" s="306"/>
      <c r="FO763" s="307"/>
      <c r="FP763" s="306"/>
    </row>
    <row r="764" spans="29:172">
      <c r="AC764" s="156"/>
      <c r="CW764" s="364"/>
      <c r="CX764" s="316"/>
      <c r="CY764" s="316"/>
      <c r="DA764" s="309">
        <v>763</v>
      </c>
      <c r="DB764" s="313">
        <f t="shared" si="581"/>
        <v>477.70928874511236</v>
      </c>
      <c r="DC764" s="309">
        <f t="shared" si="582"/>
        <v>4</v>
      </c>
      <c r="DD764" s="309">
        <f t="shared" si="583"/>
        <v>0</v>
      </c>
      <c r="DE764" s="308">
        <f t="shared" si="584"/>
        <v>0</v>
      </c>
      <c r="DF764" s="313">
        <f t="shared" si="598"/>
        <v>600</v>
      </c>
      <c r="DG764" s="313">
        <f t="shared" si="602"/>
        <v>0</v>
      </c>
      <c r="DH764" s="313">
        <f t="shared" si="588"/>
        <v>0</v>
      </c>
      <c r="DI764" s="313">
        <f t="shared" si="589"/>
        <v>0</v>
      </c>
      <c r="DJ764" s="313">
        <f t="shared" si="590"/>
        <v>0</v>
      </c>
      <c r="DK764" s="313">
        <f t="shared" si="599"/>
        <v>0</v>
      </c>
      <c r="DL764" s="313">
        <f t="shared" si="591"/>
        <v>0</v>
      </c>
      <c r="DM764" s="314">
        <f t="shared" si="592"/>
        <v>0</v>
      </c>
      <c r="DN764" s="312">
        <f t="shared" si="593"/>
        <v>0</v>
      </c>
      <c r="DO764" s="312">
        <f t="shared" si="600"/>
        <v>0</v>
      </c>
      <c r="DP764" s="315" t="e">
        <f t="shared" si="585"/>
        <v>#NUM!</v>
      </c>
      <c r="DQ764" s="316">
        <f t="shared" si="594"/>
        <v>0</v>
      </c>
      <c r="DR764" s="316">
        <f t="shared" si="595"/>
        <v>0</v>
      </c>
      <c r="DS764" s="314">
        <f t="shared" si="596"/>
        <v>0</v>
      </c>
      <c r="DT764" s="316">
        <f t="shared" si="597"/>
        <v>0</v>
      </c>
      <c r="DU764" s="314">
        <f t="shared" si="586"/>
        <v>0</v>
      </c>
      <c r="DV764" s="316">
        <f t="shared" si="601"/>
        <v>0</v>
      </c>
      <c r="DW764" s="310">
        <f t="shared" si="587"/>
        <v>0</v>
      </c>
      <c r="FB764" s="307"/>
      <c r="FC764" s="307"/>
      <c r="FF764" s="307"/>
      <c r="FG764" s="307"/>
      <c r="FH764" s="306"/>
      <c r="FJ764" s="307"/>
      <c r="FK764" s="307"/>
      <c r="FL764" s="306"/>
      <c r="FM764" s="307"/>
      <c r="FN764" s="306"/>
      <c r="FO764" s="307"/>
      <c r="FP764" s="306"/>
    </row>
    <row r="765" spans="29:172">
      <c r="AC765" s="156"/>
      <c r="CW765" s="364"/>
      <c r="CX765" s="316"/>
      <c r="CY765" s="316"/>
      <c r="DA765" s="309">
        <v>764</v>
      </c>
      <c r="DB765" s="313">
        <f t="shared" si="581"/>
        <v>478.07325897937858</v>
      </c>
      <c r="DC765" s="309">
        <f t="shared" si="582"/>
        <v>4</v>
      </c>
      <c r="DD765" s="309">
        <f t="shared" si="583"/>
        <v>0</v>
      </c>
      <c r="DE765" s="308">
        <f t="shared" si="584"/>
        <v>0</v>
      </c>
      <c r="DF765" s="313">
        <f t="shared" si="598"/>
        <v>600</v>
      </c>
      <c r="DG765" s="313">
        <f t="shared" si="602"/>
        <v>0</v>
      </c>
      <c r="DH765" s="313">
        <f t="shared" si="588"/>
        <v>0</v>
      </c>
      <c r="DI765" s="313">
        <f t="shared" si="589"/>
        <v>0</v>
      </c>
      <c r="DJ765" s="313">
        <f t="shared" si="590"/>
        <v>0</v>
      </c>
      <c r="DK765" s="313">
        <f t="shared" si="599"/>
        <v>0</v>
      </c>
      <c r="DL765" s="313">
        <f t="shared" si="591"/>
        <v>0</v>
      </c>
      <c r="DM765" s="314">
        <f t="shared" si="592"/>
        <v>0</v>
      </c>
      <c r="DN765" s="312">
        <f t="shared" si="593"/>
        <v>0</v>
      </c>
      <c r="DO765" s="312">
        <f t="shared" si="600"/>
        <v>0</v>
      </c>
      <c r="DP765" s="315" t="e">
        <f t="shared" si="585"/>
        <v>#NUM!</v>
      </c>
      <c r="DQ765" s="316">
        <f t="shared" si="594"/>
        <v>0</v>
      </c>
      <c r="DR765" s="316">
        <f t="shared" si="595"/>
        <v>0</v>
      </c>
      <c r="DS765" s="314">
        <f t="shared" si="596"/>
        <v>0</v>
      </c>
      <c r="DT765" s="316">
        <f t="shared" si="597"/>
        <v>0</v>
      </c>
      <c r="DU765" s="314">
        <f t="shared" si="586"/>
        <v>0</v>
      </c>
      <c r="DV765" s="316">
        <f t="shared" si="601"/>
        <v>0</v>
      </c>
      <c r="DW765" s="310">
        <f t="shared" si="587"/>
        <v>0</v>
      </c>
      <c r="FB765" s="307"/>
      <c r="FC765" s="307"/>
      <c r="FF765" s="307"/>
      <c r="FG765" s="307"/>
      <c r="FH765" s="306"/>
      <c r="FJ765" s="307"/>
      <c r="FK765" s="307"/>
      <c r="FL765" s="306"/>
      <c r="FM765" s="307"/>
      <c r="FN765" s="306"/>
      <c r="FO765" s="307"/>
      <c r="FP765" s="306"/>
    </row>
    <row r="766" spans="29:172">
      <c r="AC766" s="156"/>
      <c r="CW766" s="364"/>
      <c r="CX766" s="316"/>
      <c r="CY766" s="316"/>
      <c r="DA766" s="309">
        <v>765</v>
      </c>
      <c r="DB766" s="313">
        <f t="shared" si="581"/>
        <v>478.4372292136448</v>
      </c>
      <c r="DC766" s="309">
        <f t="shared" si="582"/>
        <v>4</v>
      </c>
      <c r="DD766" s="309">
        <f t="shared" si="583"/>
        <v>0</v>
      </c>
      <c r="DE766" s="308">
        <f t="shared" si="584"/>
        <v>0</v>
      </c>
      <c r="DF766" s="313">
        <f t="shared" si="598"/>
        <v>600</v>
      </c>
      <c r="DG766" s="313">
        <f t="shared" si="602"/>
        <v>0</v>
      </c>
      <c r="DH766" s="313">
        <f t="shared" si="588"/>
        <v>0</v>
      </c>
      <c r="DI766" s="313">
        <f t="shared" si="589"/>
        <v>0</v>
      </c>
      <c r="DJ766" s="313">
        <f t="shared" si="590"/>
        <v>0</v>
      </c>
      <c r="DK766" s="313">
        <f t="shared" si="599"/>
        <v>0</v>
      </c>
      <c r="DL766" s="313">
        <f t="shared" si="591"/>
        <v>0</v>
      </c>
      <c r="DM766" s="314">
        <f t="shared" si="592"/>
        <v>0</v>
      </c>
      <c r="DN766" s="312">
        <f t="shared" si="593"/>
        <v>0</v>
      </c>
      <c r="DO766" s="312">
        <f t="shared" si="600"/>
        <v>0</v>
      </c>
      <c r="DP766" s="315" t="e">
        <f t="shared" si="585"/>
        <v>#NUM!</v>
      </c>
      <c r="DQ766" s="316">
        <f t="shared" si="594"/>
        <v>0</v>
      </c>
      <c r="DR766" s="316">
        <f t="shared" si="595"/>
        <v>0</v>
      </c>
      <c r="DS766" s="314">
        <f t="shared" si="596"/>
        <v>0</v>
      </c>
      <c r="DT766" s="316">
        <f t="shared" si="597"/>
        <v>0</v>
      </c>
      <c r="DU766" s="314">
        <f t="shared" si="586"/>
        <v>0</v>
      </c>
      <c r="DV766" s="316">
        <f t="shared" si="601"/>
        <v>0</v>
      </c>
      <c r="DW766" s="310">
        <f t="shared" si="587"/>
        <v>0</v>
      </c>
      <c r="FB766" s="307"/>
      <c r="FC766" s="307"/>
      <c r="FF766" s="307"/>
      <c r="FG766" s="307"/>
      <c r="FH766" s="306"/>
      <c r="FJ766" s="307"/>
      <c r="FK766" s="307"/>
      <c r="FL766" s="306"/>
      <c r="FM766" s="307"/>
      <c r="FN766" s="306"/>
      <c r="FO766" s="307"/>
      <c r="FP766" s="306"/>
    </row>
    <row r="767" spans="29:172">
      <c r="AC767" s="156"/>
      <c r="CW767" s="364"/>
      <c r="CX767" s="316"/>
      <c r="CY767" s="316"/>
      <c r="DA767" s="309">
        <v>766</v>
      </c>
      <c r="DB767" s="313">
        <f t="shared" si="581"/>
        <v>478.80119944791102</v>
      </c>
      <c r="DC767" s="309">
        <f t="shared" si="582"/>
        <v>4</v>
      </c>
      <c r="DD767" s="309">
        <f t="shared" si="583"/>
        <v>0</v>
      </c>
      <c r="DE767" s="308">
        <f t="shared" si="584"/>
        <v>0</v>
      </c>
      <c r="DF767" s="313">
        <f t="shared" si="598"/>
        <v>600</v>
      </c>
      <c r="DG767" s="313">
        <f t="shared" si="602"/>
        <v>0</v>
      </c>
      <c r="DH767" s="313">
        <f t="shared" si="588"/>
        <v>0</v>
      </c>
      <c r="DI767" s="313">
        <f t="shared" si="589"/>
        <v>0</v>
      </c>
      <c r="DJ767" s="313">
        <f t="shared" si="590"/>
        <v>0</v>
      </c>
      <c r="DK767" s="313">
        <f t="shared" si="599"/>
        <v>0</v>
      </c>
      <c r="DL767" s="313">
        <f t="shared" si="591"/>
        <v>0</v>
      </c>
      <c r="DM767" s="314">
        <f t="shared" si="592"/>
        <v>0</v>
      </c>
      <c r="DN767" s="312">
        <f t="shared" si="593"/>
        <v>0</v>
      </c>
      <c r="DO767" s="312">
        <f t="shared" si="600"/>
        <v>0</v>
      </c>
      <c r="DP767" s="315" t="e">
        <f t="shared" si="585"/>
        <v>#NUM!</v>
      </c>
      <c r="DQ767" s="316">
        <f t="shared" si="594"/>
        <v>0</v>
      </c>
      <c r="DR767" s="316">
        <f t="shared" si="595"/>
        <v>0</v>
      </c>
      <c r="DS767" s="314">
        <f t="shared" si="596"/>
        <v>0</v>
      </c>
      <c r="DT767" s="316">
        <f t="shared" si="597"/>
        <v>0</v>
      </c>
      <c r="DU767" s="314">
        <f t="shared" si="586"/>
        <v>0</v>
      </c>
      <c r="DV767" s="316">
        <f t="shared" si="601"/>
        <v>0</v>
      </c>
      <c r="DW767" s="310">
        <f t="shared" si="587"/>
        <v>0</v>
      </c>
      <c r="FB767" s="307"/>
      <c r="FC767" s="307"/>
      <c r="FF767" s="307"/>
      <c r="FG767" s="307"/>
      <c r="FH767" s="306"/>
      <c r="FJ767" s="307"/>
      <c r="FK767" s="307"/>
      <c r="FL767" s="306"/>
      <c r="FM767" s="307"/>
      <c r="FN767" s="306"/>
      <c r="FO767" s="307"/>
      <c r="FP767" s="306"/>
    </row>
    <row r="768" spans="29:172">
      <c r="AC768" s="156"/>
      <c r="CW768" s="364"/>
      <c r="CX768" s="316"/>
      <c r="CY768" s="316"/>
      <c r="DA768" s="309">
        <v>767</v>
      </c>
      <c r="DB768" s="313">
        <f t="shared" si="581"/>
        <v>479.16516968217718</v>
      </c>
      <c r="DC768" s="309">
        <f t="shared" si="582"/>
        <v>4</v>
      </c>
      <c r="DD768" s="309">
        <f t="shared" si="583"/>
        <v>0</v>
      </c>
      <c r="DE768" s="308">
        <f t="shared" si="584"/>
        <v>0</v>
      </c>
      <c r="DF768" s="313">
        <f t="shared" si="598"/>
        <v>600</v>
      </c>
      <c r="DG768" s="313">
        <f t="shared" si="602"/>
        <v>0</v>
      </c>
      <c r="DH768" s="313">
        <f t="shared" si="588"/>
        <v>0</v>
      </c>
      <c r="DI768" s="313">
        <f t="shared" si="589"/>
        <v>0</v>
      </c>
      <c r="DJ768" s="313">
        <f t="shared" si="590"/>
        <v>0</v>
      </c>
      <c r="DK768" s="313">
        <f t="shared" si="599"/>
        <v>0</v>
      </c>
      <c r="DL768" s="313">
        <f t="shared" si="591"/>
        <v>0</v>
      </c>
      <c r="DM768" s="314">
        <f t="shared" si="592"/>
        <v>0</v>
      </c>
      <c r="DN768" s="312">
        <f t="shared" si="593"/>
        <v>0</v>
      </c>
      <c r="DO768" s="312">
        <f t="shared" si="600"/>
        <v>0</v>
      </c>
      <c r="DP768" s="315" t="e">
        <f t="shared" si="585"/>
        <v>#NUM!</v>
      </c>
      <c r="DQ768" s="316">
        <f t="shared" si="594"/>
        <v>0</v>
      </c>
      <c r="DR768" s="316">
        <f t="shared" si="595"/>
        <v>0</v>
      </c>
      <c r="DS768" s="314">
        <f t="shared" si="596"/>
        <v>0</v>
      </c>
      <c r="DT768" s="316">
        <f t="shared" si="597"/>
        <v>0</v>
      </c>
      <c r="DU768" s="314">
        <f t="shared" si="586"/>
        <v>0</v>
      </c>
      <c r="DV768" s="316">
        <f t="shared" si="601"/>
        <v>0</v>
      </c>
      <c r="DW768" s="310">
        <f t="shared" si="587"/>
        <v>0</v>
      </c>
      <c r="FB768" s="307"/>
      <c r="FC768" s="307"/>
      <c r="FF768" s="307"/>
      <c r="FG768" s="307"/>
      <c r="FH768" s="306"/>
      <c r="FJ768" s="307"/>
      <c r="FK768" s="307"/>
      <c r="FL768" s="306"/>
      <c r="FM768" s="307"/>
      <c r="FN768" s="306"/>
      <c r="FO768" s="307"/>
      <c r="FP768" s="306"/>
    </row>
    <row r="769" spans="29:172">
      <c r="AC769" s="156"/>
      <c r="CW769" s="364"/>
      <c r="CX769" s="316"/>
      <c r="CY769" s="316"/>
      <c r="DA769" s="309">
        <v>768</v>
      </c>
      <c r="DB769" s="313">
        <f t="shared" si="581"/>
        <v>479.5291399164434</v>
      </c>
      <c r="DC769" s="309">
        <f t="shared" si="582"/>
        <v>4</v>
      </c>
      <c r="DD769" s="309">
        <f t="shared" si="583"/>
        <v>0</v>
      </c>
      <c r="DE769" s="308">
        <f t="shared" si="584"/>
        <v>0</v>
      </c>
      <c r="DF769" s="313">
        <f t="shared" si="598"/>
        <v>600</v>
      </c>
      <c r="DG769" s="313">
        <f t="shared" si="602"/>
        <v>0</v>
      </c>
      <c r="DH769" s="313">
        <f t="shared" si="588"/>
        <v>0</v>
      </c>
      <c r="DI769" s="313">
        <f t="shared" si="589"/>
        <v>0</v>
      </c>
      <c r="DJ769" s="313">
        <f t="shared" si="590"/>
        <v>0</v>
      </c>
      <c r="DK769" s="313">
        <f t="shared" si="599"/>
        <v>0</v>
      </c>
      <c r="DL769" s="313">
        <f t="shared" si="591"/>
        <v>0</v>
      </c>
      <c r="DM769" s="314">
        <f t="shared" si="592"/>
        <v>0</v>
      </c>
      <c r="DN769" s="312">
        <f t="shared" si="593"/>
        <v>0</v>
      </c>
      <c r="DO769" s="312">
        <f t="shared" si="600"/>
        <v>0</v>
      </c>
      <c r="DP769" s="315" t="e">
        <f t="shared" si="585"/>
        <v>#NUM!</v>
      </c>
      <c r="DQ769" s="316">
        <f t="shared" si="594"/>
        <v>0</v>
      </c>
      <c r="DR769" s="316">
        <f t="shared" si="595"/>
        <v>0</v>
      </c>
      <c r="DS769" s="314">
        <f t="shared" si="596"/>
        <v>0</v>
      </c>
      <c r="DT769" s="316">
        <f t="shared" si="597"/>
        <v>0</v>
      </c>
      <c r="DU769" s="314">
        <f t="shared" si="586"/>
        <v>0</v>
      </c>
      <c r="DV769" s="316">
        <f t="shared" si="601"/>
        <v>0</v>
      </c>
      <c r="DW769" s="310">
        <f t="shared" si="587"/>
        <v>0</v>
      </c>
      <c r="FB769" s="307"/>
      <c r="FC769" s="307"/>
      <c r="FF769" s="307"/>
      <c r="FG769" s="307"/>
      <c r="FH769" s="306"/>
      <c r="FJ769" s="307"/>
      <c r="FK769" s="307"/>
      <c r="FL769" s="306"/>
      <c r="FM769" s="307"/>
      <c r="FN769" s="306"/>
      <c r="FO769" s="307"/>
      <c r="FP769" s="306"/>
    </row>
    <row r="770" spans="29:172">
      <c r="AC770" s="156"/>
      <c r="CW770" s="364"/>
      <c r="CX770" s="316"/>
      <c r="CY770" s="316"/>
      <c r="DA770" s="309">
        <v>769</v>
      </c>
      <c r="DB770" s="313">
        <f t="shared" ref="DB770:DB833" si="603">start+DA770*tanO</f>
        <v>479.89311015070962</v>
      </c>
      <c r="DC770" s="309">
        <f t="shared" ref="DC770:DC833" si="604">IF(DA770&lt;edge_width,1,IF(DA770&lt;mid_width,2,IF(DA770&lt;=tot_width,3,4)))</f>
        <v>4</v>
      </c>
      <c r="DD770" s="309">
        <f t="shared" ref="DD770:DD833" si="605">CHOOSE(DC770,edge_thick,second_thick,core_thick,0)</f>
        <v>0</v>
      </c>
      <c r="DE770" s="308">
        <f t="shared" ref="DE770:DE833" si="606">CHOOSE(DC770,edge_k,second_k,core_k,0)</f>
        <v>0</v>
      </c>
      <c r="DF770" s="313">
        <f t="shared" si="598"/>
        <v>600</v>
      </c>
      <c r="DG770" s="313">
        <f t="shared" si="602"/>
        <v>0</v>
      </c>
      <c r="DH770" s="313">
        <f t="shared" si="588"/>
        <v>0</v>
      </c>
      <c r="DI770" s="313">
        <f t="shared" si="589"/>
        <v>0</v>
      </c>
      <c r="DJ770" s="313">
        <f t="shared" si="590"/>
        <v>0</v>
      </c>
      <c r="DK770" s="313">
        <f t="shared" si="599"/>
        <v>0</v>
      </c>
      <c r="DL770" s="313">
        <f t="shared" si="591"/>
        <v>0</v>
      </c>
      <c r="DM770" s="314">
        <f t="shared" si="592"/>
        <v>0</v>
      </c>
      <c r="DN770" s="312">
        <f t="shared" si="593"/>
        <v>0</v>
      </c>
      <c r="DO770" s="312">
        <f t="shared" si="600"/>
        <v>0</v>
      </c>
      <c r="DP770" s="315" t="e">
        <f t="shared" ref="DP770:DP833" si="607">DE770*DO770^CHOOSE(DC770,mult1,mult2,mult3,0)</f>
        <v>#NUM!</v>
      </c>
      <c r="DQ770" s="316">
        <f t="shared" si="594"/>
        <v>0</v>
      </c>
      <c r="DR770" s="316">
        <f t="shared" si="595"/>
        <v>0</v>
      </c>
      <c r="DS770" s="314">
        <f t="shared" si="596"/>
        <v>0</v>
      </c>
      <c r="DT770" s="316">
        <f t="shared" si="597"/>
        <v>0</v>
      </c>
      <c r="DU770" s="314">
        <f t="shared" ref="DU770:DU833" si="608">IF(DC770&lt;&gt;4,CHOOSE(DC770,DA770/DT770,(DA770-edge_width+1)/DT770,(DA770-mid_width+1)/DT770),0)</f>
        <v>0</v>
      </c>
      <c r="DV770" s="316">
        <f t="shared" si="601"/>
        <v>0</v>
      </c>
      <c r="DW770" s="310">
        <f t="shared" ref="DW770:DW833" si="609">IF(DC770&lt;&gt;4,(tot_width-DA770+1)/DV770,0)</f>
        <v>0</v>
      </c>
      <c r="FB770" s="307"/>
      <c r="FC770" s="307"/>
      <c r="FF770" s="307"/>
      <c r="FG770" s="307"/>
      <c r="FH770" s="306"/>
      <c r="FJ770" s="307"/>
      <c r="FK770" s="307"/>
      <c r="FL770" s="306"/>
      <c r="FM770" s="307"/>
      <c r="FN770" s="306"/>
      <c r="FO770" s="307"/>
      <c r="FP770" s="306"/>
    </row>
    <row r="771" spans="29:172">
      <c r="AC771" s="156"/>
      <c r="CW771" s="364"/>
      <c r="CX771" s="316"/>
      <c r="CY771" s="316"/>
      <c r="DA771" s="309">
        <v>770</v>
      </c>
      <c r="DB771" s="313">
        <f t="shared" si="603"/>
        <v>480.25708038497578</v>
      </c>
      <c r="DC771" s="309">
        <f t="shared" si="604"/>
        <v>4</v>
      </c>
      <c r="DD771" s="309">
        <f t="shared" si="605"/>
        <v>0</v>
      </c>
      <c r="DE771" s="308">
        <f t="shared" si="606"/>
        <v>0</v>
      </c>
      <c r="DF771" s="313">
        <f t="shared" si="598"/>
        <v>600</v>
      </c>
      <c r="DG771" s="313">
        <f t="shared" si="602"/>
        <v>0</v>
      </c>
      <c r="DH771" s="313">
        <f t="shared" ref="DH771:DH834" si="610">IF(DC771=1,DG771,0)</f>
        <v>0</v>
      </c>
      <c r="DI771" s="313">
        <f t="shared" ref="DI771:DI834" si="611">IF(DC771=2,DG771,0)</f>
        <v>0</v>
      </c>
      <c r="DJ771" s="313">
        <f t="shared" ref="DJ771:DJ834" si="612">IF(DC771=3,DG771,0)</f>
        <v>0</v>
      </c>
      <c r="DK771" s="313">
        <f t="shared" si="599"/>
        <v>0</v>
      </c>
      <c r="DL771" s="313">
        <f t="shared" ref="DL771:DL834" si="613">IF(DC771&lt;4,DL772+DG771,0)</f>
        <v>0</v>
      </c>
      <c r="DM771" s="314">
        <f t="shared" ref="DM771:DM834" si="614">IF($DC771&lt;&gt;4,IF($DA771=edge_width,$CY$2,IF($DA771=mid_width,$CY$3,1-DO771+DM770)),0)</f>
        <v>0</v>
      </c>
      <c r="DN771" s="312">
        <f t="shared" ref="DN771:DN834" si="615">IF(DC771&lt;&gt;4,CHOOSE(DC771,DM771/DA771,DM771/(DA771-edge_width+1),DM771/(DA771-mid_width+1)),0)</f>
        <v>0</v>
      </c>
      <c r="DO771" s="312">
        <f t="shared" si="600"/>
        <v>0</v>
      </c>
      <c r="DP771" s="315" t="e">
        <f t="shared" si="607"/>
        <v>#NUM!</v>
      </c>
      <c r="DQ771" s="316">
        <f t="shared" ref="DQ771:DQ834" si="616">IF(AND(DC771&lt;&gt;4,DG771&lt;&gt;0),1000*DP771/DG771,0)</f>
        <v>0</v>
      </c>
      <c r="DR771" s="316">
        <f t="shared" ref="DR771:DR834" si="617">IF(DC771&lt;&gt;4,DR770+DQ771,0)</f>
        <v>0</v>
      </c>
      <c r="DS771" s="314">
        <f t="shared" ref="DS771:DS834" si="618">IF(AND(DC771&lt;&gt;4,DR771&lt;&gt;0),DA771/DR771,0)</f>
        <v>0</v>
      </c>
      <c r="DT771" s="316">
        <f t="shared" ref="DT771:DT834" si="619">IF(DC771&lt;&gt;4,IF(DA771=edge_width,$CY$4,IF(DA771=mid_width,$CY$5,DQ771+DT770)),0)</f>
        <v>0</v>
      </c>
      <c r="DU771" s="314">
        <f t="shared" si="608"/>
        <v>0</v>
      </c>
      <c r="DV771" s="316">
        <f t="shared" si="601"/>
        <v>0</v>
      </c>
      <c r="DW771" s="310">
        <f t="shared" si="609"/>
        <v>0</v>
      </c>
      <c r="FB771" s="307"/>
      <c r="FC771" s="307"/>
      <c r="FF771" s="307"/>
      <c r="FG771" s="307"/>
      <c r="FH771" s="306"/>
      <c r="FJ771" s="307"/>
      <c r="FK771" s="307"/>
      <c r="FL771" s="306"/>
      <c r="FM771" s="307"/>
      <c r="FN771" s="306"/>
      <c r="FO771" s="307"/>
      <c r="FP771" s="306"/>
    </row>
    <row r="772" spans="29:172">
      <c r="AC772" s="156"/>
      <c r="CW772" s="364"/>
      <c r="CX772" s="316"/>
      <c r="CY772" s="316"/>
      <c r="DA772" s="309">
        <v>771</v>
      </c>
      <c r="DB772" s="313">
        <f t="shared" si="603"/>
        <v>480.621050619242</v>
      </c>
      <c r="DC772" s="309">
        <f t="shared" si="604"/>
        <v>4</v>
      </c>
      <c r="DD772" s="309">
        <f t="shared" si="605"/>
        <v>0</v>
      </c>
      <c r="DE772" s="308">
        <f t="shared" si="606"/>
        <v>0</v>
      </c>
      <c r="DF772" s="313">
        <f t="shared" ref="DF772:DF835" si="620">IF(DC772&lt;4,DF771+1,DF771)</f>
        <v>600</v>
      </c>
      <c r="DG772" s="313">
        <f t="shared" si="602"/>
        <v>0</v>
      </c>
      <c r="DH772" s="313">
        <f t="shared" si="610"/>
        <v>0</v>
      </c>
      <c r="DI772" s="313">
        <f t="shared" si="611"/>
        <v>0</v>
      </c>
      <c r="DJ772" s="313">
        <f t="shared" si="612"/>
        <v>0</v>
      </c>
      <c r="DK772" s="313">
        <f t="shared" ref="DK772:DK835" si="621">IF(DC772&lt;4,DK771+DG772,0)</f>
        <v>0</v>
      </c>
      <c r="DL772" s="313">
        <f t="shared" si="613"/>
        <v>0</v>
      </c>
      <c r="DM772" s="314">
        <f t="shared" si="614"/>
        <v>0</v>
      </c>
      <c r="DN772" s="312">
        <f t="shared" si="615"/>
        <v>0</v>
      </c>
      <c r="DO772" s="312">
        <f t="shared" ref="DO772:DO835" si="622">IF(AND(DC772&lt;&gt;4,DD772&lt;&gt;0),DG772/DD772,0)</f>
        <v>0</v>
      </c>
      <c r="DP772" s="315" t="e">
        <f t="shared" si="607"/>
        <v>#NUM!</v>
      </c>
      <c r="DQ772" s="316">
        <f t="shared" si="616"/>
        <v>0</v>
      </c>
      <c r="DR772" s="316">
        <f t="shared" si="617"/>
        <v>0</v>
      </c>
      <c r="DS772" s="314">
        <f t="shared" si="618"/>
        <v>0</v>
      </c>
      <c r="DT772" s="316">
        <f t="shared" si="619"/>
        <v>0</v>
      </c>
      <c r="DU772" s="314">
        <f t="shared" si="608"/>
        <v>0</v>
      </c>
      <c r="DV772" s="316">
        <f t="shared" ref="DV772:DV835" si="623">DV773+DQ772</f>
        <v>0</v>
      </c>
      <c r="DW772" s="310">
        <f t="shared" si="609"/>
        <v>0</v>
      </c>
      <c r="FB772" s="307"/>
      <c r="FC772" s="307"/>
      <c r="FF772" s="307"/>
      <c r="FG772" s="307"/>
      <c r="FH772" s="306"/>
      <c r="FJ772" s="307"/>
      <c r="FK772" s="307"/>
      <c r="FL772" s="306"/>
      <c r="FM772" s="307"/>
      <c r="FN772" s="306"/>
      <c r="FO772" s="307"/>
      <c r="FP772" s="306"/>
    </row>
    <row r="773" spans="29:172">
      <c r="AC773" s="156"/>
      <c r="CW773" s="364"/>
      <c r="CX773" s="316"/>
      <c r="CY773" s="316"/>
      <c r="DA773" s="309">
        <v>772</v>
      </c>
      <c r="DB773" s="313">
        <f t="shared" si="603"/>
        <v>480.98502085350822</v>
      </c>
      <c r="DC773" s="309">
        <f t="shared" si="604"/>
        <v>4</v>
      </c>
      <c r="DD773" s="309">
        <f t="shared" si="605"/>
        <v>0</v>
      </c>
      <c r="DE773" s="308">
        <f t="shared" si="606"/>
        <v>0</v>
      </c>
      <c r="DF773" s="313">
        <f t="shared" si="620"/>
        <v>600</v>
      </c>
      <c r="DG773" s="313">
        <f t="shared" si="602"/>
        <v>0</v>
      </c>
      <c r="DH773" s="313">
        <f t="shared" si="610"/>
        <v>0</v>
      </c>
      <c r="DI773" s="313">
        <f t="shared" si="611"/>
        <v>0</v>
      </c>
      <c r="DJ773" s="313">
        <f t="shared" si="612"/>
        <v>0</v>
      </c>
      <c r="DK773" s="313">
        <f t="shared" si="621"/>
        <v>0</v>
      </c>
      <c r="DL773" s="313">
        <f t="shared" si="613"/>
        <v>0</v>
      </c>
      <c r="DM773" s="314">
        <f t="shared" si="614"/>
        <v>0</v>
      </c>
      <c r="DN773" s="312">
        <f t="shared" si="615"/>
        <v>0</v>
      </c>
      <c r="DO773" s="312">
        <f t="shared" si="622"/>
        <v>0</v>
      </c>
      <c r="DP773" s="315" t="e">
        <f t="shared" si="607"/>
        <v>#NUM!</v>
      </c>
      <c r="DQ773" s="316">
        <f t="shared" si="616"/>
        <v>0</v>
      </c>
      <c r="DR773" s="316">
        <f t="shared" si="617"/>
        <v>0</v>
      </c>
      <c r="DS773" s="314">
        <f t="shared" si="618"/>
        <v>0</v>
      </c>
      <c r="DT773" s="316">
        <f t="shared" si="619"/>
        <v>0</v>
      </c>
      <c r="DU773" s="314">
        <f t="shared" si="608"/>
        <v>0</v>
      </c>
      <c r="DV773" s="316">
        <f t="shared" si="623"/>
        <v>0</v>
      </c>
      <c r="DW773" s="310">
        <f t="shared" si="609"/>
        <v>0</v>
      </c>
      <c r="FB773" s="307"/>
      <c r="FC773" s="307"/>
      <c r="FF773" s="307"/>
      <c r="FG773" s="307"/>
      <c r="FH773" s="306"/>
      <c r="FJ773" s="307"/>
      <c r="FK773" s="307"/>
      <c r="FL773" s="306"/>
      <c r="FM773" s="307"/>
      <c r="FN773" s="306"/>
      <c r="FO773" s="307"/>
      <c r="FP773" s="306"/>
    </row>
    <row r="774" spans="29:172">
      <c r="AC774" s="156"/>
      <c r="CW774" s="364"/>
      <c r="CX774" s="316"/>
      <c r="CY774" s="316"/>
      <c r="DA774" s="309">
        <v>773</v>
      </c>
      <c r="DB774" s="313">
        <f t="shared" si="603"/>
        <v>481.34899108777444</v>
      </c>
      <c r="DC774" s="309">
        <f t="shared" si="604"/>
        <v>4</v>
      </c>
      <c r="DD774" s="309">
        <f t="shared" si="605"/>
        <v>0</v>
      </c>
      <c r="DE774" s="308">
        <f t="shared" si="606"/>
        <v>0</v>
      </c>
      <c r="DF774" s="313">
        <f t="shared" si="620"/>
        <v>600</v>
      </c>
      <c r="DG774" s="313">
        <f t="shared" si="602"/>
        <v>0</v>
      </c>
      <c r="DH774" s="313">
        <f t="shared" si="610"/>
        <v>0</v>
      </c>
      <c r="DI774" s="313">
        <f t="shared" si="611"/>
        <v>0</v>
      </c>
      <c r="DJ774" s="313">
        <f t="shared" si="612"/>
        <v>0</v>
      </c>
      <c r="DK774" s="313">
        <f t="shared" si="621"/>
        <v>0</v>
      </c>
      <c r="DL774" s="313">
        <f t="shared" si="613"/>
        <v>0</v>
      </c>
      <c r="DM774" s="314">
        <f t="shared" si="614"/>
        <v>0</v>
      </c>
      <c r="DN774" s="312">
        <f t="shared" si="615"/>
        <v>0</v>
      </c>
      <c r="DO774" s="312">
        <f t="shared" si="622"/>
        <v>0</v>
      </c>
      <c r="DP774" s="315" t="e">
        <f t="shared" si="607"/>
        <v>#NUM!</v>
      </c>
      <c r="DQ774" s="316">
        <f t="shared" si="616"/>
        <v>0</v>
      </c>
      <c r="DR774" s="316">
        <f t="shared" si="617"/>
        <v>0</v>
      </c>
      <c r="DS774" s="314">
        <f t="shared" si="618"/>
        <v>0</v>
      </c>
      <c r="DT774" s="316">
        <f t="shared" si="619"/>
        <v>0</v>
      </c>
      <c r="DU774" s="314">
        <f t="shared" si="608"/>
        <v>0</v>
      </c>
      <c r="DV774" s="316">
        <f t="shared" si="623"/>
        <v>0</v>
      </c>
      <c r="DW774" s="310">
        <f t="shared" si="609"/>
        <v>0</v>
      </c>
      <c r="FB774" s="307"/>
      <c r="FC774" s="307"/>
      <c r="FF774" s="307"/>
      <c r="FG774" s="307"/>
      <c r="FH774" s="306"/>
      <c r="FJ774" s="307"/>
      <c r="FK774" s="307"/>
      <c r="FL774" s="306"/>
      <c r="FM774" s="307"/>
      <c r="FN774" s="306"/>
      <c r="FO774" s="307"/>
      <c r="FP774" s="306"/>
    </row>
    <row r="775" spans="29:172">
      <c r="AC775" s="156"/>
      <c r="CW775" s="364"/>
      <c r="CX775" s="316"/>
      <c r="CY775" s="316"/>
      <c r="DA775" s="309">
        <v>774</v>
      </c>
      <c r="DB775" s="313">
        <f t="shared" si="603"/>
        <v>481.7129613220406</v>
      </c>
      <c r="DC775" s="309">
        <f t="shared" si="604"/>
        <v>4</v>
      </c>
      <c r="DD775" s="309">
        <f t="shared" si="605"/>
        <v>0</v>
      </c>
      <c r="DE775" s="308">
        <f t="shared" si="606"/>
        <v>0</v>
      </c>
      <c r="DF775" s="313">
        <f t="shared" si="620"/>
        <v>600</v>
      </c>
      <c r="DG775" s="313">
        <f t="shared" si="602"/>
        <v>0</v>
      </c>
      <c r="DH775" s="313">
        <f t="shared" si="610"/>
        <v>0</v>
      </c>
      <c r="DI775" s="313">
        <f t="shared" si="611"/>
        <v>0</v>
      </c>
      <c r="DJ775" s="313">
        <f t="shared" si="612"/>
        <v>0</v>
      </c>
      <c r="DK775" s="313">
        <f t="shared" si="621"/>
        <v>0</v>
      </c>
      <c r="DL775" s="313">
        <f t="shared" si="613"/>
        <v>0</v>
      </c>
      <c r="DM775" s="314">
        <f t="shared" si="614"/>
        <v>0</v>
      </c>
      <c r="DN775" s="312">
        <f t="shared" si="615"/>
        <v>0</v>
      </c>
      <c r="DO775" s="312">
        <f t="shared" si="622"/>
        <v>0</v>
      </c>
      <c r="DP775" s="315" t="e">
        <f t="shared" si="607"/>
        <v>#NUM!</v>
      </c>
      <c r="DQ775" s="316">
        <f t="shared" si="616"/>
        <v>0</v>
      </c>
      <c r="DR775" s="316">
        <f t="shared" si="617"/>
        <v>0</v>
      </c>
      <c r="DS775" s="314">
        <f t="shared" si="618"/>
        <v>0</v>
      </c>
      <c r="DT775" s="316">
        <f t="shared" si="619"/>
        <v>0</v>
      </c>
      <c r="DU775" s="314">
        <f t="shared" si="608"/>
        <v>0</v>
      </c>
      <c r="DV775" s="316">
        <f t="shared" si="623"/>
        <v>0</v>
      </c>
      <c r="DW775" s="310">
        <f t="shared" si="609"/>
        <v>0</v>
      </c>
      <c r="FB775" s="307"/>
      <c r="FC775" s="307"/>
      <c r="FF775" s="307"/>
      <c r="FG775" s="307"/>
      <c r="FH775" s="306"/>
      <c r="FJ775" s="307"/>
      <c r="FK775" s="307"/>
      <c r="FL775" s="306"/>
      <c r="FM775" s="307"/>
      <c r="FN775" s="306"/>
      <c r="FO775" s="307"/>
      <c r="FP775" s="306"/>
    </row>
    <row r="776" spans="29:172">
      <c r="AC776" s="156"/>
      <c r="CW776" s="364"/>
      <c r="CX776" s="316"/>
      <c r="CY776" s="316"/>
      <c r="DA776" s="309">
        <v>775</v>
      </c>
      <c r="DB776" s="313">
        <f t="shared" si="603"/>
        <v>482.07693155630682</v>
      </c>
      <c r="DC776" s="309">
        <f t="shared" si="604"/>
        <v>4</v>
      </c>
      <c r="DD776" s="309">
        <f t="shared" si="605"/>
        <v>0</v>
      </c>
      <c r="DE776" s="308">
        <f t="shared" si="606"/>
        <v>0</v>
      </c>
      <c r="DF776" s="313">
        <f t="shared" si="620"/>
        <v>600</v>
      </c>
      <c r="DG776" s="313">
        <f t="shared" si="602"/>
        <v>0</v>
      </c>
      <c r="DH776" s="313">
        <f t="shared" si="610"/>
        <v>0</v>
      </c>
      <c r="DI776" s="313">
        <f t="shared" si="611"/>
        <v>0</v>
      </c>
      <c r="DJ776" s="313">
        <f t="shared" si="612"/>
        <v>0</v>
      </c>
      <c r="DK776" s="313">
        <f t="shared" si="621"/>
        <v>0</v>
      </c>
      <c r="DL776" s="313">
        <f t="shared" si="613"/>
        <v>0</v>
      </c>
      <c r="DM776" s="314">
        <f t="shared" si="614"/>
        <v>0</v>
      </c>
      <c r="DN776" s="312">
        <f t="shared" si="615"/>
        <v>0</v>
      </c>
      <c r="DO776" s="312">
        <f t="shared" si="622"/>
        <v>0</v>
      </c>
      <c r="DP776" s="315" t="e">
        <f t="shared" si="607"/>
        <v>#NUM!</v>
      </c>
      <c r="DQ776" s="316">
        <f t="shared" si="616"/>
        <v>0</v>
      </c>
      <c r="DR776" s="316">
        <f t="shared" si="617"/>
        <v>0</v>
      </c>
      <c r="DS776" s="314">
        <f t="shared" si="618"/>
        <v>0</v>
      </c>
      <c r="DT776" s="316">
        <f t="shared" si="619"/>
        <v>0</v>
      </c>
      <c r="DU776" s="314">
        <f t="shared" si="608"/>
        <v>0</v>
      </c>
      <c r="DV776" s="316">
        <f t="shared" si="623"/>
        <v>0</v>
      </c>
      <c r="DW776" s="310">
        <f t="shared" si="609"/>
        <v>0</v>
      </c>
      <c r="FB776" s="307"/>
      <c r="FC776" s="307"/>
      <c r="FF776" s="307"/>
      <c r="FG776" s="307"/>
      <c r="FH776" s="306"/>
      <c r="FJ776" s="307"/>
      <c r="FK776" s="307"/>
      <c r="FL776" s="306"/>
      <c r="FM776" s="307"/>
      <c r="FN776" s="306"/>
      <c r="FO776" s="307"/>
      <c r="FP776" s="306"/>
    </row>
    <row r="777" spans="29:172">
      <c r="AC777" s="156"/>
      <c r="CW777" s="364"/>
      <c r="CX777" s="316"/>
      <c r="CY777" s="316"/>
      <c r="DA777" s="309">
        <v>776</v>
      </c>
      <c r="DB777" s="313">
        <f t="shared" si="603"/>
        <v>482.44090179057304</v>
      </c>
      <c r="DC777" s="309">
        <f t="shared" si="604"/>
        <v>4</v>
      </c>
      <c r="DD777" s="309">
        <f t="shared" si="605"/>
        <v>0</v>
      </c>
      <c r="DE777" s="308">
        <f t="shared" si="606"/>
        <v>0</v>
      </c>
      <c r="DF777" s="313">
        <f t="shared" si="620"/>
        <v>600</v>
      </c>
      <c r="DG777" s="313">
        <f t="shared" si="602"/>
        <v>0</v>
      </c>
      <c r="DH777" s="313">
        <f t="shared" si="610"/>
        <v>0</v>
      </c>
      <c r="DI777" s="313">
        <f t="shared" si="611"/>
        <v>0</v>
      </c>
      <c r="DJ777" s="313">
        <f t="shared" si="612"/>
        <v>0</v>
      </c>
      <c r="DK777" s="313">
        <f t="shared" si="621"/>
        <v>0</v>
      </c>
      <c r="DL777" s="313">
        <f t="shared" si="613"/>
        <v>0</v>
      </c>
      <c r="DM777" s="314">
        <f t="shared" si="614"/>
        <v>0</v>
      </c>
      <c r="DN777" s="312">
        <f t="shared" si="615"/>
        <v>0</v>
      </c>
      <c r="DO777" s="312">
        <f t="shared" si="622"/>
        <v>0</v>
      </c>
      <c r="DP777" s="315" t="e">
        <f t="shared" si="607"/>
        <v>#NUM!</v>
      </c>
      <c r="DQ777" s="316">
        <f t="shared" si="616"/>
        <v>0</v>
      </c>
      <c r="DR777" s="316">
        <f t="shared" si="617"/>
        <v>0</v>
      </c>
      <c r="DS777" s="314">
        <f t="shared" si="618"/>
        <v>0</v>
      </c>
      <c r="DT777" s="316">
        <f t="shared" si="619"/>
        <v>0</v>
      </c>
      <c r="DU777" s="314">
        <f t="shared" si="608"/>
        <v>0</v>
      </c>
      <c r="DV777" s="316">
        <f t="shared" si="623"/>
        <v>0</v>
      </c>
      <c r="DW777" s="310">
        <f t="shared" si="609"/>
        <v>0</v>
      </c>
      <c r="FB777" s="307"/>
      <c r="FC777" s="307"/>
      <c r="FF777" s="307"/>
      <c r="FG777" s="307"/>
      <c r="FH777" s="306"/>
      <c r="FJ777" s="307"/>
      <c r="FK777" s="307"/>
      <c r="FL777" s="306"/>
      <c r="FM777" s="307"/>
      <c r="FN777" s="306"/>
      <c r="FO777" s="307"/>
      <c r="FP777" s="306"/>
    </row>
    <row r="778" spans="29:172">
      <c r="AC778" s="156"/>
      <c r="CW778" s="364"/>
      <c r="CX778" s="316"/>
      <c r="CY778" s="316"/>
      <c r="DA778" s="309">
        <v>777</v>
      </c>
      <c r="DB778" s="313">
        <f t="shared" si="603"/>
        <v>482.8048720248392</v>
      </c>
      <c r="DC778" s="309">
        <f t="shared" si="604"/>
        <v>4</v>
      </c>
      <c r="DD778" s="309">
        <f t="shared" si="605"/>
        <v>0</v>
      </c>
      <c r="DE778" s="308">
        <f t="shared" si="606"/>
        <v>0</v>
      </c>
      <c r="DF778" s="313">
        <f t="shared" si="620"/>
        <v>600</v>
      </c>
      <c r="DG778" s="313">
        <f t="shared" si="602"/>
        <v>0</v>
      </c>
      <c r="DH778" s="313">
        <f t="shared" si="610"/>
        <v>0</v>
      </c>
      <c r="DI778" s="313">
        <f t="shared" si="611"/>
        <v>0</v>
      </c>
      <c r="DJ778" s="313">
        <f t="shared" si="612"/>
        <v>0</v>
      </c>
      <c r="DK778" s="313">
        <f t="shared" si="621"/>
        <v>0</v>
      </c>
      <c r="DL778" s="313">
        <f t="shared" si="613"/>
        <v>0</v>
      </c>
      <c r="DM778" s="314">
        <f t="shared" si="614"/>
        <v>0</v>
      </c>
      <c r="DN778" s="312">
        <f t="shared" si="615"/>
        <v>0</v>
      </c>
      <c r="DO778" s="312">
        <f t="shared" si="622"/>
        <v>0</v>
      </c>
      <c r="DP778" s="315" t="e">
        <f t="shared" si="607"/>
        <v>#NUM!</v>
      </c>
      <c r="DQ778" s="316">
        <f t="shared" si="616"/>
        <v>0</v>
      </c>
      <c r="DR778" s="316">
        <f t="shared" si="617"/>
        <v>0</v>
      </c>
      <c r="DS778" s="314">
        <f t="shared" si="618"/>
        <v>0</v>
      </c>
      <c r="DT778" s="316">
        <f t="shared" si="619"/>
        <v>0</v>
      </c>
      <c r="DU778" s="314">
        <f t="shared" si="608"/>
        <v>0</v>
      </c>
      <c r="DV778" s="316">
        <f t="shared" si="623"/>
        <v>0</v>
      </c>
      <c r="DW778" s="310">
        <f t="shared" si="609"/>
        <v>0</v>
      </c>
      <c r="FB778" s="307"/>
      <c r="FC778" s="307"/>
      <c r="FF778" s="307"/>
      <c r="FG778" s="307"/>
      <c r="FH778" s="306"/>
      <c r="FJ778" s="307"/>
      <c r="FK778" s="307"/>
      <c r="FL778" s="306"/>
      <c r="FM778" s="307"/>
      <c r="FN778" s="306"/>
      <c r="FO778" s="307"/>
      <c r="FP778" s="306"/>
    </row>
    <row r="779" spans="29:172">
      <c r="AC779" s="156"/>
      <c r="CW779" s="364"/>
      <c r="CX779" s="316"/>
      <c r="CY779" s="316"/>
      <c r="DA779" s="309">
        <v>778</v>
      </c>
      <c r="DB779" s="313">
        <f t="shared" si="603"/>
        <v>483.16884225910542</v>
      </c>
      <c r="DC779" s="309">
        <f t="shared" si="604"/>
        <v>4</v>
      </c>
      <c r="DD779" s="309">
        <f t="shared" si="605"/>
        <v>0</v>
      </c>
      <c r="DE779" s="308">
        <f t="shared" si="606"/>
        <v>0</v>
      </c>
      <c r="DF779" s="313">
        <f t="shared" si="620"/>
        <v>600</v>
      </c>
      <c r="DG779" s="313">
        <f t="shared" si="602"/>
        <v>0</v>
      </c>
      <c r="DH779" s="313">
        <f t="shared" si="610"/>
        <v>0</v>
      </c>
      <c r="DI779" s="313">
        <f t="shared" si="611"/>
        <v>0</v>
      </c>
      <c r="DJ779" s="313">
        <f t="shared" si="612"/>
        <v>0</v>
      </c>
      <c r="DK779" s="313">
        <f t="shared" si="621"/>
        <v>0</v>
      </c>
      <c r="DL779" s="313">
        <f t="shared" si="613"/>
        <v>0</v>
      </c>
      <c r="DM779" s="314">
        <f t="shared" si="614"/>
        <v>0</v>
      </c>
      <c r="DN779" s="312">
        <f t="shared" si="615"/>
        <v>0</v>
      </c>
      <c r="DO779" s="312">
        <f t="shared" si="622"/>
        <v>0</v>
      </c>
      <c r="DP779" s="315" t="e">
        <f t="shared" si="607"/>
        <v>#NUM!</v>
      </c>
      <c r="DQ779" s="316">
        <f t="shared" si="616"/>
        <v>0</v>
      </c>
      <c r="DR779" s="316">
        <f t="shared" si="617"/>
        <v>0</v>
      </c>
      <c r="DS779" s="314">
        <f t="shared" si="618"/>
        <v>0</v>
      </c>
      <c r="DT779" s="316">
        <f t="shared" si="619"/>
        <v>0</v>
      </c>
      <c r="DU779" s="314">
        <f t="shared" si="608"/>
        <v>0</v>
      </c>
      <c r="DV779" s="316">
        <f t="shared" si="623"/>
        <v>0</v>
      </c>
      <c r="DW779" s="310">
        <f t="shared" si="609"/>
        <v>0</v>
      </c>
      <c r="FB779" s="307"/>
      <c r="FC779" s="307"/>
      <c r="FF779" s="307"/>
      <c r="FG779" s="307"/>
      <c r="FH779" s="306"/>
      <c r="FJ779" s="307"/>
      <c r="FK779" s="307"/>
      <c r="FL779" s="306"/>
      <c r="FM779" s="307"/>
      <c r="FN779" s="306"/>
      <c r="FO779" s="307"/>
      <c r="FP779" s="306"/>
    </row>
    <row r="780" spans="29:172">
      <c r="AC780" s="156"/>
      <c r="CW780" s="364"/>
      <c r="CX780" s="316"/>
      <c r="CY780" s="316"/>
      <c r="DA780" s="309">
        <v>779</v>
      </c>
      <c r="DB780" s="313">
        <f t="shared" si="603"/>
        <v>483.53281249337164</v>
      </c>
      <c r="DC780" s="309">
        <f t="shared" si="604"/>
        <v>4</v>
      </c>
      <c r="DD780" s="309">
        <f t="shared" si="605"/>
        <v>0</v>
      </c>
      <c r="DE780" s="308">
        <f t="shared" si="606"/>
        <v>0</v>
      </c>
      <c r="DF780" s="313">
        <f t="shared" si="620"/>
        <v>600</v>
      </c>
      <c r="DG780" s="313">
        <f t="shared" si="602"/>
        <v>0</v>
      </c>
      <c r="DH780" s="313">
        <f t="shared" si="610"/>
        <v>0</v>
      </c>
      <c r="DI780" s="313">
        <f t="shared" si="611"/>
        <v>0</v>
      </c>
      <c r="DJ780" s="313">
        <f t="shared" si="612"/>
        <v>0</v>
      </c>
      <c r="DK780" s="313">
        <f t="shared" si="621"/>
        <v>0</v>
      </c>
      <c r="DL780" s="313">
        <f t="shared" si="613"/>
        <v>0</v>
      </c>
      <c r="DM780" s="314">
        <f t="shared" si="614"/>
        <v>0</v>
      </c>
      <c r="DN780" s="312">
        <f t="shared" si="615"/>
        <v>0</v>
      </c>
      <c r="DO780" s="312">
        <f t="shared" si="622"/>
        <v>0</v>
      </c>
      <c r="DP780" s="315" t="e">
        <f t="shared" si="607"/>
        <v>#NUM!</v>
      </c>
      <c r="DQ780" s="316">
        <f t="shared" si="616"/>
        <v>0</v>
      </c>
      <c r="DR780" s="316">
        <f t="shared" si="617"/>
        <v>0</v>
      </c>
      <c r="DS780" s="314">
        <f t="shared" si="618"/>
        <v>0</v>
      </c>
      <c r="DT780" s="316">
        <f t="shared" si="619"/>
        <v>0</v>
      </c>
      <c r="DU780" s="314">
        <f t="shared" si="608"/>
        <v>0</v>
      </c>
      <c r="DV780" s="316">
        <f t="shared" si="623"/>
        <v>0</v>
      </c>
      <c r="DW780" s="310">
        <f t="shared" si="609"/>
        <v>0</v>
      </c>
      <c r="FB780" s="307"/>
      <c r="FC780" s="307"/>
      <c r="FF780" s="307"/>
      <c r="FG780" s="307"/>
      <c r="FH780" s="306"/>
      <c r="FJ780" s="307"/>
      <c r="FK780" s="307"/>
      <c r="FL780" s="306"/>
      <c r="FM780" s="307"/>
      <c r="FN780" s="306"/>
      <c r="FO780" s="307"/>
      <c r="FP780" s="306"/>
    </row>
    <row r="781" spans="29:172">
      <c r="AC781" s="156"/>
      <c r="CW781" s="364"/>
      <c r="CX781" s="316"/>
      <c r="CY781" s="316"/>
      <c r="DA781" s="309">
        <v>780</v>
      </c>
      <c r="DB781" s="313">
        <f t="shared" si="603"/>
        <v>483.8967827276378</v>
      </c>
      <c r="DC781" s="309">
        <f t="shared" si="604"/>
        <v>4</v>
      </c>
      <c r="DD781" s="309">
        <f t="shared" si="605"/>
        <v>0</v>
      </c>
      <c r="DE781" s="308">
        <f t="shared" si="606"/>
        <v>0</v>
      </c>
      <c r="DF781" s="313">
        <f t="shared" si="620"/>
        <v>600</v>
      </c>
      <c r="DG781" s="313">
        <f t="shared" si="602"/>
        <v>0</v>
      </c>
      <c r="DH781" s="313">
        <f t="shared" si="610"/>
        <v>0</v>
      </c>
      <c r="DI781" s="313">
        <f t="shared" si="611"/>
        <v>0</v>
      </c>
      <c r="DJ781" s="313">
        <f t="shared" si="612"/>
        <v>0</v>
      </c>
      <c r="DK781" s="313">
        <f t="shared" si="621"/>
        <v>0</v>
      </c>
      <c r="DL781" s="313">
        <f t="shared" si="613"/>
        <v>0</v>
      </c>
      <c r="DM781" s="314">
        <f t="shared" si="614"/>
        <v>0</v>
      </c>
      <c r="DN781" s="312">
        <f t="shared" si="615"/>
        <v>0</v>
      </c>
      <c r="DO781" s="312">
        <f t="shared" si="622"/>
        <v>0</v>
      </c>
      <c r="DP781" s="315" t="e">
        <f t="shared" si="607"/>
        <v>#NUM!</v>
      </c>
      <c r="DQ781" s="316">
        <f t="shared" si="616"/>
        <v>0</v>
      </c>
      <c r="DR781" s="316">
        <f t="shared" si="617"/>
        <v>0</v>
      </c>
      <c r="DS781" s="314">
        <f t="shared" si="618"/>
        <v>0</v>
      </c>
      <c r="DT781" s="316">
        <f t="shared" si="619"/>
        <v>0</v>
      </c>
      <c r="DU781" s="314">
        <f t="shared" si="608"/>
        <v>0</v>
      </c>
      <c r="DV781" s="316">
        <f t="shared" si="623"/>
        <v>0</v>
      </c>
      <c r="DW781" s="310">
        <f t="shared" si="609"/>
        <v>0</v>
      </c>
      <c r="FB781" s="307"/>
      <c r="FC781" s="307"/>
      <c r="FF781" s="307"/>
      <c r="FG781" s="307"/>
      <c r="FH781" s="306"/>
      <c r="FJ781" s="307"/>
      <c r="FK781" s="307"/>
      <c r="FL781" s="306"/>
      <c r="FM781" s="307"/>
      <c r="FN781" s="306"/>
      <c r="FO781" s="307"/>
      <c r="FP781" s="306"/>
    </row>
    <row r="782" spans="29:172">
      <c r="AC782" s="156"/>
      <c r="CW782" s="364"/>
      <c r="CX782" s="316"/>
      <c r="CY782" s="316"/>
      <c r="DA782" s="309">
        <v>781</v>
      </c>
      <c r="DB782" s="313">
        <f t="shared" si="603"/>
        <v>484.26075296190402</v>
      </c>
      <c r="DC782" s="309">
        <f t="shared" si="604"/>
        <v>4</v>
      </c>
      <c r="DD782" s="309">
        <f t="shared" si="605"/>
        <v>0</v>
      </c>
      <c r="DE782" s="308">
        <f t="shared" si="606"/>
        <v>0</v>
      </c>
      <c r="DF782" s="313">
        <f t="shared" si="620"/>
        <v>600</v>
      </c>
      <c r="DG782" s="313">
        <f t="shared" si="602"/>
        <v>0</v>
      </c>
      <c r="DH782" s="313">
        <f t="shared" si="610"/>
        <v>0</v>
      </c>
      <c r="DI782" s="313">
        <f t="shared" si="611"/>
        <v>0</v>
      </c>
      <c r="DJ782" s="313">
        <f t="shared" si="612"/>
        <v>0</v>
      </c>
      <c r="DK782" s="313">
        <f t="shared" si="621"/>
        <v>0</v>
      </c>
      <c r="DL782" s="313">
        <f t="shared" si="613"/>
        <v>0</v>
      </c>
      <c r="DM782" s="314">
        <f t="shared" si="614"/>
        <v>0</v>
      </c>
      <c r="DN782" s="312">
        <f t="shared" si="615"/>
        <v>0</v>
      </c>
      <c r="DO782" s="312">
        <f t="shared" si="622"/>
        <v>0</v>
      </c>
      <c r="DP782" s="315" t="e">
        <f t="shared" si="607"/>
        <v>#NUM!</v>
      </c>
      <c r="DQ782" s="316">
        <f t="shared" si="616"/>
        <v>0</v>
      </c>
      <c r="DR782" s="316">
        <f t="shared" si="617"/>
        <v>0</v>
      </c>
      <c r="DS782" s="314">
        <f t="shared" si="618"/>
        <v>0</v>
      </c>
      <c r="DT782" s="316">
        <f t="shared" si="619"/>
        <v>0</v>
      </c>
      <c r="DU782" s="314">
        <f t="shared" si="608"/>
        <v>0</v>
      </c>
      <c r="DV782" s="316">
        <f t="shared" si="623"/>
        <v>0</v>
      </c>
      <c r="DW782" s="310">
        <f t="shared" si="609"/>
        <v>0</v>
      </c>
      <c r="FB782" s="307"/>
      <c r="FC782" s="307"/>
      <c r="FF782" s="307"/>
      <c r="FG782" s="307"/>
      <c r="FH782" s="306"/>
      <c r="FJ782" s="307"/>
      <c r="FK782" s="307"/>
      <c r="FL782" s="306"/>
      <c r="FM782" s="307"/>
      <c r="FN782" s="306"/>
      <c r="FO782" s="307"/>
      <c r="FP782" s="306"/>
    </row>
    <row r="783" spans="29:172">
      <c r="AC783" s="156"/>
      <c r="CW783" s="364"/>
      <c r="CX783" s="316"/>
      <c r="CY783" s="316"/>
      <c r="DA783" s="309">
        <v>782</v>
      </c>
      <c r="DB783" s="313">
        <f t="shared" si="603"/>
        <v>484.62472319617024</v>
      </c>
      <c r="DC783" s="309">
        <f t="shared" si="604"/>
        <v>4</v>
      </c>
      <c r="DD783" s="309">
        <f t="shared" si="605"/>
        <v>0</v>
      </c>
      <c r="DE783" s="308">
        <f t="shared" si="606"/>
        <v>0</v>
      </c>
      <c r="DF783" s="313">
        <f t="shared" si="620"/>
        <v>600</v>
      </c>
      <c r="DG783" s="313">
        <f t="shared" si="602"/>
        <v>0</v>
      </c>
      <c r="DH783" s="313">
        <f t="shared" si="610"/>
        <v>0</v>
      </c>
      <c r="DI783" s="313">
        <f t="shared" si="611"/>
        <v>0</v>
      </c>
      <c r="DJ783" s="313">
        <f t="shared" si="612"/>
        <v>0</v>
      </c>
      <c r="DK783" s="313">
        <f t="shared" si="621"/>
        <v>0</v>
      </c>
      <c r="DL783" s="313">
        <f t="shared" si="613"/>
        <v>0</v>
      </c>
      <c r="DM783" s="314">
        <f t="shared" si="614"/>
        <v>0</v>
      </c>
      <c r="DN783" s="312">
        <f t="shared" si="615"/>
        <v>0</v>
      </c>
      <c r="DO783" s="312">
        <f t="shared" si="622"/>
        <v>0</v>
      </c>
      <c r="DP783" s="315" t="e">
        <f t="shared" si="607"/>
        <v>#NUM!</v>
      </c>
      <c r="DQ783" s="316">
        <f t="shared" si="616"/>
        <v>0</v>
      </c>
      <c r="DR783" s="316">
        <f t="shared" si="617"/>
        <v>0</v>
      </c>
      <c r="DS783" s="314">
        <f t="shared" si="618"/>
        <v>0</v>
      </c>
      <c r="DT783" s="316">
        <f t="shared" si="619"/>
        <v>0</v>
      </c>
      <c r="DU783" s="314">
        <f t="shared" si="608"/>
        <v>0</v>
      </c>
      <c r="DV783" s="316">
        <f t="shared" si="623"/>
        <v>0</v>
      </c>
      <c r="DW783" s="310">
        <f t="shared" si="609"/>
        <v>0</v>
      </c>
      <c r="FB783" s="307"/>
      <c r="FC783" s="307"/>
      <c r="FF783" s="307"/>
      <c r="FG783" s="307"/>
      <c r="FH783" s="306"/>
      <c r="FJ783" s="307"/>
      <c r="FK783" s="307"/>
      <c r="FL783" s="306"/>
      <c r="FM783" s="307"/>
      <c r="FN783" s="306"/>
      <c r="FO783" s="307"/>
      <c r="FP783" s="306"/>
    </row>
    <row r="784" spans="29:172">
      <c r="AC784" s="156"/>
      <c r="CW784" s="364"/>
      <c r="CX784" s="316"/>
      <c r="CY784" s="316"/>
      <c r="DA784" s="309">
        <v>783</v>
      </c>
      <c r="DB784" s="313">
        <f t="shared" si="603"/>
        <v>484.98869343043646</v>
      </c>
      <c r="DC784" s="309">
        <f t="shared" si="604"/>
        <v>4</v>
      </c>
      <c r="DD784" s="309">
        <f t="shared" si="605"/>
        <v>0</v>
      </c>
      <c r="DE784" s="308">
        <f t="shared" si="606"/>
        <v>0</v>
      </c>
      <c r="DF784" s="313">
        <f t="shared" si="620"/>
        <v>600</v>
      </c>
      <c r="DG784" s="313">
        <f t="shared" si="602"/>
        <v>0</v>
      </c>
      <c r="DH784" s="313">
        <f t="shared" si="610"/>
        <v>0</v>
      </c>
      <c r="DI784" s="313">
        <f t="shared" si="611"/>
        <v>0</v>
      </c>
      <c r="DJ784" s="313">
        <f t="shared" si="612"/>
        <v>0</v>
      </c>
      <c r="DK784" s="313">
        <f t="shared" si="621"/>
        <v>0</v>
      </c>
      <c r="DL784" s="313">
        <f t="shared" si="613"/>
        <v>0</v>
      </c>
      <c r="DM784" s="314">
        <f t="shared" si="614"/>
        <v>0</v>
      </c>
      <c r="DN784" s="312">
        <f t="shared" si="615"/>
        <v>0</v>
      </c>
      <c r="DO784" s="312">
        <f t="shared" si="622"/>
        <v>0</v>
      </c>
      <c r="DP784" s="315" t="e">
        <f t="shared" si="607"/>
        <v>#NUM!</v>
      </c>
      <c r="DQ784" s="316">
        <f t="shared" si="616"/>
        <v>0</v>
      </c>
      <c r="DR784" s="316">
        <f t="shared" si="617"/>
        <v>0</v>
      </c>
      <c r="DS784" s="314">
        <f t="shared" si="618"/>
        <v>0</v>
      </c>
      <c r="DT784" s="316">
        <f t="shared" si="619"/>
        <v>0</v>
      </c>
      <c r="DU784" s="314">
        <f t="shared" si="608"/>
        <v>0</v>
      </c>
      <c r="DV784" s="316">
        <f t="shared" si="623"/>
        <v>0</v>
      </c>
      <c r="DW784" s="310">
        <f t="shared" si="609"/>
        <v>0</v>
      </c>
      <c r="FB784" s="307"/>
      <c r="FC784" s="307"/>
      <c r="FF784" s="307"/>
      <c r="FG784" s="307"/>
      <c r="FH784" s="306"/>
      <c r="FJ784" s="307"/>
      <c r="FK784" s="307"/>
      <c r="FL784" s="306"/>
      <c r="FM784" s="307"/>
      <c r="FN784" s="306"/>
      <c r="FO784" s="307"/>
      <c r="FP784" s="306"/>
    </row>
    <row r="785" spans="29:172">
      <c r="AC785" s="156"/>
      <c r="CW785" s="364"/>
      <c r="CX785" s="316"/>
      <c r="CY785" s="316"/>
      <c r="DA785" s="309">
        <v>784</v>
      </c>
      <c r="DB785" s="313">
        <f t="shared" si="603"/>
        <v>485.35266366470262</v>
      </c>
      <c r="DC785" s="309">
        <f t="shared" si="604"/>
        <v>4</v>
      </c>
      <c r="DD785" s="309">
        <f t="shared" si="605"/>
        <v>0</v>
      </c>
      <c r="DE785" s="308">
        <f t="shared" si="606"/>
        <v>0</v>
      </c>
      <c r="DF785" s="313">
        <f t="shared" si="620"/>
        <v>600</v>
      </c>
      <c r="DG785" s="313">
        <f t="shared" si="602"/>
        <v>0</v>
      </c>
      <c r="DH785" s="313">
        <f t="shared" si="610"/>
        <v>0</v>
      </c>
      <c r="DI785" s="313">
        <f t="shared" si="611"/>
        <v>0</v>
      </c>
      <c r="DJ785" s="313">
        <f t="shared" si="612"/>
        <v>0</v>
      </c>
      <c r="DK785" s="313">
        <f t="shared" si="621"/>
        <v>0</v>
      </c>
      <c r="DL785" s="313">
        <f t="shared" si="613"/>
        <v>0</v>
      </c>
      <c r="DM785" s="314">
        <f t="shared" si="614"/>
        <v>0</v>
      </c>
      <c r="DN785" s="312">
        <f t="shared" si="615"/>
        <v>0</v>
      </c>
      <c r="DO785" s="312">
        <f t="shared" si="622"/>
        <v>0</v>
      </c>
      <c r="DP785" s="315" t="e">
        <f t="shared" si="607"/>
        <v>#NUM!</v>
      </c>
      <c r="DQ785" s="316">
        <f t="shared" si="616"/>
        <v>0</v>
      </c>
      <c r="DR785" s="316">
        <f t="shared" si="617"/>
        <v>0</v>
      </c>
      <c r="DS785" s="314">
        <f t="shared" si="618"/>
        <v>0</v>
      </c>
      <c r="DT785" s="316">
        <f t="shared" si="619"/>
        <v>0</v>
      </c>
      <c r="DU785" s="314">
        <f t="shared" si="608"/>
        <v>0</v>
      </c>
      <c r="DV785" s="316">
        <f t="shared" si="623"/>
        <v>0</v>
      </c>
      <c r="DW785" s="310">
        <f t="shared" si="609"/>
        <v>0</v>
      </c>
      <c r="FB785" s="307"/>
      <c r="FC785" s="307"/>
      <c r="FF785" s="307"/>
      <c r="FG785" s="307"/>
      <c r="FH785" s="306"/>
      <c r="FJ785" s="307"/>
      <c r="FK785" s="307"/>
      <c r="FL785" s="306"/>
      <c r="FM785" s="307"/>
      <c r="FN785" s="306"/>
      <c r="FO785" s="307"/>
      <c r="FP785" s="306"/>
    </row>
    <row r="786" spans="29:172">
      <c r="AC786" s="156"/>
      <c r="CW786" s="364"/>
      <c r="CX786" s="316"/>
      <c r="CY786" s="316"/>
      <c r="DA786" s="309">
        <v>785</v>
      </c>
      <c r="DB786" s="313">
        <f t="shared" si="603"/>
        <v>485.71663389896884</v>
      </c>
      <c r="DC786" s="309">
        <f t="shared" si="604"/>
        <v>4</v>
      </c>
      <c r="DD786" s="309">
        <f t="shared" si="605"/>
        <v>0</v>
      </c>
      <c r="DE786" s="308">
        <f t="shared" si="606"/>
        <v>0</v>
      </c>
      <c r="DF786" s="313">
        <f t="shared" si="620"/>
        <v>600</v>
      </c>
      <c r="DG786" s="313">
        <f t="shared" si="602"/>
        <v>0</v>
      </c>
      <c r="DH786" s="313">
        <f t="shared" si="610"/>
        <v>0</v>
      </c>
      <c r="DI786" s="313">
        <f t="shared" si="611"/>
        <v>0</v>
      </c>
      <c r="DJ786" s="313">
        <f t="shared" si="612"/>
        <v>0</v>
      </c>
      <c r="DK786" s="313">
        <f t="shared" si="621"/>
        <v>0</v>
      </c>
      <c r="DL786" s="313">
        <f t="shared" si="613"/>
        <v>0</v>
      </c>
      <c r="DM786" s="314">
        <f t="shared" si="614"/>
        <v>0</v>
      </c>
      <c r="DN786" s="312">
        <f t="shared" si="615"/>
        <v>0</v>
      </c>
      <c r="DO786" s="312">
        <f t="shared" si="622"/>
        <v>0</v>
      </c>
      <c r="DP786" s="315" t="e">
        <f t="shared" si="607"/>
        <v>#NUM!</v>
      </c>
      <c r="DQ786" s="316">
        <f t="shared" si="616"/>
        <v>0</v>
      </c>
      <c r="DR786" s="316">
        <f t="shared" si="617"/>
        <v>0</v>
      </c>
      <c r="DS786" s="314">
        <f t="shared" si="618"/>
        <v>0</v>
      </c>
      <c r="DT786" s="316">
        <f t="shared" si="619"/>
        <v>0</v>
      </c>
      <c r="DU786" s="314">
        <f t="shared" si="608"/>
        <v>0</v>
      </c>
      <c r="DV786" s="316">
        <f t="shared" si="623"/>
        <v>0</v>
      </c>
      <c r="DW786" s="310">
        <f t="shared" si="609"/>
        <v>0</v>
      </c>
      <c r="FB786" s="307"/>
      <c r="FC786" s="307"/>
      <c r="FF786" s="307"/>
      <c r="FG786" s="307"/>
      <c r="FH786" s="306"/>
      <c r="FJ786" s="307"/>
      <c r="FK786" s="307"/>
      <c r="FL786" s="306"/>
      <c r="FM786" s="307"/>
      <c r="FN786" s="306"/>
      <c r="FO786" s="307"/>
      <c r="FP786" s="306"/>
    </row>
    <row r="787" spans="29:172">
      <c r="AC787" s="156"/>
      <c r="CW787" s="364"/>
      <c r="CX787" s="316"/>
      <c r="CY787" s="316"/>
      <c r="DA787" s="309">
        <v>786</v>
      </c>
      <c r="DB787" s="313">
        <f t="shared" si="603"/>
        <v>486.08060413323506</v>
      </c>
      <c r="DC787" s="309">
        <f t="shared" si="604"/>
        <v>4</v>
      </c>
      <c r="DD787" s="309">
        <f t="shared" si="605"/>
        <v>0</v>
      </c>
      <c r="DE787" s="308">
        <f t="shared" si="606"/>
        <v>0</v>
      </c>
      <c r="DF787" s="313">
        <f t="shared" si="620"/>
        <v>600</v>
      </c>
      <c r="DG787" s="313">
        <f t="shared" si="602"/>
        <v>0</v>
      </c>
      <c r="DH787" s="313">
        <f t="shared" si="610"/>
        <v>0</v>
      </c>
      <c r="DI787" s="313">
        <f t="shared" si="611"/>
        <v>0</v>
      </c>
      <c r="DJ787" s="313">
        <f t="shared" si="612"/>
        <v>0</v>
      </c>
      <c r="DK787" s="313">
        <f t="shared" si="621"/>
        <v>0</v>
      </c>
      <c r="DL787" s="313">
        <f t="shared" si="613"/>
        <v>0</v>
      </c>
      <c r="DM787" s="314">
        <f t="shared" si="614"/>
        <v>0</v>
      </c>
      <c r="DN787" s="312">
        <f t="shared" si="615"/>
        <v>0</v>
      </c>
      <c r="DO787" s="312">
        <f t="shared" si="622"/>
        <v>0</v>
      </c>
      <c r="DP787" s="315" t="e">
        <f t="shared" si="607"/>
        <v>#NUM!</v>
      </c>
      <c r="DQ787" s="316">
        <f t="shared" si="616"/>
        <v>0</v>
      </c>
      <c r="DR787" s="316">
        <f t="shared" si="617"/>
        <v>0</v>
      </c>
      <c r="DS787" s="314">
        <f t="shared" si="618"/>
        <v>0</v>
      </c>
      <c r="DT787" s="316">
        <f t="shared" si="619"/>
        <v>0</v>
      </c>
      <c r="DU787" s="314">
        <f t="shared" si="608"/>
        <v>0</v>
      </c>
      <c r="DV787" s="316">
        <f t="shared" si="623"/>
        <v>0</v>
      </c>
      <c r="DW787" s="310">
        <f t="shared" si="609"/>
        <v>0</v>
      </c>
      <c r="FB787" s="307"/>
      <c r="FC787" s="307"/>
      <c r="FF787" s="307"/>
      <c r="FG787" s="307"/>
      <c r="FH787" s="306"/>
      <c r="FJ787" s="307"/>
      <c r="FK787" s="307"/>
      <c r="FL787" s="306"/>
      <c r="FM787" s="307"/>
      <c r="FN787" s="306"/>
      <c r="FO787" s="307"/>
      <c r="FP787" s="306"/>
    </row>
    <row r="788" spans="29:172">
      <c r="AC788" s="156"/>
      <c r="CW788" s="364"/>
      <c r="CX788" s="316"/>
      <c r="CY788" s="316"/>
      <c r="DA788" s="309">
        <v>787</v>
      </c>
      <c r="DB788" s="313">
        <f t="shared" si="603"/>
        <v>486.44457436750122</v>
      </c>
      <c r="DC788" s="309">
        <f t="shared" si="604"/>
        <v>4</v>
      </c>
      <c r="DD788" s="309">
        <f t="shared" si="605"/>
        <v>0</v>
      </c>
      <c r="DE788" s="308">
        <f t="shared" si="606"/>
        <v>0</v>
      </c>
      <c r="DF788" s="313">
        <f t="shared" si="620"/>
        <v>600</v>
      </c>
      <c r="DG788" s="313">
        <f t="shared" si="602"/>
        <v>0</v>
      </c>
      <c r="DH788" s="313">
        <f t="shared" si="610"/>
        <v>0</v>
      </c>
      <c r="DI788" s="313">
        <f t="shared" si="611"/>
        <v>0</v>
      </c>
      <c r="DJ788" s="313">
        <f t="shared" si="612"/>
        <v>0</v>
      </c>
      <c r="DK788" s="313">
        <f t="shared" si="621"/>
        <v>0</v>
      </c>
      <c r="DL788" s="313">
        <f t="shared" si="613"/>
        <v>0</v>
      </c>
      <c r="DM788" s="314">
        <f t="shared" si="614"/>
        <v>0</v>
      </c>
      <c r="DN788" s="312">
        <f t="shared" si="615"/>
        <v>0</v>
      </c>
      <c r="DO788" s="312">
        <f t="shared" si="622"/>
        <v>0</v>
      </c>
      <c r="DP788" s="315" t="e">
        <f t="shared" si="607"/>
        <v>#NUM!</v>
      </c>
      <c r="DQ788" s="316">
        <f t="shared" si="616"/>
        <v>0</v>
      </c>
      <c r="DR788" s="316">
        <f t="shared" si="617"/>
        <v>0</v>
      </c>
      <c r="DS788" s="314">
        <f t="shared" si="618"/>
        <v>0</v>
      </c>
      <c r="DT788" s="316">
        <f t="shared" si="619"/>
        <v>0</v>
      </c>
      <c r="DU788" s="314">
        <f t="shared" si="608"/>
        <v>0</v>
      </c>
      <c r="DV788" s="316">
        <f t="shared" si="623"/>
        <v>0</v>
      </c>
      <c r="DW788" s="310">
        <f t="shared" si="609"/>
        <v>0</v>
      </c>
      <c r="FB788" s="307"/>
      <c r="FC788" s="307"/>
      <c r="FF788" s="307"/>
      <c r="FG788" s="307"/>
      <c r="FH788" s="306"/>
      <c r="FJ788" s="307"/>
      <c r="FK788" s="307"/>
      <c r="FL788" s="306"/>
      <c r="FM788" s="307"/>
      <c r="FN788" s="306"/>
      <c r="FO788" s="307"/>
      <c r="FP788" s="306"/>
    </row>
    <row r="789" spans="29:172">
      <c r="AC789" s="156"/>
      <c r="CW789" s="364"/>
      <c r="CX789" s="316"/>
      <c r="CY789" s="316"/>
      <c r="DA789" s="309">
        <v>788</v>
      </c>
      <c r="DB789" s="313">
        <f t="shared" si="603"/>
        <v>486.80854460176744</v>
      </c>
      <c r="DC789" s="309">
        <f t="shared" si="604"/>
        <v>4</v>
      </c>
      <c r="DD789" s="309">
        <f t="shared" si="605"/>
        <v>0</v>
      </c>
      <c r="DE789" s="308">
        <f t="shared" si="606"/>
        <v>0</v>
      </c>
      <c r="DF789" s="313">
        <f t="shared" si="620"/>
        <v>600</v>
      </c>
      <c r="DG789" s="313">
        <f t="shared" si="602"/>
        <v>0</v>
      </c>
      <c r="DH789" s="313">
        <f t="shared" si="610"/>
        <v>0</v>
      </c>
      <c r="DI789" s="313">
        <f t="shared" si="611"/>
        <v>0</v>
      </c>
      <c r="DJ789" s="313">
        <f t="shared" si="612"/>
        <v>0</v>
      </c>
      <c r="DK789" s="313">
        <f t="shared" si="621"/>
        <v>0</v>
      </c>
      <c r="DL789" s="313">
        <f t="shared" si="613"/>
        <v>0</v>
      </c>
      <c r="DM789" s="314">
        <f t="shared" si="614"/>
        <v>0</v>
      </c>
      <c r="DN789" s="312">
        <f t="shared" si="615"/>
        <v>0</v>
      </c>
      <c r="DO789" s="312">
        <f t="shared" si="622"/>
        <v>0</v>
      </c>
      <c r="DP789" s="315" t="e">
        <f t="shared" si="607"/>
        <v>#NUM!</v>
      </c>
      <c r="DQ789" s="316">
        <f t="shared" si="616"/>
        <v>0</v>
      </c>
      <c r="DR789" s="316">
        <f t="shared" si="617"/>
        <v>0</v>
      </c>
      <c r="DS789" s="314">
        <f t="shared" si="618"/>
        <v>0</v>
      </c>
      <c r="DT789" s="316">
        <f t="shared" si="619"/>
        <v>0</v>
      </c>
      <c r="DU789" s="314">
        <f t="shared" si="608"/>
        <v>0</v>
      </c>
      <c r="DV789" s="316">
        <f t="shared" si="623"/>
        <v>0</v>
      </c>
      <c r="DW789" s="310">
        <f t="shared" si="609"/>
        <v>0</v>
      </c>
      <c r="FB789" s="307"/>
      <c r="FC789" s="307"/>
      <c r="FF789" s="307"/>
      <c r="FG789" s="307"/>
      <c r="FH789" s="306"/>
      <c r="FJ789" s="307"/>
      <c r="FK789" s="307"/>
      <c r="FL789" s="306"/>
      <c r="FM789" s="307"/>
      <c r="FN789" s="306"/>
      <c r="FO789" s="307"/>
      <c r="FP789" s="306"/>
    </row>
    <row r="790" spans="29:172">
      <c r="AC790" s="156"/>
      <c r="CW790" s="364"/>
      <c r="CX790" s="316"/>
      <c r="CY790" s="316"/>
      <c r="DA790" s="309">
        <v>789</v>
      </c>
      <c r="DB790" s="313">
        <f t="shared" si="603"/>
        <v>487.17251483603366</v>
      </c>
      <c r="DC790" s="309">
        <f t="shared" si="604"/>
        <v>4</v>
      </c>
      <c r="DD790" s="309">
        <f t="shared" si="605"/>
        <v>0</v>
      </c>
      <c r="DE790" s="308">
        <f t="shared" si="606"/>
        <v>0</v>
      </c>
      <c r="DF790" s="313">
        <f t="shared" si="620"/>
        <v>600</v>
      </c>
      <c r="DG790" s="313">
        <f t="shared" si="602"/>
        <v>0</v>
      </c>
      <c r="DH790" s="313">
        <f t="shared" si="610"/>
        <v>0</v>
      </c>
      <c r="DI790" s="313">
        <f t="shared" si="611"/>
        <v>0</v>
      </c>
      <c r="DJ790" s="313">
        <f t="shared" si="612"/>
        <v>0</v>
      </c>
      <c r="DK790" s="313">
        <f t="shared" si="621"/>
        <v>0</v>
      </c>
      <c r="DL790" s="313">
        <f t="shared" si="613"/>
        <v>0</v>
      </c>
      <c r="DM790" s="314">
        <f t="shared" si="614"/>
        <v>0</v>
      </c>
      <c r="DN790" s="312">
        <f t="shared" si="615"/>
        <v>0</v>
      </c>
      <c r="DO790" s="312">
        <f t="shared" si="622"/>
        <v>0</v>
      </c>
      <c r="DP790" s="315" t="e">
        <f t="shared" si="607"/>
        <v>#NUM!</v>
      </c>
      <c r="DQ790" s="316">
        <f t="shared" si="616"/>
        <v>0</v>
      </c>
      <c r="DR790" s="316">
        <f t="shared" si="617"/>
        <v>0</v>
      </c>
      <c r="DS790" s="314">
        <f t="shared" si="618"/>
        <v>0</v>
      </c>
      <c r="DT790" s="316">
        <f t="shared" si="619"/>
        <v>0</v>
      </c>
      <c r="DU790" s="314">
        <f t="shared" si="608"/>
        <v>0</v>
      </c>
      <c r="DV790" s="316">
        <f t="shared" si="623"/>
        <v>0</v>
      </c>
      <c r="DW790" s="310">
        <f t="shared" si="609"/>
        <v>0</v>
      </c>
      <c r="FB790" s="307"/>
      <c r="FC790" s="307"/>
      <c r="FF790" s="307"/>
      <c r="FG790" s="307"/>
      <c r="FH790" s="306"/>
      <c r="FJ790" s="307"/>
      <c r="FK790" s="307"/>
      <c r="FL790" s="306"/>
      <c r="FM790" s="307"/>
      <c r="FN790" s="306"/>
      <c r="FO790" s="307"/>
      <c r="FP790" s="306"/>
    </row>
    <row r="791" spans="29:172">
      <c r="AC791" s="156"/>
      <c r="CW791" s="364"/>
      <c r="CX791" s="316"/>
      <c r="CY791" s="316"/>
      <c r="DA791" s="309">
        <v>790</v>
      </c>
      <c r="DB791" s="313">
        <f t="shared" si="603"/>
        <v>487.53648507029988</v>
      </c>
      <c r="DC791" s="309">
        <f t="shared" si="604"/>
        <v>4</v>
      </c>
      <c r="DD791" s="309">
        <f t="shared" si="605"/>
        <v>0</v>
      </c>
      <c r="DE791" s="308">
        <f t="shared" si="606"/>
        <v>0</v>
      </c>
      <c r="DF791" s="313">
        <f t="shared" si="620"/>
        <v>600</v>
      </c>
      <c r="DG791" s="313">
        <f t="shared" si="602"/>
        <v>0</v>
      </c>
      <c r="DH791" s="313">
        <f t="shared" si="610"/>
        <v>0</v>
      </c>
      <c r="DI791" s="313">
        <f t="shared" si="611"/>
        <v>0</v>
      </c>
      <c r="DJ791" s="313">
        <f t="shared" si="612"/>
        <v>0</v>
      </c>
      <c r="DK791" s="313">
        <f t="shared" si="621"/>
        <v>0</v>
      </c>
      <c r="DL791" s="313">
        <f t="shared" si="613"/>
        <v>0</v>
      </c>
      <c r="DM791" s="314">
        <f t="shared" si="614"/>
        <v>0</v>
      </c>
      <c r="DN791" s="312">
        <f t="shared" si="615"/>
        <v>0</v>
      </c>
      <c r="DO791" s="312">
        <f t="shared" si="622"/>
        <v>0</v>
      </c>
      <c r="DP791" s="315" t="e">
        <f t="shared" si="607"/>
        <v>#NUM!</v>
      </c>
      <c r="DQ791" s="316">
        <f t="shared" si="616"/>
        <v>0</v>
      </c>
      <c r="DR791" s="316">
        <f t="shared" si="617"/>
        <v>0</v>
      </c>
      <c r="DS791" s="314">
        <f t="shared" si="618"/>
        <v>0</v>
      </c>
      <c r="DT791" s="316">
        <f t="shared" si="619"/>
        <v>0</v>
      </c>
      <c r="DU791" s="314">
        <f t="shared" si="608"/>
        <v>0</v>
      </c>
      <c r="DV791" s="316">
        <f t="shared" si="623"/>
        <v>0</v>
      </c>
      <c r="DW791" s="310">
        <f t="shared" si="609"/>
        <v>0</v>
      </c>
      <c r="FB791" s="307"/>
      <c r="FC791" s="307"/>
      <c r="FF791" s="307"/>
      <c r="FG791" s="307"/>
      <c r="FH791" s="306"/>
      <c r="FJ791" s="307"/>
      <c r="FK791" s="307"/>
      <c r="FL791" s="306"/>
      <c r="FM791" s="307"/>
      <c r="FN791" s="306"/>
      <c r="FO791" s="307"/>
      <c r="FP791" s="306"/>
    </row>
    <row r="792" spans="29:172">
      <c r="AC792" s="156"/>
      <c r="CW792" s="364"/>
      <c r="CX792" s="316"/>
      <c r="CY792" s="316"/>
      <c r="DA792" s="309">
        <v>791</v>
      </c>
      <c r="DB792" s="313">
        <f t="shared" si="603"/>
        <v>487.90045530456604</v>
      </c>
      <c r="DC792" s="309">
        <f t="shared" si="604"/>
        <v>4</v>
      </c>
      <c r="DD792" s="309">
        <f t="shared" si="605"/>
        <v>0</v>
      </c>
      <c r="DE792" s="308">
        <f t="shared" si="606"/>
        <v>0</v>
      </c>
      <c r="DF792" s="313">
        <f t="shared" si="620"/>
        <v>600</v>
      </c>
      <c r="DG792" s="313">
        <f t="shared" si="602"/>
        <v>0</v>
      </c>
      <c r="DH792" s="313">
        <f t="shared" si="610"/>
        <v>0</v>
      </c>
      <c r="DI792" s="313">
        <f t="shared" si="611"/>
        <v>0</v>
      </c>
      <c r="DJ792" s="313">
        <f t="shared" si="612"/>
        <v>0</v>
      </c>
      <c r="DK792" s="313">
        <f t="shared" si="621"/>
        <v>0</v>
      </c>
      <c r="DL792" s="313">
        <f t="shared" si="613"/>
        <v>0</v>
      </c>
      <c r="DM792" s="314">
        <f t="shared" si="614"/>
        <v>0</v>
      </c>
      <c r="DN792" s="312">
        <f t="shared" si="615"/>
        <v>0</v>
      </c>
      <c r="DO792" s="312">
        <f t="shared" si="622"/>
        <v>0</v>
      </c>
      <c r="DP792" s="315" t="e">
        <f t="shared" si="607"/>
        <v>#NUM!</v>
      </c>
      <c r="DQ792" s="316">
        <f t="shared" si="616"/>
        <v>0</v>
      </c>
      <c r="DR792" s="316">
        <f t="shared" si="617"/>
        <v>0</v>
      </c>
      <c r="DS792" s="314">
        <f t="shared" si="618"/>
        <v>0</v>
      </c>
      <c r="DT792" s="316">
        <f t="shared" si="619"/>
        <v>0</v>
      </c>
      <c r="DU792" s="314">
        <f t="shared" si="608"/>
        <v>0</v>
      </c>
      <c r="DV792" s="316">
        <f t="shared" si="623"/>
        <v>0</v>
      </c>
      <c r="DW792" s="310">
        <f t="shared" si="609"/>
        <v>0</v>
      </c>
      <c r="FB792" s="307"/>
      <c r="FC792" s="307"/>
      <c r="FF792" s="307"/>
      <c r="FG792" s="307"/>
      <c r="FH792" s="306"/>
      <c r="FJ792" s="307"/>
      <c r="FK792" s="307"/>
      <c r="FL792" s="306"/>
      <c r="FM792" s="307"/>
      <c r="FN792" s="306"/>
      <c r="FO792" s="307"/>
      <c r="FP792" s="306"/>
    </row>
    <row r="793" spans="29:172">
      <c r="AC793" s="156"/>
      <c r="CW793" s="364"/>
      <c r="CX793" s="316"/>
      <c r="CY793" s="316"/>
      <c r="DA793" s="309">
        <v>792</v>
      </c>
      <c r="DB793" s="313">
        <f t="shared" si="603"/>
        <v>488.26442553883226</v>
      </c>
      <c r="DC793" s="309">
        <f t="shared" si="604"/>
        <v>4</v>
      </c>
      <c r="DD793" s="309">
        <f t="shared" si="605"/>
        <v>0</v>
      </c>
      <c r="DE793" s="308">
        <f t="shared" si="606"/>
        <v>0</v>
      </c>
      <c r="DF793" s="313">
        <f t="shared" si="620"/>
        <v>600</v>
      </c>
      <c r="DG793" s="313">
        <f t="shared" si="602"/>
        <v>0</v>
      </c>
      <c r="DH793" s="313">
        <f t="shared" si="610"/>
        <v>0</v>
      </c>
      <c r="DI793" s="313">
        <f t="shared" si="611"/>
        <v>0</v>
      </c>
      <c r="DJ793" s="313">
        <f t="shared" si="612"/>
        <v>0</v>
      </c>
      <c r="DK793" s="313">
        <f t="shared" si="621"/>
        <v>0</v>
      </c>
      <c r="DL793" s="313">
        <f t="shared" si="613"/>
        <v>0</v>
      </c>
      <c r="DM793" s="314">
        <f t="shared" si="614"/>
        <v>0</v>
      </c>
      <c r="DN793" s="312">
        <f t="shared" si="615"/>
        <v>0</v>
      </c>
      <c r="DO793" s="312">
        <f t="shared" si="622"/>
        <v>0</v>
      </c>
      <c r="DP793" s="315" t="e">
        <f t="shared" si="607"/>
        <v>#NUM!</v>
      </c>
      <c r="DQ793" s="316">
        <f t="shared" si="616"/>
        <v>0</v>
      </c>
      <c r="DR793" s="316">
        <f t="shared" si="617"/>
        <v>0</v>
      </c>
      <c r="DS793" s="314">
        <f t="shared" si="618"/>
        <v>0</v>
      </c>
      <c r="DT793" s="316">
        <f t="shared" si="619"/>
        <v>0</v>
      </c>
      <c r="DU793" s="314">
        <f t="shared" si="608"/>
        <v>0</v>
      </c>
      <c r="DV793" s="316">
        <f t="shared" si="623"/>
        <v>0</v>
      </c>
      <c r="DW793" s="310">
        <f t="shared" si="609"/>
        <v>0</v>
      </c>
      <c r="FB793" s="307"/>
      <c r="FC793" s="307"/>
      <c r="FF793" s="307"/>
      <c r="FG793" s="307"/>
      <c r="FH793" s="306"/>
      <c r="FJ793" s="307"/>
      <c r="FK793" s="307"/>
      <c r="FL793" s="306"/>
      <c r="FM793" s="307"/>
      <c r="FN793" s="306"/>
      <c r="FO793" s="307"/>
      <c r="FP793" s="306"/>
    </row>
    <row r="794" spans="29:172">
      <c r="AC794" s="156"/>
      <c r="CW794" s="364"/>
      <c r="CX794" s="316"/>
      <c r="CY794" s="316"/>
      <c r="DA794" s="309">
        <v>793</v>
      </c>
      <c r="DB794" s="313">
        <f t="shared" si="603"/>
        <v>488.62839577309848</v>
      </c>
      <c r="DC794" s="309">
        <f t="shared" si="604"/>
        <v>4</v>
      </c>
      <c r="DD794" s="309">
        <f t="shared" si="605"/>
        <v>0</v>
      </c>
      <c r="DE794" s="308">
        <f t="shared" si="606"/>
        <v>0</v>
      </c>
      <c r="DF794" s="313">
        <f t="shared" si="620"/>
        <v>600</v>
      </c>
      <c r="DG794" s="313">
        <f t="shared" si="602"/>
        <v>0</v>
      </c>
      <c r="DH794" s="313">
        <f t="shared" si="610"/>
        <v>0</v>
      </c>
      <c r="DI794" s="313">
        <f t="shared" si="611"/>
        <v>0</v>
      </c>
      <c r="DJ794" s="313">
        <f t="shared" si="612"/>
        <v>0</v>
      </c>
      <c r="DK794" s="313">
        <f t="shared" si="621"/>
        <v>0</v>
      </c>
      <c r="DL794" s="313">
        <f t="shared" si="613"/>
        <v>0</v>
      </c>
      <c r="DM794" s="314">
        <f t="shared" si="614"/>
        <v>0</v>
      </c>
      <c r="DN794" s="312">
        <f t="shared" si="615"/>
        <v>0</v>
      </c>
      <c r="DO794" s="312">
        <f t="shared" si="622"/>
        <v>0</v>
      </c>
      <c r="DP794" s="315" t="e">
        <f t="shared" si="607"/>
        <v>#NUM!</v>
      </c>
      <c r="DQ794" s="316">
        <f t="shared" si="616"/>
        <v>0</v>
      </c>
      <c r="DR794" s="316">
        <f t="shared" si="617"/>
        <v>0</v>
      </c>
      <c r="DS794" s="314">
        <f t="shared" si="618"/>
        <v>0</v>
      </c>
      <c r="DT794" s="316">
        <f t="shared" si="619"/>
        <v>0</v>
      </c>
      <c r="DU794" s="314">
        <f t="shared" si="608"/>
        <v>0</v>
      </c>
      <c r="DV794" s="316">
        <f t="shared" si="623"/>
        <v>0</v>
      </c>
      <c r="DW794" s="310">
        <f t="shared" si="609"/>
        <v>0</v>
      </c>
      <c r="FB794" s="307"/>
      <c r="FC794" s="307"/>
      <c r="FF794" s="307"/>
      <c r="FG794" s="307"/>
      <c r="FH794" s="306"/>
      <c r="FJ794" s="307"/>
      <c r="FK794" s="307"/>
      <c r="FL794" s="306"/>
      <c r="FM794" s="307"/>
      <c r="FN794" s="306"/>
      <c r="FO794" s="307"/>
      <c r="FP794" s="306"/>
    </row>
    <row r="795" spans="29:172">
      <c r="AC795" s="156"/>
      <c r="CW795" s="364"/>
      <c r="CX795" s="316"/>
      <c r="CY795" s="316"/>
      <c r="DA795" s="309">
        <v>794</v>
      </c>
      <c r="DB795" s="313">
        <f t="shared" si="603"/>
        <v>488.99236600736464</v>
      </c>
      <c r="DC795" s="309">
        <f t="shared" si="604"/>
        <v>4</v>
      </c>
      <c r="DD795" s="309">
        <f t="shared" si="605"/>
        <v>0</v>
      </c>
      <c r="DE795" s="308">
        <f t="shared" si="606"/>
        <v>0</v>
      </c>
      <c r="DF795" s="313">
        <f t="shared" si="620"/>
        <v>600</v>
      </c>
      <c r="DG795" s="313">
        <f t="shared" si="602"/>
        <v>0</v>
      </c>
      <c r="DH795" s="313">
        <f t="shared" si="610"/>
        <v>0</v>
      </c>
      <c r="DI795" s="313">
        <f t="shared" si="611"/>
        <v>0</v>
      </c>
      <c r="DJ795" s="313">
        <f t="shared" si="612"/>
        <v>0</v>
      </c>
      <c r="DK795" s="313">
        <f t="shared" si="621"/>
        <v>0</v>
      </c>
      <c r="DL795" s="313">
        <f t="shared" si="613"/>
        <v>0</v>
      </c>
      <c r="DM795" s="314">
        <f t="shared" si="614"/>
        <v>0</v>
      </c>
      <c r="DN795" s="312">
        <f t="shared" si="615"/>
        <v>0</v>
      </c>
      <c r="DO795" s="312">
        <f t="shared" si="622"/>
        <v>0</v>
      </c>
      <c r="DP795" s="315" t="e">
        <f t="shared" si="607"/>
        <v>#NUM!</v>
      </c>
      <c r="DQ795" s="316">
        <f t="shared" si="616"/>
        <v>0</v>
      </c>
      <c r="DR795" s="316">
        <f t="shared" si="617"/>
        <v>0</v>
      </c>
      <c r="DS795" s="314">
        <f t="shared" si="618"/>
        <v>0</v>
      </c>
      <c r="DT795" s="316">
        <f t="shared" si="619"/>
        <v>0</v>
      </c>
      <c r="DU795" s="314">
        <f t="shared" si="608"/>
        <v>0</v>
      </c>
      <c r="DV795" s="316">
        <f t="shared" si="623"/>
        <v>0</v>
      </c>
      <c r="DW795" s="310">
        <f t="shared" si="609"/>
        <v>0</v>
      </c>
      <c r="FB795" s="307"/>
      <c r="FC795" s="307"/>
      <c r="FF795" s="307"/>
      <c r="FG795" s="307"/>
      <c r="FH795" s="306"/>
      <c r="FJ795" s="307"/>
      <c r="FK795" s="307"/>
      <c r="FL795" s="306"/>
      <c r="FM795" s="307"/>
      <c r="FN795" s="306"/>
      <c r="FO795" s="307"/>
      <c r="FP795" s="306"/>
    </row>
    <row r="796" spans="29:172">
      <c r="AC796" s="156"/>
      <c r="CW796" s="364"/>
      <c r="CX796" s="316"/>
      <c r="CY796" s="316"/>
      <c r="DA796" s="309">
        <v>795</v>
      </c>
      <c r="DB796" s="313">
        <f t="shared" si="603"/>
        <v>489.35633624163086</v>
      </c>
      <c r="DC796" s="309">
        <f t="shared" si="604"/>
        <v>4</v>
      </c>
      <c r="DD796" s="309">
        <f t="shared" si="605"/>
        <v>0</v>
      </c>
      <c r="DE796" s="308">
        <f t="shared" si="606"/>
        <v>0</v>
      </c>
      <c r="DF796" s="313">
        <f t="shared" si="620"/>
        <v>600</v>
      </c>
      <c r="DG796" s="313">
        <f t="shared" si="602"/>
        <v>0</v>
      </c>
      <c r="DH796" s="313">
        <f t="shared" si="610"/>
        <v>0</v>
      </c>
      <c r="DI796" s="313">
        <f t="shared" si="611"/>
        <v>0</v>
      </c>
      <c r="DJ796" s="313">
        <f t="shared" si="612"/>
        <v>0</v>
      </c>
      <c r="DK796" s="313">
        <f t="shared" si="621"/>
        <v>0</v>
      </c>
      <c r="DL796" s="313">
        <f t="shared" si="613"/>
        <v>0</v>
      </c>
      <c r="DM796" s="314">
        <f t="shared" si="614"/>
        <v>0</v>
      </c>
      <c r="DN796" s="312">
        <f t="shared" si="615"/>
        <v>0</v>
      </c>
      <c r="DO796" s="312">
        <f t="shared" si="622"/>
        <v>0</v>
      </c>
      <c r="DP796" s="315" t="e">
        <f t="shared" si="607"/>
        <v>#NUM!</v>
      </c>
      <c r="DQ796" s="316">
        <f t="shared" si="616"/>
        <v>0</v>
      </c>
      <c r="DR796" s="316">
        <f t="shared" si="617"/>
        <v>0</v>
      </c>
      <c r="DS796" s="314">
        <f t="shared" si="618"/>
        <v>0</v>
      </c>
      <c r="DT796" s="316">
        <f t="shared" si="619"/>
        <v>0</v>
      </c>
      <c r="DU796" s="314">
        <f t="shared" si="608"/>
        <v>0</v>
      </c>
      <c r="DV796" s="316">
        <f t="shared" si="623"/>
        <v>0</v>
      </c>
      <c r="DW796" s="310">
        <f t="shared" si="609"/>
        <v>0</v>
      </c>
      <c r="FB796" s="307"/>
      <c r="FC796" s="307"/>
      <c r="FF796" s="307"/>
      <c r="FG796" s="307"/>
      <c r="FH796" s="306"/>
      <c r="FJ796" s="307"/>
      <c r="FK796" s="307"/>
      <c r="FL796" s="306"/>
      <c r="FM796" s="307"/>
      <c r="FN796" s="306"/>
      <c r="FO796" s="307"/>
      <c r="FP796" s="306"/>
    </row>
    <row r="797" spans="29:172">
      <c r="AC797" s="156"/>
      <c r="CW797" s="364"/>
      <c r="CX797" s="316"/>
      <c r="CY797" s="316"/>
      <c r="DA797" s="309">
        <v>796</v>
      </c>
      <c r="DB797" s="313">
        <f t="shared" si="603"/>
        <v>489.72030647589708</v>
      </c>
      <c r="DC797" s="309">
        <f t="shared" si="604"/>
        <v>4</v>
      </c>
      <c r="DD797" s="309">
        <f t="shared" si="605"/>
        <v>0</v>
      </c>
      <c r="DE797" s="308">
        <f t="shared" si="606"/>
        <v>0</v>
      </c>
      <c r="DF797" s="313">
        <f t="shared" si="620"/>
        <v>600</v>
      </c>
      <c r="DG797" s="313">
        <f t="shared" si="602"/>
        <v>0</v>
      </c>
      <c r="DH797" s="313">
        <f t="shared" si="610"/>
        <v>0</v>
      </c>
      <c r="DI797" s="313">
        <f t="shared" si="611"/>
        <v>0</v>
      </c>
      <c r="DJ797" s="313">
        <f t="shared" si="612"/>
        <v>0</v>
      </c>
      <c r="DK797" s="313">
        <f t="shared" si="621"/>
        <v>0</v>
      </c>
      <c r="DL797" s="313">
        <f t="shared" si="613"/>
        <v>0</v>
      </c>
      <c r="DM797" s="314">
        <f t="shared" si="614"/>
        <v>0</v>
      </c>
      <c r="DN797" s="312">
        <f t="shared" si="615"/>
        <v>0</v>
      </c>
      <c r="DO797" s="312">
        <f t="shared" si="622"/>
        <v>0</v>
      </c>
      <c r="DP797" s="315" t="e">
        <f t="shared" si="607"/>
        <v>#NUM!</v>
      </c>
      <c r="DQ797" s="316">
        <f t="shared" si="616"/>
        <v>0</v>
      </c>
      <c r="DR797" s="316">
        <f t="shared" si="617"/>
        <v>0</v>
      </c>
      <c r="DS797" s="314">
        <f t="shared" si="618"/>
        <v>0</v>
      </c>
      <c r="DT797" s="316">
        <f t="shared" si="619"/>
        <v>0</v>
      </c>
      <c r="DU797" s="314">
        <f t="shared" si="608"/>
        <v>0</v>
      </c>
      <c r="DV797" s="316">
        <f t="shared" si="623"/>
        <v>0</v>
      </c>
      <c r="DW797" s="310">
        <f t="shared" si="609"/>
        <v>0</v>
      </c>
      <c r="FB797" s="307"/>
      <c r="FC797" s="307"/>
      <c r="FF797" s="307"/>
      <c r="FG797" s="307"/>
      <c r="FH797" s="306"/>
      <c r="FJ797" s="307"/>
      <c r="FK797" s="307"/>
      <c r="FL797" s="306"/>
      <c r="FM797" s="307"/>
      <c r="FN797" s="306"/>
      <c r="FO797" s="307"/>
      <c r="FP797" s="306"/>
    </row>
    <row r="798" spans="29:172">
      <c r="AC798" s="156"/>
      <c r="CW798" s="364"/>
      <c r="CX798" s="316"/>
      <c r="CY798" s="316"/>
      <c r="DA798" s="309">
        <v>797</v>
      </c>
      <c r="DB798" s="313">
        <f t="shared" si="603"/>
        <v>490.08427671016329</v>
      </c>
      <c r="DC798" s="309">
        <f t="shared" si="604"/>
        <v>4</v>
      </c>
      <c r="DD798" s="309">
        <f t="shared" si="605"/>
        <v>0</v>
      </c>
      <c r="DE798" s="308">
        <f t="shared" si="606"/>
        <v>0</v>
      </c>
      <c r="DF798" s="313">
        <f t="shared" si="620"/>
        <v>600</v>
      </c>
      <c r="DG798" s="313">
        <f t="shared" si="602"/>
        <v>0</v>
      </c>
      <c r="DH798" s="313">
        <f t="shared" si="610"/>
        <v>0</v>
      </c>
      <c r="DI798" s="313">
        <f t="shared" si="611"/>
        <v>0</v>
      </c>
      <c r="DJ798" s="313">
        <f t="shared" si="612"/>
        <v>0</v>
      </c>
      <c r="DK798" s="313">
        <f t="shared" si="621"/>
        <v>0</v>
      </c>
      <c r="DL798" s="313">
        <f t="shared" si="613"/>
        <v>0</v>
      </c>
      <c r="DM798" s="314">
        <f t="shared" si="614"/>
        <v>0</v>
      </c>
      <c r="DN798" s="312">
        <f t="shared" si="615"/>
        <v>0</v>
      </c>
      <c r="DO798" s="312">
        <f t="shared" si="622"/>
        <v>0</v>
      </c>
      <c r="DP798" s="315" t="e">
        <f t="shared" si="607"/>
        <v>#NUM!</v>
      </c>
      <c r="DQ798" s="316">
        <f t="shared" si="616"/>
        <v>0</v>
      </c>
      <c r="DR798" s="316">
        <f t="shared" si="617"/>
        <v>0</v>
      </c>
      <c r="DS798" s="314">
        <f t="shared" si="618"/>
        <v>0</v>
      </c>
      <c r="DT798" s="316">
        <f t="shared" si="619"/>
        <v>0</v>
      </c>
      <c r="DU798" s="314">
        <f t="shared" si="608"/>
        <v>0</v>
      </c>
      <c r="DV798" s="316">
        <f t="shared" si="623"/>
        <v>0</v>
      </c>
      <c r="DW798" s="310">
        <f t="shared" si="609"/>
        <v>0</v>
      </c>
      <c r="FB798" s="307"/>
      <c r="FC798" s="307"/>
      <c r="FF798" s="307"/>
      <c r="FG798" s="307"/>
      <c r="FH798" s="306"/>
      <c r="FJ798" s="307"/>
      <c r="FK798" s="307"/>
      <c r="FL798" s="306"/>
      <c r="FM798" s="307"/>
      <c r="FN798" s="306"/>
      <c r="FO798" s="307"/>
      <c r="FP798" s="306"/>
    </row>
    <row r="799" spans="29:172">
      <c r="AC799" s="156"/>
      <c r="CW799" s="364"/>
      <c r="CX799" s="316"/>
      <c r="CY799" s="316"/>
      <c r="DA799" s="309">
        <v>798</v>
      </c>
      <c r="DB799" s="313">
        <f t="shared" si="603"/>
        <v>490.44824694442946</v>
      </c>
      <c r="DC799" s="309">
        <f t="shared" si="604"/>
        <v>4</v>
      </c>
      <c r="DD799" s="309">
        <f t="shared" si="605"/>
        <v>0</v>
      </c>
      <c r="DE799" s="308">
        <f t="shared" si="606"/>
        <v>0</v>
      </c>
      <c r="DF799" s="313">
        <f t="shared" si="620"/>
        <v>600</v>
      </c>
      <c r="DG799" s="313">
        <f t="shared" si="602"/>
        <v>0</v>
      </c>
      <c r="DH799" s="313">
        <f t="shared" si="610"/>
        <v>0</v>
      </c>
      <c r="DI799" s="313">
        <f t="shared" si="611"/>
        <v>0</v>
      </c>
      <c r="DJ799" s="313">
        <f t="shared" si="612"/>
        <v>0</v>
      </c>
      <c r="DK799" s="313">
        <f t="shared" si="621"/>
        <v>0</v>
      </c>
      <c r="DL799" s="313">
        <f t="shared" si="613"/>
        <v>0</v>
      </c>
      <c r="DM799" s="314">
        <f t="shared" si="614"/>
        <v>0</v>
      </c>
      <c r="DN799" s="312">
        <f t="shared" si="615"/>
        <v>0</v>
      </c>
      <c r="DO799" s="312">
        <f t="shared" si="622"/>
        <v>0</v>
      </c>
      <c r="DP799" s="315" t="e">
        <f t="shared" si="607"/>
        <v>#NUM!</v>
      </c>
      <c r="DQ799" s="316">
        <f t="shared" si="616"/>
        <v>0</v>
      </c>
      <c r="DR799" s="316">
        <f t="shared" si="617"/>
        <v>0</v>
      </c>
      <c r="DS799" s="314">
        <f t="shared" si="618"/>
        <v>0</v>
      </c>
      <c r="DT799" s="316">
        <f t="shared" si="619"/>
        <v>0</v>
      </c>
      <c r="DU799" s="314">
        <f t="shared" si="608"/>
        <v>0</v>
      </c>
      <c r="DV799" s="316">
        <f t="shared" si="623"/>
        <v>0</v>
      </c>
      <c r="DW799" s="310">
        <f t="shared" si="609"/>
        <v>0</v>
      </c>
      <c r="FB799" s="307"/>
      <c r="FC799" s="307"/>
      <c r="FF799" s="307"/>
      <c r="FG799" s="307"/>
      <c r="FH799" s="306"/>
      <c r="FJ799" s="307"/>
      <c r="FK799" s="307"/>
      <c r="FL799" s="306"/>
      <c r="FM799" s="307"/>
      <c r="FN799" s="306"/>
      <c r="FO799" s="307"/>
      <c r="FP799" s="306"/>
    </row>
    <row r="800" spans="29:172">
      <c r="AC800" s="156"/>
      <c r="CW800" s="364"/>
      <c r="CX800" s="316"/>
      <c r="CY800" s="316"/>
      <c r="DA800" s="309">
        <v>799</v>
      </c>
      <c r="DB800" s="313">
        <f t="shared" si="603"/>
        <v>490.81221717869568</v>
      </c>
      <c r="DC800" s="309">
        <f t="shared" si="604"/>
        <v>4</v>
      </c>
      <c r="DD800" s="309">
        <f t="shared" si="605"/>
        <v>0</v>
      </c>
      <c r="DE800" s="308">
        <f t="shared" si="606"/>
        <v>0</v>
      </c>
      <c r="DF800" s="313">
        <f t="shared" si="620"/>
        <v>600</v>
      </c>
      <c r="DG800" s="313">
        <f t="shared" si="602"/>
        <v>0</v>
      </c>
      <c r="DH800" s="313">
        <f t="shared" si="610"/>
        <v>0</v>
      </c>
      <c r="DI800" s="313">
        <f t="shared" si="611"/>
        <v>0</v>
      </c>
      <c r="DJ800" s="313">
        <f t="shared" si="612"/>
        <v>0</v>
      </c>
      <c r="DK800" s="313">
        <f t="shared" si="621"/>
        <v>0</v>
      </c>
      <c r="DL800" s="313">
        <f t="shared" si="613"/>
        <v>0</v>
      </c>
      <c r="DM800" s="314">
        <f t="shared" si="614"/>
        <v>0</v>
      </c>
      <c r="DN800" s="312">
        <f t="shared" si="615"/>
        <v>0</v>
      </c>
      <c r="DO800" s="312">
        <f t="shared" si="622"/>
        <v>0</v>
      </c>
      <c r="DP800" s="315" t="e">
        <f t="shared" si="607"/>
        <v>#NUM!</v>
      </c>
      <c r="DQ800" s="316">
        <f t="shared" si="616"/>
        <v>0</v>
      </c>
      <c r="DR800" s="316">
        <f t="shared" si="617"/>
        <v>0</v>
      </c>
      <c r="DS800" s="314">
        <f t="shared" si="618"/>
        <v>0</v>
      </c>
      <c r="DT800" s="316">
        <f t="shared" si="619"/>
        <v>0</v>
      </c>
      <c r="DU800" s="314">
        <f t="shared" si="608"/>
        <v>0</v>
      </c>
      <c r="DV800" s="316">
        <f t="shared" si="623"/>
        <v>0</v>
      </c>
      <c r="DW800" s="310">
        <f t="shared" si="609"/>
        <v>0</v>
      </c>
      <c r="FB800" s="307"/>
      <c r="FC800" s="307"/>
      <c r="FF800" s="307"/>
      <c r="FG800" s="307"/>
      <c r="FH800" s="306"/>
      <c r="FJ800" s="307"/>
      <c r="FK800" s="307"/>
      <c r="FL800" s="306"/>
      <c r="FM800" s="307"/>
      <c r="FN800" s="306"/>
      <c r="FO800" s="307"/>
      <c r="FP800" s="306"/>
    </row>
    <row r="801" spans="29:172">
      <c r="AC801" s="156"/>
      <c r="CW801" s="364"/>
      <c r="CX801" s="316"/>
      <c r="CY801" s="316"/>
      <c r="DA801" s="309">
        <v>800</v>
      </c>
      <c r="DB801" s="313">
        <f t="shared" si="603"/>
        <v>491.17618741296189</v>
      </c>
      <c r="DC801" s="309">
        <f t="shared" si="604"/>
        <v>4</v>
      </c>
      <c r="DD801" s="309">
        <f t="shared" si="605"/>
        <v>0</v>
      </c>
      <c r="DE801" s="308">
        <f t="shared" si="606"/>
        <v>0</v>
      </c>
      <c r="DF801" s="313">
        <f t="shared" si="620"/>
        <v>600</v>
      </c>
      <c r="DG801" s="313">
        <f t="shared" si="602"/>
        <v>0</v>
      </c>
      <c r="DH801" s="313">
        <f t="shared" si="610"/>
        <v>0</v>
      </c>
      <c r="DI801" s="313">
        <f t="shared" si="611"/>
        <v>0</v>
      </c>
      <c r="DJ801" s="313">
        <f t="shared" si="612"/>
        <v>0</v>
      </c>
      <c r="DK801" s="313">
        <f t="shared" si="621"/>
        <v>0</v>
      </c>
      <c r="DL801" s="313">
        <f t="shared" si="613"/>
        <v>0</v>
      </c>
      <c r="DM801" s="314">
        <f t="shared" si="614"/>
        <v>0</v>
      </c>
      <c r="DN801" s="312">
        <f t="shared" si="615"/>
        <v>0</v>
      </c>
      <c r="DO801" s="312">
        <f t="shared" si="622"/>
        <v>0</v>
      </c>
      <c r="DP801" s="315" t="e">
        <f t="shared" si="607"/>
        <v>#NUM!</v>
      </c>
      <c r="DQ801" s="316">
        <f t="shared" si="616"/>
        <v>0</v>
      </c>
      <c r="DR801" s="316">
        <f t="shared" si="617"/>
        <v>0</v>
      </c>
      <c r="DS801" s="314">
        <f t="shared" si="618"/>
        <v>0</v>
      </c>
      <c r="DT801" s="316">
        <f t="shared" si="619"/>
        <v>0</v>
      </c>
      <c r="DU801" s="314">
        <f t="shared" si="608"/>
        <v>0</v>
      </c>
      <c r="DV801" s="316">
        <f t="shared" si="623"/>
        <v>0</v>
      </c>
      <c r="DW801" s="310">
        <f t="shared" si="609"/>
        <v>0</v>
      </c>
      <c r="FB801" s="307"/>
      <c r="FC801" s="307"/>
      <c r="FF801" s="307"/>
      <c r="FG801" s="307"/>
      <c r="FH801" s="306"/>
      <c r="FJ801" s="307"/>
      <c r="FK801" s="307"/>
      <c r="FL801" s="306"/>
      <c r="FM801" s="307"/>
      <c r="FN801" s="306"/>
      <c r="FO801" s="307"/>
      <c r="FP801" s="306"/>
    </row>
    <row r="802" spans="29:172">
      <c r="AC802" s="156"/>
      <c r="CW802" s="364"/>
      <c r="CX802" s="316"/>
      <c r="CY802" s="316"/>
      <c r="DA802" s="309">
        <v>801</v>
      </c>
      <c r="DB802" s="313">
        <f t="shared" si="603"/>
        <v>491.54015764722806</v>
      </c>
      <c r="DC802" s="309">
        <f t="shared" si="604"/>
        <v>4</v>
      </c>
      <c r="DD802" s="309">
        <f t="shared" si="605"/>
        <v>0</v>
      </c>
      <c r="DE802" s="308">
        <f t="shared" si="606"/>
        <v>0</v>
      </c>
      <c r="DF802" s="313">
        <f t="shared" si="620"/>
        <v>600</v>
      </c>
      <c r="DG802" s="313">
        <f t="shared" si="602"/>
        <v>0</v>
      </c>
      <c r="DH802" s="313">
        <f t="shared" si="610"/>
        <v>0</v>
      </c>
      <c r="DI802" s="313">
        <f t="shared" si="611"/>
        <v>0</v>
      </c>
      <c r="DJ802" s="313">
        <f t="shared" si="612"/>
        <v>0</v>
      </c>
      <c r="DK802" s="313">
        <f t="shared" si="621"/>
        <v>0</v>
      </c>
      <c r="DL802" s="313">
        <f t="shared" si="613"/>
        <v>0</v>
      </c>
      <c r="DM802" s="314">
        <f t="shared" si="614"/>
        <v>0</v>
      </c>
      <c r="DN802" s="312">
        <f t="shared" si="615"/>
        <v>0</v>
      </c>
      <c r="DO802" s="312">
        <f t="shared" si="622"/>
        <v>0</v>
      </c>
      <c r="DP802" s="315" t="e">
        <f t="shared" si="607"/>
        <v>#NUM!</v>
      </c>
      <c r="DQ802" s="316">
        <f t="shared" si="616"/>
        <v>0</v>
      </c>
      <c r="DR802" s="316">
        <f t="shared" si="617"/>
        <v>0</v>
      </c>
      <c r="DS802" s="314">
        <f t="shared" si="618"/>
        <v>0</v>
      </c>
      <c r="DT802" s="316">
        <f t="shared" si="619"/>
        <v>0</v>
      </c>
      <c r="DU802" s="314">
        <f t="shared" si="608"/>
        <v>0</v>
      </c>
      <c r="DV802" s="316">
        <f t="shared" si="623"/>
        <v>0</v>
      </c>
      <c r="DW802" s="310">
        <f t="shared" si="609"/>
        <v>0</v>
      </c>
      <c r="FB802" s="307"/>
      <c r="FC802" s="307"/>
      <c r="FF802" s="307"/>
      <c r="FG802" s="307"/>
      <c r="FH802" s="306"/>
      <c r="FJ802" s="307"/>
      <c r="FK802" s="307"/>
      <c r="FL802" s="306"/>
      <c r="FM802" s="307"/>
      <c r="FN802" s="306"/>
      <c r="FO802" s="307"/>
      <c r="FP802" s="306"/>
    </row>
    <row r="803" spans="29:172">
      <c r="AC803" s="156"/>
      <c r="CW803" s="364"/>
      <c r="CX803" s="316"/>
      <c r="CY803" s="316"/>
      <c r="DA803" s="309">
        <v>802</v>
      </c>
      <c r="DB803" s="313">
        <f t="shared" si="603"/>
        <v>491.90412788149428</v>
      </c>
      <c r="DC803" s="309">
        <f t="shared" si="604"/>
        <v>4</v>
      </c>
      <c r="DD803" s="309">
        <f t="shared" si="605"/>
        <v>0</v>
      </c>
      <c r="DE803" s="308">
        <f t="shared" si="606"/>
        <v>0</v>
      </c>
      <c r="DF803" s="313">
        <f t="shared" si="620"/>
        <v>600</v>
      </c>
      <c r="DG803" s="313">
        <f t="shared" si="602"/>
        <v>0</v>
      </c>
      <c r="DH803" s="313">
        <f t="shared" si="610"/>
        <v>0</v>
      </c>
      <c r="DI803" s="313">
        <f t="shared" si="611"/>
        <v>0</v>
      </c>
      <c r="DJ803" s="313">
        <f t="shared" si="612"/>
        <v>0</v>
      </c>
      <c r="DK803" s="313">
        <f t="shared" si="621"/>
        <v>0</v>
      </c>
      <c r="DL803" s="313">
        <f t="shared" si="613"/>
        <v>0</v>
      </c>
      <c r="DM803" s="314">
        <f t="shared" si="614"/>
        <v>0</v>
      </c>
      <c r="DN803" s="312">
        <f t="shared" si="615"/>
        <v>0</v>
      </c>
      <c r="DO803" s="312">
        <f t="shared" si="622"/>
        <v>0</v>
      </c>
      <c r="DP803" s="315" t="e">
        <f t="shared" si="607"/>
        <v>#NUM!</v>
      </c>
      <c r="DQ803" s="316">
        <f t="shared" si="616"/>
        <v>0</v>
      </c>
      <c r="DR803" s="316">
        <f t="shared" si="617"/>
        <v>0</v>
      </c>
      <c r="DS803" s="314">
        <f t="shared" si="618"/>
        <v>0</v>
      </c>
      <c r="DT803" s="316">
        <f t="shared" si="619"/>
        <v>0</v>
      </c>
      <c r="DU803" s="314">
        <f t="shared" si="608"/>
        <v>0</v>
      </c>
      <c r="DV803" s="316">
        <f t="shared" si="623"/>
        <v>0</v>
      </c>
      <c r="DW803" s="310">
        <f t="shared" si="609"/>
        <v>0</v>
      </c>
      <c r="FB803" s="307"/>
      <c r="FC803" s="307"/>
      <c r="FF803" s="307"/>
      <c r="FG803" s="307"/>
      <c r="FH803" s="306"/>
      <c r="FJ803" s="307"/>
      <c r="FK803" s="307"/>
      <c r="FL803" s="306"/>
      <c r="FM803" s="307"/>
      <c r="FN803" s="306"/>
      <c r="FO803" s="307"/>
      <c r="FP803" s="306"/>
    </row>
    <row r="804" spans="29:172">
      <c r="AC804" s="156"/>
      <c r="CW804" s="364"/>
      <c r="CX804" s="316"/>
      <c r="CY804" s="316"/>
      <c r="DA804" s="309">
        <v>803</v>
      </c>
      <c r="DB804" s="313">
        <f t="shared" si="603"/>
        <v>492.26809811576049</v>
      </c>
      <c r="DC804" s="309">
        <f t="shared" si="604"/>
        <v>4</v>
      </c>
      <c r="DD804" s="309">
        <f t="shared" si="605"/>
        <v>0</v>
      </c>
      <c r="DE804" s="308">
        <f t="shared" si="606"/>
        <v>0</v>
      </c>
      <c r="DF804" s="313">
        <f t="shared" si="620"/>
        <v>600</v>
      </c>
      <c r="DG804" s="313">
        <f t="shared" si="602"/>
        <v>0</v>
      </c>
      <c r="DH804" s="313">
        <f t="shared" si="610"/>
        <v>0</v>
      </c>
      <c r="DI804" s="313">
        <f t="shared" si="611"/>
        <v>0</v>
      </c>
      <c r="DJ804" s="313">
        <f t="shared" si="612"/>
        <v>0</v>
      </c>
      <c r="DK804" s="313">
        <f t="shared" si="621"/>
        <v>0</v>
      </c>
      <c r="DL804" s="313">
        <f t="shared" si="613"/>
        <v>0</v>
      </c>
      <c r="DM804" s="314">
        <f t="shared" si="614"/>
        <v>0</v>
      </c>
      <c r="DN804" s="312">
        <f t="shared" si="615"/>
        <v>0</v>
      </c>
      <c r="DO804" s="312">
        <f t="shared" si="622"/>
        <v>0</v>
      </c>
      <c r="DP804" s="315" t="e">
        <f t="shared" si="607"/>
        <v>#NUM!</v>
      </c>
      <c r="DQ804" s="316">
        <f t="shared" si="616"/>
        <v>0</v>
      </c>
      <c r="DR804" s="316">
        <f t="shared" si="617"/>
        <v>0</v>
      </c>
      <c r="DS804" s="314">
        <f t="shared" si="618"/>
        <v>0</v>
      </c>
      <c r="DT804" s="316">
        <f t="shared" si="619"/>
        <v>0</v>
      </c>
      <c r="DU804" s="314">
        <f t="shared" si="608"/>
        <v>0</v>
      </c>
      <c r="DV804" s="316">
        <f t="shared" si="623"/>
        <v>0</v>
      </c>
      <c r="DW804" s="310">
        <f t="shared" si="609"/>
        <v>0</v>
      </c>
      <c r="FB804" s="307"/>
      <c r="FC804" s="307"/>
      <c r="FF804" s="307"/>
      <c r="FG804" s="307"/>
      <c r="FH804" s="306"/>
      <c r="FJ804" s="307"/>
      <c r="FK804" s="307"/>
      <c r="FL804" s="306"/>
      <c r="FM804" s="307"/>
      <c r="FN804" s="306"/>
      <c r="FO804" s="307"/>
      <c r="FP804" s="306"/>
    </row>
    <row r="805" spans="29:172">
      <c r="AC805" s="156"/>
      <c r="CW805" s="364"/>
      <c r="CX805" s="316"/>
      <c r="CY805" s="316"/>
      <c r="DA805" s="309">
        <v>804</v>
      </c>
      <c r="DB805" s="313">
        <f t="shared" si="603"/>
        <v>492.63206835002666</v>
      </c>
      <c r="DC805" s="309">
        <f t="shared" si="604"/>
        <v>4</v>
      </c>
      <c r="DD805" s="309">
        <f t="shared" si="605"/>
        <v>0</v>
      </c>
      <c r="DE805" s="308">
        <f t="shared" si="606"/>
        <v>0</v>
      </c>
      <c r="DF805" s="313">
        <f t="shared" si="620"/>
        <v>600</v>
      </c>
      <c r="DG805" s="313">
        <f t="shared" si="602"/>
        <v>0</v>
      </c>
      <c r="DH805" s="313">
        <f t="shared" si="610"/>
        <v>0</v>
      </c>
      <c r="DI805" s="313">
        <f t="shared" si="611"/>
        <v>0</v>
      </c>
      <c r="DJ805" s="313">
        <f t="shared" si="612"/>
        <v>0</v>
      </c>
      <c r="DK805" s="313">
        <f t="shared" si="621"/>
        <v>0</v>
      </c>
      <c r="DL805" s="313">
        <f t="shared" si="613"/>
        <v>0</v>
      </c>
      <c r="DM805" s="314">
        <f t="shared" si="614"/>
        <v>0</v>
      </c>
      <c r="DN805" s="312">
        <f t="shared" si="615"/>
        <v>0</v>
      </c>
      <c r="DO805" s="312">
        <f t="shared" si="622"/>
        <v>0</v>
      </c>
      <c r="DP805" s="315" t="e">
        <f t="shared" si="607"/>
        <v>#NUM!</v>
      </c>
      <c r="DQ805" s="316">
        <f t="shared" si="616"/>
        <v>0</v>
      </c>
      <c r="DR805" s="316">
        <f t="shared" si="617"/>
        <v>0</v>
      </c>
      <c r="DS805" s="314">
        <f t="shared" si="618"/>
        <v>0</v>
      </c>
      <c r="DT805" s="316">
        <f t="shared" si="619"/>
        <v>0</v>
      </c>
      <c r="DU805" s="314">
        <f t="shared" si="608"/>
        <v>0</v>
      </c>
      <c r="DV805" s="316">
        <f t="shared" si="623"/>
        <v>0</v>
      </c>
      <c r="DW805" s="310">
        <f t="shared" si="609"/>
        <v>0</v>
      </c>
      <c r="FB805" s="307"/>
      <c r="FC805" s="307"/>
      <c r="FF805" s="307"/>
      <c r="FG805" s="307"/>
      <c r="FH805" s="306"/>
      <c r="FJ805" s="307"/>
      <c r="FK805" s="307"/>
      <c r="FL805" s="306"/>
      <c r="FM805" s="307"/>
      <c r="FN805" s="306"/>
      <c r="FO805" s="307"/>
      <c r="FP805" s="306"/>
    </row>
    <row r="806" spans="29:172">
      <c r="AC806" s="156"/>
      <c r="CW806" s="364"/>
      <c r="CX806" s="316"/>
      <c r="CY806" s="316"/>
      <c r="DA806" s="309">
        <v>805</v>
      </c>
      <c r="DB806" s="313">
        <f t="shared" si="603"/>
        <v>492.99603858429288</v>
      </c>
      <c r="DC806" s="309">
        <f t="shared" si="604"/>
        <v>4</v>
      </c>
      <c r="DD806" s="309">
        <f t="shared" si="605"/>
        <v>0</v>
      </c>
      <c r="DE806" s="308">
        <f t="shared" si="606"/>
        <v>0</v>
      </c>
      <c r="DF806" s="313">
        <f t="shared" si="620"/>
        <v>600</v>
      </c>
      <c r="DG806" s="313">
        <f t="shared" si="602"/>
        <v>0</v>
      </c>
      <c r="DH806" s="313">
        <f t="shared" si="610"/>
        <v>0</v>
      </c>
      <c r="DI806" s="313">
        <f t="shared" si="611"/>
        <v>0</v>
      </c>
      <c r="DJ806" s="313">
        <f t="shared" si="612"/>
        <v>0</v>
      </c>
      <c r="DK806" s="313">
        <f t="shared" si="621"/>
        <v>0</v>
      </c>
      <c r="DL806" s="313">
        <f t="shared" si="613"/>
        <v>0</v>
      </c>
      <c r="DM806" s="314">
        <f t="shared" si="614"/>
        <v>0</v>
      </c>
      <c r="DN806" s="312">
        <f t="shared" si="615"/>
        <v>0</v>
      </c>
      <c r="DO806" s="312">
        <f t="shared" si="622"/>
        <v>0</v>
      </c>
      <c r="DP806" s="315" t="e">
        <f t="shared" si="607"/>
        <v>#NUM!</v>
      </c>
      <c r="DQ806" s="316">
        <f t="shared" si="616"/>
        <v>0</v>
      </c>
      <c r="DR806" s="316">
        <f t="shared" si="617"/>
        <v>0</v>
      </c>
      <c r="DS806" s="314">
        <f t="shared" si="618"/>
        <v>0</v>
      </c>
      <c r="DT806" s="316">
        <f t="shared" si="619"/>
        <v>0</v>
      </c>
      <c r="DU806" s="314">
        <f t="shared" si="608"/>
        <v>0</v>
      </c>
      <c r="DV806" s="316">
        <f t="shared" si="623"/>
        <v>0</v>
      </c>
      <c r="DW806" s="310">
        <f t="shared" si="609"/>
        <v>0</v>
      </c>
      <c r="FB806" s="307"/>
      <c r="FC806" s="307"/>
      <c r="FF806" s="307"/>
      <c r="FG806" s="307"/>
      <c r="FH806" s="306"/>
      <c r="FJ806" s="307"/>
      <c r="FK806" s="307"/>
      <c r="FL806" s="306"/>
      <c r="FM806" s="307"/>
      <c r="FN806" s="306"/>
      <c r="FO806" s="307"/>
      <c r="FP806" s="306"/>
    </row>
    <row r="807" spans="29:172">
      <c r="AC807" s="156"/>
      <c r="CW807" s="364"/>
      <c r="CX807" s="316"/>
      <c r="CY807" s="316"/>
      <c r="DA807" s="309">
        <v>806</v>
      </c>
      <c r="DB807" s="313">
        <f t="shared" si="603"/>
        <v>493.36000881855909</v>
      </c>
      <c r="DC807" s="309">
        <f t="shared" si="604"/>
        <v>4</v>
      </c>
      <c r="DD807" s="309">
        <f t="shared" si="605"/>
        <v>0</v>
      </c>
      <c r="DE807" s="308">
        <f t="shared" si="606"/>
        <v>0</v>
      </c>
      <c r="DF807" s="313">
        <f t="shared" si="620"/>
        <v>600</v>
      </c>
      <c r="DG807" s="313">
        <f t="shared" si="602"/>
        <v>0</v>
      </c>
      <c r="DH807" s="313">
        <f t="shared" si="610"/>
        <v>0</v>
      </c>
      <c r="DI807" s="313">
        <f t="shared" si="611"/>
        <v>0</v>
      </c>
      <c r="DJ807" s="313">
        <f t="shared" si="612"/>
        <v>0</v>
      </c>
      <c r="DK807" s="313">
        <f t="shared" si="621"/>
        <v>0</v>
      </c>
      <c r="DL807" s="313">
        <f t="shared" si="613"/>
        <v>0</v>
      </c>
      <c r="DM807" s="314">
        <f t="shared" si="614"/>
        <v>0</v>
      </c>
      <c r="DN807" s="312">
        <f t="shared" si="615"/>
        <v>0</v>
      </c>
      <c r="DO807" s="312">
        <f t="shared" si="622"/>
        <v>0</v>
      </c>
      <c r="DP807" s="315" t="e">
        <f t="shared" si="607"/>
        <v>#NUM!</v>
      </c>
      <c r="DQ807" s="316">
        <f t="shared" si="616"/>
        <v>0</v>
      </c>
      <c r="DR807" s="316">
        <f t="shared" si="617"/>
        <v>0</v>
      </c>
      <c r="DS807" s="314">
        <f t="shared" si="618"/>
        <v>0</v>
      </c>
      <c r="DT807" s="316">
        <f t="shared" si="619"/>
        <v>0</v>
      </c>
      <c r="DU807" s="314">
        <f t="shared" si="608"/>
        <v>0</v>
      </c>
      <c r="DV807" s="316">
        <f t="shared" si="623"/>
        <v>0</v>
      </c>
      <c r="DW807" s="310">
        <f t="shared" si="609"/>
        <v>0</v>
      </c>
      <c r="FB807" s="307"/>
      <c r="FC807" s="307"/>
      <c r="FF807" s="307"/>
      <c r="FG807" s="307"/>
      <c r="FH807" s="306"/>
      <c r="FJ807" s="307"/>
      <c r="FK807" s="307"/>
      <c r="FL807" s="306"/>
      <c r="FM807" s="307"/>
      <c r="FN807" s="306"/>
      <c r="FO807" s="307"/>
      <c r="FP807" s="306"/>
    </row>
    <row r="808" spans="29:172">
      <c r="AC808" s="156"/>
      <c r="CW808" s="364"/>
      <c r="CX808" s="316"/>
      <c r="CY808" s="316"/>
      <c r="DA808" s="309">
        <v>807</v>
      </c>
      <c r="DB808" s="313">
        <f t="shared" si="603"/>
        <v>493.72397905282531</v>
      </c>
      <c r="DC808" s="309">
        <f t="shared" si="604"/>
        <v>4</v>
      </c>
      <c r="DD808" s="309">
        <f t="shared" si="605"/>
        <v>0</v>
      </c>
      <c r="DE808" s="308">
        <f t="shared" si="606"/>
        <v>0</v>
      </c>
      <c r="DF808" s="313">
        <f t="shared" si="620"/>
        <v>600</v>
      </c>
      <c r="DG808" s="313">
        <f t="shared" si="602"/>
        <v>0</v>
      </c>
      <c r="DH808" s="313">
        <f t="shared" si="610"/>
        <v>0</v>
      </c>
      <c r="DI808" s="313">
        <f t="shared" si="611"/>
        <v>0</v>
      </c>
      <c r="DJ808" s="313">
        <f t="shared" si="612"/>
        <v>0</v>
      </c>
      <c r="DK808" s="313">
        <f t="shared" si="621"/>
        <v>0</v>
      </c>
      <c r="DL808" s="313">
        <f t="shared" si="613"/>
        <v>0</v>
      </c>
      <c r="DM808" s="314">
        <f t="shared" si="614"/>
        <v>0</v>
      </c>
      <c r="DN808" s="312">
        <f t="shared" si="615"/>
        <v>0</v>
      </c>
      <c r="DO808" s="312">
        <f t="shared" si="622"/>
        <v>0</v>
      </c>
      <c r="DP808" s="315" t="e">
        <f t="shared" si="607"/>
        <v>#NUM!</v>
      </c>
      <c r="DQ808" s="316">
        <f t="shared" si="616"/>
        <v>0</v>
      </c>
      <c r="DR808" s="316">
        <f t="shared" si="617"/>
        <v>0</v>
      </c>
      <c r="DS808" s="314">
        <f t="shared" si="618"/>
        <v>0</v>
      </c>
      <c r="DT808" s="316">
        <f t="shared" si="619"/>
        <v>0</v>
      </c>
      <c r="DU808" s="314">
        <f t="shared" si="608"/>
        <v>0</v>
      </c>
      <c r="DV808" s="316">
        <f t="shared" si="623"/>
        <v>0</v>
      </c>
      <c r="DW808" s="310">
        <f t="shared" si="609"/>
        <v>0</v>
      </c>
      <c r="FB808" s="307"/>
      <c r="FC808" s="307"/>
      <c r="FF808" s="307"/>
      <c r="FG808" s="307"/>
      <c r="FH808" s="306"/>
      <c r="FJ808" s="307"/>
      <c r="FK808" s="307"/>
      <c r="FL808" s="306"/>
      <c r="FM808" s="307"/>
      <c r="FN808" s="306"/>
      <c r="FO808" s="307"/>
      <c r="FP808" s="306"/>
    </row>
    <row r="809" spans="29:172">
      <c r="AC809" s="156"/>
      <c r="CW809" s="364"/>
      <c r="CX809" s="316"/>
      <c r="CY809" s="316"/>
      <c r="DA809" s="309">
        <v>808</v>
      </c>
      <c r="DB809" s="313">
        <f t="shared" si="603"/>
        <v>494.08794928709148</v>
      </c>
      <c r="DC809" s="309">
        <f t="shared" si="604"/>
        <v>4</v>
      </c>
      <c r="DD809" s="309">
        <f t="shared" si="605"/>
        <v>0</v>
      </c>
      <c r="DE809" s="308">
        <f t="shared" si="606"/>
        <v>0</v>
      </c>
      <c r="DF809" s="313">
        <f t="shared" si="620"/>
        <v>600</v>
      </c>
      <c r="DG809" s="313">
        <f t="shared" si="602"/>
        <v>0</v>
      </c>
      <c r="DH809" s="313">
        <f t="shared" si="610"/>
        <v>0</v>
      </c>
      <c r="DI809" s="313">
        <f t="shared" si="611"/>
        <v>0</v>
      </c>
      <c r="DJ809" s="313">
        <f t="shared" si="612"/>
        <v>0</v>
      </c>
      <c r="DK809" s="313">
        <f t="shared" si="621"/>
        <v>0</v>
      </c>
      <c r="DL809" s="313">
        <f t="shared" si="613"/>
        <v>0</v>
      </c>
      <c r="DM809" s="314">
        <f t="shared" si="614"/>
        <v>0</v>
      </c>
      <c r="DN809" s="312">
        <f t="shared" si="615"/>
        <v>0</v>
      </c>
      <c r="DO809" s="312">
        <f t="shared" si="622"/>
        <v>0</v>
      </c>
      <c r="DP809" s="315" t="e">
        <f t="shared" si="607"/>
        <v>#NUM!</v>
      </c>
      <c r="DQ809" s="316">
        <f t="shared" si="616"/>
        <v>0</v>
      </c>
      <c r="DR809" s="316">
        <f t="shared" si="617"/>
        <v>0</v>
      </c>
      <c r="DS809" s="314">
        <f t="shared" si="618"/>
        <v>0</v>
      </c>
      <c r="DT809" s="316">
        <f t="shared" si="619"/>
        <v>0</v>
      </c>
      <c r="DU809" s="314">
        <f t="shared" si="608"/>
        <v>0</v>
      </c>
      <c r="DV809" s="316">
        <f t="shared" si="623"/>
        <v>0</v>
      </c>
      <c r="DW809" s="310">
        <f t="shared" si="609"/>
        <v>0</v>
      </c>
      <c r="FB809" s="307"/>
      <c r="FC809" s="307"/>
      <c r="FF809" s="307"/>
      <c r="FG809" s="307"/>
      <c r="FH809" s="306"/>
      <c r="FJ809" s="307"/>
      <c r="FK809" s="307"/>
      <c r="FL809" s="306"/>
      <c r="FM809" s="307"/>
      <c r="FN809" s="306"/>
      <c r="FO809" s="307"/>
      <c r="FP809" s="306"/>
    </row>
    <row r="810" spans="29:172">
      <c r="AC810" s="156"/>
      <c r="CW810" s="364"/>
      <c r="CX810" s="316"/>
      <c r="CY810" s="316"/>
      <c r="DA810" s="309">
        <v>809</v>
      </c>
      <c r="DB810" s="313">
        <f t="shared" si="603"/>
        <v>494.45191952135769</v>
      </c>
      <c r="DC810" s="309">
        <f t="shared" si="604"/>
        <v>4</v>
      </c>
      <c r="DD810" s="309">
        <f t="shared" si="605"/>
        <v>0</v>
      </c>
      <c r="DE810" s="308">
        <f t="shared" si="606"/>
        <v>0</v>
      </c>
      <c r="DF810" s="313">
        <f t="shared" si="620"/>
        <v>600</v>
      </c>
      <c r="DG810" s="313">
        <f t="shared" si="602"/>
        <v>0</v>
      </c>
      <c r="DH810" s="313">
        <f t="shared" si="610"/>
        <v>0</v>
      </c>
      <c r="DI810" s="313">
        <f t="shared" si="611"/>
        <v>0</v>
      </c>
      <c r="DJ810" s="313">
        <f t="shared" si="612"/>
        <v>0</v>
      </c>
      <c r="DK810" s="313">
        <f t="shared" si="621"/>
        <v>0</v>
      </c>
      <c r="DL810" s="313">
        <f t="shared" si="613"/>
        <v>0</v>
      </c>
      <c r="DM810" s="314">
        <f t="shared" si="614"/>
        <v>0</v>
      </c>
      <c r="DN810" s="312">
        <f t="shared" si="615"/>
        <v>0</v>
      </c>
      <c r="DO810" s="312">
        <f t="shared" si="622"/>
        <v>0</v>
      </c>
      <c r="DP810" s="315" t="e">
        <f t="shared" si="607"/>
        <v>#NUM!</v>
      </c>
      <c r="DQ810" s="316">
        <f t="shared" si="616"/>
        <v>0</v>
      </c>
      <c r="DR810" s="316">
        <f t="shared" si="617"/>
        <v>0</v>
      </c>
      <c r="DS810" s="314">
        <f t="shared" si="618"/>
        <v>0</v>
      </c>
      <c r="DT810" s="316">
        <f t="shared" si="619"/>
        <v>0</v>
      </c>
      <c r="DU810" s="314">
        <f t="shared" si="608"/>
        <v>0</v>
      </c>
      <c r="DV810" s="316">
        <f t="shared" si="623"/>
        <v>0</v>
      </c>
      <c r="DW810" s="310">
        <f t="shared" si="609"/>
        <v>0</v>
      </c>
      <c r="FB810" s="307"/>
      <c r="FC810" s="307"/>
      <c r="FF810" s="307"/>
      <c r="FG810" s="307"/>
      <c r="FH810" s="306"/>
      <c r="FJ810" s="307"/>
      <c r="FK810" s="307"/>
      <c r="FL810" s="306"/>
      <c r="FM810" s="307"/>
      <c r="FN810" s="306"/>
      <c r="FO810" s="307"/>
      <c r="FP810" s="306"/>
    </row>
    <row r="811" spans="29:172">
      <c r="AC811" s="156"/>
      <c r="CW811" s="364"/>
      <c r="CX811" s="316"/>
      <c r="CY811" s="316"/>
      <c r="DA811" s="309">
        <v>810</v>
      </c>
      <c r="DB811" s="313">
        <f t="shared" si="603"/>
        <v>494.81588975562391</v>
      </c>
      <c r="DC811" s="309">
        <f t="shared" si="604"/>
        <v>4</v>
      </c>
      <c r="DD811" s="309">
        <f t="shared" si="605"/>
        <v>0</v>
      </c>
      <c r="DE811" s="308">
        <f t="shared" si="606"/>
        <v>0</v>
      </c>
      <c r="DF811" s="313">
        <f t="shared" si="620"/>
        <v>600</v>
      </c>
      <c r="DG811" s="313">
        <f t="shared" ref="DG811:DG874" si="624">IF(DC811=4,DG810,MIN(DB811,DD811))</f>
        <v>0</v>
      </c>
      <c r="DH811" s="313">
        <f t="shared" si="610"/>
        <v>0</v>
      </c>
      <c r="DI811" s="313">
        <f t="shared" si="611"/>
        <v>0</v>
      </c>
      <c r="DJ811" s="313">
        <f t="shared" si="612"/>
        <v>0</v>
      </c>
      <c r="DK811" s="313">
        <f t="shared" si="621"/>
        <v>0</v>
      </c>
      <c r="DL811" s="313">
        <f t="shared" si="613"/>
        <v>0</v>
      </c>
      <c r="DM811" s="314">
        <f t="shared" si="614"/>
        <v>0</v>
      </c>
      <c r="DN811" s="312">
        <f t="shared" si="615"/>
        <v>0</v>
      </c>
      <c r="DO811" s="312">
        <f t="shared" si="622"/>
        <v>0</v>
      </c>
      <c r="DP811" s="315" t="e">
        <f t="shared" si="607"/>
        <v>#NUM!</v>
      </c>
      <c r="DQ811" s="316">
        <f t="shared" si="616"/>
        <v>0</v>
      </c>
      <c r="DR811" s="316">
        <f t="shared" si="617"/>
        <v>0</v>
      </c>
      <c r="DS811" s="314">
        <f t="shared" si="618"/>
        <v>0</v>
      </c>
      <c r="DT811" s="316">
        <f t="shared" si="619"/>
        <v>0</v>
      </c>
      <c r="DU811" s="314">
        <f t="shared" si="608"/>
        <v>0</v>
      </c>
      <c r="DV811" s="316">
        <f t="shared" si="623"/>
        <v>0</v>
      </c>
      <c r="DW811" s="310">
        <f t="shared" si="609"/>
        <v>0</v>
      </c>
      <c r="FB811" s="307"/>
      <c r="FC811" s="307"/>
      <c r="FF811" s="307"/>
      <c r="FG811" s="307"/>
      <c r="FH811" s="306"/>
      <c r="FJ811" s="307"/>
      <c r="FK811" s="307"/>
      <c r="FL811" s="306"/>
      <c r="FM811" s="307"/>
      <c r="FN811" s="306"/>
      <c r="FO811" s="307"/>
      <c r="FP811" s="306"/>
    </row>
    <row r="812" spans="29:172">
      <c r="AC812" s="156"/>
      <c r="CW812" s="364"/>
      <c r="CX812" s="316"/>
      <c r="CY812" s="316"/>
      <c r="DA812" s="309">
        <v>811</v>
      </c>
      <c r="DB812" s="313">
        <f t="shared" si="603"/>
        <v>495.17985998989008</v>
      </c>
      <c r="DC812" s="309">
        <f t="shared" si="604"/>
        <v>4</v>
      </c>
      <c r="DD812" s="309">
        <f t="shared" si="605"/>
        <v>0</v>
      </c>
      <c r="DE812" s="308">
        <f t="shared" si="606"/>
        <v>0</v>
      </c>
      <c r="DF812" s="313">
        <f t="shared" si="620"/>
        <v>600</v>
      </c>
      <c r="DG812" s="313">
        <f t="shared" si="624"/>
        <v>0</v>
      </c>
      <c r="DH812" s="313">
        <f t="shared" si="610"/>
        <v>0</v>
      </c>
      <c r="DI812" s="313">
        <f t="shared" si="611"/>
        <v>0</v>
      </c>
      <c r="DJ812" s="313">
        <f t="shared" si="612"/>
        <v>0</v>
      </c>
      <c r="DK812" s="313">
        <f t="shared" si="621"/>
        <v>0</v>
      </c>
      <c r="DL812" s="313">
        <f t="shared" si="613"/>
        <v>0</v>
      </c>
      <c r="DM812" s="314">
        <f t="shared" si="614"/>
        <v>0</v>
      </c>
      <c r="DN812" s="312">
        <f t="shared" si="615"/>
        <v>0</v>
      </c>
      <c r="DO812" s="312">
        <f t="shared" si="622"/>
        <v>0</v>
      </c>
      <c r="DP812" s="315" t="e">
        <f t="shared" si="607"/>
        <v>#NUM!</v>
      </c>
      <c r="DQ812" s="316">
        <f t="shared" si="616"/>
        <v>0</v>
      </c>
      <c r="DR812" s="316">
        <f t="shared" si="617"/>
        <v>0</v>
      </c>
      <c r="DS812" s="314">
        <f t="shared" si="618"/>
        <v>0</v>
      </c>
      <c r="DT812" s="316">
        <f t="shared" si="619"/>
        <v>0</v>
      </c>
      <c r="DU812" s="314">
        <f t="shared" si="608"/>
        <v>0</v>
      </c>
      <c r="DV812" s="316">
        <f t="shared" si="623"/>
        <v>0</v>
      </c>
      <c r="DW812" s="310">
        <f t="shared" si="609"/>
        <v>0</v>
      </c>
      <c r="FB812" s="307"/>
      <c r="FC812" s="307"/>
      <c r="FF812" s="307"/>
      <c r="FG812" s="307"/>
      <c r="FH812" s="306"/>
      <c r="FJ812" s="307"/>
      <c r="FK812" s="307"/>
      <c r="FL812" s="306"/>
      <c r="FM812" s="307"/>
      <c r="FN812" s="306"/>
      <c r="FO812" s="307"/>
      <c r="FP812" s="306"/>
    </row>
    <row r="813" spans="29:172">
      <c r="AC813" s="156"/>
      <c r="CW813" s="364"/>
      <c r="CX813" s="316"/>
      <c r="CY813" s="316"/>
      <c r="DA813" s="309">
        <v>812</v>
      </c>
      <c r="DB813" s="313">
        <f t="shared" si="603"/>
        <v>495.5438302241563</v>
      </c>
      <c r="DC813" s="309">
        <f t="shared" si="604"/>
        <v>4</v>
      </c>
      <c r="DD813" s="309">
        <f t="shared" si="605"/>
        <v>0</v>
      </c>
      <c r="DE813" s="308">
        <f t="shared" si="606"/>
        <v>0</v>
      </c>
      <c r="DF813" s="313">
        <f t="shared" si="620"/>
        <v>600</v>
      </c>
      <c r="DG813" s="313">
        <f t="shared" si="624"/>
        <v>0</v>
      </c>
      <c r="DH813" s="313">
        <f t="shared" si="610"/>
        <v>0</v>
      </c>
      <c r="DI813" s="313">
        <f t="shared" si="611"/>
        <v>0</v>
      </c>
      <c r="DJ813" s="313">
        <f t="shared" si="612"/>
        <v>0</v>
      </c>
      <c r="DK813" s="313">
        <f t="shared" si="621"/>
        <v>0</v>
      </c>
      <c r="DL813" s="313">
        <f t="shared" si="613"/>
        <v>0</v>
      </c>
      <c r="DM813" s="314">
        <f t="shared" si="614"/>
        <v>0</v>
      </c>
      <c r="DN813" s="312">
        <f t="shared" si="615"/>
        <v>0</v>
      </c>
      <c r="DO813" s="312">
        <f t="shared" si="622"/>
        <v>0</v>
      </c>
      <c r="DP813" s="315" t="e">
        <f t="shared" si="607"/>
        <v>#NUM!</v>
      </c>
      <c r="DQ813" s="316">
        <f t="shared" si="616"/>
        <v>0</v>
      </c>
      <c r="DR813" s="316">
        <f t="shared" si="617"/>
        <v>0</v>
      </c>
      <c r="DS813" s="314">
        <f t="shared" si="618"/>
        <v>0</v>
      </c>
      <c r="DT813" s="316">
        <f t="shared" si="619"/>
        <v>0</v>
      </c>
      <c r="DU813" s="314">
        <f t="shared" si="608"/>
        <v>0</v>
      </c>
      <c r="DV813" s="316">
        <f t="shared" si="623"/>
        <v>0</v>
      </c>
      <c r="DW813" s="310">
        <f t="shared" si="609"/>
        <v>0</v>
      </c>
      <c r="FB813" s="307"/>
      <c r="FC813" s="307"/>
      <c r="FF813" s="307"/>
      <c r="FG813" s="307"/>
      <c r="FH813" s="306"/>
      <c r="FJ813" s="307"/>
      <c r="FK813" s="307"/>
      <c r="FL813" s="306"/>
      <c r="FM813" s="307"/>
      <c r="FN813" s="306"/>
      <c r="FO813" s="307"/>
      <c r="FP813" s="306"/>
    </row>
    <row r="814" spans="29:172">
      <c r="AC814" s="156"/>
      <c r="CW814" s="364"/>
      <c r="CX814" s="316"/>
      <c r="CY814" s="316"/>
      <c r="DA814" s="309">
        <v>813</v>
      </c>
      <c r="DB814" s="313">
        <f t="shared" si="603"/>
        <v>495.90780045842251</v>
      </c>
      <c r="DC814" s="309">
        <f t="shared" si="604"/>
        <v>4</v>
      </c>
      <c r="DD814" s="309">
        <f t="shared" si="605"/>
        <v>0</v>
      </c>
      <c r="DE814" s="308">
        <f t="shared" si="606"/>
        <v>0</v>
      </c>
      <c r="DF814" s="313">
        <f t="shared" si="620"/>
        <v>600</v>
      </c>
      <c r="DG814" s="313">
        <f t="shared" si="624"/>
        <v>0</v>
      </c>
      <c r="DH814" s="313">
        <f t="shared" si="610"/>
        <v>0</v>
      </c>
      <c r="DI814" s="313">
        <f t="shared" si="611"/>
        <v>0</v>
      </c>
      <c r="DJ814" s="313">
        <f t="shared" si="612"/>
        <v>0</v>
      </c>
      <c r="DK814" s="313">
        <f t="shared" si="621"/>
        <v>0</v>
      </c>
      <c r="DL814" s="313">
        <f t="shared" si="613"/>
        <v>0</v>
      </c>
      <c r="DM814" s="314">
        <f t="shared" si="614"/>
        <v>0</v>
      </c>
      <c r="DN814" s="312">
        <f t="shared" si="615"/>
        <v>0</v>
      </c>
      <c r="DO814" s="312">
        <f t="shared" si="622"/>
        <v>0</v>
      </c>
      <c r="DP814" s="315" t="e">
        <f t="shared" si="607"/>
        <v>#NUM!</v>
      </c>
      <c r="DQ814" s="316">
        <f t="shared" si="616"/>
        <v>0</v>
      </c>
      <c r="DR814" s="316">
        <f t="shared" si="617"/>
        <v>0</v>
      </c>
      <c r="DS814" s="314">
        <f t="shared" si="618"/>
        <v>0</v>
      </c>
      <c r="DT814" s="316">
        <f t="shared" si="619"/>
        <v>0</v>
      </c>
      <c r="DU814" s="314">
        <f t="shared" si="608"/>
        <v>0</v>
      </c>
      <c r="DV814" s="316">
        <f t="shared" si="623"/>
        <v>0</v>
      </c>
      <c r="DW814" s="310">
        <f t="shared" si="609"/>
        <v>0</v>
      </c>
      <c r="FB814" s="307"/>
      <c r="FC814" s="307"/>
      <c r="FF814" s="307"/>
      <c r="FG814" s="307"/>
      <c r="FH814" s="306"/>
      <c r="FJ814" s="307"/>
      <c r="FK814" s="307"/>
      <c r="FL814" s="306"/>
      <c r="FM814" s="307"/>
      <c r="FN814" s="306"/>
      <c r="FO814" s="307"/>
      <c r="FP814" s="306"/>
    </row>
    <row r="815" spans="29:172">
      <c r="AC815" s="156"/>
      <c r="CW815" s="364"/>
      <c r="CX815" s="316"/>
      <c r="CY815" s="316"/>
      <c r="DA815" s="309">
        <v>814</v>
      </c>
      <c r="DB815" s="313">
        <f t="shared" si="603"/>
        <v>496.27177069268873</v>
      </c>
      <c r="DC815" s="309">
        <f t="shared" si="604"/>
        <v>4</v>
      </c>
      <c r="DD815" s="309">
        <f t="shared" si="605"/>
        <v>0</v>
      </c>
      <c r="DE815" s="308">
        <f t="shared" si="606"/>
        <v>0</v>
      </c>
      <c r="DF815" s="313">
        <f t="shared" si="620"/>
        <v>600</v>
      </c>
      <c r="DG815" s="313">
        <f t="shared" si="624"/>
        <v>0</v>
      </c>
      <c r="DH815" s="313">
        <f t="shared" si="610"/>
        <v>0</v>
      </c>
      <c r="DI815" s="313">
        <f t="shared" si="611"/>
        <v>0</v>
      </c>
      <c r="DJ815" s="313">
        <f t="shared" si="612"/>
        <v>0</v>
      </c>
      <c r="DK815" s="313">
        <f t="shared" si="621"/>
        <v>0</v>
      </c>
      <c r="DL815" s="313">
        <f t="shared" si="613"/>
        <v>0</v>
      </c>
      <c r="DM815" s="314">
        <f t="shared" si="614"/>
        <v>0</v>
      </c>
      <c r="DN815" s="312">
        <f t="shared" si="615"/>
        <v>0</v>
      </c>
      <c r="DO815" s="312">
        <f t="shared" si="622"/>
        <v>0</v>
      </c>
      <c r="DP815" s="315" t="e">
        <f t="shared" si="607"/>
        <v>#NUM!</v>
      </c>
      <c r="DQ815" s="316">
        <f t="shared" si="616"/>
        <v>0</v>
      </c>
      <c r="DR815" s="316">
        <f t="shared" si="617"/>
        <v>0</v>
      </c>
      <c r="DS815" s="314">
        <f t="shared" si="618"/>
        <v>0</v>
      </c>
      <c r="DT815" s="316">
        <f t="shared" si="619"/>
        <v>0</v>
      </c>
      <c r="DU815" s="314">
        <f t="shared" si="608"/>
        <v>0</v>
      </c>
      <c r="DV815" s="316">
        <f t="shared" si="623"/>
        <v>0</v>
      </c>
      <c r="DW815" s="310">
        <f t="shared" si="609"/>
        <v>0</v>
      </c>
      <c r="FB815" s="307"/>
      <c r="FC815" s="307"/>
      <c r="FF815" s="307"/>
      <c r="FG815" s="307"/>
      <c r="FH815" s="306"/>
      <c r="FJ815" s="307"/>
      <c r="FK815" s="307"/>
      <c r="FL815" s="306"/>
      <c r="FM815" s="307"/>
      <c r="FN815" s="306"/>
      <c r="FO815" s="307"/>
      <c r="FP815" s="306"/>
    </row>
    <row r="816" spans="29:172">
      <c r="AC816" s="156"/>
      <c r="CW816" s="364"/>
      <c r="CX816" s="316"/>
      <c r="CY816" s="316"/>
      <c r="DA816" s="309">
        <v>815</v>
      </c>
      <c r="DB816" s="313">
        <f t="shared" si="603"/>
        <v>496.6357409269549</v>
      </c>
      <c r="DC816" s="309">
        <f t="shared" si="604"/>
        <v>4</v>
      </c>
      <c r="DD816" s="309">
        <f t="shared" si="605"/>
        <v>0</v>
      </c>
      <c r="DE816" s="308">
        <f t="shared" si="606"/>
        <v>0</v>
      </c>
      <c r="DF816" s="313">
        <f t="shared" si="620"/>
        <v>600</v>
      </c>
      <c r="DG816" s="313">
        <f t="shared" si="624"/>
        <v>0</v>
      </c>
      <c r="DH816" s="313">
        <f t="shared" si="610"/>
        <v>0</v>
      </c>
      <c r="DI816" s="313">
        <f t="shared" si="611"/>
        <v>0</v>
      </c>
      <c r="DJ816" s="313">
        <f t="shared" si="612"/>
        <v>0</v>
      </c>
      <c r="DK816" s="313">
        <f t="shared" si="621"/>
        <v>0</v>
      </c>
      <c r="DL816" s="313">
        <f t="shared" si="613"/>
        <v>0</v>
      </c>
      <c r="DM816" s="314">
        <f t="shared" si="614"/>
        <v>0</v>
      </c>
      <c r="DN816" s="312">
        <f t="shared" si="615"/>
        <v>0</v>
      </c>
      <c r="DO816" s="312">
        <f t="shared" si="622"/>
        <v>0</v>
      </c>
      <c r="DP816" s="315" t="e">
        <f t="shared" si="607"/>
        <v>#NUM!</v>
      </c>
      <c r="DQ816" s="316">
        <f t="shared" si="616"/>
        <v>0</v>
      </c>
      <c r="DR816" s="316">
        <f t="shared" si="617"/>
        <v>0</v>
      </c>
      <c r="DS816" s="314">
        <f t="shared" si="618"/>
        <v>0</v>
      </c>
      <c r="DT816" s="316">
        <f t="shared" si="619"/>
        <v>0</v>
      </c>
      <c r="DU816" s="314">
        <f t="shared" si="608"/>
        <v>0</v>
      </c>
      <c r="DV816" s="316">
        <f t="shared" si="623"/>
        <v>0</v>
      </c>
      <c r="DW816" s="310">
        <f t="shared" si="609"/>
        <v>0</v>
      </c>
      <c r="FB816" s="307"/>
      <c r="FC816" s="307"/>
      <c r="FF816" s="307"/>
      <c r="FG816" s="307"/>
      <c r="FH816" s="306"/>
      <c r="FJ816" s="307"/>
      <c r="FK816" s="307"/>
      <c r="FL816" s="306"/>
      <c r="FM816" s="307"/>
      <c r="FN816" s="306"/>
      <c r="FO816" s="307"/>
      <c r="FP816" s="306"/>
    </row>
    <row r="817" spans="29:172">
      <c r="AC817" s="156"/>
      <c r="CW817" s="364"/>
      <c r="CX817" s="316"/>
      <c r="CY817" s="316"/>
      <c r="DA817" s="309">
        <v>816</v>
      </c>
      <c r="DB817" s="313">
        <f t="shared" si="603"/>
        <v>496.99971116122111</v>
      </c>
      <c r="DC817" s="309">
        <f t="shared" si="604"/>
        <v>4</v>
      </c>
      <c r="DD817" s="309">
        <f t="shared" si="605"/>
        <v>0</v>
      </c>
      <c r="DE817" s="308">
        <f t="shared" si="606"/>
        <v>0</v>
      </c>
      <c r="DF817" s="313">
        <f t="shared" si="620"/>
        <v>600</v>
      </c>
      <c r="DG817" s="313">
        <f t="shared" si="624"/>
        <v>0</v>
      </c>
      <c r="DH817" s="313">
        <f t="shared" si="610"/>
        <v>0</v>
      </c>
      <c r="DI817" s="313">
        <f t="shared" si="611"/>
        <v>0</v>
      </c>
      <c r="DJ817" s="313">
        <f t="shared" si="612"/>
        <v>0</v>
      </c>
      <c r="DK817" s="313">
        <f t="shared" si="621"/>
        <v>0</v>
      </c>
      <c r="DL817" s="313">
        <f t="shared" si="613"/>
        <v>0</v>
      </c>
      <c r="DM817" s="314">
        <f t="shared" si="614"/>
        <v>0</v>
      </c>
      <c r="DN817" s="312">
        <f t="shared" si="615"/>
        <v>0</v>
      </c>
      <c r="DO817" s="312">
        <f t="shared" si="622"/>
        <v>0</v>
      </c>
      <c r="DP817" s="315" t="e">
        <f t="shared" si="607"/>
        <v>#NUM!</v>
      </c>
      <c r="DQ817" s="316">
        <f t="shared" si="616"/>
        <v>0</v>
      </c>
      <c r="DR817" s="316">
        <f t="shared" si="617"/>
        <v>0</v>
      </c>
      <c r="DS817" s="314">
        <f t="shared" si="618"/>
        <v>0</v>
      </c>
      <c r="DT817" s="316">
        <f t="shared" si="619"/>
        <v>0</v>
      </c>
      <c r="DU817" s="314">
        <f t="shared" si="608"/>
        <v>0</v>
      </c>
      <c r="DV817" s="316">
        <f t="shared" si="623"/>
        <v>0</v>
      </c>
      <c r="DW817" s="310">
        <f t="shared" si="609"/>
        <v>0</v>
      </c>
      <c r="FB817" s="307"/>
      <c r="FC817" s="307"/>
      <c r="FF817" s="307"/>
      <c r="FG817" s="307"/>
      <c r="FH817" s="306"/>
      <c r="FJ817" s="307"/>
      <c r="FK817" s="307"/>
      <c r="FL817" s="306"/>
      <c r="FM817" s="307"/>
      <c r="FN817" s="306"/>
      <c r="FO817" s="307"/>
      <c r="FP817" s="306"/>
    </row>
    <row r="818" spans="29:172">
      <c r="AC818" s="156"/>
      <c r="CW818" s="364"/>
      <c r="CX818" s="316"/>
      <c r="CY818" s="316"/>
      <c r="DA818" s="309">
        <v>817</v>
      </c>
      <c r="DB818" s="313">
        <f t="shared" si="603"/>
        <v>497.36368139548733</v>
      </c>
      <c r="DC818" s="309">
        <f t="shared" si="604"/>
        <v>4</v>
      </c>
      <c r="DD818" s="309">
        <f t="shared" si="605"/>
        <v>0</v>
      </c>
      <c r="DE818" s="308">
        <f t="shared" si="606"/>
        <v>0</v>
      </c>
      <c r="DF818" s="313">
        <f t="shared" si="620"/>
        <v>600</v>
      </c>
      <c r="DG818" s="313">
        <f t="shared" si="624"/>
        <v>0</v>
      </c>
      <c r="DH818" s="313">
        <f t="shared" si="610"/>
        <v>0</v>
      </c>
      <c r="DI818" s="313">
        <f t="shared" si="611"/>
        <v>0</v>
      </c>
      <c r="DJ818" s="313">
        <f t="shared" si="612"/>
        <v>0</v>
      </c>
      <c r="DK818" s="313">
        <f t="shared" si="621"/>
        <v>0</v>
      </c>
      <c r="DL818" s="313">
        <f t="shared" si="613"/>
        <v>0</v>
      </c>
      <c r="DM818" s="314">
        <f t="shared" si="614"/>
        <v>0</v>
      </c>
      <c r="DN818" s="312">
        <f t="shared" si="615"/>
        <v>0</v>
      </c>
      <c r="DO818" s="312">
        <f t="shared" si="622"/>
        <v>0</v>
      </c>
      <c r="DP818" s="315" t="e">
        <f t="shared" si="607"/>
        <v>#NUM!</v>
      </c>
      <c r="DQ818" s="316">
        <f t="shared" si="616"/>
        <v>0</v>
      </c>
      <c r="DR818" s="316">
        <f t="shared" si="617"/>
        <v>0</v>
      </c>
      <c r="DS818" s="314">
        <f t="shared" si="618"/>
        <v>0</v>
      </c>
      <c r="DT818" s="316">
        <f t="shared" si="619"/>
        <v>0</v>
      </c>
      <c r="DU818" s="314">
        <f t="shared" si="608"/>
        <v>0</v>
      </c>
      <c r="DV818" s="316">
        <f t="shared" si="623"/>
        <v>0</v>
      </c>
      <c r="DW818" s="310">
        <f t="shared" si="609"/>
        <v>0</v>
      </c>
      <c r="FB818" s="307"/>
      <c r="FC818" s="307"/>
      <c r="FF818" s="307"/>
      <c r="FG818" s="307"/>
      <c r="FH818" s="306"/>
      <c r="FJ818" s="307"/>
      <c r="FK818" s="307"/>
      <c r="FL818" s="306"/>
      <c r="FM818" s="307"/>
      <c r="FN818" s="306"/>
      <c r="FO818" s="307"/>
      <c r="FP818" s="306"/>
    </row>
    <row r="819" spans="29:172">
      <c r="AC819" s="156"/>
      <c r="CW819" s="364"/>
      <c r="CX819" s="316"/>
      <c r="CY819" s="316"/>
      <c r="DA819" s="309">
        <v>818</v>
      </c>
      <c r="DB819" s="313">
        <f t="shared" si="603"/>
        <v>497.7276516297535</v>
      </c>
      <c r="DC819" s="309">
        <f t="shared" si="604"/>
        <v>4</v>
      </c>
      <c r="DD819" s="309">
        <f t="shared" si="605"/>
        <v>0</v>
      </c>
      <c r="DE819" s="308">
        <f t="shared" si="606"/>
        <v>0</v>
      </c>
      <c r="DF819" s="313">
        <f t="shared" si="620"/>
        <v>600</v>
      </c>
      <c r="DG819" s="313">
        <f t="shared" si="624"/>
        <v>0</v>
      </c>
      <c r="DH819" s="313">
        <f t="shared" si="610"/>
        <v>0</v>
      </c>
      <c r="DI819" s="313">
        <f t="shared" si="611"/>
        <v>0</v>
      </c>
      <c r="DJ819" s="313">
        <f t="shared" si="612"/>
        <v>0</v>
      </c>
      <c r="DK819" s="313">
        <f t="shared" si="621"/>
        <v>0</v>
      </c>
      <c r="DL819" s="313">
        <f t="shared" si="613"/>
        <v>0</v>
      </c>
      <c r="DM819" s="314">
        <f t="shared" si="614"/>
        <v>0</v>
      </c>
      <c r="DN819" s="312">
        <f t="shared" si="615"/>
        <v>0</v>
      </c>
      <c r="DO819" s="312">
        <f t="shared" si="622"/>
        <v>0</v>
      </c>
      <c r="DP819" s="315" t="e">
        <f t="shared" si="607"/>
        <v>#NUM!</v>
      </c>
      <c r="DQ819" s="316">
        <f t="shared" si="616"/>
        <v>0</v>
      </c>
      <c r="DR819" s="316">
        <f t="shared" si="617"/>
        <v>0</v>
      </c>
      <c r="DS819" s="314">
        <f t="shared" si="618"/>
        <v>0</v>
      </c>
      <c r="DT819" s="316">
        <f t="shared" si="619"/>
        <v>0</v>
      </c>
      <c r="DU819" s="314">
        <f t="shared" si="608"/>
        <v>0</v>
      </c>
      <c r="DV819" s="316">
        <f t="shared" si="623"/>
        <v>0</v>
      </c>
      <c r="DW819" s="310">
        <f t="shared" si="609"/>
        <v>0</v>
      </c>
      <c r="FB819" s="307"/>
      <c r="FC819" s="307"/>
      <c r="FF819" s="307"/>
      <c r="FG819" s="307"/>
      <c r="FH819" s="306"/>
      <c r="FJ819" s="307"/>
      <c r="FK819" s="307"/>
      <c r="FL819" s="306"/>
      <c r="FM819" s="307"/>
      <c r="FN819" s="306"/>
      <c r="FO819" s="307"/>
      <c r="FP819" s="306"/>
    </row>
    <row r="820" spans="29:172">
      <c r="AC820" s="156"/>
      <c r="CW820" s="364"/>
      <c r="CX820" s="316"/>
      <c r="CY820" s="316"/>
      <c r="DA820" s="309">
        <v>819</v>
      </c>
      <c r="DB820" s="313">
        <f t="shared" si="603"/>
        <v>498.09162186401971</v>
      </c>
      <c r="DC820" s="309">
        <f t="shared" si="604"/>
        <v>4</v>
      </c>
      <c r="DD820" s="309">
        <f t="shared" si="605"/>
        <v>0</v>
      </c>
      <c r="DE820" s="308">
        <f t="shared" si="606"/>
        <v>0</v>
      </c>
      <c r="DF820" s="313">
        <f t="shared" si="620"/>
        <v>600</v>
      </c>
      <c r="DG820" s="313">
        <f t="shared" si="624"/>
        <v>0</v>
      </c>
      <c r="DH820" s="313">
        <f t="shared" si="610"/>
        <v>0</v>
      </c>
      <c r="DI820" s="313">
        <f t="shared" si="611"/>
        <v>0</v>
      </c>
      <c r="DJ820" s="313">
        <f t="shared" si="612"/>
        <v>0</v>
      </c>
      <c r="DK820" s="313">
        <f t="shared" si="621"/>
        <v>0</v>
      </c>
      <c r="DL820" s="313">
        <f t="shared" si="613"/>
        <v>0</v>
      </c>
      <c r="DM820" s="314">
        <f t="shared" si="614"/>
        <v>0</v>
      </c>
      <c r="DN820" s="312">
        <f t="shared" si="615"/>
        <v>0</v>
      </c>
      <c r="DO820" s="312">
        <f t="shared" si="622"/>
        <v>0</v>
      </c>
      <c r="DP820" s="315" t="e">
        <f t="shared" si="607"/>
        <v>#NUM!</v>
      </c>
      <c r="DQ820" s="316">
        <f t="shared" si="616"/>
        <v>0</v>
      </c>
      <c r="DR820" s="316">
        <f t="shared" si="617"/>
        <v>0</v>
      </c>
      <c r="DS820" s="314">
        <f t="shared" si="618"/>
        <v>0</v>
      </c>
      <c r="DT820" s="316">
        <f t="shared" si="619"/>
        <v>0</v>
      </c>
      <c r="DU820" s="314">
        <f t="shared" si="608"/>
        <v>0</v>
      </c>
      <c r="DV820" s="316">
        <f t="shared" si="623"/>
        <v>0</v>
      </c>
      <c r="DW820" s="310">
        <f t="shared" si="609"/>
        <v>0</v>
      </c>
      <c r="FB820" s="307"/>
      <c r="FC820" s="307"/>
      <c r="FF820" s="307"/>
      <c r="FG820" s="307"/>
      <c r="FH820" s="306"/>
      <c r="FJ820" s="307"/>
      <c r="FK820" s="307"/>
      <c r="FL820" s="306"/>
      <c r="FM820" s="307"/>
      <c r="FN820" s="306"/>
      <c r="FO820" s="307"/>
      <c r="FP820" s="306"/>
    </row>
    <row r="821" spans="29:172">
      <c r="AC821" s="156"/>
      <c r="CW821" s="364"/>
      <c r="CX821" s="316"/>
      <c r="CY821" s="316"/>
      <c r="DA821" s="309">
        <v>820</v>
      </c>
      <c r="DB821" s="313">
        <f t="shared" si="603"/>
        <v>498.45559209828593</v>
      </c>
      <c r="DC821" s="309">
        <f t="shared" si="604"/>
        <v>4</v>
      </c>
      <c r="DD821" s="309">
        <f t="shared" si="605"/>
        <v>0</v>
      </c>
      <c r="DE821" s="308">
        <f t="shared" si="606"/>
        <v>0</v>
      </c>
      <c r="DF821" s="313">
        <f t="shared" si="620"/>
        <v>600</v>
      </c>
      <c r="DG821" s="313">
        <f t="shared" si="624"/>
        <v>0</v>
      </c>
      <c r="DH821" s="313">
        <f t="shared" si="610"/>
        <v>0</v>
      </c>
      <c r="DI821" s="313">
        <f t="shared" si="611"/>
        <v>0</v>
      </c>
      <c r="DJ821" s="313">
        <f t="shared" si="612"/>
        <v>0</v>
      </c>
      <c r="DK821" s="313">
        <f t="shared" si="621"/>
        <v>0</v>
      </c>
      <c r="DL821" s="313">
        <f t="shared" si="613"/>
        <v>0</v>
      </c>
      <c r="DM821" s="314">
        <f t="shared" si="614"/>
        <v>0</v>
      </c>
      <c r="DN821" s="312">
        <f t="shared" si="615"/>
        <v>0</v>
      </c>
      <c r="DO821" s="312">
        <f t="shared" si="622"/>
        <v>0</v>
      </c>
      <c r="DP821" s="315" t="e">
        <f t="shared" si="607"/>
        <v>#NUM!</v>
      </c>
      <c r="DQ821" s="316">
        <f t="shared" si="616"/>
        <v>0</v>
      </c>
      <c r="DR821" s="316">
        <f t="shared" si="617"/>
        <v>0</v>
      </c>
      <c r="DS821" s="314">
        <f t="shared" si="618"/>
        <v>0</v>
      </c>
      <c r="DT821" s="316">
        <f t="shared" si="619"/>
        <v>0</v>
      </c>
      <c r="DU821" s="314">
        <f t="shared" si="608"/>
        <v>0</v>
      </c>
      <c r="DV821" s="316">
        <f t="shared" si="623"/>
        <v>0</v>
      </c>
      <c r="DW821" s="310">
        <f t="shared" si="609"/>
        <v>0</v>
      </c>
      <c r="FB821" s="307"/>
      <c r="FC821" s="307"/>
      <c r="FF821" s="307"/>
      <c r="FG821" s="307"/>
      <c r="FH821" s="306"/>
      <c r="FJ821" s="307"/>
      <c r="FK821" s="307"/>
      <c r="FL821" s="306"/>
      <c r="FM821" s="307"/>
      <c r="FN821" s="306"/>
      <c r="FO821" s="307"/>
      <c r="FP821" s="306"/>
    </row>
    <row r="822" spans="29:172">
      <c r="AC822" s="156"/>
      <c r="CW822" s="364"/>
      <c r="CX822" s="316"/>
      <c r="CY822" s="316"/>
      <c r="DA822" s="309">
        <v>821</v>
      </c>
      <c r="DB822" s="313">
        <f t="shared" si="603"/>
        <v>498.8195623325521</v>
      </c>
      <c r="DC822" s="309">
        <f t="shared" si="604"/>
        <v>4</v>
      </c>
      <c r="DD822" s="309">
        <f t="shared" si="605"/>
        <v>0</v>
      </c>
      <c r="DE822" s="308">
        <f t="shared" si="606"/>
        <v>0</v>
      </c>
      <c r="DF822" s="313">
        <f t="shared" si="620"/>
        <v>600</v>
      </c>
      <c r="DG822" s="313">
        <f t="shared" si="624"/>
        <v>0</v>
      </c>
      <c r="DH822" s="313">
        <f t="shared" si="610"/>
        <v>0</v>
      </c>
      <c r="DI822" s="313">
        <f t="shared" si="611"/>
        <v>0</v>
      </c>
      <c r="DJ822" s="313">
        <f t="shared" si="612"/>
        <v>0</v>
      </c>
      <c r="DK822" s="313">
        <f t="shared" si="621"/>
        <v>0</v>
      </c>
      <c r="DL822" s="313">
        <f t="shared" si="613"/>
        <v>0</v>
      </c>
      <c r="DM822" s="314">
        <f t="shared" si="614"/>
        <v>0</v>
      </c>
      <c r="DN822" s="312">
        <f t="shared" si="615"/>
        <v>0</v>
      </c>
      <c r="DO822" s="312">
        <f t="shared" si="622"/>
        <v>0</v>
      </c>
      <c r="DP822" s="315" t="e">
        <f t="shared" si="607"/>
        <v>#NUM!</v>
      </c>
      <c r="DQ822" s="316">
        <f t="shared" si="616"/>
        <v>0</v>
      </c>
      <c r="DR822" s="316">
        <f t="shared" si="617"/>
        <v>0</v>
      </c>
      <c r="DS822" s="314">
        <f t="shared" si="618"/>
        <v>0</v>
      </c>
      <c r="DT822" s="316">
        <f t="shared" si="619"/>
        <v>0</v>
      </c>
      <c r="DU822" s="314">
        <f t="shared" si="608"/>
        <v>0</v>
      </c>
      <c r="DV822" s="316">
        <f t="shared" si="623"/>
        <v>0</v>
      </c>
      <c r="DW822" s="310">
        <f t="shared" si="609"/>
        <v>0</v>
      </c>
      <c r="FB822" s="307"/>
      <c r="FC822" s="307"/>
      <c r="FF822" s="307"/>
      <c r="FG822" s="307"/>
      <c r="FH822" s="306"/>
      <c r="FJ822" s="307"/>
      <c r="FK822" s="307"/>
      <c r="FL822" s="306"/>
      <c r="FM822" s="307"/>
      <c r="FN822" s="306"/>
      <c r="FO822" s="307"/>
      <c r="FP822" s="306"/>
    </row>
    <row r="823" spans="29:172">
      <c r="AC823" s="156"/>
      <c r="CW823" s="364"/>
      <c r="CX823" s="316"/>
      <c r="CY823" s="316"/>
      <c r="DA823" s="309">
        <v>822</v>
      </c>
      <c r="DB823" s="313">
        <f t="shared" si="603"/>
        <v>499.18353256681831</v>
      </c>
      <c r="DC823" s="309">
        <f t="shared" si="604"/>
        <v>4</v>
      </c>
      <c r="DD823" s="309">
        <f t="shared" si="605"/>
        <v>0</v>
      </c>
      <c r="DE823" s="308">
        <f t="shared" si="606"/>
        <v>0</v>
      </c>
      <c r="DF823" s="313">
        <f t="shared" si="620"/>
        <v>600</v>
      </c>
      <c r="DG823" s="313">
        <f t="shared" si="624"/>
        <v>0</v>
      </c>
      <c r="DH823" s="313">
        <f t="shared" si="610"/>
        <v>0</v>
      </c>
      <c r="DI823" s="313">
        <f t="shared" si="611"/>
        <v>0</v>
      </c>
      <c r="DJ823" s="313">
        <f t="shared" si="612"/>
        <v>0</v>
      </c>
      <c r="DK823" s="313">
        <f t="shared" si="621"/>
        <v>0</v>
      </c>
      <c r="DL823" s="313">
        <f t="shared" si="613"/>
        <v>0</v>
      </c>
      <c r="DM823" s="314">
        <f t="shared" si="614"/>
        <v>0</v>
      </c>
      <c r="DN823" s="312">
        <f t="shared" si="615"/>
        <v>0</v>
      </c>
      <c r="DO823" s="312">
        <f t="shared" si="622"/>
        <v>0</v>
      </c>
      <c r="DP823" s="315" t="e">
        <f t="shared" si="607"/>
        <v>#NUM!</v>
      </c>
      <c r="DQ823" s="316">
        <f t="shared" si="616"/>
        <v>0</v>
      </c>
      <c r="DR823" s="316">
        <f t="shared" si="617"/>
        <v>0</v>
      </c>
      <c r="DS823" s="314">
        <f t="shared" si="618"/>
        <v>0</v>
      </c>
      <c r="DT823" s="316">
        <f t="shared" si="619"/>
        <v>0</v>
      </c>
      <c r="DU823" s="314">
        <f t="shared" si="608"/>
        <v>0</v>
      </c>
      <c r="DV823" s="316">
        <f t="shared" si="623"/>
        <v>0</v>
      </c>
      <c r="DW823" s="310">
        <f t="shared" si="609"/>
        <v>0</v>
      </c>
      <c r="FB823" s="307"/>
      <c r="FC823" s="307"/>
      <c r="FF823" s="307"/>
      <c r="FG823" s="307"/>
      <c r="FH823" s="306"/>
      <c r="FJ823" s="307"/>
      <c r="FK823" s="307"/>
      <c r="FL823" s="306"/>
      <c r="FM823" s="307"/>
      <c r="FN823" s="306"/>
      <c r="FO823" s="307"/>
      <c r="FP823" s="306"/>
    </row>
    <row r="824" spans="29:172">
      <c r="AC824" s="156"/>
      <c r="CW824" s="364"/>
      <c r="CX824" s="316"/>
      <c r="CY824" s="316"/>
      <c r="DA824" s="309">
        <v>823</v>
      </c>
      <c r="DB824" s="313">
        <f t="shared" si="603"/>
        <v>499.54750280108453</v>
      </c>
      <c r="DC824" s="309">
        <f t="shared" si="604"/>
        <v>4</v>
      </c>
      <c r="DD824" s="309">
        <f t="shared" si="605"/>
        <v>0</v>
      </c>
      <c r="DE824" s="308">
        <f t="shared" si="606"/>
        <v>0</v>
      </c>
      <c r="DF824" s="313">
        <f t="shared" si="620"/>
        <v>600</v>
      </c>
      <c r="DG824" s="313">
        <f t="shared" si="624"/>
        <v>0</v>
      </c>
      <c r="DH824" s="313">
        <f t="shared" si="610"/>
        <v>0</v>
      </c>
      <c r="DI824" s="313">
        <f t="shared" si="611"/>
        <v>0</v>
      </c>
      <c r="DJ824" s="313">
        <f t="shared" si="612"/>
        <v>0</v>
      </c>
      <c r="DK824" s="313">
        <f t="shared" si="621"/>
        <v>0</v>
      </c>
      <c r="DL824" s="313">
        <f t="shared" si="613"/>
        <v>0</v>
      </c>
      <c r="DM824" s="314">
        <f t="shared" si="614"/>
        <v>0</v>
      </c>
      <c r="DN824" s="312">
        <f t="shared" si="615"/>
        <v>0</v>
      </c>
      <c r="DO824" s="312">
        <f t="shared" si="622"/>
        <v>0</v>
      </c>
      <c r="DP824" s="315" t="e">
        <f t="shared" si="607"/>
        <v>#NUM!</v>
      </c>
      <c r="DQ824" s="316">
        <f t="shared" si="616"/>
        <v>0</v>
      </c>
      <c r="DR824" s="316">
        <f t="shared" si="617"/>
        <v>0</v>
      </c>
      <c r="DS824" s="314">
        <f t="shared" si="618"/>
        <v>0</v>
      </c>
      <c r="DT824" s="316">
        <f t="shared" si="619"/>
        <v>0</v>
      </c>
      <c r="DU824" s="314">
        <f t="shared" si="608"/>
        <v>0</v>
      </c>
      <c r="DV824" s="316">
        <f t="shared" si="623"/>
        <v>0</v>
      </c>
      <c r="DW824" s="310">
        <f t="shared" si="609"/>
        <v>0</v>
      </c>
      <c r="FB824" s="307"/>
      <c r="FC824" s="307"/>
      <c r="FF824" s="307"/>
      <c r="FG824" s="307"/>
      <c r="FH824" s="306"/>
      <c r="FJ824" s="307"/>
      <c r="FK824" s="307"/>
      <c r="FL824" s="306"/>
      <c r="FM824" s="307"/>
      <c r="FN824" s="306"/>
      <c r="FO824" s="307"/>
      <c r="FP824" s="306"/>
    </row>
    <row r="825" spans="29:172">
      <c r="AC825" s="156"/>
      <c r="CW825" s="364"/>
      <c r="CX825" s="316"/>
      <c r="CY825" s="316"/>
      <c r="DA825" s="309">
        <v>824</v>
      </c>
      <c r="DB825" s="313">
        <f t="shared" si="603"/>
        <v>499.91147303535075</v>
      </c>
      <c r="DC825" s="309">
        <f t="shared" si="604"/>
        <v>4</v>
      </c>
      <c r="DD825" s="309">
        <f t="shared" si="605"/>
        <v>0</v>
      </c>
      <c r="DE825" s="308">
        <f t="shared" si="606"/>
        <v>0</v>
      </c>
      <c r="DF825" s="313">
        <f t="shared" si="620"/>
        <v>600</v>
      </c>
      <c r="DG825" s="313">
        <f t="shared" si="624"/>
        <v>0</v>
      </c>
      <c r="DH825" s="313">
        <f t="shared" si="610"/>
        <v>0</v>
      </c>
      <c r="DI825" s="313">
        <f t="shared" si="611"/>
        <v>0</v>
      </c>
      <c r="DJ825" s="313">
        <f t="shared" si="612"/>
        <v>0</v>
      </c>
      <c r="DK825" s="313">
        <f t="shared" si="621"/>
        <v>0</v>
      </c>
      <c r="DL825" s="313">
        <f t="shared" si="613"/>
        <v>0</v>
      </c>
      <c r="DM825" s="314">
        <f t="shared" si="614"/>
        <v>0</v>
      </c>
      <c r="DN825" s="312">
        <f t="shared" si="615"/>
        <v>0</v>
      </c>
      <c r="DO825" s="312">
        <f t="shared" si="622"/>
        <v>0</v>
      </c>
      <c r="DP825" s="315" t="e">
        <f t="shared" si="607"/>
        <v>#NUM!</v>
      </c>
      <c r="DQ825" s="316">
        <f t="shared" si="616"/>
        <v>0</v>
      </c>
      <c r="DR825" s="316">
        <f t="shared" si="617"/>
        <v>0</v>
      </c>
      <c r="DS825" s="314">
        <f t="shared" si="618"/>
        <v>0</v>
      </c>
      <c r="DT825" s="316">
        <f t="shared" si="619"/>
        <v>0</v>
      </c>
      <c r="DU825" s="314">
        <f t="shared" si="608"/>
        <v>0</v>
      </c>
      <c r="DV825" s="316">
        <f t="shared" si="623"/>
        <v>0</v>
      </c>
      <c r="DW825" s="310">
        <f t="shared" si="609"/>
        <v>0</v>
      </c>
      <c r="FB825" s="307"/>
      <c r="FC825" s="307"/>
      <c r="FF825" s="307"/>
      <c r="FG825" s="307"/>
      <c r="FH825" s="306"/>
      <c r="FJ825" s="307"/>
      <c r="FK825" s="307"/>
      <c r="FL825" s="306"/>
      <c r="FM825" s="307"/>
      <c r="FN825" s="306"/>
      <c r="FO825" s="307"/>
      <c r="FP825" s="306"/>
    </row>
    <row r="826" spans="29:172">
      <c r="AC826" s="156"/>
      <c r="CW826" s="364"/>
      <c r="CX826" s="316"/>
      <c r="CY826" s="316"/>
      <c r="DA826" s="309">
        <v>825</v>
      </c>
      <c r="DB826" s="313">
        <f t="shared" si="603"/>
        <v>500.27544326961691</v>
      </c>
      <c r="DC826" s="309">
        <f t="shared" si="604"/>
        <v>4</v>
      </c>
      <c r="DD826" s="309">
        <f t="shared" si="605"/>
        <v>0</v>
      </c>
      <c r="DE826" s="308">
        <f t="shared" si="606"/>
        <v>0</v>
      </c>
      <c r="DF826" s="313">
        <f t="shared" si="620"/>
        <v>600</v>
      </c>
      <c r="DG826" s="313">
        <f t="shared" si="624"/>
        <v>0</v>
      </c>
      <c r="DH826" s="313">
        <f t="shared" si="610"/>
        <v>0</v>
      </c>
      <c r="DI826" s="313">
        <f t="shared" si="611"/>
        <v>0</v>
      </c>
      <c r="DJ826" s="313">
        <f t="shared" si="612"/>
        <v>0</v>
      </c>
      <c r="DK826" s="313">
        <f t="shared" si="621"/>
        <v>0</v>
      </c>
      <c r="DL826" s="313">
        <f t="shared" si="613"/>
        <v>0</v>
      </c>
      <c r="DM826" s="314">
        <f t="shared" si="614"/>
        <v>0</v>
      </c>
      <c r="DN826" s="312">
        <f t="shared" si="615"/>
        <v>0</v>
      </c>
      <c r="DO826" s="312">
        <f t="shared" si="622"/>
        <v>0</v>
      </c>
      <c r="DP826" s="315" t="e">
        <f t="shared" si="607"/>
        <v>#NUM!</v>
      </c>
      <c r="DQ826" s="316">
        <f t="shared" si="616"/>
        <v>0</v>
      </c>
      <c r="DR826" s="316">
        <f t="shared" si="617"/>
        <v>0</v>
      </c>
      <c r="DS826" s="314">
        <f t="shared" si="618"/>
        <v>0</v>
      </c>
      <c r="DT826" s="316">
        <f t="shared" si="619"/>
        <v>0</v>
      </c>
      <c r="DU826" s="314">
        <f t="shared" si="608"/>
        <v>0</v>
      </c>
      <c r="DV826" s="316">
        <f t="shared" si="623"/>
        <v>0</v>
      </c>
      <c r="DW826" s="310">
        <f t="shared" si="609"/>
        <v>0</v>
      </c>
      <c r="FB826" s="307"/>
      <c r="FC826" s="307"/>
      <c r="FF826" s="307"/>
      <c r="FG826" s="307"/>
      <c r="FH826" s="306"/>
      <c r="FJ826" s="307"/>
      <c r="FK826" s="307"/>
      <c r="FL826" s="306"/>
      <c r="FM826" s="307"/>
      <c r="FN826" s="306"/>
      <c r="FO826" s="307"/>
      <c r="FP826" s="306"/>
    </row>
    <row r="827" spans="29:172">
      <c r="AC827" s="156"/>
      <c r="CW827" s="364"/>
      <c r="CX827" s="316"/>
      <c r="CY827" s="316"/>
      <c r="DA827" s="309">
        <v>826</v>
      </c>
      <c r="DB827" s="313">
        <f t="shared" si="603"/>
        <v>500.63941350388313</v>
      </c>
      <c r="DC827" s="309">
        <f t="shared" si="604"/>
        <v>4</v>
      </c>
      <c r="DD827" s="309">
        <f t="shared" si="605"/>
        <v>0</v>
      </c>
      <c r="DE827" s="308">
        <f t="shared" si="606"/>
        <v>0</v>
      </c>
      <c r="DF827" s="313">
        <f t="shared" si="620"/>
        <v>600</v>
      </c>
      <c r="DG827" s="313">
        <f t="shared" si="624"/>
        <v>0</v>
      </c>
      <c r="DH827" s="313">
        <f t="shared" si="610"/>
        <v>0</v>
      </c>
      <c r="DI827" s="313">
        <f t="shared" si="611"/>
        <v>0</v>
      </c>
      <c r="DJ827" s="313">
        <f t="shared" si="612"/>
        <v>0</v>
      </c>
      <c r="DK827" s="313">
        <f t="shared" si="621"/>
        <v>0</v>
      </c>
      <c r="DL827" s="313">
        <f t="shared" si="613"/>
        <v>0</v>
      </c>
      <c r="DM827" s="314">
        <f t="shared" si="614"/>
        <v>0</v>
      </c>
      <c r="DN827" s="312">
        <f t="shared" si="615"/>
        <v>0</v>
      </c>
      <c r="DO827" s="312">
        <f t="shared" si="622"/>
        <v>0</v>
      </c>
      <c r="DP827" s="315" t="e">
        <f t="shared" si="607"/>
        <v>#NUM!</v>
      </c>
      <c r="DQ827" s="316">
        <f t="shared" si="616"/>
        <v>0</v>
      </c>
      <c r="DR827" s="316">
        <f t="shared" si="617"/>
        <v>0</v>
      </c>
      <c r="DS827" s="314">
        <f t="shared" si="618"/>
        <v>0</v>
      </c>
      <c r="DT827" s="316">
        <f t="shared" si="619"/>
        <v>0</v>
      </c>
      <c r="DU827" s="314">
        <f t="shared" si="608"/>
        <v>0</v>
      </c>
      <c r="DV827" s="316">
        <f t="shared" si="623"/>
        <v>0</v>
      </c>
      <c r="DW827" s="310">
        <f t="shared" si="609"/>
        <v>0</v>
      </c>
      <c r="FB827" s="307"/>
      <c r="FC827" s="307"/>
      <c r="FF827" s="307"/>
      <c r="FG827" s="307"/>
      <c r="FH827" s="306"/>
      <c r="FJ827" s="307"/>
      <c r="FK827" s="307"/>
      <c r="FL827" s="306"/>
      <c r="FM827" s="307"/>
      <c r="FN827" s="306"/>
      <c r="FO827" s="307"/>
      <c r="FP827" s="306"/>
    </row>
    <row r="828" spans="29:172">
      <c r="AC828" s="156"/>
      <c r="CW828" s="364"/>
      <c r="CX828" s="316"/>
      <c r="CY828" s="316"/>
      <c r="DA828" s="309">
        <v>827</v>
      </c>
      <c r="DB828" s="313">
        <f t="shared" si="603"/>
        <v>501.00338373814935</v>
      </c>
      <c r="DC828" s="309">
        <f t="shared" si="604"/>
        <v>4</v>
      </c>
      <c r="DD828" s="309">
        <f t="shared" si="605"/>
        <v>0</v>
      </c>
      <c r="DE828" s="308">
        <f t="shared" si="606"/>
        <v>0</v>
      </c>
      <c r="DF828" s="313">
        <f t="shared" si="620"/>
        <v>600</v>
      </c>
      <c r="DG828" s="313">
        <f t="shared" si="624"/>
        <v>0</v>
      </c>
      <c r="DH828" s="313">
        <f t="shared" si="610"/>
        <v>0</v>
      </c>
      <c r="DI828" s="313">
        <f t="shared" si="611"/>
        <v>0</v>
      </c>
      <c r="DJ828" s="313">
        <f t="shared" si="612"/>
        <v>0</v>
      </c>
      <c r="DK828" s="313">
        <f t="shared" si="621"/>
        <v>0</v>
      </c>
      <c r="DL828" s="313">
        <f t="shared" si="613"/>
        <v>0</v>
      </c>
      <c r="DM828" s="314">
        <f t="shared" si="614"/>
        <v>0</v>
      </c>
      <c r="DN828" s="312">
        <f t="shared" si="615"/>
        <v>0</v>
      </c>
      <c r="DO828" s="312">
        <f t="shared" si="622"/>
        <v>0</v>
      </c>
      <c r="DP828" s="315" t="e">
        <f t="shared" si="607"/>
        <v>#NUM!</v>
      </c>
      <c r="DQ828" s="316">
        <f t="shared" si="616"/>
        <v>0</v>
      </c>
      <c r="DR828" s="316">
        <f t="shared" si="617"/>
        <v>0</v>
      </c>
      <c r="DS828" s="314">
        <f t="shared" si="618"/>
        <v>0</v>
      </c>
      <c r="DT828" s="316">
        <f t="shared" si="619"/>
        <v>0</v>
      </c>
      <c r="DU828" s="314">
        <f t="shared" si="608"/>
        <v>0</v>
      </c>
      <c r="DV828" s="316">
        <f t="shared" si="623"/>
        <v>0</v>
      </c>
      <c r="DW828" s="310">
        <f t="shared" si="609"/>
        <v>0</v>
      </c>
      <c r="FB828" s="307"/>
      <c r="FC828" s="307"/>
      <c r="FF828" s="307"/>
      <c r="FG828" s="307"/>
      <c r="FH828" s="306"/>
      <c r="FJ828" s="307"/>
      <c r="FK828" s="307"/>
      <c r="FL828" s="306"/>
      <c r="FM828" s="307"/>
      <c r="FN828" s="306"/>
      <c r="FO828" s="307"/>
      <c r="FP828" s="306"/>
    </row>
    <row r="829" spans="29:172">
      <c r="AC829" s="156"/>
      <c r="CW829" s="364"/>
      <c r="CX829" s="316"/>
      <c r="CY829" s="316"/>
      <c r="DA829" s="309">
        <v>828</v>
      </c>
      <c r="DB829" s="313">
        <f t="shared" si="603"/>
        <v>501.36735397241551</v>
      </c>
      <c r="DC829" s="309">
        <f t="shared" si="604"/>
        <v>4</v>
      </c>
      <c r="DD829" s="309">
        <f t="shared" si="605"/>
        <v>0</v>
      </c>
      <c r="DE829" s="308">
        <f t="shared" si="606"/>
        <v>0</v>
      </c>
      <c r="DF829" s="313">
        <f t="shared" si="620"/>
        <v>600</v>
      </c>
      <c r="DG829" s="313">
        <f t="shared" si="624"/>
        <v>0</v>
      </c>
      <c r="DH829" s="313">
        <f t="shared" si="610"/>
        <v>0</v>
      </c>
      <c r="DI829" s="313">
        <f t="shared" si="611"/>
        <v>0</v>
      </c>
      <c r="DJ829" s="313">
        <f t="shared" si="612"/>
        <v>0</v>
      </c>
      <c r="DK829" s="313">
        <f t="shared" si="621"/>
        <v>0</v>
      </c>
      <c r="DL829" s="313">
        <f t="shared" si="613"/>
        <v>0</v>
      </c>
      <c r="DM829" s="314">
        <f t="shared" si="614"/>
        <v>0</v>
      </c>
      <c r="DN829" s="312">
        <f t="shared" si="615"/>
        <v>0</v>
      </c>
      <c r="DO829" s="312">
        <f t="shared" si="622"/>
        <v>0</v>
      </c>
      <c r="DP829" s="315" t="e">
        <f t="shared" si="607"/>
        <v>#NUM!</v>
      </c>
      <c r="DQ829" s="316">
        <f t="shared" si="616"/>
        <v>0</v>
      </c>
      <c r="DR829" s="316">
        <f t="shared" si="617"/>
        <v>0</v>
      </c>
      <c r="DS829" s="314">
        <f t="shared" si="618"/>
        <v>0</v>
      </c>
      <c r="DT829" s="316">
        <f t="shared" si="619"/>
        <v>0</v>
      </c>
      <c r="DU829" s="314">
        <f t="shared" si="608"/>
        <v>0</v>
      </c>
      <c r="DV829" s="316">
        <f t="shared" si="623"/>
        <v>0</v>
      </c>
      <c r="DW829" s="310">
        <f t="shared" si="609"/>
        <v>0</v>
      </c>
      <c r="FB829" s="307"/>
      <c r="FC829" s="307"/>
      <c r="FF829" s="307"/>
      <c r="FG829" s="307"/>
      <c r="FH829" s="306"/>
      <c r="FJ829" s="307"/>
      <c r="FK829" s="307"/>
      <c r="FL829" s="306"/>
      <c r="FM829" s="307"/>
      <c r="FN829" s="306"/>
      <c r="FO829" s="307"/>
      <c r="FP829" s="306"/>
    </row>
    <row r="830" spans="29:172">
      <c r="AC830" s="156"/>
      <c r="CW830" s="364"/>
      <c r="CX830" s="316"/>
      <c r="CY830" s="316"/>
      <c r="DA830" s="309">
        <v>829</v>
      </c>
      <c r="DB830" s="313">
        <f t="shared" si="603"/>
        <v>501.73132420668173</v>
      </c>
      <c r="DC830" s="309">
        <f t="shared" si="604"/>
        <v>4</v>
      </c>
      <c r="DD830" s="309">
        <f t="shared" si="605"/>
        <v>0</v>
      </c>
      <c r="DE830" s="308">
        <f t="shared" si="606"/>
        <v>0</v>
      </c>
      <c r="DF830" s="313">
        <f t="shared" si="620"/>
        <v>600</v>
      </c>
      <c r="DG830" s="313">
        <f t="shared" si="624"/>
        <v>0</v>
      </c>
      <c r="DH830" s="313">
        <f t="shared" si="610"/>
        <v>0</v>
      </c>
      <c r="DI830" s="313">
        <f t="shared" si="611"/>
        <v>0</v>
      </c>
      <c r="DJ830" s="313">
        <f t="shared" si="612"/>
        <v>0</v>
      </c>
      <c r="DK830" s="313">
        <f t="shared" si="621"/>
        <v>0</v>
      </c>
      <c r="DL830" s="313">
        <f t="shared" si="613"/>
        <v>0</v>
      </c>
      <c r="DM830" s="314">
        <f t="shared" si="614"/>
        <v>0</v>
      </c>
      <c r="DN830" s="312">
        <f t="shared" si="615"/>
        <v>0</v>
      </c>
      <c r="DO830" s="312">
        <f t="shared" si="622"/>
        <v>0</v>
      </c>
      <c r="DP830" s="315" t="e">
        <f t="shared" si="607"/>
        <v>#NUM!</v>
      </c>
      <c r="DQ830" s="316">
        <f t="shared" si="616"/>
        <v>0</v>
      </c>
      <c r="DR830" s="316">
        <f t="shared" si="617"/>
        <v>0</v>
      </c>
      <c r="DS830" s="314">
        <f t="shared" si="618"/>
        <v>0</v>
      </c>
      <c r="DT830" s="316">
        <f t="shared" si="619"/>
        <v>0</v>
      </c>
      <c r="DU830" s="314">
        <f t="shared" si="608"/>
        <v>0</v>
      </c>
      <c r="DV830" s="316">
        <f t="shared" si="623"/>
        <v>0</v>
      </c>
      <c r="DW830" s="310">
        <f t="shared" si="609"/>
        <v>0</v>
      </c>
      <c r="FB830" s="307"/>
      <c r="FC830" s="307"/>
      <c r="FF830" s="307"/>
      <c r="FG830" s="307"/>
      <c r="FH830" s="306"/>
      <c r="FJ830" s="307"/>
      <c r="FK830" s="307"/>
      <c r="FL830" s="306"/>
      <c r="FM830" s="307"/>
      <c r="FN830" s="306"/>
      <c r="FO830" s="307"/>
      <c r="FP830" s="306"/>
    </row>
    <row r="831" spans="29:172">
      <c r="AC831" s="156"/>
      <c r="CW831" s="364"/>
      <c r="CX831" s="316"/>
      <c r="CY831" s="316"/>
      <c r="DA831" s="309">
        <v>830</v>
      </c>
      <c r="DB831" s="313">
        <f t="shared" si="603"/>
        <v>502.09529444094795</v>
      </c>
      <c r="DC831" s="309">
        <f t="shared" si="604"/>
        <v>4</v>
      </c>
      <c r="DD831" s="309">
        <f t="shared" si="605"/>
        <v>0</v>
      </c>
      <c r="DE831" s="308">
        <f t="shared" si="606"/>
        <v>0</v>
      </c>
      <c r="DF831" s="313">
        <f t="shared" si="620"/>
        <v>600</v>
      </c>
      <c r="DG831" s="313">
        <f t="shared" si="624"/>
        <v>0</v>
      </c>
      <c r="DH831" s="313">
        <f t="shared" si="610"/>
        <v>0</v>
      </c>
      <c r="DI831" s="313">
        <f t="shared" si="611"/>
        <v>0</v>
      </c>
      <c r="DJ831" s="313">
        <f t="shared" si="612"/>
        <v>0</v>
      </c>
      <c r="DK831" s="313">
        <f t="shared" si="621"/>
        <v>0</v>
      </c>
      <c r="DL831" s="313">
        <f t="shared" si="613"/>
        <v>0</v>
      </c>
      <c r="DM831" s="314">
        <f t="shared" si="614"/>
        <v>0</v>
      </c>
      <c r="DN831" s="312">
        <f t="shared" si="615"/>
        <v>0</v>
      </c>
      <c r="DO831" s="312">
        <f t="shared" si="622"/>
        <v>0</v>
      </c>
      <c r="DP831" s="315" t="e">
        <f t="shared" si="607"/>
        <v>#NUM!</v>
      </c>
      <c r="DQ831" s="316">
        <f t="shared" si="616"/>
        <v>0</v>
      </c>
      <c r="DR831" s="316">
        <f t="shared" si="617"/>
        <v>0</v>
      </c>
      <c r="DS831" s="314">
        <f t="shared" si="618"/>
        <v>0</v>
      </c>
      <c r="DT831" s="316">
        <f t="shared" si="619"/>
        <v>0</v>
      </c>
      <c r="DU831" s="314">
        <f t="shared" si="608"/>
        <v>0</v>
      </c>
      <c r="DV831" s="316">
        <f t="shared" si="623"/>
        <v>0</v>
      </c>
      <c r="DW831" s="310">
        <f t="shared" si="609"/>
        <v>0</v>
      </c>
      <c r="FB831" s="307"/>
      <c r="FC831" s="307"/>
      <c r="FF831" s="307"/>
      <c r="FG831" s="307"/>
      <c r="FH831" s="306"/>
      <c r="FJ831" s="307"/>
      <c r="FK831" s="307"/>
      <c r="FL831" s="306"/>
      <c r="FM831" s="307"/>
      <c r="FN831" s="306"/>
      <c r="FO831" s="307"/>
      <c r="FP831" s="306"/>
    </row>
    <row r="832" spans="29:172">
      <c r="AC832" s="156"/>
      <c r="CW832" s="364"/>
      <c r="CX832" s="316"/>
      <c r="CY832" s="316"/>
      <c r="DA832" s="309">
        <v>831</v>
      </c>
      <c r="DB832" s="313">
        <f t="shared" si="603"/>
        <v>502.45926467521417</v>
      </c>
      <c r="DC832" s="309">
        <f t="shared" si="604"/>
        <v>4</v>
      </c>
      <c r="DD832" s="309">
        <f t="shared" si="605"/>
        <v>0</v>
      </c>
      <c r="DE832" s="308">
        <f t="shared" si="606"/>
        <v>0</v>
      </c>
      <c r="DF832" s="313">
        <f t="shared" si="620"/>
        <v>600</v>
      </c>
      <c r="DG832" s="313">
        <f t="shared" si="624"/>
        <v>0</v>
      </c>
      <c r="DH832" s="313">
        <f t="shared" si="610"/>
        <v>0</v>
      </c>
      <c r="DI832" s="313">
        <f t="shared" si="611"/>
        <v>0</v>
      </c>
      <c r="DJ832" s="313">
        <f t="shared" si="612"/>
        <v>0</v>
      </c>
      <c r="DK832" s="313">
        <f t="shared" si="621"/>
        <v>0</v>
      </c>
      <c r="DL832" s="313">
        <f t="shared" si="613"/>
        <v>0</v>
      </c>
      <c r="DM832" s="314">
        <f t="shared" si="614"/>
        <v>0</v>
      </c>
      <c r="DN832" s="312">
        <f t="shared" si="615"/>
        <v>0</v>
      </c>
      <c r="DO832" s="312">
        <f t="shared" si="622"/>
        <v>0</v>
      </c>
      <c r="DP832" s="315" t="e">
        <f t="shared" si="607"/>
        <v>#NUM!</v>
      </c>
      <c r="DQ832" s="316">
        <f t="shared" si="616"/>
        <v>0</v>
      </c>
      <c r="DR832" s="316">
        <f t="shared" si="617"/>
        <v>0</v>
      </c>
      <c r="DS832" s="314">
        <f t="shared" si="618"/>
        <v>0</v>
      </c>
      <c r="DT832" s="316">
        <f t="shared" si="619"/>
        <v>0</v>
      </c>
      <c r="DU832" s="314">
        <f t="shared" si="608"/>
        <v>0</v>
      </c>
      <c r="DV832" s="316">
        <f t="shared" si="623"/>
        <v>0</v>
      </c>
      <c r="DW832" s="310">
        <f t="shared" si="609"/>
        <v>0</v>
      </c>
      <c r="FB832" s="307"/>
      <c r="FC832" s="307"/>
      <c r="FF832" s="307"/>
      <c r="FG832" s="307"/>
      <c r="FH832" s="306"/>
      <c r="FJ832" s="307"/>
      <c r="FK832" s="307"/>
      <c r="FL832" s="306"/>
      <c r="FM832" s="307"/>
      <c r="FN832" s="306"/>
      <c r="FO832" s="307"/>
      <c r="FP832" s="306"/>
    </row>
    <row r="833" spans="29:172">
      <c r="AC833" s="156"/>
      <c r="CW833" s="364"/>
      <c r="CX833" s="316"/>
      <c r="CY833" s="316"/>
      <c r="DA833" s="309">
        <v>832</v>
      </c>
      <c r="DB833" s="313">
        <f t="shared" si="603"/>
        <v>502.82323490948033</v>
      </c>
      <c r="DC833" s="309">
        <f t="shared" si="604"/>
        <v>4</v>
      </c>
      <c r="DD833" s="309">
        <f t="shared" si="605"/>
        <v>0</v>
      </c>
      <c r="DE833" s="308">
        <f t="shared" si="606"/>
        <v>0</v>
      </c>
      <c r="DF833" s="313">
        <f t="shared" si="620"/>
        <v>600</v>
      </c>
      <c r="DG833" s="313">
        <f t="shared" si="624"/>
        <v>0</v>
      </c>
      <c r="DH833" s="313">
        <f t="shared" si="610"/>
        <v>0</v>
      </c>
      <c r="DI833" s="313">
        <f t="shared" si="611"/>
        <v>0</v>
      </c>
      <c r="DJ833" s="313">
        <f t="shared" si="612"/>
        <v>0</v>
      </c>
      <c r="DK833" s="313">
        <f t="shared" si="621"/>
        <v>0</v>
      </c>
      <c r="DL833" s="313">
        <f t="shared" si="613"/>
        <v>0</v>
      </c>
      <c r="DM833" s="314">
        <f t="shared" si="614"/>
        <v>0</v>
      </c>
      <c r="DN833" s="312">
        <f t="shared" si="615"/>
        <v>0</v>
      </c>
      <c r="DO833" s="312">
        <f t="shared" si="622"/>
        <v>0</v>
      </c>
      <c r="DP833" s="315" t="e">
        <f t="shared" si="607"/>
        <v>#NUM!</v>
      </c>
      <c r="DQ833" s="316">
        <f t="shared" si="616"/>
        <v>0</v>
      </c>
      <c r="DR833" s="316">
        <f t="shared" si="617"/>
        <v>0</v>
      </c>
      <c r="DS833" s="314">
        <f t="shared" si="618"/>
        <v>0</v>
      </c>
      <c r="DT833" s="316">
        <f t="shared" si="619"/>
        <v>0</v>
      </c>
      <c r="DU833" s="314">
        <f t="shared" si="608"/>
        <v>0</v>
      </c>
      <c r="DV833" s="316">
        <f t="shared" si="623"/>
        <v>0</v>
      </c>
      <c r="DW833" s="310">
        <f t="shared" si="609"/>
        <v>0</v>
      </c>
      <c r="FB833" s="307"/>
      <c r="FC833" s="307"/>
      <c r="FF833" s="307"/>
      <c r="FG833" s="307"/>
      <c r="FH833" s="306"/>
      <c r="FJ833" s="307"/>
      <c r="FK833" s="307"/>
      <c r="FL833" s="306"/>
      <c r="FM833" s="307"/>
      <c r="FN833" s="306"/>
      <c r="FO833" s="307"/>
      <c r="FP833" s="306"/>
    </row>
    <row r="834" spans="29:172">
      <c r="AC834" s="156"/>
      <c r="CW834" s="364"/>
      <c r="CX834" s="316"/>
      <c r="CY834" s="316"/>
      <c r="DA834" s="309">
        <v>833</v>
      </c>
      <c r="DB834" s="313">
        <f t="shared" ref="DB834:DB897" si="625">start+DA834*tanO</f>
        <v>503.18720514374655</v>
      </c>
      <c r="DC834" s="309">
        <f t="shared" ref="DC834:DC897" si="626">IF(DA834&lt;edge_width,1,IF(DA834&lt;mid_width,2,IF(DA834&lt;=tot_width,3,4)))</f>
        <v>4</v>
      </c>
      <c r="DD834" s="309">
        <f t="shared" ref="DD834:DD897" si="627">CHOOSE(DC834,edge_thick,second_thick,core_thick,0)</f>
        <v>0</v>
      </c>
      <c r="DE834" s="308">
        <f t="shared" ref="DE834:DE897" si="628">CHOOSE(DC834,edge_k,second_k,core_k,0)</f>
        <v>0</v>
      </c>
      <c r="DF834" s="313">
        <f t="shared" si="620"/>
        <v>600</v>
      </c>
      <c r="DG834" s="313">
        <f t="shared" si="624"/>
        <v>0</v>
      </c>
      <c r="DH834" s="313">
        <f t="shared" si="610"/>
        <v>0</v>
      </c>
      <c r="DI834" s="313">
        <f t="shared" si="611"/>
        <v>0</v>
      </c>
      <c r="DJ834" s="313">
        <f t="shared" si="612"/>
        <v>0</v>
      </c>
      <c r="DK834" s="313">
        <f t="shared" si="621"/>
        <v>0</v>
      </c>
      <c r="DL834" s="313">
        <f t="shared" si="613"/>
        <v>0</v>
      </c>
      <c r="DM834" s="314">
        <f t="shared" si="614"/>
        <v>0</v>
      </c>
      <c r="DN834" s="312">
        <f t="shared" si="615"/>
        <v>0</v>
      </c>
      <c r="DO834" s="312">
        <f t="shared" si="622"/>
        <v>0</v>
      </c>
      <c r="DP834" s="315" t="e">
        <f t="shared" ref="DP834:DP897" si="629">DE834*DO834^CHOOSE(DC834,mult1,mult2,mult3,0)</f>
        <v>#NUM!</v>
      </c>
      <c r="DQ834" s="316">
        <f t="shared" si="616"/>
        <v>0</v>
      </c>
      <c r="DR834" s="316">
        <f t="shared" si="617"/>
        <v>0</v>
      </c>
      <c r="DS834" s="314">
        <f t="shared" si="618"/>
        <v>0</v>
      </c>
      <c r="DT834" s="316">
        <f t="shared" si="619"/>
        <v>0</v>
      </c>
      <c r="DU834" s="314">
        <f t="shared" ref="DU834:DU897" si="630">IF(DC834&lt;&gt;4,CHOOSE(DC834,DA834/DT834,(DA834-edge_width+1)/DT834,(DA834-mid_width+1)/DT834),0)</f>
        <v>0</v>
      </c>
      <c r="DV834" s="316">
        <f t="shared" si="623"/>
        <v>0</v>
      </c>
      <c r="DW834" s="310">
        <f t="shared" ref="DW834:DW897" si="631">IF(DC834&lt;&gt;4,(tot_width-DA834+1)/DV834,0)</f>
        <v>0</v>
      </c>
      <c r="FB834" s="307"/>
      <c r="FC834" s="307"/>
      <c r="FF834" s="307"/>
      <c r="FG834" s="307"/>
      <c r="FH834" s="306"/>
      <c r="FJ834" s="307"/>
      <c r="FK834" s="307"/>
      <c r="FL834" s="306"/>
      <c r="FM834" s="307"/>
      <c r="FN834" s="306"/>
      <c r="FO834" s="307"/>
      <c r="FP834" s="306"/>
    </row>
    <row r="835" spans="29:172">
      <c r="AC835" s="156"/>
      <c r="CW835" s="364"/>
      <c r="CX835" s="316"/>
      <c r="CY835" s="316"/>
      <c r="DA835" s="309">
        <v>834</v>
      </c>
      <c r="DB835" s="313">
        <f t="shared" si="625"/>
        <v>503.55117537801277</v>
      </c>
      <c r="DC835" s="309">
        <f t="shared" si="626"/>
        <v>4</v>
      </c>
      <c r="DD835" s="309">
        <f t="shared" si="627"/>
        <v>0</v>
      </c>
      <c r="DE835" s="308">
        <f t="shared" si="628"/>
        <v>0</v>
      </c>
      <c r="DF835" s="313">
        <f t="shared" si="620"/>
        <v>600</v>
      </c>
      <c r="DG835" s="313">
        <f t="shared" si="624"/>
        <v>0</v>
      </c>
      <c r="DH835" s="313">
        <f t="shared" ref="DH835:DH898" si="632">IF(DC835=1,DG835,0)</f>
        <v>0</v>
      </c>
      <c r="DI835" s="313">
        <f t="shared" ref="DI835:DI898" si="633">IF(DC835=2,DG835,0)</f>
        <v>0</v>
      </c>
      <c r="DJ835" s="313">
        <f t="shared" ref="DJ835:DJ898" si="634">IF(DC835=3,DG835,0)</f>
        <v>0</v>
      </c>
      <c r="DK835" s="313">
        <f t="shared" si="621"/>
        <v>0</v>
      </c>
      <c r="DL835" s="313">
        <f t="shared" ref="DL835:DL898" si="635">IF(DC835&lt;4,DL836+DG835,0)</f>
        <v>0</v>
      </c>
      <c r="DM835" s="314">
        <f t="shared" ref="DM835:DM898" si="636">IF($DC835&lt;&gt;4,IF($DA835=edge_width,$CY$2,IF($DA835=mid_width,$CY$3,1-DO835+DM834)),0)</f>
        <v>0</v>
      </c>
      <c r="DN835" s="312">
        <f t="shared" ref="DN835:DN898" si="637">IF(DC835&lt;&gt;4,CHOOSE(DC835,DM835/DA835,DM835/(DA835-edge_width+1),DM835/(DA835-mid_width+1)),0)</f>
        <v>0</v>
      </c>
      <c r="DO835" s="312">
        <f t="shared" si="622"/>
        <v>0</v>
      </c>
      <c r="DP835" s="315" t="e">
        <f t="shared" si="629"/>
        <v>#NUM!</v>
      </c>
      <c r="DQ835" s="316">
        <f t="shared" ref="DQ835:DQ898" si="638">IF(AND(DC835&lt;&gt;4,DG835&lt;&gt;0),1000*DP835/DG835,0)</f>
        <v>0</v>
      </c>
      <c r="DR835" s="316">
        <f t="shared" ref="DR835:DR898" si="639">IF(DC835&lt;&gt;4,DR834+DQ835,0)</f>
        <v>0</v>
      </c>
      <c r="DS835" s="314">
        <f t="shared" ref="DS835:DS898" si="640">IF(AND(DC835&lt;&gt;4,DR835&lt;&gt;0),DA835/DR835,0)</f>
        <v>0</v>
      </c>
      <c r="DT835" s="316">
        <f t="shared" ref="DT835:DT898" si="641">IF(DC835&lt;&gt;4,IF(DA835=edge_width,$CY$4,IF(DA835=mid_width,$CY$5,DQ835+DT834)),0)</f>
        <v>0</v>
      </c>
      <c r="DU835" s="314">
        <f t="shared" si="630"/>
        <v>0</v>
      </c>
      <c r="DV835" s="316">
        <f t="shared" si="623"/>
        <v>0</v>
      </c>
      <c r="DW835" s="310">
        <f t="shared" si="631"/>
        <v>0</v>
      </c>
      <c r="FB835" s="307"/>
      <c r="FC835" s="307"/>
      <c r="FF835" s="307"/>
      <c r="FG835" s="307"/>
      <c r="FH835" s="306"/>
      <c r="FJ835" s="307"/>
      <c r="FK835" s="307"/>
      <c r="FL835" s="306"/>
      <c r="FM835" s="307"/>
      <c r="FN835" s="306"/>
      <c r="FO835" s="307"/>
      <c r="FP835" s="306"/>
    </row>
    <row r="836" spans="29:172">
      <c r="AC836" s="156"/>
      <c r="CW836" s="364"/>
      <c r="CX836" s="316"/>
      <c r="CY836" s="316"/>
      <c r="DA836" s="309">
        <v>835</v>
      </c>
      <c r="DB836" s="313">
        <f t="shared" si="625"/>
        <v>503.91514561227893</v>
      </c>
      <c r="DC836" s="309">
        <f t="shared" si="626"/>
        <v>4</v>
      </c>
      <c r="DD836" s="309">
        <f t="shared" si="627"/>
        <v>0</v>
      </c>
      <c r="DE836" s="308">
        <f t="shared" si="628"/>
        <v>0</v>
      </c>
      <c r="DF836" s="313">
        <f t="shared" ref="DF836:DF899" si="642">IF(DC836&lt;4,DF835+1,DF835)</f>
        <v>600</v>
      </c>
      <c r="DG836" s="313">
        <f t="shared" si="624"/>
        <v>0</v>
      </c>
      <c r="DH836" s="313">
        <f t="shared" si="632"/>
        <v>0</v>
      </c>
      <c r="DI836" s="313">
        <f t="shared" si="633"/>
        <v>0</v>
      </c>
      <c r="DJ836" s="313">
        <f t="shared" si="634"/>
        <v>0</v>
      </c>
      <c r="DK836" s="313">
        <f t="shared" ref="DK836:DK899" si="643">IF(DC836&lt;4,DK835+DG836,0)</f>
        <v>0</v>
      </c>
      <c r="DL836" s="313">
        <f t="shared" si="635"/>
        <v>0</v>
      </c>
      <c r="DM836" s="314">
        <f t="shared" si="636"/>
        <v>0</v>
      </c>
      <c r="DN836" s="312">
        <f t="shared" si="637"/>
        <v>0</v>
      </c>
      <c r="DO836" s="312">
        <f t="shared" ref="DO836:DO899" si="644">IF(AND(DC836&lt;&gt;4,DD836&lt;&gt;0),DG836/DD836,0)</f>
        <v>0</v>
      </c>
      <c r="DP836" s="315" t="e">
        <f t="shared" si="629"/>
        <v>#NUM!</v>
      </c>
      <c r="DQ836" s="316">
        <f t="shared" si="638"/>
        <v>0</v>
      </c>
      <c r="DR836" s="316">
        <f t="shared" si="639"/>
        <v>0</v>
      </c>
      <c r="DS836" s="314">
        <f t="shared" si="640"/>
        <v>0</v>
      </c>
      <c r="DT836" s="316">
        <f t="shared" si="641"/>
        <v>0</v>
      </c>
      <c r="DU836" s="314">
        <f t="shared" si="630"/>
        <v>0</v>
      </c>
      <c r="DV836" s="316">
        <f t="shared" ref="DV836:DV899" si="645">DV837+DQ836</f>
        <v>0</v>
      </c>
      <c r="DW836" s="310">
        <f t="shared" si="631"/>
        <v>0</v>
      </c>
      <c r="FB836" s="307"/>
      <c r="FC836" s="307"/>
      <c r="FF836" s="307"/>
      <c r="FG836" s="307"/>
      <c r="FH836" s="306"/>
      <c r="FJ836" s="307"/>
      <c r="FK836" s="307"/>
      <c r="FL836" s="306"/>
      <c r="FM836" s="307"/>
      <c r="FN836" s="306"/>
      <c r="FO836" s="307"/>
      <c r="FP836" s="306"/>
    </row>
    <row r="837" spans="29:172">
      <c r="AC837" s="156"/>
      <c r="CW837" s="364"/>
      <c r="CX837" s="316"/>
      <c r="CY837" s="316"/>
      <c r="DA837" s="309">
        <v>836</v>
      </c>
      <c r="DB837" s="313">
        <f t="shared" si="625"/>
        <v>504.27911584654515</v>
      </c>
      <c r="DC837" s="309">
        <f t="shared" si="626"/>
        <v>4</v>
      </c>
      <c r="DD837" s="309">
        <f t="shared" si="627"/>
        <v>0</v>
      </c>
      <c r="DE837" s="308">
        <f t="shared" si="628"/>
        <v>0</v>
      </c>
      <c r="DF837" s="313">
        <f t="shared" si="642"/>
        <v>600</v>
      </c>
      <c r="DG837" s="313">
        <f t="shared" si="624"/>
        <v>0</v>
      </c>
      <c r="DH837" s="313">
        <f t="shared" si="632"/>
        <v>0</v>
      </c>
      <c r="DI837" s="313">
        <f t="shared" si="633"/>
        <v>0</v>
      </c>
      <c r="DJ837" s="313">
        <f t="shared" si="634"/>
        <v>0</v>
      </c>
      <c r="DK837" s="313">
        <f t="shared" si="643"/>
        <v>0</v>
      </c>
      <c r="DL837" s="313">
        <f t="shared" si="635"/>
        <v>0</v>
      </c>
      <c r="DM837" s="314">
        <f t="shared" si="636"/>
        <v>0</v>
      </c>
      <c r="DN837" s="312">
        <f t="shared" si="637"/>
        <v>0</v>
      </c>
      <c r="DO837" s="312">
        <f t="shared" si="644"/>
        <v>0</v>
      </c>
      <c r="DP837" s="315" t="e">
        <f t="shared" si="629"/>
        <v>#NUM!</v>
      </c>
      <c r="DQ837" s="316">
        <f t="shared" si="638"/>
        <v>0</v>
      </c>
      <c r="DR837" s="316">
        <f t="shared" si="639"/>
        <v>0</v>
      </c>
      <c r="DS837" s="314">
        <f t="shared" si="640"/>
        <v>0</v>
      </c>
      <c r="DT837" s="316">
        <f t="shared" si="641"/>
        <v>0</v>
      </c>
      <c r="DU837" s="314">
        <f t="shared" si="630"/>
        <v>0</v>
      </c>
      <c r="DV837" s="316">
        <f t="shared" si="645"/>
        <v>0</v>
      </c>
      <c r="DW837" s="310">
        <f t="shared" si="631"/>
        <v>0</v>
      </c>
      <c r="FB837" s="307"/>
      <c r="FC837" s="307"/>
      <c r="FF837" s="307"/>
      <c r="FG837" s="307"/>
      <c r="FH837" s="306"/>
      <c r="FJ837" s="307"/>
      <c r="FK837" s="307"/>
      <c r="FL837" s="306"/>
      <c r="FM837" s="307"/>
      <c r="FN837" s="306"/>
      <c r="FO837" s="307"/>
      <c r="FP837" s="306"/>
    </row>
    <row r="838" spans="29:172">
      <c r="AC838" s="156"/>
      <c r="CW838" s="364"/>
      <c r="CX838" s="316"/>
      <c r="CY838" s="316"/>
      <c r="DA838" s="309">
        <v>837</v>
      </c>
      <c r="DB838" s="313">
        <f t="shared" si="625"/>
        <v>504.64308608081137</v>
      </c>
      <c r="DC838" s="309">
        <f t="shared" si="626"/>
        <v>4</v>
      </c>
      <c r="DD838" s="309">
        <f t="shared" si="627"/>
        <v>0</v>
      </c>
      <c r="DE838" s="308">
        <f t="shared" si="628"/>
        <v>0</v>
      </c>
      <c r="DF838" s="313">
        <f t="shared" si="642"/>
        <v>600</v>
      </c>
      <c r="DG838" s="313">
        <f t="shared" si="624"/>
        <v>0</v>
      </c>
      <c r="DH838" s="313">
        <f t="shared" si="632"/>
        <v>0</v>
      </c>
      <c r="DI838" s="313">
        <f t="shared" si="633"/>
        <v>0</v>
      </c>
      <c r="DJ838" s="313">
        <f t="shared" si="634"/>
        <v>0</v>
      </c>
      <c r="DK838" s="313">
        <f t="shared" si="643"/>
        <v>0</v>
      </c>
      <c r="DL838" s="313">
        <f t="shared" si="635"/>
        <v>0</v>
      </c>
      <c r="DM838" s="314">
        <f t="shared" si="636"/>
        <v>0</v>
      </c>
      <c r="DN838" s="312">
        <f t="shared" si="637"/>
        <v>0</v>
      </c>
      <c r="DO838" s="312">
        <f t="shared" si="644"/>
        <v>0</v>
      </c>
      <c r="DP838" s="315" t="e">
        <f t="shared" si="629"/>
        <v>#NUM!</v>
      </c>
      <c r="DQ838" s="316">
        <f t="shared" si="638"/>
        <v>0</v>
      </c>
      <c r="DR838" s="316">
        <f t="shared" si="639"/>
        <v>0</v>
      </c>
      <c r="DS838" s="314">
        <f t="shared" si="640"/>
        <v>0</v>
      </c>
      <c r="DT838" s="316">
        <f t="shared" si="641"/>
        <v>0</v>
      </c>
      <c r="DU838" s="314">
        <f t="shared" si="630"/>
        <v>0</v>
      </c>
      <c r="DV838" s="316">
        <f t="shared" si="645"/>
        <v>0</v>
      </c>
      <c r="DW838" s="310">
        <f t="shared" si="631"/>
        <v>0</v>
      </c>
      <c r="FB838" s="307"/>
      <c r="FC838" s="307"/>
      <c r="FF838" s="307"/>
      <c r="FG838" s="307"/>
      <c r="FH838" s="306"/>
      <c r="FJ838" s="307"/>
      <c r="FK838" s="307"/>
      <c r="FL838" s="306"/>
      <c r="FM838" s="307"/>
      <c r="FN838" s="306"/>
      <c r="FO838" s="307"/>
      <c r="FP838" s="306"/>
    </row>
    <row r="839" spans="29:172">
      <c r="AC839" s="156"/>
      <c r="CW839" s="364"/>
      <c r="CX839" s="316"/>
      <c r="CY839" s="316"/>
      <c r="DA839" s="309">
        <v>838</v>
      </c>
      <c r="DB839" s="313">
        <f t="shared" si="625"/>
        <v>505.00705631507753</v>
      </c>
      <c r="DC839" s="309">
        <f t="shared" si="626"/>
        <v>4</v>
      </c>
      <c r="DD839" s="309">
        <f t="shared" si="627"/>
        <v>0</v>
      </c>
      <c r="DE839" s="308">
        <f t="shared" si="628"/>
        <v>0</v>
      </c>
      <c r="DF839" s="313">
        <f t="shared" si="642"/>
        <v>600</v>
      </c>
      <c r="DG839" s="313">
        <f t="shared" si="624"/>
        <v>0</v>
      </c>
      <c r="DH839" s="313">
        <f t="shared" si="632"/>
        <v>0</v>
      </c>
      <c r="DI839" s="313">
        <f t="shared" si="633"/>
        <v>0</v>
      </c>
      <c r="DJ839" s="313">
        <f t="shared" si="634"/>
        <v>0</v>
      </c>
      <c r="DK839" s="313">
        <f t="shared" si="643"/>
        <v>0</v>
      </c>
      <c r="DL839" s="313">
        <f t="shared" si="635"/>
        <v>0</v>
      </c>
      <c r="DM839" s="314">
        <f t="shared" si="636"/>
        <v>0</v>
      </c>
      <c r="DN839" s="312">
        <f t="shared" si="637"/>
        <v>0</v>
      </c>
      <c r="DO839" s="312">
        <f t="shared" si="644"/>
        <v>0</v>
      </c>
      <c r="DP839" s="315" t="e">
        <f t="shared" si="629"/>
        <v>#NUM!</v>
      </c>
      <c r="DQ839" s="316">
        <f t="shared" si="638"/>
        <v>0</v>
      </c>
      <c r="DR839" s="316">
        <f t="shared" si="639"/>
        <v>0</v>
      </c>
      <c r="DS839" s="314">
        <f t="shared" si="640"/>
        <v>0</v>
      </c>
      <c r="DT839" s="316">
        <f t="shared" si="641"/>
        <v>0</v>
      </c>
      <c r="DU839" s="314">
        <f t="shared" si="630"/>
        <v>0</v>
      </c>
      <c r="DV839" s="316">
        <f t="shared" si="645"/>
        <v>0</v>
      </c>
      <c r="DW839" s="310">
        <f t="shared" si="631"/>
        <v>0</v>
      </c>
      <c r="FB839" s="307"/>
      <c r="FC839" s="307"/>
      <c r="FF839" s="307"/>
      <c r="FG839" s="307"/>
      <c r="FH839" s="306"/>
      <c r="FJ839" s="307"/>
      <c r="FK839" s="307"/>
      <c r="FL839" s="306"/>
      <c r="FM839" s="307"/>
      <c r="FN839" s="306"/>
      <c r="FO839" s="307"/>
      <c r="FP839" s="306"/>
    </row>
    <row r="840" spans="29:172">
      <c r="AC840" s="156"/>
      <c r="CW840" s="364"/>
      <c r="CX840" s="316"/>
      <c r="CY840" s="316"/>
      <c r="DA840" s="309">
        <v>839</v>
      </c>
      <c r="DB840" s="313">
        <f t="shared" si="625"/>
        <v>505.37102654934375</v>
      </c>
      <c r="DC840" s="309">
        <f t="shared" si="626"/>
        <v>4</v>
      </c>
      <c r="DD840" s="309">
        <f t="shared" si="627"/>
        <v>0</v>
      </c>
      <c r="DE840" s="308">
        <f t="shared" si="628"/>
        <v>0</v>
      </c>
      <c r="DF840" s="313">
        <f t="shared" si="642"/>
        <v>600</v>
      </c>
      <c r="DG840" s="313">
        <f t="shared" si="624"/>
        <v>0</v>
      </c>
      <c r="DH840" s="313">
        <f t="shared" si="632"/>
        <v>0</v>
      </c>
      <c r="DI840" s="313">
        <f t="shared" si="633"/>
        <v>0</v>
      </c>
      <c r="DJ840" s="313">
        <f t="shared" si="634"/>
        <v>0</v>
      </c>
      <c r="DK840" s="313">
        <f t="shared" si="643"/>
        <v>0</v>
      </c>
      <c r="DL840" s="313">
        <f t="shared" si="635"/>
        <v>0</v>
      </c>
      <c r="DM840" s="314">
        <f t="shared" si="636"/>
        <v>0</v>
      </c>
      <c r="DN840" s="312">
        <f t="shared" si="637"/>
        <v>0</v>
      </c>
      <c r="DO840" s="312">
        <f t="shared" si="644"/>
        <v>0</v>
      </c>
      <c r="DP840" s="315" t="e">
        <f t="shared" si="629"/>
        <v>#NUM!</v>
      </c>
      <c r="DQ840" s="316">
        <f t="shared" si="638"/>
        <v>0</v>
      </c>
      <c r="DR840" s="316">
        <f t="shared" si="639"/>
        <v>0</v>
      </c>
      <c r="DS840" s="314">
        <f t="shared" si="640"/>
        <v>0</v>
      </c>
      <c r="DT840" s="316">
        <f t="shared" si="641"/>
        <v>0</v>
      </c>
      <c r="DU840" s="314">
        <f t="shared" si="630"/>
        <v>0</v>
      </c>
      <c r="DV840" s="316">
        <f t="shared" si="645"/>
        <v>0</v>
      </c>
      <c r="DW840" s="310">
        <f t="shared" si="631"/>
        <v>0</v>
      </c>
      <c r="FB840" s="307"/>
      <c r="FC840" s="307"/>
      <c r="FF840" s="307"/>
      <c r="FG840" s="307"/>
      <c r="FH840" s="306"/>
      <c r="FJ840" s="307"/>
      <c r="FK840" s="307"/>
      <c r="FL840" s="306"/>
      <c r="FM840" s="307"/>
      <c r="FN840" s="306"/>
      <c r="FO840" s="307"/>
      <c r="FP840" s="306"/>
    </row>
    <row r="841" spans="29:172">
      <c r="AC841" s="156"/>
      <c r="CW841" s="364"/>
      <c r="CX841" s="316"/>
      <c r="CY841" s="316"/>
      <c r="DA841" s="309">
        <v>840</v>
      </c>
      <c r="DB841" s="313">
        <f t="shared" si="625"/>
        <v>505.73499678360997</v>
      </c>
      <c r="DC841" s="309">
        <f t="shared" si="626"/>
        <v>4</v>
      </c>
      <c r="DD841" s="309">
        <f t="shared" si="627"/>
        <v>0</v>
      </c>
      <c r="DE841" s="308">
        <f t="shared" si="628"/>
        <v>0</v>
      </c>
      <c r="DF841" s="313">
        <f t="shared" si="642"/>
        <v>600</v>
      </c>
      <c r="DG841" s="313">
        <f t="shared" si="624"/>
        <v>0</v>
      </c>
      <c r="DH841" s="313">
        <f t="shared" si="632"/>
        <v>0</v>
      </c>
      <c r="DI841" s="313">
        <f t="shared" si="633"/>
        <v>0</v>
      </c>
      <c r="DJ841" s="313">
        <f t="shared" si="634"/>
        <v>0</v>
      </c>
      <c r="DK841" s="313">
        <f t="shared" si="643"/>
        <v>0</v>
      </c>
      <c r="DL841" s="313">
        <f t="shared" si="635"/>
        <v>0</v>
      </c>
      <c r="DM841" s="314">
        <f t="shared" si="636"/>
        <v>0</v>
      </c>
      <c r="DN841" s="312">
        <f t="shared" si="637"/>
        <v>0</v>
      </c>
      <c r="DO841" s="312">
        <f t="shared" si="644"/>
        <v>0</v>
      </c>
      <c r="DP841" s="315" t="e">
        <f t="shared" si="629"/>
        <v>#NUM!</v>
      </c>
      <c r="DQ841" s="316">
        <f t="shared" si="638"/>
        <v>0</v>
      </c>
      <c r="DR841" s="316">
        <f t="shared" si="639"/>
        <v>0</v>
      </c>
      <c r="DS841" s="314">
        <f t="shared" si="640"/>
        <v>0</v>
      </c>
      <c r="DT841" s="316">
        <f t="shared" si="641"/>
        <v>0</v>
      </c>
      <c r="DU841" s="314">
        <f t="shared" si="630"/>
        <v>0</v>
      </c>
      <c r="DV841" s="316">
        <f t="shared" si="645"/>
        <v>0</v>
      </c>
      <c r="DW841" s="310">
        <f t="shared" si="631"/>
        <v>0</v>
      </c>
      <c r="FB841" s="307"/>
      <c r="FC841" s="307"/>
      <c r="FF841" s="307"/>
      <c r="FG841" s="307"/>
      <c r="FH841" s="306"/>
      <c r="FJ841" s="307"/>
      <c r="FK841" s="307"/>
      <c r="FL841" s="306"/>
      <c r="FM841" s="307"/>
      <c r="FN841" s="306"/>
      <c r="FO841" s="307"/>
      <c r="FP841" s="306"/>
    </row>
    <row r="842" spans="29:172">
      <c r="AC842" s="156"/>
      <c r="CW842" s="364"/>
      <c r="CX842" s="316"/>
      <c r="CY842" s="316"/>
      <c r="DA842" s="309">
        <v>841</v>
      </c>
      <c r="DB842" s="313">
        <f t="shared" si="625"/>
        <v>506.09896701787619</v>
      </c>
      <c r="DC842" s="309">
        <f t="shared" si="626"/>
        <v>4</v>
      </c>
      <c r="DD842" s="309">
        <f t="shared" si="627"/>
        <v>0</v>
      </c>
      <c r="DE842" s="308">
        <f t="shared" si="628"/>
        <v>0</v>
      </c>
      <c r="DF842" s="313">
        <f t="shared" si="642"/>
        <v>600</v>
      </c>
      <c r="DG842" s="313">
        <f t="shared" si="624"/>
        <v>0</v>
      </c>
      <c r="DH842" s="313">
        <f t="shared" si="632"/>
        <v>0</v>
      </c>
      <c r="DI842" s="313">
        <f t="shared" si="633"/>
        <v>0</v>
      </c>
      <c r="DJ842" s="313">
        <f t="shared" si="634"/>
        <v>0</v>
      </c>
      <c r="DK842" s="313">
        <f t="shared" si="643"/>
        <v>0</v>
      </c>
      <c r="DL842" s="313">
        <f t="shared" si="635"/>
        <v>0</v>
      </c>
      <c r="DM842" s="314">
        <f t="shared" si="636"/>
        <v>0</v>
      </c>
      <c r="DN842" s="312">
        <f t="shared" si="637"/>
        <v>0</v>
      </c>
      <c r="DO842" s="312">
        <f t="shared" si="644"/>
        <v>0</v>
      </c>
      <c r="DP842" s="315" t="e">
        <f t="shared" si="629"/>
        <v>#NUM!</v>
      </c>
      <c r="DQ842" s="316">
        <f t="shared" si="638"/>
        <v>0</v>
      </c>
      <c r="DR842" s="316">
        <f t="shared" si="639"/>
        <v>0</v>
      </c>
      <c r="DS842" s="314">
        <f t="shared" si="640"/>
        <v>0</v>
      </c>
      <c r="DT842" s="316">
        <f t="shared" si="641"/>
        <v>0</v>
      </c>
      <c r="DU842" s="314">
        <f t="shared" si="630"/>
        <v>0</v>
      </c>
      <c r="DV842" s="316">
        <f t="shared" si="645"/>
        <v>0</v>
      </c>
      <c r="DW842" s="310">
        <f t="shared" si="631"/>
        <v>0</v>
      </c>
      <c r="FB842" s="307"/>
      <c r="FC842" s="307"/>
      <c r="FF842" s="307"/>
      <c r="FG842" s="307"/>
      <c r="FH842" s="306"/>
      <c r="FJ842" s="307"/>
      <c r="FK842" s="307"/>
      <c r="FL842" s="306"/>
      <c r="FM842" s="307"/>
      <c r="FN842" s="306"/>
      <c r="FO842" s="307"/>
      <c r="FP842" s="306"/>
    </row>
    <row r="843" spans="29:172">
      <c r="AC843" s="156"/>
      <c r="CW843" s="364"/>
      <c r="CX843" s="316"/>
      <c r="CY843" s="316"/>
      <c r="DA843" s="309">
        <v>842</v>
      </c>
      <c r="DB843" s="313">
        <f t="shared" si="625"/>
        <v>506.46293725214235</v>
      </c>
      <c r="DC843" s="309">
        <f t="shared" si="626"/>
        <v>4</v>
      </c>
      <c r="DD843" s="309">
        <f t="shared" si="627"/>
        <v>0</v>
      </c>
      <c r="DE843" s="308">
        <f t="shared" si="628"/>
        <v>0</v>
      </c>
      <c r="DF843" s="313">
        <f t="shared" si="642"/>
        <v>600</v>
      </c>
      <c r="DG843" s="313">
        <f t="shared" si="624"/>
        <v>0</v>
      </c>
      <c r="DH843" s="313">
        <f t="shared" si="632"/>
        <v>0</v>
      </c>
      <c r="DI843" s="313">
        <f t="shared" si="633"/>
        <v>0</v>
      </c>
      <c r="DJ843" s="313">
        <f t="shared" si="634"/>
        <v>0</v>
      </c>
      <c r="DK843" s="313">
        <f t="shared" si="643"/>
        <v>0</v>
      </c>
      <c r="DL843" s="313">
        <f t="shared" si="635"/>
        <v>0</v>
      </c>
      <c r="DM843" s="314">
        <f t="shared" si="636"/>
        <v>0</v>
      </c>
      <c r="DN843" s="312">
        <f t="shared" si="637"/>
        <v>0</v>
      </c>
      <c r="DO843" s="312">
        <f t="shared" si="644"/>
        <v>0</v>
      </c>
      <c r="DP843" s="315" t="e">
        <f t="shared" si="629"/>
        <v>#NUM!</v>
      </c>
      <c r="DQ843" s="316">
        <f t="shared" si="638"/>
        <v>0</v>
      </c>
      <c r="DR843" s="316">
        <f t="shared" si="639"/>
        <v>0</v>
      </c>
      <c r="DS843" s="314">
        <f t="shared" si="640"/>
        <v>0</v>
      </c>
      <c r="DT843" s="316">
        <f t="shared" si="641"/>
        <v>0</v>
      </c>
      <c r="DU843" s="314">
        <f t="shared" si="630"/>
        <v>0</v>
      </c>
      <c r="DV843" s="316">
        <f t="shared" si="645"/>
        <v>0</v>
      </c>
      <c r="DW843" s="310">
        <f t="shared" si="631"/>
        <v>0</v>
      </c>
      <c r="FB843" s="307"/>
      <c r="FC843" s="307"/>
      <c r="FF843" s="307"/>
      <c r="FG843" s="307"/>
      <c r="FH843" s="306"/>
      <c r="FJ843" s="307"/>
      <c r="FK843" s="307"/>
      <c r="FL843" s="306"/>
      <c r="FM843" s="307"/>
      <c r="FN843" s="306"/>
      <c r="FO843" s="307"/>
      <c r="FP843" s="306"/>
    </row>
    <row r="844" spans="29:172">
      <c r="AC844" s="156"/>
      <c r="CW844" s="364"/>
      <c r="CX844" s="316"/>
      <c r="CY844" s="316"/>
      <c r="DA844" s="309">
        <v>843</v>
      </c>
      <c r="DB844" s="313">
        <f t="shared" si="625"/>
        <v>506.82690748640857</v>
      </c>
      <c r="DC844" s="309">
        <f t="shared" si="626"/>
        <v>4</v>
      </c>
      <c r="DD844" s="309">
        <f t="shared" si="627"/>
        <v>0</v>
      </c>
      <c r="DE844" s="308">
        <f t="shared" si="628"/>
        <v>0</v>
      </c>
      <c r="DF844" s="313">
        <f t="shared" si="642"/>
        <v>600</v>
      </c>
      <c r="DG844" s="313">
        <f t="shared" si="624"/>
        <v>0</v>
      </c>
      <c r="DH844" s="313">
        <f t="shared" si="632"/>
        <v>0</v>
      </c>
      <c r="DI844" s="313">
        <f t="shared" si="633"/>
        <v>0</v>
      </c>
      <c r="DJ844" s="313">
        <f t="shared" si="634"/>
        <v>0</v>
      </c>
      <c r="DK844" s="313">
        <f t="shared" si="643"/>
        <v>0</v>
      </c>
      <c r="DL844" s="313">
        <f t="shared" si="635"/>
        <v>0</v>
      </c>
      <c r="DM844" s="314">
        <f t="shared" si="636"/>
        <v>0</v>
      </c>
      <c r="DN844" s="312">
        <f t="shared" si="637"/>
        <v>0</v>
      </c>
      <c r="DO844" s="312">
        <f t="shared" si="644"/>
        <v>0</v>
      </c>
      <c r="DP844" s="315" t="e">
        <f t="shared" si="629"/>
        <v>#NUM!</v>
      </c>
      <c r="DQ844" s="316">
        <f t="shared" si="638"/>
        <v>0</v>
      </c>
      <c r="DR844" s="316">
        <f t="shared" si="639"/>
        <v>0</v>
      </c>
      <c r="DS844" s="314">
        <f t="shared" si="640"/>
        <v>0</v>
      </c>
      <c r="DT844" s="316">
        <f t="shared" si="641"/>
        <v>0</v>
      </c>
      <c r="DU844" s="314">
        <f t="shared" si="630"/>
        <v>0</v>
      </c>
      <c r="DV844" s="316">
        <f t="shared" si="645"/>
        <v>0</v>
      </c>
      <c r="DW844" s="310">
        <f t="shared" si="631"/>
        <v>0</v>
      </c>
      <c r="FB844" s="307"/>
      <c r="FC844" s="307"/>
      <c r="FF844" s="307"/>
      <c r="FG844" s="307"/>
      <c r="FH844" s="306"/>
      <c r="FJ844" s="307"/>
      <c r="FK844" s="307"/>
      <c r="FL844" s="306"/>
      <c r="FM844" s="307"/>
      <c r="FN844" s="306"/>
      <c r="FO844" s="307"/>
      <c r="FP844" s="306"/>
    </row>
    <row r="845" spans="29:172">
      <c r="AC845" s="156"/>
      <c r="CW845" s="364"/>
      <c r="CX845" s="316"/>
      <c r="CY845" s="316"/>
      <c r="DA845" s="309">
        <v>844</v>
      </c>
      <c r="DB845" s="313">
        <f t="shared" si="625"/>
        <v>507.19087772067479</v>
      </c>
      <c r="DC845" s="309">
        <f t="shared" si="626"/>
        <v>4</v>
      </c>
      <c r="DD845" s="309">
        <f t="shared" si="627"/>
        <v>0</v>
      </c>
      <c r="DE845" s="308">
        <f t="shared" si="628"/>
        <v>0</v>
      </c>
      <c r="DF845" s="313">
        <f t="shared" si="642"/>
        <v>600</v>
      </c>
      <c r="DG845" s="313">
        <f t="shared" si="624"/>
        <v>0</v>
      </c>
      <c r="DH845" s="313">
        <f t="shared" si="632"/>
        <v>0</v>
      </c>
      <c r="DI845" s="313">
        <f t="shared" si="633"/>
        <v>0</v>
      </c>
      <c r="DJ845" s="313">
        <f t="shared" si="634"/>
        <v>0</v>
      </c>
      <c r="DK845" s="313">
        <f t="shared" si="643"/>
        <v>0</v>
      </c>
      <c r="DL845" s="313">
        <f t="shared" si="635"/>
        <v>0</v>
      </c>
      <c r="DM845" s="314">
        <f t="shared" si="636"/>
        <v>0</v>
      </c>
      <c r="DN845" s="312">
        <f t="shared" si="637"/>
        <v>0</v>
      </c>
      <c r="DO845" s="312">
        <f t="shared" si="644"/>
        <v>0</v>
      </c>
      <c r="DP845" s="315" t="e">
        <f t="shared" si="629"/>
        <v>#NUM!</v>
      </c>
      <c r="DQ845" s="316">
        <f t="shared" si="638"/>
        <v>0</v>
      </c>
      <c r="DR845" s="316">
        <f t="shared" si="639"/>
        <v>0</v>
      </c>
      <c r="DS845" s="314">
        <f t="shared" si="640"/>
        <v>0</v>
      </c>
      <c r="DT845" s="316">
        <f t="shared" si="641"/>
        <v>0</v>
      </c>
      <c r="DU845" s="314">
        <f t="shared" si="630"/>
        <v>0</v>
      </c>
      <c r="DV845" s="316">
        <f t="shared" si="645"/>
        <v>0</v>
      </c>
      <c r="DW845" s="310">
        <f t="shared" si="631"/>
        <v>0</v>
      </c>
      <c r="FB845" s="307"/>
      <c r="FC845" s="307"/>
      <c r="FF845" s="307"/>
      <c r="FG845" s="307"/>
      <c r="FH845" s="306"/>
      <c r="FJ845" s="307"/>
      <c r="FK845" s="307"/>
      <c r="FL845" s="306"/>
      <c r="FM845" s="307"/>
      <c r="FN845" s="306"/>
      <c r="FO845" s="307"/>
      <c r="FP845" s="306"/>
    </row>
    <row r="846" spans="29:172">
      <c r="AC846" s="156"/>
      <c r="CW846" s="364"/>
      <c r="CX846" s="316"/>
      <c r="CY846" s="316"/>
      <c r="DA846" s="309">
        <v>845</v>
      </c>
      <c r="DB846" s="313">
        <f t="shared" si="625"/>
        <v>507.55484795494095</v>
      </c>
      <c r="DC846" s="309">
        <f t="shared" si="626"/>
        <v>4</v>
      </c>
      <c r="DD846" s="309">
        <f t="shared" si="627"/>
        <v>0</v>
      </c>
      <c r="DE846" s="308">
        <f t="shared" si="628"/>
        <v>0</v>
      </c>
      <c r="DF846" s="313">
        <f t="shared" si="642"/>
        <v>600</v>
      </c>
      <c r="DG846" s="313">
        <f t="shared" si="624"/>
        <v>0</v>
      </c>
      <c r="DH846" s="313">
        <f t="shared" si="632"/>
        <v>0</v>
      </c>
      <c r="DI846" s="313">
        <f t="shared" si="633"/>
        <v>0</v>
      </c>
      <c r="DJ846" s="313">
        <f t="shared" si="634"/>
        <v>0</v>
      </c>
      <c r="DK846" s="313">
        <f t="shared" si="643"/>
        <v>0</v>
      </c>
      <c r="DL846" s="313">
        <f t="shared" si="635"/>
        <v>0</v>
      </c>
      <c r="DM846" s="314">
        <f t="shared" si="636"/>
        <v>0</v>
      </c>
      <c r="DN846" s="312">
        <f t="shared" si="637"/>
        <v>0</v>
      </c>
      <c r="DO846" s="312">
        <f t="shared" si="644"/>
        <v>0</v>
      </c>
      <c r="DP846" s="315" t="e">
        <f t="shared" si="629"/>
        <v>#NUM!</v>
      </c>
      <c r="DQ846" s="316">
        <f t="shared" si="638"/>
        <v>0</v>
      </c>
      <c r="DR846" s="316">
        <f t="shared" si="639"/>
        <v>0</v>
      </c>
      <c r="DS846" s="314">
        <f t="shared" si="640"/>
        <v>0</v>
      </c>
      <c r="DT846" s="316">
        <f t="shared" si="641"/>
        <v>0</v>
      </c>
      <c r="DU846" s="314">
        <f t="shared" si="630"/>
        <v>0</v>
      </c>
      <c r="DV846" s="316">
        <f t="shared" si="645"/>
        <v>0</v>
      </c>
      <c r="DW846" s="310">
        <f t="shared" si="631"/>
        <v>0</v>
      </c>
      <c r="FB846" s="307"/>
      <c r="FC846" s="307"/>
      <c r="FF846" s="307"/>
      <c r="FG846" s="307"/>
      <c r="FH846" s="306"/>
      <c r="FJ846" s="307"/>
      <c r="FK846" s="307"/>
      <c r="FL846" s="306"/>
      <c r="FM846" s="307"/>
      <c r="FN846" s="306"/>
      <c r="FO846" s="307"/>
      <c r="FP846" s="306"/>
    </row>
    <row r="847" spans="29:172">
      <c r="AC847" s="156"/>
      <c r="CW847" s="364"/>
      <c r="CX847" s="316"/>
      <c r="CY847" s="316"/>
      <c r="DA847" s="309">
        <v>846</v>
      </c>
      <c r="DB847" s="313">
        <f t="shared" si="625"/>
        <v>507.91881818920717</v>
      </c>
      <c r="DC847" s="309">
        <f t="shared" si="626"/>
        <v>4</v>
      </c>
      <c r="DD847" s="309">
        <f t="shared" si="627"/>
        <v>0</v>
      </c>
      <c r="DE847" s="308">
        <f t="shared" si="628"/>
        <v>0</v>
      </c>
      <c r="DF847" s="313">
        <f t="shared" si="642"/>
        <v>600</v>
      </c>
      <c r="DG847" s="313">
        <f t="shared" si="624"/>
        <v>0</v>
      </c>
      <c r="DH847" s="313">
        <f t="shared" si="632"/>
        <v>0</v>
      </c>
      <c r="DI847" s="313">
        <f t="shared" si="633"/>
        <v>0</v>
      </c>
      <c r="DJ847" s="313">
        <f t="shared" si="634"/>
        <v>0</v>
      </c>
      <c r="DK847" s="313">
        <f t="shared" si="643"/>
        <v>0</v>
      </c>
      <c r="DL847" s="313">
        <f t="shared" si="635"/>
        <v>0</v>
      </c>
      <c r="DM847" s="314">
        <f t="shared" si="636"/>
        <v>0</v>
      </c>
      <c r="DN847" s="312">
        <f t="shared" si="637"/>
        <v>0</v>
      </c>
      <c r="DO847" s="312">
        <f t="shared" si="644"/>
        <v>0</v>
      </c>
      <c r="DP847" s="315" t="e">
        <f t="shared" si="629"/>
        <v>#NUM!</v>
      </c>
      <c r="DQ847" s="316">
        <f t="shared" si="638"/>
        <v>0</v>
      </c>
      <c r="DR847" s="316">
        <f t="shared" si="639"/>
        <v>0</v>
      </c>
      <c r="DS847" s="314">
        <f t="shared" si="640"/>
        <v>0</v>
      </c>
      <c r="DT847" s="316">
        <f t="shared" si="641"/>
        <v>0</v>
      </c>
      <c r="DU847" s="314">
        <f t="shared" si="630"/>
        <v>0</v>
      </c>
      <c r="DV847" s="316">
        <f t="shared" si="645"/>
        <v>0</v>
      </c>
      <c r="DW847" s="310">
        <f t="shared" si="631"/>
        <v>0</v>
      </c>
      <c r="FB847" s="307"/>
      <c r="FC847" s="307"/>
      <c r="FF847" s="307"/>
      <c r="FG847" s="307"/>
      <c r="FH847" s="306"/>
      <c r="FJ847" s="307"/>
      <c r="FK847" s="307"/>
      <c r="FL847" s="306"/>
      <c r="FM847" s="307"/>
      <c r="FN847" s="306"/>
      <c r="FO847" s="307"/>
      <c r="FP847" s="306"/>
    </row>
    <row r="848" spans="29:172">
      <c r="AC848" s="156"/>
      <c r="CW848" s="364"/>
      <c r="CX848" s="316"/>
      <c r="CY848" s="316"/>
      <c r="DA848" s="309">
        <v>847</v>
      </c>
      <c r="DB848" s="313">
        <f t="shared" si="625"/>
        <v>508.28278842347339</v>
      </c>
      <c r="DC848" s="309">
        <f t="shared" si="626"/>
        <v>4</v>
      </c>
      <c r="DD848" s="309">
        <f t="shared" si="627"/>
        <v>0</v>
      </c>
      <c r="DE848" s="308">
        <f t="shared" si="628"/>
        <v>0</v>
      </c>
      <c r="DF848" s="313">
        <f t="shared" si="642"/>
        <v>600</v>
      </c>
      <c r="DG848" s="313">
        <f t="shared" si="624"/>
        <v>0</v>
      </c>
      <c r="DH848" s="313">
        <f t="shared" si="632"/>
        <v>0</v>
      </c>
      <c r="DI848" s="313">
        <f t="shared" si="633"/>
        <v>0</v>
      </c>
      <c r="DJ848" s="313">
        <f t="shared" si="634"/>
        <v>0</v>
      </c>
      <c r="DK848" s="313">
        <f t="shared" si="643"/>
        <v>0</v>
      </c>
      <c r="DL848" s="313">
        <f t="shared" si="635"/>
        <v>0</v>
      </c>
      <c r="DM848" s="314">
        <f t="shared" si="636"/>
        <v>0</v>
      </c>
      <c r="DN848" s="312">
        <f t="shared" si="637"/>
        <v>0</v>
      </c>
      <c r="DO848" s="312">
        <f t="shared" si="644"/>
        <v>0</v>
      </c>
      <c r="DP848" s="315" t="e">
        <f t="shared" si="629"/>
        <v>#NUM!</v>
      </c>
      <c r="DQ848" s="316">
        <f t="shared" si="638"/>
        <v>0</v>
      </c>
      <c r="DR848" s="316">
        <f t="shared" si="639"/>
        <v>0</v>
      </c>
      <c r="DS848" s="314">
        <f t="shared" si="640"/>
        <v>0</v>
      </c>
      <c r="DT848" s="316">
        <f t="shared" si="641"/>
        <v>0</v>
      </c>
      <c r="DU848" s="314">
        <f t="shared" si="630"/>
        <v>0</v>
      </c>
      <c r="DV848" s="316">
        <f t="shared" si="645"/>
        <v>0</v>
      </c>
      <c r="DW848" s="310">
        <f t="shared" si="631"/>
        <v>0</v>
      </c>
      <c r="FB848" s="307"/>
      <c r="FC848" s="307"/>
      <c r="FF848" s="307"/>
      <c r="FG848" s="307"/>
      <c r="FH848" s="306"/>
      <c r="FJ848" s="307"/>
      <c r="FK848" s="307"/>
      <c r="FL848" s="306"/>
      <c r="FM848" s="307"/>
      <c r="FN848" s="306"/>
      <c r="FO848" s="307"/>
      <c r="FP848" s="306"/>
    </row>
    <row r="849" spans="29:172">
      <c r="AC849" s="156"/>
      <c r="CW849" s="364"/>
      <c r="CX849" s="316"/>
      <c r="CY849" s="316"/>
      <c r="DA849" s="309">
        <v>848</v>
      </c>
      <c r="DB849" s="313">
        <f t="shared" si="625"/>
        <v>508.64675865773961</v>
      </c>
      <c r="DC849" s="309">
        <f t="shared" si="626"/>
        <v>4</v>
      </c>
      <c r="DD849" s="309">
        <f t="shared" si="627"/>
        <v>0</v>
      </c>
      <c r="DE849" s="308">
        <f t="shared" si="628"/>
        <v>0</v>
      </c>
      <c r="DF849" s="313">
        <f t="shared" si="642"/>
        <v>600</v>
      </c>
      <c r="DG849" s="313">
        <f t="shared" si="624"/>
        <v>0</v>
      </c>
      <c r="DH849" s="313">
        <f t="shared" si="632"/>
        <v>0</v>
      </c>
      <c r="DI849" s="313">
        <f t="shared" si="633"/>
        <v>0</v>
      </c>
      <c r="DJ849" s="313">
        <f t="shared" si="634"/>
        <v>0</v>
      </c>
      <c r="DK849" s="313">
        <f t="shared" si="643"/>
        <v>0</v>
      </c>
      <c r="DL849" s="313">
        <f t="shared" si="635"/>
        <v>0</v>
      </c>
      <c r="DM849" s="314">
        <f t="shared" si="636"/>
        <v>0</v>
      </c>
      <c r="DN849" s="312">
        <f t="shared" si="637"/>
        <v>0</v>
      </c>
      <c r="DO849" s="312">
        <f t="shared" si="644"/>
        <v>0</v>
      </c>
      <c r="DP849" s="315" t="e">
        <f t="shared" si="629"/>
        <v>#NUM!</v>
      </c>
      <c r="DQ849" s="316">
        <f t="shared" si="638"/>
        <v>0</v>
      </c>
      <c r="DR849" s="316">
        <f t="shared" si="639"/>
        <v>0</v>
      </c>
      <c r="DS849" s="314">
        <f t="shared" si="640"/>
        <v>0</v>
      </c>
      <c r="DT849" s="316">
        <f t="shared" si="641"/>
        <v>0</v>
      </c>
      <c r="DU849" s="314">
        <f t="shared" si="630"/>
        <v>0</v>
      </c>
      <c r="DV849" s="316">
        <f t="shared" si="645"/>
        <v>0</v>
      </c>
      <c r="DW849" s="310">
        <f t="shared" si="631"/>
        <v>0</v>
      </c>
      <c r="FB849" s="307"/>
      <c r="FC849" s="307"/>
      <c r="FF849" s="307"/>
      <c r="FG849" s="307"/>
      <c r="FH849" s="306"/>
      <c r="FJ849" s="307"/>
      <c r="FK849" s="307"/>
      <c r="FL849" s="306"/>
      <c r="FM849" s="307"/>
      <c r="FN849" s="306"/>
      <c r="FO849" s="307"/>
      <c r="FP849" s="306"/>
    </row>
    <row r="850" spans="29:172">
      <c r="AC850" s="156"/>
      <c r="CW850" s="364"/>
      <c r="CX850" s="316"/>
      <c r="CY850" s="316"/>
      <c r="DA850" s="309">
        <v>849</v>
      </c>
      <c r="DB850" s="313">
        <f t="shared" si="625"/>
        <v>509.01072889200577</v>
      </c>
      <c r="DC850" s="309">
        <f t="shared" si="626"/>
        <v>4</v>
      </c>
      <c r="DD850" s="309">
        <f t="shared" si="627"/>
        <v>0</v>
      </c>
      <c r="DE850" s="308">
        <f t="shared" si="628"/>
        <v>0</v>
      </c>
      <c r="DF850" s="313">
        <f t="shared" si="642"/>
        <v>600</v>
      </c>
      <c r="DG850" s="313">
        <f t="shared" si="624"/>
        <v>0</v>
      </c>
      <c r="DH850" s="313">
        <f t="shared" si="632"/>
        <v>0</v>
      </c>
      <c r="DI850" s="313">
        <f t="shared" si="633"/>
        <v>0</v>
      </c>
      <c r="DJ850" s="313">
        <f t="shared" si="634"/>
        <v>0</v>
      </c>
      <c r="DK850" s="313">
        <f t="shared" si="643"/>
        <v>0</v>
      </c>
      <c r="DL850" s="313">
        <f t="shared" si="635"/>
        <v>0</v>
      </c>
      <c r="DM850" s="314">
        <f t="shared" si="636"/>
        <v>0</v>
      </c>
      <c r="DN850" s="312">
        <f t="shared" si="637"/>
        <v>0</v>
      </c>
      <c r="DO850" s="312">
        <f t="shared" si="644"/>
        <v>0</v>
      </c>
      <c r="DP850" s="315" t="e">
        <f t="shared" si="629"/>
        <v>#NUM!</v>
      </c>
      <c r="DQ850" s="316">
        <f t="shared" si="638"/>
        <v>0</v>
      </c>
      <c r="DR850" s="316">
        <f t="shared" si="639"/>
        <v>0</v>
      </c>
      <c r="DS850" s="314">
        <f t="shared" si="640"/>
        <v>0</v>
      </c>
      <c r="DT850" s="316">
        <f t="shared" si="641"/>
        <v>0</v>
      </c>
      <c r="DU850" s="314">
        <f t="shared" si="630"/>
        <v>0</v>
      </c>
      <c r="DV850" s="316">
        <f t="shared" si="645"/>
        <v>0</v>
      </c>
      <c r="DW850" s="310">
        <f t="shared" si="631"/>
        <v>0</v>
      </c>
      <c r="FB850" s="307"/>
      <c r="FC850" s="307"/>
      <c r="FF850" s="307"/>
      <c r="FG850" s="307"/>
      <c r="FH850" s="306"/>
      <c r="FJ850" s="307"/>
      <c r="FK850" s="307"/>
      <c r="FL850" s="306"/>
      <c r="FM850" s="307"/>
      <c r="FN850" s="306"/>
      <c r="FO850" s="307"/>
      <c r="FP850" s="306"/>
    </row>
    <row r="851" spans="29:172">
      <c r="AC851" s="156"/>
      <c r="CW851" s="364"/>
      <c r="CX851" s="316"/>
      <c r="CY851" s="316"/>
      <c r="DA851" s="309">
        <v>850</v>
      </c>
      <c r="DB851" s="313">
        <f t="shared" si="625"/>
        <v>509.37469912627199</v>
      </c>
      <c r="DC851" s="309">
        <f t="shared" si="626"/>
        <v>4</v>
      </c>
      <c r="DD851" s="309">
        <f t="shared" si="627"/>
        <v>0</v>
      </c>
      <c r="DE851" s="308">
        <f t="shared" si="628"/>
        <v>0</v>
      </c>
      <c r="DF851" s="313">
        <f t="shared" si="642"/>
        <v>600</v>
      </c>
      <c r="DG851" s="313">
        <f t="shared" si="624"/>
        <v>0</v>
      </c>
      <c r="DH851" s="313">
        <f t="shared" si="632"/>
        <v>0</v>
      </c>
      <c r="DI851" s="313">
        <f t="shared" si="633"/>
        <v>0</v>
      </c>
      <c r="DJ851" s="313">
        <f t="shared" si="634"/>
        <v>0</v>
      </c>
      <c r="DK851" s="313">
        <f t="shared" si="643"/>
        <v>0</v>
      </c>
      <c r="DL851" s="313">
        <f t="shared" si="635"/>
        <v>0</v>
      </c>
      <c r="DM851" s="314">
        <f t="shared" si="636"/>
        <v>0</v>
      </c>
      <c r="DN851" s="312">
        <f t="shared" si="637"/>
        <v>0</v>
      </c>
      <c r="DO851" s="312">
        <f t="shared" si="644"/>
        <v>0</v>
      </c>
      <c r="DP851" s="315" t="e">
        <f t="shared" si="629"/>
        <v>#NUM!</v>
      </c>
      <c r="DQ851" s="316">
        <f t="shared" si="638"/>
        <v>0</v>
      </c>
      <c r="DR851" s="316">
        <f t="shared" si="639"/>
        <v>0</v>
      </c>
      <c r="DS851" s="314">
        <f t="shared" si="640"/>
        <v>0</v>
      </c>
      <c r="DT851" s="316">
        <f t="shared" si="641"/>
        <v>0</v>
      </c>
      <c r="DU851" s="314">
        <f t="shared" si="630"/>
        <v>0</v>
      </c>
      <c r="DV851" s="316">
        <f t="shared" si="645"/>
        <v>0</v>
      </c>
      <c r="DW851" s="310">
        <f t="shared" si="631"/>
        <v>0</v>
      </c>
      <c r="FB851" s="307"/>
      <c r="FC851" s="307"/>
      <c r="FF851" s="307"/>
      <c r="FG851" s="307"/>
      <c r="FH851" s="306"/>
      <c r="FJ851" s="307"/>
      <c r="FK851" s="307"/>
      <c r="FL851" s="306"/>
      <c r="FM851" s="307"/>
      <c r="FN851" s="306"/>
      <c r="FO851" s="307"/>
      <c r="FP851" s="306"/>
    </row>
    <row r="852" spans="29:172">
      <c r="AC852" s="156"/>
      <c r="CW852" s="364"/>
      <c r="CX852" s="316"/>
      <c r="CY852" s="316"/>
      <c r="DA852" s="309">
        <v>851</v>
      </c>
      <c r="DB852" s="313">
        <f t="shared" si="625"/>
        <v>509.73866936053821</v>
      </c>
      <c r="DC852" s="309">
        <f t="shared" si="626"/>
        <v>4</v>
      </c>
      <c r="DD852" s="309">
        <f t="shared" si="627"/>
        <v>0</v>
      </c>
      <c r="DE852" s="308">
        <f t="shared" si="628"/>
        <v>0</v>
      </c>
      <c r="DF852" s="313">
        <f t="shared" si="642"/>
        <v>600</v>
      </c>
      <c r="DG852" s="313">
        <f t="shared" si="624"/>
        <v>0</v>
      </c>
      <c r="DH852" s="313">
        <f t="shared" si="632"/>
        <v>0</v>
      </c>
      <c r="DI852" s="313">
        <f t="shared" si="633"/>
        <v>0</v>
      </c>
      <c r="DJ852" s="313">
        <f t="shared" si="634"/>
        <v>0</v>
      </c>
      <c r="DK852" s="313">
        <f t="shared" si="643"/>
        <v>0</v>
      </c>
      <c r="DL852" s="313">
        <f t="shared" si="635"/>
        <v>0</v>
      </c>
      <c r="DM852" s="314">
        <f t="shared" si="636"/>
        <v>0</v>
      </c>
      <c r="DN852" s="312">
        <f t="shared" si="637"/>
        <v>0</v>
      </c>
      <c r="DO852" s="312">
        <f t="shared" si="644"/>
        <v>0</v>
      </c>
      <c r="DP852" s="315" t="e">
        <f t="shared" si="629"/>
        <v>#NUM!</v>
      </c>
      <c r="DQ852" s="316">
        <f t="shared" si="638"/>
        <v>0</v>
      </c>
      <c r="DR852" s="316">
        <f t="shared" si="639"/>
        <v>0</v>
      </c>
      <c r="DS852" s="314">
        <f t="shared" si="640"/>
        <v>0</v>
      </c>
      <c r="DT852" s="316">
        <f t="shared" si="641"/>
        <v>0</v>
      </c>
      <c r="DU852" s="314">
        <f t="shared" si="630"/>
        <v>0</v>
      </c>
      <c r="DV852" s="316">
        <f t="shared" si="645"/>
        <v>0</v>
      </c>
      <c r="DW852" s="310">
        <f t="shared" si="631"/>
        <v>0</v>
      </c>
      <c r="FB852" s="307"/>
      <c r="FC852" s="307"/>
      <c r="FF852" s="307"/>
      <c r="FG852" s="307"/>
      <c r="FH852" s="306"/>
      <c r="FJ852" s="307"/>
      <c r="FK852" s="307"/>
      <c r="FL852" s="306"/>
      <c r="FM852" s="307"/>
      <c r="FN852" s="306"/>
      <c r="FO852" s="307"/>
      <c r="FP852" s="306"/>
    </row>
    <row r="853" spans="29:172">
      <c r="AC853" s="156"/>
      <c r="CW853" s="364"/>
      <c r="CX853" s="316"/>
      <c r="CY853" s="316"/>
      <c r="DA853" s="309">
        <v>852</v>
      </c>
      <c r="DB853" s="313">
        <f t="shared" si="625"/>
        <v>510.10263959480437</v>
      </c>
      <c r="DC853" s="309">
        <f t="shared" si="626"/>
        <v>4</v>
      </c>
      <c r="DD853" s="309">
        <f t="shared" si="627"/>
        <v>0</v>
      </c>
      <c r="DE853" s="308">
        <f t="shared" si="628"/>
        <v>0</v>
      </c>
      <c r="DF853" s="313">
        <f t="shared" si="642"/>
        <v>600</v>
      </c>
      <c r="DG853" s="313">
        <f t="shared" si="624"/>
        <v>0</v>
      </c>
      <c r="DH853" s="313">
        <f t="shared" si="632"/>
        <v>0</v>
      </c>
      <c r="DI853" s="313">
        <f t="shared" si="633"/>
        <v>0</v>
      </c>
      <c r="DJ853" s="313">
        <f t="shared" si="634"/>
        <v>0</v>
      </c>
      <c r="DK853" s="313">
        <f t="shared" si="643"/>
        <v>0</v>
      </c>
      <c r="DL853" s="313">
        <f t="shared" si="635"/>
        <v>0</v>
      </c>
      <c r="DM853" s="314">
        <f t="shared" si="636"/>
        <v>0</v>
      </c>
      <c r="DN853" s="312">
        <f t="shared" si="637"/>
        <v>0</v>
      </c>
      <c r="DO853" s="312">
        <f t="shared" si="644"/>
        <v>0</v>
      </c>
      <c r="DP853" s="315" t="e">
        <f t="shared" si="629"/>
        <v>#NUM!</v>
      </c>
      <c r="DQ853" s="316">
        <f t="shared" si="638"/>
        <v>0</v>
      </c>
      <c r="DR853" s="316">
        <f t="shared" si="639"/>
        <v>0</v>
      </c>
      <c r="DS853" s="314">
        <f t="shared" si="640"/>
        <v>0</v>
      </c>
      <c r="DT853" s="316">
        <f t="shared" si="641"/>
        <v>0</v>
      </c>
      <c r="DU853" s="314">
        <f t="shared" si="630"/>
        <v>0</v>
      </c>
      <c r="DV853" s="316">
        <f t="shared" si="645"/>
        <v>0</v>
      </c>
      <c r="DW853" s="310">
        <f t="shared" si="631"/>
        <v>0</v>
      </c>
      <c r="FB853" s="307"/>
      <c r="FC853" s="307"/>
      <c r="FF853" s="307"/>
      <c r="FG853" s="307"/>
      <c r="FH853" s="306"/>
      <c r="FJ853" s="307"/>
      <c r="FK853" s="307"/>
      <c r="FL853" s="306"/>
      <c r="FM853" s="307"/>
      <c r="FN853" s="306"/>
      <c r="FO853" s="307"/>
      <c r="FP853" s="306"/>
    </row>
    <row r="854" spans="29:172">
      <c r="AC854" s="156"/>
      <c r="CW854" s="364"/>
      <c r="CX854" s="316"/>
      <c r="CY854" s="316"/>
      <c r="DA854" s="309">
        <v>853</v>
      </c>
      <c r="DB854" s="313">
        <f t="shared" si="625"/>
        <v>510.46660982907059</v>
      </c>
      <c r="DC854" s="309">
        <f t="shared" si="626"/>
        <v>4</v>
      </c>
      <c r="DD854" s="309">
        <f t="shared" si="627"/>
        <v>0</v>
      </c>
      <c r="DE854" s="308">
        <f t="shared" si="628"/>
        <v>0</v>
      </c>
      <c r="DF854" s="313">
        <f t="shared" si="642"/>
        <v>600</v>
      </c>
      <c r="DG854" s="313">
        <f t="shared" si="624"/>
        <v>0</v>
      </c>
      <c r="DH854" s="313">
        <f t="shared" si="632"/>
        <v>0</v>
      </c>
      <c r="DI854" s="313">
        <f t="shared" si="633"/>
        <v>0</v>
      </c>
      <c r="DJ854" s="313">
        <f t="shared" si="634"/>
        <v>0</v>
      </c>
      <c r="DK854" s="313">
        <f t="shared" si="643"/>
        <v>0</v>
      </c>
      <c r="DL854" s="313">
        <f t="shared" si="635"/>
        <v>0</v>
      </c>
      <c r="DM854" s="314">
        <f t="shared" si="636"/>
        <v>0</v>
      </c>
      <c r="DN854" s="312">
        <f t="shared" si="637"/>
        <v>0</v>
      </c>
      <c r="DO854" s="312">
        <f t="shared" si="644"/>
        <v>0</v>
      </c>
      <c r="DP854" s="315" t="e">
        <f t="shared" si="629"/>
        <v>#NUM!</v>
      </c>
      <c r="DQ854" s="316">
        <f t="shared" si="638"/>
        <v>0</v>
      </c>
      <c r="DR854" s="316">
        <f t="shared" si="639"/>
        <v>0</v>
      </c>
      <c r="DS854" s="314">
        <f t="shared" si="640"/>
        <v>0</v>
      </c>
      <c r="DT854" s="316">
        <f t="shared" si="641"/>
        <v>0</v>
      </c>
      <c r="DU854" s="314">
        <f t="shared" si="630"/>
        <v>0</v>
      </c>
      <c r="DV854" s="316">
        <f t="shared" si="645"/>
        <v>0</v>
      </c>
      <c r="DW854" s="310">
        <f t="shared" si="631"/>
        <v>0</v>
      </c>
      <c r="FB854" s="307"/>
      <c r="FC854" s="307"/>
      <c r="FF854" s="307"/>
      <c r="FG854" s="307"/>
      <c r="FH854" s="306"/>
      <c r="FJ854" s="307"/>
      <c r="FK854" s="307"/>
      <c r="FL854" s="306"/>
      <c r="FM854" s="307"/>
      <c r="FN854" s="306"/>
      <c r="FO854" s="307"/>
      <c r="FP854" s="306"/>
    </row>
    <row r="855" spans="29:172">
      <c r="AC855" s="156"/>
      <c r="CW855" s="364"/>
      <c r="CX855" s="316"/>
      <c r="CY855" s="316"/>
      <c r="DA855" s="309">
        <v>854</v>
      </c>
      <c r="DB855" s="313">
        <f t="shared" si="625"/>
        <v>510.83058006333681</v>
      </c>
      <c r="DC855" s="309">
        <f t="shared" si="626"/>
        <v>4</v>
      </c>
      <c r="DD855" s="309">
        <f t="shared" si="627"/>
        <v>0</v>
      </c>
      <c r="DE855" s="308">
        <f t="shared" si="628"/>
        <v>0</v>
      </c>
      <c r="DF855" s="313">
        <f t="shared" si="642"/>
        <v>600</v>
      </c>
      <c r="DG855" s="313">
        <f t="shared" si="624"/>
        <v>0</v>
      </c>
      <c r="DH855" s="313">
        <f t="shared" si="632"/>
        <v>0</v>
      </c>
      <c r="DI855" s="313">
        <f t="shared" si="633"/>
        <v>0</v>
      </c>
      <c r="DJ855" s="313">
        <f t="shared" si="634"/>
        <v>0</v>
      </c>
      <c r="DK855" s="313">
        <f t="shared" si="643"/>
        <v>0</v>
      </c>
      <c r="DL855" s="313">
        <f t="shared" si="635"/>
        <v>0</v>
      </c>
      <c r="DM855" s="314">
        <f t="shared" si="636"/>
        <v>0</v>
      </c>
      <c r="DN855" s="312">
        <f t="shared" si="637"/>
        <v>0</v>
      </c>
      <c r="DO855" s="312">
        <f t="shared" si="644"/>
        <v>0</v>
      </c>
      <c r="DP855" s="315" t="e">
        <f t="shared" si="629"/>
        <v>#NUM!</v>
      </c>
      <c r="DQ855" s="316">
        <f t="shared" si="638"/>
        <v>0</v>
      </c>
      <c r="DR855" s="316">
        <f t="shared" si="639"/>
        <v>0</v>
      </c>
      <c r="DS855" s="314">
        <f t="shared" si="640"/>
        <v>0</v>
      </c>
      <c r="DT855" s="316">
        <f t="shared" si="641"/>
        <v>0</v>
      </c>
      <c r="DU855" s="314">
        <f t="shared" si="630"/>
        <v>0</v>
      </c>
      <c r="DV855" s="316">
        <f t="shared" si="645"/>
        <v>0</v>
      </c>
      <c r="DW855" s="310">
        <f t="shared" si="631"/>
        <v>0</v>
      </c>
      <c r="FB855" s="307"/>
      <c r="FC855" s="307"/>
      <c r="FF855" s="307"/>
      <c r="FG855" s="307"/>
      <c r="FH855" s="306"/>
      <c r="FJ855" s="307"/>
      <c r="FK855" s="307"/>
      <c r="FL855" s="306"/>
      <c r="FM855" s="307"/>
      <c r="FN855" s="306"/>
      <c r="FO855" s="307"/>
      <c r="FP855" s="306"/>
    </row>
    <row r="856" spans="29:172">
      <c r="AC856" s="156"/>
      <c r="CW856" s="364"/>
      <c r="CX856" s="316"/>
      <c r="CY856" s="316"/>
      <c r="DA856" s="309">
        <v>855</v>
      </c>
      <c r="DB856" s="313">
        <f t="shared" si="625"/>
        <v>511.19455029760303</v>
      </c>
      <c r="DC856" s="309">
        <f t="shared" si="626"/>
        <v>4</v>
      </c>
      <c r="DD856" s="309">
        <f t="shared" si="627"/>
        <v>0</v>
      </c>
      <c r="DE856" s="308">
        <f t="shared" si="628"/>
        <v>0</v>
      </c>
      <c r="DF856" s="313">
        <f t="shared" si="642"/>
        <v>600</v>
      </c>
      <c r="DG856" s="313">
        <f t="shared" si="624"/>
        <v>0</v>
      </c>
      <c r="DH856" s="313">
        <f t="shared" si="632"/>
        <v>0</v>
      </c>
      <c r="DI856" s="313">
        <f t="shared" si="633"/>
        <v>0</v>
      </c>
      <c r="DJ856" s="313">
        <f t="shared" si="634"/>
        <v>0</v>
      </c>
      <c r="DK856" s="313">
        <f t="shared" si="643"/>
        <v>0</v>
      </c>
      <c r="DL856" s="313">
        <f t="shared" si="635"/>
        <v>0</v>
      </c>
      <c r="DM856" s="314">
        <f t="shared" si="636"/>
        <v>0</v>
      </c>
      <c r="DN856" s="312">
        <f t="shared" si="637"/>
        <v>0</v>
      </c>
      <c r="DO856" s="312">
        <f t="shared" si="644"/>
        <v>0</v>
      </c>
      <c r="DP856" s="315" t="e">
        <f t="shared" si="629"/>
        <v>#NUM!</v>
      </c>
      <c r="DQ856" s="316">
        <f t="shared" si="638"/>
        <v>0</v>
      </c>
      <c r="DR856" s="316">
        <f t="shared" si="639"/>
        <v>0</v>
      </c>
      <c r="DS856" s="314">
        <f t="shared" si="640"/>
        <v>0</v>
      </c>
      <c r="DT856" s="316">
        <f t="shared" si="641"/>
        <v>0</v>
      </c>
      <c r="DU856" s="314">
        <f t="shared" si="630"/>
        <v>0</v>
      </c>
      <c r="DV856" s="316">
        <f t="shared" si="645"/>
        <v>0</v>
      </c>
      <c r="DW856" s="310">
        <f t="shared" si="631"/>
        <v>0</v>
      </c>
      <c r="FB856" s="307"/>
      <c r="FC856" s="307"/>
      <c r="FF856" s="307"/>
      <c r="FG856" s="307"/>
      <c r="FH856" s="306"/>
      <c r="FJ856" s="307"/>
      <c r="FK856" s="307"/>
      <c r="FL856" s="306"/>
      <c r="FM856" s="307"/>
      <c r="FN856" s="306"/>
      <c r="FO856" s="307"/>
      <c r="FP856" s="306"/>
    </row>
    <row r="857" spans="29:172">
      <c r="AC857" s="156"/>
      <c r="CW857" s="364"/>
      <c r="CX857" s="316"/>
      <c r="CY857" s="316"/>
      <c r="DA857" s="309">
        <v>856</v>
      </c>
      <c r="DB857" s="313">
        <f t="shared" si="625"/>
        <v>511.55852053186919</v>
      </c>
      <c r="DC857" s="309">
        <f t="shared" si="626"/>
        <v>4</v>
      </c>
      <c r="DD857" s="309">
        <f t="shared" si="627"/>
        <v>0</v>
      </c>
      <c r="DE857" s="308">
        <f t="shared" si="628"/>
        <v>0</v>
      </c>
      <c r="DF857" s="313">
        <f t="shared" si="642"/>
        <v>600</v>
      </c>
      <c r="DG857" s="313">
        <f t="shared" si="624"/>
        <v>0</v>
      </c>
      <c r="DH857" s="313">
        <f t="shared" si="632"/>
        <v>0</v>
      </c>
      <c r="DI857" s="313">
        <f t="shared" si="633"/>
        <v>0</v>
      </c>
      <c r="DJ857" s="313">
        <f t="shared" si="634"/>
        <v>0</v>
      </c>
      <c r="DK857" s="313">
        <f t="shared" si="643"/>
        <v>0</v>
      </c>
      <c r="DL857" s="313">
        <f t="shared" si="635"/>
        <v>0</v>
      </c>
      <c r="DM857" s="314">
        <f t="shared" si="636"/>
        <v>0</v>
      </c>
      <c r="DN857" s="312">
        <f t="shared" si="637"/>
        <v>0</v>
      </c>
      <c r="DO857" s="312">
        <f t="shared" si="644"/>
        <v>0</v>
      </c>
      <c r="DP857" s="315" t="e">
        <f t="shared" si="629"/>
        <v>#NUM!</v>
      </c>
      <c r="DQ857" s="316">
        <f t="shared" si="638"/>
        <v>0</v>
      </c>
      <c r="DR857" s="316">
        <f t="shared" si="639"/>
        <v>0</v>
      </c>
      <c r="DS857" s="314">
        <f t="shared" si="640"/>
        <v>0</v>
      </c>
      <c r="DT857" s="316">
        <f t="shared" si="641"/>
        <v>0</v>
      </c>
      <c r="DU857" s="314">
        <f t="shared" si="630"/>
        <v>0</v>
      </c>
      <c r="DV857" s="316">
        <f t="shared" si="645"/>
        <v>0</v>
      </c>
      <c r="DW857" s="310">
        <f t="shared" si="631"/>
        <v>0</v>
      </c>
      <c r="FB857" s="307"/>
      <c r="FC857" s="307"/>
      <c r="FF857" s="307"/>
      <c r="FG857" s="307"/>
      <c r="FH857" s="306"/>
      <c r="FJ857" s="307"/>
      <c r="FK857" s="307"/>
      <c r="FL857" s="306"/>
      <c r="FM857" s="307"/>
      <c r="FN857" s="306"/>
      <c r="FO857" s="307"/>
      <c r="FP857" s="306"/>
    </row>
    <row r="858" spans="29:172">
      <c r="AC858" s="156"/>
      <c r="CW858" s="364"/>
      <c r="CX858" s="316"/>
      <c r="CY858" s="316"/>
      <c r="DA858" s="309">
        <v>857</v>
      </c>
      <c r="DB858" s="313">
        <f t="shared" si="625"/>
        <v>511.92249076613541</v>
      </c>
      <c r="DC858" s="309">
        <f t="shared" si="626"/>
        <v>4</v>
      </c>
      <c r="DD858" s="309">
        <f t="shared" si="627"/>
        <v>0</v>
      </c>
      <c r="DE858" s="308">
        <f t="shared" si="628"/>
        <v>0</v>
      </c>
      <c r="DF858" s="313">
        <f t="shared" si="642"/>
        <v>600</v>
      </c>
      <c r="DG858" s="313">
        <f t="shared" si="624"/>
        <v>0</v>
      </c>
      <c r="DH858" s="313">
        <f t="shared" si="632"/>
        <v>0</v>
      </c>
      <c r="DI858" s="313">
        <f t="shared" si="633"/>
        <v>0</v>
      </c>
      <c r="DJ858" s="313">
        <f t="shared" si="634"/>
        <v>0</v>
      </c>
      <c r="DK858" s="313">
        <f t="shared" si="643"/>
        <v>0</v>
      </c>
      <c r="DL858" s="313">
        <f t="shared" si="635"/>
        <v>0</v>
      </c>
      <c r="DM858" s="314">
        <f t="shared" si="636"/>
        <v>0</v>
      </c>
      <c r="DN858" s="312">
        <f t="shared" si="637"/>
        <v>0</v>
      </c>
      <c r="DO858" s="312">
        <f t="shared" si="644"/>
        <v>0</v>
      </c>
      <c r="DP858" s="315" t="e">
        <f t="shared" si="629"/>
        <v>#NUM!</v>
      </c>
      <c r="DQ858" s="316">
        <f t="shared" si="638"/>
        <v>0</v>
      </c>
      <c r="DR858" s="316">
        <f t="shared" si="639"/>
        <v>0</v>
      </c>
      <c r="DS858" s="314">
        <f t="shared" si="640"/>
        <v>0</v>
      </c>
      <c r="DT858" s="316">
        <f t="shared" si="641"/>
        <v>0</v>
      </c>
      <c r="DU858" s="314">
        <f t="shared" si="630"/>
        <v>0</v>
      </c>
      <c r="DV858" s="316">
        <f t="shared" si="645"/>
        <v>0</v>
      </c>
      <c r="DW858" s="310">
        <f t="shared" si="631"/>
        <v>0</v>
      </c>
      <c r="FB858" s="307"/>
      <c r="FC858" s="307"/>
      <c r="FF858" s="307"/>
      <c r="FG858" s="307"/>
      <c r="FH858" s="306"/>
      <c r="FJ858" s="307"/>
      <c r="FK858" s="307"/>
      <c r="FL858" s="306"/>
      <c r="FM858" s="307"/>
      <c r="FN858" s="306"/>
      <c r="FO858" s="307"/>
      <c r="FP858" s="306"/>
    </row>
    <row r="859" spans="29:172">
      <c r="AC859" s="156"/>
      <c r="CW859" s="364"/>
      <c r="CX859" s="316"/>
      <c r="CY859" s="316"/>
      <c r="DA859" s="309">
        <v>858</v>
      </c>
      <c r="DB859" s="313">
        <f t="shared" si="625"/>
        <v>512.28646100040169</v>
      </c>
      <c r="DC859" s="309">
        <f t="shared" si="626"/>
        <v>4</v>
      </c>
      <c r="DD859" s="309">
        <f t="shared" si="627"/>
        <v>0</v>
      </c>
      <c r="DE859" s="308">
        <f t="shared" si="628"/>
        <v>0</v>
      </c>
      <c r="DF859" s="313">
        <f t="shared" si="642"/>
        <v>600</v>
      </c>
      <c r="DG859" s="313">
        <f t="shared" si="624"/>
        <v>0</v>
      </c>
      <c r="DH859" s="313">
        <f t="shared" si="632"/>
        <v>0</v>
      </c>
      <c r="DI859" s="313">
        <f t="shared" si="633"/>
        <v>0</v>
      </c>
      <c r="DJ859" s="313">
        <f t="shared" si="634"/>
        <v>0</v>
      </c>
      <c r="DK859" s="313">
        <f t="shared" si="643"/>
        <v>0</v>
      </c>
      <c r="DL859" s="313">
        <f t="shared" si="635"/>
        <v>0</v>
      </c>
      <c r="DM859" s="314">
        <f t="shared" si="636"/>
        <v>0</v>
      </c>
      <c r="DN859" s="312">
        <f t="shared" si="637"/>
        <v>0</v>
      </c>
      <c r="DO859" s="312">
        <f t="shared" si="644"/>
        <v>0</v>
      </c>
      <c r="DP859" s="315" t="e">
        <f t="shared" si="629"/>
        <v>#NUM!</v>
      </c>
      <c r="DQ859" s="316">
        <f t="shared" si="638"/>
        <v>0</v>
      </c>
      <c r="DR859" s="316">
        <f t="shared" si="639"/>
        <v>0</v>
      </c>
      <c r="DS859" s="314">
        <f t="shared" si="640"/>
        <v>0</v>
      </c>
      <c r="DT859" s="316">
        <f t="shared" si="641"/>
        <v>0</v>
      </c>
      <c r="DU859" s="314">
        <f t="shared" si="630"/>
        <v>0</v>
      </c>
      <c r="DV859" s="316">
        <f t="shared" si="645"/>
        <v>0</v>
      </c>
      <c r="DW859" s="310">
        <f t="shared" si="631"/>
        <v>0</v>
      </c>
      <c r="FB859" s="307"/>
      <c r="FC859" s="307"/>
      <c r="FF859" s="307"/>
      <c r="FG859" s="307"/>
      <c r="FH859" s="306"/>
      <c r="FJ859" s="307"/>
      <c r="FK859" s="307"/>
      <c r="FL859" s="306"/>
      <c r="FM859" s="307"/>
      <c r="FN859" s="306"/>
      <c r="FO859" s="307"/>
      <c r="FP859" s="306"/>
    </row>
    <row r="860" spans="29:172">
      <c r="AC860" s="156"/>
      <c r="CW860" s="364"/>
      <c r="CX860" s="316"/>
      <c r="CY860" s="316"/>
      <c r="DA860" s="309">
        <v>859</v>
      </c>
      <c r="DB860" s="313">
        <f t="shared" si="625"/>
        <v>512.65043123466785</v>
      </c>
      <c r="DC860" s="309">
        <f t="shared" si="626"/>
        <v>4</v>
      </c>
      <c r="DD860" s="309">
        <f t="shared" si="627"/>
        <v>0</v>
      </c>
      <c r="DE860" s="308">
        <f t="shared" si="628"/>
        <v>0</v>
      </c>
      <c r="DF860" s="313">
        <f t="shared" si="642"/>
        <v>600</v>
      </c>
      <c r="DG860" s="313">
        <f t="shared" si="624"/>
        <v>0</v>
      </c>
      <c r="DH860" s="313">
        <f t="shared" si="632"/>
        <v>0</v>
      </c>
      <c r="DI860" s="313">
        <f t="shared" si="633"/>
        <v>0</v>
      </c>
      <c r="DJ860" s="313">
        <f t="shared" si="634"/>
        <v>0</v>
      </c>
      <c r="DK860" s="313">
        <f t="shared" si="643"/>
        <v>0</v>
      </c>
      <c r="DL860" s="313">
        <f t="shared" si="635"/>
        <v>0</v>
      </c>
      <c r="DM860" s="314">
        <f t="shared" si="636"/>
        <v>0</v>
      </c>
      <c r="DN860" s="312">
        <f t="shared" si="637"/>
        <v>0</v>
      </c>
      <c r="DO860" s="312">
        <f t="shared" si="644"/>
        <v>0</v>
      </c>
      <c r="DP860" s="315" t="e">
        <f t="shared" si="629"/>
        <v>#NUM!</v>
      </c>
      <c r="DQ860" s="316">
        <f t="shared" si="638"/>
        <v>0</v>
      </c>
      <c r="DR860" s="316">
        <f t="shared" si="639"/>
        <v>0</v>
      </c>
      <c r="DS860" s="314">
        <f t="shared" si="640"/>
        <v>0</v>
      </c>
      <c r="DT860" s="316">
        <f t="shared" si="641"/>
        <v>0</v>
      </c>
      <c r="DU860" s="314">
        <f t="shared" si="630"/>
        <v>0</v>
      </c>
      <c r="DV860" s="316">
        <f t="shared" si="645"/>
        <v>0</v>
      </c>
      <c r="DW860" s="310">
        <f t="shared" si="631"/>
        <v>0</v>
      </c>
      <c r="FB860" s="307"/>
      <c r="FC860" s="307"/>
      <c r="FF860" s="307"/>
      <c r="FG860" s="307"/>
      <c r="FH860" s="306"/>
      <c r="FJ860" s="307"/>
      <c r="FK860" s="307"/>
      <c r="FL860" s="306"/>
      <c r="FM860" s="307"/>
      <c r="FN860" s="306"/>
      <c r="FO860" s="307"/>
      <c r="FP860" s="306"/>
    </row>
    <row r="861" spans="29:172">
      <c r="AC861" s="156"/>
      <c r="CW861" s="364"/>
      <c r="CX861" s="316"/>
      <c r="CY861" s="316"/>
      <c r="DA861" s="309">
        <v>860</v>
      </c>
      <c r="DB861" s="313">
        <f t="shared" si="625"/>
        <v>513.01440146893401</v>
      </c>
      <c r="DC861" s="309">
        <f t="shared" si="626"/>
        <v>4</v>
      </c>
      <c r="DD861" s="309">
        <f t="shared" si="627"/>
        <v>0</v>
      </c>
      <c r="DE861" s="308">
        <f t="shared" si="628"/>
        <v>0</v>
      </c>
      <c r="DF861" s="313">
        <f t="shared" si="642"/>
        <v>600</v>
      </c>
      <c r="DG861" s="313">
        <f t="shared" si="624"/>
        <v>0</v>
      </c>
      <c r="DH861" s="313">
        <f t="shared" si="632"/>
        <v>0</v>
      </c>
      <c r="DI861" s="313">
        <f t="shared" si="633"/>
        <v>0</v>
      </c>
      <c r="DJ861" s="313">
        <f t="shared" si="634"/>
        <v>0</v>
      </c>
      <c r="DK861" s="313">
        <f t="shared" si="643"/>
        <v>0</v>
      </c>
      <c r="DL861" s="313">
        <f t="shared" si="635"/>
        <v>0</v>
      </c>
      <c r="DM861" s="314">
        <f t="shared" si="636"/>
        <v>0</v>
      </c>
      <c r="DN861" s="312">
        <f t="shared" si="637"/>
        <v>0</v>
      </c>
      <c r="DO861" s="312">
        <f t="shared" si="644"/>
        <v>0</v>
      </c>
      <c r="DP861" s="315" t="e">
        <f t="shared" si="629"/>
        <v>#NUM!</v>
      </c>
      <c r="DQ861" s="316">
        <f t="shared" si="638"/>
        <v>0</v>
      </c>
      <c r="DR861" s="316">
        <f t="shared" si="639"/>
        <v>0</v>
      </c>
      <c r="DS861" s="314">
        <f t="shared" si="640"/>
        <v>0</v>
      </c>
      <c r="DT861" s="316">
        <f t="shared" si="641"/>
        <v>0</v>
      </c>
      <c r="DU861" s="314">
        <f t="shared" si="630"/>
        <v>0</v>
      </c>
      <c r="DV861" s="316">
        <f t="shared" si="645"/>
        <v>0</v>
      </c>
      <c r="DW861" s="310">
        <f t="shared" si="631"/>
        <v>0</v>
      </c>
      <c r="FB861" s="307"/>
      <c r="FC861" s="307"/>
      <c r="FF861" s="307"/>
      <c r="FG861" s="307"/>
      <c r="FH861" s="306"/>
      <c r="FJ861" s="307"/>
      <c r="FK861" s="307"/>
      <c r="FL861" s="306"/>
      <c r="FM861" s="307"/>
      <c r="FN861" s="306"/>
      <c r="FO861" s="307"/>
      <c r="FP861" s="306"/>
    </row>
    <row r="862" spans="29:172">
      <c r="AC862" s="156"/>
      <c r="CW862" s="364"/>
      <c r="CX862" s="316"/>
      <c r="CY862" s="316"/>
      <c r="DA862" s="309">
        <v>861</v>
      </c>
      <c r="DB862" s="313">
        <f t="shared" si="625"/>
        <v>513.37837170320017</v>
      </c>
      <c r="DC862" s="309">
        <f t="shared" si="626"/>
        <v>4</v>
      </c>
      <c r="DD862" s="309">
        <f t="shared" si="627"/>
        <v>0</v>
      </c>
      <c r="DE862" s="308">
        <f t="shared" si="628"/>
        <v>0</v>
      </c>
      <c r="DF862" s="313">
        <f t="shared" si="642"/>
        <v>600</v>
      </c>
      <c r="DG862" s="313">
        <f t="shared" si="624"/>
        <v>0</v>
      </c>
      <c r="DH862" s="313">
        <f t="shared" si="632"/>
        <v>0</v>
      </c>
      <c r="DI862" s="313">
        <f t="shared" si="633"/>
        <v>0</v>
      </c>
      <c r="DJ862" s="313">
        <f t="shared" si="634"/>
        <v>0</v>
      </c>
      <c r="DK862" s="313">
        <f t="shared" si="643"/>
        <v>0</v>
      </c>
      <c r="DL862" s="313">
        <f t="shared" si="635"/>
        <v>0</v>
      </c>
      <c r="DM862" s="314">
        <f t="shared" si="636"/>
        <v>0</v>
      </c>
      <c r="DN862" s="312">
        <f t="shared" si="637"/>
        <v>0</v>
      </c>
      <c r="DO862" s="312">
        <f t="shared" si="644"/>
        <v>0</v>
      </c>
      <c r="DP862" s="315" t="e">
        <f t="shared" si="629"/>
        <v>#NUM!</v>
      </c>
      <c r="DQ862" s="316">
        <f t="shared" si="638"/>
        <v>0</v>
      </c>
      <c r="DR862" s="316">
        <f t="shared" si="639"/>
        <v>0</v>
      </c>
      <c r="DS862" s="314">
        <f t="shared" si="640"/>
        <v>0</v>
      </c>
      <c r="DT862" s="316">
        <f t="shared" si="641"/>
        <v>0</v>
      </c>
      <c r="DU862" s="314">
        <f t="shared" si="630"/>
        <v>0</v>
      </c>
      <c r="DV862" s="316">
        <f t="shared" si="645"/>
        <v>0</v>
      </c>
      <c r="DW862" s="310">
        <f t="shared" si="631"/>
        <v>0</v>
      </c>
      <c r="FB862" s="307"/>
      <c r="FC862" s="307"/>
      <c r="FF862" s="307"/>
      <c r="FG862" s="307"/>
      <c r="FH862" s="306"/>
      <c r="FJ862" s="307"/>
      <c r="FK862" s="307"/>
      <c r="FL862" s="306"/>
      <c r="FM862" s="307"/>
      <c r="FN862" s="306"/>
      <c r="FO862" s="307"/>
      <c r="FP862" s="306"/>
    </row>
    <row r="863" spans="29:172">
      <c r="AC863" s="156"/>
      <c r="CW863" s="364"/>
      <c r="CX863" s="316"/>
      <c r="CY863" s="316"/>
      <c r="DA863" s="309">
        <v>862</v>
      </c>
      <c r="DB863" s="313">
        <f t="shared" si="625"/>
        <v>513.74234193746634</v>
      </c>
      <c r="DC863" s="309">
        <f t="shared" si="626"/>
        <v>4</v>
      </c>
      <c r="DD863" s="309">
        <f t="shared" si="627"/>
        <v>0</v>
      </c>
      <c r="DE863" s="308">
        <f t="shared" si="628"/>
        <v>0</v>
      </c>
      <c r="DF863" s="313">
        <f t="shared" si="642"/>
        <v>600</v>
      </c>
      <c r="DG863" s="313">
        <f t="shared" si="624"/>
        <v>0</v>
      </c>
      <c r="DH863" s="313">
        <f t="shared" si="632"/>
        <v>0</v>
      </c>
      <c r="DI863" s="313">
        <f t="shared" si="633"/>
        <v>0</v>
      </c>
      <c r="DJ863" s="313">
        <f t="shared" si="634"/>
        <v>0</v>
      </c>
      <c r="DK863" s="313">
        <f t="shared" si="643"/>
        <v>0</v>
      </c>
      <c r="DL863" s="313">
        <f t="shared" si="635"/>
        <v>0</v>
      </c>
      <c r="DM863" s="314">
        <f t="shared" si="636"/>
        <v>0</v>
      </c>
      <c r="DN863" s="312">
        <f t="shared" si="637"/>
        <v>0</v>
      </c>
      <c r="DO863" s="312">
        <f t="shared" si="644"/>
        <v>0</v>
      </c>
      <c r="DP863" s="315" t="e">
        <f t="shared" si="629"/>
        <v>#NUM!</v>
      </c>
      <c r="DQ863" s="316">
        <f t="shared" si="638"/>
        <v>0</v>
      </c>
      <c r="DR863" s="316">
        <f t="shared" si="639"/>
        <v>0</v>
      </c>
      <c r="DS863" s="314">
        <f t="shared" si="640"/>
        <v>0</v>
      </c>
      <c r="DT863" s="316">
        <f t="shared" si="641"/>
        <v>0</v>
      </c>
      <c r="DU863" s="314">
        <f t="shared" si="630"/>
        <v>0</v>
      </c>
      <c r="DV863" s="316">
        <f t="shared" si="645"/>
        <v>0</v>
      </c>
      <c r="DW863" s="310">
        <f t="shared" si="631"/>
        <v>0</v>
      </c>
      <c r="FB863" s="307"/>
      <c r="FC863" s="307"/>
      <c r="FF863" s="307"/>
      <c r="FG863" s="307"/>
      <c r="FH863" s="306"/>
      <c r="FJ863" s="307"/>
      <c r="FK863" s="307"/>
      <c r="FL863" s="306"/>
      <c r="FM863" s="307"/>
      <c r="FN863" s="306"/>
      <c r="FO863" s="307"/>
      <c r="FP863" s="306"/>
    </row>
    <row r="864" spans="29:172">
      <c r="AC864" s="156"/>
      <c r="CW864" s="364"/>
      <c r="CX864" s="316"/>
      <c r="CY864" s="316"/>
      <c r="DA864" s="309">
        <v>863</v>
      </c>
      <c r="DB864" s="313">
        <f t="shared" si="625"/>
        <v>514.10631217173261</v>
      </c>
      <c r="DC864" s="309">
        <f t="shared" si="626"/>
        <v>4</v>
      </c>
      <c r="DD864" s="309">
        <f t="shared" si="627"/>
        <v>0</v>
      </c>
      <c r="DE864" s="308">
        <f t="shared" si="628"/>
        <v>0</v>
      </c>
      <c r="DF864" s="313">
        <f t="shared" si="642"/>
        <v>600</v>
      </c>
      <c r="DG864" s="313">
        <f t="shared" si="624"/>
        <v>0</v>
      </c>
      <c r="DH864" s="313">
        <f t="shared" si="632"/>
        <v>0</v>
      </c>
      <c r="DI864" s="313">
        <f t="shared" si="633"/>
        <v>0</v>
      </c>
      <c r="DJ864" s="313">
        <f t="shared" si="634"/>
        <v>0</v>
      </c>
      <c r="DK864" s="313">
        <f t="shared" si="643"/>
        <v>0</v>
      </c>
      <c r="DL864" s="313">
        <f t="shared" si="635"/>
        <v>0</v>
      </c>
      <c r="DM864" s="314">
        <f t="shared" si="636"/>
        <v>0</v>
      </c>
      <c r="DN864" s="312">
        <f t="shared" si="637"/>
        <v>0</v>
      </c>
      <c r="DO864" s="312">
        <f t="shared" si="644"/>
        <v>0</v>
      </c>
      <c r="DP864" s="315" t="e">
        <f t="shared" si="629"/>
        <v>#NUM!</v>
      </c>
      <c r="DQ864" s="316">
        <f t="shared" si="638"/>
        <v>0</v>
      </c>
      <c r="DR864" s="316">
        <f t="shared" si="639"/>
        <v>0</v>
      </c>
      <c r="DS864" s="314">
        <f t="shared" si="640"/>
        <v>0</v>
      </c>
      <c r="DT864" s="316">
        <f t="shared" si="641"/>
        <v>0</v>
      </c>
      <c r="DU864" s="314">
        <f t="shared" si="630"/>
        <v>0</v>
      </c>
      <c r="DV864" s="316">
        <f t="shared" si="645"/>
        <v>0</v>
      </c>
      <c r="DW864" s="310">
        <f t="shared" si="631"/>
        <v>0</v>
      </c>
      <c r="FB864" s="307"/>
      <c r="FC864" s="307"/>
      <c r="FF864" s="307"/>
      <c r="FG864" s="307"/>
      <c r="FH864" s="306"/>
      <c r="FJ864" s="307"/>
      <c r="FK864" s="307"/>
      <c r="FL864" s="306"/>
      <c r="FM864" s="307"/>
      <c r="FN864" s="306"/>
      <c r="FO864" s="307"/>
      <c r="FP864" s="306"/>
    </row>
    <row r="865" spans="29:172">
      <c r="AC865" s="156"/>
      <c r="CW865" s="364"/>
      <c r="CX865" s="316"/>
      <c r="CY865" s="316"/>
      <c r="DA865" s="309">
        <v>864</v>
      </c>
      <c r="DB865" s="313">
        <f t="shared" si="625"/>
        <v>514.47028240599889</v>
      </c>
      <c r="DC865" s="309">
        <f t="shared" si="626"/>
        <v>4</v>
      </c>
      <c r="DD865" s="309">
        <f t="shared" si="627"/>
        <v>0</v>
      </c>
      <c r="DE865" s="308">
        <f t="shared" si="628"/>
        <v>0</v>
      </c>
      <c r="DF865" s="313">
        <f t="shared" si="642"/>
        <v>600</v>
      </c>
      <c r="DG865" s="313">
        <f t="shared" si="624"/>
        <v>0</v>
      </c>
      <c r="DH865" s="313">
        <f t="shared" si="632"/>
        <v>0</v>
      </c>
      <c r="DI865" s="313">
        <f t="shared" si="633"/>
        <v>0</v>
      </c>
      <c r="DJ865" s="313">
        <f t="shared" si="634"/>
        <v>0</v>
      </c>
      <c r="DK865" s="313">
        <f t="shared" si="643"/>
        <v>0</v>
      </c>
      <c r="DL865" s="313">
        <f t="shared" si="635"/>
        <v>0</v>
      </c>
      <c r="DM865" s="314">
        <f t="shared" si="636"/>
        <v>0</v>
      </c>
      <c r="DN865" s="312">
        <f t="shared" si="637"/>
        <v>0</v>
      </c>
      <c r="DO865" s="312">
        <f t="shared" si="644"/>
        <v>0</v>
      </c>
      <c r="DP865" s="315" t="e">
        <f t="shared" si="629"/>
        <v>#NUM!</v>
      </c>
      <c r="DQ865" s="316">
        <f t="shared" si="638"/>
        <v>0</v>
      </c>
      <c r="DR865" s="316">
        <f t="shared" si="639"/>
        <v>0</v>
      </c>
      <c r="DS865" s="314">
        <f t="shared" si="640"/>
        <v>0</v>
      </c>
      <c r="DT865" s="316">
        <f t="shared" si="641"/>
        <v>0</v>
      </c>
      <c r="DU865" s="314">
        <f t="shared" si="630"/>
        <v>0</v>
      </c>
      <c r="DV865" s="316">
        <f t="shared" si="645"/>
        <v>0</v>
      </c>
      <c r="DW865" s="310">
        <f t="shared" si="631"/>
        <v>0</v>
      </c>
      <c r="FB865" s="307"/>
      <c r="FC865" s="307"/>
      <c r="FF865" s="307"/>
      <c r="FG865" s="307"/>
      <c r="FH865" s="306"/>
      <c r="FJ865" s="307"/>
      <c r="FK865" s="307"/>
      <c r="FL865" s="306"/>
      <c r="FM865" s="307"/>
      <c r="FN865" s="306"/>
      <c r="FO865" s="307"/>
      <c r="FP865" s="306"/>
    </row>
    <row r="866" spans="29:172">
      <c r="AC866" s="156"/>
      <c r="CW866" s="364"/>
      <c r="CX866" s="316"/>
      <c r="CY866" s="316"/>
      <c r="DA866" s="309">
        <v>865</v>
      </c>
      <c r="DB866" s="313">
        <f t="shared" si="625"/>
        <v>514.83425264026505</v>
      </c>
      <c r="DC866" s="309">
        <f t="shared" si="626"/>
        <v>4</v>
      </c>
      <c r="DD866" s="309">
        <f t="shared" si="627"/>
        <v>0</v>
      </c>
      <c r="DE866" s="308">
        <f t="shared" si="628"/>
        <v>0</v>
      </c>
      <c r="DF866" s="313">
        <f t="shared" si="642"/>
        <v>600</v>
      </c>
      <c r="DG866" s="313">
        <f t="shared" si="624"/>
        <v>0</v>
      </c>
      <c r="DH866" s="313">
        <f t="shared" si="632"/>
        <v>0</v>
      </c>
      <c r="DI866" s="313">
        <f t="shared" si="633"/>
        <v>0</v>
      </c>
      <c r="DJ866" s="313">
        <f t="shared" si="634"/>
        <v>0</v>
      </c>
      <c r="DK866" s="313">
        <f t="shared" si="643"/>
        <v>0</v>
      </c>
      <c r="DL866" s="313">
        <f t="shared" si="635"/>
        <v>0</v>
      </c>
      <c r="DM866" s="314">
        <f t="shared" si="636"/>
        <v>0</v>
      </c>
      <c r="DN866" s="312">
        <f t="shared" si="637"/>
        <v>0</v>
      </c>
      <c r="DO866" s="312">
        <f t="shared" si="644"/>
        <v>0</v>
      </c>
      <c r="DP866" s="315" t="e">
        <f t="shared" si="629"/>
        <v>#NUM!</v>
      </c>
      <c r="DQ866" s="316">
        <f t="shared" si="638"/>
        <v>0</v>
      </c>
      <c r="DR866" s="316">
        <f t="shared" si="639"/>
        <v>0</v>
      </c>
      <c r="DS866" s="314">
        <f t="shared" si="640"/>
        <v>0</v>
      </c>
      <c r="DT866" s="316">
        <f t="shared" si="641"/>
        <v>0</v>
      </c>
      <c r="DU866" s="314">
        <f t="shared" si="630"/>
        <v>0</v>
      </c>
      <c r="DV866" s="316">
        <f t="shared" si="645"/>
        <v>0</v>
      </c>
      <c r="DW866" s="310">
        <f t="shared" si="631"/>
        <v>0</v>
      </c>
      <c r="FB866" s="307"/>
      <c r="FC866" s="307"/>
      <c r="FF866" s="307"/>
      <c r="FG866" s="307"/>
      <c r="FH866" s="306"/>
      <c r="FJ866" s="307"/>
      <c r="FK866" s="307"/>
      <c r="FL866" s="306"/>
      <c r="FM866" s="307"/>
      <c r="FN866" s="306"/>
      <c r="FO866" s="307"/>
      <c r="FP866" s="306"/>
    </row>
    <row r="867" spans="29:172">
      <c r="AC867" s="156"/>
      <c r="CW867" s="364"/>
      <c r="CX867" s="316"/>
      <c r="CY867" s="316"/>
      <c r="DA867" s="309">
        <v>866</v>
      </c>
      <c r="DB867" s="313">
        <f t="shared" si="625"/>
        <v>515.19822287453121</v>
      </c>
      <c r="DC867" s="309">
        <f t="shared" si="626"/>
        <v>4</v>
      </c>
      <c r="DD867" s="309">
        <f t="shared" si="627"/>
        <v>0</v>
      </c>
      <c r="DE867" s="308">
        <f t="shared" si="628"/>
        <v>0</v>
      </c>
      <c r="DF867" s="313">
        <f t="shared" si="642"/>
        <v>600</v>
      </c>
      <c r="DG867" s="313">
        <f t="shared" si="624"/>
        <v>0</v>
      </c>
      <c r="DH867" s="313">
        <f t="shared" si="632"/>
        <v>0</v>
      </c>
      <c r="DI867" s="313">
        <f t="shared" si="633"/>
        <v>0</v>
      </c>
      <c r="DJ867" s="313">
        <f t="shared" si="634"/>
        <v>0</v>
      </c>
      <c r="DK867" s="313">
        <f t="shared" si="643"/>
        <v>0</v>
      </c>
      <c r="DL867" s="313">
        <f t="shared" si="635"/>
        <v>0</v>
      </c>
      <c r="DM867" s="314">
        <f t="shared" si="636"/>
        <v>0</v>
      </c>
      <c r="DN867" s="312">
        <f t="shared" si="637"/>
        <v>0</v>
      </c>
      <c r="DO867" s="312">
        <f t="shared" si="644"/>
        <v>0</v>
      </c>
      <c r="DP867" s="315" t="e">
        <f t="shared" si="629"/>
        <v>#NUM!</v>
      </c>
      <c r="DQ867" s="316">
        <f t="shared" si="638"/>
        <v>0</v>
      </c>
      <c r="DR867" s="316">
        <f t="shared" si="639"/>
        <v>0</v>
      </c>
      <c r="DS867" s="314">
        <f t="shared" si="640"/>
        <v>0</v>
      </c>
      <c r="DT867" s="316">
        <f t="shared" si="641"/>
        <v>0</v>
      </c>
      <c r="DU867" s="314">
        <f t="shared" si="630"/>
        <v>0</v>
      </c>
      <c r="DV867" s="316">
        <f t="shared" si="645"/>
        <v>0</v>
      </c>
      <c r="DW867" s="310">
        <f t="shared" si="631"/>
        <v>0</v>
      </c>
      <c r="FB867" s="307"/>
      <c r="FC867" s="307"/>
      <c r="FF867" s="307"/>
      <c r="FG867" s="307"/>
      <c r="FH867" s="306"/>
      <c r="FJ867" s="307"/>
      <c r="FK867" s="307"/>
      <c r="FL867" s="306"/>
      <c r="FM867" s="307"/>
      <c r="FN867" s="306"/>
      <c r="FO867" s="307"/>
      <c r="FP867" s="306"/>
    </row>
    <row r="868" spans="29:172">
      <c r="AC868" s="156"/>
      <c r="CW868" s="364"/>
      <c r="CX868" s="316"/>
      <c r="CY868" s="316"/>
      <c r="DA868" s="309">
        <v>867</v>
      </c>
      <c r="DB868" s="313">
        <f t="shared" si="625"/>
        <v>515.56219310879737</v>
      </c>
      <c r="DC868" s="309">
        <f t="shared" si="626"/>
        <v>4</v>
      </c>
      <c r="DD868" s="309">
        <f t="shared" si="627"/>
        <v>0</v>
      </c>
      <c r="DE868" s="308">
        <f t="shared" si="628"/>
        <v>0</v>
      </c>
      <c r="DF868" s="313">
        <f t="shared" si="642"/>
        <v>600</v>
      </c>
      <c r="DG868" s="313">
        <f t="shared" si="624"/>
        <v>0</v>
      </c>
      <c r="DH868" s="313">
        <f t="shared" si="632"/>
        <v>0</v>
      </c>
      <c r="DI868" s="313">
        <f t="shared" si="633"/>
        <v>0</v>
      </c>
      <c r="DJ868" s="313">
        <f t="shared" si="634"/>
        <v>0</v>
      </c>
      <c r="DK868" s="313">
        <f t="shared" si="643"/>
        <v>0</v>
      </c>
      <c r="DL868" s="313">
        <f t="shared" si="635"/>
        <v>0</v>
      </c>
      <c r="DM868" s="314">
        <f t="shared" si="636"/>
        <v>0</v>
      </c>
      <c r="DN868" s="312">
        <f t="shared" si="637"/>
        <v>0</v>
      </c>
      <c r="DO868" s="312">
        <f t="shared" si="644"/>
        <v>0</v>
      </c>
      <c r="DP868" s="315" t="e">
        <f t="shared" si="629"/>
        <v>#NUM!</v>
      </c>
      <c r="DQ868" s="316">
        <f t="shared" si="638"/>
        <v>0</v>
      </c>
      <c r="DR868" s="316">
        <f t="shared" si="639"/>
        <v>0</v>
      </c>
      <c r="DS868" s="314">
        <f t="shared" si="640"/>
        <v>0</v>
      </c>
      <c r="DT868" s="316">
        <f t="shared" si="641"/>
        <v>0</v>
      </c>
      <c r="DU868" s="314">
        <f t="shared" si="630"/>
        <v>0</v>
      </c>
      <c r="DV868" s="316">
        <f t="shared" si="645"/>
        <v>0</v>
      </c>
      <c r="DW868" s="310">
        <f t="shared" si="631"/>
        <v>0</v>
      </c>
      <c r="FB868" s="307"/>
      <c r="FC868" s="307"/>
      <c r="FF868" s="307"/>
      <c r="FG868" s="307"/>
      <c r="FH868" s="306"/>
      <c r="FJ868" s="307"/>
      <c r="FK868" s="307"/>
      <c r="FL868" s="306"/>
      <c r="FM868" s="307"/>
      <c r="FN868" s="306"/>
      <c r="FO868" s="307"/>
      <c r="FP868" s="306"/>
    </row>
    <row r="869" spans="29:172">
      <c r="AC869" s="156"/>
      <c r="CW869" s="364"/>
      <c r="CX869" s="316"/>
      <c r="CY869" s="316"/>
      <c r="DA869" s="309">
        <v>868</v>
      </c>
      <c r="DB869" s="313">
        <f t="shared" si="625"/>
        <v>515.92616334306365</v>
      </c>
      <c r="DC869" s="309">
        <f t="shared" si="626"/>
        <v>4</v>
      </c>
      <c r="DD869" s="309">
        <f t="shared" si="627"/>
        <v>0</v>
      </c>
      <c r="DE869" s="308">
        <f t="shared" si="628"/>
        <v>0</v>
      </c>
      <c r="DF869" s="313">
        <f t="shared" si="642"/>
        <v>600</v>
      </c>
      <c r="DG869" s="313">
        <f t="shared" si="624"/>
        <v>0</v>
      </c>
      <c r="DH869" s="313">
        <f t="shared" si="632"/>
        <v>0</v>
      </c>
      <c r="DI869" s="313">
        <f t="shared" si="633"/>
        <v>0</v>
      </c>
      <c r="DJ869" s="313">
        <f t="shared" si="634"/>
        <v>0</v>
      </c>
      <c r="DK869" s="313">
        <f t="shared" si="643"/>
        <v>0</v>
      </c>
      <c r="DL869" s="313">
        <f t="shared" si="635"/>
        <v>0</v>
      </c>
      <c r="DM869" s="314">
        <f t="shared" si="636"/>
        <v>0</v>
      </c>
      <c r="DN869" s="312">
        <f t="shared" si="637"/>
        <v>0</v>
      </c>
      <c r="DO869" s="312">
        <f t="shared" si="644"/>
        <v>0</v>
      </c>
      <c r="DP869" s="315" t="e">
        <f t="shared" si="629"/>
        <v>#NUM!</v>
      </c>
      <c r="DQ869" s="316">
        <f t="shared" si="638"/>
        <v>0</v>
      </c>
      <c r="DR869" s="316">
        <f t="shared" si="639"/>
        <v>0</v>
      </c>
      <c r="DS869" s="314">
        <f t="shared" si="640"/>
        <v>0</v>
      </c>
      <c r="DT869" s="316">
        <f t="shared" si="641"/>
        <v>0</v>
      </c>
      <c r="DU869" s="314">
        <f t="shared" si="630"/>
        <v>0</v>
      </c>
      <c r="DV869" s="316">
        <f t="shared" si="645"/>
        <v>0</v>
      </c>
      <c r="DW869" s="310">
        <f t="shared" si="631"/>
        <v>0</v>
      </c>
      <c r="FB869" s="307"/>
      <c r="FC869" s="307"/>
      <c r="FF869" s="307"/>
      <c r="FG869" s="307"/>
      <c r="FH869" s="306"/>
      <c r="FJ869" s="307"/>
      <c r="FK869" s="307"/>
      <c r="FL869" s="306"/>
      <c r="FM869" s="307"/>
      <c r="FN869" s="306"/>
      <c r="FO869" s="307"/>
      <c r="FP869" s="306"/>
    </row>
    <row r="870" spans="29:172">
      <c r="AC870" s="156"/>
      <c r="CW870" s="364"/>
      <c r="CX870" s="316"/>
      <c r="CY870" s="316"/>
      <c r="DA870" s="309">
        <v>869</v>
      </c>
      <c r="DB870" s="313">
        <f t="shared" si="625"/>
        <v>516.29013357732981</v>
      </c>
      <c r="DC870" s="309">
        <f t="shared" si="626"/>
        <v>4</v>
      </c>
      <c r="DD870" s="309">
        <f t="shared" si="627"/>
        <v>0</v>
      </c>
      <c r="DE870" s="308">
        <f t="shared" si="628"/>
        <v>0</v>
      </c>
      <c r="DF870" s="313">
        <f t="shared" si="642"/>
        <v>600</v>
      </c>
      <c r="DG870" s="313">
        <f t="shared" si="624"/>
        <v>0</v>
      </c>
      <c r="DH870" s="313">
        <f t="shared" si="632"/>
        <v>0</v>
      </c>
      <c r="DI870" s="313">
        <f t="shared" si="633"/>
        <v>0</v>
      </c>
      <c r="DJ870" s="313">
        <f t="shared" si="634"/>
        <v>0</v>
      </c>
      <c r="DK870" s="313">
        <f t="shared" si="643"/>
        <v>0</v>
      </c>
      <c r="DL870" s="313">
        <f t="shared" si="635"/>
        <v>0</v>
      </c>
      <c r="DM870" s="314">
        <f t="shared" si="636"/>
        <v>0</v>
      </c>
      <c r="DN870" s="312">
        <f t="shared" si="637"/>
        <v>0</v>
      </c>
      <c r="DO870" s="312">
        <f t="shared" si="644"/>
        <v>0</v>
      </c>
      <c r="DP870" s="315" t="e">
        <f t="shared" si="629"/>
        <v>#NUM!</v>
      </c>
      <c r="DQ870" s="316">
        <f t="shared" si="638"/>
        <v>0</v>
      </c>
      <c r="DR870" s="316">
        <f t="shared" si="639"/>
        <v>0</v>
      </c>
      <c r="DS870" s="314">
        <f t="shared" si="640"/>
        <v>0</v>
      </c>
      <c r="DT870" s="316">
        <f t="shared" si="641"/>
        <v>0</v>
      </c>
      <c r="DU870" s="314">
        <f t="shared" si="630"/>
        <v>0</v>
      </c>
      <c r="DV870" s="316">
        <f t="shared" si="645"/>
        <v>0</v>
      </c>
      <c r="DW870" s="310">
        <f t="shared" si="631"/>
        <v>0</v>
      </c>
      <c r="FB870" s="307"/>
      <c r="FC870" s="307"/>
      <c r="FF870" s="307"/>
      <c r="FG870" s="307"/>
      <c r="FH870" s="306"/>
      <c r="FJ870" s="307"/>
      <c r="FK870" s="307"/>
      <c r="FL870" s="306"/>
      <c r="FM870" s="307"/>
      <c r="FN870" s="306"/>
      <c r="FO870" s="307"/>
      <c r="FP870" s="306"/>
    </row>
    <row r="871" spans="29:172">
      <c r="AC871" s="156"/>
      <c r="CW871" s="364"/>
      <c r="CX871" s="316"/>
      <c r="CY871" s="316"/>
      <c r="DA871" s="309">
        <v>870</v>
      </c>
      <c r="DB871" s="313">
        <f t="shared" si="625"/>
        <v>516.65410381159609</v>
      </c>
      <c r="DC871" s="309">
        <f t="shared" si="626"/>
        <v>4</v>
      </c>
      <c r="DD871" s="309">
        <f t="shared" si="627"/>
        <v>0</v>
      </c>
      <c r="DE871" s="308">
        <f t="shared" si="628"/>
        <v>0</v>
      </c>
      <c r="DF871" s="313">
        <f t="shared" si="642"/>
        <v>600</v>
      </c>
      <c r="DG871" s="313">
        <f t="shared" si="624"/>
        <v>0</v>
      </c>
      <c r="DH871" s="313">
        <f t="shared" si="632"/>
        <v>0</v>
      </c>
      <c r="DI871" s="313">
        <f t="shared" si="633"/>
        <v>0</v>
      </c>
      <c r="DJ871" s="313">
        <f t="shared" si="634"/>
        <v>0</v>
      </c>
      <c r="DK871" s="313">
        <f t="shared" si="643"/>
        <v>0</v>
      </c>
      <c r="DL871" s="313">
        <f t="shared" si="635"/>
        <v>0</v>
      </c>
      <c r="DM871" s="314">
        <f t="shared" si="636"/>
        <v>0</v>
      </c>
      <c r="DN871" s="312">
        <f t="shared" si="637"/>
        <v>0</v>
      </c>
      <c r="DO871" s="312">
        <f t="shared" si="644"/>
        <v>0</v>
      </c>
      <c r="DP871" s="315" t="e">
        <f t="shared" si="629"/>
        <v>#NUM!</v>
      </c>
      <c r="DQ871" s="316">
        <f t="shared" si="638"/>
        <v>0</v>
      </c>
      <c r="DR871" s="316">
        <f t="shared" si="639"/>
        <v>0</v>
      </c>
      <c r="DS871" s="314">
        <f t="shared" si="640"/>
        <v>0</v>
      </c>
      <c r="DT871" s="316">
        <f t="shared" si="641"/>
        <v>0</v>
      </c>
      <c r="DU871" s="314">
        <f t="shared" si="630"/>
        <v>0</v>
      </c>
      <c r="DV871" s="316">
        <f t="shared" si="645"/>
        <v>0</v>
      </c>
      <c r="DW871" s="310">
        <f t="shared" si="631"/>
        <v>0</v>
      </c>
      <c r="FB871" s="307"/>
      <c r="FC871" s="307"/>
      <c r="FF871" s="307"/>
      <c r="FG871" s="307"/>
      <c r="FH871" s="306"/>
      <c r="FJ871" s="307"/>
      <c r="FK871" s="307"/>
      <c r="FL871" s="306"/>
      <c r="FM871" s="307"/>
      <c r="FN871" s="306"/>
      <c r="FO871" s="307"/>
      <c r="FP871" s="306"/>
    </row>
    <row r="872" spans="29:172">
      <c r="AC872" s="156"/>
      <c r="CW872" s="364"/>
      <c r="CX872" s="316"/>
      <c r="CY872" s="316"/>
      <c r="DA872" s="309">
        <v>871</v>
      </c>
      <c r="DB872" s="313">
        <f t="shared" si="625"/>
        <v>517.01807404586225</v>
      </c>
      <c r="DC872" s="309">
        <f t="shared" si="626"/>
        <v>4</v>
      </c>
      <c r="DD872" s="309">
        <f t="shared" si="627"/>
        <v>0</v>
      </c>
      <c r="DE872" s="308">
        <f t="shared" si="628"/>
        <v>0</v>
      </c>
      <c r="DF872" s="313">
        <f t="shared" si="642"/>
        <v>600</v>
      </c>
      <c r="DG872" s="313">
        <f t="shared" si="624"/>
        <v>0</v>
      </c>
      <c r="DH872" s="313">
        <f t="shared" si="632"/>
        <v>0</v>
      </c>
      <c r="DI872" s="313">
        <f t="shared" si="633"/>
        <v>0</v>
      </c>
      <c r="DJ872" s="313">
        <f t="shared" si="634"/>
        <v>0</v>
      </c>
      <c r="DK872" s="313">
        <f t="shared" si="643"/>
        <v>0</v>
      </c>
      <c r="DL872" s="313">
        <f t="shared" si="635"/>
        <v>0</v>
      </c>
      <c r="DM872" s="314">
        <f t="shared" si="636"/>
        <v>0</v>
      </c>
      <c r="DN872" s="312">
        <f t="shared" si="637"/>
        <v>0</v>
      </c>
      <c r="DO872" s="312">
        <f t="shared" si="644"/>
        <v>0</v>
      </c>
      <c r="DP872" s="315" t="e">
        <f t="shared" si="629"/>
        <v>#NUM!</v>
      </c>
      <c r="DQ872" s="316">
        <f t="shared" si="638"/>
        <v>0</v>
      </c>
      <c r="DR872" s="316">
        <f t="shared" si="639"/>
        <v>0</v>
      </c>
      <c r="DS872" s="314">
        <f t="shared" si="640"/>
        <v>0</v>
      </c>
      <c r="DT872" s="316">
        <f t="shared" si="641"/>
        <v>0</v>
      </c>
      <c r="DU872" s="314">
        <f t="shared" si="630"/>
        <v>0</v>
      </c>
      <c r="DV872" s="316">
        <f t="shared" si="645"/>
        <v>0</v>
      </c>
      <c r="DW872" s="310">
        <f t="shared" si="631"/>
        <v>0</v>
      </c>
      <c r="FB872" s="307"/>
      <c r="FC872" s="307"/>
      <c r="FF872" s="307"/>
      <c r="FG872" s="307"/>
      <c r="FH872" s="306"/>
      <c r="FJ872" s="307"/>
      <c r="FK872" s="307"/>
      <c r="FL872" s="306"/>
      <c r="FM872" s="307"/>
      <c r="FN872" s="306"/>
      <c r="FO872" s="307"/>
      <c r="FP872" s="306"/>
    </row>
    <row r="873" spans="29:172">
      <c r="AC873" s="156"/>
      <c r="CW873" s="364"/>
      <c r="CX873" s="316"/>
      <c r="CY873" s="316"/>
      <c r="DA873" s="309">
        <v>872</v>
      </c>
      <c r="DB873" s="313">
        <f t="shared" si="625"/>
        <v>517.38204428012841</v>
      </c>
      <c r="DC873" s="309">
        <f t="shared" si="626"/>
        <v>4</v>
      </c>
      <c r="DD873" s="309">
        <f t="shared" si="627"/>
        <v>0</v>
      </c>
      <c r="DE873" s="308">
        <f t="shared" si="628"/>
        <v>0</v>
      </c>
      <c r="DF873" s="313">
        <f t="shared" si="642"/>
        <v>600</v>
      </c>
      <c r="DG873" s="313">
        <f t="shared" si="624"/>
        <v>0</v>
      </c>
      <c r="DH873" s="313">
        <f t="shared" si="632"/>
        <v>0</v>
      </c>
      <c r="DI873" s="313">
        <f t="shared" si="633"/>
        <v>0</v>
      </c>
      <c r="DJ873" s="313">
        <f t="shared" si="634"/>
        <v>0</v>
      </c>
      <c r="DK873" s="313">
        <f t="shared" si="643"/>
        <v>0</v>
      </c>
      <c r="DL873" s="313">
        <f t="shared" si="635"/>
        <v>0</v>
      </c>
      <c r="DM873" s="314">
        <f t="shared" si="636"/>
        <v>0</v>
      </c>
      <c r="DN873" s="312">
        <f t="shared" si="637"/>
        <v>0</v>
      </c>
      <c r="DO873" s="312">
        <f t="shared" si="644"/>
        <v>0</v>
      </c>
      <c r="DP873" s="315" t="e">
        <f t="shared" si="629"/>
        <v>#NUM!</v>
      </c>
      <c r="DQ873" s="316">
        <f t="shared" si="638"/>
        <v>0</v>
      </c>
      <c r="DR873" s="316">
        <f t="shared" si="639"/>
        <v>0</v>
      </c>
      <c r="DS873" s="314">
        <f t="shared" si="640"/>
        <v>0</v>
      </c>
      <c r="DT873" s="316">
        <f t="shared" si="641"/>
        <v>0</v>
      </c>
      <c r="DU873" s="314">
        <f t="shared" si="630"/>
        <v>0</v>
      </c>
      <c r="DV873" s="316">
        <f t="shared" si="645"/>
        <v>0</v>
      </c>
      <c r="DW873" s="310">
        <f t="shared" si="631"/>
        <v>0</v>
      </c>
      <c r="FB873" s="307"/>
      <c r="FC873" s="307"/>
      <c r="FF873" s="307"/>
      <c r="FG873" s="307"/>
      <c r="FH873" s="306"/>
      <c r="FJ873" s="307"/>
      <c r="FK873" s="307"/>
      <c r="FL873" s="306"/>
      <c r="FM873" s="307"/>
      <c r="FN873" s="306"/>
      <c r="FO873" s="307"/>
      <c r="FP873" s="306"/>
    </row>
    <row r="874" spans="29:172">
      <c r="AC874" s="156"/>
      <c r="CW874" s="364"/>
      <c r="CX874" s="316"/>
      <c r="CY874" s="316"/>
      <c r="DA874" s="309">
        <v>873</v>
      </c>
      <c r="DB874" s="313">
        <f t="shared" si="625"/>
        <v>517.74601451439457</v>
      </c>
      <c r="DC874" s="309">
        <f t="shared" si="626"/>
        <v>4</v>
      </c>
      <c r="DD874" s="309">
        <f t="shared" si="627"/>
        <v>0</v>
      </c>
      <c r="DE874" s="308">
        <f t="shared" si="628"/>
        <v>0</v>
      </c>
      <c r="DF874" s="313">
        <f t="shared" si="642"/>
        <v>600</v>
      </c>
      <c r="DG874" s="313">
        <f t="shared" si="624"/>
        <v>0</v>
      </c>
      <c r="DH874" s="313">
        <f t="shared" si="632"/>
        <v>0</v>
      </c>
      <c r="DI874" s="313">
        <f t="shared" si="633"/>
        <v>0</v>
      </c>
      <c r="DJ874" s="313">
        <f t="shared" si="634"/>
        <v>0</v>
      </c>
      <c r="DK874" s="313">
        <f t="shared" si="643"/>
        <v>0</v>
      </c>
      <c r="DL874" s="313">
        <f t="shared" si="635"/>
        <v>0</v>
      </c>
      <c r="DM874" s="314">
        <f t="shared" si="636"/>
        <v>0</v>
      </c>
      <c r="DN874" s="312">
        <f t="shared" si="637"/>
        <v>0</v>
      </c>
      <c r="DO874" s="312">
        <f t="shared" si="644"/>
        <v>0</v>
      </c>
      <c r="DP874" s="315" t="e">
        <f t="shared" si="629"/>
        <v>#NUM!</v>
      </c>
      <c r="DQ874" s="316">
        <f t="shared" si="638"/>
        <v>0</v>
      </c>
      <c r="DR874" s="316">
        <f t="shared" si="639"/>
        <v>0</v>
      </c>
      <c r="DS874" s="314">
        <f t="shared" si="640"/>
        <v>0</v>
      </c>
      <c r="DT874" s="316">
        <f t="shared" si="641"/>
        <v>0</v>
      </c>
      <c r="DU874" s="314">
        <f t="shared" si="630"/>
        <v>0</v>
      </c>
      <c r="DV874" s="316">
        <f t="shared" si="645"/>
        <v>0</v>
      </c>
      <c r="DW874" s="310">
        <f t="shared" si="631"/>
        <v>0</v>
      </c>
      <c r="FB874" s="307"/>
      <c r="FC874" s="307"/>
      <c r="FF874" s="307"/>
      <c r="FG874" s="307"/>
      <c r="FH874" s="306"/>
      <c r="FJ874" s="307"/>
      <c r="FK874" s="307"/>
      <c r="FL874" s="306"/>
      <c r="FM874" s="307"/>
      <c r="FN874" s="306"/>
      <c r="FO874" s="307"/>
      <c r="FP874" s="306"/>
    </row>
    <row r="875" spans="29:172">
      <c r="AC875" s="156"/>
      <c r="CW875" s="364"/>
      <c r="CX875" s="316"/>
      <c r="CY875" s="316"/>
      <c r="DA875" s="309">
        <v>874</v>
      </c>
      <c r="DB875" s="313">
        <f t="shared" si="625"/>
        <v>518.10998474866085</v>
      </c>
      <c r="DC875" s="309">
        <f t="shared" si="626"/>
        <v>4</v>
      </c>
      <c r="DD875" s="309">
        <f t="shared" si="627"/>
        <v>0</v>
      </c>
      <c r="DE875" s="308">
        <f t="shared" si="628"/>
        <v>0</v>
      </c>
      <c r="DF875" s="313">
        <f t="shared" si="642"/>
        <v>600</v>
      </c>
      <c r="DG875" s="313">
        <f t="shared" ref="DG875:DG938" si="646">IF(DC875=4,DG874,MIN(DB875,DD875))</f>
        <v>0</v>
      </c>
      <c r="DH875" s="313">
        <f t="shared" si="632"/>
        <v>0</v>
      </c>
      <c r="DI875" s="313">
        <f t="shared" si="633"/>
        <v>0</v>
      </c>
      <c r="DJ875" s="313">
        <f t="shared" si="634"/>
        <v>0</v>
      </c>
      <c r="DK875" s="313">
        <f t="shared" si="643"/>
        <v>0</v>
      </c>
      <c r="DL875" s="313">
        <f t="shared" si="635"/>
        <v>0</v>
      </c>
      <c r="DM875" s="314">
        <f t="shared" si="636"/>
        <v>0</v>
      </c>
      <c r="DN875" s="312">
        <f t="shared" si="637"/>
        <v>0</v>
      </c>
      <c r="DO875" s="312">
        <f t="shared" si="644"/>
        <v>0</v>
      </c>
      <c r="DP875" s="315" t="e">
        <f t="shared" si="629"/>
        <v>#NUM!</v>
      </c>
      <c r="DQ875" s="316">
        <f t="shared" si="638"/>
        <v>0</v>
      </c>
      <c r="DR875" s="316">
        <f t="shared" si="639"/>
        <v>0</v>
      </c>
      <c r="DS875" s="314">
        <f t="shared" si="640"/>
        <v>0</v>
      </c>
      <c r="DT875" s="316">
        <f t="shared" si="641"/>
        <v>0</v>
      </c>
      <c r="DU875" s="314">
        <f t="shared" si="630"/>
        <v>0</v>
      </c>
      <c r="DV875" s="316">
        <f t="shared" si="645"/>
        <v>0</v>
      </c>
      <c r="DW875" s="310">
        <f t="shared" si="631"/>
        <v>0</v>
      </c>
      <c r="FB875" s="307"/>
      <c r="FC875" s="307"/>
      <c r="FF875" s="307"/>
      <c r="FG875" s="307"/>
      <c r="FH875" s="306"/>
      <c r="FJ875" s="307"/>
      <c r="FK875" s="307"/>
      <c r="FL875" s="306"/>
      <c r="FM875" s="307"/>
      <c r="FN875" s="306"/>
      <c r="FO875" s="307"/>
      <c r="FP875" s="306"/>
    </row>
    <row r="876" spans="29:172">
      <c r="AC876" s="156"/>
      <c r="CW876" s="364"/>
      <c r="CX876" s="316"/>
      <c r="CY876" s="316"/>
      <c r="DA876" s="309">
        <v>875</v>
      </c>
      <c r="DB876" s="313">
        <f t="shared" si="625"/>
        <v>518.47395498292713</v>
      </c>
      <c r="DC876" s="309">
        <f t="shared" si="626"/>
        <v>4</v>
      </c>
      <c r="DD876" s="309">
        <f t="shared" si="627"/>
        <v>0</v>
      </c>
      <c r="DE876" s="308">
        <f t="shared" si="628"/>
        <v>0</v>
      </c>
      <c r="DF876" s="313">
        <f t="shared" si="642"/>
        <v>600</v>
      </c>
      <c r="DG876" s="313">
        <f t="shared" si="646"/>
        <v>0</v>
      </c>
      <c r="DH876" s="313">
        <f t="shared" si="632"/>
        <v>0</v>
      </c>
      <c r="DI876" s="313">
        <f t="shared" si="633"/>
        <v>0</v>
      </c>
      <c r="DJ876" s="313">
        <f t="shared" si="634"/>
        <v>0</v>
      </c>
      <c r="DK876" s="313">
        <f t="shared" si="643"/>
        <v>0</v>
      </c>
      <c r="DL876" s="313">
        <f t="shared" si="635"/>
        <v>0</v>
      </c>
      <c r="DM876" s="314">
        <f t="shared" si="636"/>
        <v>0</v>
      </c>
      <c r="DN876" s="312">
        <f t="shared" si="637"/>
        <v>0</v>
      </c>
      <c r="DO876" s="312">
        <f t="shared" si="644"/>
        <v>0</v>
      </c>
      <c r="DP876" s="315" t="e">
        <f t="shared" si="629"/>
        <v>#NUM!</v>
      </c>
      <c r="DQ876" s="316">
        <f t="shared" si="638"/>
        <v>0</v>
      </c>
      <c r="DR876" s="316">
        <f t="shared" si="639"/>
        <v>0</v>
      </c>
      <c r="DS876" s="314">
        <f t="shared" si="640"/>
        <v>0</v>
      </c>
      <c r="DT876" s="316">
        <f t="shared" si="641"/>
        <v>0</v>
      </c>
      <c r="DU876" s="314">
        <f t="shared" si="630"/>
        <v>0</v>
      </c>
      <c r="DV876" s="316">
        <f t="shared" si="645"/>
        <v>0</v>
      </c>
      <c r="DW876" s="310">
        <f t="shared" si="631"/>
        <v>0</v>
      </c>
      <c r="FB876" s="307"/>
      <c r="FC876" s="307"/>
      <c r="FF876" s="307"/>
      <c r="FG876" s="307"/>
      <c r="FH876" s="306"/>
      <c r="FJ876" s="307"/>
      <c r="FK876" s="307"/>
      <c r="FL876" s="306"/>
      <c r="FM876" s="307"/>
      <c r="FN876" s="306"/>
      <c r="FO876" s="307"/>
      <c r="FP876" s="306"/>
    </row>
    <row r="877" spans="29:172">
      <c r="AC877" s="156"/>
      <c r="CW877" s="364"/>
      <c r="CX877" s="316"/>
      <c r="CY877" s="316"/>
      <c r="DA877" s="309">
        <v>876</v>
      </c>
      <c r="DB877" s="313">
        <f t="shared" si="625"/>
        <v>518.83792521719329</v>
      </c>
      <c r="DC877" s="309">
        <f t="shared" si="626"/>
        <v>4</v>
      </c>
      <c r="DD877" s="309">
        <f t="shared" si="627"/>
        <v>0</v>
      </c>
      <c r="DE877" s="308">
        <f t="shared" si="628"/>
        <v>0</v>
      </c>
      <c r="DF877" s="313">
        <f t="shared" si="642"/>
        <v>600</v>
      </c>
      <c r="DG877" s="313">
        <f t="shared" si="646"/>
        <v>0</v>
      </c>
      <c r="DH877" s="313">
        <f t="shared" si="632"/>
        <v>0</v>
      </c>
      <c r="DI877" s="313">
        <f t="shared" si="633"/>
        <v>0</v>
      </c>
      <c r="DJ877" s="313">
        <f t="shared" si="634"/>
        <v>0</v>
      </c>
      <c r="DK877" s="313">
        <f t="shared" si="643"/>
        <v>0</v>
      </c>
      <c r="DL877" s="313">
        <f t="shared" si="635"/>
        <v>0</v>
      </c>
      <c r="DM877" s="314">
        <f t="shared" si="636"/>
        <v>0</v>
      </c>
      <c r="DN877" s="312">
        <f t="shared" si="637"/>
        <v>0</v>
      </c>
      <c r="DO877" s="312">
        <f t="shared" si="644"/>
        <v>0</v>
      </c>
      <c r="DP877" s="315" t="e">
        <f t="shared" si="629"/>
        <v>#NUM!</v>
      </c>
      <c r="DQ877" s="316">
        <f t="shared" si="638"/>
        <v>0</v>
      </c>
      <c r="DR877" s="316">
        <f t="shared" si="639"/>
        <v>0</v>
      </c>
      <c r="DS877" s="314">
        <f t="shared" si="640"/>
        <v>0</v>
      </c>
      <c r="DT877" s="316">
        <f t="shared" si="641"/>
        <v>0</v>
      </c>
      <c r="DU877" s="314">
        <f t="shared" si="630"/>
        <v>0</v>
      </c>
      <c r="DV877" s="316">
        <f t="shared" si="645"/>
        <v>0</v>
      </c>
      <c r="DW877" s="310">
        <f t="shared" si="631"/>
        <v>0</v>
      </c>
      <c r="FB877" s="307"/>
      <c r="FC877" s="307"/>
      <c r="FF877" s="307"/>
      <c r="FG877" s="307"/>
      <c r="FH877" s="306"/>
      <c r="FJ877" s="307"/>
      <c r="FK877" s="307"/>
      <c r="FL877" s="306"/>
      <c r="FM877" s="307"/>
      <c r="FN877" s="306"/>
      <c r="FO877" s="307"/>
      <c r="FP877" s="306"/>
    </row>
    <row r="878" spans="29:172">
      <c r="AC878" s="156"/>
      <c r="CW878" s="364"/>
      <c r="CX878" s="316"/>
      <c r="CY878" s="316"/>
      <c r="DA878" s="309">
        <v>877</v>
      </c>
      <c r="DB878" s="313">
        <f t="shared" si="625"/>
        <v>519.20189545145945</v>
      </c>
      <c r="DC878" s="309">
        <f t="shared" si="626"/>
        <v>4</v>
      </c>
      <c r="DD878" s="309">
        <f t="shared" si="627"/>
        <v>0</v>
      </c>
      <c r="DE878" s="308">
        <f t="shared" si="628"/>
        <v>0</v>
      </c>
      <c r="DF878" s="313">
        <f t="shared" si="642"/>
        <v>600</v>
      </c>
      <c r="DG878" s="313">
        <f t="shared" si="646"/>
        <v>0</v>
      </c>
      <c r="DH878" s="313">
        <f t="shared" si="632"/>
        <v>0</v>
      </c>
      <c r="DI878" s="313">
        <f t="shared" si="633"/>
        <v>0</v>
      </c>
      <c r="DJ878" s="313">
        <f t="shared" si="634"/>
        <v>0</v>
      </c>
      <c r="DK878" s="313">
        <f t="shared" si="643"/>
        <v>0</v>
      </c>
      <c r="DL878" s="313">
        <f t="shared" si="635"/>
        <v>0</v>
      </c>
      <c r="DM878" s="314">
        <f t="shared" si="636"/>
        <v>0</v>
      </c>
      <c r="DN878" s="312">
        <f t="shared" si="637"/>
        <v>0</v>
      </c>
      <c r="DO878" s="312">
        <f t="shared" si="644"/>
        <v>0</v>
      </c>
      <c r="DP878" s="315" t="e">
        <f t="shared" si="629"/>
        <v>#NUM!</v>
      </c>
      <c r="DQ878" s="316">
        <f t="shared" si="638"/>
        <v>0</v>
      </c>
      <c r="DR878" s="316">
        <f t="shared" si="639"/>
        <v>0</v>
      </c>
      <c r="DS878" s="314">
        <f t="shared" si="640"/>
        <v>0</v>
      </c>
      <c r="DT878" s="316">
        <f t="shared" si="641"/>
        <v>0</v>
      </c>
      <c r="DU878" s="314">
        <f t="shared" si="630"/>
        <v>0</v>
      </c>
      <c r="DV878" s="316">
        <f t="shared" si="645"/>
        <v>0</v>
      </c>
      <c r="DW878" s="310">
        <f t="shared" si="631"/>
        <v>0</v>
      </c>
      <c r="FB878" s="307"/>
      <c r="FC878" s="307"/>
      <c r="FF878" s="307"/>
      <c r="FG878" s="307"/>
      <c r="FH878" s="306"/>
      <c r="FJ878" s="307"/>
      <c r="FK878" s="307"/>
      <c r="FL878" s="306"/>
      <c r="FM878" s="307"/>
      <c r="FN878" s="306"/>
      <c r="FO878" s="307"/>
      <c r="FP878" s="306"/>
    </row>
    <row r="879" spans="29:172">
      <c r="AC879" s="156"/>
      <c r="CW879" s="364"/>
      <c r="CX879" s="316"/>
      <c r="CY879" s="316"/>
      <c r="DA879" s="309">
        <v>878</v>
      </c>
      <c r="DB879" s="313">
        <f t="shared" si="625"/>
        <v>519.56586568572561</v>
      </c>
      <c r="DC879" s="309">
        <f t="shared" si="626"/>
        <v>4</v>
      </c>
      <c r="DD879" s="309">
        <f t="shared" si="627"/>
        <v>0</v>
      </c>
      <c r="DE879" s="308">
        <f t="shared" si="628"/>
        <v>0</v>
      </c>
      <c r="DF879" s="313">
        <f t="shared" si="642"/>
        <v>600</v>
      </c>
      <c r="DG879" s="313">
        <f t="shared" si="646"/>
        <v>0</v>
      </c>
      <c r="DH879" s="313">
        <f t="shared" si="632"/>
        <v>0</v>
      </c>
      <c r="DI879" s="313">
        <f t="shared" si="633"/>
        <v>0</v>
      </c>
      <c r="DJ879" s="313">
        <f t="shared" si="634"/>
        <v>0</v>
      </c>
      <c r="DK879" s="313">
        <f t="shared" si="643"/>
        <v>0</v>
      </c>
      <c r="DL879" s="313">
        <f t="shared" si="635"/>
        <v>0</v>
      </c>
      <c r="DM879" s="314">
        <f t="shared" si="636"/>
        <v>0</v>
      </c>
      <c r="DN879" s="312">
        <f t="shared" si="637"/>
        <v>0</v>
      </c>
      <c r="DO879" s="312">
        <f t="shared" si="644"/>
        <v>0</v>
      </c>
      <c r="DP879" s="315" t="e">
        <f t="shared" si="629"/>
        <v>#NUM!</v>
      </c>
      <c r="DQ879" s="316">
        <f t="shared" si="638"/>
        <v>0</v>
      </c>
      <c r="DR879" s="316">
        <f t="shared" si="639"/>
        <v>0</v>
      </c>
      <c r="DS879" s="314">
        <f t="shared" si="640"/>
        <v>0</v>
      </c>
      <c r="DT879" s="316">
        <f t="shared" si="641"/>
        <v>0</v>
      </c>
      <c r="DU879" s="314">
        <f t="shared" si="630"/>
        <v>0</v>
      </c>
      <c r="DV879" s="316">
        <f t="shared" si="645"/>
        <v>0</v>
      </c>
      <c r="DW879" s="310">
        <f t="shared" si="631"/>
        <v>0</v>
      </c>
      <c r="FB879" s="307"/>
      <c r="FC879" s="307"/>
      <c r="FF879" s="307"/>
      <c r="FG879" s="307"/>
      <c r="FH879" s="306"/>
      <c r="FJ879" s="307"/>
      <c r="FK879" s="307"/>
      <c r="FL879" s="306"/>
      <c r="FM879" s="307"/>
      <c r="FN879" s="306"/>
      <c r="FO879" s="307"/>
      <c r="FP879" s="306"/>
    </row>
    <row r="880" spans="29:172">
      <c r="AC880" s="156"/>
      <c r="CW880" s="364"/>
      <c r="CX880" s="316"/>
      <c r="CY880" s="316"/>
      <c r="DA880" s="309">
        <v>879</v>
      </c>
      <c r="DB880" s="313">
        <f t="shared" si="625"/>
        <v>519.92983591999177</v>
      </c>
      <c r="DC880" s="309">
        <f t="shared" si="626"/>
        <v>4</v>
      </c>
      <c r="DD880" s="309">
        <f t="shared" si="627"/>
        <v>0</v>
      </c>
      <c r="DE880" s="308">
        <f t="shared" si="628"/>
        <v>0</v>
      </c>
      <c r="DF880" s="313">
        <f t="shared" si="642"/>
        <v>600</v>
      </c>
      <c r="DG880" s="313">
        <f t="shared" si="646"/>
        <v>0</v>
      </c>
      <c r="DH880" s="313">
        <f t="shared" si="632"/>
        <v>0</v>
      </c>
      <c r="DI880" s="313">
        <f t="shared" si="633"/>
        <v>0</v>
      </c>
      <c r="DJ880" s="313">
        <f t="shared" si="634"/>
        <v>0</v>
      </c>
      <c r="DK880" s="313">
        <f t="shared" si="643"/>
        <v>0</v>
      </c>
      <c r="DL880" s="313">
        <f t="shared" si="635"/>
        <v>0</v>
      </c>
      <c r="DM880" s="314">
        <f t="shared" si="636"/>
        <v>0</v>
      </c>
      <c r="DN880" s="312">
        <f t="shared" si="637"/>
        <v>0</v>
      </c>
      <c r="DO880" s="312">
        <f t="shared" si="644"/>
        <v>0</v>
      </c>
      <c r="DP880" s="315" t="e">
        <f t="shared" si="629"/>
        <v>#NUM!</v>
      </c>
      <c r="DQ880" s="316">
        <f t="shared" si="638"/>
        <v>0</v>
      </c>
      <c r="DR880" s="316">
        <f t="shared" si="639"/>
        <v>0</v>
      </c>
      <c r="DS880" s="314">
        <f t="shared" si="640"/>
        <v>0</v>
      </c>
      <c r="DT880" s="316">
        <f t="shared" si="641"/>
        <v>0</v>
      </c>
      <c r="DU880" s="314">
        <f t="shared" si="630"/>
        <v>0</v>
      </c>
      <c r="DV880" s="316">
        <f t="shared" si="645"/>
        <v>0</v>
      </c>
      <c r="DW880" s="310">
        <f t="shared" si="631"/>
        <v>0</v>
      </c>
      <c r="FB880" s="307"/>
      <c r="FC880" s="307"/>
      <c r="FF880" s="307"/>
      <c r="FG880" s="307"/>
      <c r="FH880" s="306"/>
      <c r="FJ880" s="307"/>
      <c r="FK880" s="307"/>
      <c r="FL880" s="306"/>
      <c r="FM880" s="307"/>
      <c r="FN880" s="306"/>
      <c r="FO880" s="307"/>
      <c r="FP880" s="306"/>
    </row>
    <row r="881" spans="29:172">
      <c r="AC881" s="156"/>
      <c r="CW881" s="364"/>
      <c r="CX881" s="316"/>
      <c r="CY881" s="316"/>
      <c r="DA881" s="309">
        <v>880</v>
      </c>
      <c r="DB881" s="313">
        <f t="shared" si="625"/>
        <v>520.29380615425805</v>
      </c>
      <c r="DC881" s="309">
        <f t="shared" si="626"/>
        <v>4</v>
      </c>
      <c r="DD881" s="309">
        <f t="shared" si="627"/>
        <v>0</v>
      </c>
      <c r="DE881" s="308">
        <f t="shared" si="628"/>
        <v>0</v>
      </c>
      <c r="DF881" s="313">
        <f t="shared" si="642"/>
        <v>600</v>
      </c>
      <c r="DG881" s="313">
        <f t="shared" si="646"/>
        <v>0</v>
      </c>
      <c r="DH881" s="313">
        <f t="shared" si="632"/>
        <v>0</v>
      </c>
      <c r="DI881" s="313">
        <f t="shared" si="633"/>
        <v>0</v>
      </c>
      <c r="DJ881" s="313">
        <f t="shared" si="634"/>
        <v>0</v>
      </c>
      <c r="DK881" s="313">
        <f t="shared" si="643"/>
        <v>0</v>
      </c>
      <c r="DL881" s="313">
        <f t="shared" si="635"/>
        <v>0</v>
      </c>
      <c r="DM881" s="314">
        <f t="shared" si="636"/>
        <v>0</v>
      </c>
      <c r="DN881" s="312">
        <f t="shared" si="637"/>
        <v>0</v>
      </c>
      <c r="DO881" s="312">
        <f t="shared" si="644"/>
        <v>0</v>
      </c>
      <c r="DP881" s="315" t="e">
        <f t="shared" si="629"/>
        <v>#NUM!</v>
      </c>
      <c r="DQ881" s="316">
        <f t="shared" si="638"/>
        <v>0</v>
      </c>
      <c r="DR881" s="316">
        <f t="shared" si="639"/>
        <v>0</v>
      </c>
      <c r="DS881" s="314">
        <f t="shared" si="640"/>
        <v>0</v>
      </c>
      <c r="DT881" s="316">
        <f t="shared" si="641"/>
        <v>0</v>
      </c>
      <c r="DU881" s="314">
        <f t="shared" si="630"/>
        <v>0</v>
      </c>
      <c r="DV881" s="316">
        <f t="shared" si="645"/>
        <v>0</v>
      </c>
      <c r="DW881" s="310">
        <f t="shared" si="631"/>
        <v>0</v>
      </c>
      <c r="FB881" s="307"/>
      <c r="FC881" s="307"/>
      <c r="FF881" s="307"/>
      <c r="FG881" s="307"/>
      <c r="FH881" s="306"/>
      <c r="FJ881" s="307"/>
      <c r="FK881" s="307"/>
      <c r="FL881" s="306"/>
      <c r="FM881" s="307"/>
      <c r="FN881" s="306"/>
      <c r="FO881" s="307"/>
      <c r="FP881" s="306"/>
    </row>
    <row r="882" spans="29:172">
      <c r="AC882" s="156"/>
      <c r="CW882" s="364"/>
      <c r="CX882" s="316"/>
      <c r="CY882" s="316"/>
      <c r="DA882" s="309">
        <v>881</v>
      </c>
      <c r="DB882" s="313">
        <f t="shared" si="625"/>
        <v>520.65777638852433</v>
      </c>
      <c r="DC882" s="309">
        <f t="shared" si="626"/>
        <v>4</v>
      </c>
      <c r="DD882" s="309">
        <f t="shared" si="627"/>
        <v>0</v>
      </c>
      <c r="DE882" s="308">
        <f t="shared" si="628"/>
        <v>0</v>
      </c>
      <c r="DF882" s="313">
        <f t="shared" si="642"/>
        <v>600</v>
      </c>
      <c r="DG882" s="313">
        <f t="shared" si="646"/>
        <v>0</v>
      </c>
      <c r="DH882" s="313">
        <f t="shared" si="632"/>
        <v>0</v>
      </c>
      <c r="DI882" s="313">
        <f t="shared" si="633"/>
        <v>0</v>
      </c>
      <c r="DJ882" s="313">
        <f t="shared" si="634"/>
        <v>0</v>
      </c>
      <c r="DK882" s="313">
        <f t="shared" si="643"/>
        <v>0</v>
      </c>
      <c r="DL882" s="313">
        <f t="shared" si="635"/>
        <v>0</v>
      </c>
      <c r="DM882" s="314">
        <f t="shared" si="636"/>
        <v>0</v>
      </c>
      <c r="DN882" s="312">
        <f t="shared" si="637"/>
        <v>0</v>
      </c>
      <c r="DO882" s="312">
        <f t="shared" si="644"/>
        <v>0</v>
      </c>
      <c r="DP882" s="315" t="e">
        <f t="shared" si="629"/>
        <v>#NUM!</v>
      </c>
      <c r="DQ882" s="316">
        <f t="shared" si="638"/>
        <v>0</v>
      </c>
      <c r="DR882" s="316">
        <f t="shared" si="639"/>
        <v>0</v>
      </c>
      <c r="DS882" s="314">
        <f t="shared" si="640"/>
        <v>0</v>
      </c>
      <c r="DT882" s="316">
        <f t="shared" si="641"/>
        <v>0</v>
      </c>
      <c r="DU882" s="314">
        <f t="shared" si="630"/>
        <v>0</v>
      </c>
      <c r="DV882" s="316">
        <f t="shared" si="645"/>
        <v>0</v>
      </c>
      <c r="DW882" s="310">
        <f t="shared" si="631"/>
        <v>0</v>
      </c>
      <c r="FB882" s="307"/>
      <c r="FC882" s="307"/>
      <c r="FF882" s="307"/>
      <c r="FG882" s="307"/>
      <c r="FH882" s="306"/>
      <c r="FJ882" s="307"/>
      <c r="FK882" s="307"/>
      <c r="FL882" s="306"/>
      <c r="FM882" s="307"/>
      <c r="FN882" s="306"/>
      <c r="FO882" s="307"/>
      <c r="FP882" s="306"/>
    </row>
    <row r="883" spans="29:172">
      <c r="AC883" s="156"/>
      <c r="CW883" s="364"/>
      <c r="CX883" s="316"/>
      <c r="CY883" s="316"/>
      <c r="DA883" s="309">
        <v>882</v>
      </c>
      <c r="DB883" s="313">
        <f t="shared" si="625"/>
        <v>521.02174662279049</v>
      </c>
      <c r="DC883" s="309">
        <f t="shared" si="626"/>
        <v>4</v>
      </c>
      <c r="DD883" s="309">
        <f t="shared" si="627"/>
        <v>0</v>
      </c>
      <c r="DE883" s="308">
        <f t="shared" si="628"/>
        <v>0</v>
      </c>
      <c r="DF883" s="313">
        <f t="shared" si="642"/>
        <v>600</v>
      </c>
      <c r="DG883" s="313">
        <f t="shared" si="646"/>
        <v>0</v>
      </c>
      <c r="DH883" s="313">
        <f t="shared" si="632"/>
        <v>0</v>
      </c>
      <c r="DI883" s="313">
        <f t="shared" si="633"/>
        <v>0</v>
      </c>
      <c r="DJ883" s="313">
        <f t="shared" si="634"/>
        <v>0</v>
      </c>
      <c r="DK883" s="313">
        <f t="shared" si="643"/>
        <v>0</v>
      </c>
      <c r="DL883" s="313">
        <f t="shared" si="635"/>
        <v>0</v>
      </c>
      <c r="DM883" s="314">
        <f t="shared" si="636"/>
        <v>0</v>
      </c>
      <c r="DN883" s="312">
        <f t="shared" si="637"/>
        <v>0</v>
      </c>
      <c r="DO883" s="312">
        <f t="shared" si="644"/>
        <v>0</v>
      </c>
      <c r="DP883" s="315" t="e">
        <f t="shared" si="629"/>
        <v>#NUM!</v>
      </c>
      <c r="DQ883" s="316">
        <f t="shared" si="638"/>
        <v>0</v>
      </c>
      <c r="DR883" s="316">
        <f t="shared" si="639"/>
        <v>0</v>
      </c>
      <c r="DS883" s="314">
        <f t="shared" si="640"/>
        <v>0</v>
      </c>
      <c r="DT883" s="316">
        <f t="shared" si="641"/>
        <v>0</v>
      </c>
      <c r="DU883" s="314">
        <f t="shared" si="630"/>
        <v>0</v>
      </c>
      <c r="DV883" s="316">
        <f t="shared" si="645"/>
        <v>0</v>
      </c>
      <c r="DW883" s="310">
        <f t="shared" si="631"/>
        <v>0</v>
      </c>
      <c r="FB883" s="307"/>
      <c r="FC883" s="307"/>
      <c r="FF883" s="307"/>
      <c r="FG883" s="307"/>
      <c r="FH883" s="306"/>
      <c r="FJ883" s="307"/>
      <c r="FK883" s="307"/>
      <c r="FL883" s="306"/>
      <c r="FM883" s="307"/>
      <c r="FN883" s="306"/>
      <c r="FO883" s="307"/>
      <c r="FP883" s="306"/>
    </row>
    <row r="884" spans="29:172">
      <c r="AC884" s="156"/>
      <c r="CW884" s="364"/>
      <c r="CX884" s="316"/>
      <c r="CY884" s="316"/>
      <c r="DA884" s="309">
        <v>883</v>
      </c>
      <c r="DB884" s="313">
        <f t="shared" si="625"/>
        <v>521.38571685705665</v>
      </c>
      <c r="DC884" s="309">
        <f t="shared" si="626"/>
        <v>4</v>
      </c>
      <c r="DD884" s="309">
        <f t="shared" si="627"/>
        <v>0</v>
      </c>
      <c r="DE884" s="308">
        <f t="shared" si="628"/>
        <v>0</v>
      </c>
      <c r="DF884" s="313">
        <f t="shared" si="642"/>
        <v>600</v>
      </c>
      <c r="DG884" s="313">
        <f t="shared" si="646"/>
        <v>0</v>
      </c>
      <c r="DH884" s="313">
        <f t="shared" si="632"/>
        <v>0</v>
      </c>
      <c r="DI884" s="313">
        <f t="shared" si="633"/>
        <v>0</v>
      </c>
      <c r="DJ884" s="313">
        <f t="shared" si="634"/>
        <v>0</v>
      </c>
      <c r="DK884" s="313">
        <f t="shared" si="643"/>
        <v>0</v>
      </c>
      <c r="DL884" s="313">
        <f t="shared" si="635"/>
        <v>0</v>
      </c>
      <c r="DM884" s="314">
        <f t="shared" si="636"/>
        <v>0</v>
      </c>
      <c r="DN884" s="312">
        <f t="shared" si="637"/>
        <v>0</v>
      </c>
      <c r="DO884" s="312">
        <f t="shared" si="644"/>
        <v>0</v>
      </c>
      <c r="DP884" s="315" t="e">
        <f t="shared" si="629"/>
        <v>#NUM!</v>
      </c>
      <c r="DQ884" s="316">
        <f t="shared" si="638"/>
        <v>0</v>
      </c>
      <c r="DR884" s="316">
        <f t="shared" si="639"/>
        <v>0</v>
      </c>
      <c r="DS884" s="314">
        <f t="shared" si="640"/>
        <v>0</v>
      </c>
      <c r="DT884" s="316">
        <f t="shared" si="641"/>
        <v>0</v>
      </c>
      <c r="DU884" s="314">
        <f t="shared" si="630"/>
        <v>0</v>
      </c>
      <c r="DV884" s="316">
        <f t="shared" si="645"/>
        <v>0</v>
      </c>
      <c r="DW884" s="310">
        <f t="shared" si="631"/>
        <v>0</v>
      </c>
      <c r="FB884" s="307"/>
      <c r="FC884" s="307"/>
      <c r="FF884" s="307"/>
      <c r="FG884" s="307"/>
      <c r="FH884" s="306"/>
      <c r="FJ884" s="307"/>
      <c r="FK884" s="307"/>
      <c r="FL884" s="306"/>
      <c r="FM884" s="307"/>
      <c r="FN884" s="306"/>
      <c r="FO884" s="307"/>
      <c r="FP884" s="306"/>
    </row>
    <row r="885" spans="29:172">
      <c r="AC885" s="156"/>
      <c r="CW885" s="364"/>
      <c r="CX885" s="316"/>
      <c r="CY885" s="316"/>
      <c r="DA885" s="309">
        <v>884</v>
      </c>
      <c r="DB885" s="313">
        <f t="shared" si="625"/>
        <v>521.74968709132281</v>
      </c>
      <c r="DC885" s="309">
        <f t="shared" si="626"/>
        <v>4</v>
      </c>
      <c r="DD885" s="309">
        <f t="shared" si="627"/>
        <v>0</v>
      </c>
      <c r="DE885" s="308">
        <f t="shared" si="628"/>
        <v>0</v>
      </c>
      <c r="DF885" s="313">
        <f t="shared" si="642"/>
        <v>600</v>
      </c>
      <c r="DG885" s="313">
        <f t="shared" si="646"/>
        <v>0</v>
      </c>
      <c r="DH885" s="313">
        <f t="shared" si="632"/>
        <v>0</v>
      </c>
      <c r="DI885" s="313">
        <f t="shared" si="633"/>
        <v>0</v>
      </c>
      <c r="DJ885" s="313">
        <f t="shared" si="634"/>
        <v>0</v>
      </c>
      <c r="DK885" s="313">
        <f t="shared" si="643"/>
        <v>0</v>
      </c>
      <c r="DL885" s="313">
        <f t="shared" si="635"/>
        <v>0</v>
      </c>
      <c r="DM885" s="314">
        <f t="shared" si="636"/>
        <v>0</v>
      </c>
      <c r="DN885" s="312">
        <f t="shared" si="637"/>
        <v>0</v>
      </c>
      <c r="DO885" s="312">
        <f t="shared" si="644"/>
        <v>0</v>
      </c>
      <c r="DP885" s="315" t="e">
        <f t="shared" si="629"/>
        <v>#NUM!</v>
      </c>
      <c r="DQ885" s="316">
        <f t="shared" si="638"/>
        <v>0</v>
      </c>
      <c r="DR885" s="316">
        <f t="shared" si="639"/>
        <v>0</v>
      </c>
      <c r="DS885" s="314">
        <f t="shared" si="640"/>
        <v>0</v>
      </c>
      <c r="DT885" s="316">
        <f t="shared" si="641"/>
        <v>0</v>
      </c>
      <c r="DU885" s="314">
        <f t="shared" si="630"/>
        <v>0</v>
      </c>
      <c r="DV885" s="316">
        <f t="shared" si="645"/>
        <v>0</v>
      </c>
      <c r="DW885" s="310">
        <f t="shared" si="631"/>
        <v>0</v>
      </c>
      <c r="FB885" s="307"/>
      <c r="FC885" s="307"/>
      <c r="FF885" s="307"/>
      <c r="FG885" s="307"/>
      <c r="FH885" s="306"/>
      <c r="FJ885" s="307"/>
      <c r="FK885" s="307"/>
      <c r="FL885" s="306"/>
      <c r="FM885" s="307"/>
      <c r="FN885" s="306"/>
      <c r="FO885" s="307"/>
      <c r="FP885" s="306"/>
    </row>
    <row r="886" spans="29:172">
      <c r="AC886" s="156"/>
      <c r="CW886" s="364"/>
      <c r="CX886" s="316"/>
      <c r="CY886" s="316"/>
      <c r="DA886" s="309">
        <v>885</v>
      </c>
      <c r="DB886" s="313">
        <f t="shared" si="625"/>
        <v>522.11365732558909</v>
      </c>
      <c r="DC886" s="309">
        <f t="shared" si="626"/>
        <v>4</v>
      </c>
      <c r="DD886" s="309">
        <f t="shared" si="627"/>
        <v>0</v>
      </c>
      <c r="DE886" s="308">
        <f t="shared" si="628"/>
        <v>0</v>
      </c>
      <c r="DF886" s="313">
        <f t="shared" si="642"/>
        <v>600</v>
      </c>
      <c r="DG886" s="313">
        <f t="shared" si="646"/>
        <v>0</v>
      </c>
      <c r="DH886" s="313">
        <f t="shared" si="632"/>
        <v>0</v>
      </c>
      <c r="DI886" s="313">
        <f t="shared" si="633"/>
        <v>0</v>
      </c>
      <c r="DJ886" s="313">
        <f t="shared" si="634"/>
        <v>0</v>
      </c>
      <c r="DK886" s="313">
        <f t="shared" si="643"/>
        <v>0</v>
      </c>
      <c r="DL886" s="313">
        <f t="shared" si="635"/>
        <v>0</v>
      </c>
      <c r="DM886" s="314">
        <f t="shared" si="636"/>
        <v>0</v>
      </c>
      <c r="DN886" s="312">
        <f t="shared" si="637"/>
        <v>0</v>
      </c>
      <c r="DO886" s="312">
        <f t="shared" si="644"/>
        <v>0</v>
      </c>
      <c r="DP886" s="315" t="e">
        <f t="shared" si="629"/>
        <v>#NUM!</v>
      </c>
      <c r="DQ886" s="316">
        <f t="shared" si="638"/>
        <v>0</v>
      </c>
      <c r="DR886" s="316">
        <f t="shared" si="639"/>
        <v>0</v>
      </c>
      <c r="DS886" s="314">
        <f t="shared" si="640"/>
        <v>0</v>
      </c>
      <c r="DT886" s="316">
        <f t="shared" si="641"/>
        <v>0</v>
      </c>
      <c r="DU886" s="314">
        <f t="shared" si="630"/>
        <v>0</v>
      </c>
      <c r="DV886" s="316">
        <f t="shared" si="645"/>
        <v>0</v>
      </c>
      <c r="DW886" s="310">
        <f t="shared" si="631"/>
        <v>0</v>
      </c>
      <c r="FB886" s="307"/>
      <c r="FC886" s="307"/>
      <c r="FF886" s="307"/>
      <c r="FG886" s="307"/>
      <c r="FH886" s="306"/>
      <c r="FJ886" s="307"/>
      <c r="FK886" s="307"/>
      <c r="FL886" s="306"/>
      <c r="FM886" s="307"/>
      <c r="FN886" s="306"/>
      <c r="FO886" s="307"/>
      <c r="FP886" s="306"/>
    </row>
    <row r="887" spans="29:172">
      <c r="AC887" s="156"/>
      <c r="CW887" s="364"/>
      <c r="CX887" s="316"/>
      <c r="CY887" s="316"/>
      <c r="DA887" s="309">
        <v>886</v>
      </c>
      <c r="DB887" s="313">
        <f t="shared" si="625"/>
        <v>522.47762755985525</v>
      </c>
      <c r="DC887" s="309">
        <f t="shared" si="626"/>
        <v>4</v>
      </c>
      <c r="DD887" s="309">
        <f t="shared" si="627"/>
        <v>0</v>
      </c>
      <c r="DE887" s="308">
        <f t="shared" si="628"/>
        <v>0</v>
      </c>
      <c r="DF887" s="313">
        <f t="shared" si="642"/>
        <v>600</v>
      </c>
      <c r="DG887" s="313">
        <f t="shared" si="646"/>
        <v>0</v>
      </c>
      <c r="DH887" s="313">
        <f t="shared" si="632"/>
        <v>0</v>
      </c>
      <c r="DI887" s="313">
        <f t="shared" si="633"/>
        <v>0</v>
      </c>
      <c r="DJ887" s="313">
        <f t="shared" si="634"/>
        <v>0</v>
      </c>
      <c r="DK887" s="313">
        <f t="shared" si="643"/>
        <v>0</v>
      </c>
      <c r="DL887" s="313">
        <f t="shared" si="635"/>
        <v>0</v>
      </c>
      <c r="DM887" s="314">
        <f t="shared" si="636"/>
        <v>0</v>
      </c>
      <c r="DN887" s="312">
        <f t="shared" si="637"/>
        <v>0</v>
      </c>
      <c r="DO887" s="312">
        <f t="shared" si="644"/>
        <v>0</v>
      </c>
      <c r="DP887" s="315" t="e">
        <f t="shared" si="629"/>
        <v>#NUM!</v>
      </c>
      <c r="DQ887" s="316">
        <f t="shared" si="638"/>
        <v>0</v>
      </c>
      <c r="DR887" s="316">
        <f t="shared" si="639"/>
        <v>0</v>
      </c>
      <c r="DS887" s="314">
        <f t="shared" si="640"/>
        <v>0</v>
      </c>
      <c r="DT887" s="316">
        <f t="shared" si="641"/>
        <v>0</v>
      </c>
      <c r="DU887" s="314">
        <f t="shared" si="630"/>
        <v>0</v>
      </c>
      <c r="DV887" s="316">
        <f t="shared" si="645"/>
        <v>0</v>
      </c>
      <c r="DW887" s="310">
        <f t="shared" si="631"/>
        <v>0</v>
      </c>
      <c r="FB887" s="307"/>
      <c r="FC887" s="307"/>
      <c r="FF887" s="307"/>
      <c r="FG887" s="307"/>
      <c r="FH887" s="306"/>
      <c r="FJ887" s="307"/>
      <c r="FK887" s="307"/>
      <c r="FL887" s="306"/>
      <c r="FM887" s="307"/>
      <c r="FN887" s="306"/>
      <c r="FO887" s="307"/>
      <c r="FP887" s="306"/>
    </row>
    <row r="888" spans="29:172">
      <c r="AC888" s="156"/>
      <c r="CW888" s="364"/>
      <c r="CX888" s="316"/>
      <c r="CY888" s="316"/>
      <c r="DA888" s="309">
        <v>887</v>
      </c>
      <c r="DB888" s="313">
        <f t="shared" si="625"/>
        <v>522.84159779412153</v>
      </c>
      <c r="DC888" s="309">
        <f t="shared" si="626"/>
        <v>4</v>
      </c>
      <c r="DD888" s="309">
        <f t="shared" si="627"/>
        <v>0</v>
      </c>
      <c r="DE888" s="308">
        <f t="shared" si="628"/>
        <v>0</v>
      </c>
      <c r="DF888" s="313">
        <f t="shared" si="642"/>
        <v>600</v>
      </c>
      <c r="DG888" s="313">
        <f t="shared" si="646"/>
        <v>0</v>
      </c>
      <c r="DH888" s="313">
        <f t="shared" si="632"/>
        <v>0</v>
      </c>
      <c r="DI888" s="313">
        <f t="shared" si="633"/>
        <v>0</v>
      </c>
      <c r="DJ888" s="313">
        <f t="shared" si="634"/>
        <v>0</v>
      </c>
      <c r="DK888" s="313">
        <f t="shared" si="643"/>
        <v>0</v>
      </c>
      <c r="DL888" s="313">
        <f t="shared" si="635"/>
        <v>0</v>
      </c>
      <c r="DM888" s="314">
        <f t="shared" si="636"/>
        <v>0</v>
      </c>
      <c r="DN888" s="312">
        <f t="shared" si="637"/>
        <v>0</v>
      </c>
      <c r="DO888" s="312">
        <f t="shared" si="644"/>
        <v>0</v>
      </c>
      <c r="DP888" s="315" t="e">
        <f t="shared" si="629"/>
        <v>#NUM!</v>
      </c>
      <c r="DQ888" s="316">
        <f t="shared" si="638"/>
        <v>0</v>
      </c>
      <c r="DR888" s="316">
        <f t="shared" si="639"/>
        <v>0</v>
      </c>
      <c r="DS888" s="314">
        <f t="shared" si="640"/>
        <v>0</v>
      </c>
      <c r="DT888" s="316">
        <f t="shared" si="641"/>
        <v>0</v>
      </c>
      <c r="DU888" s="314">
        <f t="shared" si="630"/>
        <v>0</v>
      </c>
      <c r="DV888" s="316">
        <f t="shared" si="645"/>
        <v>0</v>
      </c>
      <c r="DW888" s="310">
        <f t="shared" si="631"/>
        <v>0</v>
      </c>
      <c r="FB888" s="307"/>
      <c r="FC888" s="307"/>
      <c r="FF888" s="307"/>
      <c r="FG888" s="307"/>
      <c r="FH888" s="306"/>
      <c r="FJ888" s="307"/>
      <c r="FK888" s="307"/>
      <c r="FL888" s="306"/>
      <c r="FM888" s="307"/>
      <c r="FN888" s="306"/>
      <c r="FO888" s="307"/>
      <c r="FP888" s="306"/>
    </row>
    <row r="889" spans="29:172">
      <c r="AC889" s="156"/>
      <c r="CW889" s="364"/>
      <c r="CX889" s="316"/>
      <c r="CY889" s="316"/>
      <c r="DA889" s="309">
        <v>888</v>
      </c>
      <c r="DB889" s="313">
        <f t="shared" si="625"/>
        <v>523.20556802838769</v>
      </c>
      <c r="DC889" s="309">
        <f t="shared" si="626"/>
        <v>4</v>
      </c>
      <c r="DD889" s="309">
        <f t="shared" si="627"/>
        <v>0</v>
      </c>
      <c r="DE889" s="308">
        <f t="shared" si="628"/>
        <v>0</v>
      </c>
      <c r="DF889" s="313">
        <f t="shared" si="642"/>
        <v>600</v>
      </c>
      <c r="DG889" s="313">
        <f t="shared" si="646"/>
        <v>0</v>
      </c>
      <c r="DH889" s="313">
        <f t="shared" si="632"/>
        <v>0</v>
      </c>
      <c r="DI889" s="313">
        <f t="shared" si="633"/>
        <v>0</v>
      </c>
      <c r="DJ889" s="313">
        <f t="shared" si="634"/>
        <v>0</v>
      </c>
      <c r="DK889" s="313">
        <f t="shared" si="643"/>
        <v>0</v>
      </c>
      <c r="DL889" s="313">
        <f t="shared" si="635"/>
        <v>0</v>
      </c>
      <c r="DM889" s="314">
        <f t="shared" si="636"/>
        <v>0</v>
      </c>
      <c r="DN889" s="312">
        <f t="shared" si="637"/>
        <v>0</v>
      </c>
      <c r="DO889" s="312">
        <f t="shared" si="644"/>
        <v>0</v>
      </c>
      <c r="DP889" s="315" t="e">
        <f t="shared" si="629"/>
        <v>#NUM!</v>
      </c>
      <c r="DQ889" s="316">
        <f t="shared" si="638"/>
        <v>0</v>
      </c>
      <c r="DR889" s="316">
        <f t="shared" si="639"/>
        <v>0</v>
      </c>
      <c r="DS889" s="314">
        <f t="shared" si="640"/>
        <v>0</v>
      </c>
      <c r="DT889" s="316">
        <f t="shared" si="641"/>
        <v>0</v>
      </c>
      <c r="DU889" s="314">
        <f t="shared" si="630"/>
        <v>0</v>
      </c>
      <c r="DV889" s="316">
        <f t="shared" si="645"/>
        <v>0</v>
      </c>
      <c r="DW889" s="310">
        <f t="shared" si="631"/>
        <v>0</v>
      </c>
      <c r="FB889" s="307"/>
      <c r="FC889" s="307"/>
      <c r="FF889" s="307"/>
      <c r="FG889" s="307"/>
      <c r="FH889" s="306"/>
      <c r="FJ889" s="307"/>
      <c r="FK889" s="307"/>
      <c r="FL889" s="306"/>
      <c r="FM889" s="307"/>
      <c r="FN889" s="306"/>
      <c r="FO889" s="307"/>
      <c r="FP889" s="306"/>
    </row>
    <row r="890" spans="29:172">
      <c r="AC890" s="156"/>
      <c r="CW890" s="364"/>
      <c r="CX890" s="316"/>
      <c r="CY890" s="316"/>
      <c r="DA890" s="309">
        <v>889</v>
      </c>
      <c r="DB890" s="313">
        <f t="shared" si="625"/>
        <v>523.56953826265385</v>
      </c>
      <c r="DC890" s="309">
        <f t="shared" si="626"/>
        <v>4</v>
      </c>
      <c r="DD890" s="309">
        <f t="shared" si="627"/>
        <v>0</v>
      </c>
      <c r="DE890" s="308">
        <f t="shared" si="628"/>
        <v>0</v>
      </c>
      <c r="DF890" s="313">
        <f t="shared" si="642"/>
        <v>600</v>
      </c>
      <c r="DG890" s="313">
        <f t="shared" si="646"/>
        <v>0</v>
      </c>
      <c r="DH890" s="313">
        <f t="shared" si="632"/>
        <v>0</v>
      </c>
      <c r="DI890" s="313">
        <f t="shared" si="633"/>
        <v>0</v>
      </c>
      <c r="DJ890" s="313">
        <f t="shared" si="634"/>
        <v>0</v>
      </c>
      <c r="DK890" s="313">
        <f t="shared" si="643"/>
        <v>0</v>
      </c>
      <c r="DL890" s="313">
        <f t="shared" si="635"/>
        <v>0</v>
      </c>
      <c r="DM890" s="314">
        <f t="shared" si="636"/>
        <v>0</v>
      </c>
      <c r="DN890" s="312">
        <f t="shared" si="637"/>
        <v>0</v>
      </c>
      <c r="DO890" s="312">
        <f t="shared" si="644"/>
        <v>0</v>
      </c>
      <c r="DP890" s="315" t="e">
        <f t="shared" si="629"/>
        <v>#NUM!</v>
      </c>
      <c r="DQ890" s="316">
        <f t="shared" si="638"/>
        <v>0</v>
      </c>
      <c r="DR890" s="316">
        <f t="shared" si="639"/>
        <v>0</v>
      </c>
      <c r="DS890" s="314">
        <f t="shared" si="640"/>
        <v>0</v>
      </c>
      <c r="DT890" s="316">
        <f t="shared" si="641"/>
        <v>0</v>
      </c>
      <c r="DU890" s="314">
        <f t="shared" si="630"/>
        <v>0</v>
      </c>
      <c r="DV890" s="316">
        <f t="shared" si="645"/>
        <v>0</v>
      </c>
      <c r="DW890" s="310">
        <f t="shared" si="631"/>
        <v>0</v>
      </c>
      <c r="FB890" s="307"/>
      <c r="FC890" s="307"/>
      <c r="FF890" s="307"/>
      <c r="FG890" s="307"/>
      <c r="FH890" s="306"/>
      <c r="FJ890" s="307"/>
      <c r="FK890" s="307"/>
      <c r="FL890" s="306"/>
      <c r="FM890" s="307"/>
      <c r="FN890" s="306"/>
      <c r="FO890" s="307"/>
      <c r="FP890" s="306"/>
    </row>
    <row r="891" spans="29:172">
      <c r="AC891" s="156"/>
      <c r="CW891" s="364"/>
      <c r="CX891" s="316"/>
      <c r="CY891" s="316"/>
      <c r="DA891" s="309">
        <v>890</v>
      </c>
      <c r="DB891" s="313">
        <f t="shared" si="625"/>
        <v>523.93350849692001</v>
      </c>
      <c r="DC891" s="309">
        <f t="shared" si="626"/>
        <v>4</v>
      </c>
      <c r="DD891" s="309">
        <f t="shared" si="627"/>
        <v>0</v>
      </c>
      <c r="DE891" s="308">
        <f t="shared" si="628"/>
        <v>0</v>
      </c>
      <c r="DF891" s="313">
        <f t="shared" si="642"/>
        <v>600</v>
      </c>
      <c r="DG891" s="313">
        <f t="shared" si="646"/>
        <v>0</v>
      </c>
      <c r="DH891" s="313">
        <f t="shared" si="632"/>
        <v>0</v>
      </c>
      <c r="DI891" s="313">
        <f t="shared" si="633"/>
        <v>0</v>
      </c>
      <c r="DJ891" s="313">
        <f t="shared" si="634"/>
        <v>0</v>
      </c>
      <c r="DK891" s="313">
        <f t="shared" si="643"/>
        <v>0</v>
      </c>
      <c r="DL891" s="313">
        <f t="shared" si="635"/>
        <v>0</v>
      </c>
      <c r="DM891" s="314">
        <f t="shared" si="636"/>
        <v>0</v>
      </c>
      <c r="DN891" s="312">
        <f t="shared" si="637"/>
        <v>0</v>
      </c>
      <c r="DO891" s="312">
        <f t="shared" si="644"/>
        <v>0</v>
      </c>
      <c r="DP891" s="315" t="e">
        <f t="shared" si="629"/>
        <v>#NUM!</v>
      </c>
      <c r="DQ891" s="316">
        <f t="shared" si="638"/>
        <v>0</v>
      </c>
      <c r="DR891" s="316">
        <f t="shared" si="639"/>
        <v>0</v>
      </c>
      <c r="DS891" s="314">
        <f t="shared" si="640"/>
        <v>0</v>
      </c>
      <c r="DT891" s="316">
        <f t="shared" si="641"/>
        <v>0</v>
      </c>
      <c r="DU891" s="314">
        <f t="shared" si="630"/>
        <v>0</v>
      </c>
      <c r="DV891" s="316">
        <f t="shared" si="645"/>
        <v>0</v>
      </c>
      <c r="DW891" s="310">
        <f t="shared" si="631"/>
        <v>0</v>
      </c>
      <c r="FB891" s="307"/>
      <c r="FC891" s="307"/>
      <c r="FF891" s="307"/>
      <c r="FG891" s="307"/>
      <c r="FH891" s="306"/>
      <c r="FJ891" s="307"/>
      <c r="FK891" s="307"/>
      <c r="FL891" s="306"/>
      <c r="FM891" s="307"/>
      <c r="FN891" s="306"/>
      <c r="FO891" s="307"/>
      <c r="FP891" s="306"/>
    </row>
    <row r="892" spans="29:172">
      <c r="AC892" s="156"/>
      <c r="CW892" s="364"/>
      <c r="CX892" s="316"/>
      <c r="CY892" s="316"/>
      <c r="DA892" s="309">
        <v>891</v>
      </c>
      <c r="DB892" s="313">
        <f t="shared" si="625"/>
        <v>524.29747873118629</v>
      </c>
      <c r="DC892" s="309">
        <f t="shared" si="626"/>
        <v>4</v>
      </c>
      <c r="DD892" s="309">
        <f t="shared" si="627"/>
        <v>0</v>
      </c>
      <c r="DE892" s="308">
        <f t="shared" si="628"/>
        <v>0</v>
      </c>
      <c r="DF892" s="313">
        <f t="shared" si="642"/>
        <v>600</v>
      </c>
      <c r="DG892" s="313">
        <f t="shared" si="646"/>
        <v>0</v>
      </c>
      <c r="DH892" s="313">
        <f t="shared" si="632"/>
        <v>0</v>
      </c>
      <c r="DI892" s="313">
        <f t="shared" si="633"/>
        <v>0</v>
      </c>
      <c r="DJ892" s="313">
        <f t="shared" si="634"/>
        <v>0</v>
      </c>
      <c r="DK892" s="313">
        <f t="shared" si="643"/>
        <v>0</v>
      </c>
      <c r="DL892" s="313">
        <f t="shared" si="635"/>
        <v>0</v>
      </c>
      <c r="DM892" s="314">
        <f t="shared" si="636"/>
        <v>0</v>
      </c>
      <c r="DN892" s="312">
        <f t="shared" si="637"/>
        <v>0</v>
      </c>
      <c r="DO892" s="312">
        <f t="shared" si="644"/>
        <v>0</v>
      </c>
      <c r="DP892" s="315" t="e">
        <f t="shared" si="629"/>
        <v>#NUM!</v>
      </c>
      <c r="DQ892" s="316">
        <f t="shared" si="638"/>
        <v>0</v>
      </c>
      <c r="DR892" s="316">
        <f t="shared" si="639"/>
        <v>0</v>
      </c>
      <c r="DS892" s="314">
        <f t="shared" si="640"/>
        <v>0</v>
      </c>
      <c r="DT892" s="316">
        <f t="shared" si="641"/>
        <v>0</v>
      </c>
      <c r="DU892" s="314">
        <f t="shared" si="630"/>
        <v>0</v>
      </c>
      <c r="DV892" s="316">
        <f t="shared" si="645"/>
        <v>0</v>
      </c>
      <c r="DW892" s="310">
        <f t="shared" si="631"/>
        <v>0</v>
      </c>
      <c r="FB892" s="307"/>
      <c r="FC892" s="307"/>
      <c r="FF892" s="307"/>
      <c r="FG892" s="307"/>
      <c r="FH892" s="306"/>
      <c r="FJ892" s="307"/>
      <c r="FK892" s="307"/>
      <c r="FL892" s="306"/>
      <c r="FM892" s="307"/>
      <c r="FN892" s="306"/>
      <c r="FO892" s="307"/>
      <c r="FP892" s="306"/>
    </row>
    <row r="893" spans="29:172">
      <c r="AC893" s="156"/>
      <c r="CW893" s="364"/>
      <c r="CX893" s="316"/>
      <c r="CY893" s="316"/>
      <c r="DA893" s="309">
        <v>892</v>
      </c>
      <c r="DB893" s="313">
        <f t="shared" si="625"/>
        <v>524.66144896545256</v>
      </c>
      <c r="DC893" s="309">
        <f t="shared" si="626"/>
        <v>4</v>
      </c>
      <c r="DD893" s="309">
        <f t="shared" si="627"/>
        <v>0</v>
      </c>
      <c r="DE893" s="308">
        <f t="shared" si="628"/>
        <v>0</v>
      </c>
      <c r="DF893" s="313">
        <f t="shared" si="642"/>
        <v>600</v>
      </c>
      <c r="DG893" s="313">
        <f t="shared" si="646"/>
        <v>0</v>
      </c>
      <c r="DH893" s="313">
        <f t="shared" si="632"/>
        <v>0</v>
      </c>
      <c r="DI893" s="313">
        <f t="shared" si="633"/>
        <v>0</v>
      </c>
      <c r="DJ893" s="313">
        <f t="shared" si="634"/>
        <v>0</v>
      </c>
      <c r="DK893" s="313">
        <f t="shared" si="643"/>
        <v>0</v>
      </c>
      <c r="DL893" s="313">
        <f t="shared" si="635"/>
        <v>0</v>
      </c>
      <c r="DM893" s="314">
        <f t="shared" si="636"/>
        <v>0</v>
      </c>
      <c r="DN893" s="312">
        <f t="shared" si="637"/>
        <v>0</v>
      </c>
      <c r="DO893" s="312">
        <f t="shared" si="644"/>
        <v>0</v>
      </c>
      <c r="DP893" s="315" t="e">
        <f t="shared" si="629"/>
        <v>#NUM!</v>
      </c>
      <c r="DQ893" s="316">
        <f t="shared" si="638"/>
        <v>0</v>
      </c>
      <c r="DR893" s="316">
        <f t="shared" si="639"/>
        <v>0</v>
      </c>
      <c r="DS893" s="314">
        <f t="shared" si="640"/>
        <v>0</v>
      </c>
      <c r="DT893" s="316">
        <f t="shared" si="641"/>
        <v>0</v>
      </c>
      <c r="DU893" s="314">
        <f t="shared" si="630"/>
        <v>0</v>
      </c>
      <c r="DV893" s="316">
        <f t="shared" si="645"/>
        <v>0</v>
      </c>
      <c r="DW893" s="310">
        <f t="shared" si="631"/>
        <v>0</v>
      </c>
      <c r="FB893" s="307"/>
      <c r="FC893" s="307"/>
      <c r="FF893" s="307"/>
      <c r="FG893" s="307"/>
      <c r="FH893" s="306"/>
      <c r="FJ893" s="307"/>
      <c r="FK893" s="307"/>
      <c r="FL893" s="306"/>
      <c r="FM893" s="307"/>
      <c r="FN893" s="306"/>
      <c r="FO893" s="307"/>
      <c r="FP893" s="306"/>
    </row>
    <row r="894" spans="29:172">
      <c r="AC894" s="156"/>
      <c r="CW894" s="364"/>
      <c r="CX894" s="316"/>
      <c r="CY894" s="316"/>
      <c r="DA894" s="309">
        <v>893</v>
      </c>
      <c r="DB894" s="313">
        <f t="shared" si="625"/>
        <v>525.02541919971873</v>
      </c>
      <c r="DC894" s="309">
        <f t="shared" si="626"/>
        <v>4</v>
      </c>
      <c r="DD894" s="309">
        <f t="shared" si="627"/>
        <v>0</v>
      </c>
      <c r="DE894" s="308">
        <f t="shared" si="628"/>
        <v>0</v>
      </c>
      <c r="DF894" s="313">
        <f t="shared" si="642"/>
        <v>600</v>
      </c>
      <c r="DG894" s="313">
        <f t="shared" si="646"/>
        <v>0</v>
      </c>
      <c r="DH894" s="313">
        <f t="shared" si="632"/>
        <v>0</v>
      </c>
      <c r="DI894" s="313">
        <f t="shared" si="633"/>
        <v>0</v>
      </c>
      <c r="DJ894" s="313">
        <f t="shared" si="634"/>
        <v>0</v>
      </c>
      <c r="DK894" s="313">
        <f t="shared" si="643"/>
        <v>0</v>
      </c>
      <c r="DL894" s="313">
        <f t="shared" si="635"/>
        <v>0</v>
      </c>
      <c r="DM894" s="314">
        <f t="shared" si="636"/>
        <v>0</v>
      </c>
      <c r="DN894" s="312">
        <f t="shared" si="637"/>
        <v>0</v>
      </c>
      <c r="DO894" s="312">
        <f t="shared" si="644"/>
        <v>0</v>
      </c>
      <c r="DP894" s="315" t="e">
        <f t="shared" si="629"/>
        <v>#NUM!</v>
      </c>
      <c r="DQ894" s="316">
        <f t="shared" si="638"/>
        <v>0</v>
      </c>
      <c r="DR894" s="316">
        <f t="shared" si="639"/>
        <v>0</v>
      </c>
      <c r="DS894" s="314">
        <f t="shared" si="640"/>
        <v>0</v>
      </c>
      <c r="DT894" s="316">
        <f t="shared" si="641"/>
        <v>0</v>
      </c>
      <c r="DU894" s="314">
        <f t="shared" si="630"/>
        <v>0</v>
      </c>
      <c r="DV894" s="316">
        <f t="shared" si="645"/>
        <v>0</v>
      </c>
      <c r="DW894" s="310">
        <f t="shared" si="631"/>
        <v>0</v>
      </c>
      <c r="FB894" s="307"/>
      <c r="FC894" s="307"/>
      <c r="FF894" s="307"/>
      <c r="FG894" s="307"/>
      <c r="FH894" s="306"/>
      <c r="FJ894" s="307"/>
      <c r="FK894" s="307"/>
      <c r="FL894" s="306"/>
      <c r="FM894" s="307"/>
      <c r="FN894" s="306"/>
      <c r="FO894" s="307"/>
      <c r="FP894" s="306"/>
    </row>
    <row r="895" spans="29:172">
      <c r="AC895" s="156"/>
      <c r="CW895" s="364"/>
      <c r="CX895" s="316"/>
      <c r="CY895" s="316"/>
      <c r="DA895" s="309">
        <v>894</v>
      </c>
      <c r="DB895" s="313">
        <f t="shared" si="625"/>
        <v>525.38938943398489</v>
      </c>
      <c r="DC895" s="309">
        <f t="shared" si="626"/>
        <v>4</v>
      </c>
      <c r="DD895" s="309">
        <f t="shared" si="627"/>
        <v>0</v>
      </c>
      <c r="DE895" s="308">
        <f t="shared" si="628"/>
        <v>0</v>
      </c>
      <c r="DF895" s="313">
        <f t="shared" si="642"/>
        <v>600</v>
      </c>
      <c r="DG895" s="313">
        <f t="shared" si="646"/>
        <v>0</v>
      </c>
      <c r="DH895" s="313">
        <f t="shared" si="632"/>
        <v>0</v>
      </c>
      <c r="DI895" s="313">
        <f t="shared" si="633"/>
        <v>0</v>
      </c>
      <c r="DJ895" s="313">
        <f t="shared" si="634"/>
        <v>0</v>
      </c>
      <c r="DK895" s="313">
        <f t="shared" si="643"/>
        <v>0</v>
      </c>
      <c r="DL895" s="313">
        <f t="shared" si="635"/>
        <v>0</v>
      </c>
      <c r="DM895" s="314">
        <f t="shared" si="636"/>
        <v>0</v>
      </c>
      <c r="DN895" s="312">
        <f t="shared" si="637"/>
        <v>0</v>
      </c>
      <c r="DO895" s="312">
        <f t="shared" si="644"/>
        <v>0</v>
      </c>
      <c r="DP895" s="315" t="e">
        <f t="shared" si="629"/>
        <v>#NUM!</v>
      </c>
      <c r="DQ895" s="316">
        <f t="shared" si="638"/>
        <v>0</v>
      </c>
      <c r="DR895" s="316">
        <f t="shared" si="639"/>
        <v>0</v>
      </c>
      <c r="DS895" s="314">
        <f t="shared" si="640"/>
        <v>0</v>
      </c>
      <c r="DT895" s="316">
        <f t="shared" si="641"/>
        <v>0</v>
      </c>
      <c r="DU895" s="314">
        <f t="shared" si="630"/>
        <v>0</v>
      </c>
      <c r="DV895" s="316">
        <f t="shared" si="645"/>
        <v>0</v>
      </c>
      <c r="DW895" s="310">
        <f t="shared" si="631"/>
        <v>0</v>
      </c>
      <c r="FB895" s="307"/>
      <c r="FC895" s="307"/>
      <c r="FF895" s="307"/>
      <c r="FG895" s="307"/>
      <c r="FH895" s="306"/>
      <c r="FJ895" s="307"/>
      <c r="FK895" s="307"/>
      <c r="FL895" s="306"/>
      <c r="FM895" s="307"/>
      <c r="FN895" s="306"/>
      <c r="FO895" s="307"/>
      <c r="FP895" s="306"/>
    </row>
    <row r="896" spans="29:172">
      <c r="AC896" s="156"/>
      <c r="CW896" s="364"/>
      <c r="CX896" s="316"/>
      <c r="CY896" s="316"/>
      <c r="DA896" s="309">
        <v>895</v>
      </c>
      <c r="DB896" s="313">
        <f t="shared" si="625"/>
        <v>525.75335966825105</v>
      </c>
      <c r="DC896" s="309">
        <f t="shared" si="626"/>
        <v>4</v>
      </c>
      <c r="DD896" s="309">
        <f t="shared" si="627"/>
        <v>0</v>
      </c>
      <c r="DE896" s="308">
        <f t="shared" si="628"/>
        <v>0</v>
      </c>
      <c r="DF896" s="313">
        <f t="shared" si="642"/>
        <v>600</v>
      </c>
      <c r="DG896" s="313">
        <f t="shared" si="646"/>
        <v>0</v>
      </c>
      <c r="DH896" s="313">
        <f t="shared" si="632"/>
        <v>0</v>
      </c>
      <c r="DI896" s="313">
        <f t="shared" si="633"/>
        <v>0</v>
      </c>
      <c r="DJ896" s="313">
        <f t="shared" si="634"/>
        <v>0</v>
      </c>
      <c r="DK896" s="313">
        <f t="shared" si="643"/>
        <v>0</v>
      </c>
      <c r="DL896" s="313">
        <f t="shared" si="635"/>
        <v>0</v>
      </c>
      <c r="DM896" s="314">
        <f t="shared" si="636"/>
        <v>0</v>
      </c>
      <c r="DN896" s="312">
        <f t="shared" si="637"/>
        <v>0</v>
      </c>
      <c r="DO896" s="312">
        <f t="shared" si="644"/>
        <v>0</v>
      </c>
      <c r="DP896" s="315" t="e">
        <f t="shared" si="629"/>
        <v>#NUM!</v>
      </c>
      <c r="DQ896" s="316">
        <f t="shared" si="638"/>
        <v>0</v>
      </c>
      <c r="DR896" s="316">
        <f t="shared" si="639"/>
        <v>0</v>
      </c>
      <c r="DS896" s="314">
        <f t="shared" si="640"/>
        <v>0</v>
      </c>
      <c r="DT896" s="316">
        <f t="shared" si="641"/>
        <v>0</v>
      </c>
      <c r="DU896" s="314">
        <f t="shared" si="630"/>
        <v>0</v>
      </c>
      <c r="DV896" s="316">
        <f t="shared" si="645"/>
        <v>0</v>
      </c>
      <c r="DW896" s="310">
        <f t="shared" si="631"/>
        <v>0</v>
      </c>
      <c r="FB896" s="307"/>
      <c r="FC896" s="307"/>
      <c r="FF896" s="307"/>
      <c r="FG896" s="307"/>
      <c r="FH896" s="306"/>
      <c r="FJ896" s="307"/>
      <c r="FK896" s="307"/>
      <c r="FL896" s="306"/>
      <c r="FM896" s="307"/>
      <c r="FN896" s="306"/>
      <c r="FO896" s="307"/>
      <c r="FP896" s="306"/>
    </row>
    <row r="897" spans="29:172">
      <c r="AC897" s="156"/>
      <c r="CW897" s="364"/>
      <c r="CX897" s="316"/>
      <c r="CY897" s="316"/>
      <c r="DA897" s="309">
        <v>896</v>
      </c>
      <c r="DB897" s="313">
        <f t="shared" si="625"/>
        <v>526.11732990251733</v>
      </c>
      <c r="DC897" s="309">
        <f t="shared" si="626"/>
        <v>4</v>
      </c>
      <c r="DD897" s="309">
        <f t="shared" si="627"/>
        <v>0</v>
      </c>
      <c r="DE897" s="308">
        <f t="shared" si="628"/>
        <v>0</v>
      </c>
      <c r="DF897" s="313">
        <f t="shared" si="642"/>
        <v>600</v>
      </c>
      <c r="DG897" s="313">
        <f t="shared" si="646"/>
        <v>0</v>
      </c>
      <c r="DH897" s="313">
        <f t="shared" si="632"/>
        <v>0</v>
      </c>
      <c r="DI897" s="313">
        <f t="shared" si="633"/>
        <v>0</v>
      </c>
      <c r="DJ897" s="313">
        <f t="shared" si="634"/>
        <v>0</v>
      </c>
      <c r="DK897" s="313">
        <f t="shared" si="643"/>
        <v>0</v>
      </c>
      <c r="DL897" s="313">
        <f t="shared" si="635"/>
        <v>0</v>
      </c>
      <c r="DM897" s="314">
        <f t="shared" si="636"/>
        <v>0</v>
      </c>
      <c r="DN897" s="312">
        <f t="shared" si="637"/>
        <v>0</v>
      </c>
      <c r="DO897" s="312">
        <f t="shared" si="644"/>
        <v>0</v>
      </c>
      <c r="DP897" s="315" t="e">
        <f t="shared" si="629"/>
        <v>#NUM!</v>
      </c>
      <c r="DQ897" s="316">
        <f t="shared" si="638"/>
        <v>0</v>
      </c>
      <c r="DR897" s="316">
        <f t="shared" si="639"/>
        <v>0</v>
      </c>
      <c r="DS897" s="314">
        <f t="shared" si="640"/>
        <v>0</v>
      </c>
      <c r="DT897" s="316">
        <f t="shared" si="641"/>
        <v>0</v>
      </c>
      <c r="DU897" s="314">
        <f t="shared" si="630"/>
        <v>0</v>
      </c>
      <c r="DV897" s="316">
        <f t="shared" si="645"/>
        <v>0</v>
      </c>
      <c r="DW897" s="310">
        <f t="shared" si="631"/>
        <v>0</v>
      </c>
      <c r="FB897" s="307"/>
      <c r="FC897" s="307"/>
      <c r="FF897" s="307"/>
      <c r="FG897" s="307"/>
      <c r="FH897" s="306"/>
      <c r="FJ897" s="307"/>
      <c r="FK897" s="307"/>
      <c r="FL897" s="306"/>
      <c r="FM897" s="307"/>
      <c r="FN897" s="306"/>
      <c r="FO897" s="307"/>
      <c r="FP897" s="306"/>
    </row>
    <row r="898" spans="29:172">
      <c r="AC898" s="156"/>
      <c r="CW898" s="364"/>
      <c r="CX898" s="316"/>
      <c r="CY898" s="316"/>
      <c r="DA898" s="309">
        <v>897</v>
      </c>
      <c r="DB898" s="313">
        <f t="shared" ref="DB898:DB961" si="647">start+DA898*tanO</f>
        <v>526.48130013678349</v>
      </c>
      <c r="DC898" s="309">
        <f t="shared" ref="DC898:DC961" si="648">IF(DA898&lt;edge_width,1,IF(DA898&lt;mid_width,2,IF(DA898&lt;=tot_width,3,4)))</f>
        <v>4</v>
      </c>
      <c r="DD898" s="309">
        <f t="shared" ref="DD898:DD961" si="649">CHOOSE(DC898,edge_thick,second_thick,core_thick,0)</f>
        <v>0</v>
      </c>
      <c r="DE898" s="308">
        <f t="shared" ref="DE898:DE961" si="650">CHOOSE(DC898,edge_k,second_k,core_k,0)</f>
        <v>0</v>
      </c>
      <c r="DF898" s="313">
        <f t="shared" si="642"/>
        <v>600</v>
      </c>
      <c r="DG898" s="313">
        <f t="shared" si="646"/>
        <v>0</v>
      </c>
      <c r="DH898" s="313">
        <f t="shared" si="632"/>
        <v>0</v>
      </c>
      <c r="DI898" s="313">
        <f t="shared" si="633"/>
        <v>0</v>
      </c>
      <c r="DJ898" s="313">
        <f t="shared" si="634"/>
        <v>0</v>
      </c>
      <c r="DK898" s="313">
        <f t="shared" si="643"/>
        <v>0</v>
      </c>
      <c r="DL898" s="313">
        <f t="shared" si="635"/>
        <v>0</v>
      </c>
      <c r="DM898" s="314">
        <f t="shared" si="636"/>
        <v>0</v>
      </c>
      <c r="DN898" s="312">
        <f t="shared" si="637"/>
        <v>0</v>
      </c>
      <c r="DO898" s="312">
        <f t="shared" si="644"/>
        <v>0</v>
      </c>
      <c r="DP898" s="315" t="e">
        <f t="shared" ref="DP898:DP961" si="651">DE898*DO898^CHOOSE(DC898,mult1,mult2,mult3,0)</f>
        <v>#NUM!</v>
      </c>
      <c r="DQ898" s="316">
        <f t="shared" si="638"/>
        <v>0</v>
      </c>
      <c r="DR898" s="316">
        <f t="shared" si="639"/>
        <v>0</v>
      </c>
      <c r="DS898" s="314">
        <f t="shared" si="640"/>
        <v>0</v>
      </c>
      <c r="DT898" s="316">
        <f t="shared" si="641"/>
        <v>0</v>
      </c>
      <c r="DU898" s="314">
        <f t="shared" ref="DU898:DU961" si="652">IF(DC898&lt;&gt;4,CHOOSE(DC898,DA898/DT898,(DA898-edge_width+1)/DT898,(DA898-mid_width+1)/DT898),0)</f>
        <v>0</v>
      </c>
      <c r="DV898" s="316">
        <f t="shared" si="645"/>
        <v>0</v>
      </c>
      <c r="DW898" s="310">
        <f t="shared" ref="DW898:DW961" si="653">IF(DC898&lt;&gt;4,(tot_width-DA898+1)/DV898,0)</f>
        <v>0</v>
      </c>
      <c r="FB898" s="307"/>
      <c r="FC898" s="307"/>
      <c r="FF898" s="307"/>
      <c r="FG898" s="307"/>
      <c r="FH898" s="306"/>
      <c r="FJ898" s="307"/>
      <c r="FK898" s="307"/>
      <c r="FL898" s="306"/>
      <c r="FM898" s="307"/>
      <c r="FN898" s="306"/>
      <c r="FO898" s="307"/>
      <c r="FP898" s="306"/>
    </row>
    <row r="899" spans="29:172">
      <c r="AC899" s="156"/>
      <c r="CW899" s="364"/>
      <c r="CX899" s="316"/>
      <c r="CY899" s="316"/>
      <c r="DA899" s="309">
        <v>898</v>
      </c>
      <c r="DB899" s="313">
        <f t="shared" si="647"/>
        <v>526.84527037104976</v>
      </c>
      <c r="DC899" s="309">
        <f t="shared" si="648"/>
        <v>4</v>
      </c>
      <c r="DD899" s="309">
        <f t="shared" si="649"/>
        <v>0</v>
      </c>
      <c r="DE899" s="308">
        <f t="shared" si="650"/>
        <v>0</v>
      </c>
      <c r="DF899" s="313">
        <f t="shared" si="642"/>
        <v>600</v>
      </c>
      <c r="DG899" s="313">
        <f t="shared" si="646"/>
        <v>0</v>
      </c>
      <c r="DH899" s="313">
        <f t="shared" ref="DH899:DH962" si="654">IF(DC899=1,DG899,0)</f>
        <v>0</v>
      </c>
      <c r="DI899" s="313">
        <f t="shared" ref="DI899:DI962" si="655">IF(DC899=2,DG899,0)</f>
        <v>0</v>
      </c>
      <c r="DJ899" s="313">
        <f t="shared" ref="DJ899:DJ962" si="656">IF(DC899=3,DG899,0)</f>
        <v>0</v>
      </c>
      <c r="DK899" s="313">
        <f t="shared" si="643"/>
        <v>0</v>
      </c>
      <c r="DL899" s="313">
        <f t="shared" ref="DL899:DL962" si="657">IF(DC899&lt;4,DL900+DG899,0)</f>
        <v>0</v>
      </c>
      <c r="DM899" s="314">
        <f t="shared" ref="DM899:DM962" si="658">IF($DC899&lt;&gt;4,IF($DA899=edge_width,$CY$2,IF($DA899=mid_width,$CY$3,1-DO899+DM898)),0)</f>
        <v>0</v>
      </c>
      <c r="DN899" s="312">
        <f t="shared" ref="DN899:DN962" si="659">IF(DC899&lt;&gt;4,CHOOSE(DC899,DM899/DA899,DM899/(DA899-edge_width+1),DM899/(DA899-mid_width+1)),0)</f>
        <v>0</v>
      </c>
      <c r="DO899" s="312">
        <f t="shared" si="644"/>
        <v>0</v>
      </c>
      <c r="DP899" s="315" t="e">
        <f t="shared" si="651"/>
        <v>#NUM!</v>
      </c>
      <c r="DQ899" s="316">
        <f t="shared" ref="DQ899:DQ962" si="660">IF(AND(DC899&lt;&gt;4,DG899&lt;&gt;0),1000*DP899/DG899,0)</f>
        <v>0</v>
      </c>
      <c r="DR899" s="316">
        <f t="shared" ref="DR899:DR962" si="661">IF(DC899&lt;&gt;4,DR898+DQ899,0)</f>
        <v>0</v>
      </c>
      <c r="DS899" s="314">
        <f t="shared" ref="DS899:DS962" si="662">IF(AND(DC899&lt;&gt;4,DR899&lt;&gt;0),DA899/DR899,0)</f>
        <v>0</v>
      </c>
      <c r="DT899" s="316">
        <f t="shared" ref="DT899:DT962" si="663">IF(DC899&lt;&gt;4,IF(DA899=edge_width,$CY$4,IF(DA899=mid_width,$CY$5,DQ899+DT898)),0)</f>
        <v>0</v>
      </c>
      <c r="DU899" s="314">
        <f t="shared" si="652"/>
        <v>0</v>
      </c>
      <c r="DV899" s="316">
        <f t="shared" si="645"/>
        <v>0</v>
      </c>
      <c r="DW899" s="310">
        <f t="shared" si="653"/>
        <v>0</v>
      </c>
      <c r="FB899" s="307"/>
      <c r="FC899" s="307"/>
      <c r="FF899" s="307"/>
      <c r="FG899" s="307"/>
      <c r="FH899" s="306"/>
      <c r="FJ899" s="307"/>
      <c r="FK899" s="307"/>
      <c r="FL899" s="306"/>
      <c r="FM899" s="307"/>
      <c r="FN899" s="306"/>
      <c r="FO899" s="307"/>
      <c r="FP899" s="306"/>
    </row>
    <row r="900" spans="29:172">
      <c r="AC900" s="156"/>
      <c r="CW900" s="364"/>
      <c r="CX900" s="316"/>
      <c r="CY900" s="316"/>
      <c r="DA900" s="309">
        <v>899</v>
      </c>
      <c r="DB900" s="313">
        <f t="shared" si="647"/>
        <v>527.20924060531593</v>
      </c>
      <c r="DC900" s="309">
        <f t="shared" si="648"/>
        <v>4</v>
      </c>
      <c r="DD900" s="309">
        <f t="shared" si="649"/>
        <v>0</v>
      </c>
      <c r="DE900" s="308">
        <f t="shared" si="650"/>
        <v>0</v>
      </c>
      <c r="DF900" s="313">
        <f t="shared" ref="DF900:DF963" si="664">IF(DC900&lt;4,DF899+1,DF899)</f>
        <v>600</v>
      </c>
      <c r="DG900" s="313">
        <f t="shared" si="646"/>
        <v>0</v>
      </c>
      <c r="DH900" s="313">
        <f t="shared" si="654"/>
        <v>0</v>
      </c>
      <c r="DI900" s="313">
        <f t="shared" si="655"/>
        <v>0</v>
      </c>
      <c r="DJ900" s="313">
        <f t="shared" si="656"/>
        <v>0</v>
      </c>
      <c r="DK900" s="313">
        <f t="shared" ref="DK900:DK963" si="665">IF(DC900&lt;4,DK899+DG900,0)</f>
        <v>0</v>
      </c>
      <c r="DL900" s="313">
        <f t="shared" si="657"/>
        <v>0</v>
      </c>
      <c r="DM900" s="314">
        <f t="shared" si="658"/>
        <v>0</v>
      </c>
      <c r="DN900" s="312">
        <f t="shared" si="659"/>
        <v>0</v>
      </c>
      <c r="DO900" s="312">
        <f t="shared" ref="DO900:DO963" si="666">IF(AND(DC900&lt;&gt;4,DD900&lt;&gt;0),DG900/DD900,0)</f>
        <v>0</v>
      </c>
      <c r="DP900" s="315" t="e">
        <f t="shared" si="651"/>
        <v>#NUM!</v>
      </c>
      <c r="DQ900" s="316">
        <f t="shared" si="660"/>
        <v>0</v>
      </c>
      <c r="DR900" s="316">
        <f t="shared" si="661"/>
        <v>0</v>
      </c>
      <c r="DS900" s="314">
        <f t="shared" si="662"/>
        <v>0</v>
      </c>
      <c r="DT900" s="316">
        <f t="shared" si="663"/>
        <v>0</v>
      </c>
      <c r="DU900" s="314">
        <f t="shared" si="652"/>
        <v>0</v>
      </c>
      <c r="DV900" s="316">
        <f t="shared" ref="DV900:DV963" si="667">DV901+DQ900</f>
        <v>0</v>
      </c>
      <c r="DW900" s="310">
        <f t="shared" si="653"/>
        <v>0</v>
      </c>
      <c r="FB900" s="307"/>
      <c r="FC900" s="307"/>
      <c r="FF900" s="307"/>
      <c r="FG900" s="307"/>
      <c r="FH900" s="306"/>
      <c r="FJ900" s="307"/>
      <c r="FK900" s="307"/>
      <c r="FL900" s="306"/>
      <c r="FM900" s="307"/>
      <c r="FN900" s="306"/>
      <c r="FO900" s="307"/>
      <c r="FP900" s="306"/>
    </row>
    <row r="901" spans="29:172">
      <c r="AC901" s="156"/>
      <c r="CW901" s="364"/>
      <c r="CX901" s="316"/>
      <c r="CY901" s="316"/>
      <c r="DA901" s="309">
        <v>900</v>
      </c>
      <c r="DB901" s="313">
        <f t="shared" si="647"/>
        <v>527.57321083958209</v>
      </c>
      <c r="DC901" s="309">
        <f t="shared" si="648"/>
        <v>4</v>
      </c>
      <c r="DD901" s="309">
        <f t="shared" si="649"/>
        <v>0</v>
      </c>
      <c r="DE901" s="308">
        <f t="shared" si="650"/>
        <v>0</v>
      </c>
      <c r="DF901" s="313">
        <f t="shared" si="664"/>
        <v>600</v>
      </c>
      <c r="DG901" s="313">
        <f t="shared" si="646"/>
        <v>0</v>
      </c>
      <c r="DH901" s="313">
        <f t="shared" si="654"/>
        <v>0</v>
      </c>
      <c r="DI901" s="313">
        <f t="shared" si="655"/>
        <v>0</v>
      </c>
      <c r="DJ901" s="313">
        <f t="shared" si="656"/>
        <v>0</v>
      </c>
      <c r="DK901" s="313">
        <f t="shared" si="665"/>
        <v>0</v>
      </c>
      <c r="DL901" s="313">
        <f t="shared" si="657"/>
        <v>0</v>
      </c>
      <c r="DM901" s="314">
        <f t="shared" si="658"/>
        <v>0</v>
      </c>
      <c r="DN901" s="312">
        <f t="shared" si="659"/>
        <v>0</v>
      </c>
      <c r="DO901" s="312">
        <f t="shared" si="666"/>
        <v>0</v>
      </c>
      <c r="DP901" s="315" t="e">
        <f t="shared" si="651"/>
        <v>#NUM!</v>
      </c>
      <c r="DQ901" s="316">
        <f t="shared" si="660"/>
        <v>0</v>
      </c>
      <c r="DR901" s="316">
        <f t="shared" si="661"/>
        <v>0</v>
      </c>
      <c r="DS901" s="314">
        <f t="shared" si="662"/>
        <v>0</v>
      </c>
      <c r="DT901" s="316">
        <f t="shared" si="663"/>
        <v>0</v>
      </c>
      <c r="DU901" s="314">
        <f t="shared" si="652"/>
        <v>0</v>
      </c>
      <c r="DV901" s="316">
        <f t="shared" si="667"/>
        <v>0</v>
      </c>
      <c r="DW901" s="310">
        <f t="shared" si="653"/>
        <v>0</v>
      </c>
      <c r="FB901" s="307"/>
      <c r="FC901" s="307"/>
      <c r="FF901" s="307"/>
      <c r="FG901" s="307"/>
      <c r="FH901" s="306"/>
      <c r="FJ901" s="307"/>
      <c r="FK901" s="307"/>
      <c r="FL901" s="306"/>
      <c r="FM901" s="307"/>
      <c r="FN901" s="306"/>
      <c r="FO901" s="307"/>
      <c r="FP901" s="306"/>
    </row>
    <row r="902" spans="29:172">
      <c r="AC902" s="156"/>
      <c r="CW902" s="364"/>
      <c r="CX902" s="316"/>
      <c r="CY902" s="316"/>
      <c r="DA902" s="309">
        <v>901</v>
      </c>
      <c r="DB902" s="313">
        <f t="shared" si="647"/>
        <v>527.93718107384825</v>
      </c>
      <c r="DC902" s="309">
        <f t="shared" si="648"/>
        <v>4</v>
      </c>
      <c r="DD902" s="309">
        <f t="shared" si="649"/>
        <v>0</v>
      </c>
      <c r="DE902" s="308">
        <f t="shared" si="650"/>
        <v>0</v>
      </c>
      <c r="DF902" s="313">
        <f t="shared" si="664"/>
        <v>600</v>
      </c>
      <c r="DG902" s="313">
        <f t="shared" si="646"/>
        <v>0</v>
      </c>
      <c r="DH902" s="313">
        <f t="shared" si="654"/>
        <v>0</v>
      </c>
      <c r="DI902" s="313">
        <f t="shared" si="655"/>
        <v>0</v>
      </c>
      <c r="DJ902" s="313">
        <f t="shared" si="656"/>
        <v>0</v>
      </c>
      <c r="DK902" s="313">
        <f t="shared" si="665"/>
        <v>0</v>
      </c>
      <c r="DL902" s="313">
        <f t="shared" si="657"/>
        <v>0</v>
      </c>
      <c r="DM902" s="314">
        <f t="shared" si="658"/>
        <v>0</v>
      </c>
      <c r="DN902" s="312">
        <f t="shared" si="659"/>
        <v>0</v>
      </c>
      <c r="DO902" s="312">
        <f t="shared" si="666"/>
        <v>0</v>
      </c>
      <c r="DP902" s="315" t="e">
        <f t="shared" si="651"/>
        <v>#NUM!</v>
      </c>
      <c r="DQ902" s="316">
        <f t="shared" si="660"/>
        <v>0</v>
      </c>
      <c r="DR902" s="316">
        <f t="shared" si="661"/>
        <v>0</v>
      </c>
      <c r="DS902" s="314">
        <f t="shared" si="662"/>
        <v>0</v>
      </c>
      <c r="DT902" s="316">
        <f t="shared" si="663"/>
        <v>0</v>
      </c>
      <c r="DU902" s="314">
        <f t="shared" si="652"/>
        <v>0</v>
      </c>
      <c r="DV902" s="316">
        <f t="shared" si="667"/>
        <v>0</v>
      </c>
      <c r="DW902" s="310">
        <f t="shared" si="653"/>
        <v>0</v>
      </c>
      <c r="FB902" s="307"/>
      <c r="FC902" s="307"/>
      <c r="FF902" s="307"/>
      <c r="FG902" s="307"/>
      <c r="FH902" s="306"/>
      <c r="FJ902" s="307"/>
      <c r="FK902" s="307"/>
      <c r="FL902" s="306"/>
      <c r="FM902" s="307"/>
      <c r="FN902" s="306"/>
      <c r="FO902" s="307"/>
      <c r="FP902" s="306"/>
    </row>
    <row r="903" spans="29:172">
      <c r="AC903" s="156"/>
      <c r="CW903" s="364"/>
      <c r="CX903" s="316"/>
      <c r="CY903" s="316"/>
      <c r="DA903" s="309">
        <v>902</v>
      </c>
      <c r="DB903" s="313">
        <f t="shared" si="647"/>
        <v>528.30115130811453</v>
      </c>
      <c r="DC903" s="309">
        <f t="shared" si="648"/>
        <v>4</v>
      </c>
      <c r="DD903" s="309">
        <f t="shared" si="649"/>
        <v>0</v>
      </c>
      <c r="DE903" s="308">
        <f t="shared" si="650"/>
        <v>0</v>
      </c>
      <c r="DF903" s="313">
        <f t="shared" si="664"/>
        <v>600</v>
      </c>
      <c r="DG903" s="313">
        <f t="shared" si="646"/>
        <v>0</v>
      </c>
      <c r="DH903" s="313">
        <f t="shared" si="654"/>
        <v>0</v>
      </c>
      <c r="DI903" s="313">
        <f t="shared" si="655"/>
        <v>0</v>
      </c>
      <c r="DJ903" s="313">
        <f t="shared" si="656"/>
        <v>0</v>
      </c>
      <c r="DK903" s="313">
        <f t="shared" si="665"/>
        <v>0</v>
      </c>
      <c r="DL903" s="313">
        <f t="shared" si="657"/>
        <v>0</v>
      </c>
      <c r="DM903" s="314">
        <f t="shared" si="658"/>
        <v>0</v>
      </c>
      <c r="DN903" s="312">
        <f t="shared" si="659"/>
        <v>0</v>
      </c>
      <c r="DO903" s="312">
        <f t="shared" si="666"/>
        <v>0</v>
      </c>
      <c r="DP903" s="315" t="e">
        <f t="shared" si="651"/>
        <v>#NUM!</v>
      </c>
      <c r="DQ903" s="316">
        <f t="shared" si="660"/>
        <v>0</v>
      </c>
      <c r="DR903" s="316">
        <f t="shared" si="661"/>
        <v>0</v>
      </c>
      <c r="DS903" s="314">
        <f t="shared" si="662"/>
        <v>0</v>
      </c>
      <c r="DT903" s="316">
        <f t="shared" si="663"/>
        <v>0</v>
      </c>
      <c r="DU903" s="314">
        <f t="shared" si="652"/>
        <v>0</v>
      </c>
      <c r="DV903" s="316">
        <f t="shared" si="667"/>
        <v>0</v>
      </c>
      <c r="DW903" s="310">
        <f t="shared" si="653"/>
        <v>0</v>
      </c>
      <c r="FB903" s="307"/>
      <c r="FC903" s="307"/>
      <c r="FF903" s="307"/>
      <c r="FG903" s="307"/>
      <c r="FH903" s="306"/>
      <c r="FJ903" s="307"/>
      <c r="FK903" s="307"/>
      <c r="FL903" s="306"/>
      <c r="FM903" s="307"/>
      <c r="FN903" s="306"/>
      <c r="FO903" s="307"/>
      <c r="FP903" s="306"/>
    </row>
    <row r="904" spans="29:172">
      <c r="AC904" s="156"/>
      <c r="CW904" s="364"/>
      <c r="CX904" s="316"/>
      <c r="CY904" s="316"/>
      <c r="DA904" s="309">
        <v>903</v>
      </c>
      <c r="DB904" s="313">
        <f t="shared" si="647"/>
        <v>528.66512154238069</v>
      </c>
      <c r="DC904" s="309">
        <f t="shared" si="648"/>
        <v>4</v>
      </c>
      <c r="DD904" s="309">
        <f t="shared" si="649"/>
        <v>0</v>
      </c>
      <c r="DE904" s="308">
        <f t="shared" si="650"/>
        <v>0</v>
      </c>
      <c r="DF904" s="313">
        <f t="shared" si="664"/>
        <v>600</v>
      </c>
      <c r="DG904" s="313">
        <f t="shared" si="646"/>
        <v>0</v>
      </c>
      <c r="DH904" s="313">
        <f t="shared" si="654"/>
        <v>0</v>
      </c>
      <c r="DI904" s="313">
        <f t="shared" si="655"/>
        <v>0</v>
      </c>
      <c r="DJ904" s="313">
        <f t="shared" si="656"/>
        <v>0</v>
      </c>
      <c r="DK904" s="313">
        <f t="shared" si="665"/>
        <v>0</v>
      </c>
      <c r="DL904" s="313">
        <f t="shared" si="657"/>
        <v>0</v>
      </c>
      <c r="DM904" s="314">
        <f t="shared" si="658"/>
        <v>0</v>
      </c>
      <c r="DN904" s="312">
        <f t="shared" si="659"/>
        <v>0</v>
      </c>
      <c r="DO904" s="312">
        <f t="shared" si="666"/>
        <v>0</v>
      </c>
      <c r="DP904" s="315" t="e">
        <f t="shared" si="651"/>
        <v>#NUM!</v>
      </c>
      <c r="DQ904" s="316">
        <f t="shared" si="660"/>
        <v>0</v>
      </c>
      <c r="DR904" s="316">
        <f t="shared" si="661"/>
        <v>0</v>
      </c>
      <c r="DS904" s="314">
        <f t="shared" si="662"/>
        <v>0</v>
      </c>
      <c r="DT904" s="316">
        <f t="shared" si="663"/>
        <v>0</v>
      </c>
      <c r="DU904" s="314">
        <f t="shared" si="652"/>
        <v>0</v>
      </c>
      <c r="DV904" s="316">
        <f t="shared" si="667"/>
        <v>0</v>
      </c>
      <c r="DW904" s="310">
        <f t="shared" si="653"/>
        <v>0</v>
      </c>
      <c r="FB904" s="307"/>
      <c r="FC904" s="307"/>
      <c r="FF904" s="307"/>
      <c r="FG904" s="307"/>
      <c r="FH904" s="306"/>
      <c r="FJ904" s="307"/>
      <c r="FK904" s="307"/>
      <c r="FL904" s="306"/>
      <c r="FM904" s="307"/>
      <c r="FN904" s="306"/>
      <c r="FO904" s="307"/>
      <c r="FP904" s="306"/>
    </row>
    <row r="905" spans="29:172">
      <c r="AC905" s="156"/>
      <c r="CW905" s="364"/>
      <c r="CX905" s="316"/>
      <c r="CY905" s="316"/>
      <c r="DA905" s="309">
        <v>904</v>
      </c>
      <c r="DB905" s="313">
        <f t="shared" si="647"/>
        <v>529.02909177664696</v>
      </c>
      <c r="DC905" s="309">
        <f t="shared" si="648"/>
        <v>4</v>
      </c>
      <c r="DD905" s="309">
        <f t="shared" si="649"/>
        <v>0</v>
      </c>
      <c r="DE905" s="308">
        <f t="shared" si="650"/>
        <v>0</v>
      </c>
      <c r="DF905" s="313">
        <f t="shared" si="664"/>
        <v>600</v>
      </c>
      <c r="DG905" s="313">
        <f t="shared" si="646"/>
        <v>0</v>
      </c>
      <c r="DH905" s="313">
        <f t="shared" si="654"/>
        <v>0</v>
      </c>
      <c r="DI905" s="313">
        <f t="shared" si="655"/>
        <v>0</v>
      </c>
      <c r="DJ905" s="313">
        <f t="shared" si="656"/>
        <v>0</v>
      </c>
      <c r="DK905" s="313">
        <f t="shared" si="665"/>
        <v>0</v>
      </c>
      <c r="DL905" s="313">
        <f t="shared" si="657"/>
        <v>0</v>
      </c>
      <c r="DM905" s="314">
        <f t="shared" si="658"/>
        <v>0</v>
      </c>
      <c r="DN905" s="312">
        <f t="shared" si="659"/>
        <v>0</v>
      </c>
      <c r="DO905" s="312">
        <f t="shared" si="666"/>
        <v>0</v>
      </c>
      <c r="DP905" s="315" t="e">
        <f t="shared" si="651"/>
        <v>#NUM!</v>
      </c>
      <c r="DQ905" s="316">
        <f t="shared" si="660"/>
        <v>0</v>
      </c>
      <c r="DR905" s="316">
        <f t="shared" si="661"/>
        <v>0</v>
      </c>
      <c r="DS905" s="314">
        <f t="shared" si="662"/>
        <v>0</v>
      </c>
      <c r="DT905" s="316">
        <f t="shared" si="663"/>
        <v>0</v>
      </c>
      <c r="DU905" s="314">
        <f t="shared" si="652"/>
        <v>0</v>
      </c>
      <c r="DV905" s="316">
        <f t="shared" si="667"/>
        <v>0</v>
      </c>
      <c r="DW905" s="310">
        <f t="shared" si="653"/>
        <v>0</v>
      </c>
      <c r="FB905" s="307"/>
      <c r="FC905" s="307"/>
      <c r="FF905" s="307"/>
      <c r="FG905" s="307"/>
      <c r="FH905" s="306"/>
      <c r="FJ905" s="307"/>
      <c r="FK905" s="307"/>
      <c r="FL905" s="306"/>
      <c r="FM905" s="307"/>
      <c r="FN905" s="306"/>
      <c r="FO905" s="307"/>
      <c r="FP905" s="306"/>
    </row>
    <row r="906" spans="29:172">
      <c r="AC906" s="156"/>
      <c r="CW906" s="364"/>
      <c r="CX906" s="316"/>
      <c r="CY906" s="316"/>
      <c r="DA906" s="309">
        <v>905</v>
      </c>
      <c r="DB906" s="313">
        <f t="shared" si="647"/>
        <v>529.39306201091313</v>
      </c>
      <c r="DC906" s="309">
        <f t="shared" si="648"/>
        <v>4</v>
      </c>
      <c r="DD906" s="309">
        <f t="shared" si="649"/>
        <v>0</v>
      </c>
      <c r="DE906" s="308">
        <f t="shared" si="650"/>
        <v>0</v>
      </c>
      <c r="DF906" s="313">
        <f t="shared" si="664"/>
        <v>600</v>
      </c>
      <c r="DG906" s="313">
        <f t="shared" si="646"/>
        <v>0</v>
      </c>
      <c r="DH906" s="313">
        <f t="shared" si="654"/>
        <v>0</v>
      </c>
      <c r="DI906" s="313">
        <f t="shared" si="655"/>
        <v>0</v>
      </c>
      <c r="DJ906" s="313">
        <f t="shared" si="656"/>
        <v>0</v>
      </c>
      <c r="DK906" s="313">
        <f t="shared" si="665"/>
        <v>0</v>
      </c>
      <c r="DL906" s="313">
        <f t="shared" si="657"/>
        <v>0</v>
      </c>
      <c r="DM906" s="314">
        <f t="shared" si="658"/>
        <v>0</v>
      </c>
      <c r="DN906" s="312">
        <f t="shared" si="659"/>
        <v>0</v>
      </c>
      <c r="DO906" s="312">
        <f t="shared" si="666"/>
        <v>0</v>
      </c>
      <c r="DP906" s="315" t="e">
        <f t="shared" si="651"/>
        <v>#NUM!</v>
      </c>
      <c r="DQ906" s="316">
        <f t="shared" si="660"/>
        <v>0</v>
      </c>
      <c r="DR906" s="316">
        <f t="shared" si="661"/>
        <v>0</v>
      </c>
      <c r="DS906" s="314">
        <f t="shared" si="662"/>
        <v>0</v>
      </c>
      <c r="DT906" s="316">
        <f t="shared" si="663"/>
        <v>0</v>
      </c>
      <c r="DU906" s="314">
        <f t="shared" si="652"/>
        <v>0</v>
      </c>
      <c r="DV906" s="316">
        <f t="shared" si="667"/>
        <v>0</v>
      </c>
      <c r="DW906" s="310">
        <f t="shared" si="653"/>
        <v>0</v>
      </c>
      <c r="FB906" s="307"/>
      <c r="FC906" s="307"/>
      <c r="FF906" s="307"/>
      <c r="FG906" s="307"/>
      <c r="FH906" s="306"/>
      <c r="FJ906" s="307"/>
      <c r="FK906" s="307"/>
      <c r="FL906" s="306"/>
      <c r="FM906" s="307"/>
      <c r="FN906" s="306"/>
      <c r="FO906" s="307"/>
      <c r="FP906" s="306"/>
    </row>
    <row r="907" spans="29:172">
      <c r="AC907" s="156"/>
      <c r="CW907" s="364"/>
      <c r="CX907" s="316"/>
      <c r="CY907" s="316"/>
      <c r="DA907" s="309">
        <v>906</v>
      </c>
      <c r="DB907" s="313">
        <f t="shared" si="647"/>
        <v>529.75703224517929</v>
      </c>
      <c r="DC907" s="309">
        <f t="shared" si="648"/>
        <v>4</v>
      </c>
      <c r="DD907" s="309">
        <f t="shared" si="649"/>
        <v>0</v>
      </c>
      <c r="DE907" s="308">
        <f t="shared" si="650"/>
        <v>0</v>
      </c>
      <c r="DF907" s="313">
        <f t="shared" si="664"/>
        <v>600</v>
      </c>
      <c r="DG907" s="313">
        <f t="shared" si="646"/>
        <v>0</v>
      </c>
      <c r="DH907" s="313">
        <f t="shared" si="654"/>
        <v>0</v>
      </c>
      <c r="DI907" s="313">
        <f t="shared" si="655"/>
        <v>0</v>
      </c>
      <c r="DJ907" s="313">
        <f t="shared" si="656"/>
        <v>0</v>
      </c>
      <c r="DK907" s="313">
        <f t="shared" si="665"/>
        <v>0</v>
      </c>
      <c r="DL907" s="313">
        <f t="shared" si="657"/>
        <v>0</v>
      </c>
      <c r="DM907" s="314">
        <f t="shared" si="658"/>
        <v>0</v>
      </c>
      <c r="DN907" s="312">
        <f t="shared" si="659"/>
        <v>0</v>
      </c>
      <c r="DO907" s="312">
        <f t="shared" si="666"/>
        <v>0</v>
      </c>
      <c r="DP907" s="315" t="e">
        <f t="shared" si="651"/>
        <v>#NUM!</v>
      </c>
      <c r="DQ907" s="316">
        <f t="shared" si="660"/>
        <v>0</v>
      </c>
      <c r="DR907" s="316">
        <f t="shared" si="661"/>
        <v>0</v>
      </c>
      <c r="DS907" s="314">
        <f t="shared" si="662"/>
        <v>0</v>
      </c>
      <c r="DT907" s="316">
        <f t="shared" si="663"/>
        <v>0</v>
      </c>
      <c r="DU907" s="314">
        <f t="shared" si="652"/>
        <v>0</v>
      </c>
      <c r="DV907" s="316">
        <f t="shared" si="667"/>
        <v>0</v>
      </c>
      <c r="DW907" s="310">
        <f t="shared" si="653"/>
        <v>0</v>
      </c>
      <c r="FB907" s="307"/>
      <c r="FC907" s="307"/>
      <c r="FF907" s="307"/>
      <c r="FG907" s="307"/>
      <c r="FH907" s="306"/>
      <c r="FJ907" s="307"/>
      <c r="FK907" s="307"/>
      <c r="FL907" s="306"/>
      <c r="FM907" s="307"/>
      <c r="FN907" s="306"/>
      <c r="FO907" s="307"/>
      <c r="FP907" s="306"/>
    </row>
    <row r="908" spans="29:172">
      <c r="AC908" s="156"/>
      <c r="CW908" s="364"/>
      <c r="CX908" s="316"/>
      <c r="CY908" s="316"/>
      <c r="DA908" s="309">
        <v>907</v>
      </c>
      <c r="DB908" s="313">
        <f t="shared" si="647"/>
        <v>530.12100247944545</v>
      </c>
      <c r="DC908" s="309">
        <f t="shared" si="648"/>
        <v>4</v>
      </c>
      <c r="DD908" s="309">
        <f t="shared" si="649"/>
        <v>0</v>
      </c>
      <c r="DE908" s="308">
        <f t="shared" si="650"/>
        <v>0</v>
      </c>
      <c r="DF908" s="313">
        <f t="shared" si="664"/>
        <v>600</v>
      </c>
      <c r="DG908" s="313">
        <f t="shared" si="646"/>
        <v>0</v>
      </c>
      <c r="DH908" s="313">
        <f t="shared" si="654"/>
        <v>0</v>
      </c>
      <c r="DI908" s="313">
        <f t="shared" si="655"/>
        <v>0</v>
      </c>
      <c r="DJ908" s="313">
        <f t="shared" si="656"/>
        <v>0</v>
      </c>
      <c r="DK908" s="313">
        <f t="shared" si="665"/>
        <v>0</v>
      </c>
      <c r="DL908" s="313">
        <f t="shared" si="657"/>
        <v>0</v>
      </c>
      <c r="DM908" s="314">
        <f t="shared" si="658"/>
        <v>0</v>
      </c>
      <c r="DN908" s="312">
        <f t="shared" si="659"/>
        <v>0</v>
      </c>
      <c r="DO908" s="312">
        <f t="shared" si="666"/>
        <v>0</v>
      </c>
      <c r="DP908" s="315" t="e">
        <f t="shared" si="651"/>
        <v>#NUM!</v>
      </c>
      <c r="DQ908" s="316">
        <f t="shared" si="660"/>
        <v>0</v>
      </c>
      <c r="DR908" s="316">
        <f t="shared" si="661"/>
        <v>0</v>
      </c>
      <c r="DS908" s="314">
        <f t="shared" si="662"/>
        <v>0</v>
      </c>
      <c r="DT908" s="316">
        <f t="shared" si="663"/>
        <v>0</v>
      </c>
      <c r="DU908" s="314">
        <f t="shared" si="652"/>
        <v>0</v>
      </c>
      <c r="DV908" s="316">
        <f t="shared" si="667"/>
        <v>0</v>
      </c>
      <c r="DW908" s="310">
        <f t="shared" si="653"/>
        <v>0</v>
      </c>
      <c r="FB908" s="307"/>
      <c r="FC908" s="307"/>
      <c r="FF908" s="307"/>
      <c r="FG908" s="307"/>
      <c r="FH908" s="306"/>
      <c r="FJ908" s="307"/>
      <c r="FK908" s="307"/>
      <c r="FL908" s="306"/>
      <c r="FM908" s="307"/>
      <c r="FN908" s="306"/>
      <c r="FO908" s="307"/>
      <c r="FP908" s="306"/>
    </row>
    <row r="909" spans="29:172">
      <c r="AC909" s="156"/>
      <c r="CW909" s="364"/>
      <c r="CX909" s="316"/>
      <c r="CY909" s="316"/>
      <c r="DA909" s="309">
        <v>908</v>
      </c>
      <c r="DB909" s="313">
        <f t="shared" si="647"/>
        <v>530.48497271371173</v>
      </c>
      <c r="DC909" s="309">
        <f t="shared" si="648"/>
        <v>4</v>
      </c>
      <c r="DD909" s="309">
        <f t="shared" si="649"/>
        <v>0</v>
      </c>
      <c r="DE909" s="308">
        <f t="shared" si="650"/>
        <v>0</v>
      </c>
      <c r="DF909" s="313">
        <f t="shared" si="664"/>
        <v>600</v>
      </c>
      <c r="DG909" s="313">
        <f t="shared" si="646"/>
        <v>0</v>
      </c>
      <c r="DH909" s="313">
        <f t="shared" si="654"/>
        <v>0</v>
      </c>
      <c r="DI909" s="313">
        <f t="shared" si="655"/>
        <v>0</v>
      </c>
      <c r="DJ909" s="313">
        <f t="shared" si="656"/>
        <v>0</v>
      </c>
      <c r="DK909" s="313">
        <f t="shared" si="665"/>
        <v>0</v>
      </c>
      <c r="DL909" s="313">
        <f t="shared" si="657"/>
        <v>0</v>
      </c>
      <c r="DM909" s="314">
        <f t="shared" si="658"/>
        <v>0</v>
      </c>
      <c r="DN909" s="312">
        <f t="shared" si="659"/>
        <v>0</v>
      </c>
      <c r="DO909" s="312">
        <f t="shared" si="666"/>
        <v>0</v>
      </c>
      <c r="DP909" s="315" t="e">
        <f t="shared" si="651"/>
        <v>#NUM!</v>
      </c>
      <c r="DQ909" s="316">
        <f t="shared" si="660"/>
        <v>0</v>
      </c>
      <c r="DR909" s="316">
        <f t="shared" si="661"/>
        <v>0</v>
      </c>
      <c r="DS909" s="314">
        <f t="shared" si="662"/>
        <v>0</v>
      </c>
      <c r="DT909" s="316">
        <f t="shared" si="663"/>
        <v>0</v>
      </c>
      <c r="DU909" s="314">
        <f t="shared" si="652"/>
        <v>0</v>
      </c>
      <c r="DV909" s="316">
        <f t="shared" si="667"/>
        <v>0</v>
      </c>
      <c r="DW909" s="310">
        <f t="shared" si="653"/>
        <v>0</v>
      </c>
      <c r="FB909" s="307"/>
      <c r="FC909" s="307"/>
      <c r="FF909" s="307"/>
      <c r="FG909" s="307"/>
      <c r="FH909" s="306"/>
      <c r="FJ909" s="307"/>
      <c r="FK909" s="307"/>
      <c r="FL909" s="306"/>
      <c r="FM909" s="307"/>
      <c r="FN909" s="306"/>
      <c r="FO909" s="307"/>
      <c r="FP909" s="306"/>
    </row>
    <row r="910" spans="29:172">
      <c r="AC910" s="156"/>
      <c r="CW910" s="364"/>
      <c r="CX910" s="316"/>
      <c r="CY910" s="316"/>
      <c r="DA910" s="309">
        <v>909</v>
      </c>
      <c r="DB910" s="313">
        <f t="shared" si="647"/>
        <v>530.848942947978</v>
      </c>
      <c r="DC910" s="309">
        <f t="shared" si="648"/>
        <v>4</v>
      </c>
      <c r="DD910" s="309">
        <f t="shared" si="649"/>
        <v>0</v>
      </c>
      <c r="DE910" s="308">
        <f t="shared" si="650"/>
        <v>0</v>
      </c>
      <c r="DF910" s="313">
        <f t="shared" si="664"/>
        <v>600</v>
      </c>
      <c r="DG910" s="313">
        <f t="shared" si="646"/>
        <v>0</v>
      </c>
      <c r="DH910" s="313">
        <f t="shared" si="654"/>
        <v>0</v>
      </c>
      <c r="DI910" s="313">
        <f t="shared" si="655"/>
        <v>0</v>
      </c>
      <c r="DJ910" s="313">
        <f t="shared" si="656"/>
        <v>0</v>
      </c>
      <c r="DK910" s="313">
        <f t="shared" si="665"/>
        <v>0</v>
      </c>
      <c r="DL910" s="313">
        <f t="shared" si="657"/>
        <v>0</v>
      </c>
      <c r="DM910" s="314">
        <f t="shared" si="658"/>
        <v>0</v>
      </c>
      <c r="DN910" s="312">
        <f t="shared" si="659"/>
        <v>0</v>
      </c>
      <c r="DO910" s="312">
        <f t="shared" si="666"/>
        <v>0</v>
      </c>
      <c r="DP910" s="315" t="e">
        <f t="shared" si="651"/>
        <v>#NUM!</v>
      </c>
      <c r="DQ910" s="316">
        <f t="shared" si="660"/>
        <v>0</v>
      </c>
      <c r="DR910" s="316">
        <f t="shared" si="661"/>
        <v>0</v>
      </c>
      <c r="DS910" s="314">
        <f t="shared" si="662"/>
        <v>0</v>
      </c>
      <c r="DT910" s="316">
        <f t="shared" si="663"/>
        <v>0</v>
      </c>
      <c r="DU910" s="314">
        <f t="shared" si="652"/>
        <v>0</v>
      </c>
      <c r="DV910" s="316">
        <f t="shared" si="667"/>
        <v>0</v>
      </c>
      <c r="DW910" s="310">
        <f t="shared" si="653"/>
        <v>0</v>
      </c>
      <c r="FB910" s="307"/>
      <c r="FC910" s="307"/>
      <c r="FF910" s="307"/>
      <c r="FG910" s="307"/>
      <c r="FH910" s="306"/>
      <c r="FJ910" s="307"/>
      <c r="FK910" s="307"/>
      <c r="FL910" s="306"/>
      <c r="FM910" s="307"/>
      <c r="FN910" s="306"/>
      <c r="FO910" s="307"/>
      <c r="FP910" s="306"/>
    </row>
    <row r="911" spans="29:172">
      <c r="AC911" s="156"/>
      <c r="CW911" s="364"/>
      <c r="CX911" s="316"/>
      <c r="CY911" s="316"/>
      <c r="DA911" s="309">
        <v>910</v>
      </c>
      <c r="DB911" s="313">
        <f t="shared" si="647"/>
        <v>531.21291318224417</v>
      </c>
      <c r="DC911" s="309">
        <f t="shared" si="648"/>
        <v>4</v>
      </c>
      <c r="DD911" s="309">
        <f t="shared" si="649"/>
        <v>0</v>
      </c>
      <c r="DE911" s="308">
        <f t="shared" si="650"/>
        <v>0</v>
      </c>
      <c r="DF911" s="313">
        <f t="shared" si="664"/>
        <v>600</v>
      </c>
      <c r="DG911" s="313">
        <f t="shared" si="646"/>
        <v>0</v>
      </c>
      <c r="DH911" s="313">
        <f t="shared" si="654"/>
        <v>0</v>
      </c>
      <c r="DI911" s="313">
        <f t="shared" si="655"/>
        <v>0</v>
      </c>
      <c r="DJ911" s="313">
        <f t="shared" si="656"/>
        <v>0</v>
      </c>
      <c r="DK911" s="313">
        <f t="shared" si="665"/>
        <v>0</v>
      </c>
      <c r="DL911" s="313">
        <f t="shared" si="657"/>
        <v>0</v>
      </c>
      <c r="DM911" s="314">
        <f t="shared" si="658"/>
        <v>0</v>
      </c>
      <c r="DN911" s="312">
        <f t="shared" si="659"/>
        <v>0</v>
      </c>
      <c r="DO911" s="312">
        <f t="shared" si="666"/>
        <v>0</v>
      </c>
      <c r="DP911" s="315" t="e">
        <f t="shared" si="651"/>
        <v>#NUM!</v>
      </c>
      <c r="DQ911" s="316">
        <f t="shared" si="660"/>
        <v>0</v>
      </c>
      <c r="DR911" s="316">
        <f t="shared" si="661"/>
        <v>0</v>
      </c>
      <c r="DS911" s="314">
        <f t="shared" si="662"/>
        <v>0</v>
      </c>
      <c r="DT911" s="316">
        <f t="shared" si="663"/>
        <v>0</v>
      </c>
      <c r="DU911" s="314">
        <f t="shared" si="652"/>
        <v>0</v>
      </c>
      <c r="DV911" s="316">
        <f t="shared" si="667"/>
        <v>0</v>
      </c>
      <c r="DW911" s="310">
        <f t="shared" si="653"/>
        <v>0</v>
      </c>
      <c r="FB911" s="307"/>
      <c r="FC911" s="307"/>
      <c r="FF911" s="307"/>
      <c r="FG911" s="307"/>
      <c r="FH911" s="306"/>
      <c r="FJ911" s="307"/>
      <c r="FK911" s="307"/>
      <c r="FL911" s="306"/>
      <c r="FM911" s="307"/>
      <c r="FN911" s="306"/>
      <c r="FO911" s="307"/>
      <c r="FP911" s="306"/>
    </row>
    <row r="912" spans="29:172">
      <c r="AC912" s="156"/>
      <c r="CW912" s="364"/>
      <c r="CX912" s="316"/>
      <c r="CY912" s="316"/>
      <c r="DA912" s="309">
        <v>911</v>
      </c>
      <c r="DB912" s="313">
        <f t="shared" si="647"/>
        <v>531.57688341651033</v>
      </c>
      <c r="DC912" s="309">
        <f t="shared" si="648"/>
        <v>4</v>
      </c>
      <c r="DD912" s="309">
        <f t="shared" si="649"/>
        <v>0</v>
      </c>
      <c r="DE912" s="308">
        <f t="shared" si="650"/>
        <v>0</v>
      </c>
      <c r="DF912" s="313">
        <f t="shared" si="664"/>
        <v>600</v>
      </c>
      <c r="DG912" s="313">
        <f t="shared" si="646"/>
        <v>0</v>
      </c>
      <c r="DH912" s="313">
        <f t="shared" si="654"/>
        <v>0</v>
      </c>
      <c r="DI912" s="313">
        <f t="shared" si="655"/>
        <v>0</v>
      </c>
      <c r="DJ912" s="313">
        <f t="shared" si="656"/>
        <v>0</v>
      </c>
      <c r="DK912" s="313">
        <f t="shared" si="665"/>
        <v>0</v>
      </c>
      <c r="DL912" s="313">
        <f t="shared" si="657"/>
        <v>0</v>
      </c>
      <c r="DM912" s="314">
        <f t="shared" si="658"/>
        <v>0</v>
      </c>
      <c r="DN912" s="312">
        <f t="shared" si="659"/>
        <v>0</v>
      </c>
      <c r="DO912" s="312">
        <f t="shared" si="666"/>
        <v>0</v>
      </c>
      <c r="DP912" s="315" t="e">
        <f t="shared" si="651"/>
        <v>#NUM!</v>
      </c>
      <c r="DQ912" s="316">
        <f t="shared" si="660"/>
        <v>0</v>
      </c>
      <c r="DR912" s="316">
        <f t="shared" si="661"/>
        <v>0</v>
      </c>
      <c r="DS912" s="314">
        <f t="shared" si="662"/>
        <v>0</v>
      </c>
      <c r="DT912" s="316">
        <f t="shared" si="663"/>
        <v>0</v>
      </c>
      <c r="DU912" s="314">
        <f t="shared" si="652"/>
        <v>0</v>
      </c>
      <c r="DV912" s="316">
        <f t="shared" si="667"/>
        <v>0</v>
      </c>
      <c r="DW912" s="310">
        <f t="shared" si="653"/>
        <v>0</v>
      </c>
      <c r="FB912" s="307"/>
      <c r="FC912" s="307"/>
      <c r="FF912" s="307"/>
      <c r="FG912" s="307"/>
      <c r="FH912" s="306"/>
      <c r="FJ912" s="307"/>
      <c r="FK912" s="307"/>
      <c r="FL912" s="306"/>
      <c r="FM912" s="307"/>
      <c r="FN912" s="306"/>
      <c r="FO912" s="307"/>
      <c r="FP912" s="306"/>
    </row>
    <row r="913" spans="29:172">
      <c r="AC913" s="156"/>
      <c r="CW913" s="364"/>
      <c r="CX913" s="316"/>
      <c r="CY913" s="316"/>
      <c r="DA913" s="309">
        <v>912</v>
      </c>
      <c r="DB913" s="313">
        <f t="shared" si="647"/>
        <v>531.94085365077649</v>
      </c>
      <c r="DC913" s="309">
        <f t="shared" si="648"/>
        <v>4</v>
      </c>
      <c r="DD913" s="309">
        <f t="shared" si="649"/>
        <v>0</v>
      </c>
      <c r="DE913" s="308">
        <f t="shared" si="650"/>
        <v>0</v>
      </c>
      <c r="DF913" s="313">
        <f t="shared" si="664"/>
        <v>600</v>
      </c>
      <c r="DG913" s="313">
        <f t="shared" si="646"/>
        <v>0</v>
      </c>
      <c r="DH913" s="313">
        <f t="shared" si="654"/>
        <v>0</v>
      </c>
      <c r="DI913" s="313">
        <f t="shared" si="655"/>
        <v>0</v>
      </c>
      <c r="DJ913" s="313">
        <f t="shared" si="656"/>
        <v>0</v>
      </c>
      <c r="DK913" s="313">
        <f t="shared" si="665"/>
        <v>0</v>
      </c>
      <c r="DL913" s="313">
        <f t="shared" si="657"/>
        <v>0</v>
      </c>
      <c r="DM913" s="314">
        <f t="shared" si="658"/>
        <v>0</v>
      </c>
      <c r="DN913" s="312">
        <f t="shared" si="659"/>
        <v>0</v>
      </c>
      <c r="DO913" s="312">
        <f t="shared" si="666"/>
        <v>0</v>
      </c>
      <c r="DP913" s="315" t="e">
        <f t="shared" si="651"/>
        <v>#NUM!</v>
      </c>
      <c r="DQ913" s="316">
        <f t="shared" si="660"/>
        <v>0</v>
      </c>
      <c r="DR913" s="316">
        <f t="shared" si="661"/>
        <v>0</v>
      </c>
      <c r="DS913" s="314">
        <f t="shared" si="662"/>
        <v>0</v>
      </c>
      <c r="DT913" s="316">
        <f t="shared" si="663"/>
        <v>0</v>
      </c>
      <c r="DU913" s="314">
        <f t="shared" si="652"/>
        <v>0</v>
      </c>
      <c r="DV913" s="316">
        <f t="shared" si="667"/>
        <v>0</v>
      </c>
      <c r="DW913" s="310">
        <f t="shared" si="653"/>
        <v>0</v>
      </c>
      <c r="FB913" s="307"/>
      <c r="FC913" s="307"/>
      <c r="FF913" s="307"/>
      <c r="FG913" s="307"/>
      <c r="FH913" s="306"/>
      <c r="FJ913" s="307"/>
      <c r="FK913" s="307"/>
      <c r="FL913" s="306"/>
      <c r="FM913" s="307"/>
      <c r="FN913" s="306"/>
      <c r="FO913" s="307"/>
      <c r="FP913" s="306"/>
    </row>
    <row r="914" spans="29:172">
      <c r="AC914" s="156"/>
      <c r="CW914" s="364"/>
      <c r="CX914" s="316"/>
      <c r="CY914" s="316"/>
      <c r="DA914" s="309">
        <v>913</v>
      </c>
      <c r="DB914" s="313">
        <f t="shared" si="647"/>
        <v>532.30482388504277</v>
      </c>
      <c r="DC914" s="309">
        <f t="shared" si="648"/>
        <v>4</v>
      </c>
      <c r="DD914" s="309">
        <f t="shared" si="649"/>
        <v>0</v>
      </c>
      <c r="DE914" s="308">
        <f t="shared" si="650"/>
        <v>0</v>
      </c>
      <c r="DF914" s="313">
        <f t="shared" si="664"/>
        <v>600</v>
      </c>
      <c r="DG914" s="313">
        <f t="shared" si="646"/>
        <v>0</v>
      </c>
      <c r="DH914" s="313">
        <f t="shared" si="654"/>
        <v>0</v>
      </c>
      <c r="DI914" s="313">
        <f t="shared" si="655"/>
        <v>0</v>
      </c>
      <c r="DJ914" s="313">
        <f t="shared" si="656"/>
        <v>0</v>
      </c>
      <c r="DK914" s="313">
        <f t="shared" si="665"/>
        <v>0</v>
      </c>
      <c r="DL914" s="313">
        <f t="shared" si="657"/>
        <v>0</v>
      </c>
      <c r="DM914" s="314">
        <f t="shared" si="658"/>
        <v>0</v>
      </c>
      <c r="DN914" s="312">
        <f t="shared" si="659"/>
        <v>0</v>
      </c>
      <c r="DO914" s="312">
        <f t="shared" si="666"/>
        <v>0</v>
      </c>
      <c r="DP914" s="315" t="e">
        <f t="shared" si="651"/>
        <v>#NUM!</v>
      </c>
      <c r="DQ914" s="316">
        <f t="shared" si="660"/>
        <v>0</v>
      </c>
      <c r="DR914" s="316">
        <f t="shared" si="661"/>
        <v>0</v>
      </c>
      <c r="DS914" s="314">
        <f t="shared" si="662"/>
        <v>0</v>
      </c>
      <c r="DT914" s="316">
        <f t="shared" si="663"/>
        <v>0</v>
      </c>
      <c r="DU914" s="314">
        <f t="shared" si="652"/>
        <v>0</v>
      </c>
      <c r="DV914" s="316">
        <f t="shared" si="667"/>
        <v>0</v>
      </c>
      <c r="DW914" s="310">
        <f t="shared" si="653"/>
        <v>0</v>
      </c>
      <c r="FB914" s="307"/>
      <c r="FC914" s="307"/>
      <c r="FF914" s="307"/>
      <c r="FG914" s="307"/>
      <c r="FH914" s="306"/>
      <c r="FJ914" s="307"/>
      <c r="FK914" s="307"/>
      <c r="FL914" s="306"/>
      <c r="FM914" s="307"/>
      <c r="FN914" s="306"/>
      <c r="FO914" s="307"/>
      <c r="FP914" s="306"/>
    </row>
    <row r="915" spans="29:172">
      <c r="AC915" s="156"/>
      <c r="CW915" s="364"/>
      <c r="CX915" s="316"/>
      <c r="CY915" s="316"/>
      <c r="DA915" s="309">
        <v>914</v>
      </c>
      <c r="DB915" s="313">
        <f t="shared" si="647"/>
        <v>532.66879411930893</v>
      </c>
      <c r="DC915" s="309">
        <f t="shared" si="648"/>
        <v>4</v>
      </c>
      <c r="DD915" s="309">
        <f t="shared" si="649"/>
        <v>0</v>
      </c>
      <c r="DE915" s="308">
        <f t="shared" si="650"/>
        <v>0</v>
      </c>
      <c r="DF915" s="313">
        <f t="shared" si="664"/>
        <v>600</v>
      </c>
      <c r="DG915" s="313">
        <f t="shared" si="646"/>
        <v>0</v>
      </c>
      <c r="DH915" s="313">
        <f t="shared" si="654"/>
        <v>0</v>
      </c>
      <c r="DI915" s="313">
        <f t="shared" si="655"/>
        <v>0</v>
      </c>
      <c r="DJ915" s="313">
        <f t="shared" si="656"/>
        <v>0</v>
      </c>
      <c r="DK915" s="313">
        <f t="shared" si="665"/>
        <v>0</v>
      </c>
      <c r="DL915" s="313">
        <f t="shared" si="657"/>
        <v>0</v>
      </c>
      <c r="DM915" s="314">
        <f t="shared" si="658"/>
        <v>0</v>
      </c>
      <c r="DN915" s="312">
        <f t="shared" si="659"/>
        <v>0</v>
      </c>
      <c r="DO915" s="312">
        <f t="shared" si="666"/>
        <v>0</v>
      </c>
      <c r="DP915" s="315" t="e">
        <f t="shared" si="651"/>
        <v>#NUM!</v>
      </c>
      <c r="DQ915" s="316">
        <f t="shared" si="660"/>
        <v>0</v>
      </c>
      <c r="DR915" s="316">
        <f t="shared" si="661"/>
        <v>0</v>
      </c>
      <c r="DS915" s="314">
        <f t="shared" si="662"/>
        <v>0</v>
      </c>
      <c r="DT915" s="316">
        <f t="shared" si="663"/>
        <v>0</v>
      </c>
      <c r="DU915" s="314">
        <f t="shared" si="652"/>
        <v>0</v>
      </c>
      <c r="DV915" s="316">
        <f t="shared" si="667"/>
        <v>0</v>
      </c>
      <c r="DW915" s="310">
        <f t="shared" si="653"/>
        <v>0</v>
      </c>
      <c r="FB915" s="307"/>
      <c r="FC915" s="307"/>
      <c r="FF915" s="307"/>
      <c r="FG915" s="307"/>
      <c r="FH915" s="306"/>
      <c r="FJ915" s="307"/>
      <c r="FK915" s="307"/>
      <c r="FL915" s="306"/>
      <c r="FM915" s="307"/>
      <c r="FN915" s="306"/>
      <c r="FO915" s="307"/>
      <c r="FP915" s="306"/>
    </row>
    <row r="916" spans="29:172">
      <c r="AC916" s="156"/>
      <c r="CW916" s="364"/>
      <c r="CX916" s="316"/>
      <c r="CY916" s="316"/>
      <c r="DA916" s="309">
        <v>915</v>
      </c>
      <c r="DB916" s="313">
        <f t="shared" si="647"/>
        <v>533.0327643535752</v>
      </c>
      <c r="DC916" s="309">
        <f t="shared" si="648"/>
        <v>4</v>
      </c>
      <c r="DD916" s="309">
        <f t="shared" si="649"/>
        <v>0</v>
      </c>
      <c r="DE916" s="308">
        <f t="shared" si="650"/>
        <v>0</v>
      </c>
      <c r="DF916" s="313">
        <f t="shared" si="664"/>
        <v>600</v>
      </c>
      <c r="DG916" s="313">
        <f t="shared" si="646"/>
        <v>0</v>
      </c>
      <c r="DH916" s="313">
        <f t="shared" si="654"/>
        <v>0</v>
      </c>
      <c r="DI916" s="313">
        <f t="shared" si="655"/>
        <v>0</v>
      </c>
      <c r="DJ916" s="313">
        <f t="shared" si="656"/>
        <v>0</v>
      </c>
      <c r="DK916" s="313">
        <f t="shared" si="665"/>
        <v>0</v>
      </c>
      <c r="DL916" s="313">
        <f t="shared" si="657"/>
        <v>0</v>
      </c>
      <c r="DM916" s="314">
        <f t="shared" si="658"/>
        <v>0</v>
      </c>
      <c r="DN916" s="312">
        <f t="shared" si="659"/>
        <v>0</v>
      </c>
      <c r="DO916" s="312">
        <f t="shared" si="666"/>
        <v>0</v>
      </c>
      <c r="DP916" s="315" t="e">
        <f t="shared" si="651"/>
        <v>#NUM!</v>
      </c>
      <c r="DQ916" s="316">
        <f t="shared" si="660"/>
        <v>0</v>
      </c>
      <c r="DR916" s="316">
        <f t="shared" si="661"/>
        <v>0</v>
      </c>
      <c r="DS916" s="314">
        <f t="shared" si="662"/>
        <v>0</v>
      </c>
      <c r="DT916" s="316">
        <f t="shared" si="663"/>
        <v>0</v>
      </c>
      <c r="DU916" s="314">
        <f t="shared" si="652"/>
        <v>0</v>
      </c>
      <c r="DV916" s="316">
        <f t="shared" si="667"/>
        <v>0</v>
      </c>
      <c r="DW916" s="310">
        <f t="shared" si="653"/>
        <v>0</v>
      </c>
      <c r="FB916" s="307"/>
      <c r="FC916" s="307"/>
      <c r="FF916" s="307"/>
      <c r="FG916" s="307"/>
      <c r="FH916" s="306"/>
      <c r="FJ916" s="307"/>
      <c r="FK916" s="307"/>
      <c r="FL916" s="306"/>
      <c r="FM916" s="307"/>
      <c r="FN916" s="306"/>
      <c r="FO916" s="307"/>
      <c r="FP916" s="306"/>
    </row>
    <row r="917" spans="29:172">
      <c r="AC917" s="156"/>
      <c r="CW917" s="364"/>
      <c r="CX917" s="316"/>
      <c r="CY917" s="316"/>
      <c r="DA917" s="309">
        <v>916</v>
      </c>
      <c r="DB917" s="313">
        <f t="shared" si="647"/>
        <v>533.39673458784137</v>
      </c>
      <c r="DC917" s="309">
        <f t="shared" si="648"/>
        <v>4</v>
      </c>
      <c r="DD917" s="309">
        <f t="shared" si="649"/>
        <v>0</v>
      </c>
      <c r="DE917" s="308">
        <f t="shared" si="650"/>
        <v>0</v>
      </c>
      <c r="DF917" s="313">
        <f t="shared" si="664"/>
        <v>600</v>
      </c>
      <c r="DG917" s="313">
        <f t="shared" si="646"/>
        <v>0</v>
      </c>
      <c r="DH917" s="313">
        <f t="shared" si="654"/>
        <v>0</v>
      </c>
      <c r="DI917" s="313">
        <f t="shared" si="655"/>
        <v>0</v>
      </c>
      <c r="DJ917" s="313">
        <f t="shared" si="656"/>
        <v>0</v>
      </c>
      <c r="DK917" s="313">
        <f t="shared" si="665"/>
        <v>0</v>
      </c>
      <c r="DL917" s="313">
        <f t="shared" si="657"/>
        <v>0</v>
      </c>
      <c r="DM917" s="314">
        <f t="shared" si="658"/>
        <v>0</v>
      </c>
      <c r="DN917" s="312">
        <f t="shared" si="659"/>
        <v>0</v>
      </c>
      <c r="DO917" s="312">
        <f t="shared" si="666"/>
        <v>0</v>
      </c>
      <c r="DP917" s="315" t="e">
        <f t="shared" si="651"/>
        <v>#NUM!</v>
      </c>
      <c r="DQ917" s="316">
        <f t="shared" si="660"/>
        <v>0</v>
      </c>
      <c r="DR917" s="316">
        <f t="shared" si="661"/>
        <v>0</v>
      </c>
      <c r="DS917" s="314">
        <f t="shared" si="662"/>
        <v>0</v>
      </c>
      <c r="DT917" s="316">
        <f t="shared" si="663"/>
        <v>0</v>
      </c>
      <c r="DU917" s="314">
        <f t="shared" si="652"/>
        <v>0</v>
      </c>
      <c r="DV917" s="316">
        <f t="shared" si="667"/>
        <v>0</v>
      </c>
      <c r="DW917" s="310">
        <f t="shared" si="653"/>
        <v>0</v>
      </c>
      <c r="FB917" s="307"/>
      <c r="FC917" s="307"/>
      <c r="FF917" s="307"/>
      <c r="FG917" s="307"/>
      <c r="FH917" s="306"/>
      <c r="FJ917" s="307"/>
      <c r="FK917" s="307"/>
      <c r="FL917" s="306"/>
      <c r="FM917" s="307"/>
      <c r="FN917" s="306"/>
      <c r="FO917" s="307"/>
      <c r="FP917" s="306"/>
    </row>
    <row r="918" spans="29:172">
      <c r="AC918" s="156"/>
      <c r="CW918" s="364"/>
      <c r="CX918" s="316"/>
      <c r="CY918" s="316"/>
      <c r="DA918" s="309">
        <v>917</v>
      </c>
      <c r="DB918" s="313">
        <f t="shared" si="647"/>
        <v>533.76070482210753</v>
      </c>
      <c r="DC918" s="309">
        <f t="shared" si="648"/>
        <v>4</v>
      </c>
      <c r="DD918" s="309">
        <f t="shared" si="649"/>
        <v>0</v>
      </c>
      <c r="DE918" s="308">
        <f t="shared" si="650"/>
        <v>0</v>
      </c>
      <c r="DF918" s="313">
        <f t="shared" si="664"/>
        <v>600</v>
      </c>
      <c r="DG918" s="313">
        <f t="shared" si="646"/>
        <v>0</v>
      </c>
      <c r="DH918" s="313">
        <f t="shared" si="654"/>
        <v>0</v>
      </c>
      <c r="DI918" s="313">
        <f t="shared" si="655"/>
        <v>0</v>
      </c>
      <c r="DJ918" s="313">
        <f t="shared" si="656"/>
        <v>0</v>
      </c>
      <c r="DK918" s="313">
        <f t="shared" si="665"/>
        <v>0</v>
      </c>
      <c r="DL918" s="313">
        <f t="shared" si="657"/>
        <v>0</v>
      </c>
      <c r="DM918" s="314">
        <f t="shared" si="658"/>
        <v>0</v>
      </c>
      <c r="DN918" s="312">
        <f t="shared" si="659"/>
        <v>0</v>
      </c>
      <c r="DO918" s="312">
        <f t="shared" si="666"/>
        <v>0</v>
      </c>
      <c r="DP918" s="315" t="e">
        <f t="shared" si="651"/>
        <v>#NUM!</v>
      </c>
      <c r="DQ918" s="316">
        <f t="shared" si="660"/>
        <v>0</v>
      </c>
      <c r="DR918" s="316">
        <f t="shared" si="661"/>
        <v>0</v>
      </c>
      <c r="DS918" s="314">
        <f t="shared" si="662"/>
        <v>0</v>
      </c>
      <c r="DT918" s="316">
        <f t="shared" si="663"/>
        <v>0</v>
      </c>
      <c r="DU918" s="314">
        <f t="shared" si="652"/>
        <v>0</v>
      </c>
      <c r="DV918" s="316">
        <f t="shared" si="667"/>
        <v>0</v>
      </c>
      <c r="DW918" s="310">
        <f t="shared" si="653"/>
        <v>0</v>
      </c>
      <c r="FB918" s="307"/>
      <c r="FC918" s="307"/>
      <c r="FF918" s="307"/>
      <c r="FG918" s="307"/>
      <c r="FH918" s="306"/>
      <c r="FJ918" s="307"/>
      <c r="FK918" s="307"/>
      <c r="FL918" s="306"/>
      <c r="FM918" s="307"/>
      <c r="FN918" s="306"/>
      <c r="FO918" s="307"/>
      <c r="FP918" s="306"/>
    </row>
    <row r="919" spans="29:172">
      <c r="AC919" s="156"/>
      <c r="CW919" s="364"/>
      <c r="CX919" s="316"/>
      <c r="CY919" s="316"/>
      <c r="DA919" s="309">
        <v>918</v>
      </c>
      <c r="DB919" s="313">
        <f t="shared" si="647"/>
        <v>534.12467505637369</v>
      </c>
      <c r="DC919" s="309">
        <f t="shared" si="648"/>
        <v>4</v>
      </c>
      <c r="DD919" s="309">
        <f t="shared" si="649"/>
        <v>0</v>
      </c>
      <c r="DE919" s="308">
        <f t="shared" si="650"/>
        <v>0</v>
      </c>
      <c r="DF919" s="313">
        <f t="shared" si="664"/>
        <v>600</v>
      </c>
      <c r="DG919" s="313">
        <f t="shared" si="646"/>
        <v>0</v>
      </c>
      <c r="DH919" s="313">
        <f t="shared" si="654"/>
        <v>0</v>
      </c>
      <c r="DI919" s="313">
        <f t="shared" si="655"/>
        <v>0</v>
      </c>
      <c r="DJ919" s="313">
        <f t="shared" si="656"/>
        <v>0</v>
      </c>
      <c r="DK919" s="313">
        <f t="shared" si="665"/>
        <v>0</v>
      </c>
      <c r="DL919" s="313">
        <f t="shared" si="657"/>
        <v>0</v>
      </c>
      <c r="DM919" s="314">
        <f t="shared" si="658"/>
        <v>0</v>
      </c>
      <c r="DN919" s="312">
        <f t="shared" si="659"/>
        <v>0</v>
      </c>
      <c r="DO919" s="312">
        <f t="shared" si="666"/>
        <v>0</v>
      </c>
      <c r="DP919" s="315" t="e">
        <f t="shared" si="651"/>
        <v>#NUM!</v>
      </c>
      <c r="DQ919" s="316">
        <f t="shared" si="660"/>
        <v>0</v>
      </c>
      <c r="DR919" s="316">
        <f t="shared" si="661"/>
        <v>0</v>
      </c>
      <c r="DS919" s="314">
        <f t="shared" si="662"/>
        <v>0</v>
      </c>
      <c r="DT919" s="316">
        <f t="shared" si="663"/>
        <v>0</v>
      </c>
      <c r="DU919" s="314">
        <f t="shared" si="652"/>
        <v>0</v>
      </c>
      <c r="DV919" s="316">
        <f t="shared" si="667"/>
        <v>0</v>
      </c>
      <c r="DW919" s="310">
        <f t="shared" si="653"/>
        <v>0</v>
      </c>
      <c r="FB919" s="307"/>
      <c r="FC919" s="307"/>
      <c r="FF919" s="307"/>
      <c r="FG919" s="307"/>
      <c r="FH919" s="306"/>
      <c r="FJ919" s="307"/>
      <c r="FK919" s="307"/>
      <c r="FL919" s="306"/>
      <c r="FM919" s="307"/>
      <c r="FN919" s="306"/>
      <c r="FO919" s="307"/>
      <c r="FP919" s="306"/>
    </row>
    <row r="920" spans="29:172">
      <c r="AC920" s="156"/>
      <c r="CW920" s="364"/>
      <c r="CX920" s="316"/>
      <c r="CY920" s="316"/>
      <c r="DA920" s="309">
        <v>919</v>
      </c>
      <c r="DB920" s="313">
        <f t="shared" si="647"/>
        <v>534.48864529063997</v>
      </c>
      <c r="DC920" s="309">
        <f t="shared" si="648"/>
        <v>4</v>
      </c>
      <c r="DD920" s="309">
        <f t="shared" si="649"/>
        <v>0</v>
      </c>
      <c r="DE920" s="308">
        <f t="shared" si="650"/>
        <v>0</v>
      </c>
      <c r="DF920" s="313">
        <f t="shared" si="664"/>
        <v>600</v>
      </c>
      <c r="DG920" s="313">
        <f t="shared" si="646"/>
        <v>0</v>
      </c>
      <c r="DH920" s="313">
        <f t="shared" si="654"/>
        <v>0</v>
      </c>
      <c r="DI920" s="313">
        <f t="shared" si="655"/>
        <v>0</v>
      </c>
      <c r="DJ920" s="313">
        <f t="shared" si="656"/>
        <v>0</v>
      </c>
      <c r="DK920" s="313">
        <f t="shared" si="665"/>
        <v>0</v>
      </c>
      <c r="DL920" s="313">
        <f t="shared" si="657"/>
        <v>0</v>
      </c>
      <c r="DM920" s="314">
        <f t="shared" si="658"/>
        <v>0</v>
      </c>
      <c r="DN920" s="312">
        <f t="shared" si="659"/>
        <v>0</v>
      </c>
      <c r="DO920" s="312">
        <f t="shared" si="666"/>
        <v>0</v>
      </c>
      <c r="DP920" s="315" t="e">
        <f t="shared" si="651"/>
        <v>#NUM!</v>
      </c>
      <c r="DQ920" s="316">
        <f t="shared" si="660"/>
        <v>0</v>
      </c>
      <c r="DR920" s="316">
        <f t="shared" si="661"/>
        <v>0</v>
      </c>
      <c r="DS920" s="314">
        <f t="shared" si="662"/>
        <v>0</v>
      </c>
      <c r="DT920" s="316">
        <f t="shared" si="663"/>
        <v>0</v>
      </c>
      <c r="DU920" s="314">
        <f t="shared" si="652"/>
        <v>0</v>
      </c>
      <c r="DV920" s="316">
        <f t="shared" si="667"/>
        <v>0</v>
      </c>
      <c r="DW920" s="310">
        <f t="shared" si="653"/>
        <v>0</v>
      </c>
      <c r="FB920" s="307"/>
      <c r="FC920" s="307"/>
      <c r="FF920" s="307"/>
      <c r="FG920" s="307"/>
      <c r="FH920" s="306"/>
      <c r="FJ920" s="307"/>
      <c r="FK920" s="307"/>
      <c r="FL920" s="306"/>
      <c r="FM920" s="307"/>
      <c r="FN920" s="306"/>
      <c r="FO920" s="307"/>
      <c r="FP920" s="306"/>
    </row>
    <row r="921" spans="29:172">
      <c r="AC921" s="156"/>
      <c r="CW921" s="364"/>
      <c r="CX921" s="316"/>
      <c r="CY921" s="316"/>
      <c r="DA921" s="309">
        <v>920</v>
      </c>
      <c r="DB921" s="313">
        <f t="shared" si="647"/>
        <v>534.85261552490613</v>
      </c>
      <c r="DC921" s="309">
        <f t="shared" si="648"/>
        <v>4</v>
      </c>
      <c r="DD921" s="309">
        <f t="shared" si="649"/>
        <v>0</v>
      </c>
      <c r="DE921" s="308">
        <f t="shared" si="650"/>
        <v>0</v>
      </c>
      <c r="DF921" s="313">
        <f t="shared" si="664"/>
        <v>600</v>
      </c>
      <c r="DG921" s="313">
        <f t="shared" si="646"/>
        <v>0</v>
      </c>
      <c r="DH921" s="313">
        <f t="shared" si="654"/>
        <v>0</v>
      </c>
      <c r="DI921" s="313">
        <f t="shared" si="655"/>
        <v>0</v>
      </c>
      <c r="DJ921" s="313">
        <f t="shared" si="656"/>
        <v>0</v>
      </c>
      <c r="DK921" s="313">
        <f t="shared" si="665"/>
        <v>0</v>
      </c>
      <c r="DL921" s="313">
        <f t="shared" si="657"/>
        <v>0</v>
      </c>
      <c r="DM921" s="314">
        <f t="shared" si="658"/>
        <v>0</v>
      </c>
      <c r="DN921" s="312">
        <f t="shared" si="659"/>
        <v>0</v>
      </c>
      <c r="DO921" s="312">
        <f t="shared" si="666"/>
        <v>0</v>
      </c>
      <c r="DP921" s="315" t="e">
        <f t="shared" si="651"/>
        <v>#NUM!</v>
      </c>
      <c r="DQ921" s="316">
        <f t="shared" si="660"/>
        <v>0</v>
      </c>
      <c r="DR921" s="316">
        <f t="shared" si="661"/>
        <v>0</v>
      </c>
      <c r="DS921" s="314">
        <f t="shared" si="662"/>
        <v>0</v>
      </c>
      <c r="DT921" s="316">
        <f t="shared" si="663"/>
        <v>0</v>
      </c>
      <c r="DU921" s="314">
        <f t="shared" si="652"/>
        <v>0</v>
      </c>
      <c r="DV921" s="316">
        <f t="shared" si="667"/>
        <v>0</v>
      </c>
      <c r="DW921" s="310">
        <f t="shared" si="653"/>
        <v>0</v>
      </c>
      <c r="FB921" s="307"/>
      <c r="FC921" s="307"/>
      <c r="FF921" s="307"/>
      <c r="FG921" s="307"/>
      <c r="FH921" s="306"/>
      <c r="FJ921" s="307"/>
      <c r="FK921" s="307"/>
      <c r="FL921" s="306"/>
      <c r="FM921" s="307"/>
      <c r="FN921" s="306"/>
      <c r="FO921" s="307"/>
      <c r="FP921" s="306"/>
    </row>
    <row r="922" spans="29:172">
      <c r="AC922" s="156"/>
      <c r="CW922" s="364"/>
      <c r="CX922" s="316"/>
      <c r="CY922" s="316"/>
      <c r="DA922" s="309">
        <v>921</v>
      </c>
      <c r="DB922" s="313">
        <f t="shared" si="647"/>
        <v>535.2165857591724</v>
      </c>
      <c r="DC922" s="309">
        <f t="shared" si="648"/>
        <v>4</v>
      </c>
      <c r="DD922" s="309">
        <f t="shared" si="649"/>
        <v>0</v>
      </c>
      <c r="DE922" s="308">
        <f t="shared" si="650"/>
        <v>0</v>
      </c>
      <c r="DF922" s="313">
        <f t="shared" si="664"/>
        <v>600</v>
      </c>
      <c r="DG922" s="313">
        <f t="shared" si="646"/>
        <v>0</v>
      </c>
      <c r="DH922" s="313">
        <f t="shared" si="654"/>
        <v>0</v>
      </c>
      <c r="DI922" s="313">
        <f t="shared" si="655"/>
        <v>0</v>
      </c>
      <c r="DJ922" s="313">
        <f t="shared" si="656"/>
        <v>0</v>
      </c>
      <c r="DK922" s="313">
        <f t="shared" si="665"/>
        <v>0</v>
      </c>
      <c r="DL922" s="313">
        <f t="shared" si="657"/>
        <v>0</v>
      </c>
      <c r="DM922" s="314">
        <f t="shared" si="658"/>
        <v>0</v>
      </c>
      <c r="DN922" s="312">
        <f t="shared" si="659"/>
        <v>0</v>
      </c>
      <c r="DO922" s="312">
        <f t="shared" si="666"/>
        <v>0</v>
      </c>
      <c r="DP922" s="315" t="e">
        <f t="shared" si="651"/>
        <v>#NUM!</v>
      </c>
      <c r="DQ922" s="316">
        <f t="shared" si="660"/>
        <v>0</v>
      </c>
      <c r="DR922" s="316">
        <f t="shared" si="661"/>
        <v>0</v>
      </c>
      <c r="DS922" s="314">
        <f t="shared" si="662"/>
        <v>0</v>
      </c>
      <c r="DT922" s="316">
        <f t="shared" si="663"/>
        <v>0</v>
      </c>
      <c r="DU922" s="314">
        <f t="shared" si="652"/>
        <v>0</v>
      </c>
      <c r="DV922" s="316">
        <f t="shared" si="667"/>
        <v>0</v>
      </c>
      <c r="DW922" s="310">
        <f t="shared" si="653"/>
        <v>0</v>
      </c>
      <c r="FB922" s="307"/>
      <c r="FC922" s="307"/>
      <c r="FF922" s="307"/>
      <c r="FG922" s="307"/>
      <c r="FH922" s="306"/>
      <c r="FJ922" s="307"/>
      <c r="FK922" s="307"/>
      <c r="FL922" s="306"/>
      <c r="FM922" s="307"/>
      <c r="FN922" s="306"/>
      <c r="FO922" s="307"/>
      <c r="FP922" s="306"/>
    </row>
    <row r="923" spans="29:172">
      <c r="AC923" s="156"/>
      <c r="CW923" s="364"/>
      <c r="CX923" s="316"/>
      <c r="CY923" s="316"/>
      <c r="DA923" s="309">
        <v>922</v>
      </c>
      <c r="DB923" s="313">
        <f t="shared" si="647"/>
        <v>535.58055599343857</v>
      </c>
      <c r="DC923" s="309">
        <f t="shared" si="648"/>
        <v>4</v>
      </c>
      <c r="DD923" s="309">
        <f t="shared" si="649"/>
        <v>0</v>
      </c>
      <c r="DE923" s="308">
        <f t="shared" si="650"/>
        <v>0</v>
      </c>
      <c r="DF923" s="313">
        <f t="shared" si="664"/>
        <v>600</v>
      </c>
      <c r="DG923" s="313">
        <f t="shared" si="646"/>
        <v>0</v>
      </c>
      <c r="DH923" s="313">
        <f t="shared" si="654"/>
        <v>0</v>
      </c>
      <c r="DI923" s="313">
        <f t="shared" si="655"/>
        <v>0</v>
      </c>
      <c r="DJ923" s="313">
        <f t="shared" si="656"/>
        <v>0</v>
      </c>
      <c r="DK923" s="313">
        <f t="shared" si="665"/>
        <v>0</v>
      </c>
      <c r="DL923" s="313">
        <f t="shared" si="657"/>
        <v>0</v>
      </c>
      <c r="DM923" s="314">
        <f t="shared" si="658"/>
        <v>0</v>
      </c>
      <c r="DN923" s="312">
        <f t="shared" si="659"/>
        <v>0</v>
      </c>
      <c r="DO923" s="312">
        <f t="shared" si="666"/>
        <v>0</v>
      </c>
      <c r="DP923" s="315" t="e">
        <f t="shared" si="651"/>
        <v>#NUM!</v>
      </c>
      <c r="DQ923" s="316">
        <f t="shared" si="660"/>
        <v>0</v>
      </c>
      <c r="DR923" s="316">
        <f t="shared" si="661"/>
        <v>0</v>
      </c>
      <c r="DS923" s="314">
        <f t="shared" si="662"/>
        <v>0</v>
      </c>
      <c r="DT923" s="316">
        <f t="shared" si="663"/>
        <v>0</v>
      </c>
      <c r="DU923" s="314">
        <f t="shared" si="652"/>
        <v>0</v>
      </c>
      <c r="DV923" s="316">
        <f t="shared" si="667"/>
        <v>0</v>
      </c>
      <c r="DW923" s="310">
        <f t="shared" si="653"/>
        <v>0</v>
      </c>
      <c r="FB923" s="307"/>
      <c r="FC923" s="307"/>
      <c r="FF923" s="307"/>
      <c r="FG923" s="307"/>
      <c r="FH923" s="306"/>
      <c r="FJ923" s="307"/>
      <c r="FK923" s="307"/>
      <c r="FL923" s="306"/>
      <c r="FM923" s="307"/>
      <c r="FN923" s="306"/>
      <c r="FO923" s="307"/>
      <c r="FP923" s="306"/>
    </row>
    <row r="924" spans="29:172">
      <c r="AC924" s="156"/>
      <c r="CW924" s="364"/>
      <c r="CX924" s="316"/>
      <c r="CY924" s="316"/>
      <c r="DA924" s="309">
        <v>923</v>
      </c>
      <c r="DB924" s="313">
        <f t="shared" si="647"/>
        <v>535.94452622770473</v>
      </c>
      <c r="DC924" s="309">
        <f t="shared" si="648"/>
        <v>4</v>
      </c>
      <c r="DD924" s="309">
        <f t="shared" si="649"/>
        <v>0</v>
      </c>
      <c r="DE924" s="308">
        <f t="shared" si="650"/>
        <v>0</v>
      </c>
      <c r="DF924" s="313">
        <f t="shared" si="664"/>
        <v>600</v>
      </c>
      <c r="DG924" s="313">
        <f t="shared" si="646"/>
        <v>0</v>
      </c>
      <c r="DH924" s="313">
        <f t="shared" si="654"/>
        <v>0</v>
      </c>
      <c r="DI924" s="313">
        <f t="shared" si="655"/>
        <v>0</v>
      </c>
      <c r="DJ924" s="313">
        <f t="shared" si="656"/>
        <v>0</v>
      </c>
      <c r="DK924" s="313">
        <f t="shared" si="665"/>
        <v>0</v>
      </c>
      <c r="DL924" s="313">
        <f t="shared" si="657"/>
        <v>0</v>
      </c>
      <c r="DM924" s="314">
        <f t="shared" si="658"/>
        <v>0</v>
      </c>
      <c r="DN924" s="312">
        <f t="shared" si="659"/>
        <v>0</v>
      </c>
      <c r="DO924" s="312">
        <f t="shared" si="666"/>
        <v>0</v>
      </c>
      <c r="DP924" s="315" t="e">
        <f t="shared" si="651"/>
        <v>#NUM!</v>
      </c>
      <c r="DQ924" s="316">
        <f t="shared" si="660"/>
        <v>0</v>
      </c>
      <c r="DR924" s="316">
        <f t="shared" si="661"/>
        <v>0</v>
      </c>
      <c r="DS924" s="314">
        <f t="shared" si="662"/>
        <v>0</v>
      </c>
      <c r="DT924" s="316">
        <f t="shared" si="663"/>
        <v>0</v>
      </c>
      <c r="DU924" s="314">
        <f t="shared" si="652"/>
        <v>0</v>
      </c>
      <c r="DV924" s="316">
        <f t="shared" si="667"/>
        <v>0</v>
      </c>
      <c r="DW924" s="310">
        <f t="shared" si="653"/>
        <v>0</v>
      </c>
      <c r="FB924" s="307"/>
      <c r="FC924" s="307"/>
      <c r="FF924" s="307"/>
      <c r="FG924" s="307"/>
      <c r="FH924" s="306"/>
      <c r="FJ924" s="307"/>
      <c r="FK924" s="307"/>
      <c r="FL924" s="306"/>
      <c r="FM924" s="307"/>
      <c r="FN924" s="306"/>
      <c r="FO924" s="307"/>
      <c r="FP924" s="306"/>
    </row>
    <row r="925" spans="29:172">
      <c r="AC925" s="156"/>
      <c r="CW925" s="364"/>
      <c r="CX925" s="316"/>
      <c r="CY925" s="316"/>
      <c r="DA925" s="309">
        <v>924</v>
      </c>
      <c r="DB925" s="313">
        <f t="shared" si="647"/>
        <v>536.30849646197089</v>
      </c>
      <c r="DC925" s="309">
        <f t="shared" si="648"/>
        <v>4</v>
      </c>
      <c r="DD925" s="309">
        <f t="shared" si="649"/>
        <v>0</v>
      </c>
      <c r="DE925" s="308">
        <f t="shared" si="650"/>
        <v>0</v>
      </c>
      <c r="DF925" s="313">
        <f t="shared" si="664"/>
        <v>600</v>
      </c>
      <c r="DG925" s="313">
        <f t="shared" si="646"/>
        <v>0</v>
      </c>
      <c r="DH925" s="313">
        <f t="shared" si="654"/>
        <v>0</v>
      </c>
      <c r="DI925" s="313">
        <f t="shared" si="655"/>
        <v>0</v>
      </c>
      <c r="DJ925" s="313">
        <f t="shared" si="656"/>
        <v>0</v>
      </c>
      <c r="DK925" s="313">
        <f t="shared" si="665"/>
        <v>0</v>
      </c>
      <c r="DL925" s="313">
        <f t="shared" si="657"/>
        <v>0</v>
      </c>
      <c r="DM925" s="314">
        <f t="shared" si="658"/>
        <v>0</v>
      </c>
      <c r="DN925" s="312">
        <f t="shared" si="659"/>
        <v>0</v>
      </c>
      <c r="DO925" s="312">
        <f t="shared" si="666"/>
        <v>0</v>
      </c>
      <c r="DP925" s="315" t="e">
        <f t="shared" si="651"/>
        <v>#NUM!</v>
      </c>
      <c r="DQ925" s="316">
        <f t="shared" si="660"/>
        <v>0</v>
      </c>
      <c r="DR925" s="316">
        <f t="shared" si="661"/>
        <v>0</v>
      </c>
      <c r="DS925" s="314">
        <f t="shared" si="662"/>
        <v>0</v>
      </c>
      <c r="DT925" s="316">
        <f t="shared" si="663"/>
        <v>0</v>
      </c>
      <c r="DU925" s="314">
        <f t="shared" si="652"/>
        <v>0</v>
      </c>
      <c r="DV925" s="316">
        <f t="shared" si="667"/>
        <v>0</v>
      </c>
      <c r="DW925" s="310">
        <f t="shared" si="653"/>
        <v>0</v>
      </c>
      <c r="FB925" s="307"/>
      <c r="FC925" s="307"/>
      <c r="FF925" s="307"/>
      <c r="FG925" s="307"/>
      <c r="FH925" s="306"/>
      <c r="FJ925" s="307"/>
      <c r="FK925" s="307"/>
      <c r="FL925" s="306"/>
      <c r="FM925" s="307"/>
      <c r="FN925" s="306"/>
      <c r="FO925" s="307"/>
      <c r="FP925" s="306"/>
    </row>
    <row r="926" spans="29:172">
      <c r="AC926" s="156"/>
      <c r="CW926" s="364"/>
      <c r="CX926" s="316"/>
      <c r="CY926" s="316"/>
      <c r="DA926" s="309">
        <v>925</v>
      </c>
      <c r="DB926" s="313">
        <f t="shared" si="647"/>
        <v>536.67246669623717</v>
      </c>
      <c r="DC926" s="309">
        <f t="shared" si="648"/>
        <v>4</v>
      </c>
      <c r="DD926" s="309">
        <f t="shared" si="649"/>
        <v>0</v>
      </c>
      <c r="DE926" s="308">
        <f t="shared" si="650"/>
        <v>0</v>
      </c>
      <c r="DF926" s="313">
        <f t="shared" si="664"/>
        <v>600</v>
      </c>
      <c r="DG926" s="313">
        <f t="shared" si="646"/>
        <v>0</v>
      </c>
      <c r="DH926" s="313">
        <f t="shared" si="654"/>
        <v>0</v>
      </c>
      <c r="DI926" s="313">
        <f t="shared" si="655"/>
        <v>0</v>
      </c>
      <c r="DJ926" s="313">
        <f t="shared" si="656"/>
        <v>0</v>
      </c>
      <c r="DK926" s="313">
        <f t="shared" si="665"/>
        <v>0</v>
      </c>
      <c r="DL926" s="313">
        <f t="shared" si="657"/>
        <v>0</v>
      </c>
      <c r="DM926" s="314">
        <f t="shared" si="658"/>
        <v>0</v>
      </c>
      <c r="DN926" s="312">
        <f t="shared" si="659"/>
        <v>0</v>
      </c>
      <c r="DO926" s="312">
        <f t="shared" si="666"/>
        <v>0</v>
      </c>
      <c r="DP926" s="315" t="e">
        <f t="shared" si="651"/>
        <v>#NUM!</v>
      </c>
      <c r="DQ926" s="316">
        <f t="shared" si="660"/>
        <v>0</v>
      </c>
      <c r="DR926" s="316">
        <f t="shared" si="661"/>
        <v>0</v>
      </c>
      <c r="DS926" s="314">
        <f t="shared" si="662"/>
        <v>0</v>
      </c>
      <c r="DT926" s="316">
        <f t="shared" si="663"/>
        <v>0</v>
      </c>
      <c r="DU926" s="314">
        <f t="shared" si="652"/>
        <v>0</v>
      </c>
      <c r="DV926" s="316">
        <f t="shared" si="667"/>
        <v>0</v>
      </c>
      <c r="DW926" s="310">
        <f t="shared" si="653"/>
        <v>0</v>
      </c>
      <c r="FB926" s="307"/>
      <c r="FC926" s="307"/>
      <c r="FF926" s="307"/>
      <c r="FG926" s="307"/>
      <c r="FH926" s="306"/>
      <c r="FJ926" s="307"/>
      <c r="FK926" s="307"/>
      <c r="FL926" s="306"/>
      <c r="FM926" s="307"/>
      <c r="FN926" s="306"/>
      <c r="FO926" s="307"/>
      <c r="FP926" s="306"/>
    </row>
    <row r="927" spans="29:172">
      <c r="AC927" s="156"/>
      <c r="CW927" s="364"/>
      <c r="CX927" s="316"/>
      <c r="CY927" s="316"/>
      <c r="DA927" s="309">
        <v>926</v>
      </c>
      <c r="DB927" s="313">
        <f t="shared" si="647"/>
        <v>537.03643693050344</v>
      </c>
      <c r="DC927" s="309">
        <f t="shared" si="648"/>
        <v>4</v>
      </c>
      <c r="DD927" s="309">
        <f t="shared" si="649"/>
        <v>0</v>
      </c>
      <c r="DE927" s="308">
        <f t="shared" si="650"/>
        <v>0</v>
      </c>
      <c r="DF927" s="313">
        <f t="shared" si="664"/>
        <v>600</v>
      </c>
      <c r="DG927" s="313">
        <f t="shared" si="646"/>
        <v>0</v>
      </c>
      <c r="DH927" s="313">
        <f t="shared" si="654"/>
        <v>0</v>
      </c>
      <c r="DI927" s="313">
        <f t="shared" si="655"/>
        <v>0</v>
      </c>
      <c r="DJ927" s="313">
        <f t="shared" si="656"/>
        <v>0</v>
      </c>
      <c r="DK927" s="313">
        <f t="shared" si="665"/>
        <v>0</v>
      </c>
      <c r="DL927" s="313">
        <f t="shared" si="657"/>
        <v>0</v>
      </c>
      <c r="DM927" s="314">
        <f t="shared" si="658"/>
        <v>0</v>
      </c>
      <c r="DN927" s="312">
        <f t="shared" si="659"/>
        <v>0</v>
      </c>
      <c r="DO927" s="312">
        <f t="shared" si="666"/>
        <v>0</v>
      </c>
      <c r="DP927" s="315" t="e">
        <f t="shared" si="651"/>
        <v>#NUM!</v>
      </c>
      <c r="DQ927" s="316">
        <f t="shared" si="660"/>
        <v>0</v>
      </c>
      <c r="DR927" s="316">
        <f t="shared" si="661"/>
        <v>0</v>
      </c>
      <c r="DS927" s="314">
        <f t="shared" si="662"/>
        <v>0</v>
      </c>
      <c r="DT927" s="316">
        <f t="shared" si="663"/>
        <v>0</v>
      </c>
      <c r="DU927" s="314">
        <f t="shared" si="652"/>
        <v>0</v>
      </c>
      <c r="DV927" s="316">
        <f t="shared" si="667"/>
        <v>0</v>
      </c>
      <c r="DW927" s="310">
        <f t="shared" si="653"/>
        <v>0</v>
      </c>
      <c r="FB927" s="307"/>
      <c r="FC927" s="307"/>
      <c r="FF927" s="307"/>
      <c r="FG927" s="307"/>
      <c r="FH927" s="306"/>
      <c r="FJ927" s="307"/>
      <c r="FK927" s="307"/>
      <c r="FL927" s="306"/>
      <c r="FM927" s="307"/>
      <c r="FN927" s="306"/>
      <c r="FO927" s="307"/>
      <c r="FP927" s="306"/>
    </row>
    <row r="928" spans="29:172">
      <c r="AC928" s="156"/>
      <c r="CW928" s="364"/>
      <c r="CX928" s="316"/>
      <c r="CY928" s="316"/>
      <c r="DA928" s="309">
        <v>927</v>
      </c>
      <c r="DB928" s="313">
        <f t="shared" si="647"/>
        <v>537.4004071647696</v>
      </c>
      <c r="DC928" s="309">
        <f t="shared" si="648"/>
        <v>4</v>
      </c>
      <c r="DD928" s="309">
        <f t="shared" si="649"/>
        <v>0</v>
      </c>
      <c r="DE928" s="308">
        <f t="shared" si="650"/>
        <v>0</v>
      </c>
      <c r="DF928" s="313">
        <f t="shared" si="664"/>
        <v>600</v>
      </c>
      <c r="DG928" s="313">
        <f t="shared" si="646"/>
        <v>0</v>
      </c>
      <c r="DH928" s="313">
        <f t="shared" si="654"/>
        <v>0</v>
      </c>
      <c r="DI928" s="313">
        <f t="shared" si="655"/>
        <v>0</v>
      </c>
      <c r="DJ928" s="313">
        <f t="shared" si="656"/>
        <v>0</v>
      </c>
      <c r="DK928" s="313">
        <f t="shared" si="665"/>
        <v>0</v>
      </c>
      <c r="DL928" s="313">
        <f t="shared" si="657"/>
        <v>0</v>
      </c>
      <c r="DM928" s="314">
        <f t="shared" si="658"/>
        <v>0</v>
      </c>
      <c r="DN928" s="312">
        <f t="shared" si="659"/>
        <v>0</v>
      </c>
      <c r="DO928" s="312">
        <f t="shared" si="666"/>
        <v>0</v>
      </c>
      <c r="DP928" s="315" t="e">
        <f t="shared" si="651"/>
        <v>#NUM!</v>
      </c>
      <c r="DQ928" s="316">
        <f t="shared" si="660"/>
        <v>0</v>
      </c>
      <c r="DR928" s="316">
        <f t="shared" si="661"/>
        <v>0</v>
      </c>
      <c r="DS928" s="314">
        <f t="shared" si="662"/>
        <v>0</v>
      </c>
      <c r="DT928" s="316">
        <f t="shared" si="663"/>
        <v>0</v>
      </c>
      <c r="DU928" s="314">
        <f t="shared" si="652"/>
        <v>0</v>
      </c>
      <c r="DV928" s="316">
        <f t="shared" si="667"/>
        <v>0</v>
      </c>
      <c r="DW928" s="310">
        <f t="shared" si="653"/>
        <v>0</v>
      </c>
      <c r="FB928" s="307"/>
      <c r="FC928" s="307"/>
      <c r="FF928" s="307"/>
      <c r="FG928" s="307"/>
      <c r="FH928" s="306"/>
      <c r="FJ928" s="307"/>
      <c r="FK928" s="307"/>
      <c r="FL928" s="306"/>
      <c r="FM928" s="307"/>
      <c r="FN928" s="306"/>
      <c r="FO928" s="307"/>
      <c r="FP928" s="306"/>
    </row>
    <row r="929" spans="29:172">
      <c r="AC929" s="156"/>
      <c r="CW929" s="364"/>
      <c r="CX929" s="316"/>
      <c r="CY929" s="316"/>
      <c r="DA929" s="309">
        <v>928</v>
      </c>
      <c r="DB929" s="313">
        <f t="shared" si="647"/>
        <v>537.76437739903577</v>
      </c>
      <c r="DC929" s="309">
        <f t="shared" si="648"/>
        <v>4</v>
      </c>
      <c r="DD929" s="309">
        <f t="shared" si="649"/>
        <v>0</v>
      </c>
      <c r="DE929" s="308">
        <f t="shared" si="650"/>
        <v>0</v>
      </c>
      <c r="DF929" s="313">
        <f t="shared" si="664"/>
        <v>600</v>
      </c>
      <c r="DG929" s="313">
        <f t="shared" si="646"/>
        <v>0</v>
      </c>
      <c r="DH929" s="313">
        <f t="shared" si="654"/>
        <v>0</v>
      </c>
      <c r="DI929" s="313">
        <f t="shared" si="655"/>
        <v>0</v>
      </c>
      <c r="DJ929" s="313">
        <f t="shared" si="656"/>
        <v>0</v>
      </c>
      <c r="DK929" s="313">
        <f t="shared" si="665"/>
        <v>0</v>
      </c>
      <c r="DL929" s="313">
        <f t="shared" si="657"/>
        <v>0</v>
      </c>
      <c r="DM929" s="314">
        <f t="shared" si="658"/>
        <v>0</v>
      </c>
      <c r="DN929" s="312">
        <f t="shared" si="659"/>
        <v>0</v>
      </c>
      <c r="DO929" s="312">
        <f t="shared" si="666"/>
        <v>0</v>
      </c>
      <c r="DP929" s="315" t="e">
        <f t="shared" si="651"/>
        <v>#NUM!</v>
      </c>
      <c r="DQ929" s="316">
        <f t="shared" si="660"/>
        <v>0</v>
      </c>
      <c r="DR929" s="316">
        <f t="shared" si="661"/>
        <v>0</v>
      </c>
      <c r="DS929" s="314">
        <f t="shared" si="662"/>
        <v>0</v>
      </c>
      <c r="DT929" s="316">
        <f t="shared" si="663"/>
        <v>0</v>
      </c>
      <c r="DU929" s="314">
        <f t="shared" si="652"/>
        <v>0</v>
      </c>
      <c r="DV929" s="316">
        <f t="shared" si="667"/>
        <v>0</v>
      </c>
      <c r="DW929" s="310">
        <f t="shared" si="653"/>
        <v>0</v>
      </c>
      <c r="FB929" s="307"/>
      <c r="FC929" s="307"/>
      <c r="FF929" s="307"/>
      <c r="FG929" s="307"/>
      <c r="FH929" s="306"/>
      <c r="FJ929" s="307"/>
      <c r="FK929" s="307"/>
      <c r="FL929" s="306"/>
      <c r="FM929" s="307"/>
      <c r="FN929" s="306"/>
      <c r="FO929" s="307"/>
      <c r="FP929" s="306"/>
    </row>
    <row r="930" spans="29:172">
      <c r="AC930" s="156"/>
      <c r="CW930" s="364"/>
      <c r="CX930" s="316"/>
      <c r="CY930" s="316"/>
      <c r="DA930" s="309">
        <v>929</v>
      </c>
      <c r="DB930" s="313">
        <f t="shared" si="647"/>
        <v>538.12834763330193</v>
      </c>
      <c r="DC930" s="309">
        <f t="shared" si="648"/>
        <v>4</v>
      </c>
      <c r="DD930" s="309">
        <f t="shared" si="649"/>
        <v>0</v>
      </c>
      <c r="DE930" s="308">
        <f t="shared" si="650"/>
        <v>0</v>
      </c>
      <c r="DF930" s="313">
        <f t="shared" si="664"/>
        <v>600</v>
      </c>
      <c r="DG930" s="313">
        <f t="shared" si="646"/>
        <v>0</v>
      </c>
      <c r="DH930" s="313">
        <f t="shared" si="654"/>
        <v>0</v>
      </c>
      <c r="DI930" s="313">
        <f t="shared" si="655"/>
        <v>0</v>
      </c>
      <c r="DJ930" s="313">
        <f t="shared" si="656"/>
        <v>0</v>
      </c>
      <c r="DK930" s="313">
        <f t="shared" si="665"/>
        <v>0</v>
      </c>
      <c r="DL930" s="313">
        <f t="shared" si="657"/>
        <v>0</v>
      </c>
      <c r="DM930" s="314">
        <f t="shared" si="658"/>
        <v>0</v>
      </c>
      <c r="DN930" s="312">
        <f t="shared" si="659"/>
        <v>0</v>
      </c>
      <c r="DO930" s="312">
        <f t="shared" si="666"/>
        <v>0</v>
      </c>
      <c r="DP930" s="315" t="e">
        <f t="shared" si="651"/>
        <v>#NUM!</v>
      </c>
      <c r="DQ930" s="316">
        <f t="shared" si="660"/>
        <v>0</v>
      </c>
      <c r="DR930" s="316">
        <f t="shared" si="661"/>
        <v>0</v>
      </c>
      <c r="DS930" s="314">
        <f t="shared" si="662"/>
        <v>0</v>
      </c>
      <c r="DT930" s="316">
        <f t="shared" si="663"/>
        <v>0</v>
      </c>
      <c r="DU930" s="314">
        <f t="shared" si="652"/>
        <v>0</v>
      </c>
      <c r="DV930" s="316">
        <f t="shared" si="667"/>
        <v>0</v>
      </c>
      <c r="DW930" s="310">
        <f t="shared" si="653"/>
        <v>0</v>
      </c>
      <c r="FB930" s="307"/>
      <c r="FC930" s="307"/>
      <c r="FF930" s="307"/>
      <c r="FG930" s="307"/>
      <c r="FH930" s="306"/>
      <c r="FJ930" s="307"/>
      <c r="FK930" s="307"/>
      <c r="FL930" s="306"/>
      <c r="FM930" s="307"/>
      <c r="FN930" s="306"/>
      <c r="FO930" s="307"/>
      <c r="FP930" s="306"/>
    </row>
    <row r="931" spans="29:172">
      <c r="AC931" s="156"/>
      <c r="CW931" s="364"/>
      <c r="CX931" s="316"/>
      <c r="CY931" s="316"/>
      <c r="DA931" s="309">
        <v>930</v>
      </c>
      <c r="DB931" s="313">
        <f t="shared" si="647"/>
        <v>538.4923178675682</v>
      </c>
      <c r="DC931" s="309">
        <f t="shared" si="648"/>
        <v>4</v>
      </c>
      <c r="DD931" s="309">
        <f t="shared" si="649"/>
        <v>0</v>
      </c>
      <c r="DE931" s="308">
        <f t="shared" si="650"/>
        <v>0</v>
      </c>
      <c r="DF931" s="313">
        <f t="shared" si="664"/>
        <v>600</v>
      </c>
      <c r="DG931" s="313">
        <f t="shared" si="646"/>
        <v>0</v>
      </c>
      <c r="DH931" s="313">
        <f t="shared" si="654"/>
        <v>0</v>
      </c>
      <c r="DI931" s="313">
        <f t="shared" si="655"/>
        <v>0</v>
      </c>
      <c r="DJ931" s="313">
        <f t="shared" si="656"/>
        <v>0</v>
      </c>
      <c r="DK931" s="313">
        <f t="shared" si="665"/>
        <v>0</v>
      </c>
      <c r="DL931" s="313">
        <f t="shared" si="657"/>
        <v>0</v>
      </c>
      <c r="DM931" s="314">
        <f t="shared" si="658"/>
        <v>0</v>
      </c>
      <c r="DN931" s="312">
        <f t="shared" si="659"/>
        <v>0</v>
      </c>
      <c r="DO931" s="312">
        <f t="shared" si="666"/>
        <v>0</v>
      </c>
      <c r="DP931" s="315" t="e">
        <f t="shared" si="651"/>
        <v>#NUM!</v>
      </c>
      <c r="DQ931" s="316">
        <f t="shared" si="660"/>
        <v>0</v>
      </c>
      <c r="DR931" s="316">
        <f t="shared" si="661"/>
        <v>0</v>
      </c>
      <c r="DS931" s="314">
        <f t="shared" si="662"/>
        <v>0</v>
      </c>
      <c r="DT931" s="316">
        <f t="shared" si="663"/>
        <v>0</v>
      </c>
      <c r="DU931" s="314">
        <f t="shared" si="652"/>
        <v>0</v>
      </c>
      <c r="DV931" s="316">
        <f t="shared" si="667"/>
        <v>0</v>
      </c>
      <c r="DW931" s="310">
        <f t="shared" si="653"/>
        <v>0</v>
      </c>
      <c r="FB931" s="307"/>
      <c r="FC931" s="307"/>
      <c r="FF931" s="307"/>
      <c r="FG931" s="307"/>
      <c r="FH931" s="306"/>
      <c r="FJ931" s="307"/>
      <c r="FK931" s="307"/>
      <c r="FL931" s="306"/>
      <c r="FM931" s="307"/>
      <c r="FN931" s="306"/>
      <c r="FO931" s="307"/>
      <c r="FP931" s="306"/>
    </row>
    <row r="932" spans="29:172">
      <c r="AC932" s="156"/>
      <c r="CW932" s="364"/>
      <c r="CX932" s="316"/>
      <c r="CY932" s="316"/>
      <c r="DA932" s="309">
        <v>931</v>
      </c>
      <c r="DB932" s="313">
        <f t="shared" si="647"/>
        <v>538.85628810183437</v>
      </c>
      <c r="DC932" s="309">
        <f t="shared" si="648"/>
        <v>4</v>
      </c>
      <c r="DD932" s="309">
        <f t="shared" si="649"/>
        <v>0</v>
      </c>
      <c r="DE932" s="308">
        <f t="shared" si="650"/>
        <v>0</v>
      </c>
      <c r="DF932" s="313">
        <f t="shared" si="664"/>
        <v>600</v>
      </c>
      <c r="DG932" s="313">
        <f t="shared" si="646"/>
        <v>0</v>
      </c>
      <c r="DH932" s="313">
        <f t="shared" si="654"/>
        <v>0</v>
      </c>
      <c r="DI932" s="313">
        <f t="shared" si="655"/>
        <v>0</v>
      </c>
      <c r="DJ932" s="313">
        <f t="shared" si="656"/>
        <v>0</v>
      </c>
      <c r="DK932" s="313">
        <f t="shared" si="665"/>
        <v>0</v>
      </c>
      <c r="DL932" s="313">
        <f t="shared" si="657"/>
        <v>0</v>
      </c>
      <c r="DM932" s="314">
        <f t="shared" si="658"/>
        <v>0</v>
      </c>
      <c r="DN932" s="312">
        <f t="shared" si="659"/>
        <v>0</v>
      </c>
      <c r="DO932" s="312">
        <f t="shared" si="666"/>
        <v>0</v>
      </c>
      <c r="DP932" s="315" t="e">
        <f t="shared" si="651"/>
        <v>#NUM!</v>
      </c>
      <c r="DQ932" s="316">
        <f t="shared" si="660"/>
        <v>0</v>
      </c>
      <c r="DR932" s="316">
        <f t="shared" si="661"/>
        <v>0</v>
      </c>
      <c r="DS932" s="314">
        <f t="shared" si="662"/>
        <v>0</v>
      </c>
      <c r="DT932" s="316">
        <f t="shared" si="663"/>
        <v>0</v>
      </c>
      <c r="DU932" s="314">
        <f t="shared" si="652"/>
        <v>0</v>
      </c>
      <c r="DV932" s="316">
        <f t="shared" si="667"/>
        <v>0</v>
      </c>
      <c r="DW932" s="310">
        <f t="shared" si="653"/>
        <v>0</v>
      </c>
      <c r="FB932" s="307"/>
      <c r="FC932" s="307"/>
      <c r="FF932" s="307"/>
      <c r="FG932" s="307"/>
      <c r="FH932" s="306"/>
      <c r="FJ932" s="307"/>
      <c r="FK932" s="307"/>
      <c r="FL932" s="306"/>
      <c r="FM932" s="307"/>
      <c r="FN932" s="306"/>
      <c r="FO932" s="307"/>
      <c r="FP932" s="306"/>
    </row>
    <row r="933" spans="29:172">
      <c r="AC933" s="156"/>
      <c r="CW933" s="364"/>
      <c r="CX933" s="316"/>
      <c r="CY933" s="316"/>
      <c r="DA933" s="309">
        <v>932</v>
      </c>
      <c r="DB933" s="313">
        <f t="shared" si="647"/>
        <v>539.22025833610064</v>
      </c>
      <c r="DC933" s="309">
        <f t="shared" si="648"/>
        <v>4</v>
      </c>
      <c r="DD933" s="309">
        <f t="shared" si="649"/>
        <v>0</v>
      </c>
      <c r="DE933" s="308">
        <f t="shared" si="650"/>
        <v>0</v>
      </c>
      <c r="DF933" s="313">
        <f t="shared" si="664"/>
        <v>600</v>
      </c>
      <c r="DG933" s="313">
        <f t="shared" si="646"/>
        <v>0</v>
      </c>
      <c r="DH933" s="313">
        <f t="shared" si="654"/>
        <v>0</v>
      </c>
      <c r="DI933" s="313">
        <f t="shared" si="655"/>
        <v>0</v>
      </c>
      <c r="DJ933" s="313">
        <f t="shared" si="656"/>
        <v>0</v>
      </c>
      <c r="DK933" s="313">
        <f t="shared" si="665"/>
        <v>0</v>
      </c>
      <c r="DL933" s="313">
        <f t="shared" si="657"/>
        <v>0</v>
      </c>
      <c r="DM933" s="314">
        <f t="shared" si="658"/>
        <v>0</v>
      </c>
      <c r="DN933" s="312">
        <f t="shared" si="659"/>
        <v>0</v>
      </c>
      <c r="DO933" s="312">
        <f t="shared" si="666"/>
        <v>0</v>
      </c>
      <c r="DP933" s="315" t="e">
        <f t="shared" si="651"/>
        <v>#NUM!</v>
      </c>
      <c r="DQ933" s="316">
        <f t="shared" si="660"/>
        <v>0</v>
      </c>
      <c r="DR933" s="316">
        <f t="shared" si="661"/>
        <v>0</v>
      </c>
      <c r="DS933" s="314">
        <f t="shared" si="662"/>
        <v>0</v>
      </c>
      <c r="DT933" s="316">
        <f t="shared" si="663"/>
        <v>0</v>
      </c>
      <c r="DU933" s="314">
        <f t="shared" si="652"/>
        <v>0</v>
      </c>
      <c r="DV933" s="316">
        <f t="shared" si="667"/>
        <v>0</v>
      </c>
      <c r="DW933" s="310">
        <f t="shared" si="653"/>
        <v>0</v>
      </c>
      <c r="FB933" s="307"/>
      <c r="FC933" s="307"/>
      <c r="FF933" s="307"/>
      <c r="FG933" s="307"/>
      <c r="FH933" s="306"/>
      <c r="FJ933" s="307"/>
      <c r="FK933" s="307"/>
      <c r="FL933" s="306"/>
      <c r="FM933" s="307"/>
      <c r="FN933" s="306"/>
      <c r="FO933" s="307"/>
      <c r="FP933" s="306"/>
    </row>
    <row r="934" spans="29:172">
      <c r="AC934" s="156"/>
      <c r="CW934" s="364"/>
      <c r="CX934" s="316"/>
      <c r="CY934" s="316"/>
      <c r="DA934" s="309">
        <v>933</v>
      </c>
      <c r="DB934" s="313">
        <f t="shared" si="647"/>
        <v>539.5842285703668</v>
      </c>
      <c r="DC934" s="309">
        <f t="shared" si="648"/>
        <v>4</v>
      </c>
      <c r="DD934" s="309">
        <f t="shared" si="649"/>
        <v>0</v>
      </c>
      <c r="DE934" s="308">
        <f t="shared" si="650"/>
        <v>0</v>
      </c>
      <c r="DF934" s="313">
        <f t="shared" si="664"/>
        <v>600</v>
      </c>
      <c r="DG934" s="313">
        <f t="shared" si="646"/>
        <v>0</v>
      </c>
      <c r="DH934" s="313">
        <f t="shared" si="654"/>
        <v>0</v>
      </c>
      <c r="DI934" s="313">
        <f t="shared" si="655"/>
        <v>0</v>
      </c>
      <c r="DJ934" s="313">
        <f t="shared" si="656"/>
        <v>0</v>
      </c>
      <c r="DK934" s="313">
        <f t="shared" si="665"/>
        <v>0</v>
      </c>
      <c r="DL934" s="313">
        <f t="shared" si="657"/>
        <v>0</v>
      </c>
      <c r="DM934" s="314">
        <f t="shared" si="658"/>
        <v>0</v>
      </c>
      <c r="DN934" s="312">
        <f t="shared" si="659"/>
        <v>0</v>
      </c>
      <c r="DO934" s="312">
        <f t="shared" si="666"/>
        <v>0</v>
      </c>
      <c r="DP934" s="315" t="e">
        <f t="shared" si="651"/>
        <v>#NUM!</v>
      </c>
      <c r="DQ934" s="316">
        <f t="shared" si="660"/>
        <v>0</v>
      </c>
      <c r="DR934" s="316">
        <f t="shared" si="661"/>
        <v>0</v>
      </c>
      <c r="DS934" s="314">
        <f t="shared" si="662"/>
        <v>0</v>
      </c>
      <c r="DT934" s="316">
        <f t="shared" si="663"/>
        <v>0</v>
      </c>
      <c r="DU934" s="314">
        <f t="shared" si="652"/>
        <v>0</v>
      </c>
      <c r="DV934" s="316">
        <f t="shared" si="667"/>
        <v>0</v>
      </c>
      <c r="DW934" s="310">
        <f t="shared" si="653"/>
        <v>0</v>
      </c>
      <c r="FB934" s="307"/>
      <c r="FC934" s="307"/>
      <c r="FF934" s="307"/>
      <c r="FG934" s="307"/>
      <c r="FH934" s="306"/>
      <c r="FJ934" s="307"/>
      <c r="FK934" s="307"/>
      <c r="FL934" s="306"/>
      <c r="FM934" s="307"/>
      <c r="FN934" s="306"/>
      <c r="FO934" s="307"/>
      <c r="FP934" s="306"/>
    </row>
    <row r="935" spans="29:172">
      <c r="AC935" s="156"/>
      <c r="CW935" s="364"/>
      <c r="CX935" s="316"/>
      <c r="CY935" s="316"/>
      <c r="DA935" s="309">
        <v>934</v>
      </c>
      <c r="DB935" s="313">
        <f t="shared" si="647"/>
        <v>539.94819880463297</v>
      </c>
      <c r="DC935" s="309">
        <f t="shared" si="648"/>
        <v>4</v>
      </c>
      <c r="DD935" s="309">
        <f t="shared" si="649"/>
        <v>0</v>
      </c>
      <c r="DE935" s="308">
        <f t="shared" si="650"/>
        <v>0</v>
      </c>
      <c r="DF935" s="313">
        <f t="shared" si="664"/>
        <v>600</v>
      </c>
      <c r="DG935" s="313">
        <f t="shared" si="646"/>
        <v>0</v>
      </c>
      <c r="DH935" s="313">
        <f t="shared" si="654"/>
        <v>0</v>
      </c>
      <c r="DI935" s="313">
        <f t="shared" si="655"/>
        <v>0</v>
      </c>
      <c r="DJ935" s="313">
        <f t="shared" si="656"/>
        <v>0</v>
      </c>
      <c r="DK935" s="313">
        <f t="shared" si="665"/>
        <v>0</v>
      </c>
      <c r="DL935" s="313">
        <f t="shared" si="657"/>
        <v>0</v>
      </c>
      <c r="DM935" s="314">
        <f t="shared" si="658"/>
        <v>0</v>
      </c>
      <c r="DN935" s="312">
        <f t="shared" si="659"/>
        <v>0</v>
      </c>
      <c r="DO935" s="312">
        <f t="shared" si="666"/>
        <v>0</v>
      </c>
      <c r="DP935" s="315" t="e">
        <f t="shared" si="651"/>
        <v>#NUM!</v>
      </c>
      <c r="DQ935" s="316">
        <f t="shared" si="660"/>
        <v>0</v>
      </c>
      <c r="DR935" s="316">
        <f t="shared" si="661"/>
        <v>0</v>
      </c>
      <c r="DS935" s="314">
        <f t="shared" si="662"/>
        <v>0</v>
      </c>
      <c r="DT935" s="316">
        <f t="shared" si="663"/>
        <v>0</v>
      </c>
      <c r="DU935" s="314">
        <f t="shared" si="652"/>
        <v>0</v>
      </c>
      <c r="DV935" s="316">
        <f t="shared" si="667"/>
        <v>0</v>
      </c>
      <c r="DW935" s="310">
        <f t="shared" si="653"/>
        <v>0</v>
      </c>
      <c r="FB935" s="307"/>
      <c r="FC935" s="307"/>
      <c r="FF935" s="307"/>
      <c r="FG935" s="307"/>
      <c r="FH935" s="306"/>
      <c r="FJ935" s="307"/>
      <c r="FK935" s="307"/>
      <c r="FL935" s="306"/>
      <c r="FM935" s="307"/>
      <c r="FN935" s="306"/>
      <c r="FO935" s="307"/>
      <c r="FP935" s="306"/>
    </row>
    <row r="936" spans="29:172">
      <c r="AC936" s="156"/>
      <c r="CW936" s="364"/>
      <c r="CX936" s="316"/>
      <c r="CY936" s="316"/>
      <c r="DA936" s="309">
        <v>935</v>
      </c>
      <c r="DB936" s="313">
        <f t="shared" si="647"/>
        <v>540.31216903889913</v>
      </c>
      <c r="DC936" s="309">
        <f t="shared" si="648"/>
        <v>4</v>
      </c>
      <c r="DD936" s="309">
        <f t="shared" si="649"/>
        <v>0</v>
      </c>
      <c r="DE936" s="308">
        <f t="shared" si="650"/>
        <v>0</v>
      </c>
      <c r="DF936" s="313">
        <f t="shared" si="664"/>
        <v>600</v>
      </c>
      <c r="DG936" s="313">
        <f t="shared" si="646"/>
        <v>0</v>
      </c>
      <c r="DH936" s="313">
        <f t="shared" si="654"/>
        <v>0</v>
      </c>
      <c r="DI936" s="313">
        <f t="shared" si="655"/>
        <v>0</v>
      </c>
      <c r="DJ936" s="313">
        <f t="shared" si="656"/>
        <v>0</v>
      </c>
      <c r="DK936" s="313">
        <f t="shared" si="665"/>
        <v>0</v>
      </c>
      <c r="DL936" s="313">
        <f t="shared" si="657"/>
        <v>0</v>
      </c>
      <c r="DM936" s="314">
        <f t="shared" si="658"/>
        <v>0</v>
      </c>
      <c r="DN936" s="312">
        <f t="shared" si="659"/>
        <v>0</v>
      </c>
      <c r="DO936" s="312">
        <f t="shared" si="666"/>
        <v>0</v>
      </c>
      <c r="DP936" s="315" t="e">
        <f t="shared" si="651"/>
        <v>#NUM!</v>
      </c>
      <c r="DQ936" s="316">
        <f t="shared" si="660"/>
        <v>0</v>
      </c>
      <c r="DR936" s="316">
        <f t="shared" si="661"/>
        <v>0</v>
      </c>
      <c r="DS936" s="314">
        <f t="shared" si="662"/>
        <v>0</v>
      </c>
      <c r="DT936" s="316">
        <f t="shared" si="663"/>
        <v>0</v>
      </c>
      <c r="DU936" s="314">
        <f t="shared" si="652"/>
        <v>0</v>
      </c>
      <c r="DV936" s="316">
        <f t="shared" si="667"/>
        <v>0</v>
      </c>
      <c r="DW936" s="310">
        <f t="shared" si="653"/>
        <v>0</v>
      </c>
      <c r="FB936" s="307"/>
      <c r="FC936" s="307"/>
      <c r="FF936" s="307"/>
      <c r="FG936" s="307"/>
      <c r="FH936" s="306"/>
      <c r="FJ936" s="307"/>
      <c r="FK936" s="307"/>
      <c r="FL936" s="306"/>
      <c r="FM936" s="307"/>
      <c r="FN936" s="306"/>
      <c r="FO936" s="307"/>
      <c r="FP936" s="306"/>
    </row>
    <row r="937" spans="29:172">
      <c r="AC937" s="156"/>
      <c r="CW937" s="364"/>
      <c r="CX937" s="316"/>
      <c r="CY937" s="316"/>
      <c r="DA937" s="309">
        <v>936</v>
      </c>
      <c r="DB937" s="313">
        <f t="shared" si="647"/>
        <v>540.6761392731654</v>
      </c>
      <c r="DC937" s="309">
        <f t="shared" si="648"/>
        <v>4</v>
      </c>
      <c r="DD937" s="309">
        <f t="shared" si="649"/>
        <v>0</v>
      </c>
      <c r="DE937" s="308">
        <f t="shared" si="650"/>
        <v>0</v>
      </c>
      <c r="DF937" s="313">
        <f t="shared" si="664"/>
        <v>600</v>
      </c>
      <c r="DG937" s="313">
        <f t="shared" si="646"/>
        <v>0</v>
      </c>
      <c r="DH937" s="313">
        <f t="shared" si="654"/>
        <v>0</v>
      </c>
      <c r="DI937" s="313">
        <f t="shared" si="655"/>
        <v>0</v>
      </c>
      <c r="DJ937" s="313">
        <f t="shared" si="656"/>
        <v>0</v>
      </c>
      <c r="DK937" s="313">
        <f t="shared" si="665"/>
        <v>0</v>
      </c>
      <c r="DL937" s="313">
        <f t="shared" si="657"/>
        <v>0</v>
      </c>
      <c r="DM937" s="314">
        <f t="shared" si="658"/>
        <v>0</v>
      </c>
      <c r="DN937" s="312">
        <f t="shared" si="659"/>
        <v>0</v>
      </c>
      <c r="DO937" s="312">
        <f t="shared" si="666"/>
        <v>0</v>
      </c>
      <c r="DP937" s="315" t="e">
        <f t="shared" si="651"/>
        <v>#NUM!</v>
      </c>
      <c r="DQ937" s="316">
        <f t="shared" si="660"/>
        <v>0</v>
      </c>
      <c r="DR937" s="316">
        <f t="shared" si="661"/>
        <v>0</v>
      </c>
      <c r="DS937" s="314">
        <f t="shared" si="662"/>
        <v>0</v>
      </c>
      <c r="DT937" s="316">
        <f t="shared" si="663"/>
        <v>0</v>
      </c>
      <c r="DU937" s="314">
        <f t="shared" si="652"/>
        <v>0</v>
      </c>
      <c r="DV937" s="316">
        <f t="shared" si="667"/>
        <v>0</v>
      </c>
      <c r="DW937" s="310">
        <f t="shared" si="653"/>
        <v>0</v>
      </c>
      <c r="FB937" s="307"/>
      <c r="FC937" s="307"/>
      <c r="FF937" s="307"/>
      <c r="FG937" s="307"/>
      <c r="FH937" s="306"/>
      <c r="FJ937" s="307"/>
      <c r="FK937" s="307"/>
      <c r="FL937" s="306"/>
      <c r="FM937" s="307"/>
      <c r="FN937" s="306"/>
      <c r="FO937" s="307"/>
      <c r="FP937" s="306"/>
    </row>
    <row r="938" spans="29:172">
      <c r="AC938" s="156"/>
      <c r="CW938" s="364"/>
      <c r="CX938" s="316"/>
      <c r="CY938" s="316"/>
      <c r="DA938" s="309">
        <v>937</v>
      </c>
      <c r="DB938" s="313">
        <f t="shared" si="647"/>
        <v>541.04010950743157</v>
      </c>
      <c r="DC938" s="309">
        <f t="shared" si="648"/>
        <v>4</v>
      </c>
      <c r="DD938" s="309">
        <f t="shared" si="649"/>
        <v>0</v>
      </c>
      <c r="DE938" s="308">
        <f t="shared" si="650"/>
        <v>0</v>
      </c>
      <c r="DF938" s="313">
        <f t="shared" si="664"/>
        <v>600</v>
      </c>
      <c r="DG938" s="313">
        <f t="shared" si="646"/>
        <v>0</v>
      </c>
      <c r="DH938" s="313">
        <f t="shared" si="654"/>
        <v>0</v>
      </c>
      <c r="DI938" s="313">
        <f t="shared" si="655"/>
        <v>0</v>
      </c>
      <c r="DJ938" s="313">
        <f t="shared" si="656"/>
        <v>0</v>
      </c>
      <c r="DK938" s="313">
        <f t="shared" si="665"/>
        <v>0</v>
      </c>
      <c r="DL938" s="313">
        <f t="shared" si="657"/>
        <v>0</v>
      </c>
      <c r="DM938" s="314">
        <f t="shared" si="658"/>
        <v>0</v>
      </c>
      <c r="DN938" s="312">
        <f t="shared" si="659"/>
        <v>0</v>
      </c>
      <c r="DO938" s="312">
        <f t="shared" si="666"/>
        <v>0</v>
      </c>
      <c r="DP938" s="315" t="e">
        <f t="shared" si="651"/>
        <v>#NUM!</v>
      </c>
      <c r="DQ938" s="316">
        <f t="shared" si="660"/>
        <v>0</v>
      </c>
      <c r="DR938" s="316">
        <f t="shared" si="661"/>
        <v>0</v>
      </c>
      <c r="DS938" s="314">
        <f t="shared" si="662"/>
        <v>0</v>
      </c>
      <c r="DT938" s="316">
        <f t="shared" si="663"/>
        <v>0</v>
      </c>
      <c r="DU938" s="314">
        <f t="shared" si="652"/>
        <v>0</v>
      </c>
      <c r="DV938" s="316">
        <f t="shared" si="667"/>
        <v>0</v>
      </c>
      <c r="DW938" s="310">
        <f t="shared" si="653"/>
        <v>0</v>
      </c>
      <c r="FB938" s="307"/>
      <c r="FC938" s="307"/>
      <c r="FF938" s="307"/>
      <c r="FG938" s="307"/>
      <c r="FH938" s="306"/>
      <c r="FJ938" s="307"/>
      <c r="FK938" s="307"/>
      <c r="FL938" s="306"/>
      <c r="FM938" s="307"/>
      <c r="FN938" s="306"/>
      <c r="FO938" s="307"/>
      <c r="FP938" s="306"/>
    </row>
    <row r="939" spans="29:172">
      <c r="AC939" s="156"/>
      <c r="CW939" s="364"/>
      <c r="CX939" s="316"/>
      <c r="CY939" s="316"/>
      <c r="DA939" s="309">
        <v>938</v>
      </c>
      <c r="DB939" s="313">
        <f t="shared" si="647"/>
        <v>541.40407974169784</v>
      </c>
      <c r="DC939" s="309">
        <f t="shared" si="648"/>
        <v>4</v>
      </c>
      <c r="DD939" s="309">
        <f t="shared" si="649"/>
        <v>0</v>
      </c>
      <c r="DE939" s="308">
        <f t="shared" si="650"/>
        <v>0</v>
      </c>
      <c r="DF939" s="313">
        <f t="shared" si="664"/>
        <v>600</v>
      </c>
      <c r="DG939" s="313">
        <f t="shared" ref="DG939:DG1002" si="668">IF(DC939=4,DG938,MIN(DB939,DD939))</f>
        <v>0</v>
      </c>
      <c r="DH939" s="313">
        <f t="shared" si="654"/>
        <v>0</v>
      </c>
      <c r="DI939" s="313">
        <f t="shared" si="655"/>
        <v>0</v>
      </c>
      <c r="DJ939" s="313">
        <f t="shared" si="656"/>
        <v>0</v>
      </c>
      <c r="DK939" s="313">
        <f t="shared" si="665"/>
        <v>0</v>
      </c>
      <c r="DL939" s="313">
        <f t="shared" si="657"/>
        <v>0</v>
      </c>
      <c r="DM939" s="314">
        <f t="shared" si="658"/>
        <v>0</v>
      </c>
      <c r="DN939" s="312">
        <f t="shared" si="659"/>
        <v>0</v>
      </c>
      <c r="DO939" s="312">
        <f t="shared" si="666"/>
        <v>0</v>
      </c>
      <c r="DP939" s="315" t="e">
        <f t="shared" si="651"/>
        <v>#NUM!</v>
      </c>
      <c r="DQ939" s="316">
        <f t="shared" si="660"/>
        <v>0</v>
      </c>
      <c r="DR939" s="316">
        <f t="shared" si="661"/>
        <v>0</v>
      </c>
      <c r="DS939" s="314">
        <f t="shared" si="662"/>
        <v>0</v>
      </c>
      <c r="DT939" s="316">
        <f t="shared" si="663"/>
        <v>0</v>
      </c>
      <c r="DU939" s="314">
        <f t="shared" si="652"/>
        <v>0</v>
      </c>
      <c r="DV939" s="316">
        <f t="shared" si="667"/>
        <v>0</v>
      </c>
      <c r="DW939" s="310">
        <f t="shared" si="653"/>
        <v>0</v>
      </c>
      <c r="FB939" s="307"/>
      <c r="FC939" s="307"/>
      <c r="FF939" s="307"/>
      <c r="FG939" s="307"/>
      <c r="FH939" s="306"/>
      <c r="FJ939" s="307"/>
      <c r="FK939" s="307"/>
      <c r="FL939" s="306"/>
      <c r="FM939" s="307"/>
      <c r="FN939" s="306"/>
      <c r="FO939" s="307"/>
      <c r="FP939" s="306"/>
    </row>
    <row r="940" spans="29:172">
      <c r="AC940" s="156"/>
      <c r="CW940" s="364"/>
      <c r="CX940" s="316"/>
      <c r="CY940" s="316"/>
      <c r="DA940" s="309">
        <v>939</v>
      </c>
      <c r="DB940" s="313">
        <f t="shared" si="647"/>
        <v>541.768049975964</v>
      </c>
      <c r="DC940" s="309">
        <f t="shared" si="648"/>
        <v>4</v>
      </c>
      <c r="DD940" s="309">
        <f t="shared" si="649"/>
        <v>0</v>
      </c>
      <c r="DE940" s="308">
        <f t="shared" si="650"/>
        <v>0</v>
      </c>
      <c r="DF940" s="313">
        <f t="shared" si="664"/>
        <v>600</v>
      </c>
      <c r="DG940" s="313">
        <f t="shared" si="668"/>
        <v>0</v>
      </c>
      <c r="DH940" s="313">
        <f t="shared" si="654"/>
        <v>0</v>
      </c>
      <c r="DI940" s="313">
        <f t="shared" si="655"/>
        <v>0</v>
      </c>
      <c r="DJ940" s="313">
        <f t="shared" si="656"/>
        <v>0</v>
      </c>
      <c r="DK940" s="313">
        <f t="shared" si="665"/>
        <v>0</v>
      </c>
      <c r="DL940" s="313">
        <f t="shared" si="657"/>
        <v>0</v>
      </c>
      <c r="DM940" s="314">
        <f t="shared" si="658"/>
        <v>0</v>
      </c>
      <c r="DN940" s="312">
        <f t="shared" si="659"/>
        <v>0</v>
      </c>
      <c r="DO940" s="312">
        <f t="shared" si="666"/>
        <v>0</v>
      </c>
      <c r="DP940" s="315" t="e">
        <f t="shared" si="651"/>
        <v>#NUM!</v>
      </c>
      <c r="DQ940" s="316">
        <f t="shared" si="660"/>
        <v>0</v>
      </c>
      <c r="DR940" s="316">
        <f t="shared" si="661"/>
        <v>0</v>
      </c>
      <c r="DS940" s="314">
        <f t="shared" si="662"/>
        <v>0</v>
      </c>
      <c r="DT940" s="316">
        <f t="shared" si="663"/>
        <v>0</v>
      </c>
      <c r="DU940" s="314">
        <f t="shared" si="652"/>
        <v>0</v>
      </c>
      <c r="DV940" s="316">
        <f t="shared" si="667"/>
        <v>0</v>
      </c>
      <c r="DW940" s="310">
        <f t="shared" si="653"/>
        <v>0</v>
      </c>
      <c r="FB940" s="307"/>
      <c r="FC940" s="307"/>
      <c r="FF940" s="307"/>
      <c r="FG940" s="307"/>
      <c r="FH940" s="306"/>
      <c r="FJ940" s="307"/>
      <c r="FK940" s="307"/>
      <c r="FL940" s="306"/>
      <c r="FM940" s="307"/>
      <c r="FN940" s="306"/>
      <c r="FO940" s="307"/>
      <c r="FP940" s="306"/>
    </row>
    <row r="941" spans="29:172">
      <c r="AC941" s="156"/>
      <c r="CW941" s="364"/>
      <c r="CX941" s="316"/>
      <c r="CY941" s="316"/>
      <c r="DA941" s="309">
        <v>940</v>
      </c>
      <c r="DB941" s="313">
        <f t="shared" si="647"/>
        <v>542.13202021023017</v>
      </c>
      <c r="DC941" s="309">
        <f t="shared" si="648"/>
        <v>4</v>
      </c>
      <c r="DD941" s="309">
        <f t="shared" si="649"/>
        <v>0</v>
      </c>
      <c r="DE941" s="308">
        <f t="shared" si="650"/>
        <v>0</v>
      </c>
      <c r="DF941" s="313">
        <f t="shared" si="664"/>
        <v>600</v>
      </c>
      <c r="DG941" s="313">
        <f t="shared" si="668"/>
        <v>0</v>
      </c>
      <c r="DH941" s="313">
        <f t="shared" si="654"/>
        <v>0</v>
      </c>
      <c r="DI941" s="313">
        <f t="shared" si="655"/>
        <v>0</v>
      </c>
      <c r="DJ941" s="313">
        <f t="shared" si="656"/>
        <v>0</v>
      </c>
      <c r="DK941" s="313">
        <f t="shared" si="665"/>
        <v>0</v>
      </c>
      <c r="DL941" s="313">
        <f t="shared" si="657"/>
        <v>0</v>
      </c>
      <c r="DM941" s="314">
        <f t="shared" si="658"/>
        <v>0</v>
      </c>
      <c r="DN941" s="312">
        <f t="shared" si="659"/>
        <v>0</v>
      </c>
      <c r="DO941" s="312">
        <f t="shared" si="666"/>
        <v>0</v>
      </c>
      <c r="DP941" s="315" t="e">
        <f t="shared" si="651"/>
        <v>#NUM!</v>
      </c>
      <c r="DQ941" s="316">
        <f t="shared" si="660"/>
        <v>0</v>
      </c>
      <c r="DR941" s="316">
        <f t="shared" si="661"/>
        <v>0</v>
      </c>
      <c r="DS941" s="314">
        <f t="shared" si="662"/>
        <v>0</v>
      </c>
      <c r="DT941" s="316">
        <f t="shared" si="663"/>
        <v>0</v>
      </c>
      <c r="DU941" s="314">
        <f t="shared" si="652"/>
        <v>0</v>
      </c>
      <c r="DV941" s="316">
        <f t="shared" si="667"/>
        <v>0</v>
      </c>
      <c r="DW941" s="310">
        <f t="shared" si="653"/>
        <v>0</v>
      </c>
      <c r="FB941" s="307"/>
      <c r="FC941" s="307"/>
      <c r="FF941" s="307"/>
      <c r="FG941" s="307"/>
      <c r="FH941" s="306"/>
      <c r="FJ941" s="307"/>
      <c r="FK941" s="307"/>
      <c r="FL941" s="306"/>
      <c r="FM941" s="307"/>
      <c r="FN941" s="306"/>
      <c r="FO941" s="307"/>
      <c r="FP941" s="306"/>
    </row>
    <row r="942" spans="29:172">
      <c r="AC942" s="156"/>
      <c r="CW942" s="364"/>
      <c r="CX942" s="316"/>
      <c r="CY942" s="316"/>
      <c r="DA942" s="309">
        <v>941</v>
      </c>
      <c r="DB942" s="313">
        <f t="shared" si="647"/>
        <v>542.49599044449633</v>
      </c>
      <c r="DC942" s="309">
        <f t="shared" si="648"/>
        <v>4</v>
      </c>
      <c r="DD942" s="309">
        <f t="shared" si="649"/>
        <v>0</v>
      </c>
      <c r="DE942" s="308">
        <f t="shared" si="650"/>
        <v>0</v>
      </c>
      <c r="DF942" s="313">
        <f t="shared" si="664"/>
        <v>600</v>
      </c>
      <c r="DG942" s="313">
        <f t="shared" si="668"/>
        <v>0</v>
      </c>
      <c r="DH942" s="313">
        <f t="shared" si="654"/>
        <v>0</v>
      </c>
      <c r="DI942" s="313">
        <f t="shared" si="655"/>
        <v>0</v>
      </c>
      <c r="DJ942" s="313">
        <f t="shared" si="656"/>
        <v>0</v>
      </c>
      <c r="DK942" s="313">
        <f t="shared" si="665"/>
        <v>0</v>
      </c>
      <c r="DL942" s="313">
        <f t="shared" si="657"/>
        <v>0</v>
      </c>
      <c r="DM942" s="314">
        <f t="shared" si="658"/>
        <v>0</v>
      </c>
      <c r="DN942" s="312">
        <f t="shared" si="659"/>
        <v>0</v>
      </c>
      <c r="DO942" s="312">
        <f t="shared" si="666"/>
        <v>0</v>
      </c>
      <c r="DP942" s="315" t="e">
        <f t="shared" si="651"/>
        <v>#NUM!</v>
      </c>
      <c r="DQ942" s="316">
        <f t="shared" si="660"/>
        <v>0</v>
      </c>
      <c r="DR942" s="316">
        <f t="shared" si="661"/>
        <v>0</v>
      </c>
      <c r="DS942" s="314">
        <f t="shared" si="662"/>
        <v>0</v>
      </c>
      <c r="DT942" s="316">
        <f t="shared" si="663"/>
        <v>0</v>
      </c>
      <c r="DU942" s="314">
        <f t="shared" si="652"/>
        <v>0</v>
      </c>
      <c r="DV942" s="316">
        <f t="shared" si="667"/>
        <v>0</v>
      </c>
      <c r="DW942" s="310">
        <f t="shared" si="653"/>
        <v>0</v>
      </c>
      <c r="FB942" s="307"/>
      <c r="FC942" s="307"/>
      <c r="FF942" s="307"/>
      <c r="FG942" s="307"/>
      <c r="FH942" s="306"/>
      <c r="FJ942" s="307"/>
      <c r="FK942" s="307"/>
      <c r="FL942" s="306"/>
      <c r="FM942" s="307"/>
      <c r="FN942" s="306"/>
      <c r="FO942" s="307"/>
      <c r="FP942" s="306"/>
    </row>
    <row r="943" spans="29:172">
      <c r="AC943" s="156"/>
      <c r="CW943" s="364"/>
      <c r="CX943" s="316"/>
      <c r="CY943" s="316"/>
      <c r="DA943" s="309">
        <v>942</v>
      </c>
      <c r="DB943" s="313">
        <f t="shared" si="647"/>
        <v>542.8599606787626</v>
      </c>
      <c r="DC943" s="309">
        <f t="shared" si="648"/>
        <v>4</v>
      </c>
      <c r="DD943" s="309">
        <f t="shared" si="649"/>
        <v>0</v>
      </c>
      <c r="DE943" s="308">
        <f t="shared" si="650"/>
        <v>0</v>
      </c>
      <c r="DF943" s="313">
        <f t="shared" si="664"/>
        <v>600</v>
      </c>
      <c r="DG943" s="313">
        <f t="shared" si="668"/>
        <v>0</v>
      </c>
      <c r="DH943" s="313">
        <f t="shared" si="654"/>
        <v>0</v>
      </c>
      <c r="DI943" s="313">
        <f t="shared" si="655"/>
        <v>0</v>
      </c>
      <c r="DJ943" s="313">
        <f t="shared" si="656"/>
        <v>0</v>
      </c>
      <c r="DK943" s="313">
        <f t="shared" si="665"/>
        <v>0</v>
      </c>
      <c r="DL943" s="313">
        <f t="shared" si="657"/>
        <v>0</v>
      </c>
      <c r="DM943" s="314">
        <f t="shared" si="658"/>
        <v>0</v>
      </c>
      <c r="DN943" s="312">
        <f t="shared" si="659"/>
        <v>0</v>
      </c>
      <c r="DO943" s="312">
        <f t="shared" si="666"/>
        <v>0</v>
      </c>
      <c r="DP943" s="315" t="e">
        <f t="shared" si="651"/>
        <v>#NUM!</v>
      </c>
      <c r="DQ943" s="316">
        <f t="shared" si="660"/>
        <v>0</v>
      </c>
      <c r="DR943" s="316">
        <f t="shared" si="661"/>
        <v>0</v>
      </c>
      <c r="DS943" s="314">
        <f t="shared" si="662"/>
        <v>0</v>
      </c>
      <c r="DT943" s="316">
        <f t="shared" si="663"/>
        <v>0</v>
      </c>
      <c r="DU943" s="314">
        <f t="shared" si="652"/>
        <v>0</v>
      </c>
      <c r="DV943" s="316">
        <f t="shared" si="667"/>
        <v>0</v>
      </c>
      <c r="DW943" s="310">
        <f t="shared" si="653"/>
        <v>0</v>
      </c>
      <c r="FB943" s="307"/>
      <c r="FC943" s="307"/>
      <c r="FF943" s="307"/>
      <c r="FG943" s="307"/>
      <c r="FH943" s="306"/>
      <c r="FJ943" s="307"/>
      <c r="FK943" s="307"/>
      <c r="FL943" s="306"/>
      <c r="FM943" s="307"/>
      <c r="FN943" s="306"/>
      <c r="FO943" s="307"/>
      <c r="FP943" s="306"/>
    </row>
    <row r="944" spans="29:172">
      <c r="AC944" s="156"/>
      <c r="CW944" s="364"/>
      <c r="CX944" s="316"/>
      <c r="CY944" s="316"/>
      <c r="DA944" s="309">
        <v>943</v>
      </c>
      <c r="DB944" s="313">
        <f t="shared" si="647"/>
        <v>543.22393091302888</v>
      </c>
      <c r="DC944" s="309">
        <f t="shared" si="648"/>
        <v>4</v>
      </c>
      <c r="DD944" s="309">
        <f t="shared" si="649"/>
        <v>0</v>
      </c>
      <c r="DE944" s="308">
        <f t="shared" si="650"/>
        <v>0</v>
      </c>
      <c r="DF944" s="313">
        <f t="shared" si="664"/>
        <v>600</v>
      </c>
      <c r="DG944" s="313">
        <f t="shared" si="668"/>
        <v>0</v>
      </c>
      <c r="DH944" s="313">
        <f t="shared" si="654"/>
        <v>0</v>
      </c>
      <c r="DI944" s="313">
        <f t="shared" si="655"/>
        <v>0</v>
      </c>
      <c r="DJ944" s="313">
        <f t="shared" si="656"/>
        <v>0</v>
      </c>
      <c r="DK944" s="313">
        <f t="shared" si="665"/>
        <v>0</v>
      </c>
      <c r="DL944" s="313">
        <f t="shared" si="657"/>
        <v>0</v>
      </c>
      <c r="DM944" s="314">
        <f t="shared" si="658"/>
        <v>0</v>
      </c>
      <c r="DN944" s="312">
        <f t="shared" si="659"/>
        <v>0</v>
      </c>
      <c r="DO944" s="312">
        <f t="shared" si="666"/>
        <v>0</v>
      </c>
      <c r="DP944" s="315" t="e">
        <f t="shared" si="651"/>
        <v>#NUM!</v>
      </c>
      <c r="DQ944" s="316">
        <f t="shared" si="660"/>
        <v>0</v>
      </c>
      <c r="DR944" s="316">
        <f t="shared" si="661"/>
        <v>0</v>
      </c>
      <c r="DS944" s="314">
        <f t="shared" si="662"/>
        <v>0</v>
      </c>
      <c r="DT944" s="316">
        <f t="shared" si="663"/>
        <v>0</v>
      </c>
      <c r="DU944" s="314">
        <f t="shared" si="652"/>
        <v>0</v>
      </c>
      <c r="DV944" s="316">
        <f t="shared" si="667"/>
        <v>0</v>
      </c>
      <c r="DW944" s="310">
        <f t="shared" si="653"/>
        <v>0</v>
      </c>
      <c r="FB944" s="307"/>
      <c r="FC944" s="307"/>
      <c r="FF944" s="307"/>
      <c r="FG944" s="307"/>
      <c r="FH944" s="306"/>
      <c r="FJ944" s="307"/>
      <c r="FK944" s="307"/>
      <c r="FL944" s="306"/>
      <c r="FM944" s="307"/>
      <c r="FN944" s="306"/>
      <c r="FO944" s="307"/>
      <c r="FP944" s="306"/>
    </row>
    <row r="945" spans="29:172">
      <c r="AC945" s="156"/>
      <c r="CW945" s="364"/>
      <c r="CX945" s="316"/>
      <c r="CY945" s="316"/>
      <c r="DA945" s="309">
        <v>944</v>
      </c>
      <c r="DB945" s="313">
        <f t="shared" si="647"/>
        <v>543.58790114729504</v>
      </c>
      <c r="DC945" s="309">
        <f t="shared" si="648"/>
        <v>4</v>
      </c>
      <c r="DD945" s="309">
        <f t="shared" si="649"/>
        <v>0</v>
      </c>
      <c r="DE945" s="308">
        <f t="shared" si="650"/>
        <v>0</v>
      </c>
      <c r="DF945" s="313">
        <f t="shared" si="664"/>
        <v>600</v>
      </c>
      <c r="DG945" s="313">
        <f t="shared" si="668"/>
        <v>0</v>
      </c>
      <c r="DH945" s="313">
        <f t="shared" si="654"/>
        <v>0</v>
      </c>
      <c r="DI945" s="313">
        <f t="shared" si="655"/>
        <v>0</v>
      </c>
      <c r="DJ945" s="313">
        <f t="shared" si="656"/>
        <v>0</v>
      </c>
      <c r="DK945" s="313">
        <f t="shared" si="665"/>
        <v>0</v>
      </c>
      <c r="DL945" s="313">
        <f t="shared" si="657"/>
        <v>0</v>
      </c>
      <c r="DM945" s="314">
        <f t="shared" si="658"/>
        <v>0</v>
      </c>
      <c r="DN945" s="312">
        <f t="shared" si="659"/>
        <v>0</v>
      </c>
      <c r="DO945" s="312">
        <f t="shared" si="666"/>
        <v>0</v>
      </c>
      <c r="DP945" s="315" t="e">
        <f t="shared" si="651"/>
        <v>#NUM!</v>
      </c>
      <c r="DQ945" s="316">
        <f t="shared" si="660"/>
        <v>0</v>
      </c>
      <c r="DR945" s="316">
        <f t="shared" si="661"/>
        <v>0</v>
      </c>
      <c r="DS945" s="314">
        <f t="shared" si="662"/>
        <v>0</v>
      </c>
      <c r="DT945" s="316">
        <f t="shared" si="663"/>
        <v>0</v>
      </c>
      <c r="DU945" s="314">
        <f t="shared" si="652"/>
        <v>0</v>
      </c>
      <c r="DV945" s="316">
        <f t="shared" si="667"/>
        <v>0</v>
      </c>
      <c r="DW945" s="310">
        <f t="shared" si="653"/>
        <v>0</v>
      </c>
      <c r="FB945" s="307"/>
      <c r="FC945" s="307"/>
      <c r="FF945" s="307"/>
      <c r="FG945" s="307"/>
      <c r="FH945" s="306"/>
      <c r="FJ945" s="307"/>
      <c r="FK945" s="307"/>
      <c r="FL945" s="306"/>
      <c r="FM945" s="307"/>
      <c r="FN945" s="306"/>
      <c r="FO945" s="307"/>
      <c r="FP945" s="306"/>
    </row>
    <row r="946" spans="29:172">
      <c r="AC946" s="156"/>
      <c r="CW946" s="364"/>
      <c r="CX946" s="316"/>
      <c r="CY946" s="316"/>
      <c r="DA946" s="309">
        <v>945</v>
      </c>
      <c r="DB946" s="313">
        <f t="shared" si="647"/>
        <v>543.9518713815612</v>
      </c>
      <c r="DC946" s="309">
        <f t="shared" si="648"/>
        <v>4</v>
      </c>
      <c r="DD946" s="309">
        <f t="shared" si="649"/>
        <v>0</v>
      </c>
      <c r="DE946" s="308">
        <f t="shared" si="650"/>
        <v>0</v>
      </c>
      <c r="DF946" s="313">
        <f t="shared" si="664"/>
        <v>600</v>
      </c>
      <c r="DG946" s="313">
        <f t="shared" si="668"/>
        <v>0</v>
      </c>
      <c r="DH946" s="313">
        <f t="shared" si="654"/>
        <v>0</v>
      </c>
      <c r="DI946" s="313">
        <f t="shared" si="655"/>
        <v>0</v>
      </c>
      <c r="DJ946" s="313">
        <f t="shared" si="656"/>
        <v>0</v>
      </c>
      <c r="DK946" s="313">
        <f t="shared" si="665"/>
        <v>0</v>
      </c>
      <c r="DL946" s="313">
        <f t="shared" si="657"/>
        <v>0</v>
      </c>
      <c r="DM946" s="314">
        <f t="shared" si="658"/>
        <v>0</v>
      </c>
      <c r="DN946" s="312">
        <f t="shared" si="659"/>
        <v>0</v>
      </c>
      <c r="DO946" s="312">
        <f t="shared" si="666"/>
        <v>0</v>
      </c>
      <c r="DP946" s="315" t="e">
        <f t="shared" si="651"/>
        <v>#NUM!</v>
      </c>
      <c r="DQ946" s="316">
        <f t="shared" si="660"/>
        <v>0</v>
      </c>
      <c r="DR946" s="316">
        <f t="shared" si="661"/>
        <v>0</v>
      </c>
      <c r="DS946" s="314">
        <f t="shared" si="662"/>
        <v>0</v>
      </c>
      <c r="DT946" s="316">
        <f t="shared" si="663"/>
        <v>0</v>
      </c>
      <c r="DU946" s="314">
        <f t="shared" si="652"/>
        <v>0</v>
      </c>
      <c r="DV946" s="316">
        <f t="shared" si="667"/>
        <v>0</v>
      </c>
      <c r="DW946" s="310">
        <f t="shared" si="653"/>
        <v>0</v>
      </c>
      <c r="FB946" s="307"/>
      <c r="FC946" s="307"/>
      <c r="FF946" s="307"/>
      <c r="FG946" s="307"/>
      <c r="FH946" s="306"/>
      <c r="FJ946" s="307"/>
      <c r="FK946" s="307"/>
      <c r="FL946" s="306"/>
      <c r="FM946" s="307"/>
      <c r="FN946" s="306"/>
      <c r="FO946" s="307"/>
      <c r="FP946" s="306"/>
    </row>
    <row r="947" spans="29:172">
      <c r="AC947" s="156"/>
      <c r="CW947" s="364"/>
      <c r="CX947" s="316"/>
      <c r="CY947" s="316"/>
      <c r="DA947" s="309">
        <v>946</v>
      </c>
      <c r="DB947" s="313">
        <f t="shared" si="647"/>
        <v>544.31584161582737</v>
      </c>
      <c r="DC947" s="309">
        <f t="shared" si="648"/>
        <v>4</v>
      </c>
      <c r="DD947" s="309">
        <f t="shared" si="649"/>
        <v>0</v>
      </c>
      <c r="DE947" s="308">
        <f t="shared" si="650"/>
        <v>0</v>
      </c>
      <c r="DF947" s="313">
        <f t="shared" si="664"/>
        <v>600</v>
      </c>
      <c r="DG947" s="313">
        <f t="shared" si="668"/>
        <v>0</v>
      </c>
      <c r="DH947" s="313">
        <f t="shared" si="654"/>
        <v>0</v>
      </c>
      <c r="DI947" s="313">
        <f t="shared" si="655"/>
        <v>0</v>
      </c>
      <c r="DJ947" s="313">
        <f t="shared" si="656"/>
        <v>0</v>
      </c>
      <c r="DK947" s="313">
        <f t="shared" si="665"/>
        <v>0</v>
      </c>
      <c r="DL947" s="313">
        <f t="shared" si="657"/>
        <v>0</v>
      </c>
      <c r="DM947" s="314">
        <f t="shared" si="658"/>
        <v>0</v>
      </c>
      <c r="DN947" s="312">
        <f t="shared" si="659"/>
        <v>0</v>
      </c>
      <c r="DO947" s="312">
        <f t="shared" si="666"/>
        <v>0</v>
      </c>
      <c r="DP947" s="315" t="e">
        <f t="shared" si="651"/>
        <v>#NUM!</v>
      </c>
      <c r="DQ947" s="316">
        <f t="shared" si="660"/>
        <v>0</v>
      </c>
      <c r="DR947" s="316">
        <f t="shared" si="661"/>
        <v>0</v>
      </c>
      <c r="DS947" s="314">
        <f t="shared" si="662"/>
        <v>0</v>
      </c>
      <c r="DT947" s="316">
        <f t="shared" si="663"/>
        <v>0</v>
      </c>
      <c r="DU947" s="314">
        <f t="shared" si="652"/>
        <v>0</v>
      </c>
      <c r="DV947" s="316">
        <f t="shared" si="667"/>
        <v>0</v>
      </c>
      <c r="DW947" s="310">
        <f t="shared" si="653"/>
        <v>0</v>
      </c>
      <c r="FB947" s="307"/>
      <c r="FC947" s="307"/>
      <c r="FF947" s="307"/>
      <c r="FG947" s="307"/>
      <c r="FH947" s="306"/>
      <c r="FJ947" s="307"/>
      <c r="FK947" s="307"/>
      <c r="FL947" s="306"/>
      <c r="FM947" s="307"/>
      <c r="FN947" s="306"/>
      <c r="FO947" s="307"/>
      <c r="FP947" s="306"/>
    </row>
    <row r="948" spans="29:172">
      <c r="AC948" s="156"/>
      <c r="CW948" s="364"/>
      <c r="CX948" s="316"/>
      <c r="CY948" s="316"/>
      <c r="DA948" s="309">
        <v>947</v>
      </c>
      <c r="DB948" s="313">
        <f t="shared" si="647"/>
        <v>544.67981185009364</v>
      </c>
      <c r="DC948" s="309">
        <f t="shared" si="648"/>
        <v>4</v>
      </c>
      <c r="DD948" s="309">
        <f t="shared" si="649"/>
        <v>0</v>
      </c>
      <c r="DE948" s="308">
        <f t="shared" si="650"/>
        <v>0</v>
      </c>
      <c r="DF948" s="313">
        <f t="shared" si="664"/>
        <v>600</v>
      </c>
      <c r="DG948" s="313">
        <f t="shared" si="668"/>
        <v>0</v>
      </c>
      <c r="DH948" s="313">
        <f t="shared" si="654"/>
        <v>0</v>
      </c>
      <c r="DI948" s="313">
        <f t="shared" si="655"/>
        <v>0</v>
      </c>
      <c r="DJ948" s="313">
        <f t="shared" si="656"/>
        <v>0</v>
      </c>
      <c r="DK948" s="313">
        <f t="shared" si="665"/>
        <v>0</v>
      </c>
      <c r="DL948" s="313">
        <f t="shared" si="657"/>
        <v>0</v>
      </c>
      <c r="DM948" s="314">
        <f t="shared" si="658"/>
        <v>0</v>
      </c>
      <c r="DN948" s="312">
        <f t="shared" si="659"/>
        <v>0</v>
      </c>
      <c r="DO948" s="312">
        <f t="shared" si="666"/>
        <v>0</v>
      </c>
      <c r="DP948" s="315" t="e">
        <f t="shared" si="651"/>
        <v>#NUM!</v>
      </c>
      <c r="DQ948" s="316">
        <f t="shared" si="660"/>
        <v>0</v>
      </c>
      <c r="DR948" s="316">
        <f t="shared" si="661"/>
        <v>0</v>
      </c>
      <c r="DS948" s="314">
        <f t="shared" si="662"/>
        <v>0</v>
      </c>
      <c r="DT948" s="316">
        <f t="shared" si="663"/>
        <v>0</v>
      </c>
      <c r="DU948" s="314">
        <f t="shared" si="652"/>
        <v>0</v>
      </c>
      <c r="DV948" s="316">
        <f t="shared" si="667"/>
        <v>0</v>
      </c>
      <c r="DW948" s="310">
        <f t="shared" si="653"/>
        <v>0</v>
      </c>
      <c r="FB948" s="307"/>
      <c r="FC948" s="307"/>
      <c r="FF948" s="307"/>
      <c r="FG948" s="307"/>
      <c r="FH948" s="306"/>
      <c r="FJ948" s="307"/>
      <c r="FK948" s="307"/>
      <c r="FL948" s="306"/>
      <c r="FM948" s="307"/>
      <c r="FN948" s="306"/>
      <c r="FO948" s="307"/>
      <c r="FP948" s="306"/>
    </row>
    <row r="949" spans="29:172">
      <c r="AC949" s="156"/>
      <c r="CW949" s="364"/>
      <c r="CX949" s="316"/>
      <c r="CY949" s="316"/>
      <c r="DA949" s="309">
        <v>948</v>
      </c>
      <c r="DB949" s="313">
        <f t="shared" si="647"/>
        <v>545.0437820843598</v>
      </c>
      <c r="DC949" s="309">
        <f t="shared" si="648"/>
        <v>4</v>
      </c>
      <c r="DD949" s="309">
        <f t="shared" si="649"/>
        <v>0</v>
      </c>
      <c r="DE949" s="308">
        <f t="shared" si="650"/>
        <v>0</v>
      </c>
      <c r="DF949" s="313">
        <f t="shared" si="664"/>
        <v>600</v>
      </c>
      <c r="DG949" s="313">
        <f t="shared" si="668"/>
        <v>0</v>
      </c>
      <c r="DH949" s="313">
        <f t="shared" si="654"/>
        <v>0</v>
      </c>
      <c r="DI949" s="313">
        <f t="shared" si="655"/>
        <v>0</v>
      </c>
      <c r="DJ949" s="313">
        <f t="shared" si="656"/>
        <v>0</v>
      </c>
      <c r="DK949" s="313">
        <f t="shared" si="665"/>
        <v>0</v>
      </c>
      <c r="DL949" s="313">
        <f t="shared" si="657"/>
        <v>0</v>
      </c>
      <c r="DM949" s="314">
        <f t="shared" si="658"/>
        <v>0</v>
      </c>
      <c r="DN949" s="312">
        <f t="shared" si="659"/>
        <v>0</v>
      </c>
      <c r="DO949" s="312">
        <f t="shared" si="666"/>
        <v>0</v>
      </c>
      <c r="DP949" s="315" t="e">
        <f t="shared" si="651"/>
        <v>#NUM!</v>
      </c>
      <c r="DQ949" s="316">
        <f t="shared" si="660"/>
        <v>0</v>
      </c>
      <c r="DR949" s="316">
        <f t="shared" si="661"/>
        <v>0</v>
      </c>
      <c r="DS949" s="314">
        <f t="shared" si="662"/>
        <v>0</v>
      </c>
      <c r="DT949" s="316">
        <f t="shared" si="663"/>
        <v>0</v>
      </c>
      <c r="DU949" s="314">
        <f t="shared" si="652"/>
        <v>0</v>
      </c>
      <c r="DV949" s="316">
        <f t="shared" si="667"/>
        <v>0</v>
      </c>
      <c r="DW949" s="310">
        <f t="shared" si="653"/>
        <v>0</v>
      </c>
      <c r="FB949" s="307"/>
      <c r="FC949" s="307"/>
      <c r="FF949" s="307"/>
      <c r="FG949" s="307"/>
      <c r="FH949" s="306"/>
      <c r="FJ949" s="307"/>
      <c r="FK949" s="307"/>
      <c r="FL949" s="306"/>
      <c r="FM949" s="307"/>
      <c r="FN949" s="306"/>
      <c r="FO949" s="307"/>
      <c r="FP949" s="306"/>
    </row>
    <row r="950" spans="29:172">
      <c r="AC950" s="156"/>
      <c r="CW950" s="364"/>
      <c r="CX950" s="316"/>
      <c r="CY950" s="316"/>
      <c r="DA950" s="309">
        <v>949</v>
      </c>
      <c r="DB950" s="313">
        <f t="shared" si="647"/>
        <v>545.40775231862608</v>
      </c>
      <c r="DC950" s="309">
        <f t="shared" si="648"/>
        <v>4</v>
      </c>
      <c r="DD950" s="309">
        <f t="shared" si="649"/>
        <v>0</v>
      </c>
      <c r="DE950" s="308">
        <f t="shared" si="650"/>
        <v>0</v>
      </c>
      <c r="DF950" s="313">
        <f t="shared" si="664"/>
        <v>600</v>
      </c>
      <c r="DG950" s="313">
        <f t="shared" si="668"/>
        <v>0</v>
      </c>
      <c r="DH950" s="313">
        <f t="shared" si="654"/>
        <v>0</v>
      </c>
      <c r="DI950" s="313">
        <f t="shared" si="655"/>
        <v>0</v>
      </c>
      <c r="DJ950" s="313">
        <f t="shared" si="656"/>
        <v>0</v>
      </c>
      <c r="DK950" s="313">
        <f t="shared" si="665"/>
        <v>0</v>
      </c>
      <c r="DL950" s="313">
        <f t="shared" si="657"/>
        <v>0</v>
      </c>
      <c r="DM950" s="314">
        <f t="shared" si="658"/>
        <v>0</v>
      </c>
      <c r="DN950" s="312">
        <f t="shared" si="659"/>
        <v>0</v>
      </c>
      <c r="DO950" s="312">
        <f t="shared" si="666"/>
        <v>0</v>
      </c>
      <c r="DP950" s="315" t="e">
        <f t="shared" si="651"/>
        <v>#NUM!</v>
      </c>
      <c r="DQ950" s="316">
        <f t="shared" si="660"/>
        <v>0</v>
      </c>
      <c r="DR950" s="316">
        <f t="shared" si="661"/>
        <v>0</v>
      </c>
      <c r="DS950" s="314">
        <f t="shared" si="662"/>
        <v>0</v>
      </c>
      <c r="DT950" s="316">
        <f t="shared" si="663"/>
        <v>0</v>
      </c>
      <c r="DU950" s="314">
        <f t="shared" si="652"/>
        <v>0</v>
      </c>
      <c r="DV950" s="316">
        <f t="shared" si="667"/>
        <v>0</v>
      </c>
      <c r="DW950" s="310">
        <f t="shared" si="653"/>
        <v>0</v>
      </c>
      <c r="FB950" s="307"/>
      <c r="FC950" s="307"/>
      <c r="FF950" s="307"/>
      <c r="FG950" s="307"/>
      <c r="FH950" s="306"/>
      <c r="FJ950" s="307"/>
      <c r="FK950" s="307"/>
      <c r="FL950" s="306"/>
      <c r="FM950" s="307"/>
      <c r="FN950" s="306"/>
      <c r="FO950" s="307"/>
      <c r="FP950" s="306"/>
    </row>
    <row r="951" spans="29:172">
      <c r="AC951" s="156"/>
      <c r="CW951" s="364"/>
      <c r="CX951" s="316"/>
      <c r="CY951" s="316"/>
      <c r="DA951" s="309">
        <v>950</v>
      </c>
      <c r="DB951" s="313">
        <f t="shared" si="647"/>
        <v>545.77172255289224</v>
      </c>
      <c r="DC951" s="309">
        <f t="shared" si="648"/>
        <v>4</v>
      </c>
      <c r="DD951" s="309">
        <f t="shared" si="649"/>
        <v>0</v>
      </c>
      <c r="DE951" s="308">
        <f t="shared" si="650"/>
        <v>0</v>
      </c>
      <c r="DF951" s="313">
        <f t="shared" si="664"/>
        <v>600</v>
      </c>
      <c r="DG951" s="313">
        <f t="shared" si="668"/>
        <v>0</v>
      </c>
      <c r="DH951" s="313">
        <f t="shared" si="654"/>
        <v>0</v>
      </c>
      <c r="DI951" s="313">
        <f t="shared" si="655"/>
        <v>0</v>
      </c>
      <c r="DJ951" s="313">
        <f t="shared" si="656"/>
        <v>0</v>
      </c>
      <c r="DK951" s="313">
        <f t="shared" si="665"/>
        <v>0</v>
      </c>
      <c r="DL951" s="313">
        <f t="shared" si="657"/>
        <v>0</v>
      </c>
      <c r="DM951" s="314">
        <f t="shared" si="658"/>
        <v>0</v>
      </c>
      <c r="DN951" s="312">
        <f t="shared" si="659"/>
        <v>0</v>
      </c>
      <c r="DO951" s="312">
        <f t="shared" si="666"/>
        <v>0</v>
      </c>
      <c r="DP951" s="315" t="e">
        <f t="shared" si="651"/>
        <v>#NUM!</v>
      </c>
      <c r="DQ951" s="316">
        <f t="shared" si="660"/>
        <v>0</v>
      </c>
      <c r="DR951" s="316">
        <f t="shared" si="661"/>
        <v>0</v>
      </c>
      <c r="DS951" s="314">
        <f t="shared" si="662"/>
        <v>0</v>
      </c>
      <c r="DT951" s="316">
        <f t="shared" si="663"/>
        <v>0</v>
      </c>
      <c r="DU951" s="314">
        <f t="shared" si="652"/>
        <v>0</v>
      </c>
      <c r="DV951" s="316">
        <f t="shared" si="667"/>
        <v>0</v>
      </c>
      <c r="DW951" s="310">
        <f t="shared" si="653"/>
        <v>0</v>
      </c>
      <c r="FB951" s="307"/>
      <c r="FC951" s="307"/>
      <c r="FF951" s="307"/>
      <c r="FG951" s="307"/>
      <c r="FH951" s="306"/>
      <c r="FJ951" s="307"/>
      <c r="FK951" s="307"/>
      <c r="FL951" s="306"/>
      <c r="FM951" s="307"/>
      <c r="FN951" s="306"/>
      <c r="FO951" s="307"/>
      <c r="FP951" s="306"/>
    </row>
    <row r="952" spans="29:172">
      <c r="AC952" s="156"/>
      <c r="CW952" s="364"/>
      <c r="CX952" s="316"/>
      <c r="CY952" s="316"/>
      <c r="DA952" s="309">
        <v>951</v>
      </c>
      <c r="DB952" s="313">
        <f t="shared" si="647"/>
        <v>546.1356927871584</v>
      </c>
      <c r="DC952" s="309">
        <f t="shared" si="648"/>
        <v>4</v>
      </c>
      <c r="DD952" s="309">
        <f t="shared" si="649"/>
        <v>0</v>
      </c>
      <c r="DE952" s="308">
        <f t="shared" si="650"/>
        <v>0</v>
      </c>
      <c r="DF952" s="313">
        <f t="shared" si="664"/>
        <v>600</v>
      </c>
      <c r="DG952" s="313">
        <f t="shared" si="668"/>
        <v>0</v>
      </c>
      <c r="DH952" s="313">
        <f t="shared" si="654"/>
        <v>0</v>
      </c>
      <c r="DI952" s="313">
        <f t="shared" si="655"/>
        <v>0</v>
      </c>
      <c r="DJ952" s="313">
        <f t="shared" si="656"/>
        <v>0</v>
      </c>
      <c r="DK952" s="313">
        <f t="shared" si="665"/>
        <v>0</v>
      </c>
      <c r="DL952" s="313">
        <f t="shared" si="657"/>
        <v>0</v>
      </c>
      <c r="DM952" s="314">
        <f t="shared" si="658"/>
        <v>0</v>
      </c>
      <c r="DN952" s="312">
        <f t="shared" si="659"/>
        <v>0</v>
      </c>
      <c r="DO952" s="312">
        <f t="shared" si="666"/>
        <v>0</v>
      </c>
      <c r="DP952" s="315" t="e">
        <f t="shared" si="651"/>
        <v>#NUM!</v>
      </c>
      <c r="DQ952" s="316">
        <f t="shared" si="660"/>
        <v>0</v>
      </c>
      <c r="DR952" s="316">
        <f t="shared" si="661"/>
        <v>0</v>
      </c>
      <c r="DS952" s="314">
        <f t="shared" si="662"/>
        <v>0</v>
      </c>
      <c r="DT952" s="316">
        <f t="shared" si="663"/>
        <v>0</v>
      </c>
      <c r="DU952" s="314">
        <f t="shared" si="652"/>
        <v>0</v>
      </c>
      <c r="DV952" s="316">
        <f t="shared" si="667"/>
        <v>0</v>
      </c>
      <c r="DW952" s="310">
        <f t="shared" si="653"/>
        <v>0</v>
      </c>
      <c r="FB952" s="307"/>
      <c r="FC952" s="307"/>
      <c r="FF952" s="307"/>
      <c r="FG952" s="307"/>
      <c r="FH952" s="306"/>
      <c r="FJ952" s="307"/>
      <c r="FK952" s="307"/>
      <c r="FL952" s="306"/>
      <c r="FM952" s="307"/>
      <c r="FN952" s="306"/>
      <c r="FO952" s="307"/>
      <c r="FP952" s="306"/>
    </row>
    <row r="953" spans="29:172">
      <c r="AC953" s="156"/>
      <c r="CW953" s="364"/>
      <c r="CX953" s="316"/>
      <c r="CY953" s="316"/>
      <c r="DA953" s="309">
        <v>952</v>
      </c>
      <c r="DB953" s="313">
        <f t="shared" si="647"/>
        <v>546.49966302142457</v>
      </c>
      <c r="DC953" s="309">
        <f t="shared" si="648"/>
        <v>4</v>
      </c>
      <c r="DD953" s="309">
        <f t="shared" si="649"/>
        <v>0</v>
      </c>
      <c r="DE953" s="308">
        <f t="shared" si="650"/>
        <v>0</v>
      </c>
      <c r="DF953" s="313">
        <f t="shared" si="664"/>
        <v>600</v>
      </c>
      <c r="DG953" s="313">
        <f t="shared" si="668"/>
        <v>0</v>
      </c>
      <c r="DH953" s="313">
        <f t="shared" si="654"/>
        <v>0</v>
      </c>
      <c r="DI953" s="313">
        <f t="shared" si="655"/>
        <v>0</v>
      </c>
      <c r="DJ953" s="313">
        <f t="shared" si="656"/>
        <v>0</v>
      </c>
      <c r="DK953" s="313">
        <f t="shared" si="665"/>
        <v>0</v>
      </c>
      <c r="DL953" s="313">
        <f t="shared" si="657"/>
        <v>0</v>
      </c>
      <c r="DM953" s="314">
        <f t="shared" si="658"/>
        <v>0</v>
      </c>
      <c r="DN953" s="312">
        <f t="shared" si="659"/>
        <v>0</v>
      </c>
      <c r="DO953" s="312">
        <f t="shared" si="666"/>
        <v>0</v>
      </c>
      <c r="DP953" s="315" t="e">
        <f t="shared" si="651"/>
        <v>#NUM!</v>
      </c>
      <c r="DQ953" s="316">
        <f t="shared" si="660"/>
        <v>0</v>
      </c>
      <c r="DR953" s="316">
        <f t="shared" si="661"/>
        <v>0</v>
      </c>
      <c r="DS953" s="314">
        <f t="shared" si="662"/>
        <v>0</v>
      </c>
      <c r="DT953" s="316">
        <f t="shared" si="663"/>
        <v>0</v>
      </c>
      <c r="DU953" s="314">
        <f t="shared" si="652"/>
        <v>0</v>
      </c>
      <c r="DV953" s="316">
        <f t="shared" si="667"/>
        <v>0</v>
      </c>
      <c r="DW953" s="310">
        <f t="shared" si="653"/>
        <v>0</v>
      </c>
      <c r="FB953" s="307"/>
      <c r="FC953" s="307"/>
      <c r="FF953" s="307"/>
      <c r="FG953" s="307"/>
      <c r="FH953" s="306"/>
      <c r="FJ953" s="307"/>
      <c r="FK953" s="307"/>
      <c r="FL953" s="306"/>
      <c r="FM953" s="307"/>
      <c r="FN953" s="306"/>
      <c r="FO953" s="307"/>
      <c r="FP953" s="306"/>
    </row>
    <row r="954" spans="29:172">
      <c r="AC954" s="156"/>
      <c r="CW954" s="364"/>
      <c r="CX954" s="316"/>
      <c r="CY954" s="316"/>
      <c r="DA954" s="309">
        <v>953</v>
      </c>
      <c r="DB954" s="313">
        <f t="shared" si="647"/>
        <v>546.86363325569084</v>
      </c>
      <c r="DC954" s="309">
        <f t="shared" si="648"/>
        <v>4</v>
      </c>
      <c r="DD954" s="309">
        <f t="shared" si="649"/>
        <v>0</v>
      </c>
      <c r="DE954" s="308">
        <f t="shared" si="650"/>
        <v>0</v>
      </c>
      <c r="DF954" s="313">
        <f t="shared" si="664"/>
        <v>600</v>
      </c>
      <c r="DG954" s="313">
        <f t="shared" si="668"/>
        <v>0</v>
      </c>
      <c r="DH954" s="313">
        <f t="shared" si="654"/>
        <v>0</v>
      </c>
      <c r="DI954" s="313">
        <f t="shared" si="655"/>
        <v>0</v>
      </c>
      <c r="DJ954" s="313">
        <f t="shared" si="656"/>
        <v>0</v>
      </c>
      <c r="DK954" s="313">
        <f t="shared" si="665"/>
        <v>0</v>
      </c>
      <c r="DL954" s="313">
        <f t="shared" si="657"/>
        <v>0</v>
      </c>
      <c r="DM954" s="314">
        <f t="shared" si="658"/>
        <v>0</v>
      </c>
      <c r="DN954" s="312">
        <f t="shared" si="659"/>
        <v>0</v>
      </c>
      <c r="DO954" s="312">
        <f t="shared" si="666"/>
        <v>0</v>
      </c>
      <c r="DP954" s="315" t="e">
        <f t="shared" si="651"/>
        <v>#NUM!</v>
      </c>
      <c r="DQ954" s="316">
        <f t="shared" si="660"/>
        <v>0</v>
      </c>
      <c r="DR954" s="316">
        <f t="shared" si="661"/>
        <v>0</v>
      </c>
      <c r="DS954" s="314">
        <f t="shared" si="662"/>
        <v>0</v>
      </c>
      <c r="DT954" s="316">
        <f t="shared" si="663"/>
        <v>0</v>
      </c>
      <c r="DU954" s="314">
        <f t="shared" si="652"/>
        <v>0</v>
      </c>
      <c r="DV954" s="316">
        <f t="shared" si="667"/>
        <v>0</v>
      </c>
      <c r="DW954" s="310">
        <f t="shared" si="653"/>
        <v>0</v>
      </c>
      <c r="FB954" s="307"/>
      <c r="FC954" s="307"/>
      <c r="FF954" s="307"/>
      <c r="FG954" s="307"/>
      <c r="FH954" s="306"/>
      <c r="FJ954" s="307"/>
      <c r="FK954" s="307"/>
      <c r="FL954" s="306"/>
      <c r="FM954" s="307"/>
      <c r="FN954" s="306"/>
      <c r="FO954" s="307"/>
      <c r="FP954" s="306"/>
    </row>
    <row r="955" spans="29:172">
      <c r="AC955" s="156"/>
      <c r="CW955" s="364"/>
      <c r="CX955" s="316"/>
      <c r="CY955" s="316"/>
      <c r="DA955" s="309">
        <v>954</v>
      </c>
      <c r="DB955" s="313">
        <f t="shared" si="647"/>
        <v>547.22760348995712</v>
      </c>
      <c r="DC955" s="309">
        <f t="shared" si="648"/>
        <v>4</v>
      </c>
      <c r="DD955" s="309">
        <f t="shared" si="649"/>
        <v>0</v>
      </c>
      <c r="DE955" s="308">
        <f t="shared" si="650"/>
        <v>0</v>
      </c>
      <c r="DF955" s="313">
        <f t="shared" si="664"/>
        <v>600</v>
      </c>
      <c r="DG955" s="313">
        <f t="shared" si="668"/>
        <v>0</v>
      </c>
      <c r="DH955" s="313">
        <f t="shared" si="654"/>
        <v>0</v>
      </c>
      <c r="DI955" s="313">
        <f t="shared" si="655"/>
        <v>0</v>
      </c>
      <c r="DJ955" s="313">
        <f t="shared" si="656"/>
        <v>0</v>
      </c>
      <c r="DK955" s="313">
        <f t="shared" si="665"/>
        <v>0</v>
      </c>
      <c r="DL955" s="313">
        <f t="shared" si="657"/>
        <v>0</v>
      </c>
      <c r="DM955" s="314">
        <f t="shared" si="658"/>
        <v>0</v>
      </c>
      <c r="DN955" s="312">
        <f t="shared" si="659"/>
        <v>0</v>
      </c>
      <c r="DO955" s="312">
        <f t="shared" si="666"/>
        <v>0</v>
      </c>
      <c r="DP955" s="315" t="e">
        <f t="shared" si="651"/>
        <v>#NUM!</v>
      </c>
      <c r="DQ955" s="316">
        <f t="shared" si="660"/>
        <v>0</v>
      </c>
      <c r="DR955" s="316">
        <f t="shared" si="661"/>
        <v>0</v>
      </c>
      <c r="DS955" s="314">
        <f t="shared" si="662"/>
        <v>0</v>
      </c>
      <c r="DT955" s="316">
        <f t="shared" si="663"/>
        <v>0</v>
      </c>
      <c r="DU955" s="314">
        <f t="shared" si="652"/>
        <v>0</v>
      </c>
      <c r="DV955" s="316">
        <f t="shared" si="667"/>
        <v>0</v>
      </c>
      <c r="DW955" s="310">
        <f t="shared" si="653"/>
        <v>0</v>
      </c>
      <c r="FB955" s="307"/>
      <c r="FC955" s="307"/>
      <c r="FF955" s="307"/>
      <c r="FG955" s="307"/>
      <c r="FH955" s="306"/>
      <c r="FJ955" s="307"/>
      <c r="FK955" s="307"/>
      <c r="FL955" s="306"/>
      <c r="FM955" s="307"/>
      <c r="FN955" s="306"/>
      <c r="FO955" s="307"/>
      <c r="FP955" s="306"/>
    </row>
    <row r="956" spans="29:172">
      <c r="AC956" s="156"/>
      <c r="CW956" s="364"/>
      <c r="CX956" s="316"/>
      <c r="CY956" s="316"/>
      <c r="DA956" s="309">
        <v>955</v>
      </c>
      <c r="DB956" s="313">
        <f t="shared" si="647"/>
        <v>547.59157372422328</v>
      </c>
      <c r="DC956" s="309">
        <f t="shared" si="648"/>
        <v>4</v>
      </c>
      <c r="DD956" s="309">
        <f t="shared" si="649"/>
        <v>0</v>
      </c>
      <c r="DE956" s="308">
        <f t="shared" si="650"/>
        <v>0</v>
      </c>
      <c r="DF956" s="313">
        <f t="shared" si="664"/>
        <v>600</v>
      </c>
      <c r="DG956" s="313">
        <f t="shared" si="668"/>
        <v>0</v>
      </c>
      <c r="DH956" s="313">
        <f t="shared" si="654"/>
        <v>0</v>
      </c>
      <c r="DI956" s="313">
        <f t="shared" si="655"/>
        <v>0</v>
      </c>
      <c r="DJ956" s="313">
        <f t="shared" si="656"/>
        <v>0</v>
      </c>
      <c r="DK956" s="313">
        <f t="shared" si="665"/>
        <v>0</v>
      </c>
      <c r="DL956" s="313">
        <f t="shared" si="657"/>
        <v>0</v>
      </c>
      <c r="DM956" s="314">
        <f t="shared" si="658"/>
        <v>0</v>
      </c>
      <c r="DN956" s="312">
        <f t="shared" si="659"/>
        <v>0</v>
      </c>
      <c r="DO956" s="312">
        <f t="shared" si="666"/>
        <v>0</v>
      </c>
      <c r="DP956" s="315" t="e">
        <f t="shared" si="651"/>
        <v>#NUM!</v>
      </c>
      <c r="DQ956" s="316">
        <f t="shared" si="660"/>
        <v>0</v>
      </c>
      <c r="DR956" s="316">
        <f t="shared" si="661"/>
        <v>0</v>
      </c>
      <c r="DS956" s="314">
        <f t="shared" si="662"/>
        <v>0</v>
      </c>
      <c r="DT956" s="316">
        <f t="shared" si="663"/>
        <v>0</v>
      </c>
      <c r="DU956" s="314">
        <f t="shared" si="652"/>
        <v>0</v>
      </c>
      <c r="DV956" s="316">
        <f t="shared" si="667"/>
        <v>0</v>
      </c>
      <c r="DW956" s="310">
        <f t="shared" si="653"/>
        <v>0</v>
      </c>
      <c r="FB956" s="307"/>
      <c r="FC956" s="307"/>
      <c r="FF956" s="307"/>
      <c r="FG956" s="307"/>
      <c r="FH956" s="306"/>
      <c r="FJ956" s="307"/>
      <c r="FK956" s="307"/>
      <c r="FL956" s="306"/>
      <c r="FM956" s="307"/>
      <c r="FN956" s="306"/>
      <c r="FO956" s="307"/>
      <c r="FP956" s="306"/>
    </row>
    <row r="957" spans="29:172">
      <c r="AC957" s="156"/>
      <c r="CW957" s="364"/>
      <c r="CX957" s="316"/>
      <c r="CY957" s="316"/>
      <c r="DA957" s="309">
        <v>956</v>
      </c>
      <c r="DB957" s="313">
        <f t="shared" si="647"/>
        <v>547.95554395848944</v>
      </c>
      <c r="DC957" s="309">
        <f t="shared" si="648"/>
        <v>4</v>
      </c>
      <c r="DD957" s="309">
        <f t="shared" si="649"/>
        <v>0</v>
      </c>
      <c r="DE957" s="308">
        <f t="shared" si="650"/>
        <v>0</v>
      </c>
      <c r="DF957" s="313">
        <f t="shared" si="664"/>
        <v>600</v>
      </c>
      <c r="DG957" s="313">
        <f t="shared" si="668"/>
        <v>0</v>
      </c>
      <c r="DH957" s="313">
        <f t="shared" si="654"/>
        <v>0</v>
      </c>
      <c r="DI957" s="313">
        <f t="shared" si="655"/>
        <v>0</v>
      </c>
      <c r="DJ957" s="313">
        <f t="shared" si="656"/>
        <v>0</v>
      </c>
      <c r="DK957" s="313">
        <f t="shared" si="665"/>
        <v>0</v>
      </c>
      <c r="DL957" s="313">
        <f t="shared" si="657"/>
        <v>0</v>
      </c>
      <c r="DM957" s="314">
        <f t="shared" si="658"/>
        <v>0</v>
      </c>
      <c r="DN957" s="312">
        <f t="shared" si="659"/>
        <v>0</v>
      </c>
      <c r="DO957" s="312">
        <f t="shared" si="666"/>
        <v>0</v>
      </c>
      <c r="DP957" s="315" t="e">
        <f t="shared" si="651"/>
        <v>#NUM!</v>
      </c>
      <c r="DQ957" s="316">
        <f t="shared" si="660"/>
        <v>0</v>
      </c>
      <c r="DR957" s="316">
        <f t="shared" si="661"/>
        <v>0</v>
      </c>
      <c r="DS957" s="314">
        <f t="shared" si="662"/>
        <v>0</v>
      </c>
      <c r="DT957" s="316">
        <f t="shared" si="663"/>
        <v>0</v>
      </c>
      <c r="DU957" s="314">
        <f t="shared" si="652"/>
        <v>0</v>
      </c>
      <c r="DV957" s="316">
        <f t="shared" si="667"/>
        <v>0</v>
      </c>
      <c r="DW957" s="310">
        <f t="shared" si="653"/>
        <v>0</v>
      </c>
      <c r="FB957" s="307"/>
      <c r="FC957" s="307"/>
      <c r="FF957" s="307"/>
      <c r="FG957" s="307"/>
      <c r="FH957" s="306"/>
      <c r="FJ957" s="307"/>
      <c r="FK957" s="307"/>
      <c r="FL957" s="306"/>
      <c r="FM957" s="307"/>
      <c r="FN957" s="306"/>
      <c r="FO957" s="307"/>
      <c r="FP957" s="306"/>
    </row>
    <row r="958" spans="29:172">
      <c r="AC958" s="156"/>
      <c r="CW958" s="364"/>
      <c r="CX958" s="316"/>
      <c r="CY958" s="316"/>
      <c r="DA958" s="309">
        <v>957</v>
      </c>
      <c r="DB958" s="313">
        <f t="shared" si="647"/>
        <v>548.31951419275561</v>
      </c>
      <c r="DC958" s="309">
        <f t="shared" si="648"/>
        <v>4</v>
      </c>
      <c r="DD958" s="309">
        <f t="shared" si="649"/>
        <v>0</v>
      </c>
      <c r="DE958" s="308">
        <f t="shared" si="650"/>
        <v>0</v>
      </c>
      <c r="DF958" s="313">
        <f t="shared" si="664"/>
        <v>600</v>
      </c>
      <c r="DG958" s="313">
        <f t="shared" si="668"/>
        <v>0</v>
      </c>
      <c r="DH958" s="313">
        <f t="shared" si="654"/>
        <v>0</v>
      </c>
      <c r="DI958" s="313">
        <f t="shared" si="655"/>
        <v>0</v>
      </c>
      <c r="DJ958" s="313">
        <f t="shared" si="656"/>
        <v>0</v>
      </c>
      <c r="DK958" s="313">
        <f t="shared" si="665"/>
        <v>0</v>
      </c>
      <c r="DL958" s="313">
        <f t="shared" si="657"/>
        <v>0</v>
      </c>
      <c r="DM958" s="314">
        <f t="shared" si="658"/>
        <v>0</v>
      </c>
      <c r="DN958" s="312">
        <f t="shared" si="659"/>
        <v>0</v>
      </c>
      <c r="DO958" s="312">
        <f t="shared" si="666"/>
        <v>0</v>
      </c>
      <c r="DP958" s="315" t="e">
        <f t="shared" si="651"/>
        <v>#NUM!</v>
      </c>
      <c r="DQ958" s="316">
        <f t="shared" si="660"/>
        <v>0</v>
      </c>
      <c r="DR958" s="316">
        <f t="shared" si="661"/>
        <v>0</v>
      </c>
      <c r="DS958" s="314">
        <f t="shared" si="662"/>
        <v>0</v>
      </c>
      <c r="DT958" s="316">
        <f t="shared" si="663"/>
        <v>0</v>
      </c>
      <c r="DU958" s="314">
        <f t="shared" si="652"/>
        <v>0</v>
      </c>
      <c r="DV958" s="316">
        <f t="shared" si="667"/>
        <v>0</v>
      </c>
      <c r="DW958" s="310">
        <f t="shared" si="653"/>
        <v>0</v>
      </c>
      <c r="FB958" s="307"/>
      <c r="FC958" s="307"/>
      <c r="FF958" s="307"/>
      <c r="FG958" s="307"/>
      <c r="FH958" s="306"/>
      <c r="FJ958" s="307"/>
      <c r="FK958" s="307"/>
      <c r="FL958" s="306"/>
      <c r="FM958" s="307"/>
      <c r="FN958" s="306"/>
      <c r="FO958" s="307"/>
      <c r="FP958" s="306"/>
    </row>
    <row r="959" spans="29:172">
      <c r="AC959" s="156"/>
      <c r="CW959" s="364"/>
      <c r="CX959" s="316"/>
      <c r="CY959" s="316"/>
      <c r="DA959" s="309">
        <v>958</v>
      </c>
      <c r="DB959" s="313">
        <f t="shared" si="647"/>
        <v>548.68348442702177</v>
      </c>
      <c r="DC959" s="309">
        <f t="shared" si="648"/>
        <v>4</v>
      </c>
      <c r="DD959" s="309">
        <f t="shared" si="649"/>
        <v>0</v>
      </c>
      <c r="DE959" s="308">
        <f t="shared" si="650"/>
        <v>0</v>
      </c>
      <c r="DF959" s="313">
        <f t="shared" si="664"/>
        <v>600</v>
      </c>
      <c r="DG959" s="313">
        <f t="shared" si="668"/>
        <v>0</v>
      </c>
      <c r="DH959" s="313">
        <f t="shared" si="654"/>
        <v>0</v>
      </c>
      <c r="DI959" s="313">
        <f t="shared" si="655"/>
        <v>0</v>
      </c>
      <c r="DJ959" s="313">
        <f t="shared" si="656"/>
        <v>0</v>
      </c>
      <c r="DK959" s="313">
        <f t="shared" si="665"/>
        <v>0</v>
      </c>
      <c r="DL959" s="313">
        <f t="shared" si="657"/>
        <v>0</v>
      </c>
      <c r="DM959" s="314">
        <f t="shared" si="658"/>
        <v>0</v>
      </c>
      <c r="DN959" s="312">
        <f t="shared" si="659"/>
        <v>0</v>
      </c>
      <c r="DO959" s="312">
        <f t="shared" si="666"/>
        <v>0</v>
      </c>
      <c r="DP959" s="315" t="e">
        <f t="shared" si="651"/>
        <v>#NUM!</v>
      </c>
      <c r="DQ959" s="316">
        <f t="shared" si="660"/>
        <v>0</v>
      </c>
      <c r="DR959" s="316">
        <f t="shared" si="661"/>
        <v>0</v>
      </c>
      <c r="DS959" s="314">
        <f t="shared" si="662"/>
        <v>0</v>
      </c>
      <c r="DT959" s="316">
        <f t="shared" si="663"/>
        <v>0</v>
      </c>
      <c r="DU959" s="314">
        <f t="shared" si="652"/>
        <v>0</v>
      </c>
      <c r="DV959" s="316">
        <f t="shared" si="667"/>
        <v>0</v>
      </c>
      <c r="DW959" s="310">
        <f t="shared" si="653"/>
        <v>0</v>
      </c>
      <c r="FB959" s="307"/>
      <c r="FC959" s="307"/>
      <c r="FF959" s="307"/>
      <c r="FG959" s="307"/>
      <c r="FH959" s="306"/>
      <c r="FJ959" s="307"/>
      <c r="FK959" s="307"/>
      <c r="FL959" s="306"/>
      <c r="FM959" s="307"/>
      <c r="FN959" s="306"/>
      <c r="FO959" s="307"/>
      <c r="FP959" s="306"/>
    </row>
    <row r="960" spans="29:172">
      <c r="AC960" s="156"/>
      <c r="CW960" s="364"/>
      <c r="CX960" s="316"/>
      <c r="CY960" s="316"/>
      <c r="DA960" s="309">
        <v>959</v>
      </c>
      <c r="DB960" s="313">
        <f t="shared" si="647"/>
        <v>549.04745466128804</v>
      </c>
      <c r="DC960" s="309">
        <f t="shared" si="648"/>
        <v>4</v>
      </c>
      <c r="DD960" s="309">
        <f t="shared" si="649"/>
        <v>0</v>
      </c>
      <c r="DE960" s="308">
        <f t="shared" si="650"/>
        <v>0</v>
      </c>
      <c r="DF960" s="313">
        <f t="shared" si="664"/>
        <v>600</v>
      </c>
      <c r="DG960" s="313">
        <f t="shared" si="668"/>
        <v>0</v>
      </c>
      <c r="DH960" s="313">
        <f t="shared" si="654"/>
        <v>0</v>
      </c>
      <c r="DI960" s="313">
        <f t="shared" si="655"/>
        <v>0</v>
      </c>
      <c r="DJ960" s="313">
        <f t="shared" si="656"/>
        <v>0</v>
      </c>
      <c r="DK960" s="313">
        <f t="shared" si="665"/>
        <v>0</v>
      </c>
      <c r="DL960" s="313">
        <f t="shared" si="657"/>
        <v>0</v>
      </c>
      <c r="DM960" s="314">
        <f t="shared" si="658"/>
        <v>0</v>
      </c>
      <c r="DN960" s="312">
        <f t="shared" si="659"/>
        <v>0</v>
      </c>
      <c r="DO960" s="312">
        <f t="shared" si="666"/>
        <v>0</v>
      </c>
      <c r="DP960" s="315" t="e">
        <f t="shared" si="651"/>
        <v>#NUM!</v>
      </c>
      <c r="DQ960" s="316">
        <f t="shared" si="660"/>
        <v>0</v>
      </c>
      <c r="DR960" s="316">
        <f t="shared" si="661"/>
        <v>0</v>
      </c>
      <c r="DS960" s="314">
        <f t="shared" si="662"/>
        <v>0</v>
      </c>
      <c r="DT960" s="316">
        <f t="shared" si="663"/>
        <v>0</v>
      </c>
      <c r="DU960" s="314">
        <f t="shared" si="652"/>
        <v>0</v>
      </c>
      <c r="DV960" s="316">
        <f t="shared" si="667"/>
        <v>0</v>
      </c>
      <c r="DW960" s="310">
        <f t="shared" si="653"/>
        <v>0</v>
      </c>
      <c r="FB960" s="307"/>
      <c r="FC960" s="307"/>
      <c r="FF960" s="307"/>
      <c r="FG960" s="307"/>
      <c r="FH960" s="306"/>
      <c r="FJ960" s="307"/>
      <c r="FK960" s="307"/>
      <c r="FL960" s="306"/>
      <c r="FM960" s="307"/>
      <c r="FN960" s="306"/>
      <c r="FO960" s="307"/>
      <c r="FP960" s="306"/>
    </row>
    <row r="961" spans="29:172">
      <c r="AC961" s="156"/>
      <c r="CW961" s="364"/>
      <c r="CX961" s="316"/>
      <c r="CY961" s="316"/>
      <c r="DA961" s="309">
        <v>960</v>
      </c>
      <c r="DB961" s="313">
        <f t="shared" si="647"/>
        <v>549.41142489555432</v>
      </c>
      <c r="DC961" s="309">
        <f t="shared" si="648"/>
        <v>4</v>
      </c>
      <c r="DD961" s="309">
        <f t="shared" si="649"/>
        <v>0</v>
      </c>
      <c r="DE961" s="308">
        <f t="shared" si="650"/>
        <v>0</v>
      </c>
      <c r="DF961" s="313">
        <f t="shared" si="664"/>
        <v>600</v>
      </c>
      <c r="DG961" s="313">
        <f t="shared" si="668"/>
        <v>0</v>
      </c>
      <c r="DH961" s="313">
        <f t="shared" si="654"/>
        <v>0</v>
      </c>
      <c r="DI961" s="313">
        <f t="shared" si="655"/>
        <v>0</v>
      </c>
      <c r="DJ961" s="313">
        <f t="shared" si="656"/>
        <v>0</v>
      </c>
      <c r="DK961" s="313">
        <f t="shared" si="665"/>
        <v>0</v>
      </c>
      <c r="DL961" s="313">
        <f t="shared" si="657"/>
        <v>0</v>
      </c>
      <c r="DM961" s="314">
        <f t="shared" si="658"/>
        <v>0</v>
      </c>
      <c r="DN961" s="312">
        <f t="shared" si="659"/>
        <v>0</v>
      </c>
      <c r="DO961" s="312">
        <f t="shared" si="666"/>
        <v>0</v>
      </c>
      <c r="DP961" s="315" t="e">
        <f t="shared" si="651"/>
        <v>#NUM!</v>
      </c>
      <c r="DQ961" s="316">
        <f t="shared" si="660"/>
        <v>0</v>
      </c>
      <c r="DR961" s="316">
        <f t="shared" si="661"/>
        <v>0</v>
      </c>
      <c r="DS961" s="314">
        <f t="shared" si="662"/>
        <v>0</v>
      </c>
      <c r="DT961" s="316">
        <f t="shared" si="663"/>
        <v>0</v>
      </c>
      <c r="DU961" s="314">
        <f t="shared" si="652"/>
        <v>0</v>
      </c>
      <c r="DV961" s="316">
        <f t="shared" si="667"/>
        <v>0</v>
      </c>
      <c r="DW961" s="310">
        <f t="shared" si="653"/>
        <v>0</v>
      </c>
      <c r="FB961" s="307"/>
      <c r="FC961" s="307"/>
      <c r="FF961" s="307"/>
      <c r="FG961" s="307"/>
      <c r="FH961" s="306"/>
      <c r="FJ961" s="307"/>
      <c r="FK961" s="307"/>
      <c r="FL961" s="306"/>
      <c r="FM961" s="307"/>
      <c r="FN961" s="306"/>
      <c r="FO961" s="307"/>
      <c r="FP961" s="306"/>
    </row>
    <row r="962" spans="29:172">
      <c r="AC962" s="156"/>
      <c r="CW962" s="364"/>
      <c r="CX962" s="316"/>
      <c r="CY962" s="316"/>
      <c r="DA962" s="309">
        <v>961</v>
      </c>
      <c r="DB962" s="313">
        <f t="shared" ref="DB962:DB1025" si="669">start+DA962*tanO</f>
        <v>549.77539512982048</v>
      </c>
      <c r="DC962" s="309">
        <f t="shared" ref="DC962:DC1025" si="670">IF(DA962&lt;edge_width,1,IF(DA962&lt;mid_width,2,IF(DA962&lt;=tot_width,3,4)))</f>
        <v>4</v>
      </c>
      <c r="DD962" s="309">
        <f t="shared" ref="DD962:DD1025" si="671">CHOOSE(DC962,edge_thick,second_thick,core_thick,0)</f>
        <v>0</v>
      </c>
      <c r="DE962" s="308">
        <f t="shared" ref="DE962:DE1025" si="672">CHOOSE(DC962,edge_k,second_k,core_k,0)</f>
        <v>0</v>
      </c>
      <c r="DF962" s="313">
        <f t="shared" si="664"/>
        <v>600</v>
      </c>
      <c r="DG962" s="313">
        <f t="shared" si="668"/>
        <v>0</v>
      </c>
      <c r="DH962" s="313">
        <f t="shared" si="654"/>
        <v>0</v>
      </c>
      <c r="DI962" s="313">
        <f t="shared" si="655"/>
        <v>0</v>
      </c>
      <c r="DJ962" s="313">
        <f t="shared" si="656"/>
        <v>0</v>
      </c>
      <c r="DK962" s="313">
        <f t="shared" si="665"/>
        <v>0</v>
      </c>
      <c r="DL962" s="313">
        <f t="shared" si="657"/>
        <v>0</v>
      </c>
      <c r="DM962" s="314">
        <f t="shared" si="658"/>
        <v>0</v>
      </c>
      <c r="DN962" s="312">
        <f t="shared" si="659"/>
        <v>0</v>
      </c>
      <c r="DO962" s="312">
        <f t="shared" si="666"/>
        <v>0</v>
      </c>
      <c r="DP962" s="315" t="e">
        <f t="shared" ref="DP962:DP1025" si="673">DE962*DO962^CHOOSE(DC962,mult1,mult2,mult3,0)</f>
        <v>#NUM!</v>
      </c>
      <c r="DQ962" s="316">
        <f t="shared" si="660"/>
        <v>0</v>
      </c>
      <c r="DR962" s="316">
        <f t="shared" si="661"/>
        <v>0</v>
      </c>
      <c r="DS962" s="314">
        <f t="shared" si="662"/>
        <v>0</v>
      </c>
      <c r="DT962" s="316">
        <f t="shared" si="663"/>
        <v>0</v>
      </c>
      <c r="DU962" s="314">
        <f t="shared" ref="DU962:DU1025" si="674">IF(DC962&lt;&gt;4,CHOOSE(DC962,DA962/DT962,(DA962-edge_width+1)/DT962,(DA962-mid_width+1)/DT962),0)</f>
        <v>0</v>
      </c>
      <c r="DV962" s="316">
        <f t="shared" si="667"/>
        <v>0</v>
      </c>
      <c r="DW962" s="310">
        <f t="shared" ref="DW962:DW1025" si="675">IF(DC962&lt;&gt;4,(tot_width-DA962+1)/DV962,0)</f>
        <v>0</v>
      </c>
      <c r="FB962" s="307"/>
      <c r="FC962" s="307"/>
      <c r="FF962" s="307"/>
      <c r="FG962" s="307"/>
      <c r="FH962" s="306"/>
      <c r="FJ962" s="307"/>
      <c r="FK962" s="307"/>
      <c r="FL962" s="306"/>
      <c r="FM962" s="307"/>
      <c r="FN962" s="306"/>
      <c r="FO962" s="307"/>
      <c r="FP962" s="306"/>
    </row>
    <row r="963" spans="29:172">
      <c r="AC963" s="156"/>
      <c r="CW963" s="364"/>
      <c r="CX963" s="316"/>
      <c r="CY963" s="316"/>
      <c r="DA963" s="309">
        <v>962</v>
      </c>
      <c r="DB963" s="313">
        <f t="shared" si="669"/>
        <v>550.13936536408664</v>
      </c>
      <c r="DC963" s="309">
        <f t="shared" si="670"/>
        <v>4</v>
      </c>
      <c r="DD963" s="309">
        <f t="shared" si="671"/>
        <v>0</v>
      </c>
      <c r="DE963" s="308">
        <f t="shared" si="672"/>
        <v>0</v>
      </c>
      <c r="DF963" s="313">
        <f t="shared" si="664"/>
        <v>600</v>
      </c>
      <c r="DG963" s="313">
        <f t="shared" si="668"/>
        <v>0</v>
      </c>
      <c r="DH963" s="313">
        <f t="shared" ref="DH963:DH1026" si="676">IF(DC963=1,DG963,0)</f>
        <v>0</v>
      </c>
      <c r="DI963" s="313">
        <f t="shared" ref="DI963:DI1026" si="677">IF(DC963=2,DG963,0)</f>
        <v>0</v>
      </c>
      <c r="DJ963" s="313">
        <f t="shared" ref="DJ963:DJ1026" si="678">IF(DC963=3,DG963,0)</f>
        <v>0</v>
      </c>
      <c r="DK963" s="313">
        <f t="shared" si="665"/>
        <v>0</v>
      </c>
      <c r="DL963" s="313">
        <f t="shared" ref="DL963:DL1026" si="679">IF(DC963&lt;4,DL964+DG963,0)</f>
        <v>0</v>
      </c>
      <c r="DM963" s="314">
        <f t="shared" ref="DM963:DM1026" si="680">IF($DC963&lt;&gt;4,IF($DA963=edge_width,$CY$2,IF($DA963=mid_width,$CY$3,1-DO963+DM962)),0)</f>
        <v>0</v>
      </c>
      <c r="DN963" s="312">
        <f t="shared" ref="DN963:DN1026" si="681">IF(DC963&lt;&gt;4,CHOOSE(DC963,DM963/DA963,DM963/(DA963-edge_width+1),DM963/(DA963-mid_width+1)),0)</f>
        <v>0</v>
      </c>
      <c r="DO963" s="312">
        <f t="shared" si="666"/>
        <v>0</v>
      </c>
      <c r="DP963" s="315" t="e">
        <f t="shared" si="673"/>
        <v>#NUM!</v>
      </c>
      <c r="DQ963" s="316">
        <f t="shared" ref="DQ963:DQ1026" si="682">IF(AND(DC963&lt;&gt;4,DG963&lt;&gt;0),1000*DP963/DG963,0)</f>
        <v>0</v>
      </c>
      <c r="DR963" s="316">
        <f t="shared" ref="DR963:DR1026" si="683">IF(DC963&lt;&gt;4,DR962+DQ963,0)</f>
        <v>0</v>
      </c>
      <c r="DS963" s="314">
        <f t="shared" ref="DS963:DS1026" si="684">IF(AND(DC963&lt;&gt;4,DR963&lt;&gt;0),DA963/DR963,0)</f>
        <v>0</v>
      </c>
      <c r="DT963" s="316">
        <f t="shared" ref="DT963:DT1026" si="685">IF(DC963&lt;&gt;4,IF(DA963=edge_width,$CY$4,IF(DA963=mid_width,$CY$5,DQ963+DT962)),0)</f>
        <v>0</v>
      </c>
      <c r="DU963" s="314">
        <f t="shared" si="674"/>
        <v>0</v>
      </c>
      <c r="DV963" s="316">
        <f t="shared" si="667"/>
        <v>0</v>
      </c>
      <c r="DW963" s="310">
        <f t="shared" si="675"/>
        <v>0</v>
      </c>
      <c r="FB963" s="307"/>
      <c r="FC963" s="307"/>
      <c r="FF963" s="307"/>
      <c r="FG963" s="307"/>
      <c r="FH963" s="306"/>
      <c r="FJ963" s="307"/>
      <c r="FK963" s="307"/>
      <c r="FL963" s="306"/>
      <c r="FM963" s="307"/>
      <c r="FN963" s="306"/>
      <c r="FO963" s="307"/>
      <c r="FP963" s="306"/>
    </row>
    <row r="964" spans="29:172">
      <c r="AC964" s="156"/>
      <c r="CW964" s="364"/>
      <c r="CX964" s="316"/>
      <c r="CY964" s="316"/>
      <c r="DA964" s="309">
        <v>963</v>
      </c>
      <c r="DB964" s="313">
        <f t="shared" si="669"/>
        <v>550.50333559835281</v>
      </c>
      <c r="DC964" s="309">
        <f t="shared" si="670"/>
        <v>4</v>
      </c>
      <c r="DD964" s="309">
        <f t="shared" si="671"/>
        <v>0</v>
      </c>
      <c r="DE964" s="308">
        <f t="shared" si="672"/>
        <v>0</v>
      </c>
      <c r="DF964" s="313">
        <f t="shared" ref="DF964:DF1027" si="686">IF(DC964&lt;4,DF963+1,DF963)</f>
        <v>600</v>
      </c>
      <c r="DG964" s="313">
        <f t="shared" si="668"/>
        <v>0</v>
      </c>
      <c r="DH964" s="313">
        <f t="shared" si="676"/>
        <v>0</v>
      </c>
      <c r="DI964" s="313">
        <f t="shared" si="677"/>
        <v>0</v>
      </c>
      <c r="DJ964" s="313">
        <f t="shared" si="678"/>
        <v>0</v>
      </c>
      <c r="DK964" s="313">
        <f t="shared" ref="DK964:DK1027" si="687">IF(DC964&lt;4,DK963+DG964,0)</f>
        <v>0</v>
      </c>
      <c r="DL964" s="313">
        <f t="shared" si="679"/>
        <v>0</v>
      </c>
      <c r="DM964" s="314">
        <f t="shared" si="680"/>
        <v>0</v>
      </c>
      <c r="DN964" s="312">
        <f t="shared" si="681"/>
        <v>0</v>
      </c>
      <c r="DO964" s="312">
        <f t="shared" ref="DO964:DO1027" si="688">IF(AND(DC964&lt;&gt;4,DD964&lt;&gt;0),DG964/DD964,0)</f>
        <v>0</v>
      </c>
      <c r="DP964" s="315" t="e">
        <f t="shared" si="673"/>
        <v>#NUM!</v>
      </c>
      <c r="DQ964" s="316">
        <f t="shared" si="682"/>
        <v>0</v>
      </c>
      <c r="DR964" s="316">
        <f t="shared" si="683"/>
        <v>0</v>
      </c>
      <c r="DS964" s="314">
        <f t="shared" si="684"/>
        <v>0</v>
      </c>
      <c r="DT964" s="316">
        <f t="shared" si="685"/>
        <v>0</v>
      </c>
      <c r="DU964" s="314">
        <f t="shared" si="674"/>
        <v>0</v>
      </c>
      <c r="DV964" s="316">
        <f t="shared" ref="DV964:DV1027" si="689">DV965+DQ964</f>
        <v>0</v>
      </c>
      <c r="DW964" s="310">
        <f t="shared" si="675"/>
        <v>0</v>
      </c>
      <c r="FB964" s="307"/>
      <c r="FC964" s="307"/>
      <c r="FF964" s="307"/>
      <c r="FG964" s="307"/>
      <c r="FH964" s="306"/>
      <c r="FJ964" s="307"/>
      <c r="FK964" s="307"/>
      <c r="FL964" s="306"/>
      <c r="FM964" s="307"/>
      <c r="FN964" s="306"/>
      <c r="FO964" s="307"/>
      <c r="FP964" s="306"/>
    </row>
    <row r="965" spans="29:172">
      <c r="AC965" s="156"/>
      <c r="CW965" s="364"/>
      <c r="CX965" s="316"/>
      <c r="CY965" s="316"/>
      <c r="DA965" s="309">
        <v>964</v>
      </c>
      <c r="DB965" s="313">
        <f t="shared" si="669"/>
        <v>550.86730583261908</v>
      </c>
      <c r="DC965" s="309">
        <f t="shared" si="670"/>
        <v>4</v>
      </c>
      <c r="DD965" s="309">
        <f t="shared" si="671"/>
        <v>0</v>
      </c>
      <c r="DE965" s="308">
        <f t="shared" si="672"/>
        <v>0</v>
      </c>
      <c r="DF965" s="313">
        <f t="shared" si="686"/>
        <v>600</v>
      </c>
      <c r="DG965" s="313">
        <f t="shared" si="668"/>
        <v>0</v>
      </c>
      <c r="DH965" s="313">
        <f t="shared" si="676"/>
        <v>0</v>
      </c>
      <c r="DI965" s="313">
        <f t="shared" si="677"/>
        <v>0</v>
      </c>
      <c r="DJ965" s="313">
        <f t="shared" si="678"/>
        <v>0</v>
      </c>
      <c r="DK965" s="313">
        <f t="shared" si="687"/>
        <v>0</v>
      </c>
      <c r="DL965" s="313">
        <f t="shared" si="679"/>
        <v>0</v>
      </c>
      <c r="DM965" s="314">
        <f t="shared" si="680"/>
        <v>0</v>
      </c>
      <c r="DN965" s="312">
        <f t="shared" si="681"/>
        <v>0</v>
      </c>
      <c r="DO965" s="312">
        <f t="shared" si="688"/>
        <v>0</v>
      </c>
      <c r="DP965" s="315" t="e">
        <f t="shared" si="673"/>
        <v>#NUM!</v>
      </c>
      <c r="DQ965" s="316">
        <f t="shared" si="682"/>
        <v>0</v>
      </c>
      <c r="DR965" s="316">
        <f t="shared" si="683"/>
        <v>0</v>
      </c>
      <c r="DS965" s="314">
        <f t="shared" si="684"/>
        <v>0</v>
      </c>
      <c r="DT965" s="316">
        <f t="shared" si="685"/>
        <v>0</v>
      </c>
      <c r="DU965" s="314">
        <f t="shared" si="674"/>
        <v>0</v>
      </c>
      <c r="DV965" s="316">
        <f t="shared" si="689"/>
        <v>0</v>
      </c>
      <c r="DW965" s="310">
        <f t="shared" si="675"/>
        <v>0</v>
      </c>
      <c r="FB965" s="307"/>
      <c r="FC965" s="307"/>
      <c r="FF965" s="307"/>
      <c r="FG965" s="307"/>
      <c r="FH965" s="306"/>
      <c r="FJ965" s="307"/>
      <c r="FK965" s="307"/>
      <c r="FL965" s="306"/>
      <c r="FM965" s="307"/>
      <c r="FN965" s="306"/>
      <c r="FO965" s="307"/>
      <c r="FP965" s="306"/>
    </row>
    <row r="966" spans="29:172">
      <c r="AC966" s="156"/>
      <c r="CW966" s="364"/>
      <c r="CX966" s="316"/>
      <c r="CY966" s="316"/>
      <c r="DA966" s="309">
        <v>965</v>
      </c>
      <c r="DB966" s="313">
        <f t="shared" si="669"/>
        <v>551.23127606688524</v>
      </c>
      <c r="DC966" s="309">
        <f t="shared" si="670"/>
        <v>4</v>
      </c>
      <c r="DD966" s="309">
        <f t="shared" si="671"/>
        <v>0</v>
      </c>
      <c r="DE966" s="308">
        <f t="shared" si="672"/>
        <v>0</v>
      </c>
      <c r="DF966" s="313">
        <f t="shared" si="686"/>
        <v>600</v>
      </c>
      <c r="DG966" s="313">
        <f t="shared" si="668"/>
        <v>0</v>
      </c>
      <c r="DH966" s="313">
        <f t="shared" si="676"/>
        <v>0</v>
      </c>
      <c r="DI966" s="313">
        <f t="shared" si="677"/>
        <v>0</v>
      </c>
      <c r="DJ966" s="313">
        <f t="shared" si="678"/>
        <v>0</v>
      </c>
      <c r="DK966" s="313">
        <f t="shared" si="687"/>
        <v>0</v>
      </c>
      <c r="DL966" s="313">
        <f t="shared" si="679"/>
        <v>0</v>
      </c>
      <c r="DM966" s="314">
        <f t="shared" si="680"/>
        <v>0</v>
      </c>
      <c r="DN966" s="312">
        <f t="shared" si="681"/>
        <v>0</v>
      </c>
      <c r="DO966" s="312">
        <f t="shared" si="688"/>
        <v>0</v>
      </c>
      <c r="DP966" s="315" t="e">
        <f t="shared" si="673"/>
        <v>#NUM!</v>
      </c>
      <c r="DQ966" s="316">
        <f t="shared" si="682"/>
        <v>0</v>
      </c>
      <c r="DR966" s="316">
        <f t="shared" si="683"/>
        <v>0</v>
      </c>
      <c r="DS966" s="314">
        <f t="shared" si="684"/>
        <v>0</v>
      </c>
      <c r="DT966" s="316">
        <f t="shared" si="685"/>
        <v>0</v>
      </c>
      <c r="DU966" s="314">
        <f t="shared" si="674"/>
        <v>0</v>
      </c>
      <c r="DV966" s="316">
        <f t="shared" si="689"/>
        <v>0</v>
      </c>
      <c r="DW966" s="310">
        <f t="shared" si="675"/>
        <v>0</v>
      </c>
      <c r="FB966" s="307"/>
      <c r="FC966" s="307"/>
      <c r="FF966" s="307"/>
      <c r="FG966" s="307"/>
      <c r="FH966" s="306"/>
      <c r="FJ966" s="307"/>
      <c r="FK966" s="307"/>
      <c r="FL966" s="306"/>
      <c r="FM966" s="307"/>
      <c r="FN966" s="306"/>
      <c r="FO966" s="307"/>
      <c r="FP966" s="306"/>
    </row>
    <row r="967" spans="29:172">
      <c r="AC967" s="156"/>
      <c r="CW967" s="364"/>
      <c r="CX967" s="316"/>
      <c r="CY967" s="316"/>
      <c r="DA967" s="309">
        <v>966</v>
      </c>
      <c r="DB967" s="313">
        <f t="shared" si="669"/>
        <v>551.59524630115152</v>
      </c>
      <c r="DC967" s="309">
        <f t="shared" si="670"/>
        <v>4</v>
      </c>
      <c r="DD967" s="309">
        <f t="shared" si="671"/>
        <v>0</v>
      </c>
      <c r="DE967" s="308">
        <f t="shared" si="672"/>
        <v>0</v>
      </c>
      <c r="DF967" s="313">
        <f t="shared" si="686"/>
        <v>600</v>
      </c>
      <c r="DG967" s="313">
        <f t="shared" si="668"/>
        <v>0</v>
      </c>
      <c r="DH967" s="313">
        <f t="shared" si="676"/>
        <v>0</v>
      </c>
      <c r="DI967" s="313">
        <f t="shared" si="677"/>
        <v>0</v>
      </c>
      <c r="DJ967" s="313">
        <f t="shared" si="678"/>
        <v>0</v>
      </c>
      <c r="DK967" s="313">
        <f t="shared" si="687"/>
        <v>0</v>
      </c>
      <c r="DL967" s="313">
        <f t="shared" si="679"/>
        <v>0</v>
      </c>
      <c r="DM967" s="314">
        <f t="shared" si="680"/>
        <v>0</v>
      </c>
      <c r="DN967" s="312">
        <f t="shared" si="681"/>
        <v>0</v>
      </c>
      <c r="DO967" s="312">
        <f t="shared" si="688"/>
        <v>0</v>
      </c>
      <c r="DP967" s="315" t="e">
        <f t="shared" si="673"/>
        <v>#NUM!</v>
      </c>
      <c r="DQ967" s="316">
        <f t="shared" si="682"/>
        <v>0</v>
      </c>
      <c r="DR967" s="316">
        <f t="shared" si="683"/>
        <v>0</v>
      </c>
      <c r="DS967" s="314">
        <f t="shared" si="684"/>
        <v>0</v>
      </c>
      <c r="DT967" s="316">
        <f t="shared" si="685"/>
        <v>0</v>
      </c>
      <c r="DU967" s="314">
        <f t="shared" si="674"/>
        <v>0</v>
      </c>
      <c r="DV967" s="316">
        <f t="shared" si="689"/>
        <v>0</v>
      </c>
      <c r="DW967" s="310">
        <f t="shared" si="675"/>
        <v>0</v>
      </c>
      <c r="FB967" s="307"/>
      <c r="FC967" s="307"/>
      <c r="FF967" s="307"/>
      <c r="FG967" s="307"/>
      <c r="FH967" s="306"/>
      <c r="FJ967" s="307"/>
      <c r="FK967" s="307"/>
      <c r="FL967" s="306"/>
      <c r="FM967" s="307"/>
      <c r="FN967" s="306"/>
      <c r="FO967" s="307"/>
      <c r="FP967" s="306"/>
    </row>
    <row r="968" spans="29:172">
      <c r="AC968" s="156"/>
      <c r="CW968" s="364"/>
      <c r="CX968" s="316"/>
      <c r="CY968" s="316"/>
      <c r="DA968" s="309">
        <v>967</v>
      </c>
      <c r="DB968" s="313">
        <f t="shared" si="669"/>
        <v>551.95921653541768</v>
      </c>
      <c r="DC968" s="309">
        <f t="shared" si="670"/>
        <v>4</v>
      </c>
      <c r="DD968" s="309">
        <f t="shared" si="671"/>
        <v>0</v>
      </c>
      <c r="DE968" s="308">
        <f t="shared" si="672"/>
        <v>0</v>
      </c>
      <c r="DF968" s="313">
        <f t="shared" si="686"/>
        <v>600</v>
      </c>
      <c r="DG968" s="313">
        <f t="shared" si="668"/>
        <v>0</v>
      </c>
      <c r="DH968" s="313">
        <f t="shared" si="676"/>
        <v>0</v>
      </c>
      <c r="DI968" s="313">
        <f t="shared" si="677"/>
        <v>0</v>
      </c>
      <c r="DJ968" s="313">
        <f t="shared" si="678"/>
        <v>0</v>
      </c>
      <c r="DK968" s="313">
        <f t="shared" si="687"/>
        <v>0</v>
      </c>
      <c r="DL968" s="313">
        <f t="shared" si="679"/>
        <v>0</v>
      </c>
      <c r="DM968" s="314">
        <f t="shared" si="680"/>
        <v>0</v>
      </c>
      <c r="DN968" s="312">
        <f t="shared" si="681"/>
        <v>0</v>
      </c>
      <c r="DO968" s="312">
        <f t="shared" si="688"/>
        <v>0</v>
      </c>
      <c r="DP968" s="315" t="e">
        <f t="shared" si="673"/>
        <v>#NUM!</v>
      </c>
      <c r="DQ968" s="316">
        <f t="shared" si="682"/>
        <v>0</v>
      </c>
      <c r="DR968" s="316">
        <f t="shared" si="683"/>
        <v>0</v>
      </c>
      <c r="DS968" s="314">
        <f t="shared" si="684"/>
        <v>0</v>
      </c>
      <c r="DT968" s="316">
        <f t="shared" si="685"/>
        <v>0</v>
      </c>
      <c r="DU968" s="314">
        <f t="shared" si="674"/>
        <v>0</v>
      </c>
      <c r="DV968" s="316">
        <f t="shared" si="689"/>
        <v>0</v>
      </c>
      <c r="DW968" s="310">
        <f t="shared" si="675"/>
        <v>0</v>
      </c>
      <c r="FB968" s="307"/>
      <c r="FC968" s="307"/>
      <c r="FF968" s="307"/>
      <c r="FG968" s="307"/>
      <c r="FH968" s="306"/>
      <c r="FJ968" s="307"/>
      <c r="FK968" s="307"/>
      <c r="FL968" s="306"/>
      <c r="FM968" s="307"/>
      <c r="FN968" s="306"/>
      <c r="FO968" s="307"/>
      <c r="FP968" s="306"/>
    </row>
    <row r="969" spans="29:172">
      <c r="AC969" s="156"/>
      <c r="CW969" s="364"/>
      <c r="CX969" s="316"/>
      <c r="CY969" s="316"/>
      <c r="DA969" s="309">
        <v>968</v>
      </c>
      <c r="DB969" s="313">
        <f t="shared" si="669"/>
        <v>552.32318676968384</v>
      </c>
      <c r="DC969" s="309">
        <f t="shared" si="670"/>
        <v>4</v>
      </c>
      <c r="DD969" s="309">
        <f t="shared" si="671"/>
        <v>0</v>
      </c>
      <c r="DE969" s="308">
        <f t="shared" si="672"/>
        <v>0</v>
      </c>
      <c r="DF969" s="313">
        <f t="shared" si="686"/>
        <v>600</v>
      </c>
      <c r="DG969" s="313">
        <f t="shared" si="668"/>
        <v>0</v>
      </c>
      <c r="DH969" s="313">
        <f t="shared" si="676"/>
        <v>0</v>
      </c>
      <c r="DI969" s="313">
        <f t="shared" si="677"/>
        <v>0</v>
      </c>
      <c r="DJ969" s="313">
        <f t="shared" si="678"/>
        <v>0</v>
      </c>
      <c r="DK969" s="313">
        <f t="shared" si="687"/>
        <v>0</v>
      </c>
      <c r="DL969" s="313">
        <f t="shared" si="679"/>
        <v>0</v>
      </c>
      <c r="DM969" s="314">
        <f t="shared" si="680"/>
        <v>0</v>
      </c>
      <c r="DN969" s="312">
        <f t="shared" si="681"/>
        <v>0</v>
      </c>
      <c r="DO969" s="312">
        <f t="shared" si="688"/>
        <v>0</v>
      </c>
      <c r="DP969" s="315" t="e">
        <f t="shared" si="673"/>
        <v>#NUM!</v>
      </c>
      <c r="DQ969" s="316">
        <f t="shared" si="682"/>
        <v>0</v>
      </c>
      <c r="DR969" s="316">
        <f t="shared" si="683"/>
        <v>0</v>
      </c>
      <c r="DS969" s="314">
        <f t="shared" si="684"/>
        <v>0</v>
      </c>
      <c r="DT969" s="316">
        <f t="shared" si="685"/>
        <v>0</v>
      </c>
      <c r="DU969" s="314">
        <f t="shared" si="674"/>
        <v>0</v>
      </c>
      <c r="DV969" s="316">
        <f t="shared" si="689"/>
        <v>0</v>
      </c>
      <c r="DW969" s="310">
        <f t="shared" si="675"/>
        <v>0</v>
      </c>
      <c r="FB969" s="307"/>
      <c r="FC969" s="307"/>
      <c r="FF969" s="307"/>
      <c r="FG969" s="307"/>
      <c r="FH969" s="306"/>
      <c r="FJ969" s="307"/>
      <c r="FK969" s="307"/>
      <c r="FL969" s="306"/>
      <c r="FM969" s="307"/>
      <c r="FN969" s="306"/>
      <c r="FO969" s="307"/>
      <c r="FP969" s="306"/>
    </row>
    <row r="970" spans="29:172">
      <c r="AC970" s="156"/>
      <c r="CW970" s="364"/>
      <c r="CX970" s="316"/>
      <c r="CY970" s="316"/>
      <c r="DA970" s="309">
        <v>969</v>
      </c>
      <c r="DB970" s="313">
        <f t="shared" si="669"/>
        <v>552.68715700395001</v>
      </c>
      <c r="DC970" s="309">
        <f t="shared" si="670"/>
        <v>4</v>
      </c>
      <c r="DD970" s="309">
        <f t="shared" si="671"/>
        <v>0</v>
      </c>
      <c r="DE970" s="308">
        <f t="shared" si="672"/>
        <v>0</v>
      </c>
      <c r="DF970" s="313">
        <f t="shared" si="686"/>
        <v>600</v>
      </c>
      <c r="DG970" s="313">
        <f t="shared" si="668"/>
        <v>0</v>
      </c>
      <c r="DH970" s="313">
        <f t="shared" si="676"/>
        <v>0</v>
      </c>
      <c r="DI970" s="313">
        <f t="shared" si="677"/>
        <v>0</v>
      </c>
      <c r="DJ970" s="313">
        <f t="shared" si="678"/>
        <v>0</v>
      </c>
      <c r="DK970" s="313">
        <f t="shared" si="687"/>
        <v>0</v>
      </c>
      <c r="DL970" s="313">
        <f t="shared" si="679"/>
        <v>0</v>
      </c>
      <c r="DM970" s="314">
        <f t="shared" si="680"/>
        <v>0</v>
      </c>
      <c r="DN970" s="312">
        <f t="shared" si="681"/>
        <v>0</v>
      </c>
      <c r="DO970" s="312">
        <f t="shared" si="688"/>
        <v>0</v>
      </c>
      <c r="DP970" s="315" t="e">
        <f t="shared" si="673"/>
        <v>#NUM!</v>
      </c>
      <c r="DQ970" s="316">
        <f t="shared" si="682"/>
        <v>0</v>
      </c>
      <c r="DR970" s="316">
        <f t="shared" si="683"/>
        <v>0</v>
      </c>
      <c r="DS970" s="314">
        <f t="shared" si="684"/>
        <v>0</v>
      </c>
      <c r="DT970" s="316">
        <f t="shared" si="685"/>
        <v>0</v>
      </c>
      <c r="DU970" s="314">
        <f t="shared" si="674"/>
        <v>0</v>
      </c>
      <c r="DV970" s="316">
        <f t="shared" si="689"/>
        <v>0</v>
      </c>
      <c r="DW970" s="310">
        <f t="shared" si="675"/>
        <v>0</v>
      </c>
      <c r="FB970" s="307"/>
      <c r="FC970" s="307"/>
      <c r="FF970" s="307"/>
      <c r="FG970" s="307"/>
      <c r="FH970" s="306"/>
      <c r="FJ970" s="307"/>
      <c r="FK970" s="307"/>
      <c r="FL970" s="306"/>
      <c r="FM970" s="307"/>
      <c r="FN970" s="306"/>
      <c r="FO970" s="307"/>
      <c r="FP970" s="306"/>
    </row>
    <row r="971" spans="29:172">
      <c r="AC971" s="156"/>
      <c r="CW971" s="364"/>
      <c r="CX971" s="316"/>
      <c r="CY971" s="316"/>
      <c r="DA971" s="309">
        <v>970</v>
      </c>
      <c r="DB971" s="313">
        <f t="shared" si="669"/>
        <v>553.05112723821628</v>
      </c>
      <c r="DC971" s="309">
        <f t="shared" si="670"/>
        <v>4</v>
      </c>
      <c r="DD971" s="309">
        <f t="shared" si="671"/>
        <v>0</v>
      </c>
      <c r="DE971" s="308">
        <f t="shared" si="672"/>
        <v>0</v>
      </c>
      <c r="DF971" s="313">
        <f t="shared" si="686"/>
        <v>600</v>
      </c>
      <c r="DG971" s="313">
        <f t="shared" si="668"/>
        <v>0</v>
      </c>
      <c r="DH971" s="313">
        <f t="shared" si="676"/>
        <v>0</v>
      </c>
      <c r="DI971" s="313">
        <f t="shared" si="677"/>
        <v>0</v>
      </c>
      <c r="DJ971" s="313">
        <f t="shared" si="678"/>
        <v>0</v>
      </c>
      <c r="DK971" s="313">
        <f t="shared" si="687"/>
        <v>0</v>
      </c>
      <c r="DL971" s="313">
        <f t="shared" si="679"/>
        <v>0</v>
      </c>
      <c r="DM971" s="314">
        <f t="shared" si="680"/>
        <v>0</v>
      </c>
      <c r="DN971" s="312">
        <f t="shared" si="681"/>
        <v>0</v>
      </c>
      <c r="DO971" s="312">
        <f t="shared" si="688"/>
        <v>0</v>
      </c>
      <c r="DP971" s="315" t="e">
        <f t="shared" si="673"/>
        <v>#NUM!</v>
      </c>
      <c r="DQ971" s="316">
        <f t="shared" si="682"/>
        <v>0</v>
      </c>
      <c r="DR971" s="316">
        <f t="shared" si="683"/>
        <v>0</v>
      </c>
      <c r="DS971" s="314">
        <f t="shared" si="684"/>
        <v>0</v>
      </c>
      <c r="DT971" s="316">
        <f t="shared" si="685"/>
        <v>0</v>
      </c>
      <c r="DU971" s="314">
        <f t="shared" si="674"/>
        <v>0</v>
      </c>
      <c r="DV971" s="316">
        <f t="shared" si="689"/>
        <v>0</v>
      </c>
      <c r="DW971" s="310">
        <f t="shared" si="675"/>
        <v>0</v>
      </c>
      <c r="FB971" s="307"/>
      <c r="FC971" s="307"/>
      <c r="FF971" s="307"/>
      <c r="FG971" s="307"/>
      <c r="FH971" s="306"/>
      <c r="FJ971" s="307"/>
      <c r="FK971" s="307"/>
      <c r="FL971" s="306"/>
      <c r="FM971" s="307"/>
      <c r="FN971" s="306"/>
      <c r="FO971" s="307"/>
      <c r="FP971" s="306"/>
    </row>
    <row r="972" spans="29:172">
      <c r="AC972" s="156"/>
      <c r="CW972" s="364"/>
      <c r="CX972" s="316"/>
      <c r="CY972" s="316"/>
      <c r="DA972" s="309">
        <v>971</v>
      </c>
      <c r="DB972" s="313">
        <f t="shared" si="669"/>
        <v>553.41509747248256</v>
      </c>
      <c r="DC972" s="309">
        <f t="shared" si="670"/>
        <v>4</v>
      </c>
      <c r="DD972" s="309">
        <f t="shared" si="671"/>
        <v>0</v>
      </c>
      <c r="DE972" s="308">
        <f t="shared" si="672"/>
        <v>0</v>
      </c>
      <c r="DF972" s="313">
        <f t="shared" si="686"/>
        <v>600</v>
      </c>
      <c r="DG972" s="313">
        <f t="shared" si="668"/>
        <v>0</v>
      </c>
      <c r="DH972" s="313">
        <f t="shared" si="676"/>
        <v>0</v>
      </c>
      <c r="DI972" s="313">
        <f t="shared" si="677"/>
        <v>0</v>
      </c>
      <c r="DJ972" s="313">
        <f t="shared" si="678"/>
        <v>0</v>
      </c>
      <c r="DK972" s="313">
        <f t="shared" si="687"/>
        <v>0</v>
      </c>
      <c r="DL972" s="313">
        <f t="shared" si="679"/>
        <v>0</v>
      </c>
      <c r="DM972" s="314">
        <f t="shared" si="680"/>
        <v>0</v>
      </c>
      <c r="DN972" s="312">
        <f t="shared" si="681"/>
        <v>0</v>
      </c>
      <c r="DO972" s="312">
        <f t="shared" si="688"/>
        <v>0</v>
      </c>
      <c r="DP972" s="315" t="e">
        <f t="shared" si="673"/>
        <v>#NUM!</v>
      </c>
      <c r="DQ972" s="316">
        <f t="shared" si="682"/>
        <v>0</v>
      </c>
      <c r="DR972" s="316">
        <f t="shared" si="683"/>
        <v>0</v>
      </c>
      <c r="DS972" s="314">
        <f t="shared" si="684"/>
        <v>0</v>
      </c>
      <c r="DT972" s="316">
        <f t="shared" si="685"/>
        <v>0</v>
      </c>
      <c r="DU972" s="314">
        <f t="shared" si="674"/>
        <v>0</v>
      </c>
      <c r="DV972" s="316">
        <f t="shared" si="689"/>
        <v>0</v>
      </c>
      <c r="DW972" s="310">
        <f t="shared" si="675"/>
        <v>0</v>
      </c>
      <c r="FB972" s="307"/>
      <c r="FC972" s="307"/>
      <c r="FF972" s="307"/>
      <c r="FG972" s="307"/>
      <c r="FH972" s="306"/>
      <c r="FJ972" s="307"/>
      <c r="FK972" s="307"/>
      <c r="FL972" s="306"/>
      <c r="FM972" s="307"/>
      <c r="FN972" s="306"/>
      <c r="FO972" s="307"/>
      <c r="FP972" s="306"/>
    </row>
    <row r="973" spans="29:172">
      <c r="AC973" s="156"/>
      <c r="CW973" s="364"/>
      <c r="CX973" s="316"/>
      <c r="CY973" s="316"/>
      <c r="DA973" s="309">
        <v>972</v>
      </c>
      <c r="DB973" s="313">
        <f t="shared" si="669"/>
        <v>553.77906770674872</v>
      </c>
      <c r="DC973" s="309">
        <f t="shared" si="670"/>
        <v>4</v>
      </c>
      <c r="DD973" s="309">
        <f t="shared" si="671"/>
        <v>0</v>
      </c>
      <c r="DE973" s="308">
        <f t="shared" si="672"/>
        <v>0</v>
      </c>
      <c r="DF973" s="313">
        <f t="shared" si="686"/>
        <v>600</v>
      </c>
      <c r="DG973" s="313">
        <f t="shared" si="668"/>
        <v>0</v>
      </c>
      <c r="DH973" s="313">
        <f t="shared" si="676"/>
        <v>0</v>
      </c>
      <c r="DI973" s="313">
        <f t="shared" si="677"/>
        <v>0</v>
      </c>
      <c r="DJ973" s="313">
        <f t="shared" si="678"/>
        <v>0</v>
      </c>
      <c r="DK973" s="313">
        <f t="shared" si="687"/>
        <v>0</v>
      </c>
      <c r="DL973" s="313">
        <f t="shared" si="679"/>
        <v>0</v>
      </c>
      <c r="DM973" s="314">
        <f t="shared" si="680"/>
        <v>0</v>
      </c>
      <c r="DN973" s="312">
        <f t="shared" si="681"/>
        <v>0</v>
      </c>
      <c r="DO973" s="312">
        <f t="shared" si="688"/>
        <v>0</v>
      </c>
      <c r="DP973" s="315" t="e">
        <f t="shared" si="673"/>
        <v>#NUM!</v>
      </c>
      <c r="DQ973" s="316">
        <f t="shared" si="682"/>
        <v>0</v>
      </c>
      <c r="DR973" s="316">
        <f t="shared" si="683"/>
        <v>0</v>
      </c>
      <c r="DS973" s="314">
        <f t="shared" si="684"/>
        <v>0</v>
      </c>
      <c r="DT973" s="316">
        <f t="shared" si="685"/>
        <v>0</v>
      </c>
      <c r="DU973" s="314">
        <f t="shared" si="674"/>
        <v>0</v>
      </c>
      <c r="DV973" s="316">
        <f t="shared" si="689"/>
        <v>0</v>
      </c>
      <c r="DW973" s="310">
        <f t="shared" si="675"/>
        <v>0</v>
      </c>
      <c r="FB973" s="307"/>
      <c r="FC973" s="307"/>
      <c r="FF973" s="307"/>
      <c r="FG973" s="307"/>
      <c r="FH973" s="306"/>
      <c r="FJ973" s="307"/>
      <c r="FK973" s="307"/>
      <c r="FL973" s="306"/>
      <c r="FM973" s="307"/>
      <c r="FN973" s="306"/>
      <c r="FO973" s="307"/>
      <c r="FP973" s="306"/>
    </row>
    <row r="974" spans="29:172">
      <c r="AC974" s="156"/>
      <c r="CW974" s="364"/>
      <c r="CX974" s="316"/>
      <c r="CY974" s="316"/>
      <c r="DA974" s="309">
        <v>973</v>
      </c>
      <c r="DB974" s="313">
        <f t="shared" si="669"/>
        <v>554.14303794101488</v>
      </c>
      <c r="DC974" s="309">
        <f t="shared" si="670"/>
        <v>4</v>
      </c>
      <c r="DD974" s="309">
        <f t="shared" si="671"/>
        <v>0</v>
      </c>
      <c r="DE974" s="308">
        <f t="shared" si="672"/>
        <v>0</v>
      </c>
      <c r="DF974" s="313">
        <f t="shared" si="686"/>
        <v>600</v>
      </c>
      <c r="DG974" s="313">
        <f t="shared" si="668"/>
        <v>0</v>
      </c>
      <c r="DH974" s="313">
        <f t="shared" si="676"/>
        <v>0</v>
      </c>
      <c r="DI974" s="313">
        <f t="shared" si="677"/>
        <v>0</v>
      </c>
      <c r="DJ974" s="313">
        <f t="shared" si="678"/>
        <v>0</v>
      </c>
      <c r="DK974" s="313">
        <f t="shared" si="687"/>
        <v>0</v>
      </c>
      <c r="DL974" s="313">
        <f t="shared" si="679"/>
        <v>0</v>
      </c>
      <c r="DM974" s="314">
        <f t="shared" si="680"/>
        <v>0</v>
      </c>
      <c r="DN974" s="312">
        <f t="shared" si="681"/>
        <v>0</v>
      </c>
      <c r="DO974" s="312">
        <f t="shared" si="688"/>
        <v>0</v>
      </c>
      <c r="DP974" s="315" t="e">
        <f t="shared" si="673"/>
        <v>#NUM!</v>
      </c>
      <c r="DQ974" s="316">
        <f t="shared" si="682"/>
        <v>0</v>
      </c>
      <c r="DR974" s="316">
        <f t="shared" si="683"/>
        <v>0</v>
      </c>
      <c r="DS974" s="314">
        <f t="shared" si="684"/>
        <v>0</v>
      </c>
      <c r="DT974" s="316">
        <f t="shared" si="685"/>
        <v>0</v>
      </c>
      <c r="DU974" s="314">
        <f t="shared" si="674"/>
        <v>0</v>
      </c>
      <c r="DV974" s="316">
        <f t="shared" si="689"/>
        <v>0</v>
      </c>
      <c r="DW974" s="310">
        <f t="shared" si="675"/>
        <v>0</v>
      </c>
      <c r="FB974" s="307"/>
      <c r="FC974" s="307"/>
      <c r="FF974" s="307"/>
      <c r="FG974" s="307"/>
      <c r="FH974" s="306"/>
      <c r="FJ974" s="307"/>
      <c r="FK974" s="307"/>
      <c r="FL974" s="306"/>
      <c r="FM974" s="307"/>
      <c r="FN974" s="306"/>
      <c r="FO974" s="307"/>
      <c r="FP974" s="306"/>
    </row>
    <row r="975" spans="29:172">
      <c r="AC975" s="156"/>
      <c r="CW975" s="364"/>
      <c r="CX975" s="316"/>
      <c r="CY975" s="316"/>
      <c r="DA975" s="309">
        <v>974</v>
      </c>
      <c r="DB975" s="313">
        <f t="shared" si="669"/>
        <v>554.50700817528104</v>
      </c>
      <c r="DC975" s="309">
        <f t="shared" si="670"/>
        <v>4</v>
      </c>
      <c r="DD975" s="309">
        <f t="shared" si="671"/>
        <v>0</v>
      </c>
      <c r="DE975" s="308">
        <f t="shared" si="672"/>
        <v>0</v>
      </c>
      <c r="DF975" s="313">
        <f t="shared" si="686"/>
        <v>600</v>
      </c>
      <c r="DG975" s="313">
        <f t="shared" si="668"/>
        <v>0</v>
      </c>
      <c r="DH975" s="313">
        <f t="shared" si="676"/>
        <v>0</v>
      </c>
      <c r="DI975" s="313">
        <f t="shared" si="677"/>
        <v>0</v>
      </c>
      <c r="DJ975" s="313">
        <f t="shared" si="678"/>
        <v>0</v>
      </c>
      <c r="DK975" s="313">
        <f t="shared" si="687"/>
        <v>0</v>
      </c>
      <c r="DL975" s="313">
        <f t="shared" si="679"/>
        <v>0</v>
      </c>
      <c r="DM975" s="314">
        <f t="shared" si="680"/>
        <v>0</v>
      </c>
      <c r="DN975" s="312">
        <f t="shared" si="681"/>
        <v>0</v>
      </c>
      <c r="DO975" s="312">
        <f t="shared" si="688"/>
        <v>0</v>
      </c>
      <c r="DP975" s="315" t="e">
        <f t="shared" si="673"/>
        <v>#NUM!</v>
      </c>
      <c r="DQ975" s="316">
        <f t="shared" si="682"/>
        <v>0</v>
      </c>
      <c r="DR975" s="316">
        <f t="shared" si="683"/>
        <v>0</v>
      </c>
      <c r="DS975" s="314">
        <f t="shared" si="684"/>
        <v>0</v>
      </c>
      <c r="DT975" s="316">
        <f t="shared" si="685"/>
        <v>0</v>
      </c>
      <c r="DU975" s="314">
        <f t="shared" si="674"/>
        <v>0</v>
      </c>
      <c r="DV975" s="316">
        <f t="shared" si="689"/>
        <v>0</v>
      </c>
      <c r="DW975" s="310">
        <f t="shared" si="675"/>
        <v>0</v>
      </c>
      <c r="FB975" s="307"/>
      <c r="FC975" s="307"/>
      <c r="FF975" s="307"/>
      <c r="FG975" s="307"/>
      <c r="FH975" s="306"/>
      <c r="FJ975" s="307"/>
      <c r="FK975" s="307"/>
      <c r="FL975" s="306"/>
      <c r="FM975" s="307"/>
      <c r="FN975" s="306"/>
      <c r="FO975" s="307"/>
      <c r="FP975" s="306"/>
    </row>
    <row r="976" spans="29:172">
      <c r="AC976" s="156"/>
      <c r="CW976" s="364"/>
      <c r="CX976" s="316"/>
      <c r="CY976" s="316"/>
      <c r="DA976" s="309">
        <v>975</v>
      </c>
      <c r="DB976" s="313">
        <f t="shared" si="669"/>
        <v>554.87097840954721</v>
      </c>
      <c r="DC976" s="309">
        <f t="shared" si="670"/>
        <v>4</v>
      </c>
      <c r="DD976" s="309">
        <f t="shared" si="671"/>
        <v>0</v>
      </c>
      <c r="DE976" s="308">
        <f t="shared" si="672"/>
        <v>0</v>
      </c>
      <c r="DF976" s="313">
        <f t="shared" si="686"/>
        <v>600</v>
      </c>
      <c r="DG976" s="313">
        <f t="shared" si="668"/>
        <v>0</v>
      </c>
      <c r="DH976" s="313">
        <f t="shared" si="676"/>
        <v>0</v>
      </c>
      <c r="DI976" s="313">
        <f t="shared" si="677"/>
        <v>0</v>
      </c>
      <c r="DJ976" s="313">
        <f t="shared" si="678"/>
        <v>0</v>
      </c>
      <c r="DK976" s="313">
        <f t="shared" si="687"/>
        <v>0</v>
      </c>
      <c r="DL976" s="313">
        <f t="shared" si="679"/>
        <v>0</v>
      </c>
      <c r="DM976" s="314">
        <f t="shared" si="680"/>
        <v>0</v>
      </c>
      <c r="DN976" s="312">
        <f t="shared" si="681"/>
        <v>0</v>
      </c>
      <c r="DO976" s="312">
        <f t="shared" si="688"/>
        <v>0</v>
      </c>
      <c r="DP976" s="315" t="e">
        <f t="shared" si="673"/>
        <v>#NUM!</v>
      </c>
      <c r="DQ976" s="316">
        <f t="shared" si="682"/>
        <v>0</v>
      </c>
      <c r="DR976" s="316">
        <f t="shared" si="683"/>
        <v>0</v>
      </c>
      <c r="DS976" s="314">
        <f t="shared" si="684"/>
        <v>0</v>
      </c>
      <c r="DT976" s="316">
        <f t="shared" si="685"/>
        <v>0</v>
      </c>
      <c r="DU976" s="314">
        <f t="shared" si="674"/>
        <v>0</v>
      </c>
      <c r="DV976" s="316">
        <f t="shared" si="689"/>
        <v>0</v>
      </c>
      <c r="DW976" s="310">
        <f t="shared" si="675"/>
        <v>0</v>
      </c>
      <c r="FB976" s="307"/>
      <c r="FC976" s="307"/>
      <c r="FF976" s="307"/>
      <c r="FG976" s="307"/>
      <c r="FH976" s="306"/>
      <c r="FJ976" s="307"/>
      <c r="FK976" s="307"/>
      <c r="FL976" s="306"/>
      <c r="FM976" s="307"/>
      <c r="FN976" s="306"/>
      <c r="FO976" s="307"/>
      <c r="FP976" s="306"/>
    </row>
    <row r="977" spans="29:172">
      <c r="AC977" s="156"/>
      <c r="CW977" s="364"/>
      <c r="CX977" s="316"/>
      <c r="CY977" s="316"/>
      <c r="DA977" s="309">
        <v>976</v>
      </c>
      <c r="DB977" s="313">
        <f t="shared" si="669"/>
        <v>555.23494864381348</v>
      </c>
      <c r="DC977" s="309">
        <f t="shared" si="670"/>
        <v>4</v>
      </c>
      <c r="DD977" s="309">
        <f t="shared" si="671"/>
        <v>0</v>
      </c>
      <c r="DE977" s="308">
        <f t="shared" si="672"/>
        <v>0</v>
      </c>
      <c r="DF977" s="313">
        <f t="shared" si="686"/>
        <v>600</v>
      </c>
      <c r="DG977" s="313">
        <f t="shared" si="668"/>
        <v>0</v>
      </c>
      <c r="DH977" s="313">
        <f t="shared" si="676"/>
        <v>0</v>
      </c>
      <c r="DI977" s="313">
        <f t="shared" si="677"/>
        <v>0</v>
      </c>
      <c r="DJ977" s="313">
        <f t="shared" si="678"/>
        <v>0</v>
      </c>
      <c r="DK977" s="313">
        <f t="shared" si="687"/>
        <v>0</v>
      </c>
      <c r="DL977" s="313">
        <f t="shared" si="679"/>
        <v>0</v>
      </c>
      <c r="DM977" s="314">
        <f t="shared" si="680"/>
        <v>0</v>
      </c>
      <c r="DN977" s="312">
        <f t="shared" si="681"/>
        <v>0</v>
      </c>
      <c r="DO977" s="312">
        <f t="shared" si="688"/>
        <v>0</v>
      </c>
      <c r="DP977" s="315" t="e">
        <f t="shared" si="673"/>
        <v>#NUM!</v>
      </c>
      <c r="DQ977" s="316">
        <f t="shared" si="682"/>
        <v>0</v>
      </c>
      <c r="DR977" s="316">
        <f t="shared" si="683"/>
        <v>0</v>
      </c>
      <c r="DS977" s="314">
        <f t="shared" si="684"/>
        <v>0</v>
      </c>
      <c r="DT977" s="316">
        <f t="shared" si="685"/>
        <v>0</v>
      </c>
      <c r="DU977" s="314">
        <f t="shared" si="674"/>
        <v>0</v>
      </c>
      <c r="DV977" s="316">
        <f t="shared" si="689"/>
        <v>0</v>
      </c>
      <c r="DW977" s="310">
        <f t="shared" si="675"/>
        <v>0</v>
      </c>
      <c r="FB977" s="307"/>
      <c r="FC977" s="307"/>
      <c r="FF977" s="307"/>
      <c r="FG977" s="307"/>
      <c r="FH977" s="306"/>
      <c r="FJ977" s="307"/>
      <c r="FK977" s="307"/>
      <c r="FL977" s="306"/>
      <c r="FM977" s="307"/>
      <c r="FN977" s="306"/>
      <c r="FO977" s="307"/>
      <c r="FP977" s="306"/>
    </row>
    <row r="978" spans="29:172">
      <c r="AC978" s="156"/>
      <c r="CW978" s="364"/>
      <c r="CX978" s="316"/>
      <c r="CY978" s="316"/>
      <c r="DA978" s="309">
        <v>977</v>
      </c>
      <c r="DB978" s="313">
        <f t="shared" si="669"/>
        <v>555.59891887807976</v>
      </c>
      <c r="DC978" s="309">
        <f t="shared" si="670"/>
        <v>4</v>
      </c>
      <c r="DD978" s="309">
        <f t="shared" si="671"/>
        <v>0</v>
      </c>
      <c r="DE978" s="308">
        <f t="shared" si="672"/>
        <v>0</v>
      </c>
      <c r="DF978" s="313">
        <f t="shared" si="686"/>
        <v>600</v>
      </c>
      <c r="DG978" s="313">
        <f t="shared" si="668"/>
        <v>0</v>
      </c>
      <c r="DH978" s="313">
        <f t="shared" si="676"/>
        <v>0</v>
      </c>
      <c r="DI978" s="313">
        <f t="shared" si="677"/>
        <v>0</v>
      </c>
      <c r="DJ978" s="313">
        <f t="shared" si="678"/>
        <v>0</v>
      </c>
      <c r="DK978" s="313">
        <f t="shared" si="687"/>
        <v>0</v>
      </c>
      <c r="DL978" s="313">
        <f t="shared" si="679"/>
        <v>0</v>
      </c>
      <c r="DM978" s="314">
        <f t="shared" si="680"/>
        <v>0</v>
      </c>
      <c r="DN978" s="312">
        <f t="shared" si="681"/>
        <v>0</v>
      </c>
      <c r="DO978" s="312">
        <f t="shared" si="688"/>
        <v>0</v>
      </c>
      <c r="DP978" s="315" t="e">
        <f t="shared" si="673"/>
        <v>#NUM!</v>
      </c>
      <c r="DQ978" s="316">
        <f t="shared" si="682"/>
        <v>0</v>
      </c>
      <c r="DR978" s="316">
        <f t="shared" si="683"/>
        <v>0</v>
      </c>
      <c r="DS978" s="314">
        <f t="shared" si="684"/>
        <v>0</v>
      </c>
      <c r="DT978" s="316">
        <f t="shared" si="685"/>
        <v>0</v>
      </c>
      <c r="DU978" s="314">
        <f t="shared" si="674"/>
        <v>0</v>
      </c>
      <c r="DV978" s="316">
        <f t="shared" si="689"/>
        <v>0</v>
      </c>
      <c r="DW978" s="310">
        <f t="shared" si="675"/>
        <v>0</v>
      </c>
      <c r="FB978" s="307"/>
      <c r="FC978" s="307"/>
      <c r="FF978" s="307"/>
      <c r="FG978" s="307"/>
      <c r="FH978" s="306"/>
      <c r="FJ978" s="307"/>
      <c r="FK978" s="307"/>
      <c r="FL978" s="306"/>
      <c r="FM978" s="307"/>
      <c r="FN978" s="306"/>
      <c r="FO978" s="307"/>
      <c r="FP978" s="306"/>
    </row>
    <row r="979" spans="29:172">
      <c r="AC979" s="156"/>
      <c r="CW979" s="364"/>
      <c r="CX979" s="316"/>
      <c r="CY979" s="316"/>
      <c r="DA979" s="309">
        <v>978</v>
      </c>
      <c r="DB979" s="313">
        <f t="shared" si="669"/>
        <v>555.96288911234592</v>
      </c>
      <c r="DC979" s="309">
        <f t="shared" si="670"/>
        <v>4</v>
      </c>
      <c r="DD979" s="309">
        <f t="shared" si="671"/>
        <v>0</v>
      </c>
      <c r="DE979" s="308">
        <f t="shared" si="672"/>
        <v>0</v>
      </c>
      <c r="DF979" s="313">
        <f t="shared" si="686"/>
        <v>600</v>
      </c>
      <c r="DG979" s="313">
        <f t="shared" si="668"/>
        <v>0</v>
      </c>
      <c r="DH979" s="313">
        <f t="shared" si="676"/>
        <v>0</v>
      </c>
      <c r="DI979" s="313">
        <f t="shared" si="677"/>
        <v>0</v>
      </c>
      <c r="DJ979" s="313">
        <f t="shared" si="678"/>
        <v>0</v>
      </c>
      <c r="DK979" s="313">
        <f t="shared" si="687"/>
        <v>0</v>
      </c>
      <c r="DL979" s="313">
        <f t="shared" si="679"/>
        <v>0</v>
      </c>
      <c r="DM979" s="314">
        <f t="shared" si="680"/>
        <v>0</v>
      </c>
      <c r="DN979" s="312">
        <f t="shared" si="681"/>
        <v>0</v>
      </c>
      <c r="DO979" s="312">
        <f t="shared" si="688"/>
        <v>0</v>
      </c>
      <c r="DP979" s="315" t="e">
        <f t="shared" si="673"/>
        <v>#NUM!</v>
      </c>
      <c r="DQ979" s="316">
        <f t="shared" si="682"/>
        <v>0</v>
      </c>
      <c r="DR979" s="316">
        <f t="shared" si="683"/>
        <v>0</v>
      </c>
      <c r="DS979" s="314">
        <f t="shared" si="684"/>
        <v>0</v>
      </c>
      <c r="DT979" s="316">
        <f t="shared" si="685"/>
        <v>0</v>
      </c>
      <c r="DU979" s="314">
        <f t="shared" si="674"/>
        <v>0</v>
      </c>
      <c r="DV979" s="316">
        <f t="shared" si="689"/>
        <v>0</v>
      </c>
      <c r="DW979" s="310">
        <f t="shared" si="675"/>
        <v>0</v>
      </c>
      <c r="FB979" s="307"/>
      <c r="FC979" s="307"/>
      <c r="FF979" s="307"/>
      <c r="FG979" s="307"/>
      <c r="FH979" s="306"/>
      <c r="FJ979" s="307"/>
      <c r="FK979" s="307"/>
      <c r="FL979" s="306"/>
      <c r="FM979" s="307"/>
      <c r="FN979" s="306"/>
      <c r="FO979" s="307"/>
      <c r="FP979" s="306"/>
    </row>
    <row r="980" spans="29:172">
      <c r="AC980" s="156"/>
      <c r="CW980" s="364"/>
      <c r="CX980" s="316"/>
      <c r="CY980" s="316"/>
      <c r="DA980" s="309">
        <v>979</v>
      </c>
      <c r="DB980" s="313">
        <f t="shared" si="669"/>
        <v>556.32685934661208</v>
      </c>
      <c r="DC980" s="309">
        <f t="shared" si="670"/>
        <v>4</v>
      </c>
      <c r="DD980" s="309">
        <f t="shared" si="671"/>
        <v>0</v>
      </c>
      <c r="DE980" s="308">
        <f t="shared" si="672"/>
        <v>0</v>
      </c>
      <c r="DF980" s="313">
        <f t="shared" si="686"/>
        <v>600</v>
      </c>
      <c r="DG980" s="313">
        <f t="shared" si="668"/>
        <v>0</v>
      </c>
      <c r="DH980" s="313">
        <f t="shared" si="676"/>
        <v>0</v>
      </c>
      <c r="DI980" s="313">
        <f t="shared" si="677"/>
        <v>0</v>
      </c>
      <c r="DJ980" s="313">
        <f t="shared" si="678"/>
        <v>0</v>
      </c>
      <c r="DK980" s="313">
        <f t="shared" si="687"/>
        <v>0</v>
      </c>
      <c r="DL980" s="313">
        <f t="shared" si="679"/>
        <v>0</v>
      </c>
      <c r="DM980" s="314">
        <f t="shared" si="680"/>
        <v>0</v>
      </c>
      <c r="DN980" s="312">
        <f t="shared" si="681"/>
        <v>0</v>
      </c>
      <c r="DO980" s="312">
        <f t="shared" si="688"/>
        <v>0</v>
      </c>
      <c r="DP980" s="315" t="e">
        <f t="shared" si="673"/>
        <v>#NUM!</v>
      </c>
      <c r="DQ980" s="316">
        <f t="shared" si="682"/>
        <v>0</v>
      </c>
      <c r="DR980" s="316">
        <f t="shared" si="683"/>
        <v>0</v>
      </c>
      <c r="DS980" s="314">
        <f t="shared" si="684"/>
        <v>0</v>
      </c>
      <c r="DT980" s="316">
        <f t="shared" si="685"/>
        <v>0</v>
      </c>
      <c r="DU980" s="314">
        <f t="shared" si="674"/>
        <v>0</v>
      </c>
      <c r="DV980" s="316">
        <f t="shared" si="689"/>
        <v>0</v>
      </c>
      <c r="DW980" s="310">
        <f t="shared" si="675"/>
        <v>0</v>
      </c>
      <c r="FB980" s="307"/>
      <c r="FC980" s="307"/>
      <c r="FF980" s="307"/>
      <c r="FG980" s="307"/>
      <c r="FH980" s="306"/>
      <c r="FJ980" s="307"/>
      <c r="FK980" s="307"/>
      <c r="FL980" s="306"/>
      <c r="FM980" s="307"/>
      <c r="FN980" s="306"/>
      <c r="FO980" s="307"/>
      <c r="FP980" s="306"/>
    </row>
    <row r="981" spans="29:172">
      <c r="AC981" s="156"/>
      <c r="CW981" s="364"/>
      <c r="CX981" s="316"/>
      <c r="CY981" s="316"/>
      <c r="DA981" s="309">
        <v>980</v>
      </c>
      <c r="DB981" s="313">
        <f t="shared" si="669"/>
        <v>556.69082958087824</v>
      </c>
      <c r="DC981" s="309">
        <f t="shared" si="670"/>
        <v>4</v>
      </c>
      <c r="DD981" s="309">
        <f t="shared" si="671"/>
        <v>0</v>
      </c>
      <c r="DE981" s="308">
        <f t="shared" si="672"/>
        <v>0</v>
      </c>
      <c r="DF981" s="313">
        <f t="shared" si="686"/>
        <v>600</v>
      </c>
      <c r="DG981" s="313">
        <f t="shared" si="668"/>
        <v>0</v>
      </c>
      <c r="DH981" s="313">
        <f t="shared" si="676"/>
        <v>0</v>
      </c>
      <c r="DI981" s="313">
        <f t="shared" si="677"/>
        <v>0</v>
      </c>
      <c r="DJ981" s="313">
        <f t="shared" si="678"/>
        <v>0</v>
      </c>
      <c r="DK981" s="313">
        <f t="shared" si="687"/>
        <v>0</v>
      </c>
      <c r="DL981" s="313">
        <f t="shared" si="679"/>
        <v>0</v>
      </c>
      <c r="DM981" s="314">
        <f t="shared" si="680"/>
        <v>0</v>
      </c>
      <c r="DN981" s="312">
        <f t="shared" si="681"/>
        <v>0</v>
      </c>
      <c r="DO981" s="312">
        <f t="shared" si="688"/>
        <v>0</v>
      </c>
      <c r="DP981" s="315" t="e">
        <f t="shared" si="673"/>
        <v>#NUM!</v>
      </c>
      <c r="DQ981" s="316">
        <f t="shared" si="682"/>
        <v>0</v>
      </c>
      <c r="DR981" s="316">
        <f t="shared" si="683"/>
        <v>0</v>
      </c>
      <c r="DS981" s="314">
        <f t="shared" si="684"/>
        <v>0</v>
      </c>
      <c r="DT981" s="316">
        <f t="shared" si="685"/>
        <v>0</v>
      </c>
      <c r="DU981" s="314">
        <f t="shared" si="674"/>
        <v>0</v>
      </c>
      <c r="DV981" s="316">
        <f t="shared" si="689"/>
        <v>0</v>
      </c>
      <c r="DW981" s="310">
        <f t="shared" si="675"/>
        <v>0</v>
      </c>
      <c r="FB981" s="307"/>
      <c r="FC981" s="307"/>
      <c r="FF981" s="307"/>
      <c r="FG981" s="307"/>
      <c r="FH981" s="306"/>
      <c r="FJ981" s="307"/>
      <c r="FK981" s="307"/>
      <c r="FL981" s="306"/>
      <c r="FM981" s="307"/>
      <c r="FN981" s="306"/>
      <c r="FO981" s="307"/>
      <c r="FP981" s="306"/>
    </row>
    <row r="982" spans="29:172">
      <c r="AC982" s="156"/>
      <c r="CW982" s="364"/>
      <c r="CX982" s="316"/>
      <c r="CY982" s="316"/>
      <c r="DA982" s="309">
        <v>981</v>
      </c>
      <c r="DB982" s="313">
        <f t="shared" si="669"/>
        <v>557.05479981514452</v>
      </c>
      <c r="DC982" s="309">
        <f t="shared" si="670"/>
        <v>4</v>
      </c>
      <c r="DD982" s="309">
        <f t="shared" si="671"/>
        <v>0</v>
      </c>
      <c r="DE982" s="308">
        <f t="shared" si="672"/>
        <v>0</v>
      </c>
      <c r="DF982" s="313">
        <f t="shared" si="686"/>
        <v>600</v>
      </c>
      <c r="DG982" s="313">
        <f t="shared" si="668"/>
        <v>0</v>
      </c>
      <c r="DH982" s="313">
        <f t="shared" si="676"/>
        <v>0</v>
      </c>
      <c r="DI982" s="313">
        <f t="shared" si="677"/>
        <v>0</v>
      </c>
      <c r="DJ982" s="313">
        <f t="shared" si="678"/>
        <v>0</v>
      </c>
      <c r="DK982" s="313">
        <f t="shared" si="687"/>
        <v>0</v>
      </c>
      <c r="DL982" s="313">
        <f t="shared" si="679"/>
        <v>0</v>
      </c>
      <c r="DM982" s="314">
        <f t="shared" si="680"/>
        <v>0</v>
      </c>
      <c r="DN982" s="312">
        <f t="shared" si="681"/>
        <v>0</v>
      </c>
      <c r="DO982" s="312">
        <f t="shared" si="688"/>
        <v>0</v>
      </c>
      <c r="DP982" s="315" t="e">
        <f t="shared" si="673"/>
        <v>#NUM!</v>
      </c>
      <c r="DQ982" s="316">
        <f t="shared" si="682"/>
        <v>0</v>
      </c>
      <c r="DR982" s="316">
        <f t="shared" si="683"/>
        <v>0</v>
      </c>
      <c r="DS982" s="314">
        <f t="shared" si="684"/>
        <v>0</v>
      </c>
      <c r="DT982" s="316">
        <f t="shared" si="685"/>
        <v>0</v>
      </c>
      <c r="DU982" s="314">
        <f t="shared" si="674"/>
        <v>0</v>
      </c>
      <c r="DV982" s="316">
        <f t="shared" si="689"/>
        <v>0</v>
      </c>
      <c r="DW982" s="310">
        <f t="shared" si="675"/>
        <v>0</v>
      </c>
      <c r="FB982" s="307"/>
      <c r="FC982" s="307"/>
      <c r="FF982" s="307"/>
      <c r="FG982" s="307"/>
      <c r="FH982" s="306"/>
      <c r="FJ982" s="307"/>
      <c r="FK982" s="307"/>
      <c r="FL982" s="306"/>
      <c r="FM982" s="307"/>
      <c r="FN982" s="306"/>
      <c r="FO982" s="307"/>
      <c r="FP982" s="306"/>
    </row>
    <row r="983" spans="29:172">
      <c r="AC983" s="156"/>
      <c r="CW983" s="364"/>
      <c r="CX983" s="316"/>
      <c r="CY983" s="316"/>
      <c r="DA983" s="309">
        <v>982</v>
      </c>
      <c r="DB983" s="313">
        <f t="shared" si="669"/>
        <v>557.41877004941068</v>
      </c>
      <c r="DC983" s="309">
        <f t="shared" si="670"/>
        <v>4</v>
      </c>
      <c r="DD983" s="309">
        <f t="shared" si="671"/>
        <v>0</v>
      </c>
      <c r="DE983" s="308">
        <f t="shared" si="672"/>
        <v>0</v>
      </c>
      <c r="DF983" s="313">
        <f t="shared" si="686"/>
        <v>600</v>
      </c>
      <c r="DG983" s="313">
        <f t="shared" si="668"/>
        <v>0</v>
      </c>
      <c r="DH983" s="313">
        <f t="shared" si="676"/>
        <v>0</v>
      </c>
      <c r="DI983" s="313">
        <f t="shared" si="677"/>
        <v>0</v>
      </c>
      <c r="DJ983" s="313">
        <f t="shared" si="678"/>
        <v>0</v>
      </c>
      <c r="DK983" s="313">
        <f t="shared" si="687"/>
        <v>0</v>
      </c>
      <c r="DL983" s="313">
        <f t="shared" si="679"/>
        <v>0</v>
      </c>
      <c r="DM983" s="314">
        <f t="shared" si="680"/>
        <v>0</v>
      </c>
      <c r="DN983" s="312">
        <f t="shared" si="681"/>
        <v>0</v>
      </c>
      <c r="DO983" s="312">
        <f t="shared" si="688"/>
        <v>0</v>
      </c>
      <c r="DP983" s="315" t="e">
        <f t="shared" si="673"/>
        <v>#NUM!</v>
      </c>
      <c r="DQ983" s="316">
        <f t="shared" si="682"/>
        <v>0</v>
      </c>
      <c r="DR983" s="316">
        <f t="shared" si="683"/>
        <v>0</v>
      </c>
      <c r="DS983" s="314">
        <f t="shared" si="684"/>
        <v>0</v>
      </c>
      <c r="DT983" s="316">
        <f t="shared" si="685"/>
        <v>0</v>
      </c>
      <c r="DU983" s="314">
        <f t="shared" si="674"/>
        <v>0</v>
      </c>
      <c r="DV983" s="316">
        <f t="shared" si="689"/>
        <v>0</v>
      </c>
      <c r="DW983" s="310">
        <f t="shared" si="675"/>
        <v>0</v>
      </c>
      <c r="FB983" s="307"/>
      <c r="FC983" s="307"/>
      <c r="FF983" s="307"/>
      <c r="FG983" s="307"/>
      <c r="FH983" s="306"/>
      <c r="FJ983" s="307"/>
      <c r="FK983" s="307"/>
      <c r="FL983" s="306"/>
      <c r="FM983" s="307"/>
      <c r="FN983" s="306"/>
      <c r="FO983" s="307"/>
      <c r="FP983" s="306"/>
    </row>
    <row r="984" spans="29:172">
      <c r="AC984" s="156"/>
      <c r="CW984" s="364"/>
      <c r="CX984" s="316"/>
      <c r="CY984" s="316"/>
      <c r="DA984" s="309">
        <v>983</v>
      </c>
      <c r="DB984" s="313">
        <f t="shared" si="669"/>
        <v>557.78274028367696</v>
      </c>
      <c r="DC984" s="309">
        <f t="shared" si="670"/>
        <v>4</v>
      </c>
      <c r="DD984" s="309">
        <f t="shared" si="671"/>
        <v>0</v>
      </c>
      <c r="DE984" s="308">
        <f t="shared" si="672"/>
        <v>0</v>
      </c>
      <c r="DF984" s="313">
        <f t="shared" si="686"/>
        <v>600</v>
      </c>
      <c r="DG984" s="313">
        <f t="shared" si="668"/>
        <v>0</v>
      </c>
      <c r="DH984" s="313">
        <f t="shared" si="676"/>
        <v>0</v>
      </c>
      <c r="DI984" s="313">
        <f t="shared" si="677"/>
        <v>0</v>
      </c>
      <c r="DJ984" s="313">
        <f t="shared" si="678"/>
        <v>0</v>
      </c>
      <c r="DK984" s="313">
        <f t="shared" si="687"/>
        <v>0</v>
      </c>
      <c r="DL984" s="313">
        <f t="shared" si="679"/>
        <v>0</v>
      </c>
      <c r="DM984" s="314">
        <f t="shared" si="680"/>
        <v>0</v>
      </c>
      <c r="DN984" s="312">
        <f t="shared" si="681"/>
        <v>0</v>
      </c>
      <c r="DO984" s="312">
        <f t="shared" si="688"/>
        <v>0</v>
      </c>
      <c r="DP984" s="315" t="e">
        <f t="shared" si="673"/>
        <v>#NUM!</v>
      </c>
      <c r="DQ984" s="316">
        <f t="shared" si="682"/>
        <v>0</v>
      </c>
      <c r="DR984" s="316">
        <f t="shared" si="683"/>
        <v>0</v>
      </c>
      <c r="DS984" s="314">
        <f t="shared" si="684"/>
        <v>0</v>
      </c>
      <c r="DT984" s="316">
        <f t="shared" si="685"/>
        <v>0</v>
      </c>
      <c r="DU984" s="314">
        <f t="shared" si="674"/>
        <v>0</v>
      </c>
      <c r="DV984" s="316">
        <f t="shared" si="689"/>
        <v>0</v>
      </c>
      <c r="DW984" s="310">
        <f t="shared" si="675"/>
        <v>0</v>
      </c>
      <c r="FB984" s="307"/>
      <c r="FC984" s="307"/>
      <c r="FF984" s="307"/>
      <c r="FG984" s="307"/>
      <c r="FH984" s="306"/>
      <c r="FJ984" s="307"/>
      <c r="FK984" s="307"/>
      <c r="FL984" s="306"/>
      <c r="FM984" s="307"/>
      <c r="FN984" s="306"/>
      <c r="FO984" s="307"/>
      <c r="FP984" s="306"/>
    </row>
    <row r="985" spans="29:172">
      <c r="AC985" s="156"/>
      <c r="CW985" s="364"/>
      <c r="CX985" s="316"/>
      <c r="CY985" s="316"/>
      <c r="DA985" s="309">
        <v>984</v>
      </c>
      <c r="DB985" s="313">
        <f t="shared" si="669"/>
        <v>558.14671051794312</v>
      </c>
      <c r="DC985" s="309">
        <f t="shared" si="670"/>
        <v>4</v>
      </c>
      <c r="DD985" s="309">
        <f t="shared" si="671"/>
        <v>0</v>
      </c>
      <c r="DE985" s="308">
        <f t="shared" si="672"/>
        <v>0</v>
      </c>
      <c r="DF985" s="313">
        <f t="shared" si="686"/>
        <v>600</v>
      </c>
      <c r="DG985" s="313">
        <f t="shared" si="668"/>
        <v>0</v>
      </c>
      <c r="DH985" s="313">
        <f t="shared" si="676"/>
        <v>0</v>
      </c>
      <c r="DI985" s="313">
        <f t="shared" si="677"/>
        <v>0</v>
      </c>
      <c r="DJ985" s="313">
        <f t="shared" si="678"/>
        <v>0</v>
      </c>
      <c r="DK985" s="313">
        <f t="shared" si="687"/>
        <v>0</v>
      </c>
      <c r="DL985" s="313">
        <f t="shared" si="679"/>
        <v>0</v>
      </c>
      <c r="DM985" s="314">
        <f t="shared" si="680"/>
        <v>0</v>
      </c>
      <c r="DN985" s="312">
        <f t="shared" si="681"/>
        <v>0</v>
      </c>
      <c r="DO985" s="312">
        <f t="shared" si="688"/>
        <v>0</v>
      </c>
      <c r="DP985" s="315" t="e">
        <f t="shared" si="673"/>
        <v>#NUM!</v>
      </c>
      <c r="DQ985" s="316">
        <f t="shared" si="682"/>
        <v>0</v>
      </c>
      <c r="DR985" s="316">
        <f t="shared" si="683"/>
        <v>0</v>
      </c>
      <c r="DS985" s="314">
        <f t="shared" si="684"/>
        <v>0</v>
      </c>
      <c r="DT985" s="316">
        <f t="shared" si="685"/>
        <v>0</v>
      </c>
      <c r="DU985" s="314">
        <f t="shared" si="674"/>
        <v>0</v>
      </c>
      <c r="DV985" s="316">
        <f t="shared" si="689"/>
        <v>0</v>
      </c>
      <c r="DW985" s="310">
        <f t="shared" si="675"/>
        <v>0</v>
      </c>
      <c r="FB985" s="307"/>
      <c r="FC985" s="307"/>
      <c r="FF985" s="307"/>
      <c r="FG985" s="307"/>
      <c r="FH985" s="306"/>
      <c r="FJ985" s="307"/>
      <c r="FK985" s="307"/>
      <c r="FL985" s="306"/>
      <c r="FM985" s="307"/>
      <c r="FN985" s="306"/>
      <c r="FO985" s="307"/>
      <c r="FP985" s="306"/>
    </row>
    <row r="986" spans="29:172">
      <c r="AC986" s="156"/>
      <c r="CW986" s="364"/>
      <c r="CX986" s="316"/>
      <c r="CY986" s="316"/>
      <c r="DA986" s="309">
        <v>985</v>
      </c>
      <c r="DB986" s="313">
        <f t="shared" si="669"/>
        <v>558.51068075220928</v>
      </c>
      <c r="DC986" s="309">
        <f t="shared" si="670"/>
        <v>4</v>
      </c>
      <c r="DD986" s="309">
        <f t="shared" si="671"/>
        <v>0</v>
      </c>
      <c r="DE986" s="308">
        <f t="shared" si="672"/>
        <v>0</v>
      </c>
      <c r="DF986" s="313">
        <f t="shared" si="686"/>
        <v>600</v>
      </c>
      <c r="DG986" s="313">
        <f t="shared" si="668"/>
        <v>0</v>
      </c>
      <c r="DH986" s="313">
        <f t="shared" si="676"/>
        <v>0</v>
      </c>
      <c r="DI986" s="313">
        <f t="shared" si="677"/>
        <v>0</v>
      </c>
      <c r="DJ986" s="313">
        <f t="shared" si="678"/>
        <v>0</v>
      </c>
      <c r="DK986" s="313">
        <f t="shared" si="687"/>
        <v>0</v>
      </c>
      <c r="DL986" s="313">
        <f t="shared" si="679"/>
        <v>0</v>
      </c>
      <c r="DM986" s="314">
        <f t="shared" si="680"/>
        <v>0</v>
      </c>
      <c r="DN986" s="312">
        <f t="shared" si="681"/>
        <v>0</v>
      </c>
      <c r="DO986" s="312">
        <f t="shared" si="688"/>
        <v>0</v>
      </c>
      <c r="DP986" s="315" t="e">
        <f t="shared" si="673"/>
        <v>#NUM!</v>
      </c>
      <c r="DQ986" s="316">
        <f t="shared" si="682"/>
        <v>0</v>
      </c>
      <c r="DR986" s="316">
        <f t="shared" si="683"/>
        <v>0</v>
      </c>
      <c r="DS986" s="314">
        <f t="shared" si="684"/>
        <v>0</v>
      </c>
      <c r="DT986" s="316">
        <f t="shared" si="685"/>
        <v>0</v>
      </c>
      <c r="DU986" s="314">
        <f t="shared" si="674"/>
        <v>0</v>
      </c>
      <c r="DV986" s="316">
        <f t="shared" si="689"/>
        <v>0</v>
      </c>
      <c r="DW986" s="310">
        <f t="shared" si="675"/>
        <v>0</v>
      </c>
      <c r="FB986" s="307"/>
      <c r="FC986" s="307"/>
      <c r="FF986" s="307"/>
      <c r="FG986" s="307"/>
      <c r="FH986" s="306"/>
      <c r="FJ986" s="307"/>
      <c r="FK986" s="307"/>
      <c r="FL986" s="306"/>
      <c r="FM986" s="307"/>
      <c r="FN986" s="306"/>
      <c r="FO986" s="307"/>
      <c r="FP986" s="306"/>
    </row>
    <row r="987" spans="29:172">
      <c r="AC987" s="156"/>
      <c r="CW987" s="364"/>
      <c r="CX987" s="316"/>
      <c r="CY987" s="316"/>
      <c r="DA987" s="309">
        <v>986</v>
      </c>
      <c r="DB987" s="313">
        <f t="shared" si="669"/>
        <v>558.87465098647544</v>
      </c>
      <c r="DC987" s="309">
        <f t="shared" si="670"/>
        <v>4</v>
      </c>
      <c r="DD987" s="309">
        <f t="shared" si="671"/>
        <v>0</v>
      </c>
      <c r="DE987" s="308">
        <f t="shared" si="672"/>
        <v>0</v>
      </c>
      <c r="DF987" s="313">
        <f t="shared" si="686"/>
        <v>600</v>
      </c>
      <c r="DG987" s="313">
        <f t="shared" si="668"/>
        <v>0</v>
      </c>
      <c r="DH987" s="313">
        <f t="shared" si="676"/>
        <v>0</v>
      </c>
      <c r="DI987" s="313">
        <f t="shared" si="677"/>
        <v>0</v>
      </c>
      <c r="DJ987" s="313">
        <f t="shared" si="678"/>
        <v>0</v>
      </c>
      <c r="DK987" s="313">
        <f t="shared" si="687"/>
        <v>0</v>
      </c>
      <c r="DL987" s="313">
        <f t="shared" si="679"/>
        <v>0</v>
      </c>
      <c r="DM987" s="314">
        <f t="shared" si="680"/>
        <v>0</v>
      </c>
      <c r="DN987" s="312">
        <f t="shared" si="681"/>
        <v>0</v>
      </c>
      <c r="DO987" s="312">
        <f t="shared" si="688"/>
        <v>0</v>
      </c>
      <c r="DP987" s="315" t="e">
        <f t="shared" si="673"/>
        <v>#NUM!</v>
      </c>
      <c r="DQ987" s="316">
        <f t="shared" si="682"/>
        <v>0</v>
      </c>
      <c r="DR987" s="316">
        <f t="shared" si="683"/>
        <v>0</v>
      </c>
      <c r="DS987" s="314">
        <f t="shared" si="684"/>
        <v>0</v>
      </c>
      <c r="DT987" s="316">
        <f t="shared" si="685"/>
        <v>0</v>
      </c>
      <c r="DU987" s="314">
        <f t="shared" si="674"/>
        <v>0</v>
      </c>
      <c r="DV987" s="316">
        <f t="shared" si="689"/>
        <v>0</v>
      </c>
      <c r="DW987" s="310">
        <f t="shared" si="675"/>
        <v>0</v>
      </c>
      <c r="FB987" s="307"/>
      <c r="FC987" s="307"/>
      <c r="FF987" s="307"/>
      <c r="FG987" s="307"/>
      <c r="FH987" s="306"/>
      <c r="FJ987" s="307"/>
      <c r="FK987" s="307"/>
      <c r="FL987" s="306"/>
      <c r="FM987" s="307"/>
      <c r="FN987" s="306"/>
      <c r="FO987" s="307"/>
      <c r="FP987" s="306"/>
    </row>
    <row r="988" spans="29:172">
      <c r="AC988" s="156"/>
      <c r="CW988" s="364"/>
      <c r="CX988" s="316"/>
      <c r="CY988" s="316"/>
      <c r="DA988" s="309">
        <v>987</v>
      </c>
      <c r="DB988" s="313">
        <f t="shared" si="669"/>
        <v>559.23862122074172</v>
      </c>
      <c r="DC988" s="309">
        <f t="shared" si="670"/>
        <v>4</v>
      </c>
      <c r="DD988" s="309">
        <f t="shared" si="671"/>
        <v>0</v>
      </c>
      <c r="DE988" s="308">
        <f t="shared" si="672"/>
        <v>0</v>
      </c>
      <c r="DF988" s="313">
        <f t="shared" si="686"/>
        <v>600</v>
      </c>
      <c r="DG988" s="313">
        <f t="shared" si="668"/>
        <v>0</v>
      </c>
      <c r="DH988" s="313">
        <f t="shared" si="676"/>
        <v>0</v>
      </c>
      <c r="DI988" s="313">
        <f t="shared" si="677"/>
        <v>0</v>
      </c>
      <c r="DJ988" s="313">
        <f t="shared" si="678"/>
        <v>0</v>
      </c>
      <c r="DK988" s="313">
        <f t="shared" si="687"/>
        <v>0</v>
      </c>
      <c r="DL988" s="313">
        <f t="shared" si="679"/>
        <v>0</v>
      </c>
      <c r="DM988" s="314">
        <f t="shared" si="680"/>
        <v>0</v>
      </c>
      <c r="DN988" s="312">
        <f t="shared" si="681"/>
        <v>0</v>
      </c>
      <c r="DO988" s="312">
        <f t="shared" si="688"/>
        <v>0</v>
      </c>
      <c r="DP988" s="315" t="e">
        <f t="shared" si="673"/>
        <v>#NUM!</v>
      </c>
      <c r="DQ988" s="316">
        <f t="shared" si="682"/>
        <v>0</v>
      </c>
      <c r="DR988" s="316">
        <f t="shared" si="683"/>
        <v>0</v>
      </c>
      <c r="DS988" s="314">
        <f t="shared" si="684"/>
        <v>0</v>
      </c>
      <c r="DT988" s="316">
        <f t="shared" si="685"/>
        <v>0</v>
      </c>
      <c r="DU988" s="314">
        <f t="shared" si="674"/>
        <v>0</v>
      </c>
      <c r="DV988" s="316">
        <f t="shared" si="689"/>
        <v>0</v>
      </c>
      <c r="DW988" s="310">
        <f t="shared" si="675"/>
        <v>0</v>
      </c>
      <c r="FB988" s="307"/>
      <c r="FC988" s="307"/>
      <c r="FF988" s="307"/>
      <c r="FG988" s="307"/>
      <c r="FH988" s="306"/>
      <c r="FJ988" s="307"/>
      <c r="FK988" s="307"/>
      <c r="FL988" s="306"/>
      <c r="FM988" s="307"/>
      <c r="FN988" s="306"/>
      <c r="FO988" s="307"/>
      <c r="FP988" s="306"/>
    </row>
    <row r="989" spans="29:172">
      <c r="AC989" s="156"/>
      <c r="CW989" s="364"/>
      <c r="CX989" s="316"/>
      <c r="CY989" s="316"/>
      <c r="DA989" s="309">
        <v>988</v>
      </c>
      <c r="DB989" s="313">
        <f t="shared" si="669"/>
        <v>559.602591455008</v>
      </c>
      <c r="DC989" s="309">
        <f t="shared" si="670"/>
        <v>4</v>
      </c>
      <c r="DD989" s="309">
        <f t="shared" si="671"/>
        <v>0</v>
      </c>
      <c r="DE989" s="308">
        <f t="shared" si="672"/>
        <v>0</v>
      </c>
      <c r="DF989" s="313">
        <f t="shared" si="686"/>
        <v>600</v>
      </c>
      <c r="DG989" s="313">
        <f t="shared" si="668"/>
        <v>0</v>
      </c>
      <c r="DH989" s="313">
        <f t="shared" si="676"/>
        <v>0</v>
      </c>
      <c r="DI989" s="313">
        <f t="shared" si="677"/>
        <v>0</v>
      </c>
      <c r="DJ989" s="313">
        <f t="shared" si="678"/>
        <v>0</v>
      </c>
      <c r="DK989" s="313">
        <f t="shared" si="687"/>
        <v>0</v>
      </c>
      <c r="DL989" s="313">
        <f t="shared" si="679"/>
        <v>0</v>
      </c>
      <c r="DM989" s="314">
        <f t="shared" si="680"/>
        <v>0</v>
      </c>
      <c r="DN989" s="312">
        <f t="shared" si="681"/>
        <v>0</v>
      </c>
      <c r="DO989" s="312">
        <f t="shared" si="688"/>
        <v>0</v>
      </c>
      <c r="DP989" s="315" t="e">
        <f t="shared" si="673"/>
        <v>#NUM!</v>
      </c>
      <c r="DQ989" s="316">
        <f t="shared" si="682"/>
        <v>0</v>
      </c>
      <c r="DR989" s="316">
        <f t="shared" si="683"/>
        <v>0</v>
      </c>
      <c r="DS989" s="314">
        <f t="shared" si="684"/>
        <v>0</v>
      </c>
      <c r="DT989" s="316">
        <f t="shared" si="685"/>
        <v>0</v>
      </c>
      <c r="DU989" s="314">
        <f t="shared" si="674"/>
        <v>0</v>
      </c>
      <c r="DV989" s="316">
        <f t="shared" si="689"/>
        <v>0</v>
      </c>
      <c r="DW989" s="310">
        <f t="shared" si="675"/>
        <v>0</v>
      </c>
      <c r="FB989" s="307"/>
      <c r="FC989" s="307"/>
      <c r="FF989" s="307"/>
      <c r="FG989" s="307"/>
      <c r="FH989" s="306"/>
      <c r="FJ989" s="307"/>
      <c r="FK989" s="307"/>
      <c r="FL989" s="306"/>
      <c r="FM989" s="307"/>
      <c r="FN989" s="306"/>
      <c r="FO989" s="307"/>
      <c r="FP989" s="306"/>
    </row>
    <row r="990" spans="29:172">
      <c r="AC990" s="156"/>
      <c r="CW990" s="364"/>
      <c r="CX990" s="316"/>
      <c r="CY990" s="316"/>
      <c r="DA990" s="309">
        <v>989</v>
      </c>
      <c r="DB990" s="313">
        <f t="shared" si="669"/>
        <v>559.96656168927416</v>
      </c>
      <c r="DC990" s="309">
        <f t="shared" si="670"/>
        <v>4</v>
      </c>
      <c r="DD990" s="309">
        <f t="shared" si="671"/>
        <v>0</v>
      </c>
      <c r="DE990" s="308">
        <f t="shared" si="672"/>
        <v>0</v>
      </c>
      <c r="DF990" s="313">
        <f t="shared" si="686"/>
        <v>600</v>
      </c>
      <c r="DG990" s="313">
        <f t="shared" si="668"/>
        <v>0</v>
      </c>
      <c r="DH990" s="313">
        <f t="shared" si="676"/>
        <v>0</v>
      </c>
      <c r="DI990" s="313">
        <f t="shared" si="677"/>
        <v>0</v>
      </c>
      <c r="DJ990" s="313">
        <f t="shared" si="678"/>
        <v>0</v>
      </c>
      <c r="DK990" s="313">
        <f t="shared" si="687"/>
        <v>0</v>
      </c>
      <c r="DL990" s="313">
        <f t="shared" si="679"/>
        <v>0</v>
      </c>
      <c r="DM990" s="314">
        <f t="shared" si="680"/>
        <v>0</v>
      </c>
      <c r="DN990" s="312">
        <f t="shared" si="681"/>
        <v>0</v>
      </c>
      <c r="DO990" s="312">
        <f t="shared" si="688"/>
        <v>0</v>
      </c>
      <c r="DP990" s="315" t="e">
        <f t="shared" si="673"/>
        <v>#NUM!</v>
      </c>
      <c r="DQ990" s="316">
        <f t="shared" si="682"/>
        <v>0</v>
      </c>
      <c r="DR990" s="316">
        <f t="shared" si="683"/>
        <v>0</v>
      </c>
      <c r="DS990" s="314">
        <f t="shared" si="684"/>
        <v>0</v>
      </c>
      <c r="DT990" s="316">
        <f t="shared" si="685"/>
        <v>0</v>
      </c>
      <c r="DU990" s="314">
        <f t="shared" si="674"/>
        <v>0</v>
      </c>
      <c r="DV990" s="316">
        <f t="shared" si="689"/>
        <v>0</v>
      </c>
      <c r="DW990" s="310">
        <f t="shared" si="675"/>
        <v>0</v>
      </c>
      <c r="FB990" s="307"/>
      <c r="FC990" s="307"/>
      <c r="FF990" s="307"/>
      <c r="FG990" s="307"/>
      <c r="FH990" s="306"/>
      <c r="FJ990" s="307"/>
      <c r="FK990" s="307"/>
      <c r="FL990" s="306"/>
      <c r="FM990" s="307"/>
      <c r="FN990" s="306"/>
      <c r="FO990" s="307"/>
      <c r="FP990" s="306"/>
    </row>
    <row r="991" spans="29:172">
      <c r="AC991" s="156"/>
      <c r="CW991" s="364"/>
      <c r="CX991" s="316"/>
      <c r="CY991" s="316"/>
      <c r="DA991" s="309">
        <v>990</v>
      </c>
      <c r="DB991" s="313">
        <f t="shared" si="669"/>
        <v>560.33053192354032</v>
      </c>
      <c r="DC991" s="309">
        <f t="shared" si="670"/>
        <v>4</v>
      </c>
      <c r="DD991" s="309">
        <f t="shared" si="671"/>
        <v>0</v>
      </c>
      <c r="DE991" s="308">
        <f t="shared" si="672"/>
        <v>0</v>
      </c>
      <c r="DF991" s="313">
        <f t="shared" si="686"/>
        <v>600</v>
      </c>
      <c r="DG991" s="313">
        <f t="shared" si="668"/>
        <v>0</v>
      </c>
      <c r="DH991" s="313">
        <f t="shared" si="676"/>
        <v>0</v>
      </c>
      <c r="DI991" s="313">
        <f t="shared" si="677"/>
        <v>0</v>
      </c>
      <c r="DJ991" s="313">
        <f t="shared" si="678"/>
        <v>0</v>
      </c>
      <c r="DK991" s="313">
        <f t="shared" si="687"/>
        <v>0</v>
      </c>
      <c r="DL991" s="313">
        <f t="shared" si="679"/>
        <v>0</v>
      </c>
      <c r="DM991" s="314">
        <f t="shared" si="680"/>
        <v>0</v>
      </c>
      <c r="DN991" s="312">
        <f t="shared" si="681"/>
        <v>0</v>
      </c>
      <c r="DO991" s="312">
        <f t="shared" si="688"/>
        <v>0</v>
      </c>
      <c r="DP991" s="315" t="e">
        <f t="shared" si="673"/>
        <v>#NUM!</v>
      </c>
      <c r="DQ991" s="316">
        <f t="shared" si="682"/>
        <v>0</v>
      </c>
      <c r="DR991" s="316">
        <f t="shared" si="683"/>
        <v>0</v>
      </c>
      <c r="DS991" s="314">
        <f t="shared" si="684"/>
        <v>0</v>
      </c>
      <c r="DT991" s="316">
        <f t="shared" si="685"/>
        <v>0</v>
      </c>
      <c r="DU991" s="314">
        <f t="shared" si="674"/>
        <v>0</v>
      </c>
      <c r="DV991" s="316">
        <f t="shared" si="689"/>
        <v>0</v>
      </c>
      <c r="DW991" s="310">
        <f t="shared" si="675"/>
        <v>0</v>
      </c>
      <c r="FB991" s="307"/>
      <c r="FC991" s="307"/>
      <c r="FF991" s="307"/>
      <c r="FG991" s="307"/>
      <c r="FH991" s="306"/>
      <c r="FJ991" s="307"/>
      <c r="FK991" s="307"/>
      <c r="FL991" s="306"/>
      <c r="FM991" s="307"/>
      <c r="FN991" s="306"/>
      <c r="FO991" s="307"/>
      <c r="FP991" s="306"/>
    </row>
    <row r="992" spans="29:172">
      <c r="AC992" s="156"/>
      <c r="CW992" s="364"/>
      <c r="CX992" s="316"/>
      <c r="CY992" s="316"/>
      <c r="DA992" s="309">
        <v>991</v>
      </c>
      <c r="DB992" s="313">
        <f t="shared" si="669"/>
        <v>560.69450215780648</v>
      </c>
      <c r="DC992" s="309">
        <f t="shared" si="670"/>
        <v>4</v>
      </c>
      <c r="DD992" s="309">
        <f t="shared" si="671"/>
        <v>0</v>
      </c>
      <c r="DE992" s="308">
        <f t="shared" si="672"/>
        <v>0</v>
      </c>
      <c r="DF992" s="313">
        <f t="shared" si="686"/>
        <v>600</v>
      </c>
      <c r="DG992" s="313">
        <f t="shared" si="668"/>
        <v>0</v>
      </c>
      <c r="DH992" s="313">
        <f t="shared" si="676"/>
        <v>0</v>
      </c>
      <c r="DI992" s="313">
        <f t="shared" si="677"/>
        <v>0</v>
      </c>
      <c r="DJ992" s="313">
        <f t="shared" si="678"/>
        <v>0</v>
      </c>
      <c r="DK992" s="313">
        <f t="shared" si="687"/>
        <v>0</v>
      </c>
      <c r="DL992" s="313">
        <f t="shared" si="679"/>
        <v>0</v>
      </c>
      <c r="DM992" s="314">
        <f t="shared" si="680"/>
        <v>0</v>
      </c>
      <c r="DN992" s="312">
        <f t="shared" si="681"/>
        <v>0</v>
      </c>
      <c r="DO992" s="312">
        <f t="shared" si="688"/>
        <v>0</v>
      </c>
      <c r="DP992" s="315" t="e">
        <f t="shared" si="673"/>
        <v>#NUM!</v>
      </c>
      <c r="DQ992" s="316">
        <f t="shared" si="682"/>
        <v>0</v>
      </c>
      <c r="DR992" s="316">
        <f t="shared" si="683"/>
        <v>0</v>
      </c>
      <c r="DS992" s="314">
        <f t="shared" si="684"/>
        <v>0</v>
      </c>
      <c r="DT992" s="316">
        <f t="shared" si="685"/>
        <v>0</v>
      </c>
      <c r="DU992" s="314">
        <f t="shared" si="674"/>
        <v>0</v>
      </c>
      <c r="DV992" s="316">
        <f t="shared" si="689"/>
        <v>0</v>
      </c>
      <c r="DW992" s="310">
        <f t="shared" si="675"/>
        <v>0</v>
      </c>
      <c r="FB992" s="307"/>
      <c r="FC992" s="307"/>
      <c r="FF992" s="307"/>
      <c r="FG992" s="307"/>
      <c r="FH992" s="306"/>
      <c r="FJ992" s="307"/>
      <c r="FK992" s="307"/>
      <c r="FL992" s="306"/>
      <c r="FM992" s="307"/>
      <c r="FN992" s="306"/>
      <c r="FO992" s="307"/>
      <c r="FP992" s="306"/>
    </row>
    <row r="993" spans="29:172">
      <c r="AC993" s="156"/>
      <c r="CW993" s="364"/>
      <c r="CX993" s="316"/>
      <c r="CY993" s="316"/>
      <c r="DA993" s="309">
        <v>992</v>
      </c>
      <c r="DB993" s="313">
        <f t="shared" si="669"/>
        <v>561.05847239207264</v>
      </c>
      <c r="DC993" s="309">
        <f t="shared" si="670"/>
        <v>4</v>
      </c>
      <c r="DD993" s="309">
        <f t="shared" si="671"/>
        <v>0</v>
      </c>
      <c r="DE993" s="308">
        <f t="shared" si="672"/>
        <v>0</v>
      </c>
      <c r="DF993" s="313">
        <f t="shared" si="686"/>
        <v>600</v>
      </c>
      <c r="DG993" s="313">
        <f t="shared" si="668"/>
        <v>0</v>
      </c>
      <c r="DH993" s="313">
        <f t="shared" si="676"/>
        <v>0</v>
      </c>
      <c r="DI993" s="313">
        <f t="shared" si="677"/>
        <v>0</v>
      </c>
      <c r="DJ993" s="313">
        <f t="shared" si="678"/>
        <v>0</v>
      </c>
      <c r="DK993" s="313">
        <f t="shared" si="687"/>
        <v>0</v>
      </c>
      <c r="DL993" s="313">
        <f t="shared" si="679"/>
        <v>0</v>
      </c>
      <c r="DM993" s="314">
        <f t="shared" si="680"/>
        <v>0</v>
      </c>
      <c r="DN993" s="312">
        <f t="shared" si="681"/>
        <v>0</v>
      </c>
      <c r="DO993" s="312">
        <f t="shared" si="688"/>
        <v>0</v>
      </c>
      <c r="DP993" s="315" t="e">
        <f t="shared" si="673"/>
        <v>#NUM!</v>
      </c>
      <c r="DQ993" s="316">
        <f t="shared" si="682"/>
        <v>0</v>
      </c>
      <c r="DR993" s="316">
        <f t="shared" si="683"/>
        <v>0</v>
      </c>
      <c r="DS993" s="314">
        <f t="shared" si="684"/>
        <v>0</v>
      </c>
      <c r="DT993" s="316">
        <f t="shared" si="685"/>
        <v>0</v>
      </c>
      <c r="DU993" s="314">
        <f t="shared" si="674"/>
        <v>0</v>
      </c>
      <c r="DV993" s="316">
        <f t="shared" si="689"/>
        <v>0</v>
      </c>
      <c r="DW993" s="310">
        <f t="shared" si="675"/>
        <v>0</v>
      </c>
      <c r="FB993" s="307"/>
      <c r="FC993" s="307"/>
      <c r="FF993" s="307"/>
      <c r="FG993" s="307"/>
      <c r="FH993" s="306"/>
      <c r="FJ993" s="307"/>
      <c r="FK993" s="307"/>
      <c r="FL993" s="306"/>
      <c r="FM993" s="307"/>
      <c r="FN993" s="306"/>
      <c r="FO993" s="307"/>
      <c r="FP993" s="306"/>
    </row>
    <row r="994" spans="29:172">
      <c r="AC994" s="156"/>
      <c r="CW994" s="364"/>
      <c r="CX994" s="316"/>
      <c r="CY994" s="316"/>
      <c r="DA994" s="309">
        <v>993</v>
      </c>
      <c r="DB994" s="313">
        <f t="shared" si="669"/>
        <v>561.42244262633892</v>
      </c>
      <c r="DC994" s="309">
        <f t="shared" si="670"/>
        <v>4</v>
      </c>
      <c r="DD994" s="309">
        <f t="shared" si="671"/>
        <v>0</v>
      </c>
      <c r="DE994" s="308">
        <f t="shared" si="672"/>
        <v>0</v>
      </c>
      <c r="DF994" s="313">
        <f t="shared" si="686"/>
        <v>600</v>
      </c>
      <c r="DG994" s="313">
        <f t="shared" si="668"/>
        <v>0</v>
      </c>
      <c r="DH994" s="313">
        <f t="shared" si="676"/>
        <v>0</v>
      </c>
      <c r="DI994" s="313">
        <f t="shared" si="677"/>
        <v>0</v>
      </c>
      <c r="DJ994" s="313">
        <f t="shared" si="678"/>
        <v>0</v>
      </c>
      <c r="DK994" s="313">
        <f t="shared" si="687"/>
        <v>0</v>
      </c>
      <c r="DL994" s="313">
        <f t="shared" si="679"/>
        <v>0</v>
      </c>
      <c r="DM994" s="314">
        <f t="shared" si="680"/>
        <v>0</v>
      </c>
      <c r="DN994" s="312">
        <f t="shared" si="681"/>
        <v>0</v>
      </c>
      <c r="DO994" s="312">
        <f t="shared" si="688"/>
        <v>0</v>
      </c>
      <c r="DP994" s="315" t="e">
        <f t="shared" si="673"/>
        <v>#NUM!</v>
      </c>
      <c r="DQ994" s="316">
        <f t="shared" si="682"/>
        <v>0</v>
      </c>
      <c r="DR994" s="316">
        <f t="shared" si="683"/>
        <v>0</v>
      </c>
      <c r="DS994" s="314">
        <f t="shared" si="684"/>
        <v>0</v>
      </c>
      <c r="DT994" s="316">
        <f t="shared" si="685"/>
        <v>0</v>
      </c>
      <c r="DU994" s="314">
        <f t="shared" si="674"/>
        <v>0</v>
      </c>
      <c r="DV994" s="316">
        <f t="shared" si="689"/>
        <v>0</v>
      </c>
      <c r="DW994" s="310">
        <f t="shared" si="675"/>
        <v>0</v>
      </c>
      <c r="FB994" s="307"/>
      <c r="FC994" s="307"/>
      <c r="FF994" s="307"/>
      <c r="FG994" s="307"/>
      <c r="FH994" s="306"/>
      <c r="FJ994" s="307"/>
      <c r="FK994" s="307"/>
      <c r="FL994" s="306"/>
      <c r="FM994" s="307"/>
      <c r="FN994" s="306"/>
      <c r="FO994" s="307"/>
      <c r="FP994" s="306"/>
    </row>
    <row r="995" spans="29:172">
      <c r="AC995" s="156"/>
      <c r="CW995" s="364"/>
      <c r="CX995" s="316"/>
      <c r="CY995" s="316"/>
      <c r="DA995" s="309">
        <v>994</v>
      </c>
      <c r="DB995" s="313">
        <f t="shared" si="669"/>
        <v>561.7864128606052</v>
      </c>
      <c r="DC995" s="309">
        <f t="shared" si="670"/>
        <v>4</v>
      </c>
      <c r="DD995" s="309">
        <f t="shared" si="671"/>
        <v>0</v>
      </c>
      <c r="DE995" s="308">
        <f t="shared" si="672"/>
        <v>0</v>
      </c>
      <c r="DF995" s="313">
        <f t="shared" si="686"/>
        <v>600</v>
      </c>
      <c r="DG995" s="313">
        <f t="shared" si="668"/>
        <v>0</v>
      </c>
      <c r="DH995" s="313">
        <f t="shared" si="676"/>
        <v>0</v>
      </c>
      <c r="DI995" s="313">
        <f t="shared" si="677"/>
        <v>0</v>
      </c>
      <c r="DJ995" s="313">
        <f t="shared" si="678"/>
        <v>0</v>
      </c>
      <c r="DK995" s="313">
        <f t="shared" si="687"/>
        <v>0</v>
      </c>
      <c r="DL995" s="313">
        <f t="shared" si="679"/>
        <v>0</v>
      </c>
      <c r="DM995" s="314">
        <f t="shared" si="680"/>
        <v>0</v>
      </c>
      <c r="DN995" s="312">
        <f t="shared" si="681"/>
        <v>0</v>
      </c>
      <c r="DO995" s="312">
        <f t="shared" si="688"/>
        <v>0</v>
      </c>
      <c r="DP995" s="315" t="e">
        <f t="shared" si="673"/>
        <v>#NUM!</v>
      </c>
      <c r="DQ995" s="316">
        <f t="shared" si="682"/>
        <v>0</v>
      </c>
      <c r="DR995" s="316">
        <f t="shared" si="683"/>
        <v>0</v>
      </c>
      <c r="DS995" s="314">
        <f t="shared" si="684"/>
        <v>0</v>
      </c>
      <c r="DT995" s="316">
        <f t="shared" si="685"/>
        <v>0</v>
      </c>
      <c r="DU995" s="314">
        <f t="shared" si="674"/>
        <v>0</v>
      </c>
      <c r="DV995" s="316">
        <f t="shared" si="689"/>
        <v>0</v>
      </c>
      <c r="DW995" s="310">
        <f t="shared" si="675"/>
        <v>0</v>
      </c>
      <c r="FB995" s="307"/>
      <c r="FC995" s="307"/>
      <c r="FF995" s="307"/>
      <c r="FG995" s="307"/>
      <c r="FH995" s="306"/>
      <c r="FJ995" s="307"/>
      <c r="FK995" s="307"/>
      <c r="FL995" s="306"/>
      <c r="FM995" s="307"/>
      <c r="FN995" s="306"/>
      <c r="FO995" s="307"/>
      <c r="FP995" s="306"/>
    </row>
    <row r="996" spans="29:172">
      <c r="AC996" s="156"/>
      <c r="CW996" s="364"/>
      <c r="CX996" s="316"/>
      <c r="CY996" s="316"/>
      <c r="DA996" s="309">
        <v>995</v>
      </c>
      <c r="DB996" s="313">
        <f t="shared" si="669"/>
        <v>562.15038309487136</v>
      </c>
      <c r="DC996" s="309">
        <f t="shared" si="670"/>
        <v>4</v>
      </c>
      <c r="DD996" s="309">
        <f t="shared" si="671"/>
        <v>0</v>
      </c>
      <c r="DE996" s="308">
        <f t="shared" si="672"/>
        <v>0</v>
      </c>
      <c r="DF996" s="313">
        <f t="shared" si="686"/>
        <v>600</v>
      </c>
      <c r="DG996" s="313">
        <f t="shared" si="668"/>
        <v>0</v>
      </c>
      <c r="DH996" s="313">
        <f t="shared" si="676"/>
        <v>0</v>
      </c>
      <c r="DI996" s="313">
        <f t="shared" si="677"/>
        <v>0</v>
      </c>
      <c r="DJ996" s="313">
        <f t="shared" si="678"/>
        <v>0</v>
      </c>
      <c r="DK996" s="313">
        <f t="shared" si="687"/>
        <v>0</v>
      </c>
      <c r="DL996" s="313">
        <f t="shared" si="679"/>
        <v>0</v>
      </c>
      <c r="DM996" s="314">
        <f t="shared" si="680"/>
        <v>0</v>
      </c>
      <c r="DN996" s="312">
        <f t="shared" si="681"/>
        <v>0</v>
      </c>
      <c r="DO996" s="312">
        <f t="shared" si="688"/>
        <v>0</v>
      </c>
      <c r="DP996" s="315" t="e">
        <f t="shared" si="673"/>
        <v>#NUM!</v>
      </c>
      <c r="DQ996" s="316">
        <f t="shared" si="682"/>
        <v>0</v>
      </c>
      <c r="DR996" s="316">
        <f t="shared" si="683"/>
        <v>0</v>
      </c>
      <c r="DS996" s="314">
        <f t="shared" si="684"/>
        <v>0</v>
      </c>
      <c r="DT996" s="316">
        <f t="shared" si="685"/>
        <v>0</v>
      </c>
      <c r="DU996" s="314">
        <f t="shared" si="674"/>
        <v>0</v>
      </c>
      <c r="DV996" s="316">
        <f t="shared" si="689"/>
        <v>0</v>
      </c>
      <c r="DW996" s="310">
        <f t="shared" si="675"/>
        <v>0</v>
      </c>
      <c r="FB996" s="307"/>
      <c r="FC996" s="307"/>
      <c r="FF996" s="307"/>
      <c r="FG996" s="307"/>
      <c r="FH996" s="306"/>
      <c r="FJ996" s="307"/>
      <c r="FK996" s="307"/>
      <c r="FL996" s="306"/>
      <c r="FM996" s="307"/>
      <c r="FN996" s="306"/>
      <c r="FO996" s="307"/>
      <c r="FP996" s="306"/>
    </row>
    <row r="997" spans="29:172">
      <c r="AC997" s="156"/>
      <c r="CW997" s="364"/>
      <c r="CX997" s="316"/>
      <c r="CY997" s="316"/>
      <c r="DA997" s="309">
        <v>996</v>
      </c>
      <c r="DB997" s="313">
        <f t="shared" si="669"/>
        <v>562.51435332913752</v>
      </c>
      <c r="DC997" s="309">
        <f t="shared" si="670"/>
        <v>4</v>
      </c>
      <c r="DD997" s="309">
        <f t="shared" si="671"/>
        <v>0</v>
      </c>
      <c r="DE997" s="308">
        <f t="shared" si="672"/>
        <v>0</v>
      </c>
      <c r="DF997" s="313">
        <f t="shared" si="686"/>
        <v>600</v>
      </c>
      <c r="DG997" s="313">
        <f t="shared" si="668"/>
        <v>0</v>
      </c>
      <c r="DH997" s="313">
        <f t="shared" si="676"/>
        <v>0</v>
      </c>
      <c r="DI997" s="313">
        <f t="shared" si="677"/>
        <v>0</v>
      </c>
      <c r="DJ997" s="313">
        <f t="shared" si="678"/>
        <v>0</v>
      </c>
      <c r="DK997" s="313">
        <f t="shared" si="687"/>
        <v>0</v>
      </c>
      <c r="DL997" s="313">
        <f t="shared" si="679"/>
        <v>0</v>
      </c>
      <c r="DM997" s="314">
        <f t="shared" si="680"/>
        <v>0</v>
      </c>
      <c r="DN997" s="312">
        <f t="shared" si="681"/>
        <v>0</v>
      </c>
      <c r="DO997" s="312">
        <f t="shared" si="688"/>
        <v>0</v>
      </c>
      <c r="DP997" s="315" t="e">
        <f t="shared" si="673"/>
        <v>#NUM!</v>
      </c>
      <c r="DQ997" s="316">
        <f t="shared" si="682"/>
        <v>0</v>
      </c>
      <c r="DR997" s="316">
        <f t="shared" si="683"/>
        <v>0</v>
      </c>
      <c r="DS997" s="314">
        <f t="shared" si="684"/>
        <v>0</v>
      </c>
      <c r="DT997" s="316">
        <f t="shared" si="685"/>
        <v>0</v>
      </c>
      <c r="DU997" s="314">
        <f t="shared" si="674"/>
        <v>0</v>
      </c>
      <c r="DV997" s="316">
        <f t="shared" si="689"/>
        <v>0</v>
      </c>
      <c r="DW997" s="310">
        <f t="shared" si="675"/>
        <v>0</v>
      </c>
      <c r="FB997" s="307"/>
      <c r="FC997" s="307"/>
      <c r="FF997" s="307"/>
      <c r="FG997" s="307"/>
      <c r="FH997" s="306"/>
      <c r="FJ997" s="307"/>
      <c r="FK997" s="307"/>
      <c r="FL997" s="306"/>
      <c r="FM997" s="307"/>
      <c r="FN997" s="306"/>
      <c r="FO997" s="307"/>
      <c r="FP997" s="306"/>
    </row>
    <row r="998" spans="29:172">
      <c r="AC998" s="156"/>
      <c r="CW998" s="364"/>
      <c r="CX998" s="316"/>
      <c r="CY998" s="316"/>
      <c r="DA998" s="309">
        <v>997</v>
      </c>
      <c r="DB998" s="313">
        <f t="shared" si="669"/>
        <v>562.87832356340368</v>
      </c>
      <c r="DC998" s="309">
        <f t="shared" si="670"/>
        <v>4</v>
      </c>
      <c r="DD998" s="309">
        <f t="shared" si="671"/>
        <v>0</v>
      </c>
      <c r="DE998" s="308">
        <f t="shared" si="672"/>
        <v>0</v>
      </c>
      <c r="DF998" s="313">
        <f t="shared" si="686"/>
        <v>600</v>
      </c>
      <c r="DG998" s="313">
        <f t="shared" si="668"/>
        <v>0</v>
      </c>
      <c r="DH998" s="313">
        <f t="shared" si="676"/>
        <v>0</v>
      </c>
      <c r="DI998" s="313">
        <f t="shared" si="677"/>
        <v>0</v>
      </c>
      <c r="DJ998" s="313">
        <f t="shared" si="678"/>
        <v>0</v>
      </c>
      <c r="DK998" s="313">
        <f t="shared" si="687"/>
        <v>0</v>
      </c>
      <c r="DL998" s="313">
        <f t="shared" si="679"/>
        <v>0</v>
      </c>
      <c r="DM998" s="314">
        <f t="shared" si="680"/>
        <v>0</v>
      </c>
      <c r="DN998" s="312">
        <f t="shared" si="681"/>
        <v>0</v>
      </c>
      <c r="DO998" s="312">
        <f t="shared" si="688"/>
        <v>0</v>
      </c>
      <c r="DP998" s="315" t="e">
        <f t="shared" si="673"/>
        <v>#NUM!</v>
      </c>
      <c r="DQ998" s="316">
        <f t="shared" si="682"/>
        <v>0</v>
      </c>
      <c r="DR998" s="316">
        <f t="shared" si="683"/>
        <v>0</v>
      </c>
      <c r="DS998" s="314">
        <f t="shared" si="684"/>
        <v>0</v>
      </c>
      <c r="DT998" s="316">
        <f t="shared" si="685"/>
        <v>0</v>
      </c>
      <c r="DU998" s="314">
        <f t="shared" si="674"/>
        <v>0</v>
      </c>
      <c r="DV998" s="316">
        <f t="shared" si="689"/>
        <v>0</v>
      </c>
      <c r="DW998" s="310">
        <f t="shared" si="675"/>
        <v>0</v>
      </c>
      <c r="FB998" s="307"/>
      <c r="FC998" s="307"/>
      <c r="FF998" s="307"/>
      <c r="FG998" s="307"/>
      <c r="FH998" s="306"/>
      <c r="FJ998" s="307"/>
      <c r="FK998" s="307"/>
      <c r="FL998" s="306"/>
      <c r="FM998" s="307"/>
      <c r="FN998" s="306"/>
      <c r="FO998" s="307"/>
      <c r="FP998" s="306"/>
    </row>
    <row r="999" spans="29:172">
      <c r="AC999" s="156"/>
      <c r="CW999" s="364"/>
      <c r="CX999" s="316"/>
      <c r="CY999" s="316"/>
      <c r="DA999" s="309">
        <v>998</v>
      </c>
      <c r="DB999" s="313">
        <f t="shared" si="669"/>
        <v>563.24229379766996</v>
      </c>
      <c r="DC999" s="309">
        <f t="shared" si="670"/>
        <v>4</v>
      </c>
      <c r="DD999" s="309">
        <f t="shared" si="671"/>
        <v>0</v>
      </c>
      <c r="DE999" s="308">
        <f t="shared" si="672"/>
        <v>0</v>
      </c>
      <c r="DF999" s="313">
        <f t="shared" si="686"/>
        <v>600</v>
      </c>
      <c r="DG999" s="313">
        <f t="shared" si="668"/>
        <v>0</v>
      </c>
      <c r="DH999" s="313">
        <f t="shared" si="676"/>
        <v>0</v>
      </c>
      <c r="DI999" s="313">
        <f t="shared" si="677"/>
        <v>0</v>
      </c>
      <c r="DJ999" s="313">
        <f t="shared" si="678"/>
        <v>0</v>
      </c>
      <c r="DK999" s="313">
        <f t="shared" si="687"/>
        <v>0</v>
      </c>
      <c r="DL999" s="313">
        <f t="shared" si="679"/>
        <v>0</v>
      </c>
      <c r="DM999" s="314">
        <f t="shared" si="680"/>
        <v>0</v>
      </c>
      <c r="DN999" s="312">
        <f t="shared" si="681"/>
        <v>0</v>
      </c>
      <c r="DO999" s="312">
        <f t="shared" si="688"/>
        <v>0</v>
      </c>
      <c r="DP999" s="315" t="e">
        <f t="shared" si="673"/>
        <v>#NUM!</v>
      </c>
      <c r="DQ999" s="316">
        <f t="shared" si="682"/>
        <v>0</v>
      </c>
      <c r="DR999" s="316">
        <f t="shared" si="683"/>
        <v>0</v>
      </c>
      <c r="DS999" s="314">
        <f t="shared" si="684"/>
        <v>0</v>
      </c>
      <c r="DT999" s="316">
        <f t="shared" si="685"/>
        <v>0</v>
      </c>
      <c r="DU999" s="314">
        <f t="shared" si="674"/>
        <v>0</v>
      </c>
      <c r="DV999" s="316">
        <f t="shared" si="689"/>
        <v>0</v>
      </c>
      <c r="DW999" s="310">
        <f t="shared" si="675"/>
        <v>0</v>
      </c>
      <c r="FB999" s="307"/>
      <c r="FC999" s="307"/>
      <c r="FF999" s="307"/>
      <c r="FG999" s="307"/>
      <c r="FH999" s="306"/>
      <c r="FJ999" s="307"/>
      <c r="FK999" s="307"/>
      <c r="FL999" s="306"/>
      <c r="FM999" s="307"/>
      <c r="FN999" s="306"/>
      <c r="FO999" s="307"/>
      <c r="FP999" s="306"/>
    </row>
    <row r="1000" spans="29:172">
      <c r="AC1000" s="156"/>
      <c r="CW1000" s="364"/>
      <c r="CX1000" s="316"/>
      <c r="CY1000" s="316"/>
      <c r="DA1000" s="309">
        <v>999</v>
      </c>
      <c r="DB1000" s="313">
        <f t="shared" si="669"/>
        <v>563.60626403193612</v>
      </c>
      <c r="DC1000" s="309">
        <f t="shared" si="670"/>
        <v>4</v>
      </c>
      <c r="DD1000" s="309">
        <f t="shared" si="671"/>
        <v>0</v>
      </c>
      <c r="DE1000" s="308">
        <f t="shared" si="672"/>
        <v>0</v>
      </c>
      <c r="DF1000" s="313">
        <f t="shared" si="686"/>
        <v>600</v>
      </c>
      <c r="DG1000" s="313">
        <f t="shared" si="668"/>
        <v>0</v>
      </c>
      <c r="DH1000" s="313">
        <f t="shared" si="676"/>
        <v>0</v>
      </c>
      <c r="DI1000" s="313">
        <f t="shared" si="677"/>
        <v>0</v>
      </c>
      <c r="DJ1000" s="313">
        <f t="shared" si="678"/>
        <v>0</v>
      </c>
      <c r="DK1000" s="313">
        <f t="shared" si="687"/>
        <v>0</v>
      </c>
      <c r="DL1000" s="313">
        <f t="shared" si="679"/>
        <v>0</v>
      </c>
      <c r="DM1000" s="314">
        <f t="shared" si="680"/>
        <v>0</v>
      </c>
      <c r="DN1000" s="312">
        <f t="shared" si="681"/>
        <v>0</v>
      </c>
      <c r="DO1000" s="312">
        <f t="shared" si="688"/>
        <v>0</v>
      </c>
      <c r="DP1000" s="315" t="e">
        <f t="shared" si="673"/>
        <v>#NUM!</v>
      </c>
      <c r="DQ1000" s="316">
        <f t="shared" si="682"/>
        <v>0</v>
      </c>
      <c r="DR1000" s="316">
        <f t="shared" si="683"/>
        <v>0</v>
      </c>
      <c r="DS1000" s="314">
        <f t="shared" si="684"/>
        <v>0</v>
      </c>
      <c r="DT1000" s="316">
        <f t="shared" si="685"/>
        <v>0</v>
      </c>
      <c r="DU1000" s="314">
        <f t="shared" si="674"/>
        <v>0</v>
      </c>
      <c r="DV1000" s="316">
        <f t="shared" si="689"/>
        <v>0</v>
      </c>
      <c r="DW1000" s="310">
        <f t="shared" si="675"/>
        <v>0</v>
      </c>
      <c r="FB1000" s="307"/>
      <c r="FC1000" s="307"/>
      <c r="FF1000" s="307"/>
      <c r="FG1000" s="307"/>
      <c r="FH1000" s="306"/>
      <c r="FJ1000" s="307"/>
      <c r="FK1000" s="307"/>
      <c r="FL1000" s="306"/>
      <c r="FM1000" s="307"/>
      <c r="FN1000" s="306"/>
      <c r="FO1000" s="307"/>
      <c r="FP1000" s="306"/>
    </row>
    <row r="1001" spans="29:172">
      <c r="AC1001" s="156"/>
      <c r="CW1001" s="364"/>
      <c r="CX1001" s="316"/>
      <c r="CY1001" s="316"/>
      <c r="DA1001" s="309">
        <v>1000</v>
      </c>
      <c r="DB1001" s="313">
        <f t="shared" si="669"/>
        <v>563.9702342662024</v>
      </c>
      <c r="DC1001" s="309">
        <f t="shared" si="670"/>
        <v>4</v>
      </c>
      <c r="DD1001" s="309">
        <f t="shared" si="671"/>
        <v>0</v>
      </c>
      <c r="DE1001" s="308">
        <f t="shared" si="672"/>
        <v>0</v>
      </c>
      <c r="DF1001" s="313">
        <f t="shared" si="686"/>
        <v>600</v>
      </c>
      <c r="DG1001" s="313">
        <f t="shared" si="668"/>
        <v>0</v>
      </c>
      <c r="DH1001" s="313">
        <f t="shared" si="676"/>
        <v>0</v>
      </c>
      <c r="DI1001" s="313">
        <f t="shared" si="677"/>
        <v>0</v>
      </c>
      <c r="DJ1001" s="313">
        <f t="shared" si="678"/>
        <v>0</v>
      </c>
      <c r="DK1001" s="313">
        <f t="shared" si="687"/>
        <v>0</v>
      </c>
      <c r="DL1001" s="313">
        <f t="shared" si="679"/>
        <v>0</v>
      </c>
      <c r="DM1001" s="314">
        <f t="shared" si="680"/>
        <v>0</v>
      </c>
      <c r="DN1001" s="312">
        <f t="shared" si="681"/>
        <v>0</v>
      </c>
      <c r="DO1001" s="312">
        <f t="shared" si="688"/>
        <v>0</v>
      </c>
      <c r="DP1001" s="315" t="e">
        <f t="shared" si="673"/>
        <v>#NUM!</v>
      </c>
      <c r="DQ1001" s="316">
        <f t="shared" si="682"/>
        <v>0</v>
      </c>
      <c r="DR1001" s="316">
        <f t="shared" si="683"/>
        <v>0</v>
      </c>
      <c r="DS1001" s="314">
        <f t="shared" si="684"/>
        <v>0</v>
      </c>
      <c r="DT1001" s="316">
        <f t="shared" si="685"/>
        <v>0</v>
      </c>
      <c r="DU1001" s="314">
        <f t="shared" si="674"/>
        <v>0</v>
      </c>
      <c r="DV1001" s="316">
        <f t="shared" si="689"/>
        <v>0</v>
      </c>
      <c r="DW1001" s="310">
        <f t="shared" si="675"/>
        <v>0</v>
      </c>
      <c r="FB1001" s="307"/>
      <c r="FC1001" s="307"/>
      <c r="FF1001" s="307"/>
      <c r="FG1001" s="307"/>
      <c r="FH1001" s="306"/>
      <c r="FJ1001" s="307"/>
      <c r="FK1001" s="307"/>
      <c r="FL1001" s="306"/>
      <c r="FM1001" s="307"/>
      <c r="FN1001" s="306"/>
      <c r="FO1001" s="307"/>
      <c r="FP1001" s="306"/>
    </row>
    <row r="1002" spans="29:172">
      <c r="AC1002" s="156"/>
      <c r="CW1002" s="364"/>
      <c r="CX1002" s="316"/>
      <c r="CY1002" s="316"/>
      <c r="DA1002" s="309">
        <v>1001</v>
      </c>
      <c r="DB1002" s="313">
        <f t="shared" si="669"/>
        <v>564.33420450046856</v>
      </c>
      <c r="DC1002" s="309">
        <f t="shared" si="670"/>
        <v>4</v>
      </c>
      <c r="DD1002" s="309">
        <f t="shared" si="671"/>
        <v>0</v>
      </c>
      <c r="DE1002" s="308">
        <f t="shared" si="672"/>
        <v>0</v>
      </c>
      <c r="DF1002" s="313">
        <f t="shared" si="686"/>
        <v>600</v>
      </c>
      <c r="DG1002" s="313">
        <f t="shared" si="668"/>
        <v>0</v>
      </c>
      <c r="DH1002" s="313">
        <f t="shared" si="676"/>
        <v>0</v>
      </c>
      <c r="DI1002" s="313">
        <f t="shared" si="677"/>
        <v>0</v>
      </c>
      <c r="DJ1002" s="313">
        <f t="shared" si="678"/>
        <v>0</v>
      </c>
      <c r="DK1002" s="313">
        <f t="shared" si="687"/>
        <v>0</v>
      </c>
      <c r="DL1002" s="313">
        <f t="shared" si="679"/>
        <v>0</v>
      </c>
      <c r="DM1002" s="314">
        <f t="shared" si="680"/>
        <v>0</v>
      </c>
      <c r="DN1002" s="312">
        <f t="shared" si="681"/>
        <v>0</v>
      </c>
      <c r="DO1002" s="312">
        <f t="shared" si="688"/>
        <v>0</v>
      </c>
      <c r="DP1002" s="315" t="e">
        <f t="shared" si="673"/>
        <v>#NUM!</v>
      </c>
      <c r="DQ1002" s="316">
        <f t="shared" si="682"/>
        <v>0</v>
      </c>
      <c r="DR1002" s="316">
        <f t="shared" si="683"/>
        <v>0</v>
      </c>
      <c r="DS1002" s="314">
        <f t="shared" si="684"/>
        <v>0</v>
      </c>
      <c r="DT1002" s="316">
        <f t="shared" si="685"/>
        <v>0</v>
      </c>
      <c r="DU1002" s="314">
        <f t="shared" si="674"/>
        <v>0</v>
      </c>
      <c r="DV1002" s="316">
        <f t="shared" si="689"/>
        <v>0</v>
      </c>
      <c r="DW1002" s="310">
        <f t="shared" si="675"/>
        <v>0</v>
      </c>
      <c r="FB1002" s="307"/>
      <c r="FC1002" s="307"/>
      <c r="FF1002" s="307"/>
      <c r="FG1002" s="307"/>
      <c r="FH1002" s="306"/>
      <c r="FJ1002" s="307"/>
      <c r="FK1002" s="307"/>
      <c r="FL1002" s="306"/>
      <c r="FM1002" s="307"/>
      <c r="FN1002" s="306"/>
      <c r="FO1002" s="307"/>
      <c r="FP1002" s="306"/>
    </row>
    <row r="1003" spans="29:172">
      <c r="AC1003" s="156"/>
      <c r="CW1003" s="364"/>
      <c r="CX1003" s="316"/>
      <c r="CY1003" s="316"/>
      <c r="DA1003" s="309">
        <v>1002</v>
      </c>
      <c r="DB1003" s="313">
        <f t="shared" si="669"/>
        <v>564.69817473473472</v>
      </c>
      <c r="DC1003" s="309">
        <f t="shared" si="670"/>
        <v>4</v>
      </c>
      <c r="DD1003" s="309">
        <f t="shared" si="671"/>
        <v>0</v>
      </c>
      <c r="DE1003" s="308">
        <f t="shared" si="672"/>
        <v>0</v>
      </c>
      <c r="DF1003" s="313">
        <f t="shared" si="686"/>
        <v>600</v>
      </c>
      <c r="DG1003" s="313">
        <f t="shared" ref="DG1003:DG1066" si="690">IF(DC1003=4,DG1002,MIN(DB1003,DD1003))</f>
        <v>0</v>
      </c>
      <c r="DH1003" s="313">
        <f t="shared" si="676"/>
        <v>0</v>
      </c>
      <c r="DI1003" s="313">
        <f t="shared" si="677"/>
        <v>0</v>
      </c>
      <c r="DJ1003" s="313">
        <f t="shared" si="678"/>
        <v>0</v>
      </c>
      <c r="DK1003" s="313">
        <f t="shared" si="687"/>
        <v>0</v>
      </c>
      <c r="DL1003" s="313">
        <f t="shared" si="679"/>
        <v>0</v>
      </c>
      <c r="DM1003" s="314">
        <f t="shared" si="680"/>
        <v>0</v>
      </c>
      <c r="DN1003" s="312">
        <f t="shared" si="681"/>
        <v>0</v>
      </c>
      <c r="DO1003" s="312">
        <f t="shared" si="688"/>
        <v>0</v>
      </c>
      <c r="DP1003" s="315" t="e">
        <f t="shared" si="673"/>
        <v>#NUM!</v>
      </c>
      <c r="DQ1003" s="316">
        <f t="shared" si="682"/>
        <v>0</v>
      </c>
      <c r="DR1003" s="316">
        <f t="shared" si="683"/>
        <v>0</v>
      </c>
      <c r="DS1003" s="314">
        <f t="shared" si="684"/>
        <v>0</v>
      </c>
      <c r="DT1003" s="316">
        <f t="shared" si="685"/>
        <v>0</v>
      </c>
      <c r="DU1003" s="314">
        <f t="shared" si="674"/>
        <v>0</v>
      </c>
      <c r="DV1003" s="316">
        <f t="shared" si="689"/>
        <v>0</v>
      </c>
      <c r="DW1003" s="310">
        <f t="shared" si="675"/>
        <v>0</v>
      </c>
      <c r="FB1003" s="307"/>
      <c r="FC1003" s="307"/>
      <c r="FF1003" s="307"/>
      <c r="FH1003" s="306"/>
      <c r="FJ1003" s="307"/>
      <c r="FK1003" s="307"/>
      <c r="FL1003" s="306"/>
      <c r="FM1003" s="307"/>
      <c r="FN1003" s="306"/>
      <c r="FO1003" s="307"/>
      <c r="FP1003" s="306"/>
    </row>
    <row r="1004" spans="29:172">
      <c r="AC1004" s="156"/>
      <c r="CW1004" s="364"/>
      <c r="CX1004" s="316"/>
      <c r="CY1004" s="316"/>
      <c r="DA1004" s="309">
        <v>1003</v>
      </c>
      <c r="DB1004" s="313">
        <f t="shared" si="669"/>
        <v>565.06214496900088</v>
      </c>
      <c r="DC1004" s="309">
        <f t="shared" si="670"/>
        <v>4</v>
      </c>
      <c r="DD1004" s="309">
        <f t="shared" si="671"/>
        <v>0</v>
      </c>
      <c r="DE1004" s="308">
        <f t="shared" si="672"/>
        <v>0</v>
      </c>
      <c r="DF1004" s="313">
        <f t="shared" si="686"/>
        <v>600</v>
      </c>
      <c r="DG1004" s="313">
        <f t="shared" si="690"/>
        <v>0</v>
      </c>
      <c r="DH1004" s="313">
        <f t="shared" si="676"/>
        <v>0</v>
      </c>
      <c r="DI1004" s="313">
        <f t="shared" si="677"/>
        <v>0</v>
      </c>
      <c r="DJ1004" s="313">
        <f t="shared" si="678"/>
        <v>0</v>
      </c>
      <c r="DK1004" s="313">
        <f t="shared" si="687"/>
        <v>0</v>
      </c>
      <c r="DL1004" s="313">
        <f t="shared" si="679"/>
        <v>0</v>
      </c>
      <c r="DM1004" s="314">
        <f t="shared" si="680"/>
        <v>0</v>
      </c>
      <c r="DN1004" s="312">
        <f t="shared" si="681"/>
        <v>0</v>
      </c>
      <c r="DO1004" s="312">
        <f t="shared" si="688"/>
        <v>0</v>
      </c>
      <c r="DP1004" s="315" t="e">
        <f t="shared" si="673"/>
        <v>#NUM!</v>
      </c>
      <c r="DQ1004" s="316">
        <f t="shared" si="682"/>
        <v>0</v>
      </c>
      <c r="DR1004" s="316">
        <f t="shared" si="683"/>
        <v>0</v>
      </c>
      <c r="DS1004" s="314">
        <f t="shared" si="684"/>
        <v>0</v>
      </c>
      <c r="DT1004" s="316">
        <f t="shared" si="685"/>
        <v>0</v>
      </c>
      <c r="DU1004" s="314">
        <f t="shared" si="674"/>
        <v>0</v>
      </c>
      <c r="DV1004" s="316">
        <f t="shared" si="689"/>
        <v>0</v>
      </c>
      <c r="DW1004" s="310">
        <f t="shared" si="675"/>
        <v>0</v>
      </c>
      <c r="FB1004" s="307"/>
      <c r="FC1004" s="307"/>
      <c r="FF1004" s="307"/>
      <c r="FH1004" s="306"/>
      <c r="FJ1004" s="307"/>
      <c r="FK1004" s="307"/>
      <c r="FL1004" s="306"/>
      <c r="FM1004" s="307"/>
      <c r="FN1004" s="306"/>
      <c r="FO1004" s="307"/>
      <c r="FP1004" s="306"/>
    </row>
    <row r="1005" spans="29:172">
      <c r="AC1005" s="156"/>
      <c r="CW1005" s="364"/>
      <c r="CX1005" s="316"/>
      <c r="CY1005" s="316"/>
      <c r="DA1005" s="309">
        <v>1004</v>
      </c>
      <c r="DB1005" s="313">
        <f t="shared" si="669"/>
        <v>565.42611520326716</v>
      </c>
      <c r="DC1005" s="309">
        <f t="shared" si="670"/>
        <v>4</v>
      </c>
      <c r="DD1005" s="309">
        <f t="shared" si="671"/>
        <v>0</v>
      </c>
      <c r="DE1005" s="308">
        <f t="shared" si="672"/>
        <v>0</v>
      </c>
      <c r="DF1005" s="313">
        <f t="shared" si="686"/>
        <v>600</v>
      </c>
      <c r="DG1005" s="313">
        <f t="shared" si="690"/>
        <v>0</v>
      </c>
      <c r="DH1005" s="313">
        <f t="shared" si="676"/>
        <v>0</v>
      </c>
      <c r="DI1005" s="313">
        <f t="shared" si="677"/>
        <v>0</v>
      </c>
      <c r="DJ1005" s="313">
        <f t="shared" si="678"/>
        <v>0</v>
      </c>
      <c r="DK1005" s="313">
        <f t="shared" si="687"/>
        <v>0</v>
      </c>
      <c r="DL1005" s="313">
        <f t="shared" si="679"/>
        <v>0</v>
      </c>
      <c r="DM1005" s="314">
        <f t="shared" si="680"/>
        <v>0</v>
      </c>
      <c r="DN1005" s="312">
        <f t="shared" si="681"/>
        <v>0</v>
      </c>
      <c r="DO1005" s="312">
        <f t="shared" si="688"/>
        <v>0</v>
      </c>
      <c r="DP1005" s="315" t="e">
        <f t="shared" si="673"/>
        <v>#NUM!</v>
      </c>
      <c r="DQ1005" s="316">
        <f t="shared" si="682"/>
        <v>0</v>
      </c>
      <c r="DR1005" s="316">
        <f t="shared" si="683"/>
        <v>0</v>
      </c>
      <c r="DS1005" s="314">
        <f t="shared" si="684"/>
        <v>0</v>
      </c>
      <c r="DT1005" s="316">
        <f t="shared" si="685"/>
        <v>0</v>
      </c>
      <c r="DU1005" s="314">
        <f t="shared" si="674"/>
        <v>0</v>
      </c>
      <c r="DV1005" s="316">
        <f t="shared" si="689"/>
        <v>0</v>
      </c>
      <c r="DW1005" s="310">
        <f t="shared" si="675"/>
        <v>0</v>
      </c>
      <c r="FB1005" s="307"/>
      <c r="FC1005" s="307"/>
      <c r="FF1005" s="307"/>
      <c r="FH1005" s="306"/>
      <c r="FJ1005" s="307"/>
      <c r="FK1005" s="307"/>
      <c r="FL1005" s="306"/>
      <c r="FM1005" s="307"/>
      <c r="FN1005" s="306"/>
      <c r="FO1005" s="307"/>
      <c r="FP1005" s="306"/>
    </row>
    <row r="1006" spans="29:172">
      <c r="AC1006" s="156"/>
      <c r="CW1006" s="364"/>
      <c r="CX1006" s="316"/>
      <c r="CY1006" s="316"/>
      <c r="DA1006" s="309">
        <v>1005</v>
      </c>
      <c r="DB1006" s="313">
        <f t="shared" si="669"/>
        <v>565.79008543753343</v>
      </c>
      <c r="DC1006" s="309">
        <f t="shared" si="670"/>
        <v>4</v>
      </c>
      <c r="DD1006" s="309">
        <f t="shared" si="671"/>
        <v>0</v>
      </c>
      <c r="DE1006" s="308">
        <f t="shared" si="672"/>
        <v>0</v>
      </c>
      <c r="DF1006" s="313">
        <f t="shared" si="686"/>
        <v>600</v>
      </c>
      <c r="DG1006" s="313">
        <f t="shared" si="690"/>
        <v>0</v>
      </c>
      <c r="DH1006" s="313">
        <f t="shared" si="676"/>
        <v>0</v>
      </c>
      <c r="DI1006" s="313">
        <f t="shared" si="677"/>
        <v>0</v>
      </c>
      <c r="DJ1006" s="313">
        <f t="shared" si="678"/>
        <v>0</v>
      </c>
      <c r="DK1006" s="313">
        <f t="shared" si="687"/>
        <v>0</v>
      </c>
      <c r="DL1006" s="313">
        <f t="shared" si="679"/>
        <v>0</v>
      </c>
      <c r="DM1006" s="314">
        <f t="shared" si="680"/>
        <v>0</v>
      </c>
      <c r="DN1006" s="312">
        <f t="shared" si="681"/>
        <v>0</v>
      </c>
      <c r="DO1006" s="312">
        <f t="shared" si="688"/>
        <v>0</v>
      </c>
      <c r="DP1006" s="315" t="e">
        <f t="shared" si="673"/>
        <v>#NUM!</v>
      </c>
      <c r="DQ1006" s="316">
        <f t="shared" si="682"/>
        <v>0</v>
      </c>
      <c r="DR1006" s="316">
        <f t="shared" si="683"/>
        <v>0</v>
      </c>
      <c r="DS1006" s="314">
        <f t="shared" si="684"/>
        <v>0</v>
      </c>
      <c r="DT1006" s="316">
        <f t="shared" si="685"/>
        <v>0</v>
      </c>
      <c r="DU1006" s="314">
        <f t="shared" si="674"/>
        <v>0</v>
      </c>
      <c r="DV1006" s="316">
        <f t="shared" si="689"/>
        <v>0</v>
      </c>
      <c r="DW1006" s="310">
        <f t="shared" si="675"/>
        <v>0</v>
      </c>
      <c r="FB1006" s="307"/>
      <c r="FC1006" s="307"/>
      <c r="FF1006" s="307"/>
      <c r="FH1006" s="306"/>
      <c r="FJ1006" s="307"/>
      <c r="FK1006" s="307"/>
      <c r="FL1006" s="306"/>
      <c r="FM1006" s="307"/>
      <c r="FN1006" s="306"/>
      <c r="FO1006" s="307"/>
      <c r="FP1006" s="306"/>
    </row>
    <row r="1007" spans="29:172">
      <c r="AC1007" s="156"/>
      <c r="CW1007" s="364"/>
      <c r="CX1007" s="316"/>
      <c r="CY1007" s="316"/>
      <c r="DA1007" s="309">
        <v>1006</v>
      </c>
      <c r="DB1007" s="313">
        <f t="shared" si="669"/>
        <v>566.1540556717996</v>
      </c>
      <c r="DC1007" s="309">
        <f t="shared" si="670"/>
        <v>4</v>
      </c>
      <c r="DD1007" s="309">
        <f t="shared" si="671"/>
        <v>0</v>
      </c>
      <c r="DE1007" s="308">
        <f t="shared" si="672"/>
        <v>0</v>
      </c>
      <c r="DF1007" s="313">
        <f t="shared" si="686"/>
        <v>600</v>
      </c>
      <c r="DG1007" s="313">
        <f t="shared" si="690"/>
        <v>0</v>
      </c>
      <c r="DH1007" s="313">
        <f t="shared" si="676"/>
        <v>0</v>
      </c>
      <c r="DI1007" s="313">
        <f t="shared" si="677"/>
        <v>0</v>
      </c>
      <c r="DJ1007" s="313">
        <f t="shared" si="678"/>
        <v>0</v>
      </c>
      <c r="DK1007" s="313">
        <f t="shared" si="687"/>
        <v>0</v>
      </c>
      <c r="DL1007" s="313">
        <f t="shared" si="679"/>
        <v>0</v>
      </c>
      <c r="DM1007" s="314">
        <f t="shared" si="680"/>
        <v>0</v>
      </c>
      <c r="DN1007" s="312">
        <f t="shared" si="681"/>
        <v>0</v>
      </c>
      <c r="DO1007" s="312">
        <f t="shared" si="688"/>
        <v>0</v>
      </c>
      <c r="DP1007" s="315" t="e">
        <f t="shared" si="673"/>
        <v>#NUM!</v>
      </c>
      <c r="DQ1007" s="316">
        <f t="shared" si="682"/>
        <v>0</v>
      </c>
      <c r="DR1007" s="316">
        <f t="shared" si="683"/>
        <v>0</v>
      </c>
      <c r="DS1007" s="314">
        <f t="shared" si="684"/>
        <v>0</v>
      </c>
      <c r="DT1007" s="316">
        <f t="shared" si="685"/>
        <v>0</v>
      </c>
      <c r="DU1007" s="314">
        <f t="shared" si="674"/>
        <v>0</v>
      </c>
      <c r="DV1007" s="316">
        <f t="shared" si="689"/>
        <v>0</v>
      </c>
      <c r="DW1007" s="310">
        <f t="shared" si="675"/>
        <v>0</v>
      </c>
      <c r="FB1007" s="307"/>
      <c r="FC1007" s="307"/>
      <c r="FF1007" s="307"/>
      <c r="FH1007" s="306"/>
      <c r="FJ1007" s="307"/>
      <c r="FK1007" s="307"/>
      <c r="FL1007" s="306"/>
      <c r="FM1007" s="307"/>
      <c r="FN1007" s="306"/>
      <c r="FO1007" s="307"/>
      <c r="FP1007" s="306"/>
    </row>
    <row r="1008" spans="29:172">
      <c r="AC1008" s="156"/>
      <c r="CW1008" s="364"/>
      <c r="CX1008" s="316"/>
      <c r="CY1008" s="316"/>
      <c r="DA1008" s="309">
        <v>1007</v>
      </c>
      <c r="DB1008" s="313">
        <f t="shared" si="669"/>
        <v>566.51802590606576</v>
      </c>
      <c r="DC1008" s="309">
        <f t="shared" si="670"/>
        <v>4</v>
      </c>
      <c r="DD1008" s="309">
        <f t="shared" si="671"/>
        <v>0</v>
      </c>
      <c r="DE1008" s="308">
        <f t="shared" si="672"/>
        <v>0</v>
      </c>
      <c r="DF1008" s="313">
        <f t="shared" si="686"/>
        <v>600</v>
      </c>
      <c r="DG1008" s="313">
        <f t="shared" si="690"/>
        <v>0</v>
      </c>
      <c r="DH1008" s="313">
        <f t="shared" si="676"/>
        <v>0</v>
      </c>
      <c r="DI1008" s="313">
        <f t="shared" si="677"/>
        <v>0</v>
      </c>
      <c r="DJ1008" s="313">
        <f t="shared" si="678"/>
        <v>0</v>
      </c>
      <c r="DK1008" s="313">
        <f t="shared" si="687"/>
        <v>0</v>
      </c>
      <c r="DL1008" s="313">
        <f t="shared" si="679"/>
        <v>0</v>
      </c>
      <c r="DM1008" s="314">
        <f t="shared" si="680"/>
        <v>0</v>
      </c>
      <c r="DN1008" s="312">
        <f t="shared" si="681"/>
        <v>0</v>
      </c>
      <c r="DO1008" s="312">
        <f t="shared" si="688"/>
        <v>0</v>
      </c>
      <c r="DP1008" s="315" t="e">
        <f t="shared" si="673"/>
        <v>#NUM!</v>
      </c>
      <c r="DQ1008" s="316">
        <f t="shared" si="682"/>
        <v>0</v>
      </c>
      <c r="DR1008" s="316">
        <f t="shared" si="683"/>
        <v>0</v>
      </c>
      <c r="DS1008" s="314">
        <f t="shared" si="684"/>
        <v>0</v>
      </c>
      <c r="DT1008" s="316">
        <f t="shared" si="685"/>
        <v>0</v>
      </c>
      <c r="DU1008" s="314">
        <f t="shared" si="674"/>
        <v>0</v>
      </c>
      <c r="DV1008" s="316">
        <f t="shared" si="689"/>
        <v>0</v>
      </c>
      <c r="DW1008" s="310">
        <f t="shared" si="675"/>
        <v>0</v>
      </c>
      <c r="FB1008" s="307"/>
      <c r="FC1008" s="307"/>
      <c r="FF1008" s="307"/>
      <c r="FH1008" s="306"/>
      <c r="FJ1008" s="307"/>
      <c r="FK1008" s="307"/>
      <c r="FL1008" s="306"/>
      <c r="FM1008" s="307"/>
      <c r="FN1008" s="306"/>
      <c r="FO1008" s="307"/>
      <c r="FP1008" s="306"/>
    </row>
    <row r="1009" spans="29:172">
      <c r="AC1009" s="156"/>
      <c r="CW1009" s="364"/>
      <c r="CX1009" s="316"/>
      <c r="CY1009" s="316"/>
      <c r="DA1009" s="309">
        <v>1008</v>
      </c>
      <c r="DB1009" s="313">
        <f t="shared" si="669"/>
        <v>566.88199614033192</v>
      </c>
      <c r="DC1009" s="309">
        <f t="shared" si="670"/>
        <v>4</v>
      </c>
      <c r="DD1009" s="309">
        <f t="shared" si="671"/>
        <v>0</v>
      </c>
      <c r="DE1009" s="308">
        <f t="shared" si="672"/>
        <v>0</v>
      </c>
      <c r="DF1009" s="313">
        <f t="shared" si="686"/>
        <v>600</v>
      </c>
      <c r="DG1009" s="313">
        <f t="shared" si="690"/>
        <v>0</v>
      </c>
      <c r="DH1009" s="313">
        <f t="shared" si="676"/>
        <v>0</v>
      </c>
      <c r="DI1009" s="313">
        <f t="shared" si="677"/>
        <v>0</v>
      </c>
      <c r="DJ1009" s="313">
        <f t="shared" si="678"/>
        <v>0</v>
      </c>
      <c r="DK1009" s="313">
        <f t="shared" si="687"/>
        <v>0</v>
      </c>
      <c r="DL1009" s="313">
        <f t="shared" si="679"/>
        <v>0</v>
      </c>
      <c r="DM1009" s="314">
        <f t="shared" si="680"/>
        <v>0</v>
      </c>
      <c r="DN1009" s="312">
        <f t="shared" si="681"/>
        <v>0</v>
      </c>
      <c r="DO1009" s="312">
        <f t="shared" si="688"/>
        <v>0</v>
      </c>
      <c r="DP1009" s="315" t="e">
        <f t="shared" si="673"/>
        <v>#NUM!</v>
      </c>
      <c r="DQ1009" s="316">
        <f t="shared" si="682"/>
        <v>0</v>
      </c>
      <c r="DR1009" s="316">
        <f t="shared" si="683"/>
        <v>0</v>
      </c>
      <c r="DS1009" s="314">
        <f t="shared" si="684"/>
        <v>0</v>
      </c>
      <c r="DT1009" s="316">
        <f t="shared" si="685"/>
        <v>0</v>
      </c>
      <c r="DU1009" s="314">
        <f t="shared" si="674"/>
        <v>0</v>
      </c>
      <c r="DV1009" s="316">
        <f t="shared" si="689"/>
        <v>0</v>
      </c>
      <c r="DW1009" s="310">
        <f t="shared" si="675"/>
        <v>0</v>
      </c>
      <c r="FB1009" s="307"/>
      <c r="FC1009" s="307"/>
      <c r="FF1009" s="307"/>
      <c r="FH1009" s="306"/>
      <c r="FJ1009" s="307"/>
      <c r="FK1009" s="307"/>
      <c r="FL1009" s="306"/>
      <c r="FM1009" s="307"/>
      <c r="FN1009" s="306"/>
      <c r="FO1009" s="307"/>
      <c r="FP1009" s="306"/>
    </row>
    <row r="1010" spans="29:172">
      <c r="AC1010" s="156"/>
      <c r="CW1010" s="364"/>
      <c r="CX1010" s="316"/>
      <c r="CY1010" s="316"/>
      <c r="DA1010" s="309">
        <v>1009</v>
      </c>
      <c r="DB1010" s="313">
        <f t="shared" si="669"/>
        <v>567.24596637459808</v>
      </c>
      <c r="DC1010" s="309">
        <f t="shared" si="670"/>
        <v>4</v>
      </c>
      <c r="DD1010" s="309">
        <f t="shared" si="671"/>
        <v>0</v>
      </c>
      <c r="DE1010" s="308">
        <f t="shared" si="672"/>
        <v>0</v>
      </c>
      <c r="DF1010" s="313">
        <f t="shared" si="686"/>
        <v>600</v>
      </c>
      <c r="DG1010" s="313">
        <f t="shared" si="690"/>
        <v>0</v>
      </c>
      <c r="DH1010" s="313">
        <f t="shared" si="676"/>
        <v>0</v>
      </c>
      <c r="DI1010" s="313">
        <f t="shared" si="677"/>
        <v>0</v>
      </c>
      <c r="DJ1010" s="313">
        <f t="shared" si="678"/>
        <v>0</v>
      </c>
      <c r="DK1010" s="313">
        <f t="shared" si="687"/>
        <v>0</v>
      </c>
      <c r="DL1010" s="313">
        <f t="shared" si="679"/>
        <v>0</v>
      </c>
      <c r="DM1010" s="314">
        <f t="shared" si="680"/>
        <v>0</v>
      </c>
      <c r="DN1010" s="312">
        <f t="shared" si="681"/>
        <v>0</v>
      </c>
      <c r="DO1010" s="312">
        <f t="shared" si="688"/>
        <v>0</v>
      </c>
      <c r="DP1010" s="315" t="e">
        <f t="shared" si="673"/>
        <v>#NUM!</v>
      </c>
      <c r="DQ1010" s="316">
        <f t="shared" si="682"/>
        <v>0</v>
      </c>
      <c r="DR1010" s="316">
        <f t="shared" si="683"/>
        <v>0</v>
      </c>
      <c r="DS1010" s="314">
        <f t="shared" si="684"/>
        <v>0</v>
      </c>
      <c r="DT1010" s="316">
        <f t="shared" si="685"/>
        <v>0</v>
      </c>
      <c r="DU1010" s="314">
        <f t="shared" si="674"/>
        <v>0</v>
      </c>
      <c r="DV1010" s="316">
        <f t="shared" si="689"/>
        <v>0</v>
      </c>
      <c r="DW1010" s="310">
        <f t="shared" si="675"/>
        <v>0</v>
      </c>
      <c r="FB1010" s="307"/>
      <c r="FC1010" s="307"/>
      <c r="FF1010" s="307"/>
      <c r="FH1010" s="306"/>
      <c r="FJ1010" s="307"/>
      <c r="FK1010" s="307"/>
      <c r="FL1010" s="306"/>
      <c r="FM1010" s="307"/>
      <c r="FN1010" s="306"/>
      <c r="FO1010" s="307"/>
      <c r="FP1010" s="306"/>
    </row>
    <row r="1011" spans="29:172">
      <c r="AC1011" s="156"/>
      <c r="CW1011" s="364"/>
      <c r="CX1011" s="316"/>
      <c r="CY1011" s="316"/>
      <c r="DA1011" s="309">
        <v>1010</v>
      </c>
      <c r="DB1011" s="313">
        <f t="shared" si="669"/>
        <v>567.60993660886436</v>
      </c>
      <c r="DC1011" s="309">
        <f t="shared" si="670"/>
        <v>4</v>
      </c>
      <c r="DD1011" s="309">
        <f t="shared" si="671"/>
        <v>0</v>
      </c>
      <c r="DE1011" s="308">
        <f t="shared" si="672"/>
        <v>0</v>
      </c>
      <c r="DF1011" s="313">
        <f t="shared" si="686"/>
        <v>600</v>
      </c>
      <c r="DG1011" s="313">
        <f t="shared" si="690"/>
        <v>0</v>
      </c>
      <c r="DH1011" s="313">
        <f t="shared" si="676"/>
        <v>0</v>
      </c>
      <c r="DI1011" s="313">
        <f t="shared" si="677"/>
        <v>0</v>
      </c>
      <c r="DJ1011" s="313">
        <f t="shared" si="678"/>
        <v>0</v>
      </c>
      <c r="DK1011" s="313">
        <f t="shared" si="687"/>
        <v>0</v>
      </c>
      <c r="DL1011" s="313">
        <f t="shared" si="679"/>
        <v>0</v>
      </c>
      <c r="DM1011" s="314">
        <f t="shared" si="680"/>
        <v>0</v>
      </c>
      <c r="DN1011" s="312">
        <f t="shared" si="681"/>
        <v>0</v>
      </c>
      <c r="DO1011" s="312">
        <f t="shared" si="688"/>
        <v>0</v>
      </c>
      <c r="DP1011" s="315" t="e">
        <f t="shared" si="673"/>
        <v>#NUM!</v>
      </c>
      <c r="DQ1011" s="316">
        <f t="shared" si="682"/>
        <v>0</v>
      </c>
      <c r="DR1011" s="316">
        <f t="shared" si="683"/>
        <v>0</v>
      </c>
      <c r="DS1011" s="314">
        <f t="shared" si="684"/>
        <v>0</v>
      </c>
      <c r="DT1011" s="316">
        <f t="shared" si="685"/>
        <v>0</v>
      </c>
      <c r="DU1011" s="314">
        <f t="shared" si="674"/>
        <v>0</v>
      </c>
      <c r="DV1011" s="316">
        <f t="shared" si="689"/>
        <v>0</v>
      </c>
      <c r="DW1011" s="310">
        <f t="shared" si="675"/>
        <v>0</v>
      </c>
      <c r="FB1011" s="307"/>
      <c r="FC1011" s="307"/>
      <c r="FF1011" s="307"/>
      <c r="FH1011" s="306"/>
      <c r="FJ1011" s="307"/>
      <c r="FK1011" s="307"/>
      <c r="FL1011" s="306"/>
      <c r="FM1011" s="307"/>
      <c r="FN1011" s="306"/>
      <c r="FO1011" s="307"/>
      <c r="FP1011" s="306"/>
    </row>
    <row r="1012" spans="29:172">
      <c r="AC1012" s="156"/>
      <c r="CW1012" s="364"/>
      <c r="CX1012" s="316"/>
      <c r="CY1012" s="316"/>
      <c r="DA1012" s="309">
        <v>1011</v>
      </c>
      <c r="DB1012" s="313">
        <f t="shared" si="669"/>
        <v>567.97390684313064</v>
      </c>
      <c r="DC1012" s="309">
        <f t="shared" si="670"/>
        <v>4</v>
      </c>
      <c r="DD1012" s="309">
        <f t="shared" si="671"/>
        <v>0</v>
      </c>
      <c r="DE1012" s="308">
        <f t="shared" si="672"/>
        <v>0</v>
      </c>
      <c r="DF1012" s="313">
        <f t="shared" si="686"/>
        <v>600</v>
      </c>
      <c r="DG1012" s="313">
        <f t="shared" si="690"/>
        <v>0</v>
      </c>
      <c r="DH1012" s="313">
        <f t="shared" si="676"/>
        <v>0</v>
      </c>
      <c r="DI1012" s="313">
        <f t="shared" si="677"/>
        <v>0</v>
      </c>
      <c r="DJ1012" s="313">
        <f t="shared" si="678"/>
        <v>0</v>
      </c>
      <c r="DK1012" s="313">
        <f t="shared" si="687"/>
        <v>0</v>
      </c>
      <c r="DL1012" s="313">
        <f t="shared" si="679"/>
        <v>0</v>
      </c>
      <c r="DM1012" s="314">
        <f t="shared" si="680"/>
        <v>0</v>
      </c>
      <c r="DN1012" s="312">
        <f t="shared" si="681"/>
        <v>0</v>
      </c>
      <c r="DO1012" s="312">
        <f t="shared" si="688"/>
        <v>0</v>
      </c>
      <c r="DP1012" s="315" t="e">
        <f t="shared" si="673"/>
        <v>#NUM!</v>
      </c>
      <c r="DQ1012" s="316">
        <f t="shared" si="682"/>
        <v>0</v>
      </c>
      <c r="DR1012" s="316">
        <f t="shared" si="683"/>
        <v>0</v>
      </c>
      <c r="DS1012" s="314">
        <f t="shared" si="684"/>
        <v>0</v>
      </c>
      <c r="DT1012" s="316">
        <f t="shared" si="685"/>
        <v>0</v>
      </c>
      <c r="DU1012" s="314">
        <f t="shared" si="674"/>
        <v>0</v>
      </c>
      <c r="DV1012" s="316">
        <f t="shared" si="689"/>
        <v>0</v>
      </c>
      <c r="DW1012" s="310">
        <f t="shared" si="675"/>
        <v>0</v>
      </c>
      <c r="FB1012" s="307"/>
      <c r="FC1012" s="307"/>
      <c r="FF1012" s="307"/>
      <c r="FH1012" s="306"/>
      <c r="FJ1012" s="307"/>
      <c r="FK1012" s="307"/>
      <c r="FL1012" s="306"/>
      <c r="FM1012" s="307"/>
      <c r="FN1012" s="306"/>
      <c r="FO1012" s="307"/>
      <c r="FP1012" s="306"/>
    </row>
    <row r="1013" spans="29:172">
      <c r="AC1013" s="156"/>
      <c r="CW1013" s="364"/>
      <c r="CX1013" s="316"/>
      <c r="CY1013" s="316"/>
      <c r="DA1013" s="309">
        <v>1012</v>
      </c>
      <c r="DB1013" s="313">
        <f t="shared" si="669"/>
        <v>568.3378770773968</v>
      </c>
      <c r="DC1013" s="309">
        <f t="shared" si="670"/>
        <v>4</v>
      </c>
      <c r="DD1013" s="309">
        <f t="shared" si="671"/>
        <v>0</v>
      </c>
      <c r="DE1013" s="308">
        <f t="shared" si="672"/>
        <v>0</v>
      </c>
      <c r="DF1013" s="313">
        <f t="shared" si="686"/>
        <v>600</v>
      </c>
      <c r="DG1013" s="313">
        <f t="shared" si="690"/>
        <v>0</v>
      </c>
      <c r="DH1013" s="313">
        <f t="shared" si="676"/>
        <v>0</v>
      </c>
      <c r="DI1013" s="313">
        <f t="shared" si="677"/>
        <v>0</v>
      </c>
      <c r="DJ1013" s="313">
        <f t="shared" si="678"/>
        <v>0</v>
      </c>
      <c r="DK1013" s="313">
        <f t="shared" si="687"/>
        <v>0</v>
      </c>
      <c r="DL1013" s="313">
        <f t="shared" si="679"/>
        <v>0</v>
      </c>
      <c r="DM1013" s="314">
        <f t="shared" si="680"/>
        <v>0</v>
      </c>
      <c r="DN1013" s="312">
        <f t="shared" si="681"/>
        <v>0</v>
      </c>
      <c r="DO1013" s="312">
        <f t="shared" si="688"/>
        <v>0</v>
      </c>
      <c r="DP1013" s="315" t="e">
        <f t="shared" si="673"/>
        <v>#NUM!</v>
      </c>
      <c r="DQ1013" s="316">
        <f t="shared" si="682"/>
        <v>0</v>
      </c>
      <c r="DR1013" s="316">
        <f t="shared" si="683"/>
        <v>0</v>
      </c>
      <c r="DS1013" s="314">
        <f t="shared" si="684"/>
        <v>0</v>
      </c>
      <c r="DT1013" s="316">
        <f t="shared" si="685"/>
        <v>0</v>
      </c>
      <c r="DU1013" s="314">
        <f t="shared" si="674"/>
        <v>0</v>
      </c>
      <c r="DV1013" s="316">
        <f t="shared" si="689"/>
        <v>0</v>
      </c>
      <c r="DW1013" s="310">
        <f t="shared" si="675"/>
        <v>0</v>
      </c>
      <c r="FB1013" s="307"/>
      <c r="FC1013" s="307"/>
      <c r="FF1013" s="307"/>
      <c r="FH1013" s="306"/>
      <c r="FJ1013" s="307"/>
      <c r="FK1013" s="307"/>
      <c r="FL1013" s="306"/>
      <c r="FM1013" s="307"/>
      <c r="FN1013" s="306"/>
      <c r="FO1013" s="307"/>
      <c r="FP1013" s="306"/>
    </row>
    <row r="1014" spans="29:172">
      <c r="AC1014" s="156"/>
      <c r="CW1014" s="364"/>
      <c r="CX1014" s="316"/>
      <c r="CY1014" s="316"/>
      <c r="DA1014" s="309">
        <v>1013</v>
      </c>
      <c r="DB1014" s="313">
        <f t="shared" si="669"/>
        <v>568.70184731166296</v>
      </c>
      <c r="DC1014" s="309">
        <f t="shared" si="670"/>
        <v>4</v>
      </c>
      <c r="DD1014" s="309">
        <f t="shared" si="671"/>
        <v>0</v>
      </c>
      <c r="DE1014" s="308">
        <f t="shared" si="672"/>
        <v>0</v>
      </c>
      <c r="DF1014" s="313">
        <f t="shared" si="686"/>
        <v>600</v>
      </c>
      <c r="DG1014" s="313">
        <f t="shared" si="690"/>
        <v>0</v>
      </c>
      <c r="DH1014" s="313">
        <f t="shared" si="676"/>
        <v>0</v>
      </c>
      <c r="DI1014" s="313">
        <f t="shared" si="677"/>
        <v>0</v>
      </c>
      <c r="DJ1014" s="313">
        <f t="shared" si="678"/>
        <v>0</v>
      </c>
      <c r="DK1014" s="313">
        <f t="shared" si="687"/>
        <v>0</v>
      </c>
      <c r="DL1014" s="313">
        <f t="shared" si="679"/>
        <v>0</v>
      </c>
      <c r="DM1014" s="314">
        <f t="shared" si="680"/>
        <v>0</v>
      </c>
      <c r="DN1014" s="312">
        <f t="shared" si="681"/>
        <v>0</v>
      </c>
      <c r="DO1014" s="312">
        <f t="shared" si="688"/>
        <v>0</v>
      </c>
      <c r="DP1014" s="315" t="e">
        <f t="shared" si="673"/>
        <v>#NUM!</v>
      </c>
      <c r="DQ1014" s="316">
        <f t="shared" si="682"/>
        <v>0</v>
      </c>
      <c r="DR1014" s="316">
        <f t="shared" si="683"/>
        <v>0</v>
      </c>
      <c r="DS1014" s="314">
        <f t="shared" si="684"/>
        <v>0</v>
      </c>
      <c r="DT1014" s="316">
        <f t="shared" si="685"/>
        <v>0</v>
      </c>
      <c r="DU1014" s="314">
        <f t="shared" si="674"/>
        <v>0</v>
      </c>
      <c r="DV1014" s="316">
        <f t="shared" si="689"/>
        <v>0</v>
      </c>
      <c r="DW1014" s="310">
        <f t="shared" si="675"/>
        <v>0</v>
      </c>
      <c r="FB1014" s="307"/>
      <c r="FC1014" s="307"/>
      <c r="FF1014" s="307"/>
      <c r="FH1014" s="306"/>
      <c r="FJ1014" s="307"/>
      <c r="FK1014" s="307"/>
      <c r="FL1014" s="306"/>
      <c r="FM1014" s="307"/>
      <c r="FN1014" s="306"/>
      <c r="FO1014" s="307"/>
      <c r="FP1014" s="306"/>
    </row>
    <row r="1015" spans="29:172">
      <c r="AC1015" s="156"/>
      <c r="CW1015" s="364"/>
      <c r="CX1015" s="316"/>
      <c r="CY1015" s="316"/>
      <c r="DA1015" s="309">
        <v>1014</v>
      </c>
      <c r="DB1015" s="313">
        <f t="shared" si="669"/>
        <v>569.06581754592912</v>
      </c>
      <c r="DC1015" s="309">
        <f t="shared" si="670"/>
        <v>4</v>
      </c>
      <c r="DD1015" s="309">
        <f t="shared" si="671"/>
        <v>0</v>
      </c>
      <c r="DE1015" s="308">
        <f t="shared" si="672"/>
        <v>0</v>
      </c>
      <c r="DF1015" s="313">
        <f t="shared" si="686"/>
        <v>600</v>
      </c>
      <c r="DG1015" s="313">
        <f t="shared" si="690"/>
        <v>0</v>
      </c>
      <c r="DH1015" s="313">
        <f t="shared" si="676"/>
        <v>0</v>
      </c>
      <c r="DI1015" s="313">
        <f t="shared" si="677"/>
        <v>0</v>
      </c>
      <c r="DJ1015" s="313">
        <f t="shared" si="678"/>
        <v>0</v>
      </c>
      <c r="DK1015" s="313">
        <f t="shared" si="687"/>
        <v>0</v>
      </c>
      <c r="DL1015" s="313">
        <f t="shared" si="679"/>
        <v>0</v>
      </c>
      <c r="DM1015" s="314">
        <f t="shared" si="680"/>
        <v>0</v>
      </c>
      <c r="DN1015" s="312">
        <f t="shared" si="681"/>
        <v>0</v>
      </c>
      <c r="DO1015" s="312">
        <f t="shared" si="688"/>
        <v>0</v>
      </c>
      <c r="DP1015" s="315" t="e">
        <f t="shared" si="673"/>
        <v>#NUM!</v>
      </c>
      <c r="DQ1015" s="316">
        <f t="shared" si="682"/>
        <v>0</v>
      </c>
      <c r="DR1015" s="316">
        <f t="shared" si="683"/>
        <v>0</v>
      </c>
      <c r="DS1015" s="314">
        <f t="shared" si="684"/>
        <v>0</v>
      </c>
      <c r="DT1015" s="316">
        <f t="shared" si="685"/>
        <v>0</v>
      </c>
      <c r="DU1015" s="314">
        <f t="shared" si="674"/>
        <v>0</v>
      </c>
      <c r="DV1015" s="316">
        <f t="shared" si="689"/>
        <v>0</v>
      </c>
      <c r="DW1015" s="310">
        <f t="shared" si="675"/>
        <v>0</v>
      </c>
      <c r="FB1015" s="307"/>
      <c r="FC1015" s="307"/>
      <c r="FF1015" s="307"/>
      <c r="FH1015" s="306"/>
      <c r="FJ1015" s="307"/>
      <c r="FK1015" s="307"/>
      <c r="FL1015" s="306"/>
      <c r="FM1015" s="307"/>
      <c r="FN1015" s="306"/>
      <c r="FO1015" s="307"/>
      <c r="FP1015" s="306"/>
    </row>
    <row r="1016" spans="29:172">
      <c r="AC1016" s="156"/>
      <c r="CW1016" s="364"/>
      <c r="CX1016" s="316"/>
      <c r="CY1016" s="316"/>
      <c r="DA1016" s="309">
        <v>1015</v>
      </c>
      <c r="DB1016" s="313">
        <f t="shared" si="669"/>
        <v>569.4297877801954</v>
      </c>
      <c r="DC1016" s="309">
        <f t="shared" si="670"/>
        <v>4</v>
      </c>
      <c r="DD1016" s="309">
        <f t="shared" si="671"/>
        <v>0</v>
      </c>
      <c r="DE1016" s="308">
        <f t="shared" si="672"/>
        <v>0</v>
      </c>
      <c r="DF1016" s="313">
        <f t="shared" si="686"/>
        <v>600</v>
      </c>
      <c r="DG1016" s="313">
        <f t="shared" si="690"/>
        <v>0</v>
      </c>
      <c r="DH1016" s="313">
        <f t="shared" si="676"/>
        <v>0</v>
      </c>
      <c r="DI1016" s="313">
        <f t="shared" si="677"/>
        <v>0</v>
      </c>
      <c r="DJ1016" s="313">
        <f t="shared" si="678"/>
        <v>0</v>
      </c>
      <c r="DK1016" s="313">
        <f t="shared" si="687"/>
        <v>0</v>
      </c>
      <c r="DL1016" s="313">
        <f t="shared" si="679"/>
        <v>0</v>
      </c>
      <c r="DM1016" s="314">
        <f t="shared" si="680"/>
        <v>0</v>
      </c>
      <c r="DN1016" s="312">
        <f t="shared" si="681"/>
        <v>0</v>
      </c>
      <c r="DO1016" s="312">
        <f t="shared" si="688"/>
        <v>0</v>
      </c>
      <c r="DP1016" s="315" t="e">
        <f t="shared" si="673"/>
        <v>#NUM!</v>
      </c>
      <c r="DQ1016" s="316">
        <f t="shared" si="682"/>
        <v>0</v>
      </c>
      <c r="DR1016" s="316">
        <f t="shared" si="683"/>
        <v>0</v>
      </c>
      <c r="DS1016" s="314">
        <f t="shared" si="684"/>
        <v>0</v>
      </c>
      <c r="DT1016" s="316">
        <f t="shared" si="685"/>
        <v>0</v>
      </c>
      <c r="DU1016" s="314">
        <f t="shared" si="674"/>
        <v>0</v>
      </c>
      <c r="DV1016" s="316">
        <f t="shared" si="689"/>
        <v>0</v>
      </c>
      <c r="DW1016" s="310">
        <f t="shared" si="675"/>
        <v>0</v>
      </c>
      <c r="FB1016" s="307"/>
      <c r="FC1016" s="307"/>
      <c r="FF1016" s="307"/>
      <c r="FH1016" s="306"/>
      <c r="FJ1016" s="307"/>
      <c r="FK1016" s="307"/>
      <c r="FL1016" s="306"/>
      <c r="FM1016" s="307"/>
      <c r="FN1016" s="306"/>
      <c r="FO1016" s="307"/>
      <c r="FP1016" s="306"/>
    </row>
    <row r="1017" spans="29:172">
      <c r="AC1017" s="156"/>
      <c r="CW1017" s="364"/>
      <c r="CX1017" s="316"/>
      <c r="CY1017" s="316"/>
      <c r="DA1017" s="309">
        <v>1016</v>
      </c>
      <c r="DB1017" s="313">
        <f t="shared" si="669"/>
        <v>569.79375801446156</v>
      </c>
      <c r="DC1017" s="309">
        <f t="shared" si="670"/>
        <v>4</v>
      </c>
      <c r="DD1017" s="309">
        <f t="shared" si="671"/>
        <v>0</v>
      </c>
      <c r="DE1017" s="308">
        <f t="shared" si="672"/>
        <v>0</v>
      </c>
      <c r="DF1017" s="313">
        <f t="shared" si="686"/>
        <v>600</v>
      </c>
      <c r="DG1017" s="313">
        <f t="shared" si="690"/>
        <v>0</v>
      </c>
      <c r="DH1017" s="313">
        <f t="shared" si="676"/>
        <v>0</v>
      </c>
      <c r="DI1017" s="313">
        <f t="shared" si="677"/>
        <v>0</v>
      </c>
      <c r="DJ1017" s="313">
        <f t="shared" si="678"/>
        <v>0</v>
      </c>
      <c r="DK1017" s="313">
        <f t="shared" si="687"/>
        <v>0</v>
      </c>
      <c r="DL1017" s="313">
        <f t="shared" si="679"/>
        <v>0</v>
      </c>
      <c r="DM1017" s="314">
        <f t="shared" si="680"/>
        <v>0</v>
      </c>
      <c r="DN1017" s="312">
        <f t="shared" si="681"/>
        <v>0</v>
      </c>
      <c r="DO1017" s="312">
        <f t="shared" si="688"/>
        <v>0</v>
      </c>
      <c r="DP1017" s="315" t="e">
        <f t="shared" si="673"/>
        <v>#NUM!</v>
      </c>
      <c r="DQ1017" s="316">
        <f t="shared" si="682"/>
        <v>0</v>
      </c>
      <c r="DR1017" s="316">
        <f t="shared" si="683"/>
        <v>0</v>
      </c>
      <c r="DS1017" s="314">
        <f t="shared" si="684"/>
        <v>0</v>
      </c>
      <c r="DT1017" s="316">
        <f t="shared" si="685"/>
        <v>0</v>
      </c>
      <c r="DU1017" s="314">
        <f t="shared" si="674"/>
        <v>0</v>
      </c>
      <c r="DV1017" s="316">
        <f t="shared" si="689"/>
        <v>0</v>
      </c>
      <c r="DW1017" s="310">
        <f t="shared" si="675"/>
        <v>0</v>
      </c>
      <c r="FB1017" s="307"/>
      <c r="FC1017" s="307"/>
      <c r="FF1017" s="307"/>
      <c r="FH1017" s="306"/>
      <c r="FJ1017" s="307"/>
      <c r="FK1017" s="307"/>
      <c r="FL1017" s="306"/>
      <c r="FM1017" s="307"/>
      <c r="FN1017" s="306"/>
      <c r="FO1017" s="307"/>
      <c r="FP1017" s="306"/>
    </row>
    <row r="1018" spans="29:172">
      <c r="AC1018" s="156"/>
      <c r="CW1018" s="364"/>
      <c r="CX1018" s="316"/>
      <c r="CY1018" s="316"/>
      <c r="DA1018" s="309">
        <v>1017</v>
      </c>
      <c r="DB1018" s="313">
        <f t="shared" si="669"/>
        <v>570.15772824872784</v>
      </c>
      <c r="DC1018" s="309">
        <f t="shared" si="670"/>
        <v>4</v>
      </c>
      <c r="DD1018" s="309">
        <f t="shared" si="671"/>
        <v>0</v>
      </c>
      <c r="DE1018" s="308">
        <f t="shared" si="672"/>
        <v>0</v>
      </c>
      <c r="DF1018" s="313">
        <f t="shared" si="686"/>
        <v>600</v>
      </c>
      <c r="DG1018" s="313">
        <f t="shared" si="690"/>
        <v>0</v>
      </c>
      <c r="DH1018" s="313">
        <f t="shared" si="676"/>
        <v>0</v>
      </c>
      <c r="DI1018" s="313">
        <f t="shared" si="677"/>
        <v>0</v>
      </c>
      <c r="DJ1018" s="313">
        <f t="shared" si="678"/>
        <v>0</v>
      </c>
      <c r="DK1018" s="313">
        <f t="shared" si="687"/>
        <v>0</v>
      </c>
      <c r="DL1018" s="313">
        <f t="shared" si="679"/>
        <v>0</v>
      </c>
      <c r="DM1018" s="314">
        <f t="shared" si="680"/>
        <v>0</v>
      </c>
      <c r="DN1018" s="312">
        <f t="shared" si="681"/>
        <v>0</v>
      </c>
      <c r="DO1018" s="312">
        <f t="shared" si="688"/>
        <v>0</v>
      </c>
      <c r="DP1018" s="315" t="e">
        <f t="shared" si="673"/>
        <v>#NUM!</v>
      </c>
      <c r="DQ1018" s="316">
        <f t="shared" si="682"/>
        <v>0</v>
      </c>
      <c r="DR1018" s="316">
        <f t="shared" si="683"/>
        <v>0</v>
      </c>
      <c r="DS1018" s="314">
        <f t="shared" si="684"/>
        <v>0</v>
      </c>
      <c r="DT1018" s="316">
        <f t="shared" si="685"/>
        <v>0</v>
      </c>
      <c r="DU1018" s="314">
        <f t="shared" si="674"/>
        <v>0</v>
      </c>
      <c r="DV1018" s="316">
        <f t="shared" si="689"/>
        <v>0</v>
      </c>
      <c r="DW1018" s="310">
        <f t="shared" si="675"/>
        <v>0</v>
      </c>
      <c r="FB1018" s="307"/>
      <c r="FC1018" s="307"/>
      <c r="FF1018" s="307"/>
      <c r="FH1018" s="306"/>
      <c r="FJ1018" s="307"/>
      <c r="FK1018" s="307"/>
      <c r="FL1018" s="306"/>
      <c r="FM1018" s="307"/>
      <c r="FN1018" s="306"/>
      <c r="FO1018" s="307"/>
      <c r="FP1018" s="306"/>
    </row>
    <row r="1019" spans="29:172">
      <c r="AC1019" s="156"/>
      <c r="CW1019" s="364"/>
      <c r="CX1019" s="316"/>
      <c r="CY1019" s="316"/>
      <c r="DA1019" s="309">
        <v>1018</v>
      </c>
      <c r="DB1019" s="313">
        <f t="shared" si="669"/>
        <v>570.521698482994</v>
      </c>
      <c r="DC1019" s="309">
        <f t="shared" si="670"/>
        <v>4</v>
      </c>
      <c r="DD1019" s="309">
        <f t="shared" si="671"/>
        <v>0</v>
      </c>
      <c r="DE1019" s="308">
        <f t="shared" si="672"/>
        <v>0</v>
      </c>
      <c r="DF1019" s="313">
        <f t="shared" si="686"/>
        <v>600</v>
      </c>
      <c r="DG1019" s="313">
        <f t="shared" si="690"/>
        <v>0</v>
      </c>
      <c r="DH1019" s="313">
        <f t="shared" si="676"/>
        <v>0</v>
      </c>
      <c r="DI1019" s="313">
        <f t="shared" si="677"/>
        <v>0</v>
      </c>
      <c r="DJ1019" s="313">
        <f t="shared" si="678"/>
        <v>0</v>
      </c>
      <c r="DK1019" s="313">
        <f t="shared" si="687"/>
        <v>0</v>
      </c>
      <c r="DL1019" s="313">
        <f t="shared" si="679"/>
        <v>0</v>
      </c>
      <c r="DM1019" s="314">
        <f t="shared" si="680"/>
        <v>0</v>
      </c>
      <c r="DN1019" s="312">
        <f t="shared" si="681"/>
        <v>0</v>
      </c>
      <c r="DO1019" s="312">
        <f t="shared" si="688"/>
        <v>0</v>
      </c>
      <c r="DP1019" s="315" t="e">
        <f t="shared" si="673"/>
        <v>#NUM!</v>
      </c>
      <c r="DQ1019" s="316">
        <f t="shared" si="682"/>
        <v>0</v>
      </c>
      <c r="DR1019" s="316">
        <f t="shared" si="683"/>
        <v>0</v>
      </c>
      <c r="DS1019" s="314">
        <f t="shared" si="684"/>
        <v>0</v>
      </c>
      <c r="DT1019" s="316">
        <f t="shared" si="685"/>
        <v>0</v>
      </c>
      <c r="DU1019" s="314">
        <f t="shared" si="674"/>
        <v>0</v>
      </c>
      <c r="DV1019" s="316">
        <f t="shared" si="689"/>
        <v>0</v>
      </c>
      <c r="DW1019" s="310">
        <f t="shared" si="675"/>
        <v>0</v>
      </c>
      <c r="FB1019" s="307"/>
      <c r="FC1019" s="307"/>
      <c r="FF1019" s="307"/>
      <c r="FH1019" s="306"/>
      <c r="FJ1019" s="307"/>
      <c r="FK1019" s="307"/>
      <c r="FL1019" s="306"/>
      <c r="FM1019" s="307"/>
      <c r="FN1019" s="306"/>
      <c r="FO1019" s="307"/>
      <c r="FP1019" s="306"/>
    </row>
    <row r="1020" spans="29:172">
      <c r="AC1020" s="156"/>
      <c r="CW1020" s="364"/>
      <c r="CX1020" s="316"/>
      <c r="CY1020" s="316"/>
      <c r="DA1020" s="309">
        <v>1019</v>
      </c>
      <c r="DB1020" s="313">
        <f t="shared" si="669"/>
        <v>570.88566871726016</v>
      </c>
      <c r="DC1020" s="309">
        <f t="shared" si="670"/>
        <v>4</v>
      </c>
      <c r="DD1020" s="309">
        <f t="shared" si="671"/>
        <v>0</v>
      </c>
      <c r="DE1020" s="308">
        <f t="shared" si="672"/>
        <v>0</v>
      </c>
      <c r="DF1020" s="313">
        <f t="shared" si="686"/>
        <v>600</v>
      </c>
      <c r="DG1020" s="313">
        <f t="shared" si="690"/>
        <v>0</v>
      </c>
      <c r="DH1020" s="313">
        <f t="shared" si="676"/>
        <v>0</v>
      </c>
      <c r="DI1020" s="313">
        <f t="shared" si="677"/>
        <v>0</v>
      </c>
      <c r="DJ1020" s="313">
        <f t="shared" si="678"/>
        <v>0</v>
      </c>
      <c r="DK1020" s="313">
        <f t="shared" si="687"/>
        <v>0</v>
      </c>
      <c r="DL1020" s="313">
        <f t="shared" si="679"/>
        <v>0</v>
      </c>
      <c r="DM1020" s="314">
        <f t="shared" si="680"/>
        <v>0</v>
      </c>
      <c r="DN1020" s="312">
        <f t="shared" si="681"/>
        <v>0</v>
      </c>
      <c r="DO1020" s="312">
        <f t="shared" si="688"/>
        <v>0</v>
      </c>
      <c r="DP1020" s="315" t="e">
        <f t="shared" si="673"/>
        <v>#NUM!</v>
      </c>
      <c r="DQ1020" s="316">
        <f t="shared" si="682"/>
        <v>0</v>
      </c>
      <c r="DR1020" s="316">
        <f t="shared" si="683"/>
        <v>0</v>
      </c>
      <c r="DS1020" s="314">
        <f t="shared" si="684"/>
        <v>0</v>
      </c>
      <c r="DT1020" s="316">
        <f t="shared" si="685"/>
        <v>0</v>
      </c>
      <c r="DU1020" s="314">
        <f t="shared" si="674"/>
        <v>0</v>
      </c>
      <c r="DV1020" s="316">
        <f t="shared" si="689"/>
        <v>0</v>
      </c>
      <c r="DW1020" s="310">
        <f t="shared" si="675"/>
        <v>0</v>
      </c>
      <c r="FB1020" s="307"/>
      <c r="FC1020" s="307"/>
      <c r="FF1020" s="307"/>
      <c r="FH1020" s="306"/>
      <c r="FJ1020" s="307"/>
      <c r="FK1020" s="307"/>
      <c r="FL1020" s="306"/>
      <c r="FM1020" s="307"/>
      <c r="FN1020" s="306"/>
      <c r="FO1020" s="307"/>
      <c r="FP1020" s="306"/>
    </row>
    <row r="1021" spans="29:172">
      <c r="AC1021" s="156"/>
      <c r="CW1021" s="364"/>
      <c r="CX1021" s="316"/>
      <c r="CY1021" s="316"/>
      <c r="DA1021" s="309">
        <v>1020</v>
      </c>
      <c r="DB1021" s="313">
        <f t="shared" si="669"/>
        <v>571.24963895152632</v>
      </c>
      <c r="DC1021" s="309">
        <f t="shared" si="670"/>
        <v>4</v>
      </c>
      <c r="DD1021" s="309">
        <f t="shared" si="671"/>
        <v>0</v>
      </c>
      <c r="DE1021" s="308">
        <f t="shared" si="672"/>
        <v>0</v>
      </c>
      <c r="DF1021" s="313">
        <f t="shared" si="686"/>
        <v>600</v>
      </c>
      <c r="DG1021" s="313">
        <f t="shared" si="690"/>
        <v>0</v>
      </c>
      <c r="DH1021" s="313">
        <f t="shared" si="676"/>
        <v>0</v>
      </c>
      <c r="DI1021" s="313">
        <f t="shared" si="677"/>
        <v>0</v>
      </c>
      <c r="DJ1021" s="313">
        <f t="shared" si="678"/>
        <v>0</v>
      </c>
      <c r="DK1021" s="313">
        <f t="shared" si="687"/>
        <v>0</v>
      </c>
      <c r="DL1021" s="313">
        <f t="shared" si="679"/>
        <v>0</v>
      </c>
      <c r="DM1021" s="314">
        <f t="shared" si="680"/>
        <v>0</v>
      </c>
      <c r="DN1021" s="312">
        <f t="shared" si="681"/>
        <v>0</v>
      </c>
      <c r="DO1021" s="312">
        <f t="shared" si="688"/>
        <v>0</v>
      </c>
      <c r="DP1021" s="315" t="e">
        <f t="shared" si="673"/>
        <v>#NUM!</v>
      </c>
      <c r="DQ1021" s="316">
        <f t="shared" si="682"/>
        <v>0</v>
      </c>
      <c r="DR1021" s="316">
        <f t="shared" si="683"/>
        <v>0</v>
      </c>
      <c r="DS1021" s="314">
        <f t="shared" si="684"/>
        <v>0</v>
      </c>
      <c r="DT1021" s="316">
        <f t="shared" si="685"/>
        <v>0</v>
      </c>
      <c r="DU1021" s="314">
        <f t="shared" si="674"/>
        <v>0</v>
      </c>
      <c r="DV1021" s="316">
        <f t="shared" si="689"/>
        <v>0</v>
      </c>
      <c r="DW1021" s="310">
        <f t="shared" si="675"/>
        <v>0</v>
      </c>
      <c r="FB1021" s="307"/>
      <c r="FC1021" s="307"/>
      <c r="FF1021" s="307"/>
      <c r="FH1021" s="306"/>
      <c r="FJ1021" s="307"/>
      <c r="FK1021" s="307"/>
      <c r="FL1021" s="306"/>
      <c r="FM1021" s="307"/>
      <c r="FN1021" s="306"/>
      <c r="FO1021" s="307"/>
      <c r="FP1021" s="306"/>
    </row>
    <row r="1022" spans="29:172">
      <c r="AC1022" s="156"/>
      <c r="CW1022" s="364"/>
      <c r="CX1022" s="316"/>
      <c r="CY1022" s="316"/>
      <c r="DA1022" s="309">
        <v>1021</v>
      </c>
      <c r="DB1022" s="313">
        <f t="shared" si="669"/>
        <v>571.6136091857926</v>
      </c>
      <c r="DC1022" s="309">
        <f t="shared" si="670"/>
        <v>4</v>
      </c>
      <c r="DD1022" s="309">
        <f t="shared" si="671"/>
        <v>0</v>
      </c>
      <c r="DE1022" s="308">
        <f t="shared" si="672"/>
        <v>0</v>
      </c>
      <c r="DF1022" s="313">
        <f t="shared" si="686"/>
        <v>600</v>
      </c>
      <c r="DG1022" s="313">
        <f t="shared" si="690"/>
        <v>0</v>
      </c>
      <c r="DH1022" s="313">
        <f t="shared" si="676"/>
        <v>0</v>
      </c>
      <c r="DI1022" s="313">
        <f t="shared" si="677"/>
        <v>0</v>
      </c>
      <c r="DJ1022" s="313">
        <f t="shared" si="678"/>
        <v>0</v>
      </c>
      <c r="DK1022" s="313">
        <f t="shared" si="687"/>
        <v>0</v>
      </c>
      <c r="DL1022" s="313">
        <f t="shared" si="679"/>
        <v>0</v>
      </c>
      <c r="DM1022" s="314">
        <f t="shared" si="680"/>
        <v>0</v>
      </c>
      <c r="DN1022" s="312">
        <f t="shared" si="681"/>
        <v>0</v>
      </c>
      <c r="DO1022" s="312">
        <f t="shared" si="688"/>
        <v>0</v>
      </c>
      <c r="DP1022" s="315" t="e">
        <f t="shared" si="673"/>
        <v>#NUM!</v>
      </c>
      <c r="DQ1022" s="316">
        <f t="shared" si="682"/>
        <v>0</v>
      </c>
      <c r="DR1022" s="316">
        <f t="shared" si="683"/>
        <v>0</v>
      </c>
      <c r="DS1022" s="314">
        <f t="shared" si="684"/>
        <v>0</v>
      </c>
      <c r="DT1022" s="316">
        <f t="shared" si="685"/>
        <v>0</v>
      </c>
      <c r="DU1022" s="314">
        <f t="shared" si="674"/>
        <v>0</v>
      </c>
      <c r="DV1022" s="316">
        <f t="shared" si="689"/>
        <v>0</v>
      </c>
      <c r="DW1022" s="310">
        <f t="shared" si="675"/>
        <v>0</v>
      </c>
      <c r="FB1022" s="307"/>
      <c r="FC1022" s="307"/>
      <c r="FF1022" s="307"/>
      <c r="FH1022" s="306"/>
      <c r="FJ1022" s="307"/>
      <c r="FK1022" s="307"/>
      <c r="FL1022" s="306"/>
      <c r="FM1022" s="307"/>
      <c r="FN1022" s="306"/>
      <c r="FO1022" s="307"/>
      <c r="FP1022" s="306"/>
    </row>
    <row r="1023" spans="29:172">
      <c r="AC1023" s="156"/>
      <c r="CW1023" s="364"/>
      <c r="CX1023" s="316"/>
      <c r="CY1023" s="316"/>
      <c r="DA1023" s="309">
        <v>1022</v>
      </c>
      <c r="DB1023" s="313">
        <f t="shared" si="669"/>
        <v>571.97757942005887</v>
      </c>
      <c r="DC1023" s="309">
        <f t="shared" si="670"/>
        <v>4</v>
      </c>
      <c r="DD1023" s="309">
        <f t="shared" si="671"/>
        <v>0</v>
      </c>
      <c r="DE1023" s="308">
        <f t="shared" si="672"/>
        <v>0</v>
      </c>
      <c r="DF1023" s="313">
        <f t="shared" si="686"/>
        <v>600</v>
      </c>
      <c r="DG1023" s="313">
        <f t="shared" si="690"/>
        <v>0</v>
      </c>
      <c r="DH1023" s="313">
        <f t="shared" si="676"/>
        <v>0</v>
      </c>
      <c r="DI1023" s="313">
        <f t="shared" si="677"/>
        <v>0</v>
      </c>
      <c r="DJ1023" s="313">
        <f t="shared" si="678"/>
        <v>0</v>
      </c>
      <c r="DK1023" s="313">
        <f t="shared" si="687"/>
        <v>0</v>
      </c>
      <c r="DL1023" s="313">
        <f t="shared" si="679"/>
        <v>0</v>
      </c>
      <c r="DM1023" s="314">
        <f t="shared" si="680"/>
        <v>0</v>
      </c>
      <c r="DN1023" s="312">
        <f t="shared" si="681"/>
        <v>0</v>
      </c>
      <c r="DO1023" s="312">
        <f t="shared" si="688"/>
        <v>0</v>
      </c>
      <c r="DP1023" s="315" t="e">
        <f t="shared" si="673"/>
        <v>#NUM!</v>
      </c>
      <c r="DQ1023" s="316">
        <f t="shared" si="682"/>
        <v>0</v>
      </c>
      <c r="DR1023" s="316">
        <f t="shared" si="683"/>
        <v>0</v>
      </c>
      <c r="DS1023" s="314">
        <f t="shared" si="684"/>
        <v>0</v>
      </c>
      <c r="DT1023" s="316">
        <f t="shared" si="685"/>
        <v>0</v>
      </c>
      <c r="DU1023" s="314">
        <f t="shared" si="674"/>
        <v>0</v>
      </c>
      <c r="DV1023" s="316">
        <f t="shared" si="689"/>
        <v>0</v>
      </c>
      <c r="DW1023" s="310">
        <f t="shared" si="675"/>
        <v>0</v>
      </c>
      <c r="FB1023" s="307"/>
      <c r="FC1023" s="307"/>
      <c r="FF1023" s="307"/>
      <c r="FH1023" s="306"/>
      <c r="FJ1023" s="307"/>
      <c r="FK1023" s="307"/>
      <c r="FL1023" s="306"/>
      <c r="FM1023" s="307"/>
      <c r="FN1023" s="306"/>
      <c r="FO1023" s="307"/>
      <c r="FP1023" s="306"/>
    </row>
    <row r="1024" spans="29:172">
      <c r="AC1024" s="156"/>
      <c r="CW1024" s="364"/>
      <c r="CX1024" s="316"/>
      <c r="CY1024" s="316"/>
      <c r="DA1024" s="309">
        <v>1023</v>
      </c>
      <c r="DB1024" s="313">
        <f t="shared" si="669"/>
        <v>572.34154965432504</v>
      </c>
      <c r="DC1024" s="309">
        <f t="shared" si="670"/>
        <v>4</v>
      </c>
      <c r="DD1024" s="309">
        <f t="shared" si="671"/>
        <v>0</v>
      </c>
      <c r="DE1024" s="308">
        <f t="shared" si="672"/>
        <v>0</v>
      </c>
      <c r="DF1024" s="313">
        <f t="shared" si="686"/>
        <v>600</v>
      </c>
      <c r="DG1024" s="313">
        <f t="shared" si="690"/>
        <v>0</v>
      </c>
      <c r="DH1024" s="313">
        <f t="shared" si="676"/>
        <v>0</v>
      </c>
      <c r="DI1024" s="313">
        <f t="shared" si="677"/>
        <v>0</v>
      </c>
      <c r="DJ1024" s="313">
        <f t="shared" si="678"/>
        <v>0</v>
      </c>
      <c r="DK1024" s="313">
        <f t="shared" si="687"/>
        <v>0</v>
      </c>
      <c r="DL1024" s="313">
        <f t="shared" si="679"/>
        <v>0</v>
      </c>
      <c r="DM1024" s="314">
        <f t="shared" si="680"/>
        <v>0</v>
      </c>
      <c r="DN1024" s="312">
        <f t="shared" si="681"/>
        <v>0</v>
      </c>
      <c r="DO1024" s="312">
        <f t="shared" si="688"/>
        <v>0</v>
      </c>
      <c r="DP1024" s="315" t="e">
        <f t="shared" si="673"/>
        <v>#NUM!</v>
      </c>
      <c r="DQ1024" s="316">
        <f t="shared" si="682"/>
        <v>0</v>
      </c>
      <c r="DR1024" s="316">
        <f t="shared" si="683"/>
        <v>0</v>
      </c>
      <c r="DS1024" s="314">
        <f t="shared" si="684"/>
        <v>0</v>
      </c>
      <c r="DT1024" s="316">
        <f t="shared" si="685"/>
        <v>0</v>
      </c>
      <c r="DU1024" s="314">
        <f t="shared" si="674"/>
        <v>0</v>
      </c>
      <c r="DV1024" s="316">
        <f t="shared" si="689"/>
        <v>0</v>
      </c>
      <c r="DW1024" s="310">
        <f t="shared" si="675"/>
        <v>0</v>
      </c>
      <c r="FB1024" s="307"/>
      <c r="FC1024" s="307"/>
      <c r="FF1024" s="307"/>
      <c r="FH1024" s="306"/>
      <c r="FJ1024" s="307"/>
      <c r="FK1024" s="307"/>
      <c r="FL1024" s="306"/>
      <c r="FM1024" s="307"/>
      <c r="FN1024" s="306"/>
      <c r="FO1024" s="307"/>
      <c r="FP1024" s="306"/>
    </row>
    <row r="1025" spans="29:172">
      <c r="AC1025" s="156"/>
      <c r="CW1025" s="364"/>
      <c r="CX1025" s="316"/>
      <c r="CY1025" s="316"/>
      <c r="DA1025" s="309">
        <v>1024</v>
      </c>
      <c r="DB1025" s="313">
        <f t="shared" si="669"/>
        <v>572.7055198885912</v>
      </c>
      <c r="DC1025" s="309">
        <f t="shared" si="670"/>
        <v>4</v>
      </c>
      <c r="DD1025" s="309">
        <f t="shared" si="671"/>
        <v>0</v>
      </c>
      <c r="DE1025" s="308">
        <f t="shared" si="672"/>
        <v>0</v>
      </c>
      <c r="DF1025" s="313">
        <f t="shared" si="686"/>
        <v>600</v>
      </c>
      <c r="DG1025" s="313">
        <f t="shared" si="690"/>
        <v>0</v>
      </c>
      <c r="DH1025" s="313">
        <f t="shared" si="676"/>
        <v>0</v>
      </c>
      <c r="DI1025" s="313">
        <f t="shared" si="677"/>
        <v>0</v>
      </c>
      <c r="DJ1025" s="313">
        <f t="shared" si="678"/>
        <v>0</v>
      </c>
      <c r="DK1025" s="313">
        <f t="shared" si="687"/>
        <v>0</v>
      </c>
      <c r="DL1025" s="313">
        <f t="shared" si="679"/>
        <v>0</v>
      </c>
      <c r="DM1025" s="314">
        <f t="shared" si="680"/>
        <v>0</v>
      </c>
      <c r="DN1025" s="312">
        <f t="shared" si="681"/>
        <v>0</v>
      </c>
      <c r="DO1025" s="312">
        <f t="shared" si="688"/>
        <v>0</v>
      </c>
      <c r="DP1025" s="315" t="e">
        <f t="shared" si="673"/>
        <v>#NUM!</v>
      </c>
      <c r="DQ1025" s="316">
        <f t="shared" si="682"/>
        <v>0</v>
      </c>
      <c r="DR1025" s="316">
        <f t="shared" si="683"/>
        <v>0</v>
      </c>
      <c r="DS1025" s="314">
        <f t="shared" si="684"/>
        <v>0</v>
      </c>
      <c r="DT1025" s="316">
        <f t="shared" si="685"/>
        <v>0</v>
      </c>
      <c r="DU1025" s="314">
        <f t="shared" si="674"/>
        <v>0</v>
      </c>
      <c r="DV1025" s="316">
        <f t="shared" si="689"/>
        <v>0</v>
      </c>
      <c r="DW1025" s="310">
        <f t="shared" si="675"/>
        <v>0</v>
      </c>
      <c r="FB1025" s="307"/>
      <c r="FC1025" s="307"/>
      <c r="FF1025" s="307"/>
      <c r="FH1025" s="306"/>
      <c r="FJ1025" s="307"/>
      <c r="FK1025" s="307"/>
      <c r="FL1025" s="306"/>
      <c r="FM1025" s="307"/>
      <c r="FN1025" s="306"/>
      <c r="FO1025" s="307"/>
      <c r="FP1025" s="306"/>
    </row>
    <row r="1026" spans="29:172">
      <c r="AC1026" s="156"/>
      <c r="CW1026" s="364"/>
      <c r="CX1026" s="316"/>
      <c r="CY1026" s="316"/>
      <c r="DA1026" s="309">
        <v>1025</v>
      </c>
      <c r="DB1026" s="313">
        <f t="shared" ref="DB1026:DB1089" si="691">start+DA1026*tanO</f>
        <v>573.06949012285736</v>
      </c>
      <c r="DC1026" s="309">
        <f t="shared" ref="DC1026:DC1089" si="692">IF(DA1026&lt;edge_width,1,IF(DA1026&lt;mid_width,2,IF(DA1026&lt;=tot_width,3,4)))</f>
        <v>4</v>
      </c>
      <c r="DD1026" s="309">
        <f t="shared" ref="DD1026:DD1089" si="693">CHOOSE(DC1026,edge_thick,second_thick,core_thick,0)</f>
        <v>0</v>
      </c>
      <c r="DE1026" s="308">
        <f t="shared" ref="DE1026:DE1089" si="694">CHOOSE(DC1026,edge_k,second_k,core_k,0)</f>
        <v>0</v>
      </c>
      <c r="DF1026" s="313">
        <f t="shared" si="686"/>
        <v>600</v>
      </c>
      <c r="DG1026" s="313">
        <f t="shared" si="690"/>
        <v>0</v>
      </c>
      <c r="DH1026" s="313">
        <f t="shared" si="676"/>
        <v>0</v>
      </c>
      <c r="DI1026" s="313">
        <f t="shared" si="677"/>
        <v>0</v>
      </c>
      <c r="DJ1026" s="313">
        <f t="shared" si="678"/>
        <v>0</v>
      </c>
      <c r="DK1026" s="313">
        <f t="shared" si="687"/>
        <v>0</v>
      </c>
      <c r="DL1026" s="313">
        <f t="shared" si="679"/>
        <v>0</v>
      </c>
      <c r="DM1026" s="314">
        <f t="shared" si="680"/>
        <v>0</v>
      </c>
      <c r="DN1026" s="312">
        <f t="shared" si="681"/>
        <v>0</v>
      </c>
      <c r="DO1026" s="312">
        <f t="shared" si="688"/>
        <v>0</v>
      </c>
      <c r="DP1026" s="315" t="e">
        <f t="shared" ref="DP1026:DP1089" si="695">DE1026*DO1026^CHOOSE(DC1026,mult1,mult2,mult3,0)</f>
        <v>#NUM!</v>
      </c>
      <c r="DQ1026" s="316">
        <f t="shared" si="682"/>
        <v>0</v>
      </c>
      <c r="DR1026" s="316">
        <f t="shared" si="683"/>
        <v>0</v>
      </c>
      <c r="DS1026" s="314">
        <f t="shared" si="684"/>
        <v>0</v>
      </c>
      <c r="DT1026" s="316">
        <f t="shared" si="685"/>
        <v>0</v>
      </c>
      <c r="DU1026" s="314">
        <f t="shared" ref="DU1026:DU1089" si="696">IF(DC1026&lt;&gt;4,CHOOSE(DC1026,DA1026/DT1026,(DA1026-edge_width+1)/DT1026,(DA1026-mid_width+1)/DT1026),0)</f>
        <v>0</v>
      </c>
      <c r="DV1026" s="316">
        <f t="shared" si="689"/>
        <v>0</v>
      </c>
      <c r="DW1026" s="310">
        <f t="shared" ref="DW1026:DW1089" si="697">IF(DC1026&lt;&gt;4,(tot_width-DA1026+1)/DV1026,0)</f>
        <v>0</v>
      </c>
      <c r="FB1026" s="307"/>
      <c r="FC1026" s="307"/>
      <c r="FF1026" s="307"/>
      <c r="FH1026" s="306"/>
      <c r="FJ1026" s="307"/>
      <c r="FK1026" s="307"/>
      <c r="FL1026" s="306"/>
      <c r="FM1026" s="307"/>
      <c r="FN1026" s="306"/>
      <c r="FO1026" s="307"/>
      <c r="FP1026" s="306"/>
    </row>
    <row r="1027" spans="29:172">
      <c r="AC1027" s="156"/>
      <c r="CW1027" s="364"/>
      <c r="CX1027" s="316"/>
      <c r="CY1027" s="316"/>
      <c r="DA1027" s="309">
        <v>1026</v>
      </c>
      <c r="DB1027" s="313">
        <f t="shared" si="691"/>
        <v>573.43346035712352</v>
      </c>
      <c r="DC1027" s="309">
        <f t="shared" si="692"/>
        <v>4</v>
      </c>
      <c r="DD1027" s="309">
        <f t="shared" si="693"/>
        <v>0</v>
      </c>
      <c r="DE1027" s="308">
        <f t="shared" si="694"/>
        <v>0</v>
      </c>
      <c r="DF1027" s="313">
        <f t="shared" si="686"/>
        <v>600</v>
      </c>
      <c r="DG1027" s="313">
        <f t="shared" si="690"/>
        <v>0</v>
      </c>
      <c r="DH1027" s="313">
        <f t="shared" ref="DH1027:DH1090" si="698">IF(DC1027=1,DG1027,0)</f>
        <v>0</v>
      </c>
      <c r="DI1027" s="313">
        <f t="shared" ref="DI1027:DI1090" si="699">IF(DC1027=2,DG1027,0)</f>
        <v>0</v>
      </c>
      <c r="DJ1027" s="313">
        <f t="shared" ref="DJ1027:DJ1090" si="700">IF(DC1027=3,DG1027,0)</f>
        <v>0</v>
      </c>
      <c r="DK1027" s="313">
        <f t="shared" si="687"/>
        <v>0</v>
      </c>
      <c r="DL1027" s="313">
        <f t="shared" ref="DL1027:DL1090" si="701">IF(DC1027&lt;4,DL1028+DG1027,0)</f>
        <v>0</v>
      </c>
      <c r="DM1027" s="314">
        <f t="shared" ref="DM1027:DM1090" si="702">IF($DC1027&lt;&gt;4,IF($DA1027=edge_width,$CY$2,IF($DA1027=mid_width,$CY$3,1-DO1027+DM1026)),0)</f>
        <v>0</v>
      </c>
      <c r="DN1027" s="312">
        <f t="shared" ref="DN1027:DN1090" si="703">IF(DC1027&lt;&gt;4,CHOOSE(DC1027,DM1027/DA1027,DM1027/(DA1027-edge_width+1),DM1027/(DA1027-mid_width+1)),0)</f>
        <v>0</v>
      </c>
      <c r="DO1027" s="312">
        <f t="shared" si="688"/>
        <v>0</v>
      </c>
      <c r="DP1027" s="315" t="e">
        <f t="shared" si="695"/>
        <v>#NUM!</v>
      </c>
      <c r="DQ1027" s="316">
        <f t="shared" ref="DQ1027:DQ1090" si="704">IF(AND(DC1027&lt;&gt;4,DG1027&lt;&gt;0),1000*DP1027/DG1027,0)</f>
        <v>0</v>
      </c>
      <c r="DR1027" s="316">
        <f t="shared" ref="DR1027:DR1090" si="705">IF(DC1027&lt;&gt;4,DR1026+DQ1027,0)</f>
        <v>0</v>
      </c>
      <c r="DS1027" s="314">
        <f t="shared" ref="DS1027:DS1090" si="706">IF(AND(DC1027&lt;&gt;4,DR1027&lt;&gt;0),DA1027/DR1027,0)</f>
        <v>0</v>
      </c>
      <c r="DT1027" s="316">
        <f t="shared" ref="DT1027:DT1090" si="707">IF(DC1027&lt;&gt;4,IF(DA1027=edge_width,$CY$4,IF(DA1027=mid_width,$CY$5,DQ1027+DT1026)),0)</f>
        <v>0</v>
      </c>
      <c r="DU1027" s="314">
        <f t="shared" si="696"/>
        <v>0</v>
      </c>
      <c r="DV1027" s="316">
        <f t="shared" si="689"/>
        <v>0</v>
      </c>
      <c r="DW1027" s="310">
        <f t="shared" si="697"/>
        <v>0</v>
      </c>
      <c r="FB1027" s="307"/>
      <c r="FC1027" s="307"/>
      <c r="FF1027" s="307"/>
      <c r="FH1027" s="306"/>
      <c r="FJ1027" s="307"/>
      <c r="FK1027" s="307"/>
      <c r="FL1027" s="306"/>
      <c r="FM1027" s="307"/>
      <c r="FN1027" s="306"/>
      <c r="FO1027" s="307"/>
      <c r="FP1027" s="306"/>
    </row>
    <row r="1028" spans="29:172">
      <c r="AC1028" s="156"/>
      <c r="CW1028" s="364"/>
      <c r="CX1028" s="316"/>
      <c r="CY1028" s="316"/>
      <c r="DA1028" s="309">
        <v>1027</v>
      </c>
      <c r="DB1028" s="313">
        <f t="shared" si="691"/>
        <v>573.7974305913898</v>
      </c>
      <c r="DC1028" s="309">
        <f t="shared" si="692"/>
        <v>4</v>
      </c>
      <c r="DD1028" s="309">
        <f t="shared" si="693"/>
        <v>0</v>
      </c>
      <c r="DE1028" s="308">
        <f t="shared" si="694"/>
        <v>0</v>
      </c>
      <c r="DF1028" s="313">
        <f t="shared" ref="DF1028:DF1091" si="708">IF(DC1028&lt;4,DF1027+1,DF1027)</f>
        <v>600</v>
      </c>
      <c r="DG1028" s="313">
        <f t="shared" si="690"/>
        <v>0</v>
      </c>
      <c r="DH1028" s="313">
        <f t="shared" si="698"/>
        <v>0</v>
      </c>
      <c r="DI1028" s="313">
        <f t="shared" si="699"/>
        <v>0</v>
      </c>
      <c r="DJ1028" s="313">
        <f t="shared" si="700"/>
        <v>0</v>
      </c>
      <c r="DK1028" s="313">
        <f t="shared" ref="DK1028:DK1091" si="709">IF(DC1028&lt;4,DK1027+DG1028,0)</f>
        <v>0</v>
      </c>
      <c r="DL1028" s="313">
        <f t="shared" si="701"/>
        <v>0</v>
      </c>
      <c r="DM1028" s="314">
        <f t="shared" si="702"/>
        <v>0</v>
      </c>
      <c r="DN1028" s="312">
        <f t="shared" si="703"/>
        <v>0</v>
      </c>
      <c r="DO1028" s="312">
        <f t="shared" ref="DO1028:DO1091" si="710">IF(AND(DC1028&lt;&gt;4,DD1028&lt;&gt;0),DG1028/DD1028,0)</f>
        <v>0</v>
      </c>
      <c r="DP1028" s="315" t="e">
        <f t="shared" si="695"/>
        <v>#NUM!</v>
      </c>
      <c r="DQ1028" s="316">
        <f t="shared" si="704"/>
        <v>0</v>
      </c>
      <c r="DR1028" s="316">
        <f t="shared" si="705"/>
        <v>0</v>
      </c>
      <c r="DS1028" s="314">
        <f t="shared" si="706"/>
        <v>0</v>
      </c>
      <c r="DT1028" s="316">
        <f t="shared" si="707"/>
        <v>0</v>
      </c>
      <c r="DU1028" s="314">
        <f t="shared" si="696"/>
        <v>0</v>
      </c>
      <c r="DV1028" s="316">
        <f t="shared" ref="DV1028:DV1091" si="711">DV1029+DQ1028</f>
        <v>0</v>
      </c>
      <c r="DW1028" s="310">
        <f t="shared" si="697"/>
        <v>0</v>
      </c>
      <c r="FB1028" s="307"/>
      <c r="FC1028" s="307"/>
      <c r="FF1028" s="307"/>
      <c r="FH1028" s="306"/>
      <c r="FJ1028" s="307"/>
      <c r="FK1028" s="307"/>
      <c r="FL1028" s="306"/>
      <c r="FM1028" s="307"/>
      <c r="FN1028" s="306"/>
      <c r="FO1028" s="307"/>
      <c r="FP1028" s="306"/>
    </row>
    <row r="1029" spans="29:172">
      <c r="AC1029" s="156"/>
      <c r="CW1029" s="364"/>
      <c r="CX1029" s="316"/>
      <c r="CY1029" s="316"/>
      <c r="DA1029" s="309">
        <v>1028</v>
      </c>
      <c r="DB1029" s="313">
        <f t="shared" si="691"/>
        <v>574.16140082565607</v>
      </c>
      <c r="DC1029" s="309">
        <f t="shared" si="692"/>
        <v>4</v>
      </c>
      <c r="DD1029" s="309">
        <f t="shared" si="693"/>
        <v>0</v>
      </c>
      <c r="DE1029" s="308">
        <f t="shared" si="694"/>
        <v>0</v>
      </c>
      <c r="DF1029" s="313">
        <f t="shared" si="708"/>
        <v>600</v>
      </c>
      <c r="DG1029" s="313">
        <f t="shared" si="690"/>
        <v>0</v>
      </c>
      <c r="DH1029" s="313">
        <f t="shared" si="698"/>
        <v>0</v>
      </c>
      <c r="DI1029" s="313">
        <f t="shared" si="699"/>
        <v>0</v>
      </c>
      <c r="DJ1029" s="313">
        <f t="shared" si="700"/>
        <v>0</v>
      </c>
      <c r="DK1029" s="313">
        <f t="shared" si="709"/>
        <v>0</v>
      </c>
      <c r="DL1029" s="313">
        <f t="shared" si="701"/>
        <v>0</v>
      </c>
      <c r="DM1029" s="314">
        <f t="shared" si="702"/>
        <v>0</v>
      </c>
      <c r="DN1029" s="312">
        <f t="shared" si="703"/>
        <v>0</v>
      </c>
      <c r="DO1029" s="312">
        <f t="shared" si="710"/>
        <v>0</v>
      </c>
      <c r="DP1029" s="315" t="e">
        <f t="shared" si="695"/>
        <v>#NUM!</v>
      </c>
      <c r="DQ1029" s="316">
        <f t="shared" si="704"/>
        <v>0</v>
      </c>
      <c r="DR1029" s="316">
        <f t="shared" si="705"/>
        <v>0</v>
      </c>
      <c r="DS1029" s="314">
        <f t="shared" si="706"/>
        <v>0</v>
      </c>
      <c r="DT1029" s="316">
        <f t="shared" si="707"/>
        <v>0</v>
      </c>
      <c r="DU1029" s="314">
        <f t="shared" si="696"/>
        <v>0</v>
      </c>
      <c r="DV1029" s="316">
        <f t="shared" si="711"/>
        <v>0</v>
      </c>
      <c r="DW1029" s="310">
        <f t="shared" si="697"/>
        <v>0</v>
      </c>
      <c r="FB1029" s="307"/>
      <c r="FC1029" s="307"/>
      <c r="FF1029" s="307"/>
      <c r="FH1029" s="306"/>
      <c r="FJ1029" s="307"/>
      <c r="FK1029" s="307"/>
      <c r="FL1029" s="306"/>
      <c r="FM1029" s="307"/>
      <c r="FN1029" s="306"/>
      <c r="FO1029" s="307"/>
      <c r="FP1029" s="306"/>
    </row>
    <row r="1030" spans="29:172">
      <c r="AC1030" s="156"/>
      <c r="CW1030" s="364"/>
      <c r="CX1030" s="316"/>
      <c r="CY1030" s="316"/>
      <c r="DA1030" s="309">
        <v>1029</v>
      </c>
      <c r="DB1030" s="313">
        <f t="shared" si="691"/>
        <v>574.52537105992224</v>
      </c>
      <c r="DC1030" s="309">
        <f t="shared" si="692"/>
        <v>4</v>
      </c>
      <c r="DD1030" s="309">
        <f t="shared" si="693"/>
        <v>0</v>
      </c>
      <c r="DE1030" s="308">
        <f t="shared" si="694"/>
        <v>0</v>
      </c>
      <c r="DF1030" s="313">
        <f t="shared" si="708"/>
        <v>600</v>
      </c>
      <c r="DG1030" s="313">
        <f t="shared" si="690"/>
        <v>0</v>
      </c>
      <c r="DH1030" s="313">
        <f t="shared" si="698"/>
        <v>0</v>
      </c>
      <c r="DI1030" s="313">
        <f t="shared" si="699"/>
        <v>0</v>
      </c>
      <c r="DJ1030" s="313">
        <f t="shared" si="700"/>
        <v>0</v>
      </c>
      <c r="DK1030" s="313">
        <f t="shared" si="709"/>
        <v>0</v>
      </c>
      <c r="DL1030" s="313">
        <f t="shared" si="701"/>
        <v>0</v>
      </c>
      <c r="DM1030" s="314">
        <f t="shared" si="702"/>
        <v>0</v>
      </c>
      <c r="DN1030" s="312">
        <f t="shared" si="703"/>
        <v>0</v>
      </c>
      <c r="DO1030" s="312">
        <f t="shared" si="710"/>
        <v>0</v>
      </c>
      <c r="DP1030" s="315" t="e">
        <f t="shared" si="695"/>
        <v>#NUM!</v>
      </c>
      <c r="DQ1030" s="316">
        <f t="shared" si="704"/>
        <v>0</v>
      </c>
      <c r="DR1030" s="316">
        <f t="shared" si="705"/>
        <v>0</v>
      </c>
      <c r="DS1030" s="314">
        <f t="shared" si="706"/>
        <v>0</v>
      </c>
      <c r="DT1030" s="316">
        <f t="shared" si="707"/>
        <v>0</v>
      </c>
      <c r="DU1030" s="314">
        <f t="shared" si="696"/>
        <v>0</v>
      </c>
      <c r="DV1030" s="316">
        <f t="shared" si="711"/>
        <v>0</v>
      </c>
      <c r="DW1030" s="310">
        <f t="shared" si="697"/>
        <v>0</v>
      </c>
      <c r="FB1030" s="307"/>
      <c r="FC1030" s="307"/>
      <c r="FF1030" s="307"/>
      <c r="FH1030" s="306"/>
      <c r="FJ1030" s="307"/>
      <c r="FK1030" s="307"/>
      <c r="FL1030" s="306"/>
      <c r="FM1030" s="307"/>
      <c r="FN1030" s="306"/>
      <c r="FO1030" s="307"/>
      <c r="FP1030" s="306"/>
    </row>
    <row r="1031" spans="29:172">
      <c r="AC1031" s="156"/>
      <c r="CW1031" s="364"/>
      <c r="CX1031" s="316"/>
      <c r="CY1031" s="316"/>
      <c r="DA1031" s="309">
        <v>1030</v>
      </c>
      <c r="DB1031" s="313">
        <f t="shared" si="691"/>
        <v>574.8893412941884</v>
      </c>
      <c r="DC1031" s="309">
        <f t="shared" si="692"/>
        <v>4</v>
      </c>
      <c r="DD1031" s="309">
        <f t="shared" si="693"/>
        <v>0</v>
      </c>
      <c r="DE1031" s="308">
        <f t="shared" si="694"/>
        <v>0</v>
      </c>
      <c r="DF1031" s="313">
        <f t="shared" si="708"/>
        <v>600</v>
      </c>
      <c r="DG1031" s="313">
        <f t="shared" si="690"/>
        <v>0</v>
      </c>
      <c r="DH1031" s="313">
        <f t="shared" si="698"/>
        <v>0</v>
      </c>
      <c r="DI1031" s="313">
        <f t="shared" si="699"/>
        <v>0</v>
      </c>
      <c r="DJ1031" s="313">
        <f t="shared" si="700"/>
        <v>0</v>
      </c>
      <c r="DK1031" s="313">
        <f t="shared" si="709"/>
        <v>0</v>
      </c>
      <c r="DL1031" s="313">
        <f t="shared" si="701"/>
        <v>0</v>
      </c>
      <c r="DM1031" s="314">
        <f t="shared" si="702"/>
        <v>0</v>
      </c>
      <c r="DN1031" s="312">
        <f t="shared" si="703"/>
        <v>0</v>
      </c>
      <c r="DO1031" s="312">
        <f t="shared" si="710"/>
        <v>0</v>
      </c>
      <c r="DP1031" s="315" t="e">
        <f t="shared" si="695"/>
        <v>#NUM!</v>
      </c>
      <c r="DQ1031" s="316">
        <f t="shared" si="704"/>
        <v>0</v>
      </c>
      <c r="DR1031" s="316">
        <f t="shared" si="705"/>
        <v>0</v>
      </c>
      <c r="DS1031" s="314">
        <f t="shared" si="706"/>
        <v>0</v>
      </c>
      <c r="DT1031" s="316">
        <f t="shared" si="707"/>
        <v>0</v>
      </c>
      <c r="DU1031" s="314">
        <f t="shared" si="696"/>
        <v>0</v>
      </c>
      <c r="DV1031" s="316">
        <f t="shared" si="711"/>
        <v>0</v>
      </c>
      <c r="DW1031" s="310">
        <f t="shared" si="697"/>
        <v>0</v>
      </c>
      <c r="FB1031" s="307"/>
      <c r="FC1031" s="307"/>
      <c r="FF1031" s="307"/>
      <c r="FH1031" s="306"/>
      <c r="FJ1031" s="307"/>
      <c r="FK1031" s="307"/>
      <c r="FL1031" s="306"/>
      <c r="FM1031" s="307"/>
      <c r="FN1031" s="306"/>
      <c r="FO1031" s="307"/>
      <c r="FP1031" s="306"/>
    </row>
    <row r="1032" spans="29:172">
      <c r="AC1032" s="156"/>
      <c r="CW1032" s="364"/>
      <c r="CX1032" s="316"/>
      <c r="CY1032" s="316"/>
      <c r="DA1032" s="309">
        <v>1031</v>
      </c>
      <c r="DB1032" s="313">
        <f t="shared" si="691"/>
        <v>575.25331152845456</v>
      </c>
      <c r="DC1032" s="309">
        <f t="shared" si="692"/>
        <v>4</v>
      </c>
      <c r="DD1032" s="309">
        <f t="shared" si="693"/>
        <v>0</v>
      </c>
      <c r="DE1032" s="308">
        <f t="shared" si="694"/>
        <v>0</v>
      </c>
      <c r="DF1032" s="313">
        <f t="shared" si="708"/>
        <v>600</v>
      </c>
      <c r="DG1032" s="313">
        <f t="shared" si="690"/>
        <v>0</v>
      </c>
      <c r="DH1032" s="313">
        <f t="shared" si="698"/>
        <v>0</v>
      </c>
      <c r="DI1032" s="313">
        <f t="shared" si="699"/>
        <v>0</v>
      </c>
      <c r="DJ1032" s="313">
        <f t="shared" si="700"/>
        <v>0</v>
      </c>
      <c r="DK1032" s="313">
        <f t="shared" si="709"/>
        <v>0</v>
      </c>
      <c r="DL1032" s="313">
        <f t="shared" si="701"/>
        <v>0</v>
      </c>
      <c r="DM1032" s="314">
        <f t="shared" si="702"/>
        <v>0</v>
      </c>
      <c r="DN1032" s="312">
        <f t="shared" si="703"/>
        <v>0</v>
      </c>
      <c r="DO1032" s="312">
        <f t="shared" si="710"/>
        <v>0</v>
      </c>
      <c r="DP1032" s="315" t="e">
        <f t="shared" si="695"/>
        <v>#NUM!</v>
      </c>
      <c r="DQ1032" s="316">
        <f t="shared" si="704"/>
        <v>0</v>
      </c>
      <c r="DR1032" s="316">
        <f t="shared" si="705"/>
        <v>0</v>
      </c>
      <c r="DS1032" s="314">
        <f t="shared" si="706"/>
        <v>0</v>
      </c>
      <c r="DT1032" s="316">
        <f t="shared" si="707"/>
        <v>0</v>
      </c>
      <c r="DU1032" s="314">
        <f t="shared" si="696"/>
        <v>0</v>
      </c>
      <c r="DV1032" s="316">
        <f t="shared" si="711"/>
        <v>0</v>
      </c>
      <c r="DW1032" s="310">
        <f t="shared" si="697"/>
        <v>0</v>
      </c>
      <c r="FB1032" s="307"/>
      <c r="FC1032" s="307"/>
      <c r="FF1032" s="307"/>
      <c r="FH1032" s="306"/>
      <c r="FJ1032" s="307"/>
      <c r="FK1032" s="307"/>
      <c r="FL1032" s="306"/>
      <c r="FM1032" s="307"/>
      <c r="FN1032" s="306"/>
      <c r="FO1032" s="307"/>
      <c r="FP1032" s="306"/>
    </row>
    <row r="1033" spans="29:172">
      <c r="AC1033" s="156"/>
      <c r="CW1033" s="364"/>
      <c r="CX1033" s="316"/>
      <c r="CY1033" s="316"/>
      <c r="DA1033" s="309">
        <v>1032</v>
      </c>
      <c r="DB1033" s="313">
        <f t="shared" si="691"/>
        <v>575.61728176272084</v>
      </c>
      <c r="DC1033" s="309">
        <f t="shared" si="692"/>
        <v>4</v>
      </c>
      <c r="DD1033" s="309">
        <f t="shared" si="693"/>
        <v>0</v>
      </c>
      <c r="DE1033" s="308">
        <f t="shared" si="694"/>
        <v>0</v>
      </c>
      <c r="DF1033" s="313">
        <f t="shared" si="708"/>
        <v>600</v>
      </c>
      <c r="DG1033" s="313">
        <f t="shared" si="690"/>
        <v>0</v>
      </c>
      <c r="DH1033" s="313">
        <f t="shared" si="698"/>
        <v>0</v>
      </c>
      <c r="DI1033" s="313">
        <f t="shared" si="699"/>
        <v>0</v>
      </c>
      <c r="DJ1033" s="313">
        <f t="shared" si="700"/>
        <v>0</v>
      </c>
      <c r="DK1033" s="313">
        <f t="shared" si="709"/>
        <v>0</v>
      </c>
      <c r="DL1033" s="313">
        <f t="shared" si="701"/>
        <v>0</v>
      </c>
      <c r="DM1033" s="314">
        <f t="shared" si="702"/>
        <v>0</v>
      </c>
      <c r="DN1033" s="312">
        <f t="shared" si="703"/>
        <v>0</v>
      </c>
      <c r="DO1033" s="312">
        <f t="shared" si="710"/>
        <v>0</v>
      </c>
      <c r="DP1033" s="315" t="e">
        <f t="shared" si="695"/>
        <v>#NUM!</v>
      </c>
      <c r="DQ1033" s="316">
        <f t="shared" si="704"/>
        <v>0</v>
      </c>
      <c r="DR1033" s="316">
        <f t="shared" si="705"/>
        <v>0</v>
      </c>
      <c r="DS1033" s="314">
        <f t="shared" si="706"/>
        <v>0</v>
      </c>
      <c r="DT1033" s="316">
        <f t="shared" si="707"/>
        <v>0</v>
      </c>
      <c r="DU1033" s="314">
        <f t="shared" si="696"/>
        <v>0</v>
      </c>
      <c r="DV1033" s="316">
        <f t="shared" si="711"/>
        <v>0</v>
      </c>
      <c r="DW1033" s="310">
        <f t="shared" si="697"/>
        <v>0</v>
      </c>
      <c r="FB1033" s="307"/>
      <c r="FC1033" s="307"/>
      <c r="FF1033" s="307"/>
      <c r="FH1033" s="306"/>
      <c r="FJ1033" s="307"/>
      <c r="FK1033" s="307"/>
      <c r="FL1033" s="306"/>
      <c r="FM1033" s="307"/>
      <c r="FN1033" s="306"/>
      <c r="FO1033" s="307"/>
      <c r="FP1033" s="306"/>
    </row>
    <row r="1034" spans="29:172">
      <c r="AC1034" s="156"/>
      <c r="CW1034" s="364"/>
      <c r="CX1034" s="316"/>
      <c r="CY1034" s="316"/>
      <c r="DA1034" s="309">
        <v>1033</v>
      </c>
      <c r="DB1034" s="313">
        <f t="shared" si="691"/>
        <v>575.981251996987</v>
      </c>
      <c r="DC1034" s="309">
        <f t="shared" si="692"/>
        <v>4</v>
      </c>
      <c r="DD1034" s="309">
        <f t="shared" si="693"/>
        <v>0</v>
      </c>
      <c r="DE1034" s="308">
        <f t="shared" si="694"/>
        <v>0</v>
      </c>
      <c r="DF1034" s="313">
        <f t="shared" si="708"/>
        <v>600</v>
      </c>
      <c r="DG1034" s="313">
        <f t="shared" si="690"/>
        <v>0</v>
      </c>
      <c r="DH1034" s="313">
        <f t="shared" si="698"/>
        <v>0</v>
      </c>
      <c r="DI1034" s="313">
        <f t="shared" si="699"/>
        <v>0</v>
      </c>
      <c r="DJ1034" s="313">
        <f t="shared" si="700"/>
        <v>0</v>
      </c>
      <c r="DK1034" s="313">
        <f t="shared" si="709"/>
        <v>0</v>
      </c>
      <c r="DL1034" s="313">
        <f t="shared" si="701"/>
        <v>0</v>
      </c>
      <c r="DM1034" s="314">
        <f t="shared" si="702"/>
        <v>0</v>
      </c>
      <c r="DN1034" s="312">
        <f t="shared" si="703"/>
        <v>0</v>
      </c>
      <c r="DO1034" s="312">
        <f t="shared" si="710"/>
        <v>0</v>
      </c>
      <c r="DP1034" s="315" t="e">
        <f t="shared" si="695"/>
        <v>#NUM!</v>
      </c>
      <c r="DQ1034" s="316">
        <f t="shared" si="704"/>
        <v>0</v>
      </c>
      <c r="DR1034" s="316">
        <f t="shared" si="705"/>
        <v>0</v>
      </c>
      <c r="DS1034" s="314">
        <f t="shared" si="706"/>
        <v>0</v>
      </c>
      <c r="DT1034" s="316">
        <f t="shared" si="707"/>
        <v>0</v>
      </c>
      <c r="DU1034" s="314">
        <f t="shared" si="696"/>
        <v>0</v>
      </c>
      <c r="DV1034" s="316">
        <f t="shared" si="711"/>
        <v>0</v>
      </c>
      <c r="DW1034" s="310">
        <f t="shared" si="697"/>
        <v>0</v>
      </c>
      <c r="FB1034" s="307"/>
      <c r="FC1034" s="307"/>
      <c r="FF1034" s="307"/>
      <c r="FH1034" s="306"/>
      <c r="FJ1034" s="307"/>
      <c r="FK1034" s="307"/>
      <c r="FL1034" s="306"/>
      <c r="FM1034" s="307"/>
      <c r="FN1034" s="306"/>
      <c r="FO1034" s="307"/>
      <c r="FP1034" s="306"/>
    </row>
    <row r="1035" spans="29:172">
      <c r="AC1035" s="156"/>
      <c r="CW1035" s="364"/>
      <c r="CX1035" s="316"/>
      <c r="CY1035" s="316"/>
      <c r="DA1035" s="309">
        <v>1034</v>
      </c>
      <c r="DB1035" s="313">
        <f t="shared" si="691"/>
        <v>576.34522223125327</v>
      </c>
      <c r="DC1035" s="309">
        <f t="shared" si="692"/>
        <v>4</v>
      </c>
      <c r="DD1035" s="309">
        <f t="shared" si="693"/>
        <v>0</v>
      </c>
      <c r="DE1035" s="308">
        <f t="shared" si="694"/>
        <v>0</v>
      </c>
      <c r="DF1035" s="313">
        <f t="shared" si="708"/>
        <v>600</v>
      </c>
      <c r="DG1035" s="313">
        <f t="shared" si="690"/>
        <v>0</v>
      </c>
      <c r="DH1035" s="313">
        <f t="shared" si="698"/>
        <v>0</v>
      </c>
      <c r="DI1035" s="313">
        <f t="shared" si="699"/>
        <v>0</v>
      </c>
      <c r="DJ1035" s="313">
        <f t="shared" si="700"/>
        <v>0</v>
      </c>
      <c r="DK1035" s="313">
        <f t="shared" si="709"/>
        <v>0</v>
      </c>
      <c r="DL1035" s="313">
        <f t="shared" si="701"/>
        <v>0</v>
      </c>
      <c r="DM1035" s="314">
        <f t="shared" si="702"/>
        <v>0</v>
      </c>
      <c r="DN1035" s="312">
        <f t="shared" si="703"/>
        <v>0</v>
      </c>
      <c r="DO1035" s="312">
        <f t="shared" si="710"/>
        <v>0</v>
      </c>
      <c r="DP1035" s="315" t="e">
        <f t="shared" si="695"/>
        <v>#NUM!</v>
      </c>
      <c r="DQ1035" s="316">
        <f t="shared" si="704"/>
        <v>0</v>
      </c>
      <c r="DR1035" s="316">
        <f t="shared" si="705"/>
        <v>0</v>
      </c>
      <c r="DS1035" s="314">
        <f t="shared" si="706"/>
        <v>0</v>
      </c>
      <c r="DT1035" s="316">
        <f t="shared" si="707"/>
        <v>0</v>
      </c>
      <c r="DU1035" s="314">
        <f t="shared" si="696"/>
        <v>0</v>
      </c>
      <c r="DV1035" s="316">
        <f t="shared" si="711"/>
        <v>0</v>
      </c>
      <c r="DW1035" s="310">
        <f t="shared" si="697"/>
        <v>0</v>
      </c>
      <c r="FB1035" s="307"/>
      <c r="FC1035" s="307"/>
      <c r="FF1035" s="307"/>
      <c r="FH1035" s="306"/>
      <c r="FJ1035" s="307"/>
      <c r="FK1035" s="307"/>
      <c r="FL1035" s="306"/>
      <c r="FM1035" s="307"/>
      <c r="FN1035" s="306"/>
      <c r="FO1035" s="307"/>
      <c r="FP1035" s="306"/>
    </row>
    <row r="1036" spans="29:172">
      <c r="AC1036" s="156"/>
      <c r="CW1036" s="364"/>
      <c r="CX1036" s="316"/>
      <c r="CY1036" s="316"/>
      <c r="DA1036" s="309">
        <v>1035</v>
      </c>
      <c r="DB1036" s="313">
        <f t="shared" si="691"/>
        <v>576.70919246551944</v>
      </c>
      <c r="DC1036" s="309">
        <f t="shared" si="692"/>
        <v>4</v>
      </c>
      <c r="DD1036" s="309">
        <f t="shared" si="693"/>
        <v>0</v>
      </c>
      <c r="DE1036" s="308">
        <f t="shared" si="694"/>
        <v>0</v>
      </c>
      <c r="DF1036" s="313">
        <f t="shared" si="708"/>
        <v>600</v>
      </c>
      <c r="DG1036" s="313">
        <f t="shared" si="690"/>
        <v>0</v>
      </c>
      <c r="DH1036" s="313">
        <f t="shared" si="698"/>
        <v>0</v>
      </c>
      <c r="DI1036" s="313">
        <f t="shared" si="699"/>
        <v>0</v>
      </c>
      <c r="DJ1036" s="313">
        <f t="shared" si="700"/>
        <v>0</v>
      </c>
      <c r="DK1036" s="313">
        <f t="shared" si="709"/>
        <v>0</v>
      </c>
      <c r="DL1036" s="313">
        <f t="shared" si="701"/>
        <v>0</v>
      </c>
      <c r="DM1036" s="314">
        <f t="shared" si="702"/>
        <v>0</v>
      </c>
      <c r="DN1036" s="312">
        <f t="shared" si="703"/>
        <v>0</v>
      </c>
      <c r="DO1036" s="312">
        <f t="shared" si="710"/>
        <v>0</v>
      </c>
      <c r="DP1036" s="315" t="e">
        <f t="shared" si="695"/>
        <v>#NUM!</v>
      </c>
      <c r="DQ1036" s="316">
        <f t="shared" si="704"/>
        <v>0</v>
      </c>
      <c r="DR1036" s="316">
        <f t="shared" si="705"/>
        <v>0</v>
      </c>
      <c r="DS1036" s="314">
        <f t="shared" si="706"/>
        <v>0</v>
      </c>
      <c r="DT1036" s="316">
        <f t="shared" si="707"/>
        <v>0</v>
      </c>
      <c r="DU1036" s="314">
        <f t="shared" si="696"/>
        <v>0</v>
      </c>
      <c r="DV1036" s="316">
        <f t="shared" si="711"/>
        <v>0</v>
      </c>
      <c r="DW1036" s="310">
        <f t="shared" si="697"/>
        <v>0</v>
      </c>
      <c r="FB1036" s="307"/>
      <c r="FC1036" s="307"/>
      <c r="FF1036" s="307"/>
      <c r="FH1036" s="306"/>
      <c r="FJ1036" s="307"/>
      <c r="FK1036" s="307"/>
      <c r="FL1036" s="306"/>
      <c r="FM1036" s="307"/>
      <c r="FN1036" s="306"/>
      <c r="FO1036" s="307"/>
      <c r="FP1036" s="306"/>
    </row>
    <row r="1037" spans="29:172">
      <c r="AC1037" s="156"/>
      <c r="CW1037" s="364"/>
      <c r="CX1037" s="316"/>
      <c r="CY1037" s="316"/>
      <c r="DA1037" s="309">
        <v>1036</v>
      </c>
      <c r="DB1037" s="313">
        <f t="shared" si="691"/>
        <v>577.0731626997856</v>
      </c>
      <c r="DC1037" s="309">
        <f t="shared" si="692"/>
        <v>4</v>
      </c>
      <c r="DD1037" s="309">
        <f t="shared" si="693"/>
        <v>0</v>
      </c>
      <c r="DE1037" s="308">
        <f t="shared" si="694"/>
        <v>0</v>
      </c>
      <c r="DF1037" s="313">
        <f t="shared" si="708"/>
        <v>600</v>
      </c>
      <c r="DG1037" s="313">
        <f t="shared" si="690"/>
        <v>0</v>
      </c>
      <c r="DH1037" s="313">
        <f t="shared" si="698"/>
        <v>0</v>
      </c>
      <c r="DI1037" s="313">
        <f t="shared" si="699"/>
        <v>0</v>
      </c>
      <c r="DJ1037" s="313">
        <f t="shared" si="700"/>
        <v>0</v>
      </c>
      <c r="DK1037" s="313">
        <f t="shared" si="709"/>
        <v>0</v>
      </c>
      <c r="DL1037" s="313">
        <f t="shared" si="701"/>
        <v>0</v>
      </c>
      <c r="DM1037" s="314">
        <f t="shared" si="702"/>
        <v>0</v>
      </c>
      <c r="DN1037" s="312">
        <f t="shared" si="703"/>
        <v>0</v>
      </c>
      <c r="DO1037" s="312">
        <f t="shared" si="710"/>
        <v>0</v>
      </c>
      <c r="DP1037" s="315" t="e">
        <f t="shared" si="695"/>
        <v>#NUM!</v>
      </c>
      <c r="DQ1037" s="316">
        <f t="shared" si="704"/>
        <v>0</v>
      </c>
      <c r="DR1037" s="316">
        <f t="shared" si="705"/>
        <v>0</v>
      </c>
      <c r="DS1037" s="314">
        <f t="shared" si="706"/>
        <v>0</v>
      </c>
      <c r="DT1037" s="316">
        <f t="shared" si="707"/>
        <v>0</v>
      </c>
      <c r="DU1037" s="314">
        <f t="shared" si="696"/>
        <v>0</v>
      </c>
      <c r="DV1037" s="316">
        <f t="shared" si="711"/>
        <v>0</v>
      </c>
      <c r="DW1037" s="310">
        <f t="shared" si="697"/>
        <v>0</v>
      </c>
      <c r="FB1037" s="307"/>
      <c r="FC1037" s="307"/>
      <c r="FF1037" s="307"/>
      <c r="FH1037" s="306"/>
      <c r="FJ1037" s="307"/>
      <c r="FK1037" s="307"/>
      <c r="FL1037" s="306"/>
      <c r="FM1037" s="307"/>
      <c r="FN1037" s="306"/>
      <c r="FO1037" s="307"/>
      <c r="FP1037" s="306"/>
    </row>
    <row r="1038" spans="29:172">
      <c r="AC1038" s="156"/>
      <c r="CW1038" s="364"/>
      <c r="CX1038" s="316"/>
      <c r="CY1038" s="316"/>
      <c r="DA1038" s="309">
        <v>1037</v>
      </c>
      <c r="DB1038" s="313">
        <f t="shared" si="691"/>
        <v>577.43713293405176</v>
      </c>
      <c r="DC1038" s="309">
        <f t="shared" si="692"/>
        <v>4</v>
      </c>
      <c r="DD1038" s="309">
        <f t="shared" si="693"/>
        <v>0</v>
      </c>
      <c r="DE1038" s="308">
        <f t="shared" si="694"/>
        <v>0</v>
      </c>
      <c r="DF1038" s="313">
        <f t="shared" si="708"/>
        <v>600</v>
      </c>
      <c r="DG1038" s="313">
        <f t="shared" si="690"/>
        <v>0</v>
      </c>
      <c r="DH1038" s="313">
        <f t="shared" si="698"/>
        <v>0</v>
      </c>
      <c r="DI1038" s="313">
        <f t="shared" si="699"/>
        <v>0</v>
      </c>
      <c r="DJ1038" s="313">
        <f t="shared" si="700"/>
        <v>0</v>
      </c>
      <c r="DK1038" s="313">
        <f t="shared" si="709"/>
        <v>0</v>
      </c>
      <c r="DL1038" s="313">
        <f t="shared" si="701"/>
        <v>0</v>
      </c>
      <c r="DM1038" s="314">
        <f t="shared" si="702"/>
        <v>0</v>
      </c>
      <c r="DN1038" s="312">
        <f t="shared" si="703"/>
        <v>0</v>
      </c>
      <c r="DO1038" s="312">
        <f t="shared" si="710"/>
        <v>0</v>
      </c>
      <c r="DP1038" s="315" t="e">
        <f t="shared" si="695"/>
        <v>#NUM!</v>
      </c>
      <c r="DQ1038" s="316">
        <f t="shared" si="704"/>
        <v>0</v>
      </c>
      <c r="DR1038" s="316">
        <f t="shared" si="705"/>
        <v>0</v>
      </c>
      <c r="DS1038" s="314">
        <f t="shared" si="706"/>
        <v>0</v>
      </c>
      <c r="DT1038" s="316">
        <f t="shared" si="707"/>
        <v>0</v>
      </c>
      <c r="DU1038" s="314">
        <f t="shared" si="696"/>
        <v>0</v>
      </c>
      <c r="DV1038" s="316">
        <f t="shared" si="711"/>
        <v>0</v>
      </c>
      <c r="DW1038" s="310">
        <f t="shared" si="697"/>
        <v>0</v>
      </c>
      <c r="FB1038" s="307"/>
      <c r="FC1038" s="307"/>
      <c r="FF1038" s="307"/>
      <c r="FH1038" s="306"/>
      <c r="FJ1038" s="307"/>
      <c r="FK1038" s="307"/>
      <c r="FL1038" s="306"/>
      <c r="FM1038" s="307"/>
      <c r="FN1038" s="306"/>
      <c r="FO1038" s="307"/>
      <c r="FP1038" s="306"/>
    </row>
    <row r="1039" spans="29:172">
      <c r="AC1039" s="156"/>
      <c r="CW1039" s="364"/>
      <c r="CX1039" s="316"/>
      <c r="CY1039" s="316"/>
      <c r="DA1039" s="309">
        <v>1038</v>
      </c>
      <c r="DB1039" s="313">
        <f t="shared" si="691"/>
        <v>577.80110316831804</v>
      </c>
      <c r="DC1039" s="309">
        <f t="shared" si="692"/>
        <v>4</v>
      </c>
      <c r="DD1039" s="309">
        <f t="shared" si="693"/>
        <v>0</v>
      </c>
      <c r="DE1039" s="308">
        <f t="shared" si="694"/>
        <v>0</v>
      </c>
      <c r="DF1039" s="313">
        <f t="shared" si="708"/>
        <v>600</v>
      </c>
      <c r="DG1039" s="313">
        <f t="shared" si="690"/>
        <v>0</v>
      </c>
      <c r="DH1039" s="313">
        <f t="shared" si="698"/>
        <v>0</v>
      </c>
      <c r="DI1039" s="313">
        <f t="shared" si="699"/>
        <v>0</v>
      </c>
      <c r="DJ1039" s="313">
        <f t="shared" si="700"/>
        <v>0</v>
      </c>
      <c r="DK1039" s="313">
        <f t="shared" si="709"/>
        <v>0</v>
      </c>
      <c r="DL1039" s="313">
        <f t="shared" si="701"/>
        <v>0</v>
      </c>
      <c r="DM1039" s="314">
        <f t="shared" si="702"/>
        <v>0</v>
      </c>
      <c r="DN1039" s="312">
        <f t="shared" si="703"/>
        <v>0</v>
      </c>
      <c r="DO1039" s="312">
        <f t="shared" si="710"/>
        <v>0</v>
      </c>
      <c r="DP1039" s="315" t="e">
        <f t="shared" si="695"/>
        <v>#NUM!</v>
      </c>
      <c r="DQ1039" s="316">
        <f t="shared" si="704"/>
        <v>0</v>
      </c>
      <c r="DR1039" s="316">
        <f t="shared" si="705"/>
        <v>0</v>
      </c>
      <c r="DS1039" s="314">
        <f t="shared" si="706"/>
        <v>0</v>
      </c>
      <c r="DT1039" s="316">
        <f t="shared" si="707"/>
        <v>0</v>
      </c>
      <c r="DU1039" s="314">
        <f t="shared" si="696"/>
        <v>0</v>
      </c>
      <c r="DV1039" s="316">
        <f t="shared" si="711"/>
        <v>0</v>
      </c>
      <c r="DW1039" s="310">
        <f t="shared" si="697"/>
        <v>0</v>
      </c>
      <c r="FB1039" s="307"/>
      <c r="FC1039" s="307"/>
      <c r="FF1039" s="307"/>
      <c r="FH1039" s="306"/>
      <c r="FJ1039" s="307"/>
      <c r="FK1039" s="307"/>
      <c r="FL1039" s="306"/>
      <c r="FM1039" s="307"/>
      <c r="FN1039" s="306"/>
      <c r="FO1039" s="307"/>
      <c r="FP1039" s="306"/>
    </row>
    <row r="1040" spans="29:172">
      <c r="AC1040" s="156"/>
      <c r="CW1040" s="364"/>
      <c r="CX1040" s="316"/>
      <c r="CY1040" s="316"/>
      <c r="DA1040" s="309">
        <v>1039</v>
      </c>
      <c r="DB1040" s="313">
        <f t="shared" si="691"/>
        <v>578.16507340258431</v>
      </c>
      <c r="DC1040" s="309">
        <f t="shared" si="692"/>
        <v>4</v>
      </c>
      <c r="DD1040" s="309">
        <f t="shared" si="693"/>
        <v>0</v>
      </c>
      <c r="DE1040" s="308">
        <f t="shared" si="694"/>
        <v>0</v>
      </c>
      <c r="DF1040" s="313">
        <f t="shared" si="708"/>
        <v>600</v>
      </c>
      <c r="DG1040" s="313">
        <f t="shared" si="690"/>
        <v>0</v>
      </c>
      <c r="DH1040" s="313">
        <f t="shared" si="698"/>
        <v>0</v>
      </c>
      <c r="DI1040" s="313">
        <f t="shared" si="699"/>
        <v>0</v>
      </c>
      <c r="DJ1040" s="313">
        <f t="shared" si="700"/>
        <v>0</v>
      </c>
      <c r="DK1040" s="313">
        <f t="shared" si="709"/>
        <v>0</v>
      </c>
      <c r="DL1040" s="313">
        <f t="shared" si="701"/>
        <v>0</v>
      </c>
      <c r="DM1040" s="314">
        <f t="shared" si="702"/>
        <v>0</v>
      </c>
      <c r="DN1040" s="312">
        <f t="shared" si="703"/>
        <v>0</v>
      </c>
      <c r="DO1040" s="312">
        <f t="shared" si="710"/>
        <v>0</v>
      </c>
      <c r="DP1040" s="315" t="e">
        <f t="shared" si="695"/>
        <v>#NUM!</v>
      </c>
      <c r="DQ1040" s="316">
        <f t="shared" si="704"/>
        <v>0</v>
      </c>
      <c r="DR1040" s="316">
        <f t="shared" si="705"/>
        <v>0</v>
      </c>
      <c r="DS1040" s="314">
        <f t="shared" si="706"/>
        <v>0</v>
      </c>
      <c r="DT1040" s="316">
        <f t="shared" si="707"/>
        <v>0</v>
      </c>
      <c r="DU1040" s="314">
        <f t="shared" si="696"/>
        <v>0</v>
      </c>
      <c r="DV1040" s="316">
        <f t="shared" si="711"/>
        <v>0</v>
      </c>
      <c r="DW1040" s="310">
        <f t="shared" si="697"/>
        <v>0</v>
      </c>
      <c r="FB1040" s="307"/>
      <c r="FC1040" s="307"/>
      <c r="FF1040" s="307"/>
      <c r="FH1040" s="306"/>
      <c r="FJ1040" s="307"/>
      <c r="FK1040" s="307"/>
      <c r="FL1040" s="306"/>
      <c r="FM1040" s="307"/>
      <c r="FN1040" s="306"/>
      <c r="FO1040" s="307"/>
      <c r="FP1040" s="306"/>
    </row>
    <row r="1041" spans="29:172">
      <c r="AC1041" s="156"/>
      <c r="CW1041" s="364"/>
      <c r="CX1041" s="316"/>
      <c r="CY1041" s="316"/>
      <c r="DA1041" s="309">
        <v>1040</v>
      </c>
      <c r="DB1041" s="313">
        <f t="shared" si="691"/>
        <v>578.52904363685047</v>
      </c>
      <c r="DC1041" s="309">
        <f t="shared" si="692"/>
        <v>4</v>
      </c>
      <c r="DD1041" s="309">
        <f t="shared" si="693"/>
        <v>0</v>
      </c>
      <c r="DE1041" s="308">
        <f t="shared" si="694"/>
        <v>0</v>
      </c>
      <c r="DF1041" s="313">
        <f t="shared" si="708"/>
        <v>600</v>
      </c>
      <c r="DG1041" s="313">
        <f t="shared" si="690"/>
        <v>0</v>
      </c>
      <c r="DH1041" s="313">
        <f t="shared" si="698"/>
        <v>0</v>
      </c>
      <c r="DI1041" s="313">
        <f t="shared" si="699"/>
        <v>0</v>
      </c>
      <c r="DJ1041" s="313">
        <f t="shared" si="700"/>
        <v>0</v>
      </c>
      <c r="DK1041" s="313">
        <f t="shared" si="709"/>
        <v>0</v>
      </c>
      <c r="DL1041" s="313">
        <f t="shared" si="701"/>
        <v>0</v>
      </c>
      <c r="DM1041" s="314">
        <f t="shared" si="702"/>
        <v>0</v>
      </c>
      <c r="DN1041" s="312">
        <f t="shared" si="703"/>
        <v>0</v>
      </c>
      <c r="DO1041" s="312">
        <f t="shared" si="710"/>
        <v>0</v>
      </c>
      <c r="DP1041" s="315" t="e">
        <f t="shared" si="695"/>
        <v>#NUM!</v>
      </c>
      <c r="DQ1041" s="316">
        <f t="shared" si="704"/>
        <v>0</v>
      </c>
      <c r="DR1041" s="316">
        <f t="shared" si="705"/>
        <v>0</v>
      </c>
      <c r="DS1041" s="314">
        <f t="shared" si="706"/>
        <v>0</v>
      </c>
      <c r="DT1041" s="316">
        <f t="shared" si="707"/>
        <v>0</v>
      </c>
      <c r="DU1041" s="314">
        <f t="shared" si="696"/>
        <v>0</v>
      </c>
      <c r="DV1041" s="316">
        <f t="shared" si="711"/>
        <v>0</v>
      </c>
      <c r="DW1041" s="310">
        <f t="shared" si="697"/>
        <v>0</v>
      </c>
      <c r="FB1041" s="307"/>
      <c r="FC1041" s="307"/>
      <c r="FF1041" s="307"/>
      <c r="FH1041" s="306"/>
      <c r="FJ1041" s="307"/>
      <c r="FK1041" s="307"/>
      <c r="FL1041" s="306"/>
      <c r="FM1041" s="307"/>
      <c r="FN1041" s="306"/>
      <c r="FO1041" s="307"/>
      <c r="FP1041" s="306"/>
    </row>
    <row r="1042" spans="29:172">
      <c r="AC1042" s="156"/>
      <c r="CW1042" s="364"/>
      <c r="CX1042" s="316"/>
      <c r="CY1042" s="316"/>
      <c r="DA1042" s="309">
        <v>1041</v>
      </c>
      <c r="DB1042" s="313">
        <f t="shared" si="691"/>
        <v>578.89301387111664</v>
      </c>
      <c r="DC1042" s="309">
        <f t="shared" si="692"/>
        <v>4</v>
      </c>
      <c r="DD1042" s="309">
        <f t="shared" si="693"/>
        <v>0</v>
      </c>
      <c r="DE1042" s="308">
        <f t="shared" si="694"/>
        <v>0</v>
      </c>
      <c r="DF1042" s="313">
        <f t="shared" si="708"/>
        <v>600</v>
      </c>
      <c r="DG1042" s="313">
        <f t="shared" si="690"/>
        <v>0</v>
      </c>
      <c r="DH1042" s="313">
        <f t="shared" si="698"/>
        <v>0</v>
      </c>
      <c r="DI1042" s="313">
        <f t="shared" si="699"/>
        <v>0</v>
      </c>
      <c r="DJ1042" s="313">
        <f t="shared" si="700"/>
        <v>0</v>
      </c>
      <c r="DK1042" s="313">
        <f t="shared" si="709"/>
        <v>0</v>
      </c>
      <c r="DL1042" s="313">
        <f t="shared" si="701"/>
        <v>0</v>
      </c>
      <c r="DM1042" s="314">
        <f t="shared" si="702"/>
        <v>0</v>
      </c>
      <c r="DN1042" s="312">
        <f t="shared" si="703"/>
        <v>0</v>
      </c>
      <c r="DO1042" s="312">
        <f t="shared" si="710"/>
        <v>0</v>
      </c>
      <c r="DP1042" s="315" t="e">
        <f t="shared" si="695"/>
        <v>#NUM!</v>
      </c>
      <c r="DQ1042" s="316">
        <f t="shared" si="704"/>
        <v>0</v>
      </c>
      <c r="DR1042" s="316">
        <f t="shared" si="705"/>
        <v>0</v>
      </c>
      <c r="DS1042" s="314">
        <f t="shared" si="706"/>
        <v>0</v>
      </c>
      <c r="DT1042" s="316">
        <f t="shared" si="707"/>
        <v>0</v>
      </c>
      <c r="DU1042" s="314">
        <f t="shared" si="696"/>
        <v>0</v>
      </c>
      <c r="DV1042" s="316">
        <f t="shared" si="711"/>
        <v>0</v>
      </c>
      <c r="DW1042" s="310">
        <f t="shared" si="697"/>
        <v>0</v>
      </c>
      <c r="FB1042" s="307"/>
      <c r="FC1042" s="307"/>
      <c r="FF1042" s="307"/>
      <c r="FH1042" s="306"/>
      <c r="FJ1042" s="307"/>
      <c r="FK1042" s="307"/>
      <c r="FL1042" s="306"/>
      <c r="FM1042" s="307"/>
      <c r="FN1042" s="306"/>
      <c r="FO1042" s="307"/>
      <c r="FP1042" s="306"/>
    </row>
    <row r="1043" spans="29:172">
      <c r="AC1043" s="156"/>
      <c r="CW1043" s="364"/>
      <c r="CX1043" s="316"/>
      <c r="CY1043" s="316"/>
      <c r="DA1043" s="309">
        <v>1042</v>
      </c>
      <c r="DB1043" s="313">
        <f t="shared" si="691"/>
        <v>579.2569841053828</v>
      </c>
      <c r="DC1043" s="309">
        <f t="shared" si="692"/>
        <v>4</v>
      </c>
      <c r="DD1043" s="309">
        <f t="shared" si="693"/>
        <v>0</v>
      </c>
      <c r="DE1043" s="308">
        <f t="shared" si="694"/>
        <v>0</v>
      </c>
      <c r="DF1043" s="313">
        <f t="shared" si="708"/>
        <v>600</v>
      </c>
      <c r="DG1043" s="313">
        <f t="shared" si="690"/>
        <v>0</v>
      </c>
      <c r="DH1043" s="313">
        <f t="shared" si="698"/>
        <v>0</v>
      </c>
      <c r="DI1043" s="313">
        <f t="shared" si="699"/>
        <v>0</v>
      </c>
      <c r="DJ1043" s="313">
        <f t="shared" si="700"/>
        <v>0</v>
      </c>
      <c r="DK1043" s="313">
        <f t="shared" si="709"/>
        <v>0</v>
      </c>
      <c r="DL1043" s="313">
        <f t="shared" si="701"/>
        <v>0</v>
      </c>
      <c r="DM1043" s="314">
        <f t="shared" si="702"/>
        <v>0</v>
      </c>
      <c r="DN1043" s="312">
        <f t="shared" si="703"/>
        <v>0</v>
      </c>
      <c r="DO1043" s="312">
        <f t="shared" si="710"/>
        <v>0</v>
      </c>
      <c r="DP1043" s="315" t="e">
        <f t="shared" si="695"/>
        <v>#NUM!</v>
      </c>
      <c r="DQ1043" s="316">
        <f t="shared" si="704"/>
        <v>0</v>
      </c>
      <c r="DR1043" s="316">
        <f t="shared" si="705"/>
        <v>0</v>
      </c>
      <c r="DS1043" s="314">
        <f t="shared" si="706"/>
        <v>0</v>
      </c>
      <c r="DT1043" s="316">
        <f t="shared" si="707"/>
        <v>0</v>
      </c>
      <c r="DU1043" s="314">
        <f t="shared" si="696"/>
        <v>0</v>
      </c>
      <c r="DV1043" s="316">
        <f t="shared" si="711"/>
        <v>0</v>
      </c>
      <c r="DW1043" s="310">
        <f t="shared" si="697"/>
        <v>0</v>
      </c>
      <c r="FB1043" s="307"/>
      <c r="FC1043" s="307"/>
      <c r="FF1043" s="307"/>
      <c r="FH1043" s="306"/>
      <c r="FJ1043" s="307"/>
      <c r="FK1043" s="307"/>
      <c r="FL1043" s="306"/>
      <c r="FM1043" s="307"/>
      <c r="FN1043" s="306"/>
      <c r="FO1043" s="307"/>
      <c r="FP1043" s="306"/>
    </row>
    <row r="1044" spans="29:172">
      <c r="AC1044" s="156"/>
      <c r="CW1044" s="364"/>
      <c r="CX1044" s="316"/>
      <c r="CY1044" s="316"/>
      <c r="DA1044" s="309">
        <v>1043</v>
      </c>
      <c r="DB1044" s="313">
        <f t="shared" si="691"/>
        <v>579.62095433964896</v>
      </c>
      <c r="DC1044" s="309">
        <f t="shared" si="692"/>
        <v>4</v>
      </c>
      <c r="DD1044" s="309">
        <f t="shared" si="693"/>
        <v>0</v>
      </c>
      <c r="DE1044" s="308">
        <f t="shared" si="694"/>
        <v>0</v>
      </c>
      <c r="DF1044" s="313">
        <f t="shared" si="708"/>
        <v>600</v>
      </c>
      <c r="DG1044" s="313">
        <f t="shared" si="690"/>
        <v>0</v>
      </c>
      <c r="DH1044" s="313">
        <f t="shared" si="698"/>
        <v>0</v>
      </c>
      <c r="DI1044" s="313">
        <f t="shared" si="699"/>
        <v>0</v>
      </c>
      <c r="DJ1044" s="313">
        <f t="shared" si="700"/>
        <v>0</v>
      </c>
      <c r="DK1044" s="313">
        <f t="shared" si="709"/>
        <v>0</v>
      </c>
      <c r="DL1044" s="313">
        <f t="shared" si="701"/>
        <v>0</v>
      </c>
      <c r="DM1044" s="314">
        <f t="shared" si="702"/>
        <v>0</v>
      </c>
      <c r="DN1044" s="312">
        <f t="shared" si="703"/>
        <v>0</v>
      </c>
      <c r="DO1044" s="312">
        <f t="shared" si="710"/>
        <v>0</v>
      </c>
      <c r="DP1044" s="315" t="e">
        <f t="shared" si="695"/>
        <v>#NUM!</v>
      </c>
      <c r="DQ1044" s="316">
        <f t="shared" si="704"/>
        <v>0</v>
      </c>
      <c r="DR1044" s="316">
        <f t="shared" si="705"/>
        <v>0</v>
      </c>
      <c r="DS1044" s="314">
        <f t="shared" si="706"/>
        <v>0</v>
      </c>
      <c r="DT1044" s="316">
        <f t="shared" si="707"/>
        <v>0</v>
      </c>
      <c r="DU1044" s="314">
        <f t="shared" si="696"/>
        <v>0</v>
      </c>
      <c r="DV1044" s="316">
        <f t="shared" si="711"/>
        <v>0</v>
      </c>
      <c r="DW1044" s="310">
        <f t="shared" si="697"/>
        <v>0</v>
      </c>
      <c r="FB1044" s="307"/>
      <c r="FC1044" s="307"/>
      <c r="FF1044" s="307"/>
      <c r="FH1044" s="306"/>
      <c r="FJ1044" s="307"/>
      <c r="FK1044" s="307"/>
      <c r="FL1044" s="306"/>
      <c r="FM1044" s="307"/>
      <c r="FN1044" s="306"/>
      <c r="FO1044" s="307"/>
      <c r="FP1044" s="306"/>
    </row>
    <row r="1045" spans="29:172">
      <c r="AC1045" s="156"/>
      <c r="CW1045" s="364"/>
      <c r="CX1045" s="316"/>
      <c r="CY1045" s="316"/>
      <c r="DA1045" s="309">
        <v>1044</v>
      </c>
      <c r="DB1045" s="313">
        <f t="shared" si="691"/>
        <v>579.98492457391524</v>
      </c>
      <c r="DC1045" s="309">
        <f t="shared" si="692"/>
        <v>4</v>
      </c>
      <c r="DD1045" s="309">
        <f t="shared" si="693"/>
        <v>0</v>
      </c>
      <c r="DE1045" s="308">
        <f t="shared" si="694"/>
        <v>0</v>
      </c>
      <c r="DF1045" s="313">
        <f t="shared" si="708"/>
        <v>600</v>
      </c>
      <c r="DG1045" s="313">
        <f t="shared" si="690"/>
        <v>0</v>
      </c>
      <c r="DH1045" s="313">
        <f t="shared" si="698"/>
        <v>0</v>
      </c>
      <c r="DI1045" s="313">
        <f t="shared" si="699"/>
        <v>0</v>
      </c>
      <c r="DJ1045" s="313">
        <f t="shared" si="700"/>
        <v>0</v>
      </c>
      <c r="DK1045" s="313">
        <f t="shared" si="709"/>
        <v>0</v>
      </c>
      <c r="DL1045" s="313">
        <f t="shared" si="701"/>
        <v>0</v>
      </c>
      <c r="DM1045" s="314">
        <f t="shared" si="702"/>
        <v>0</v>
      </c>
      <c r="DN1045" s="312">
        <f t="shared" si="703"/>
        <v>0</v>
      </c>
      <c r="DO1045" s="312">
        <f t="shared" si="710"/>
        <v>0</v>
      </c>
      <c r="DP1045" s="315" t="e">
        <f t="shared" si="695"/>
        <v>#NUM!</v>
      </c>
      <c r="DQ1045" s="316">
        <f t="shared" si="704"/>
        <v>0</v>
      </c>
      <c r="DR1045" s="316">
        <f t="shared" si="705"/>
        <v>0</v>
      </c>
      <c r="DS1045" s="314">
        <f t="shared" si="706"/>
        <v>0</v>
      </c>
      <c r="DT1045" s="316">
        <f t="shared" si="707"/>
        <v>0</v>
      </c>
      <c r="DU1045" s="314">
        <f t="shared" si="696"/>
        <v>0</v>
      </c>
      <c r="DV1045" s="316">
        <f t="shared" si="711"/>
        <v>0</v>
      </c>
      <c r="DW1045" s="310">
        <f t="shared" si="697"/>
        <v>0</v>
      </c>
      <c r="FB1045" s="307"/>
      <c r="FC1045" s="307"/>
      <c r="FF1045" s="307"/>
      <c r="FH1045" s="306"/>
      <c r="FJ1045" s="307"/>
      <c r="FK1045" s="307"/>
      <c r="FL1045" s="306"/>
      <c r="FM1045" s="307"/>
      <c r="FN1045" s="306"/>
      <c r="FO1045" s="307"/>
      <c r="FP1045" s="306"/>
    </row>
    <row r="1046" spans="29:172">
      <c r="AC1046" s="156"/>
      <c r="CW1046" s="364"/>
      <c r="CX1046" s="316"/>
      <c r="CY1046" s="316"/>
      <c r="DA1046" s="309">
        <v>1045</v>
      </c>
      <c r="DB1046" s="313">
        <f t="shared" si="691"/>
        <v>580.34889480818151</v>
      </c>
      <c r="DC1046" s="309">
        <f t="shared" si="692"/>
        <v>4</v>
      </c>
      <c r="DD1046" s="309">
        <f t="shared" si="693"/>
        <v>0</v>
      </c>
      <c r="DE1046" s="308">
        <f t="shared" si="694"/>
        <v>0</v>
      </c>
      <c r="DF1046" s="313">
        <f t="shared" si="708"/>
        <v>600</v>
      </c>
      <c r="DG1046" s="313">
        <f t="shared" si="690"/>
        <v>0</v>
      </c>
      <c r="DH1046" s="313">
        <f t="shared" si="698"/>
        <v>0</v>
      </c>
      <c r="DI1046" s="313">
        <f t="shared" si="699"/>
        <v>0</v>
      </c>
      <c r="DJ1046" s="313">
        <f t="shared" si="700"/>
        <v>0</v>
      </c>
      <c r="DK1046" s="313">
        <f t="shared" si="709"/>
        <v>0</v>
      </c>
      <c r="DL1046" s="313">
        <f t="shared" si="701"/>
        <v>0</v>
      </c>
      <c r="DM1046" s="314">
        <f t="shared" si="702"/>
        <v>0</v>
      </c>
      <c r="DN1046" s="312">
        <f t="shared" si="703"/>
        <v>0</v>
      </c>
      <c r="DO1046" s="312">
        <f t="shared" si="710"/>
        <v>0</v>
      </c>
      <c r="DP1046" s="315" t="e">
        <f t="shared" si="695"/>
        <v>#NUM!</v>
      </c>
      <c r="DQ1046" s="316">
        <f t="shared" si="704"/>
        <v>0</v>
      </c>
      <c r="DR1046" s="316">
        <f t="shared" si="705"/>
        <v>0</v>
      </c>
      <c r="DS1046" s="314">
        <f t="shared" si="706"/>
        <v>0</v>
      </c>
      <c r="DT1046" s="316">
        <f t="shared" si="707"/>
        <v>0</v>
      </c>
      <c r="DU1046" s="314">
        <f t="shared" si="696"/>
        <v>0</v>
      </c>
      <c r="DV1046" s="316">
        <f t="shared" si="711"/>
        <v>0</v>
      </c>
      <c r="DW1046" s="310">
        <f t="shared" si="697"/>
        <v>0</v>
      </c>
      <c r="FB1046" s="307"/>
      <c r="FC1046" s="307"/>
      <c r="FF1046" s="307"/>
      <c r="FH1046" s="306"/>
      <c r="FJ1046" s="307"/>
      <c r="FK1046" s="307"/>
      <c r="FL1046" s="306"/>
      <c r="FM1046" s="307"/>
      <c r="FN1046" s="306"/>
      <c r="FO1046" s="307"/>
      <c r="FP1046" s="306"/>
    </row>
    <row r="1047" spans="29:172">
      <c r="AC1047" s="156"/>
      <c r="CW1047" s="364"/>
      <c r="CX1047" s="316"/>
      <c r="CY1047" s="316"/>
      <c r="DA1047" s="309">
        <v>1046</v>
      </c>
      <c r="DB1047" s="313">
        <f t="shared" si="691"/>
        <v>580.71286504244767</v>
      </c>
      <c r="DC1047" s="309">
        <f t="shared" si="692"/>
        <v>4</v>
      </c>
      <c r="DD1047" s="309">
        <f t="shared" si="693"/>
        <v>0</v>
      </c>
      <c r="DE1047" s="308">
        <f t="shared" si="694"/>
        <v>0</v>
      </c>
      <c r="DF1047" s="313">
        <f t="shared" si="708"/>
        <v>600</v>
      </c>
      <c r="DG1047" s="313">
        <f t="shared" si="690"/>
        <v>0</v>
      </c>
      <c r="DH1047" s="313">
        <f t="shared" si="698"/>
        <v>0</v>
      </c>
      <c r="DI1047" s="313">
        <f t="shared" si="699"/>
        <v>0</v>
      </c>
      <c r="DJ1047" s="313">
        <f t="shared" si="700"/>
        <v>0</v>
      </c>
      <c r="DK1047" s="313">
        <f t="shared" si="709"/>
        <v>0</v>
      </c>
      <c r="DL1047" s="313">
        <f t="shared" si="701"/>
        <v>0</v>
      </c>
      <c r="DM1047" s="314">
        <f t="shared" si="702"/>
        <v>0</v>
      </c>
      <c r="DN1047" s="312">
        <f t="shared" si="703"/>
        <v>0</v>
      </c>
      <c r="DO1047" s="312">
        <f t="shared" si="710"/>
        <v>0</v>
      </c>
      <c r="DP1047" s="315" t="e">
        <f t="shared" si="695"/>
        <v>#NUM!</v>
      </c>
      <c r="DQ1047" s="316">
        <f t="shared" si="704"/>
        <v>0</v>
      </c>
      <c r="DR1047" s="316">
        <f t="shared" si="705"/>
        <v>0</v>
      </c>
      <c r="DS1047" s="314">
        <f t="shared" si="706"/>
        <v>0</v>
      </c>
      <c r="DT1047" s="316">
        <f t="shared" si="707"/>
        <v>0</v>
      </c>
      <c r="DU1047" s="314">
        <f t="shared" si="696"/>
        <v>0</v>
      </c>
      <c r="DV1047" s="316">
        <f t="shared" si="711"/>
        <v>0</v>
      </c>
      <c r="DW1047" s="310">
        <f t="shared" si="697"/>
        <v>0</v>
      </c>
      <c r="FB1047" s="307"/>
      <c r="FC1047" s="307"/>
      <c r="FF1047" s="307"/>
      <c r="FH1047" s="306"/>
      <c r="FJ1047" s="307"/>
      <c r="FK1047" s="307"/>
      <c r="FL1047" s="306"/>
      <c r="FM1047" s="307"/>
      <c r="FN1047" s="306"/>
      <c r="FO1047" s="307"/>
      <c r="FP1047" s="306"/>
    </row>
    <row r="1048" spans="29:172">
      <c r="AC1048" s="156"/>
      <c r="CW1048" s="364"/>
      <c r="CX1048" s="316"/>
      <c r="CY1048" s="316"/>
      <c r="DA1048" s="309">
        <v>1047</v>
      </c>
      <c r="DB1048" s="313">
        <f t="shared" si="691"/>
        <v>581.07683527671384</v>
      </c>
      <c r="DC1048" s="309">
        <f t="shared" si="692"/>
        <v>4</v>
      </c>
      <c r="DD1048" s="309">
        <f t="shared" si="693"/>
        <v>0</v>
      </c>
      <c r="DE1048" s="308">
        <f t="shared" si="694"/>
        <v>0</v>
      </c>
      <c r="DF1048" s="313">
        <f t="shared" si="708"/>
        <v>600</v>
      </c>
      <c r="DG1048" s="313">
        <f t="shared" si="690"/>
        <v>0</v>
      </c>
      <c r="DH1048" s="313">
        <f t="shared" si="698"/>
        <v>0</v>
      </c>
      <c r="DI1048" s="313">
        <f t="shared" si="699"/>
        <v>0</v>
      </c>
      <c r="DJ1048" s="313">
        <f t="shared" si="700"/>
        <v>0</v>
      </c>
      <c r="DK1048" s="313">
        <f t="shared" si="709"/>
        <v>0</v>
      </c>
      <c r="DL1048" s="313">
        <f t="shared" si="701"/>
        <v>0</v>
      </c>
      <c r="DM1048" s="314">
        <f t="shared" si="702"/>
        <v>0</v>
      </c>
      <c r="DN1048" s="312">
        <f t="shared" si="703"/>
        <v>0</v>
      </c>
      <c r="DO1048" s="312">
        <f t="shared" si="710"/>
        <v>0</v>
      </c>
      <c r="DP1048" s="315" t="e">
        <f t="shared" si="695"/>
        <v>#NUM!</v>
      </c>
      <c r="DQ1048" s="316">
        <f t="shared" si="704"/>
        <v>0</v>
      </c>
      <c r="DR1048" s="316">
        <f t="shared" si="705"/>
        <v>0</v>
      </c>
      <c r="DS1048" s="314">
        <f t="shared" si="706"/>
        <v>0</v>
      </c>
      <c r="DT1048" s="316">
        <f t="shared" si="707"/>
        <v>0</v>
      </c>
      <c r="DU1048" s="314">
        <f t="shared" si="696"/>
        <v>0</v>
      </c>
      <c r="DV1048" s="316">
        <f t="shared" si="711"/>
        <v>0</v>
      </c>
      <c r="DW1048" s="310">
        <f t="shared" si="697"/>
        <v>0</v>
      </c>
      <c r="FB1048" s="307"/>
      <c r="FC1048" s="307"/>
      <c r="FF1048" s="307"/>
      <c r="FH1048" s="306"/>
      <c r="FJ1048" s="307"/>
      <c r="FK1048" s="307"/>
      <c r="FL1048" s="306"/>
      <c r="FM1048" s="307"/>
      <c r="FN1048" s="306"/>
      <c r="FO1048" s="307"/>
      <c r="FP1048" s="306"/>
    </row>
    <row r="1049" spans="29:172">
      <c r="AC1049" s="156"/>
      <c r="CW1049" s="364"/>
      <c r="CX1049" s="316"/>
      <c r="CY1049" s="316"/>
      <c r="DA1049" s="309">
        <v>1048</v>
      </c>
      <c r="DB1049" s="313">
        <f t="shared" si="691"/>
        <v>581.44080551098</v>
      </c>
      <c r="DC1049" s="309">
        <f t="shared" si="692"/>
        <v>4</v>
      </c>
      <c r="DD1049" s="309">
        <f t="shared" si="693"/>
        <v>0</v>
      </c>
      <c r="DE1049" s="308">
        <f t="shared" si="694"/>
        <v>0</v>
      </c>
      <c r="DF1049" s="313">
        <f t="shared" si="708"/>
        <v>600</v>
      </c>
      <c r="DG1049" s="313">
        <f t="shared" si="690"/>
        <v>0</v>
      </c>
      <c r="DH1049" s="313">
        <f t="shared" si="698"/>
        <v>0</v>
      </c>
      <c r="DI1049" s="313">
        <f t="shared" si="699"/>
        <v>0</v>
      </c>
      <c r="DJ1049" s="313">
        <f t="shared" si="700"/>
        <v>0</v>
      </c>
      <c r="DK1049" s="313">
        <f t="shared" si="709"/>
        <v>0</v>
      </c>
      <c r="DL1049" s="313">
        <f t="shared" si="701"/>
        <v>0</v>
      </c>
      <c r="DM1049" s="314">
        <f t="shared" si="702"/>
        <v>0</v>
      </c>
      <c r="DN1049" s="312">
        <f t="shared" si="703"/>
        <v>0</v>
      </c>
      <c r="DO1049" s="312">
        <f t="shared" si="710"/>
        <v>0</v>
      </c>
      <c r="DP1049" s="315" t="e">
        <f t="shared" si="695"/>
        <v>#NUM!</v>
      </c>
      <c r="DQ1049" s="316">
        <f t="shared" si="704"/>
        <v>0</v>
      </c>
      <c r="DR1049" s="316">
        <f t="shared" si="705"/>
        <v>0</v>
      </c>
      <c r="DS1049" s="314">
        <f t="shared" si="706"/>
        <v>0</v>
      </c>
      <c r="DT1049" s="316">
        <f t="shared" si="707"/>
        <v>0</v>
      </c>
      <c r="DU1049" s="314">
        <f t="shared" si="696"/>
        <v>0</v>
      </c>
      <c r="DV1049" s="316">
        <f t="shared" si="711"/>
        <v>0</v>
      </c>
      <c r="DW1049" s="310">
        <f t="shared" si="697"/>
        <v>0</v>
      </c>
      <c r="FB1049" s="307"/>
      <c r="FC1049" s="307"/>
      <c r="FF1049" s="307"/>
      <c r="FH1049" s="306"/>
      <c r="FJ1049" s="307"/>
      <c r="FK1049" s="307"/>
      <c r="FL1049" s="306"/>
      <c r="FM1049" s="307"/>
      <c r="FN1049" s="306"/>
      <c r="FO1049" s="307"/>
      <c r="FP1049" s="306"/>
    </row>
    <row r="1050" spans="29:172">
      <c r="AC1050" s="156"/>
      <c r="CW1050" s="364"/>
      <c r="CX1050" s="316"/>
      <c r="CY1050" s="316"/>
      <c r="DA1050" s="309">
        <v>1049</v>
      </c>
      <c r="DB1050" s="313">
        <f t="shared" si="691"/>
        <v>581.80477574524627</v>
      </c>
      <c r="DC1050" s="309">
        <f t="shared" si="692"/>
        <v>4</v>
      </c>
      <c r="DD1050" s="309">
        <f t="shared" si="693"/>
        <v>0</v>
      </c>
      <c r="DE1050" s="308">
        <f t="shared" si="694"/>
        <v>0</v>
      </c>
      <c r="DF1050" s="313">
        <f t="shared" si="708"/>
        <v>600</v>
      </c>
      <c r="DG1050" s="313">
        <f t="shared" si="690"/>
        <v>0</v>
      </c>
      <c r="DH1050" s="313">
        <f t="shared" si="698"/>
        <v>0</v>
      </c>
      <c r="DI1050" s="313">
        <f t="shared" si="699"/>
        <v>0</v>
      </c>
      <c r="DJ1050" s="313">
        <f t="shared" si="700"/>
        <v>0</v>
      </c>
      <c r="DK1050" s="313">
        <f t="shared" si="709"/>
        <v>0</v>
      </c>
      <c r="DL1050" s="313">
        <f t="shared" si="701"/>
        <v>0</v>
      </c>
      <c r="DM1050" s="314">
        <f t="shared" si="702"/>
        <v>0</v>
      </c>
      <c r="DN1050" s="312">
        <f t="shared" si="703"/>
        <v>0</v>
      </c>
      <c r="DO1050" s="312">
        <f t="shared" si="710"/>
        <v>0</v>
      </c>
      <c r="DP1050" s="315" t="e">
        <f t="shared" si="695"/>
        <v>#NUM!</v>
      </c>
      <c r="DQ1050" s="316">
        <f t="shared" si="704"/>
        <v>0</v>
      </c>
      <c r="DR1050" s="316">
        <f t="shared" si="705"/>
        <v>0</v>
      </c>
      <c r="DS1050" s="314">
        <f t="shared" si="706"/>
        <v>0</v>
      </c>
      <c r="DT1050" s="316">
        <f t="shared" si="707"/>
        <v>0</v>
      </c>
      <c r="DU1050" s="314">
        <f t="shared" si="696"/>
        <v>0</v>
      </c>
      <c r="DV1050" s="316">
        <f t="shared" si="711"/>
        <v>0</v>
      </c>
      <c r="DW1050" s="310">
        <f t="shared" si="697"/>
        <v>0</v>
      </c>
      <c r="FB1050" s="307"/>
      <c r="FC1050" s="307"/>
      <c r="FF1050" s="307"/>
      <c r="FH1050" s="306"/>
      <c r="FJ1050" s="307"/>
      <c r="FK1050" s="307"/>
      <c r="FL1050" s="306"/>
      <c r="FM1050" s="307"/>
      <c r="FN1050" s="306"/>
      <c r="FO1050" s="307"/>
      <c r="FP1050" s="306"/>
    </row>
    <row r="1051" spans="29:172">
      <c r="AC1051" s="156"/>
      <c r="CW1051" s="364"/>
      <c r="CX1051" s="316"/>
      <c r="CY1051" s="316"/>
      <c r="DA1051" s="309">
        <v>1050</v>
      </c>
      <c r="DB1051" s="313">
        <f t="shared" si="691"/>
        <v>582.16874597951244</v>
      </c>
      <c r="DC1051" s="309">
        <f t="shared" si="692"/>
        <v>4</v>
      </c>
      <c r="DD1051" s="309">
        <f t="shared" si="693"/>
        <v>0</v>
      </c>
      <c r="DE1051" s="308">
        <f t="shared" si="694"/>
        <v>0</v>
      </c>
      <c r="DF1051" s="313">
        <f t="shared" si="708"/>
        <v>600</v>
      </c>
      <c r="DG1051" s="313">
        <f t="shared" si="690"/>
        <v>0</v>
      </c>
      <c r="DH1051" s="313">
        <f t="shared" si="698"/>
        <v>0</v>
      </c>
      <c r="DI1051" s="313">
        <f t="shared" si="699"/>
        <v>0</v>
      </c>
      <c r="DJ1051" s="313">
        <f t="shared" si="700"/>
        <v>0</v>
      </c>
      <c r="DK1051" s="313">
        <f t="shared" si="709"/>
        <v>0</v>
      </c>
      <c r="DL1051" s="313">
        <f t="shared" si="701"/>
        <v>0</v>
      </c>
      <c r="DM1051" s="314">
        <f t="shared" si="702"/>
        <v>0</v>
      </c>
      <c r="DN1051" s="312">
        <f t="shared" si="703"/>
        <v>0</v>
      </c>
      <c r="DO1051" s="312">
        <f t="shared" si="710"/>
        <v>0</v>
      </c>
      <c r="DP1051" s="315" t="e">
        <f t="shared" si="695"/>
        <v>#NUM!</v>
      </c>
      <c r="DQ1051" s="316">
        <f t="shared" si="704"/>
        <v>0</v>
      </c>
      <c r="DR1051" s="316">
        <f t="shared" si="705"/>
        <v>0</v>
      </c>
      <c r="DS1051" s="314">
        <f t="shared" si="706"/>
        <v>0</v>
      </c>
      <c r="DT1051" s="316">
        <f t="shared" si="707"/>
        <v>0</v>
      </c>
      <c r="DU1051" s="314">
        <f t="shared" si="696"/>
        <v>0</v>
      </c>
      <c r="DV1051" s="316">
        <f t="shared" si="711"/>
        <v>0</v>
      </c>
      <c r="DW1051" s="310">
        <f t="shared" si="697"/>
        <v>0</v>
      </c>
      <c r="FB1051" s="307"/>
      <c r="FC1051" s="307"/>
      <c r="FF1051" s="307"/>
      <c r="FH1051" s="306"/>
      <c r="FJ1051" s="307"/>
      <c r="FK1051" s="307"/>
      <c r="FL1051" s="306"/>
      <c r="FM1051" s="307"/>
      <c r="FN1051" s="306"/>
      <c r="FO1051" s="307"/>
      <c r="FP1051" s="306"/>
    </row>
    <row r="1052" spans="29:172">
      <c r="AC1052" s="156"/>
      <c r="CW1052" s="364"/>
      <c r="CX1052" s="316"/>
      <c r="CY1052" s="316"/>
      <c r="DA1052" s="309">
        <v>1051</v>
      </c>
      <c r="DB1052" s="313">
        <f t="shared" si="691"/>
        <v>582.53271621377871</v>
      </c>
      <c r="DC1052" s="309">
        <f t="shared" si="692"/>
        <v>4</v>
      </c>
      <c r="DD1052" s="309">
        <f t="shared" si="693"/>
        <v>0</v>
      </c>
      <c r="DE1052" s="308">
        <f t="shared" si="694"/>
        <v>0</v>
      </c>
      <c r="DF1052" s="313">
        <f t="shared" si="708"/>
        <v>600</v>
      </c>
      <c r="DG1052" s="313">
        <f t="shared" si="690"/>
        <v>0</v>
      </c>
      <c r="DH1052" s="313">
        <f t="shared" si="698"/>
        <v>0</v>
      </c>
      <c r="DI1052" s="313">
        <f t="shared" si="699"/>
        <v>0</v>
      </c>
      <c r="DJ1052" s="313">
        <f t="shared" si="700"/>
        <v>0</v>
      </c>
      <c r="DK1052" s="313">
        <f t="shared" si="709"/>
        <v>0</v>
      </c>
      <c r="DL1052" s="313">
        <f t="shared" si="701"/>
        <v>0</v>
      </c>
      <c r="DM1052" s="314">
        <f t="shared" si="702"/>
        <v>0</v>
      </c>
      <c r="DN1052" s="312">
        <f t="shared" si="703"/>
        <v>0</v>
      </c>
      <c r="DO1052" s="312">
        <f t="shared" si="710"/>
        <v>0</v>
      </c>
      <c r="DP1052" s="315" t="e">
        <f t="shared" si="695"/>
        <v>#NUM!</v>
      </c>
      <c r="DQ1052" s="316">
        <f t="shared" si="704"/>
        <v>0</v>
      </c>
      <c r="DR1052" s="316">
        <f t="shared" si="705"/>
        <v>0</v>
      </c>
      <c r="DS1052" s="314">
        <f t="shared" si="706"/>
        <v>0</v>
      </c>
      <c r="DT1052" s="316">
        <f t="shared" si="707"/>
        <v>0</v>
      </c>
      <c r="DU1052" s="314">
        <f t="shared" si="696"/>
        <v>0</v>
      </c>
      <c r="DV1052" s="316">
        <f t="shared" si="711"/>
        <v>0</v>
      </c>
      <c r="DW1052" s="310">
        <f t="shared" si="697"/>
        <v>0</v>
      </c>
      <c r="FB1052" s="307"/>
      <c r="FC1052" s="307"/>
      <c r="FF1052" s="307"/>
      <c r="FH1052" s="306"/>
      <c r="FJ1052" s="307"/>
      <c r="FK1052" s="307"/>
      <c r="FL1052" s="306"/>
      <c r="FM1052" s="307"/>
      <c r="FN1052" s="306"/>
      <c r="FO1052" s="307"/>
      <c r="FP1052" s="306"/>
    </row>
    <row r="1053" spans="29:172">
      <c r="AC1053" s="156"/>
      <c r="CW1053" s="364"/>
      <c r="CX1053" s="316"/>
      <c r="CY1053" s="316"/>
      <c r="DA1053" s="309">
        <v>1052</v>
      </c>
      <c r="DB1053" s="313">
        <f t="shared" si="691"/>
        <v>582.89668644804487</v>
      </c>
      <c r="DC1053" s="309">
        <f t="shared" si="692"/>
        <v>4</v>
      </c>
      <c r="DD1053" s="309">
        <f t="shared" si="693"/>
        <v>0</v>
      </c>
      <c r="DE1053" s="308">
        <f t="shared" si="694"/>
        <v>0</v>
      </c>
      <c r="DF1053" s="313">
        <f t="shared" si="708"/>
        <v>600</v>
      </c>
      <c r="DG1053" s="313">
        <f t="shared" si="690"/>
        <v>0</v>
      </c>
      <c r="DH1053" s="313">
        <f t="shared" si="698"/>
        <v>0</v>
      </c>
      <c r="DI1053" s="313">
        <f t="shared" si="699"/>
        <v>0</v>
      </c>
      <c r="DJ1053" s="313">
        <f t="shared" si="700"/>
        <v>0</v>
      </c>
      <c r="DK1053" s="313">
        <f t="shared" si="709"/>
        <v>0</v>
      </c>
      <c r="DL1053" s="313">
        <f t="shared" si="701"/>
        <v>0</v>
      </c>
      <c r="DM1053" s="314">
        <f t="shared" si="702"/>
        <v>0</v>
      </c>
      <c r="DN1053" s="312">
        <f t="shared" si="703"/>
        <v>0</v>
      </c>
      <c r="DO1053" s="312">
        <f t="shared" si="710"/>
        <v>0</v>
      </c>
      <c r="DP1053" s="315" t="e">
        <f t="shared" si="695"/>
        <v>#NUM!</v>
      </c>
      <c r="DQ1053" s="316">
        <f t="shared" si="704"/>
        <v>0</v>
      </c>
      <c r="DR1053" s="316">
        <f t="shared" si="705"/>
        <v>0</v>
      </c>
      <c r="DS1053" s="314">
        <f t="shared" si="706"/>
        <v>0</v>
      </c>
      <c r="DT1053" s="316">
        <f t="shared" si="707"/>
        <v>0</v>
      </c>
      <c r="DU1053" s="314">
        <f t="shared" si="696"/>
        <v>0</v>
      </c>
      <c r="DV1053" s="316">
        <f t="shared" si="711"/>
        <v>0</v>
      </c>
      <c r="DW1053" s="310">
        <f t="shared" si="697"/>
        <v>0</v>
      </c>
      <c r="FB1053" s="307"/>
      <c r="FC1053" s="307"/>
      <c r="FF1053" s="307"/>
      <c r="FH1053" s="306"/>
      <c r="FJ1053" s="307"/>
      <c r="FK1053" s="307"/>
      <c r="FL1053" s="306"/>
      <c r="FM1053" s="307"/>
      <c r="FN1053" s="306"/>
      <c r="FO1053" s="307"/>
      <c r="FP1053" s="306"/>
    </row>
    <row r="1054" spans="29:172">
      <c r="AC1054" s="156"/>
      <c r="CW1054" s="364"/>
      <c r="CX1054" s="316"/>
      <c r="CY1054" s="316"/>
      <c r="DA1054" s="309">
        <v>1053</v>
      </c>
      <c r="DB1054" s="313">
        <f t="shared" si="691"/>
        <v>583.26065668231104</v>
      </c>
      <c r="DC1054" s="309">
        <f t="shared" si="692"/>
        <v>4</v>
      </c>
      <c r="DD1054" s="309">
        <f t="shared" si="693"/>
        <v>0</v>
      </c>
      <c r="DE1054" s="308">
        <f t="shared" si="694"/>
        <v>0</v>
      </c>
      <c r="DF1054" s="313">
        <f t="shared" si="708"/>
        <v>600</v>
      </c>
      <c r="DG1054" s="313">
        <f t="shared" si="690"/>
        <v>0</v>
      </c>
      <c r="DH1054" s="313">
        <f t="shared" si="698"/>
        <v>0</v>
      </c>
      <c r="DI1054" s="313">
        <f t="shared" si="699"/>
        <v>0</v>
      </c>
      <c r="DJ1054" s="313">
        <f t="shared" si="700"/>
        <v>0</v>
      </c>
      <c r="DK1054" s="313">
        <f t="shared" si="709"/>
        <v>0</v>
      </c>
      <c r="DL1054" s="313">
        <f t="shared" si="701"/>
        <v>0</v>
      </c>
      <c r="DM1054" s="314">
        <f t="shared" si="702"/>
        <v>0</v>
      </c>
      <c r="DN1054" s="312">
        <f t="shared" si="703"/>
        <v>0</v>
      </c>
      <c r="DO1054" s="312">
        <f t="shared" si="710"/>
        <v>0</v>
      </c>
      <c r="DP1054" s="315" t="e">
        <f t="shared" si="695"/>
        <v>#NUM!</v>
      </c>
      <c r="DQ1054" s="316">
        <f t="shared" si="704"/>
        <v>0</v>
      </c>
      <c r="DR1054" s="316">
        <f t="shared" si="705"/>
        <v>0</v>
      </c>
      <c r="DS1054" s="314">
        <f t="shared" si="706"/>
        <v>0</v>
      </c>
      <c r="DT1054" s="316">
        <f t="shared" si="707"/>
        <v>0</v>
      </c>
      <c r="DU1054" s="314">
        <f t="shared" si="696"/>
        <v>0</v>
      </c>
      <c r="DV1054" s="316">
        <f t="shared" si="711"/>
        <v>0</v>
      </c>
      <c r="DW1054" s="310">
        <f t="shared" si="697"/>
        <v>0</v>
      </c>
      <c r="FB1054" s="307"/>
      <c r="FC1054" s="307"/>
      <c r="FF1054" s="307"/>
      <c r="FH1054" s="306"/>
      <c r="FJ1054" s="307"/>
      <c r="FK1054" s="307"/>
      <c r="FL1054" s="306"/>
      <c r="FM1054" s="307"/>
      <c r="FN1054" s="306"/>
      <c r="FO1054" s="307"/>
      <c r="FP1054" s="306"/>
    </row>
    <row r="1055" spans="29:172">
      <c r="AC1055" s="156"/>
      <c r="CW1055" s="364"/>
      <c r="CX1055" s="316"/>
      <c r="CY1055" s="316"/>
      <c r="DA1055" s="309">
        <v>1054</v>
      </c>
      <c r="DB1055" s="313">
        <f t="shared" si="691"/>
        <v>583.6246269165772</v>
      </c>
      <c r="DC1055" s="309">
        <f t="shared" si="692"/>
        <v>4</v>
      </c>
      <c r="DD1055" s="309">
        <f t="shared" si="693"/>
        <v>0</v>
      </c>
      <c r="DE1055" s="308">
        <f t="shared" si="694"/>
        <v>0</v>
      </c>
      <c r="DF1055" s="313">
        <f t="shared" si="708"/>
        <v>600</v>
      </c>
      <c r="DG1055" s="313">
        <f t="shared" si="690"/>
        <v>0</v>
      </c>
      <c r="DH1055" s="313">
        <f t="shared" si="698"/>
        <v>0</v>
      </c>
      <c r="DI1055" s="313">
        <f t="shared" si="699"/>
        <v>0</v>
      </c>
      <c r="DJ1055" s="313">
        <f t="shared" si="700"/>
        <v>0</v>
      </c>
      <c r="DK1055" s="313">
        <f t="shared" si="709"/>
        <v>0</v>
      </c>
      <c r="DL1055" s="313">
        <f t="shared" si="701"/>
        <v>0</v>
      </c>
      <c r="DM1055" s="314">
        <f t="shared" si="702"/>
        <v>0</v>
      </c>
      <c r="DN1055" s="312">
        <f t="shared" si="703"/>
        <v>0</v>
      </c>
      <c r="DO1055" s="312">
        <f t="shared" si="710"/>
        <v>0</v>
      </c>
      <c r="DP1055" s="315" t="e">
        <f t="shared" si="695"/>
        <v>#NUM!</v>
      </c>
      <c r="DQ1055" s="316">
        <f t="shared" si="704"/>
        <v>0</v>
      </c>
      <c r="DR1055" s="316">
        <f t="shared" si="705"/>
        <v>0</v>
      </c>
      <c r="DS1055" s="314">
        <f t="shared" si="706"/>
        <v>0</v>
      </c>
      <c r="DT1055" s="316">
        <f t="shared" si="707"/>
        <v>0</v>
      </c>
      <c r="DU1055" s="314">
        <f t="shared" si="696"/>
        <v>0</v>
      </c>
      <c r="DV1055" s="316">
        <f t="shared" si="711"/>
        <v>0</v>
      </c>
      <c r="DW1055" s="310">
        <f t="shared" si="697"/>
        <v>0</v>
      </c>
      <c r="FB1055" s="307"/>
      <c r="FC1055" s="307"/>
      <c r="FF1055" s="307"/>
      <c r="FH1055" s="306"/>
      <c r="FJ1055" s="307"/>
      <c r="FK1055" s="307"/>
      <c r="FL1055" s="306"/>
      <c r="FM1055" s="307"/>
      <c r="FN1055" s="306"/>
      <c r="FO1055" s="307"/>
      <c r="FP1055" s="306"/>
    </row>
    <row r="1056" spans="29:172">
      <c r="AC1056" s="156"/>
      <c r="CW1056" s="364"/>
      <c r="CX1056" s="316"/>
      <c r="CY1056" s="316"/>
      <c r="DA1056" s="309">
        <v>1055</v>
      </c>
      <c r="DB1056" s="313">
        <f t="shared" si="691"/>
        <v>583.98859715084347</v>
      </c>
      <c r="DC1056" s="309">
        <f t="shared" si="692"/>
        <v>4</v>
      </c>
      <c r="DD1056" s="309">
        <f t="shared" si="693"/>
        <v>0</v>
      </c>
      <c r="DE1056" s="308">
        <f t="shared" si="694"/>
        <v>0</v>
      </c>
      <c r="DF1056" s="313">
        <f t="shared" si="708"/>
        <v>600</v>
      </c>
      <c r="DG1056" s="313">
        <f t="shared" si="690"/>
        <v>0</v>
      </c>
      <c r="DH1056" s="313">
        <f t="shared" si="698"/>
        <v>0</v>
      </c>
      <c r="DI1056" s="313">
        <f t="shared" si="699"/>
        <v>0</v>
      </c>
      <c r="DJ1056" s="313">
        <f t="shared" si="700"/>
        <v>0</v>
      </c>
      <c r="DK1056" s="313">
        <f t="shared" si="709"/>
        <v>0</v>
      </c>
      <c r="DL1056" s="313">
        <f t="shared" si="701"/>
        <v>0</v>
      </c>
      <c r="DM1056" s="314">
        <f t="shared" si="702"/>
        <v>0</v>
      </c>
      <c r="DN1056" s="312">
        <f t="shared" si="703"/>
        <v>0</v>
      </c>
      <c r="DO1056" s="312">
        <f t="shared" si="710"/>
        <v>0</v>
      </c>
      <c r="DP1056" s="315" t="e">
        <f t="shared" si="695"/>
        <v>#NUM!</v>
      </c>
      <c r="DQ1056" s="316">
        <f t="shared" si="704"/>
        <v>0</v>
      </c>
      <c r="DR1056" s="316">
        <f t="shared" si="705"/>
        <v>0</v>
      </c>
      <c r="DS1056" s="314">
        <f t="shared" si="706"/>
        <v>0</v>
      </c>
      <c r="DT1056" s="316">
        <f t="shared" si="707"/>
        <v>0</v>
      </c>
      <c r="DU1056" s="314">
        <f t="shared" si="696"/>
        <v>0</v>
      </c>
      <c r="DV1056" s="316">
        <f t="shared" si="711"/>
        <v>0</v>
      </c>
      <c r="DW1056" s="310">
        <f t="shared" si="697"/>
        <v>0</v>
      </c>
      <c r="FB1056" s="307"/>
      <c r="FC1056" s="307"/>
      <c r="FF1056" s="307"/>
      <c r="FH1056" s="306"/>
      <c r="FJ1056" s="307"/>
      <c r="FK1056" s="307"/>
      <c r="FL1056" s="306"/>
      <c r="FM1056" s="307"/>
      <c r="FN1056" s="306"/>
      <c r="FO1056" s="307"/>
      <c r="FP1056" s="306"/>
    </row>
    <row r="1057" spans="29:172">
      <c r="AC1057" s="156"/>
      <c r="CW1057" s="364"/>
      <c r="CX1057" s="316"/>
      <c r="CY1057" s="316"/>
      <c r="DA1057" s="309">
        <v>1056</v>
      </c>
      <c r="DB1057" s="313">
        <f t="shared" si="691"/>
        <v>584.35256738510975</v>
      </c>
      <c r="DC1057" s="309">
        <f t="shared" si="692"/>
        <v>4</v>
      </c>
      <c r="DD1057" s="309">
        <f t="shared" si="693"/>
        <v>0</v>
      </c>
      <c r="DE1057" s="308">
        <f t="shared" si="694"/>
        <v>0</v>
      </c>
      <c r="DF1057" s="313">
        <f t="shared" si="708"/>
        <v>600</v>
      </c>
      <c r="DG1057" s="313">
        <f t="shared" si="690"/>
        <v>0</v>
      </c>
      <c r="DH1057" s="313">
        <f t="shared" si="698"/>
        <v>0</v>
      </c>
      <c r="DI1057" s="313">
        <f t="shared" si="699"/>
        <v>0</v>
      </c>
      <c r="DJ1057" s="313">
        <f t="shared" si="700"/>
        <v>0</v>
      </c>
      <c r="DK1057" s="313">
        <f t="shared" si="709"/>
        <v>0</v>
      </c>
      <c r="DL1057" s="313">
        <f t="shared" si="701"/>
        <v>0</v>
      </c>
      <c r="DM1057" s="314">
        <f t="shared" si="702"/>
        <v>0</v>
      </c>
      <c r="DN1057" s="312">
        <f t="shared" si="703"/>
        <v>0</v>
      </c>
      <c r="DO1057" s="312">
        <f t="shared" si="710"/>
        <v>0</v>
      </c>
      <c r="DP1057" s="315" t="e">
        <f t="shared" si="695"/>
        <v>#NUM!</v>
      </c>
      <c r="DQ1057" s="316">
        <f t="shared" si="704"/>
        <v>0</v>
      </c>
      <c r="DR1057" s="316">
        <f t="shared" si="705"/>
        <v>0</v>
      </c>
      <c r="DS1057" s="314">
        <f t="shared" si="706"/>
        <v>0</v>
      </c>
      <c r="DT1057" s="316">
        <f t="shared" si="707"/>
        <v>0</v>
      </c>
      <c r="DU1057" s="314">
        <f t="shared" si="696"/>
        <v>0</v>
      </c>
      <c r="DV1057" s="316">
        <f t="shared" si="711"/>
        <v>0</v>
      </c>
      <c r="DW1057" s="310">
        <f t="shared" si="697"/>
        <v>0</v>
      </c>
      <c r="FB1057" s="307"/>
      <c r="FC1057" s="307"/>
      <c r="FF1057" s="307"/>
      <c r="FH1057" s="306"/>
      <c r="FJ1057" s="307"/>
      <c r="FK1057" s="307"/>
      <c r="FL1057" s="306"/>
      <c r="FM1057" s="307"/>
      <c r="FN1057" s="306"/>
      <c r="FO1057" s="307"/>
      <c r="FP1057" s="306"/>
    </row>
    <row r="1058" spans="29:172">
      <c r="AC1058" s="156"/>
      <c r="CW1058" s="364"/>
      <c r="CX1058" s="316"/>
      <c r="CY1058" s="316"/>
      <c r="DA1058" s="309">
        <v>1057</v>
      </c>
      <c r="DB1058" s="313">
        <f t="shared" si="691"/>
        <v>584.71653761937591</v>
      </c>
      <c r="DC1058" s="309">
        <f t="shared" si="692"/>
        <v>4</v>
      </c>
      <c r="DD1058" s="309">
        <f t="shared" si="693"/>
        <v>0</v>
      </c>
      <c r="DE1058" s="308">
        <f t="shared" si="694"/>
        <v>0</v>
      </c>
      <c r="DF1058" s="313">
        <f t="shared" si="708"/>
        <v>600</v>
      </c>
      <c r="DG1058" s="313">
        <f t="shared" si="690"/>
        <v>0</v>
      </c>
      <c r="DH1058" s="313">
        <f t="shared" si="698"/>
        <v>0</v>
      </c>
      <c r="DI1058" s="313">
        <f t="shared" si="699"/>
        <v>0</v>
      </c>
      <c r="DJ1058" s="313">
        <f t="shared" si="700"/>
        <v>0</v>
      </c>
      <c r="DK1058" s="313">
        <f t="shared" si="709"/>
        <v>0</v>
      </c>
      <c r="DL1058" s="313">
        <f t="shared" si="701"/>
        <v>0</v>
      </c>
      <c r="DM1058" s="314">
        <f t="shared" si="702"/>
        <v>0</v>
      </c>
      <c r="DN1058" s="312">
        <f t="shared" si="703"/>
        <v>0</v>
      </c>
      <c r="DO1058" s="312">
        <f t="shared" si="710"/>
        <v>0</v>
      </c>
      <c r="DP1058" s="315" t="e">
        <f t="shared" si="695"/>
        <v>#NUM!</v>
      </c>
      <c r="DQ1058" s="316">
        <f t="shared" si="704"/>
        <v>0</v>
      </c>
      <c r="DR1058" s="316">
        <f t="shared" si="705"/>
        <v>0</v>
      </c>
      <c r="DS1058" s="314">
        <f t="shared" si="706"/>
        <v>0</v>
      </c>
      <c r="DT1058" s="316">
        <f t="shared" si="707"/>
        <v>0</v>
      </c>
      <c r="DU1058" s="314">
        <f t="shared" si="696"/>
        <v>0</v>
      </c>
      <c r="DV1058" s="316">
        <f t="shared" si="711"/>
        <v>0</v>
      </c>
      <c r="DW1058" s="310">
        <f t="shared" si="697"/>
        <v>0</v>
      </c>
      <c r="FB1058" s="307"/>
      <c r="FC1058" s="307"/>
      <c r="FF1058" s="307"/>
      <c r="FH1058" s="306"/>
      <c r="FJ1058" s="307"/>
      <c r="FK1058" s="307"/>
      <c r="FL1058" s="306"/>
      <c r="FM1058" s="307"/>
      <c r="FN1058" s="306"/>
      <c r="FO1058" s="307"/>
      <c r="FP1058" s="306"/>
    </row>
    <row r="1059" spans="29:172">
      <c r="AC1059" s="156"/>
      <c r="CW1059" s="364"/>
      <c r="CX1059" s="316"/>
      <c r="CY1059" s="316"/>
      <c r="DA1059" s="309">
        <v>1058</v>
      </c>
      <c r="DB1059" s="313">
        <f t="shared" si="691"/>
        <v>585.08050785364208</v>
      </c>
      <c r="DC1059" s="309">
        <f t="shared" si="692"/>
        <v>4</v>
      </c>
      <c r="DD1059" s="309">
        <f t="shared" si="693"/>
        <v>0</v>
      </c>
      <c r="DE1059" s="308">
        <f t="shared" si="694"/>
        <v>0</v>
      </c>
      <c r="DF1059" s="313">
        <f t="shared" si="708"/>
        <v>600</v>
      </c>
      <c r="DG1059" s="313">
        <f t="shared" si="690"/>
        <v>0</v>
      </c>
      <c r="DH1059" s="313">
        <f t="shared" si="698"/>
        <v>0</v>
      </c>
      <c r="DI1059" s="313">
        <f t="shared" si="699"/>
        <v>0</v>
      </c>
      <c r="DJ1059" s="313">
        <f t="shared" si="700"/>
        <v>0</v>
      </c>
      <c r="DK1059" s="313">
        <f t="shared" si="709"/>
        <v>0</v>
      </c>
      <c r="DL1059" s="313">
        <f t="shared" si="701"/>
        <v>0</v>
      </c>
      <c r="DM1059" s="314">
        <f t="shared" si="702"/>
        <v>0</v>
      </c>
      <c r="DN1059" s="312">
        <f t="shared" si="703"/>
        <v>0</v>
      </c>
      <c r="DO1059" s="312">
        <f t="shared" si="710"/>
        <v>0</v>
      </c>
      <c r="DP1059" s="315" t="e">
        <f t="shared" si="695"/>
        <v>#NUM!</v>
      </c>
      <c r="DQ1059" s="316">
        <f t="shared" si="704"/>
        <v>0</v>
      </c>
      <c r="DR1059" s="316">
        <f t="shared" si="705"/>
        <v>0</v>
      </c>
      <c r="DS1059" s="314">
        <f t="shared" si="706"/>
        <v>0</v>
      </c>
      <c r="DT1059" s="316">
        <f t="shared" si="707"/>
        <v>0</v>
      </c>
      <c r="DU1059" s="314">
        <f t="shared" si="696"/>
        <v>0</v>
      </c>
      <c r="DV1059" s="316">
        <f t="shared" si="711"/>
        <v>0</v>
      </c>
      <c r="DW1059" s="310">
        <f t="shared" si="697"/>
        <v>0</v>
      </c>
      <c r="FB1059" s="307"/>
      <c r="FC1059" s="307"/>
      <c r="FF1059" s="307"/>
      <c r="FH1059" s="306"/>
      <c r="FJ1059" s="307"/>
      <c r="FK1059" s="307"/>
      <c r="FL1059" s="306"/>
      <c r="FM1059" s="307"/>
      <c r="FN1059" s="306"/>
      <c r="FO1059" s="307"/>
      <c r="FP1059" s="306"/>
    </row>
    <row r="1060" spans="29:172">
      <c r="AC1060" s="156"/>
      <c r="CW1060" s="364"/>
      <c r="CX1060" s="316"/>
      <c r="CY1060" s="316"/>
      <c r="DA1060" s="309">
        <v>1059</v>
      </c>
      <c r="DB1060" s="313">
        <f t="shared" si="691"/>
        <v>585.44447808790824</v>
      </c>
      <c r="DC1060" s="309">
        <f t="shared" si="692"/>
        <v>4</v>
      </c>
      <c r="DD1060" s="309">
        <f t="shared" si="693"/>
        <v>0</v>
      </c>
      <c r="DE1060" s="308">
        <f t="shared" si="694"/>
        <v>0</v>
      </c>
      <c r="DF1060" s="313">
        <f t="shared" si="708"/>
        <v>600</v>
      </c>
      <c r="DG1060" s="313">
        <f t="shared" si="690"/>
        <v>0</v>
      </c>
      <c r="DH1060" s="313">
        <f t="shared" si="698"/>
        <v>0</v>
      </c>
      <c r="DI1060" s="313">
        <f t="shared" si="699"/>
        <v>0</v>
      </c>
      <c r="DJ1060" s="313">
        <f t="shared" si="700"/>
        <v>0</v>
      </c>
      <c r="DK1060" s="313">
        <f t="shared" si="709"/>
        <v>0</v>
      </c>
      <c r="DL1060" s="313">
        <f t="shared" si="701"/>
        <v>0</v>
      </c>
      <c r="DM1060" s="314">
        <f t="shared" si="702"/>
        <v>0</v>
      </c>
      <c r="DN1060" s="312">
        <f t="shared" si="703"/>
        <v>0</v>
      </c>
      <c r="DO1060" s="312">
        <f t="shared" si="710"/>
        <v>0</v>
      </c>
      <c r="DP1060" s="315" t="e">
        <f t="shared" si="695"/>
        <v>#NUM!</v>
      </c>
      <c r="DQ1060" s="316">
        <f t="shared" si="704"/>
        <v>0</v>
      </c>
      <c r="DR1060" s="316">
        <f t="shared" si="705"/>
        <v>0</v>
      </c>
      <c r="DS1060" s="314">
        <f t="shared" si="706"/>
        <v>0</v>
      </c>
      <c r="DT1060" s="316">
        <f t="shared" si="707"/>
        <v>0</v>
      </c>
      <c r="DU1060" s="314">
        <f t="shared" si="696"/>
        <v>0</v>
      </c>
      <c r="DV1060" s="316">
        <f t="shared" si="711"/>
        <v>0</v>
      </c>
      <c r="DW1060" s="310">
        <f t="shared" si="697"/>
        <v>0</v>
      </c>
      <c r="FB1060" s="307"/>
      <c r="FC1060" s="307"/>
      <c r="FF1060" s="307"/>
      <c r="FH1060" s="306"/>
      <c r="FJ1060" s="307"/>
      <c r="FK1060" s="307"/>
      <c r="FL1060" s="306"/>
      <c r="FM1060" s="307"/>
      <c r="FN1060" s="306"/>
      <c r="FO1060" s="307"/>
      <c r="FP1060" s="306"/>
    </row>
    <row r="1061" spans="29:172">
      <c r="AC1061" s="156"/>
      <c r="CW1061" s="364"/>
      <c r="CX1061" s="316"/>
      <c r="CY1061" s="316"/>
      <c r="DA1061" s="309">
        <v>1060</v>
      </c>
      <c r="DB1061" s="313">
        <f t="shared" si="691"/>
        <v>585.8084483221744</v>
      </c>
      <c r="DC1061" s="309">
        <f t="shared" si="692"/>
        <v>4</v>
      </c>
      <c r="DD1061" s="309">
        <f t="shared" si="693"/>
        <v>0</v>
      </c>
      <c r="DE1061" s="308">
        <f t="shared" si="694"/>
        <v>0</v>
      </c>
      <c r="DF1061" s="313">
        <f t="shared" si="708"/>
        <v>600</v>
      </c>
      <c r="DG1061" s="313">
        <f t="shared" si="690"/>
        <v>0</v>
      </c>
      <c r="DH1061" s="313">
        <f t="shared" si="698"/>
        <v>0</v>
      </c>
      <c r="DI1061" s="313">
        <f t="shared" si="699"/>
        <v>0</v>
      </c>
      <c r="DJ1061" s="313">
        <f t="shared" si="700"/>
        <v>0</v>
      </c>
      <c r="DK1061" s="313">
        <f t="shared" si="709"/>
        <v>0</v>
      </c>
      <c r="DL1061" s="313">
        <f t="shared" si="701"/>
        <v>0</v>
      </c>
      <c r="DM1061" s="314">
        <f t="shared" si="702"/>
        <v>0</v>
      </c>
      <c r="DN1061" s="312">
        <f t="shared" si="703"/>
        <v>0</v>
      </c>
      <c r="DO1061" s="312">
        <f t="shared" si="710"/>
        <v>0</v>
      </c>
      <c r="DP1061" s="315" t="e">
        <f t="shared" si="695"/>
        <v>#NUM!</v>
      </c>
      <c r="DQ1061" s="316">
        <f t="shared" si="704"/>
        <v>0</v>
      </c>
      <c r="DR1061" s="316">
        <f t="shared" si="705"/>
        <v>0</v>
      </c>
      <c r="DS1061" s="314">
        <f t="shared" si="706"/>
        <v>0</v>
      </c>
      <c r="DT1061" s="316">
        <f t="shared" si="707"/>
        <v>0</v>
      </c>
      <c r="DU1061" s="314">
        <f t="shared" si="696"/>
        <v>0</v>
      </c>
      <c r="DV1061" s="316">
        <f t="shared" si="711"/>
        <v>0</v>
      </c>
      <c r="DW1061" s="310">
        <f t="shared" si="697"/>
        <v>0</v>
      </c>
      <c r="FB1061" s="307"/>
      <c r="FC1061" s="307"/>
      <c r="FF1061" s="307"/>
      <c r="FH1061" s="306"/>
      <c r="FJ1061" s="307"/>
      <c r="FK1061" s="307"/>
      <c r="FL1061" s="306"/>
      <c r="FM1061" s="307"/>
      <c r="FN1061" s="306"/>
      <c r="FO1061" s="307"/>
      <c r="FP1061" s="306"/>
    </row>
    <row r="1062" spans="29:172">
      <c r="AC1062" s="156"/>
      <c r="CW1062" s="364"/>
      <c r="CX1062" s="316"/>
      <c r="CY1062" s="316"/>
      <c r="DA1062" s="309">
        <v>1061</v>
      </c>
      <c r="DB1062" s="313">
        <f t="shared" si="691"/>
        <v>586.17241855644068</v>
      </c>
      <c r="DC1062" s="309">
        <f t="shared" si="692"/>
        <v>4</v>
      </c>
      <c r="DD1062" s="309">
        <f t="shared" si="693"/>
        <v>0</v>
      </c>
      <c r="DE1062" s="308">
        <f t="shared" si="694"/>
        <v>0</v>
      </c>
      <c r="DF1062" s="313">
        <f t="shared" si="708"/>
        <v>600</v>
      </c>
      <c r="DG1062" s="313">
        <f t="shared" si="690"/>
        <v>0</v>
      </c>
      <c r="DH1062" s="313">
        <f t="shared" si="698"/>
        <v>0</v>
      </c>
      <c r="DI1062" s="313">
        <f t="shared" si="699"/>
        <v>0</v>
      </c>
      <c r="DJ1062" s="313">
        <f t="shared" si="700"/>
        <v>0</v>
      </c>
      <c r="DK1062" s="313">
        <f t="shared" si="709"/>
        <v>0</v>
      </c>
      <c r="DL1062" s="313">
        <f t="shared" si="701"/>
        <v>0</v>
      </c>
      <c r="DM1062" s="314">
        <f t="shared" si="702"/>
        <v>0</v>
      </c>
      <c r="DN1062" s="312">
        <f t="shared" si="703"/>
        <v>0</v>
      </c>
      <c r="DO1062" s="312">
        <f t="shared" si="710"/>
        <v>0</v>
      </c>
      <c r="DP1062" s="315" t="e">
        <f t="shared" si="695"/>
        <v>#NUM!</v>
      </c>
      <c r="DQ1062" s="316">
        <f t="shared" si="704"/>
        <v>0</v>
      </c>
      <c r="DR1062" s="316">
        <f t="shared" si="705"/>
        <v>0</v>
      </c>
      <c r="DS1062" s="314">
        <f t="shared" si="706"/>
        <v>0</v>
      </c>
      <c r="DT1062" s="316">
        <f t="shared" si="707"/>
        <v>0</v>
      </c>
      <c r="DU1062" s="314">
        <f t="shared" si="696"/>
        <v>0</v>
      </c>
      <c r="DV1062" s="316">
        <f t="shared" si="711"/>
        <v>0</v>
      </c>
      <c r="DW1062" s="310">
        <f t="shared" si="697"/>
        <v>0</v>
      </c>
      <c r="FB1062" s="307"/>
      <c r="FC1062" s="307"/>
      <c r="FF1062" s="307"/>
      <c r="FH1062" s="306"/>
      <c r="FJ1062" s="307"/>
      <c r="FK1062" s="307"/>
      <c r="FL1062" s="306"/>
      <c r="FM1062" s="307"/>
      <c r="FN1062" s="306"/>
      <c r="FO1062" s="307"/>
      <c r="FP1062" s="306"/>
    </row>
    <row r="1063" spans="29:172">
      <c r="AC1063" s="156"/>
      <c r="CW1063" s="364"/>
      <c r="CX1063" s="316"/>
      <c r="CY1063" s="316"/>
      <c r="DA1063" s="309">
        <v>1062</v>
      </c>
      <c r="DB1063" s="313">
        <f t="shared" si="691"/>
        <v>586.53638879070695</v>
      </c>
      <c r="DC1063" s="309">
        <f t="shared" si="692"/>
        <v>4</v>
      </c>
      <c r="DD1063" s="309">
        <f t="shared" si="693"/>
        <v>0</v>
      </c>
      <c r="DE1063" s="308">
        <f t="shared" si="694"/>
        <v>0</v>
      </c>
      <c r="DF1063" s="313">
        <f t="shared" si="708"/>
        <v>600</v>
      </c>
      <c r="DG1063" s="313">
        <f t="shared" si="690"/>
        <v>0</v>
      </c>
      <c r="DH1063" s="313">
        <f t="shared" si="698"/>
        <v>0</v>
      </c>
      <c r="DI1063" s="313">
        <f t="shared" si="699"/>
        <v>0</v>
      </c>
      <c r="DJ1063" s="313">
        <f t="shared" si="700"/>
        <v>0</v>
      </c>
      <c r="DK1063" s="313">
        <f t="shared" si="709"/>
        <v>0</v>
      </c>
      <c r="DL1063" s="313">
        <f t="shared" si="701"/>
        <v>0</v>
      </c>
      <c r="DM1063" s="314">
        <f t="shared" si="702"/>
        <v>0</v>
      </c>
      <c r="DN1063" s="312">
        <f t="shared" si="703"/>
        <v>0</v>
      </c>
      <c r="DO1063" s="312">
        <f t="shared" si="710"/>
        <v>0</v>
      </c>
      <c r="DP1063" s="315" t="e">
        <f t="shared" si="695"/>
        <v>#NUM!</v>
      </c>
      <c r="DQ1063" s="316">
        <f t="shared" si="704"/>
        <v>0</v>
      </c>
      <c r="DR1063" s="316">
        <f t="shared" si="705"/>
        <v>0</v>
      </c>
      <c r="DS1063" s="314">
        <f t="shared" si="706"/>
        <v>0</v>
      </c>
      <c r="DT1063" s="316">
        <f t="shared" si="707"/>
        <v>0</v>
      </c>
      <c r="DU1063" s="314">
        <f t="shared" si="696"/>
        <v>0</v>
      </c>
      <c r="DV1063" s="316">
        <f t="shared" si="711"/>
        <v>0</v>
      </c>
      <c r="DW1063" s="310">
        <f t="shared" si="697"/>
        <v>0</v>
      </c>
      <c r="FB1063" s="307"/>
      <c r="FC1063" s="307"/>
      <c r="FF1063" s="307"/>
      <c r="FH1063" s="306"/>
      <c r="FJ1063" s="307"/>
      <c r="FK1063" s="307"/>
      <c r="FL1063" s="306"/>
      <c r="FM1063" s="307"/>
      <c r="FN1063" s="306"/>
      <c r="FO1063" s="307"/>
      <c r="FP1063" s="306"/>
    </row>
    <row r="1064" spans="29:172">
      <c r="AC1064" s="156"/>
      <c r="CW1064" s="364"/>
      <c r="CX1064" s="316"/>
      <c r="CY1064" s="316"/>
      <c r="DA1064" s="309">
        <v>1063</v>
      </c>
      <c r="DB1064" s="313">
        <f t="shared" si="691"/>
        <v>586.90035902497311</v>
      </c>
      <c r="DC1064" s="309">
        <f t="shared" si="692"/>
        <v>4</v>
      </c>
      <c r="DD1064" s="309">
        <f t="shared" si="693"/>
        <v>0</v>
      </c>
      <c r="DE1064" s="308">
        <f t="shared" si="694"/>
        <v>0</v>
      </c>
      <c r="DF1064" s="313">
        <f t="shared" si="708"/>
        <v>600</v>
      </c>
      <c r="DG1064" s="313">
        <f t="shared" si="690"/>
        <v>0</v>
      </c>
      <c r="DH1064" s="313">
        <f t="shared" si="698"/>
        <v>0</v>
      </c>
      <c r="DI1064" s="313">
        <f t="shared" si="699"/>
        <v>0</v>
      </c>
      <c r="DJ1064" s="313">
        <f t="shared" si="700"/>
        <v>0</v>
      </c>
      <c r="DK1064" s="313">
        <f t="shared" si="709"/>
        <v>0</v>
      </c>
      <c r="DL1064" s="313">
        <f t="shared" si="701"/>
        <v>0</v>
      </c>
      <c r="DM1064" s="314">
        <f t="shared" si="702"/>
        <v>0</v>
      </c>
      <c r="DN1064" s="312">
        <f t="shared" si="703"/>
        <v>0</v>
      </c>
      <c r="DO1064" s="312">
        <f t="shared" si="710"/>
        <v>0</v>
      </c>
      <c r="DP1064" s="315" t="e">
        <f t="shared" si="695"/>
        <v>#NUM!</v>
      </c>
      <c r="DQ1064" s="316">
        <f t="shared" si="704"/>
        <v>0</v>
      </c>
      <c r="DR1064" s="316">
        <f t="shared" si="705"/>
        <v>0</v>
      </c>
      <c r="DS1064" s="314">
        <f t="shared" si="706"/>
        <v>0</v>
      </c>
      <c r="DT1064" s="316">
        <f t="shared" si="707"/>
        <v>0</v>
      </c>
      <c r="DU1064" s="314">
        <f t="shared" si="696"/>
        <v>0</v>
      </c>
      <c r="DV1064" s="316">
        <f t="shared" si="711"/>
        <v>0</v>
      </c>
      <c r="DW1064" s="310">
        <f t="shared" si="697"/>
        <v>0</v>
      </c>
      <c r="FB1064" s="307"/>
      <c r="FC1064" s="307"/>
      <c r="FF1064" s="307"/>
      <c r="FH1064" s="306"/>
      <c r="FJ1064" s="307"/>
      <c r="FK1064" s="307"/>
      <c r="FL1064" s="306"/>
      <c r="FM1064" s="307"/>
      <c r="FN1064" s="306"/>
      <c r="FO1064" s="307"/>
      <c r="FP1064" s="306"/>
    </row>
    <row r="1065" spans="29:172">
      <c r="AC1065" s="156"/>
      <c r="CW1065" s="364"/>
      <c r="CX1065" s="316"/>
      <c r="CY1065" s="316"/>
      <c r="DA1065" s="309">
        <v>1064</v>
      </c>
      <c r="DB1065" s="313">
        <f t="shared" si="691"/>
        <v>587.26432925923928</v>
      </c>
      <c r="DC1065" s="309">
        <f t="shared" si="692"/>
        <v>4</v>
      </c>
      <c r="DD1065" s="309">
        <f t="shared" si="693"/>
        <v>0</v>
      </c>
      <c r="DE1065" s="308">
        <f t="shared" si="694"/>
        <v>0</v>
      </c>
      <c r="DF1065" s="313">
        <f t="shared" si="708"/>
        <v>600</v>
      </c>
      <c r="DG1065" s="313">
        <f t="shared" si="690"/>
        <v>0</v>
      </c>
      <c r="DH1065" s="313">
        <f t="shared" si="698"/>
        <v>0</v>
      </c>
      <c r="DI1065" s="313">
        <f t="shared" si="699"/>
        <v>0</v>
      </c>
      <c r="DJ1065" s="313">
        <f t="shared" si="700"/>
        <v>0</v>
      </c>
      <c r="DK1065" s="313">
        <f t="shared" si="709"/>
        <v>0</v>
      </c>
      <c r="DL1065" s="313">
        <f t="shared" si="701"/>
        <v>0</v>
      </c>
      <c r="DM1065" s="314">
        <f t="shared" si="702"/>
        <v>0</v>
      </c>
      <c r="DN1065" s="312">
        <f t="shared" si="703"/>
        <v>0</v>
      </c>
      <c r="DO1065" s="312">
        <f t="shared" si="710"/>
        <v>0</v>
      </c>
      <c r="DP1065" s="315" t="e">
        <f t="shared" si="695"/>
        <v>#NUM!</v>
      </c>
      <c r="DQ1065" s="316">
        <f t="shared" si="704"/>
        <v>0</v>
      </c>
      <c r="DR1065" s="316">
        <f t="shared" si="705"/>
        <v>0</v>
      </c>
      <c r="DS1065" s="314">
        <f t="shared" si="706"/>
        <v>0</v>
      </c>
      <c r="DT1065" s="316">
        <f t="shared" si="707"/>
        <v>0</v>
      </c>
      <c r="DU1065" s="314">
        <f t="shared" si="696"/>
        <v>0</v>
      </c>
      <c r="DV1065" s="316">
        <f t="shared" si="711"/>
        <v>0</v>
      </c>
      <c r="DW1065" s="310">
        <f t="shared" si="697"/>
        <v>0</v>
      </c>
      <c r="FB1065" s="307"/>
      <c r="FC1065" s="307"/>
      <c r="FF1065" s="307"/>
      <c r="FH1065" s="306"/>
      <c r="FJ1065" s="307"/>
      <c r="FK1065" s="307"/>
      <c r="FL1065" s="306"/>
      <c r="FM1065" s="307"/>
      <c r="FN1065" s="306"/>
      <c r="FO1065" s="307"/>
      <c r="FP1065" s="306"/>
    </row>
    <row r="1066" spans="29:172">
      <c r="AC1066" s="156"/>
      <c r="CW1066" s="364"/>
      <c r="CX1066" s="316"/>
      <c r="CY1066" s="316"/>
      <c r="DA1066" s="309">
        <v>1065</v>
      </c>
      <c r="DB1066" s="313">
        <f t="shared" si="691"/>
        <v>587.62829949350544</v>
      </c>
      <c r="DC1066" s="309">
        <f t="shared" si="692"/>
        <v>4</v>
      </c>
      <c r="DD1066" s="309">
        <f t="shared" si="693"/>
        <v>0</v>
      </c>
      <c r="DE1066" s="308">
        <f t="shared" si="694"/>
        <v>0</v>
      </c>
      <c r="DF1066" s="313">
        <f t="shared" si="708"/>
        <v>600</v>
      </c>
      <c r="DG1066" s="313">
        <f t="shared" si="690"/>
        <v>0</v>
      </c>
      <c r="DH1066" s="313">
        <f t="shared" si="698"/>
        <v>0</v>
      </c>
      <c r="DI1066" s="313">
        <f t="shared" si="699"/>
        <v>0</v>
      </c>
      <c r="DJ1066" s="313">
        <f t="shared" si="700"/>
        <v>0</v>
      </c>
      <c r="DK1066" s="313">
        <f t="shared" si="709"/>
        <v>0</v>
      </c>
      <c r="DL1066" s="313">
        <f t="shared" si="701"/>
        <v>0</v>
      </c>
      <c r="DM1066" s="314">
        <f t="shared" si="702"/>
        <v>0</v>
      </c>
      <c r="DN1066" s="312">
        <f t="shared" si="703"/>
        <v>0</v>
      </c>
      <c r="DO1066" s="312">
        <f t="shared" si="710"/>
        <v>0</v>
      </c>
      <c r="DP1066" s="315" t="e">
        <f t="shared" si="695"/>
        <v>#NUM!</v>
      </c>
      <c r="DQ1066" s="316">
        <f t="shared" si="704"/>
        <v>0</v>
      </c>
      <c r="DR1066" s="316">
        <f t="shared" si="705"/>
        <v>0</v>
      </c>
      <c r="DS1066" s="314">
        <f t="shared" si="706"/>
        <v>0</v>
      </c>
      <c r="DT1066" s="316">
        <f t="shared" si="707"/>
        <v>0</v>
      </c>
      <c r="DU1066" s="314">
        <f t="shared" si="696"/>
        <v>0</v>
      </c>
      <c r="DV1066" s="316">
        <f t="shared" si="711"/>
        <v>0</v>
      </c>
      <c r="DW1066" s="310">
        <f t="shared" si="697"/>
        <v>0</v>
      </c>
      <c r="FB1066" s="307"/>
      <c r="FC1066" s="307"/>
      <c r="FF1066" s="307"/>
      <c r="FH1066" s="306"/>
      <c r="FJ1066" s="307"/>
      <c r="FK1066" s="307"/>
      <c r="FL1066" s="306"/>
      <c r="FM1066" s="307"/>
      <c r="FN1066" s="306"/>
      <c r="FO1066" s="307"/>
      <c r="FP1066" s="306"/>
    </row>
    <row r="1067" spans="29:172">
      <c r="AC1067" s="156"/>
      <c r="CW1067" s="364"/>
      <c r="CX1067" s="316"/>
      <c r="CY1067" s="316"/>
      <c r="DA1067" s="309">
        <v>1066</v>
      </c>
      <c r="DB1067" s="313">
        <f t="shared" si="691"/>
        <v>587.99226972777171</v>
      </c>
      <c r="DC1067" s="309">
        <f t="shared" si="692"/>
        <v>4</v>
      </c>
      <c r="DD1067" s="309">
        <f t="shared" si="693"/>
        <v>0</v>
      </c>
      <c r="DE1067" s="308">
        <f t="shared" si="694"/>
        <v>0</v>
      </c>
      <c r="DF1067" s="313">
        <f t="shared" si="708"/>
        <v>600</v>
      </c>
      <c r="DG1067" s="313">
        <f t="shared" ref="DG1067:DG1130" si="712">IF(DC1067=4,DG1066,MIN(DB1067,DD1067))</f>
        <v>0</v>
      </c>
      <c r="DH1067" s="313">
        <f t="shared" si="698"/>
        <v>0</v>
      </c>
      <c r="DI1067" s="313">
        <f t="shared" si="699"/>
        <v>0</v>
      </c>
      <c r="DJ1067" s="313">
        <f t="shared" si="700"/>
        <v>0</v>
      </c>
      <c r="DK1067" s="313">
        <f t="shared" si="709"/>
        <v>0</v>
      </c>
      <c r="DL1067" s="313">
        <f t="shared" si="701"/>
        <v>0</v>
      </c>
      <c r="DM1067" s="314">
        <f t="shared" si="702"/>
        <v>0</v>
      </c>
      <c r="DN1067" s="312">
        <f t="shared" si="703"/>
        <v>0</v>
      </c>
      <c r="DO1067" s="312">
        <f t="shared" si="710"/>
        <v>0</v>
      </c>
      <c r="DP1067" s="315" t="e">
        <f t="shared" si="695"/>
        <v>#NUM!</v>
      </c>
      <c r="DQ1067" s="316">
        <f t="shared" si="704"/>
        <v>0</v>
      </c>
      <c r="DR1067" s="316">
        <f t="shared" si="705"/>
        <v>0</v>
      </c>
      <c r="DS1067" s="314">
        <f t="shared" si="706"/>
        <v>0</v>
      </c>
      <c r="DT1067" s="316">
        <f t="shared" si="707"/>
        <v>0</v>
      </c>
      <c r="DU1067" s="314">
        <f t="shared" si="696"/>
        <v>0</v>
      </c>
      <c r="DV1067" s="316">
        <f t="shared" si="711"/>
        <v>0</v>
      </c>
      <c r="DW1067" s="310">
        <f t="shared" si="697"/>
        <v>0</v>
      </c>
      <c r="FB1067" s="307"/>
      <c r="FC1067" s="307"/>
      <c r="FF1067" s="307"/>
      <c r="FH1067" s="306"/>
      <c r="FJ1067" s="307"/>
      <c r="FK1067" s="307"/>
      <c r="FL1067" s="306"/>
      <c r="FM1067" s="307"/>
      <c r="FN1067" s="306"/>
      <c r="FO1067" s="307"/>
      <c r="FP1067" s="306"/>
    </row>
    <row r="1068" spans="29:172">
      <c r="AC1068" s="156"/>
      <c r="CW1068" s="364"/>
      <c r="CX1068" s="316"/>
      <c r="CY1068" s="316"/>
      <c r="DA1068" s="309">
        <v>1067</v>
      </c>
      <c r="DB1068" s="313">
        <f t="shared" si="691"/>
        <v>588.35623996203788</v>
      </c>
      <c r="DC1068" s="309">
        <f t="shared" si="692"/>
        <v>4</v>
      </c>
      <c r="DD1068" s="309">
        <f t="shared" si="693"/>
        <v>0</v>
      </c>
      <c r="DE1068" s="308">
        <f t="shared" si="694"/>
        <v>0</v>
      </c>
      <c r="DF1068" s="313">
        <f t="shared" si="708"/>
        <v>600</v>
      </c>
      <c r="DG1068" s="313">
        <f t="shared" si="712"/>
        <v>0</v>
      </c>
      <c r="DH1068" s="313">
        <f t="shared" si="698"/>
        <v>0</v>
      </c>
      <c r="DI1068" s="313">
        <f t="shared" si="699"/>
        <v>0</v>
      </c>
      <c r="DJ1068" s="313">
        <f t="shared" si="700"/>
        <v>0</v>
      </c>
      <c r="DK1068" s="313">
        <f t="shared" si="709"/>
        <v>0</v>
      </c>
      <c r="DL1068" s="313">
        <f t="shared" si="701"/>
        <v>0</v>
      </c>
      <c r="DM1068" s="314">
        <f t="shared" si="702"/>
        <v>0</v>
      </c>
      <c r="DN1068" s="312">
        <f t="shared" si="703"/>
        <v>0</v>
      </c>
      <c r="DO1068" s="312">
        <f t="shared" si="710"/>
        <v>0</v>
      </c>
      <c r="DP1068" s="315" t="e">
        <f t="shared" si="695"/>
        <v>#NUM!</v>
      </c>
      <c r="DQ1068" s="316">
        <f t="shared" si="704"/>
        <v>0</v>
      </c>
      <c r="DR1068" s="316">
        <f t="shared" si="705"/>
        <v>0</v>
      </c>
      <c r="DS1068" s="314">
        <f t="shared" si="706"/>
        <v>0</v>
      </c>
      <c r="DT1068" s="316">
        <f t="shared" si="707"/>
        <v>0</v>
      </c>
      <c r="DU1068" s="314">
        <f t="shared" si="696"/>
        <v>0</v>
      </c>
      <c r="DV1068" s="316">
        <f t="shared" si="711"/>
        <v>0</v>
      </c>
      <c r="DW1068" s="310">
        <f t="shared" si="697"/>
        <v>0</v>
      </c>
      <c r="FB1068" s="307"/>
      <c r="FC1068" s="307"/>
      <c r="FF1068" s="307"/>
      <c r="FH1068" s="306"/>
      <c r="FJ1068" s="307"/>
      <c r="FK1068" s="307"/>
      <c r="FL1068" s="306"/>
      <c r="FM1068" s="307"/>
      <c r="FN1068" s="306"/>
      <c r="FO1068" s="307"/>
      <c r="FP1068" s="306"/>
    </row>
    <row r="1069" spans="29:172">
      <c r="AC1069" s="156"/>
      <c r="CW1069" s="364"/>
      <c r="CX1069" s="316"/>
      <c r="CY1069" s="316"/>
      <c r="DA1069" s="309">
        <v>1068</v>
      </c>
      <c r="DB1069" s="313">
        <f t="shared" si="691"/>
        <v>588.72021019630415</v>
      </c>
      <c r="DC1069" s="309">
        <f t="shared" si="692"/>
        <v>4</v>
      </c>
      <c r="DD1069" s="309">
        <f t="shared" si="693"/>
        <v>0</v>
      </c>
      <c r="DE1069" s="308">
        <f t="shared" si="694"/>
        <v>0</v>
      </c>
      <c r="DF1069" s="313">
        <f t="shared" si="708"/>
        <v>600</v>
      </c>
      <c r="DG1069" s="313">
        <f t="shared" si="712"/>
        <v>0</v>
      </c>
      <c r="DH1069" s="313">
        <f t="shared" si="698"/>
        <v>0</v>
      </c>
      <c r="DI1069" s="313">
        <f t="shared" si="699"/>
        <v>0</v>
      </c>
      <c r="DJ1069" s="313">
        <f t="shared" si="700"/>
        <v>0</v>
      </c>
      <c r="DK1069" s="313">
        <f t="shared" si="709"/>
        <v>0</v>
      </c>
      <c r="DL1069" s="313">
        <f t="shared" si="701"/>
        <v>0</v>
      </c>
      <c r="DM1069" s="314">
        <f t="shared" si="702"/>
        <v>0</v>
      </c>
      <c r="DN1069" s="312">
        <f t="shared" si="703"/>
        <v>0</v>
      </c>
      <c r="DO1069" s="312">
        <f t="shared" si="710"/>
        <v>0</v>
      </c>
      <c r="DP1069" s="315" t="e">
        <f t="shared" si="695"/>
        <v>#NUM!</v>
      </c>
      <c r="DQ1069" s="316">
        <f t="shared" si="704"/>
        <v>0</v>
      </c>
      <c r="DR1069" s="316">
        <f t="shared" si="705"/>
        <v>0</v>
      </c>
      <c r="DS1069" s="314">
        <f t="shared" si="706"/>
        <v>0</v>
      </c>
      <c r="DT1069" s="316">
        <f t="shared" si="707"/>
        <v>0</v>
      </c>
      <c r="DU1069" s="314">
        <f t="shared" si="696"/>
        <v>0</v>
      </c>
      <c r="DV1069" s="316">
        <f t="shared" si="711"/>
        <v>0</v>
      </c>
      <c r="DW1069" s="310">
        <f t="shared" si="697"/>
        <v>0</v>
      </c>
      <c r="FB1069" s="307"/>
      <c r="FC1069" s="307"/>
      <c r="FF1069" s="307"/>
      <c r="FH1069" s="306"/>
      <c r="FJ1069" s="307"/>
      <c r="FK1069" s="307"/>
      <c r="FL1069" s="306"/>
      <c r="FM1069" s="307"/>
      <c r="FN1069" s="306"/>
      <c r="FO1069" s="307"/>
      <c r="FP1069" s="306"/>
    </row>
    <row r="1070" spans="29:172">
      <c r="AC1070" s="156"/>
      <c r="CW1070" s="364"/>
      <c r="CX1070" s="316"/>
      <c r="CY1070" s="316"/>
      <c r="DA1070" s="309">
        <v>1069</v>
      </c>
      <c r="DB1070" s="313">
        <f t="shared" si="691"/>
        <v>589.08418043057031</v>
      </c>
      <c r="DC1070" s="309">
        <f t="shared" si="692"/>
        <v>4</v>
      </c>
      <c r="DD1070" s="309">
        <f t="shared" si="693"/>
        <v>0</v>
      </c>
      <c r="DE1070" s="308">
        <f t="shared" si="694"/>
        <v>0</v>
      </c>
      <c r="DF1070" s="313">
        <f t="shared" si="708"/>
        <v>600</v>
      </c>
      <c r="DG1070" s="313">
        <f t="shared" si="712"/>
        <v>0</v>
      </c>
      <c r="DH1070" s="313">
        <f t="shared" si="698"/>
        <v>0</v>
      </c>
      <c r="DI1070" s="313">
        <f t="shared" si="699"/>
        <v>0</v>
      </c>
      <c r="DJ1070" s="313">
        <f t="shared" si="700"/>
        <v>0</v>
      </c>
      <c r="DK1070" s="313">
        <f t="shared" si="709"/>
        <v>0</v>
      </c>
      <c r="DL1070" s="313">
        <f t="shared" si="701"/>
        <v>0</v>
      </c>
      <c r="DM1070" s="314">
        <f t="shared" si="702"/>
        <v>0</v>
      </c>
      <c r="DN1070" s="312">
        <f t="shared" si="703"/>
        <v>0</v>
      </c>
      <c r="DO1070" s="312">
        <f t="shared" si="710"/>
        <v>0</v>
      </c>
      <c r="DP1070" s="315" t="e">
        <f t="shared" si="695"/>
        <v>#NUM!</v>
      </c>
      <c r="DQ1070" s="316">
        <f t="shared" si="704"/>
        <v>0</v>
      </c>
      <c r="DR1070" s="316">
        <f t="shared" si="705"/>
        <v>0</v>
      </c>
      <c r="DS1070" s="314">
        <f t="shared" si="706"/>
        <v>0</v>
      </c>
      <c r="DT1070" s="316">
        <f t="shared" si="707"/>
        <v>0</v>
      </c>
      <c r="DU1070" s="314">
        <f t="shared" si="696"/>
        <v>0</v>
      </c>
      <c r="DV1070" s="316">
        <f t="shared" si="711"/>
        <v>0</v>
      </c>
      <c r="DW1070" s="310">
        <f t="shared" si="697"/>
        <v>0</v>
      </c>
      <c r="FB1070" s="307"/>
      <c r="FC1070" s="307"/>
      <c r="FF1070" s="307"/>
      <c r="FH1070" s="306"/>
      <c r="FJ1070" s="307"/>
      <c r="FK1070" s="307"/>
      <c r="FL1070" s="306"/>
      <c r="FM1070" s="307"/>
      <c r="FN1070" s="306"/>
      <c r="FO1070" s="307"/>
      <c r="FP1070" s="306"/>
    </row>
    <row r="1071" spans="29:172">
      <c r="AC1071" s="156"/>
      <c r="CW1071" s="364"/>
      <c r="CX1071" s="316"/>
      <c r="CY1071" s="316"/>
      <c r="DA1071" s="309">
        <v>1070</v>
      </c>
      <c r="DB1071" s="313">
        <f t="shared" si="691"/>
        <v>589.44815066483648</v>
      </c>
      <c r="DC1071" s="309">
        <f t="shared" si="692"/>
        <v>4</v>
      </c>
      <c r="DD1071" s="309">
        <f t="shared" si="693"/>
        <v>0</v>
      </c>
      <c r="DE1071" s="308">
        <f t="shared" si="694"/>
        <v>0</v>
      </c>
      <c r="DF1071" s="313">
        <f t="shared" si="708"/>
        <v>600</v>
      </c>
      <c r="DG1071" s="313">
        <f t="shared" si="712"/>
        <v>0</v>
      </c>
      <c r="DH1071" s="313">
        <f t="shared" si="698"/>
        <v>0</v>
      </c>
      <c r="DI1071" s="313">
        <f t="shared" si="699"/>
        <v>0</v>
      </c>
      <c r="DJ1071" s="313">
        <f t="shared" si="700"/>
        <v>0</v>
      </c>
      <c r="DK1071" s="313">
        <f t="shared" si="709"/>
        <v>0</v>
      </c>
      <c r="DL1071" s="313">
        <f t="shared" si="701"/>
        <v>0</v>
      </c>
      <c r="DM1071" s="314">
        <f t="shared" si="702"/>
        <v>0</v>
      </c>
      <c r="DN1071" s="312">
        <f t="shared" si="703"/>
        <v>0</v>
      </c>
      <c r="DO1071" s="312">
        <f t="shared" si="710"/>
        <v>0</v>
      </c>
      <c r="DP1071" s="315" t="e">
        <f t="shared" si="695"/>
        <v>#NUM!</v>
      </c>
      <c r="DQ1071" s="316">
        <f t="shared" si="704"/>
        <v>0</v>
      </c>
      <c r="DR1071" s="316">
        <f t="shared" si="705"/>
        <v>0</v>
      </c>
      <c r="DS1071" s="314">
        <f t="shared" si="706"/>
        <v>0</v>
      </c>
      <c r="DT1071" s="316">
        <f t="shared" si="707"/>
        <v>0</v>
      </c>
      <c r="DU1071" s="314">
        <f t="shared" si="696"/>
        <v>0</v>
      </c>
      <c r="DV1071" s="316">
        <f t="shared" si="711"/>
        <v>0</v>
      </c>
      <c r="DW1071" s="310">
        <f t="shared" si="697"/>
        <v>0</v>
      </c>
      <c r="FB1071" s="307"/>
      <c r="FC1071" s="307"/>
      <c r="FF1071" s="307"/>
      <c r="FH1071" s="306"/>
      <c r="FJ1071" s="307"/>
      <c r="FK1071" s="307"/>
      <c r="FL1071" s="306"/>
      <c r="FM1071" s="307"/>
      <c r="FN1071" s="306"/>
      <c r="FO1071" s="307"/>
      <c r="FP1071" s="306"/>
    </row>
    <row r="1072" spans="29:172">
      <c r="AC1072" s="156"/>
      <c r="CW1072" s="364"/>
      <c r="CX1072" s="316"/>
      <c r="CY1072" s="316"/>
      <c r="DA1072" s="309">
        <v>1071</v>
      </c>
      <c r="DB1072" s="313">
        <f t="shared" si="691"/>
        <v>589.81212089910264</v>
      </c>
      <c r="DC1072" s="309">
        <f t="shared" si="692"/>
        <v>4</v>
      </c>
      <c r="DD1072" s="309">
        <f t="shared" si="693"/>
        <v>0</v>
      </c>
      <c r="DE1072" s="308">
        <f t="shared" si="694"/>
        <v>0</v>
      </c>
      <c r="DF1072" s="313">
        <f t="shared" si="708"/>
        <v>600</v>
      </c>
      <c r="DG1072" s="313">
        <f t="shared" si="712"/>
        <v>0</v>
      </c>
      <c r="DH1072" s="313">
        <f t="shared" si="698"/>
        <v>0</v>
      </c>
      <c r="DI1072" s="313">
        <f t="shared" si="699"/>
        <v>0</v>
      </c>
      <c r="DJ1072" s="313">
        <f t="shared" si="700"/>
        <v>0</v>
      </c>
      <c r="DK1072" s="313">
        <f t="shared" si="709"/>
        <v>0</v>
      </c>
      <c r="DL1072" s="313">
        <f t="shared" si="701"/>
        <v>0</v>
      </c>
      <c r="DM1072" s="314">
        <f t="shared" si="702"/>
        <v>0</v>
      </c>
      <c r="DN1072" s="312">
        <f t="shared" si="703"/>
        <v>0</v>
      </c>
      <c r="DO1072" s="312">
        <f t="shared" si="710"/>
        <v>0</v>
      </c>
      <c r="DP1072" s="315" t="e">
        <f t="shared" si="695"/>
        <v>#NUM!</v>
      </c>
      <c r="DQ1072" s="316">
        <f t="shared" si="704"/>
        <v>0</v>
      </c>
      <c r="DR1072" s="316">
        <f t="shared" si="705"/>
        <v>0</v>
      </c>
      <c r="DS1072" s="314">
        <f t="shared" si="706"/>
        <v>0</v>
      </c>
      <c r="DT1072" s="316">
        <f t="shared" si="707"/>
        <v>0</v>
      </c>
      <c r="DU1072" s="314">
        <f t="shared" si="696"/>
        <v>0</v>
      </c>
      <c r="DV1072" s="316">
        <f t="shared" si="711"/>
        <v>0</v>
      </c>
      <c r="DW1072" s="310">
        <f t="shared" si="697"/>
        <v>0</v>
      </c>
      <c r="FB1072" s="307"/>
      <c r="FC1072" s="307"/>
      <c r="FF1072" s="307"/>
      <c r="FH1072" s="306"/>
      <c r="FJ1072" s="307"/>
      <c r="FK1072" s="307"/>
      <c r="FL1072" s="306"/>
      <c r="FM1072" s="307"/>
      <c r="FN1072" s="306"/>
      <c r="FO1072" s="307"/>
      <c r="FP1072" s="306"/>
    </row>
    <row r="1073" spans="29:172">
      <c r="AC1073" s="156"/>
      <c r="CW1073" s="364"/>
      <c r="CX1073" s="316"/>
      <c r="CY1073" s="316"/>
      <c r="DA1073" s="309">
        <v>1072</v>
      </c>
      <c r="DB1073" s="313">
        <f t="shared" si="691"/>
        <v>590.17609113336891</v>
      </c>
      <c r="DC1073" s="309">
        <f t="shared" si="692"/>
        <v>4</v>
      </c>
      <c r="DD1073" s="309">
        <f t="shared" si="693"/>
        <v>0</v>
      </c>
      <c r="DE1073" s="308">
        <f t="shared" si="694"/>
        <v>0</v>
      </c>
      <c r="DF1073" s="313">
        <f t="shared" si="708"/>
        <v>600</v>
      </c>
      <c r="DG1073" s="313">
        <f t="shared" si="712"/>
        <v>0</v>
      </c>
      <c r="DH1073" s="313">
        <f t="shared" si="698"/>
        <v>0</v>
      </c>
      <c r="DI1073" s="313">
        <f t="shared" si="699"/>
        <v>0</v>
      </c>
      <c r="DJ1073" s="313">
        <f t="shared" si="700"/>
        <v>0</v>
      </c>
      <c r="DK1073" s="313">
        <f t="shared" si="709"/>
        <v>0</v>
      </c>
      <c r="DL1073" s="313">
        <f t="shared" si="701"/>
        <v>0</v>
      </c>
      <c r="DM1073" s="314">
        <f t="shared" si="702"/>
        <v>0</v>
      </c>
      <c r="DN1073" s="312">
        <f t="shared" si="703"/>
        <v>0</v>
      </c>
      <c r="DO1073" s="312">
        <f t="shared" si="710"/>
        <v>0</v>
      </c>
      <c r="DP1073" s="315" t="e">
        <f t="shared" si="695"/>
        <v>#NUM!</v>
      </c>
      <c r="DQ1073" s="316">
        <f t="shared" si="704"/>
        <v>0</v>
      </c>
      <c r="DR1073" s="316">
        <f t="shared" si="705"/>
        <v>0</v>
      </c>
      <c r="DS1073" s="314">
        <f t="shared" si="706"/>
        <v>0</v>
      </c>
      <c r="DT1073" s="316">
        <f t="shared" si="707"/>
        <v>0</v>
      </c>
      <c r="DU1073" s="314">
        <f t="shared" si="696"/>
        <v>0</v>
      </c>
      <c r="DV1073" s="316">
        <f t="shared" si="711"/>
        <v>0</v>
      </c>
      <c r="DW1073" s="310">
        <f t="shared" si="697"/>
        <v>0</v>
      </c>
      <c r="FB1073" s="307"/>
      <c r="FC1073" s="307"/>
      <c r="FF1073" s="307"/>
      <c r="FH1073" s="306"/>
      <c r="FJ1073" s="307"/>
      <c r="FK1073" s="307"/>
      <c r="FL1073" s="306"/>
      <c r="FM1073" s="307"/>
      <c r="FN1073" s="306"/>
      <c r="FO1073" s="307"/>
      <c r="FP1073" s="306"/>
    </row>
    <row r="1074" spans="29:172">
      <c r="AC1074" s="156"/>
      <c r="CW1074" s="364"/>
      <c r="CX1074" s="316"/>
      <c r="CY1074" s="316"/>
      <c r="DA1074" s="309">
        <v>1073</v>
      </c>
      <c r="DB1074" s="313">
        <f t="shared" si="691"/>
        <v>590.54006136763519</v>
      </c>
      <c r="DC1074" s="309">
        <f t="shared" si="692"/>
        <v>4</v>
      </c>
      <c r="DD1074" s="309">
        <f t="shared" si="693"/>
        <v>0</v>
      </c>
      <c r="DE1074" s="308">
        <f t="shared" si="694"/>
        <v>0</v>
      </c>
      <c r="DF1074" s="313">
        <f t="shared" si="708"/>
        <v>600</v>
      </c>
      <c r="DG1074" s="313">
        <f t="shared" si="712"/>
        <v>0</v>
      </c>
      <c r="DH1074" s="313">
        <f t="shared" si="698"/>
        <v>0</v>
      </c>
      <c r="DI1074" s="313">
        <f t="shared" si="699"/>
        <v>0</v>
      </c>
      <c r="DJ1074" s="313">
        <f t="shared" si="700"/>
        <v>0</v>
      </c>
      <c r="DK1074" s="313">
        <f t="shared" si="709"/>
        <v>0</v>
      </c>
      <c r="DL1074" s="313">
        <f t="shared" si="701"/>
        <v>0</v>
      </c>
      <c r="DM1074" s="314">
        <f t="shared" si="702"/>
        <v>0</v>
      </c>
      <c r="DN1074" s="312">
        <f t="shared" si="703"/>
        <v>0</v>
      </c>
      <c r="DO1074" s="312">
        <f t="shared" si="710"/>
        <v>0</v>
      </c>
      <c r="DP1074" s="315" t="e">
        <f t="shared" si="695"/>
        <v>#NUM!</v>
      </c>
      <c r="DQ1074" s="316">
        <f t="shared" si="704"/>
        <v>0</v>
      </c>
      <c r="DR1074" s="316">
        <f t="shared" si="705"/>
        <v>0</v>
      </c>
      <c r="DS1074" s="314">
        <f t="shared" si="706"/>
        <v>0</v>
      </c>
      <c r="DT1074" s="316">
        <f t="shared" si="707"/>
        <v>0</v>
      </c>
      <c r="DU1074" s="314">
        <f t="shared" si="696"/>
        <v>0</v>
      </c>
      <c r="DV1074" s="316">
        <f t="shared" si="711"/>
        <v>0</v>
      </c>
      <c r="DW1074" s="310">
        <f t="shared" si="697"/>
        <v>0</v>
      </c>
      <c r="FB1074" s="307"/>
      <c r="FC1074" s="307"/>
      <c r="FF1074" s="307"/>
      <c r="FH1074" s="306"/>
      <c r="FJ1074" s="307"/>
      <c r="FK1074" s="307"/>
      <c r="FL1074" s="306"/>
      <c r="FM1074" s="307"/>
      <c r="FN1074" s="306"/>
      <c r="FO1074" s="307"/>
      <c r="FP1074" s="306"/>
    </row>
    <row r="1075" spans="29:172">
      <c r="AC1075" s="156"/>
      <c r="CW1075" s="364"/>
      <c r="CX1075" s="316"/>
      <c r="CY1075" s="316"/>
      <c r="DA1075" s="309">
        <v>1074</v>
      </c>
      <c r="DB1075" s="313">
        <f t="shared" si="691"/>
        <v>590.90403160190135</v>
      </c>
      <c r="DC1075" s="309">
        <f t="shared" si="692"/>
        <v>4</v>
      </c>
      <c r="DD1075" s="309">
        <f t="shared" si="693"/>
        <v>0</v>
      </c>
      <c r="DE1075" s="308">
        <f t="shared" si="694"/>
        <v>0</v>
      </c>
      <c r="DF1075" s="313">
        <f t="shared" si="708"/>
        <v>600</v>
      </c>
      <c r="DG1075" s="313">
        <f t="shared" si="712"/>
        <v>0</v>
      </c>
      <c r="DH1075" s="313">
        <f t="shared" si="698"/>
        <v>0</v>
      </c>
      <c r="DI1075" s="313">
        <f t="shared" si="699"/>
        <v>0</v>
      </c>
      <c r="DJ1075" s="313">
        <f t="shared" si="700"/>
        <v>0</v>
      </c>
      <c r="DK1075" s="313">
        <f t="shared" si="709"/>
        <v>0</v>
      </c>
      <c r="DL1075" s="313">
        <f t="shared" si="701"/>
        <v>0</v>
      </c>
      <c r="DM1075" s="314">
        <f t="shared" si="702"/>
        <v>0</v>
      </c>
      <c r="DN1075" s="312">
        <f t="shared" si="703"/>
        <v>0</v>
      </c>
      <c r="DO1075" s="312">
        <f t="shared" si="710"/>
        <v>0</v>
      </c>
      <c r="DP1075" s="315" t="e">
        <f t="shared" si="695"/>
        <v>#NUM!</v>
      </c>
      <c r="DQ1075" s="316">
        <f t="shared" si="704"/>
        <v>0</v>
      </c>
      <c r="DR1075" s="316">
        <f t="shared" si="705"/>
        <v>0</v>
      </c>
      <c r="DS1075" s="314">
        <f t="shared" si="706"/>
        <v>0</v>
      </c>
      <c r="DT1075" s="316">
        <f t="shared" si="707"/>
        <v>0</v>
      </c>
      <c r="DU1075" s="314">
        <f t="shared" si="696"/>
        <v>0</v>
      </c>
      <c r="DV1075" s="316">
        <f t="shared" si="711"/>
        <v>0</v>
      </c>
      <c r="DW1075" s="310">
        <f t="shared" si="697"/>
        <v>0</v>
      </c>
      <c r="FB1075" s="307"/>
      <c r="FC1075" s="307"/>
      <c r="FF1075" s="307"/>
      <c r="FH1075" s="306"/>
      <c r="FJ1075" s="307"/>
      <c r="FK1075" s="307"/>
      <c r="FL1075" s="306"/>
      <c r="FM1075" s="307"/>
      <c r="FN1075" s="306"/>
      <c r="FO1075" s="307"/>
      <c r="FP1075" s="306"/>
    </row>
    <row r="1076" spans="29:172">
      <c r="AC1076" s="156"/>
      <c r="CW1076" s="364"/>
      <c r="CX1076" s="316"/>
      <c r="CY1076" s="316"/>
      <c r="DA1076" s="309">
        <v>1075</v>
      </c>
      <c r="DB1076" s="313">
        <f t="shared" si="691"/>
        <v>591.26800183616751</v>
      </c>
      <c r="DC1076" s="309">
        <f t="shared" si="692"/>
        <v>4</v>
      </c>
      <c r="DD1076" s="309">
        <f t="shared" si="693"/>
        <v>0</v>
      </c>
      <c r="DE1076" s="308">
        <f t="shared" si="694"/>
        <v>0</v>
      </c>
      <c r="DF1076" s="313">
        <f t="shared" si="708"/>
        <v>600</v>
      </c>
      <c r="DG1076" s="313">
        <f t="shared" si="712"/>
        <v>0</v>
      </c>
      <c r="DH1076" s="313">
        <f t="shared" si="698"/>
        <v>0</v>
      </c>
      <c r="DI1076" s="313">
        <f t="shared" si="699"/>
        <v>0</v>
      </c>
      <c r="DJ1076" s="313">
        <f t="shared" si="700"/>
        <v>0</v>
      </c>
      <c r="DK1076" s="313">
        <f t="shared" si="709"/>
        <v>0</v>
      </c>
      <c r="DL1076" s="313">
        <f t="shared" si="701"/>
        <v>0</v>
      </c>
      <c r="DM1076" s="314">
        <f t="shared" si="702"/>
        <v>0</v>
      </c>
      <c r="DN1076" s="312">
        <f t="shared" si="703"/>
        <v>0</v>
      </c>
      <c r="DO1076" s="312">
        <f t="shared" si="710"/>
        <v>0</v>
      </c>
      <c r="DP1076" s="315" t="e">
        <f t="shared" si="695"/>
        <v>#NUM!</v>
      </c>
      <c r="DQ1076" s="316">
        <f t="shared" si="704"/>
        <v>0</v>
      </c>
      <c r="DR1076" s="316">
        <f t="shared" si="705"/>
        <v>0</v>
      </c>
      <c r="DS1076" s="314">
        <f t="shared" si="706"/>
        <v>0</v>
      </c>
      <c r="DT1076" s="316">
        <f t="shared" si="707"/>
        <v>0</v>
      </c>
      <c r="DU1076" s="314">
        <f t="shared" si="696"/>
        <v>0</v>
      </c>
      <c r="DV1076" s="316">
        <f t="shared" si="711"/>
        <v>0</v>
      </c>
      <c r="DW1076" s="310">
        <f t="shared" si="697"/>
        <v>0</v>
      </c>
      <c r="FB1076" s="307"/>
      <c r="FC1076" s="307"/>
      <c r="FF1076" s="307"/>
      <c r="FH1076" s="306"/>
      <c r="FJ1076" s="307"/>
      <c r="FK1076" s="307"/>
      <c r="FL1076" s="306"/>
      <c r="FM1076" s="307"/>
      <c r="FN1076" s="306"/>
      <c r="FO1076" s="307"/>
      <c r="FP1076" s="306"/>
    </row>
    <row r="1077" spans="29:172">
      <c r="AC1077" s="156"/>
      <c r="CW1077" s="364"/>
      <c r="CX1077" s="316"/>
      <c r="CY1077" s="316"/>
      <c r="DA1077" s="309">
        <v>1076</v>
      </c>
      <c r="DB1077" s="313">
        <f t="shared" si="691"/>
        <v>591.63197207043368</v>
      </c>
      <c r="DC1077" s="309">
        <f t="shared" si="692"/>
        <v>4</v>
      </c>
      <c r="DD1077" s="309">
        <f t="shared" si="693"/>
        <v>0</v>
      </c>
      <c r="DE1077" s="308">
        <f t="shared" si="694"/>
        <v>0</v>
      </c>
      <c r="DF1077" s="313">
        <f t="shared" si="708"/>
        <v>600</v>
      </c>
      <c r="DG1077" s="313">
        <f t="shared" si="712"/>
        <v>0</v>
      </c>
      <c r="DH1077" s="313">
        <f t="shared" si="698"/>
        <v>0</v>
      </c>
      <c r="DI1077" s="313">
        <f t="shared" si="699"/>
        <v>0</v>
      </c>
      <c r="DJ1077" s="313">
        <f t="shared" si="700"/>
        <v>0</v>
      </c>
      <c r="DK1077" s="313">
        <f t="shared" si="709"/>
        <v>0</v>
      </c>
      <c r="DL1077" s="313">
        <f t="shared" si="701"/>
        <v>0</v>
      </c>
      <c r="DM1077" s="314">
        <f t="shared" si="702"/>
        <v>0</v>
      </c>
      <c r="DN1077" s="312">
        <f t="shared" si="703"/>
        <v>0</v>
      </c>
      <c r="DO1077" s="312">
        <f t="shared" si="710"/>
        <v>0</v>
      </c>
      <c r="DP1077" s="315" t="e">
        <f t="shared" si="695"/>
        <v>#NUM!</v>
      </c>
      <c r="DQ1077" s="316">
        <f t="shared" si="704"/>
        <v>0</v>
      </c>
      <c r="DR1077" s="316">
        <f t="shared" si="705"/>
        <v>0</v>
      </c>
      <c r="DS1077" s="314">
        <f t="shared" si="706"/>
        <v>0</v>
      </c>
      <c r="DT1077" s="316">
        <f t="shared" si="707"/>
        <v>0</v>
      </c>
      <c r="DU1077" s="314">
        <f t="shared" si="696"/>
        <v>0</v>
      </c>
      <c r="DV1077" s="316">
        <f t="shared" si="711"/>
        <v>0</v>
      </c>
      <c r="DW1077" s="310">
        <f t="shared" si="697"/>
        <v>0</v>
      </c>
      <c r="FB1077" s="307"/>
      <c r="FC1077" s="307"/>
      <c r="FF1077" s="307"/>
      <c r="FH1077" s="306"/>
      <c r="FJ1077" s="307"/>
      <c r="FK1077" s="307"/>
      <c r="FL1077" s="306"/>
      <c r="FM1077" s="307"/>
      <c r="FN1077" s="306"/>
      <c r="FO1077" s="307"/>
      <c r="FP1077" s="306"/>
    </row>
    <row r="1078" spans="29:172">
      <c r="AC1078" s="156"/>
      <c r="CW1078" s="364"/>
      <c r="CX1078" s="316"/>
      <c r="CY1078" s="316"/>
      <c r="DA1078" s="309">
        <v>1077</v>
      </c>
      <c r="DB1078" s="313">
        <f t="shared" si="691"/>
        <v>591.99594230469984</v>
      </c>
      <c r="DC1078" s="309">
        <f t="shared" si="692"/>
        <v>4</v>
      </c>
      <c r="DD1078" s="309">
        <f t="shared" si="693"/>
        <v>0</v>
      </c>
      <c r="DE1078" s="308">
        <f t="shared" si="694"/>
        <v>0</v>
      </c>
      <c r="DF1078" s="313">
        <f t="shared" si="708"/>
        <v>600</v>
      </c>
      <c r="DG1078" s="313">
        <f t="shared" si="712"/>
        <v>0</v>
      </c>
      <c r="DH1078" s="313">
        <f t="shared" si="698"/>
        <v>0</v>
      </c>
      <c r="DI1078" s="313">
        <f t="shared" si="699"/>
        <v>0</v>
      </c>
      <c r="DJ1078" s="313">
        <f t="shared" si="700"/>
        <v>0</v>
      </c>
      <c r="DK1078" s="313">
        <f t="shared" si="709"/>
        <v>0</v>
      </c>
      <c r="DL1078" s="313">
        <f t="shared" si="701"/>
        <v>0</v>
      </c>
      <c r="DM1078" s="314">
        <f t="shared" si="702"/>
        <v>0</v>
      </c>
      <c r="DN1078" s="312">
        <f t="shared" si="703"/>
        <v>0</v>
      </c>
      <c r="DO1078" s="312">
        <f t="shared" si="710"/>
        <v>0</v>
      </c>
      <c r="DP1078" s="315" t="e">
        <f t="shared" si="695"/>
        <v>#NUM!</v>
      </c>
      <c r="DQ1078" s="316">
        <f t="shared" si="704"/>
        <v>0</v>
      </c>
      <c r="DR1078" s="316">
        <f t="shared" si="705"/>
        <v>0</v>
      </c>
      <c r="DS1078" s="314">
        <f t="shared" si="706"/>
        <v>0</v>
      </c>
      <c r="DT1078" s="316">
        <f t="shared" si="707"/>
        <v>0</v>
      </c>
      <c r="DU1078" s="314">
        <f t="shared" si="696"/>
        <v>0</v>
      </c>
      <c r="DV1078" s="316">
        <f t="shared" si="711"/>
        <v>0</v>
      </c>
      <c r="DW1078" s="310">
        <f t="shared" si="697"/>
        <v>0</v>
      </c>
      <c r="FB1078" s="307"/>
      <c r="FC1078" s="307"/>
      <c r="FF1078" s="307"/>
      <c r="FH1078" s="306"/>
      <c r="FJ1078" s="307"/>
      <c r="FK1078" s="307"/>
      <c r="FL1078" s="306"/>
      <c r="FM1078" s="307"/>
      <c r="FN1078" s="306"/>
      <c r="FO1078" s="307"/>
      <c r="FP1078" s="306"/>
    </row>
    <row r="1079" spans="29:172">
      <c r="AC1079" s="156"/>
      <c r="CW1079" s="364"/>
      <c r="CX1079" s="316"/>
      <c r="CY1079" s="316"/>
      <c r="DA1079" s="309">
        <v>1078</v>
      </c>
      <c r="DB1079" s="313">
        <f t="shared" si="691"/>
        <v>592.35991253896611</v>
      </c>
      <c r="DC1079" s="309">
        <f t="shared" si="692"/>
        <v>4</v>
      </c>
      <c r="DD1079" s="309">
        <f t="shared" si="693"/>
        <v>0</v>
      </c>
      <c r="DE1079" s="308">
        <f t="shared" si="694"/>
        <v>0</v>
      </c>
      <c r="DF1079" s="313">
        <f t="shared" si="708"/>
        <v>600</v>
      </c>
      <c r="DG1079" s="313">
        <f t="shared" si="712"/>
        <v>0</v>
      </c>
      <c r="DH1079" s="313">
        <f t="shared" si="698"/>
        <v>0</v>
      </c>
      <c r="DI1079" s="313">
        <f t="shared" si="699"/>
        <v>0</v>
      </c>
      <c r="DJ1079" s="313">
        <f t="shared" si="700"/>
        <v>0</v>
      </c>
      <c r="DK1079" s="313">
        <f t="shared" si="709"/>
        <v>0</v>
      </c>
      <c r="DL1079" s="313">
        <f t="shared" si="701"/>
        <v>0</v>
      </c>
      <c r="DM1079" s="314">
        <f t="shared" si="702"/>
        <v>0</v>
      </c>
      <c r="DN1079" s="312">
        <f t="shared" si="703"/>
        <v>0</v>
      </c>
      <c r="DO1079" s="312">
        <f t="shared" si="710"/>
        <v>0</v>
      </c>
      <c r="DP1079" s="315" t="e">
        <f t="shared" si="695"/>
        <v>#NUM!</v>
      </c>
      <c r="DQ1079" s="316">
        <f t="shared" si="704"/>
        <v>0</v>
      </c>
      <c r="DR1079" s="316">
        <f t="shared" si="705"/>
        <v>0</v>
      </c>
      <c r="DS1079" s="314">
        <f t="shared" si="706"/>
        <v>0</v>
      </c>
      <c r="DT1079" s="316">
        <f t="shared" si="707"/>
        <v>0</v>
      </c>
      <c r="DU1079" s="314">
        <f t="shared" si="696"/>
        <v>0</v>
      </c>
      <c r="DV1079" s="316">
        <f t="shared" si="711"/>
        <v>0</v>
      </c>
      <c r="DW1079" s="310">
        <f t="shared" si="697"/>
        <v>0</v>
      </c>
      <c r="FB1079" s="307"/>
      <c r="FC1079" s="307"/>
      <c r="FF1079" s="307"/>
      <c r="FH1079" s="306"/>
      <c r="FJ1079" s="307"/>
      <c r="FK1079" s="307"/>
      <c r="FL1079" s="306"/>
      <c r="FM1079" s="307"/>
      <c r="FN1079" s="306"/>
      <c r="FO1079" s="307"/>
      <c r="FP1079" s="306"/>
    </row>
    <row r="1080" spans="29:172">
      <c r="AC1080" s="156"/>
      <c r="CW1080" s="364"/>
      <c r="CX1080" s="316"/>
      <c r="CY1080" s="316"/>
      <c r="DA1080" s="309">
        <v>1079</v>
      </c>
      <c r="DB1080" s="313">
        <f t="shared" si="691"/>
        <v>592.72388277323239</v>
      </c>
      <c r="DC1080" s="309">
        <f t="shared" si="692"/>
        <v>4</v>
      </c>
      <c r="DD1080" s="309">
        <f t="shared" si="693"/>
        <v>0</v>
      </c>
      <c r="DE1080" s="308">
        <f t="shared" si="694"/>
        <v>0</v>
      </c>
      <c r="DF1080" s="313">
        <f t="shared" si="708"/>
        <v>600</v>
      </c>
      <c r="DG1080" s="313">
        <f t="shared" si="712"/>
        <v>0</v>
      </c>
      <c r="DH1080" s="313">
        <f t="shared" si="698"/>
        <v>0</v>
      </c>
      <c r="DI1080" s="313">
        <f t="shared" si="699"/>
        <v>0</v>
      </c>
      <c r="DJ1080" s="313">
        <f t="shared" si="700"/>
        <v>0</v>
      </c>
      <c r="DK1080" s="313">
        <f t="shared" si="709"/>
        <v>0</v>
      </c>
      <c r="DL1080" s="313">
        <f t="shared" si="701"/>
        <v>0</v>
      </c>
      <c r="DM1080" s="314">
        <f t="shared" si="702"/>
        <v>0</v>
      </c>
      <c r="DN1080" s="312">
        <f t="shared" si="703"/>
        <v>0</v>
      </c>
      <c r="DO1080" s="312">
        <f t="shared" si="710"/>
        <v>0</v>
      </c>
      <c r="DP1080" s="315" t="e">
        <f t="shared" si="695"/>
        <v>#NUM!</v>
      </c>
      <c r="DQ1080" s="316">
        <f t="shared" si="704"/>
        <v>0</v>
      </c>
      <c r="DR1080" s="316">
        <f t="shared" si="705"/>
        <v>0</v>
      </c>
      <c r="DS1080" s="314">
        <f t="shared" si="706"/>
        <v>0</v>
      </c>
      <c r="DT1080" s="316">
        <f t="shared" si="707"/>
        <v>0</v>
      </c>
      <c r="DU1080" s="314">
        <f t="shared" si="696"/>
        <v>0</v>
      </c>
      <c r="DV1080" s="316">
        <f t="shared" si="711"/>
        <v>0</v>
      </c>
      <c r="DW1080" s="310">
        <f t="shared" si="697"/>
        <v>0</v>
      </c>
      <c r="FB1080" s="307"/>
      <c r="FC1080" s="307"/>
      <c r="FF1080" s="307"/>
      <c r="FH1080" s="306"/>
      <c r="FJ1080" s="307"/>
      <c r="FK1080" s="307"/>
      <c r="FL1080" s="306"/>
      <c r="FM1080" s="307"/>
      <c r="FN1080" s="306"/>
      <c r="FO1080" s="307"/>
      <c r="FP1080" s="306"/>
    </row>
    <row r="1081" spans="29:172">
      <c r="AC1081" s="156"/>
      <c r="CW1081" s="364"/>
      <c r="CX1081" s="316"/>
      <c r="CY1081" s="316"/>
      <c r="DA1081" s="309">
        <v>1080</v>
      </c>
      <c r="DB1081" s="313">
        <f t="shared" si="691"/>
        <v>593.08785300749855</v>
      </c>
      <c r="DC1081" s="309">
        <f t="shared" si="692"/>
        <v>4</v>
      </c>
      <c r="DD1081" s="309">
        <f t="shared" si="693"/>
        <v>0</v>
      </c>
      <c r="DE1081" s="308">
        <f t="shared" si="694"/>
        <v>0</v>
      </c>
      <c r="DF1081" s="313">
        <f t="shared" si="708"/>
        <v>600</v>
      </c>
      <c r="DG1081" s="313">
        <f t="shared" si="712"/>
        <v>0</v>
      </c>
      <c r="DH1081" s="313">
        <f t="shared" si="698"/>
        <v>0</v>
      </c>
      <c r="DI1081" s="313">
        <f t="shared" si="699"/>
        <v>0</v>
      </c>
      <c r="DJ1081" s="313">
        <f t="shared" si="700"/>
        <v>0</v>
      </c>
      <c r="DK1081" s="313">
        <f t="shared" si="709"/>
        <v>0</v>
      </c>
      <c r="DL1081" s="313">
        <f t="shared" si="701"/>
        <v>0</v>
      </c>
      <c r="DM1081" s="314">
        <f t="shared" si="702"/>
        <v>0</v>
      </c>
      <c r="DN1081" s="312">
        <f t="shared" si="703"/>
        <v>0</v>
      </c>
      <c r="DO1081" s="312">
        <f t="shared" si="710"/>
        <v>0</v>
      </c>
      <c r="DP1081" s="315" t="e">
        <f t="shared" si="695"/>
        <v>#NUM!</v>
      </c>
      <c r="DQ1081" s="316">
        <f t="shared" si="704"/>
        <v>0</v>
      </c>
      <c r="DR1081" s="316">
        <f t="shared" si="705"/>
        <v>0</v>
      </c>
      <c r="DS1081" s="314">
        <f t="shared" si="706"/>
        <v>0</v>
      </c>
      <c r="DT1081" s="316">
        <f t="shared" si="707"/>
        <v>0</v>
      </c>
      <c r="DU1081" s="314">
        <f t="shared" si="696"/>
        <v>0</v>
      </c>
      <c r="DV1081" s="316">
        <f t="shared" si="711"/>
        <v>0</v>
      </c>
      <c r="DW1081" s="310">
        <f t="shared" si="697"/>
        <v>0</v>
      </c>
      <c r="FB1081" s="307"/>
      <c r="FC1081" s="307"/>
      <c r="FF1081" s="307"/>
      <c r="FH1081" s="306"/>
      <c r="FJ1081" s="307"/>
      <c r="FK1081" s="307"/>
      <c r="FL1081" s="306"/>
      <c r="FM1081" s="307"/>
      <c r="FN1081" s="306"/>
      <c r="FO1081" s="307"/>
      <c r="FP1081" s="306"/>
    </row>
    <row r="1082" spans="29:172">
      <c r="AC1082" s="156"/>
      <c r="CW1082" s="364"/>
      <c r="CX1082" s="316"/>
      <c r="CY1082" s="316"/>
      <c r="DA1082" s="309">
        <v>1081</v>
      </c>
      <c r="DB1082" s="313">
        <f t="shared" si="691"/>
        <v>593.45182324176471</v>
      </c>
      <c r="DC1082" s="309">
        <f t="shared" si="692"/>
        <v>4</v>
      </c>
      <c r="DD1082" s="309">
        <f t="shared" si="693"/>
        <v>0</v>
      </c>
      <c r="DE1082" s="308">
        <f t="shared" si="694"/>
        <v>0</v>
      </c>
      <c r="DF1082" s="313">
        <f t="shared" si="708"/>
        <v>600</v>
      </c>
      <c r="DG1082" s="313">
        <f t="shared" si="712"/>
        <v>0</v>
      </c>
      <c r="DH1082" s="313">
        <f t="shared" si="698"/>
        <v>0</v>
      </c>
      <c r="DI1082" s="313">
        <f t="shared" si="699"/>
        <v>0</v>
      </c>
      <c r="DJ1082" s="313">
        <f t="shared" si="700"/>
        <v>0</v>
      </c>
      <c r="DK1082" s="313">
        <f t="shared" si="709"/>
        <v>0</v>
      </c>
      <c r="DL1082" s="313">
        <f t="shared" si="701"/>
        <v>0</v>
      </c>
      <c r="DM1082" s="314">
        <f t="shared" si="702"/>
        <v>0</v>
      </c>
      <c r="DN1082" s="312">
        <f t="shared" si="703"/>
        <v>0</v>
      </c>
      <c r="DO1082" s="312">
        <f t="shared" si="710"/>
        <v>0</v>
      </c>
      <c r="DP1082" s="315" t="e">
        <f t="shared" si="695"/>
        <v>#NUM!</v>
      </c>
      <c r="DQ1082" s="316">
        <f t="shared" si="704"/>
        <v>0</v>
      </c>
      <c r="DR1082" s="316">
        <f t="shared" si="705"/>
        <v>0</v>
      </c>
      <c r="DS1082" s="314">
        <f t="shared" si="706"/>
        <v>0</v>
      </c>
      <c r="DT1082" s="316">
        <f t="shared" si="707"/>
        <v>0</v>
      </c>
      <c r="DU1082" s="314">
        <f t="shared" si="696"/>
        <v>0</v>
      </c>
      <c r="DV1082" s="316">
        <f t="shared" si="711"/>
        <v>0</v>
      </c>
      <c r="DW1082" s="310">
        <f t="shared" si="697"/>
        <v>0</v>
      </c>
      <c r="FB1082" s="307"/>
      <c r="FC1082" s="307"/>
      <c r="FF1082" s="307"/>
      <c r="FH1082" s="306"/>
      <c r="FJ1082" s="307"/>
      <c r="FK1082" s="307"/>
      <c r="FL1082" s="306"/>
      <c r="FM1082" s="307"/>
      <c r="FN1082" s="306"/>
      <c r="FO1082" s="307"/>
      <c r="FP1082" s="306"/>
    </row>
    <row r="1083" spans="29:172">
      <c r="AC1083" s="156"/>
      <c r="CW1083" s="364"/>
      <c r="CX1083" s="316"/>
      <c r="CY1083" s="316"/>
      <c r="DA1083" s="309">
        <v>1082</v>
      </c>
      <c r="DB1083" s="313">
        <f t="shared" si="691"/>
        <v>593.81579347603088</v>
      </c>
      <c r="DC1083" s="309">
        <f t="shared" si="692"/>
        <v>4</v>
      </c>
      <c r="DD1083" s="309">
        <f t="shared" si="693"/>
        <v>0</v>
      </c>
      <c r="DE1083" s="308">
        <f t="shared" si="694"/>
        <v>0</v>
      </c>
      <c r="DF1083" s="313">
        <f t="shared" si="708"/>
        <v>600</v>
      </c>
      <c r="DG1083" s="313">
        <f t="shared" si="712"/>
        <v>0</v>
      </c>
      <c r="DH1083" s="313">
        <f t="shared" si="698"/>
        <v>0</v>
      </c>
      <c r="DI1083" s="313">
        <f t="shared" si="699"/>
        <v>0</v>
      </c>
      <c r="DJ1083" s="313">
        <f t="shared" si="700"/>
        <v>0</v>
      </c>
      <c r="DK1083" s="313">
        <f t="shared" si="709"/>
        <v>0</v>
      </c>
      <c r="DL1083" s="313">
        <f t="shared" si="701"/>
        <v>0</v>
      </c>
      <c r="DM1083" s="314">
        <f t="shared" si="702"/>
        <v>0</v>
      </c>
      <c r="DN1083" s="312">
        <f t="shared" si="703"/>
        <v>0</v>
      </c>
      <c r="DO1083" s="312">
        <f t="shared" si="710"/>
        <v>0</v>
      </c>
      <c r="DP1083" s="315" t="e">
        <f t="shared" si="695"/>
        <v>#NUM!</v>
      </c>
      <c r="DQ1083" s="316">
        <f t="shared" si="704"/>
        <v>0</v>
      </c>
      <c r="DR1083" s="316">
        <f t="shared" si="705"/>
        <v>0</v>
      </c>
      <c r="DS1083" s="314">
        <f t="shared" si="706"/>
        <v>0</v>
      </c>
      <c r="DT1083" s="316">
        <f t="shared" si="707"/>
        <v>0</v>
      </c>
      <c r="DU1083" s="314">
        <f t="shared" si="696"/>
        <v>0</v>
      </c>
      <c r="DV1083" s="316">
        <f t="shared" si="711"/>
        <v>0</v>
      </c>
      <c r="DW1083" s="310">
        <f t="shared" si="697"/>
        <v>0</v>
      </c>
      <c r="FB1083" s="307"/>
      <c r="FC1083" s="307"/>
      <c r="FF1083" s="307"/>
      <c r="FH1083" s="306"/>
      <c r="FJ1083" s="307"/>
      <c r="FK1083" s="307"/>
      <c r="FL1083" s="306"/>
      <c r="FM1083" s="307"/>
      <c r="FN1083" s="306"/>
      <c r="FO1083" s="307"/>
      <c r="FP1083" s="306"/>
    </row>
    <row r="1084" spans="29:172">
      <c r="AC1084" s="156"/>
      <c r="CW1084" s="364"/>
      <c r="CX1084" s="316"/>
      <c r="CY1084" s="316"/>
      <c r="DA1084" s="309">
        <v>1083</v>
      </c>
      <c r="DB1084" s="313">
        <f t="shared" si="691"/>
        <v>594.17976371029715</v>
      </c>
      <c r="DC1084" s="309">
        <f t="shared" si="692"/>
        <v>4</v>
      </c>
      <c r="DD1084" s="309">
        <f t="shared" si="693"/>
        <v>0</v>
      </c>
      <c r="DE1084" s="308">
        <f t="shared" si="694"/>
        <v>0</v>
      </c>
      <c r="DF1084" s="313">
        <f t="shared" si="708"/>
        <v>600</v>
      </c>
      <c r="DG1084" s="313">
        <f t="shared" si="712"/>
        <v>0</v>
      </c>
      <c r="DH1084" s="313">
        <f t="shared" si="698"/>
        <v>0</v>
      </c>
      <c r="DI1084" s="313">
        <f t="shared" si="699"/>
        <v>0</v>
      </c>
      <c r="DJ1084" s="313">
        <f t="shared" si="700"/>
        <v>0</v>
      </c>
      <c r="DK1084" s="313">
        <f t="shared" si="709"/>
        <v>0</v>
      </c>
      <c r="DL1084" s="313">
        <f t="shared" si="701"/>
        <v>0</v>
      </c>
      <c r="DM1084" s="314">
        <f t="shared" si="702"/>
        <v>0</v>
      </c>
      <c r="DN1084" s="312">
        <f t="shared" si="703"/>
        <v>0</v>
      </c>
      <c r="DO1084" s="312">
        <f t="shared" si="710"/>
        <v>0</v>
      </c>
      <c r="DP1084" s="315" t="e">
        <f t="shared" si="695"/>
        <v>#NUM!</v>
      </c>
      <c r="DQ1084" s="316">
        <f t="shared" si="704"/>
        <v>0</v>
      </c>
      <c r="DR1084" s="316">
        <f t="shared" si="705"/>
        <v>0</v>
      </c>
      <c r="DS1084" s="314">
        <f t="shared" si="706"/>
        <v>0</v>
      </c>
      <c r="DT1084" s="316">
        <f t="shared" si="707"/>
        <v>0</v>
      </c>
      <c r="DU1084" s="314">
        <f t="shared" si="696"/>
        <v>0</v>
      </c>
      <c r="DV1084" s="316">
        <f t="shared" si="711"/>
        <v>0</v>
      </c>
      <c r="DW1084" s="310">
        <f t="shared" si="697"/>
        <v>0</v>
      </c>
      <c r="FB1084" s="307"/>
      <c r="FC1084" s="307"/>
      <c r="FF1084" s="307"/>
      <c r="FH1084" s="306"/>
      <c r="FJ1084" s="307"/>
      <c r="FK1084" s="307"/>
      <c r="FL1084" s="306"/>
      <c r="FM1084" s="307"/>
      <c r="FN1084" s="306"/>
      <c r="FO1084" s="307"/>
      <c r="FP1084" s="306"/>
    </row>
    <row r="1085" spans="29:172">
      <c r="AC1085" s="156"/>
      <c r="CW1085" s="364"/>
      <c r="CX1085" s="316"/>
      <c r="CY1085" s="316"/>
      <c r="DA1085" s="309">
        <v>1084</v>
      </c>
      <c r="DB1085" s="313">
        <f t="shared" si="691"/>
        <v>594.54373394456331</v>
      </c>
      <c r="DC1085" s="309">
        <f t="shared" si="692"/>
        <v>4</v>
      </c>
      <c r="DD1085" s="309">
        <f t="shared" si="693"/>
        <v>0</v>
      </c>
      <c r="DE1085" s="308">
        <f t="shared" si="694"/>
        <v>0</v>
      </c>
      <c r="DF1085" s="313">
        <f t="shared" si="708"/>
        <v>600</v>
      </c>
      <c r="DG1085" s="313">
        <f t="shared" si="712"/>
        <v>0</v>
      </c>
      <c r="DH1085" s="313">
        <f t="shared" si="698"/>
        <v>0</v>
      </c>
      <c r="DI1085" s="313">
        <f t="shared" si="699"/>
        <v>0</v>
      </c>
      <c r="DJ1085" s="313">
        <f t="shared" si="700"/>
        <v>0</v>
      </c>
      <c r="DK1085" s="313">
        <f t="shared" si="709"/>
        <v>0</v>
      </c>
      <c r="DL1085" s="313">
        <f t="shared" si="701"/>
        <v>0</v>
      </c>
      <c r="DM1085" s="314">
        <f t="shared" si="702"/>
        <v>0</v>
      </c>
      <c r="DN1085" s="312">
        <f t="shared" si="703"/>
        <v>0</v>
      </c>
      <c r="DO1085" s="312">
        <f t="shared" si="710"/>
        <v>0</v>
      </c>
      <c r="DP1085" s="315" t="e">
        <f t="shared" si="695"/>
        <v>#NUM!</v>
      </c>
      <c r="DQ1085" s="316">
        <f t="shared" si="704"/>
        <v>0</v>
      </c>
      <c r="DR1085" s="316">
        <f t="shared" si="705"/>
        <v>0</v>
      </c>
      <c r="DS1085" s="314">
        <f t="shared" si="706"/>
        <v>0</v>
      </c>
      <c r="DT1085" s="316">
        <f t="shared" si="707"/>
        <v>0</v>
      </c>
      <c r="DU1085" s="314">
        <f t="shared" si="696"/>
        <v>0</v>
      </c>
      <c r="DV1085" s="316">
        <f t="shared" si="711"/>
        <v>0</v>
      </c>
      <c r="DW1085" s="310">
        <f t="shared" si="697"/>
        <v>0</v>
      </c>
      <c r="FB1085" s="307"/>
      <c r="FC1085" s="307"/>
      <c r="FF1085" s="307"/>
      <c r="FH1085" s="306"/>
      <c r="FJ1085" s="307"/>
      <c r="FK1085" s="307"/>
      <c r="FL1085" s="306"/>
      <c r="FM1085" s="307"/>
      <c r="FN1085" s="306"/>
      <c r="FO1085" s="307"/>
      <c r="FP1085" s="306"/>
    </row>
    <row r="1086" spans="29:172">
      <c r="AC1086" s="156"/>
      <c r="CW1086" s="364"/>
      <c r="CX1086" s="316"/>
      <c r="CY1086" s="316"/>
      <c r="DA1086" s="309">
        <v>1085</v>
      </c>
      <c r="DB1086" s="313">
        <f t="shared" si="691"/>
        <v>594.90770417882959</v>
      </c>
      <c r="DC1086" s="309">
        <f t="shared" si="692"/>
        <v>4</v>
      </c>
      <c r="DD1086" s="309">
        <f t="shared" si="693"/>
        <v>0</v>
      </c>
      <c r="DE1086" s="308">
        <f t="shared" si="694"/>
        <v>0</v>
      </c>
      <c r="DF1086" s="313">
        <f t="shared" si="708"/>
        <v>600</v>
      </c>
      <c r="DG1086" s="313">
        <f t="shared" si="712"/>
        <v>0</v>
      </c>
      <c r="DH1086" s="313">
        <f t="shared" si="698"/>
        <v>0</v>
      </c>
      <c r="DI1086" s="313">
        <f t="shared" si="699"/>
        <v>0</v>
      </c>
      <c r="DJ1086" s="313">
        <f t="shared" si="700"/>
        <v>0</v>
      </c>
      <c r="DK1086" s="313">
        <f t="shared" si="709"/>
        <v>0</v>
      </c>
      <c r="DL1086" s="313">
        <f t="shared" si="701"/>
        <v>0</v>
      </c>
      <c r="DM1086" s="314">
        <f t="shared" si="702"/>
        <v>0</v>
      </c>
      <c r="DN1086" s="312">
        <f t="shared" si="703"/>
        <v>0</v>
      </c>
      <c r="DO1086" s="312">
        <f t="shared" si="710"/>
        <v>0</v>
      </c>
      <c r="DP1086" s="315" t="e">
        <f t="shared" si="695"/>
        <v>#NUM!</v>
      </c>
      <c r="DQ1086" s="316">
        <f t="shared" si="704"/>
        <v>0</v>
      </c>
      <c r="DR1086" s="316">
        <f t="shared" si="705"/>
        <v>0</v>
      </c>
      <c r="DS1086" s="314">
        <f t="shared" si="706"/>
        <v>0</v>
      </c>
      <c r="DT1086" s="316">
        <f t="shared" si="707"/>
        <v>0</v>
      </c>
      <c r="DU1086" s="314">
        <f t="shared" si="696"/>
        <v>0</v>
      </c>
      <c r="DV1086" s="316">
        <f t="shared" si="711"/>
        <v>0</v>
      </c>
      <c r="DW1086" s="310">
        <f t="shared" si="697"/>
        <v>0</v>
      </c>
      <c r="FB1086" s="307"/>
      <c r="FC1086" s="307"/>
      <c r="FF1086" s="307"/>
      <c r="FH1086" s="306"/>
      <c r="FJ1086" s="307"/>
      <c r="FK1086" s="307"/>
      <c r="FL1086" s="306"/>
      <c r="FM1086" s="307"/>
      <c r="FN1086" s="306"/>
      <c r="FO1086" s="307"/>
      <c r="FP1086" s="306"/>
    </row>
    <row r="1087" spans="29:172">
      <c r="AC1087" s="156"/>
      <c r="CW1087" s="364"/>
      <c r="CX1087" s="316"/>
      <c r="CY1087" s="316"/>
      <c r="DA1087" s="309">
        <v>1086</v>
      </c>
      <c r="DB1087" s="313">
        <f t="shared" si="691"/>
        <v>595.27167441309575</v>
      </c>
      <c r="DC1087" s="309">
        <f t="shared" si="692"/>
        <v>4</v>
      </c>
      <c r="DD1087" s="309">
        <f t="shared" si="693"/>
        <v>0</v>
      </c>
      <c r="DE1087" s="308">
        <f t="shared" si="694"/>
        <v>0</v>
      </c>
      <c r="DF1087" s="313">
        <f t="shared" si="708"/>
        <v>600</v>
      </c>
      <c r="DG1087" s="313">
        <f t="shared" si="712"/>
        <v>0</v>
      </c>
      <c r="DH1087" s="313">
        <f t="shared" si="698"/>
        <v>0</v>
      </c>
      <c r="DI1087" s="313">
        <f t="shared" si="699"/>
        <v>0</v>
      </c>
      <c r="DJ1087" s="313">
        <f t="shared" si="700"/>
        <v>0</v>
      </c>
      <c r="DK1087" s="313">
        <f t="shared" si="709"/>
        <v>0</v>
      </c>
      <c r="DL1087" s="313">
        <f t="shared" si="701"/>
        <v>0</v>
      </c>
      <c r="DM1087" s="314">
        <f t="shared" si="702"/>
        <v>0</v>
      </c>
      <c r="DN1087" s="312">
        <f t="shared" si="703"/>
        <v>0</v>
      </c>
      <c r="DO1087" s="312">
        <f t="shared" si="710"/>
        <v>0</v>
      </c>
      <c r="DP1087" s="315" t="e">
        <f t="shared" si="695"/>
        <v>#NUM!</v>
      </c>
      <c r="DQ1087" s="316">
        <f t="shared" si="704"/>
        <v>0</v>
      </c>
      <c r="DR1087" s="316">
        <f t="shared" si="705"/>
        <v>0</v>
      </c>
      <c r="DS1087" s="314">
        <f t="shared" si="706"/>
        <v>0</v>
      </c>
      <c r="DT1087" s="316">
        <f t="shared" si="707"/>
        <v>0</v>
      </c>
      <c r="DU1087" s="314">
        <f t="shared" si="696"/>
        <v>0</v>
      </c>
      <c r="DV1087" s="316">
        <f t="shared" si="711"/>
        <v>0</v>
      </c>
      <c r="DW1087" s="310">
        <f t="shared" si="697"/>
        <v>0</v>
      </c>
      <c r="FB1087" s="307"/>
      <c r="FC1087" s="307"/>
      <c r="FF1087" s="307"/>
      <c r="FH1087" s="306"/>
      <c r="FJ1087" s="307"/>
      <c r="FK1087" s="307"/>
      <c r="FL1087" s="306"/>
      <c r="FM1087" s="307"/>
      <c r="FN1087" s="306"/>
      <c r="FO1087" s="307"/>
      <c r="FP1087" s="306"/>
    </row>
    <row r="1088" spans="29:172">
      <c r="AC1088" s="156"/>
      <c r="CW1088" s="364"/>
      <c r="CX1088" s="316"/>
      <c r="CY1088" s="316"/>
      <c r="DA1088" s="309">
        <v>1087</v>
      </c>
      <c r="DB1088" s="313">
        <f t="shared" si="691"/>
        <v>595.63564464736191</v>
      </c>
      <c r="DC1088" s="309">
        <f t="shared" si="692"/>
        <v>4</v>
      </c>
      <c r="DD1088" s="309">
        <f t="shared" si="693"/>
        <v>0</v>
      </c>
      <c r="DE1088" s="308">
        <f t="shared" si="694"/>
        <v>0</v>
      </c>
      <c r="DF1088" s="313">
        <f t="shared" si="708"/>
        <v>600</v>
      </c>
      <c r="DG1088" s="313">
        <f t="shared" si="712"/>
        <v>0</v>
      </c>
      <c r="DH1088" s="313">
        <f t="shared" si="698"/>
        <v>0</v>
      </c>
      <c r="DI1088" s="313">
        <f t="shared" si="699"/>
        <v>0</v>
      </c>
      <c r="DJ1088" s="313">
        <f t="shared" si="700"/>
        <v>0</v>
      </c>
      <c r="DK1088" s="313">
        <f t="shared" si="709"/>
        <v>0</v>
      </c>
      <c r="DL1088" s="313">
        <f t="shared" si="701"/>
        <v>0</v>
      </c>
      <c r="DM1088" s="314">
        <f t="shared" si="702"/>
        <v>0</v>
      </c>
      <c r="DN1088" s="312">
        <f t="shared" si="703"/>
        <v>0</v>
      </c>
      <c r="DO1088" s="312">
        <f t="shared" si="710"/>
        <v>0</v>
      </c>
      <c r="DP1088" s="315" t="e">
        <f t="shared" si="695"/>
        <v>#NUM!</v>
      </c>
      <c r="DQ1088" s="316">
        <f t="shared" si="704"/>
        <v>0</v>
      </c>
      <c r="DR1088" s="316">
        <f t="shared" si="705"/>
        <v>0</v>
      </c>
      <c r="DS1088" s="314">
        <f t="shared" si="706"/>
        <v>0</v>
      </c>
      <c r="DT1088" s="316">
        <f t="shared" si="707"/>
        <v>0</v>
      </c>
      <c r="DU1088" s="314">
        <f t="shared" si="696"/>
        <v>0</v>
      </c>
      <c r="DV1088" s="316">
        <f t="shared" si="711"/>
        <v>0</v>
      </c>
      <c r="DW1088" s="310">
        <f t="shared" si="697"/>
        <v>0</v>
      </c>
      <c r="FB1088" s="307"/>
      <c r="FC1088" s="307"/>
      <c r="FF1088" s="307"/>
      <c r="FH1088" s="306"/>
      <c r="FJ1088" s="307"/>
      <c r="FK1088" s="307"/>
      <c r="FL1088" s="306"/>
      <c r="FM1088" s="307"/>
      <c r="FN1088" s="306"/>
      <c r="FO1088" s="307"/>
      <c r="FP1088" s="306"/>
    </row>
    <row r="1089" spans="29:172">
      <c r="AC1089" s="156"/>
      <c r="CW1089" s="364"/>
      <c r="CX1089" s="316"/>
      <c r="CY1089" s="316"/>
      <c r="DA1089" s="309">
        <v>1088</v>
      </c>
      <c r="DB1089" s="313">
        <f t="shared" si="691"/>
        <v>595.99961488162808</v>
      </c>
      <c r="DC1089" s="309">
        <f t="shared" si="692"/>
        <v>4</v>
      </c>
      <c r="DD1089" s="309">
        <f t="shared" si="693"/>
        <v>0</v>
      </c>
      <c r="DE1089" s="308">
        <f t="shared" si="694"/>
        <v>0</v>
      </c>
      <c r="DF1089" s="313">
        <f t="shared" si="708"/>
        <v>600</v>
      </c>
      <c r="DG1089" s="313">
        <f t="shared" si="712"/>
        <v>0</v>
      </c>
      <c r="DH1089" s="313">
        <f t="shared" si="698"/>
        <v>0</v>
      </c>
      <c r="DI1089" s="313">
        <f t="shared" si="699"/>
        <v>0</v>
      </c>
      <c r="DJ1089" s="313">
        <f t="shared" si="700"/>
        <v>0</v>
      </c>
      <c r="DK1089" s="313">
        <f t="shared" si="709"/>
        <v>0</v>
      </c>
      <c r="DL1089" s="313">
        <f t="shared" si="701"/>
        <v>0</v>
      </c>
      <c r="DM1089" s="314">
        <f t="shared" si="702"/>
        <v>0</v>
      </c>
      <c r="DN1089" s="312">
        <f t="shared" si="703"/>
        <v>0</v>
      </c>
      <c r="DO1089" s="312">
        <f t="shared" si="710"/>
        <v>0</v>
      </c>
      <c r="DP1089" s="315" t="e">
        <f t="shared" si="695"/>
        <v>#NUM!</v>
      </c>
      <c r="DQ1089" s="316">
        <f t="shared" si="704"/>
        <v>0</v>
      </c>
      <c r="DR1089" s="316">
        <f t="shared" si="705"/>
        <v>0</v>
      </c>
      <c r="DS1089" s="314">
        <f t="shared" si="706"/>
        <v>0</v>
      </c>
      <c r="DT1089" s="316">
        <f t="shared" si="707"/>
        <v>0</v>
      </c>
      <c r="DU1089" s="314">
        <f t="shared" si="696"/>
        <v>0</v>
      </c>
      <c r="DV1089" s="316">
        <f t="shared" si="711"/>
        <v>0</v>
      </c>
      <c r="DW1089" s="310">
        <f t="shared" si="697"/>
        <v>0</v>
      </c>
      <c r="FB1089" s="307"/>
      <c r="FC1089" s="307"/>
      <c r="FF1089" s="307"/>
      <c r="FH1089" s="306"/>
      <c r="FJ1089" s="307"/>
      <c r="FK1089" s="307"/>
      <c r="FL1089" s="306"/>
      <c r="FM1089" s="307"/>
      <c r="FN1089" s="306"/>
      <c r="FO1089" s="307"/>
      <c r="FP1089" s="306"/>
    </row>
    <row r="1090" spans="29:172">
      <c r="AC1090" s="156"/>
      <c r="CW1090" s="364"/>
      <c r="CX1090" s="316"/>
      <c r="CY1090" s="316"/>
      <c r="DA1090" s="309">
        <v>1089</v>
      </c>
      <c r="DB1090" s="313">
        <f t="shared" ref="DB1090:DB1153" si="713">start+DA1090*tanO</f>
        <v>596.36358511589435</v>
      </c>
      <c r="DC1090" s="309">
        <f t="shared" ref="DC1090:DC1153" si="714">IF(DA1090&lt;edge_width,1,IF(DA1090&lt;mid_width,2,IF(DA1090&lt;=tot_width,3,4)))</f>
        <v>4</v>
      </c>
      <c r="DD1090" s="309">
        <f t="shared" ref="DD1090:DD1153" si="715">CHOOSE(DC1090,edge_thick,second_thick,core_thick,0)</f>
        <v>0</v>
      </c>
      <c r="DE1090" s="308">
        <f t="shared" ref="DE1090:DE1153" si="716">CHOOSE(DC1090,edge_k,second_k,core_k,0)</f>
        <v>0</v>
      </c>
      <c r="DF1090" s="313">
        <f t="shared" si="708"/>
        <v>600</v>
      </c>
      <c r="DG1090" s="313">
        <f t="shared" si="712"/>
        <v>0</v>
      </c>
      <c r="DH1090" s="313">
        <f t="shared" si="698"/>
        <v>0</v>
      </c>
      <c r="DI1090" s="313">
        <f t="shared" si="699"/>
        <v>0</v>
      </c>
      <c r="DJ1090" s="313">
        <f t="shared" si="700"/>
        <v>0</v>
      </c>
      <c r="DK1090" s="313">
        <f t="shared" si="709"/>
        <v>0</v>
      </c>
      <c r="DL1090" s="313">
        <f t="shared" si="701"/>
        <v>0</v>
      </c>
      <c r="DM1090" s="314">
        <f t="shared" si="702"/>
        <v>0</v>
      </c>
      <c r="DN1090" s="312">
        <f t="shared" si="703"/>
        <v>0</v>
      </c>
      <c r="DO1090" s="312">
        <f t="shared" si="710"/>
        <v>0</v>
      </c>
      <c r="DP1090" s="315" t="e">
        <f t="shared" ref="DP1090:DP1153" si="717">DE1090*DO1090^CHOOSE(DC1090,mult1,mult2,mult3,0)</f>
        <v>#NUM!</v>
      </c>
      <c r="DQ1090" s="316">
        <f t="shared" si="704"/>
        <v>0</v>
      </c>
      <c r="DR1090" s="316">
        <f t="shared" si="705"/>
        <v>0</v>
      </c>
      <c r="DS1090" s="314">
        <f t="shared" si="706"/>
        <v>0</v>
      </c>
      <c r="DT1090" s="316">
        <f t="shared" si="707"/>
        <v>0</v>
      </c>
      <c r="DU1090" s="314">
        <f t="shared" ref="DU1090:DU1153" si="718">IF(DC1090&lt;&gt;4,CHOOSE(DC1090,DA1090/DT1090,(DA1090-edge_width+1)/DT1090,(DA1090-mid_width+1)/DT1090),0)</f>
        <v>0</v>
      </c>
      <c r="DV1090" s="316">
        <f t="shared" si="711"/>
        <v>0</v>
      </c>
      <c r="DW1090" s="310">
        <f t="shared" ref="DW1090:DW1153" si="719">IF(DC1090&lt;&gt;4,(tot_width-DA1090+1)/DV1090,0)</f>
        <v>0</v>
      </c>
      <c r="FB1090" s="307"/>
      <c r="FC1090" s="307"/>
      <c r="FF1090" s="307"/>
      <c r="FH1090" s="306"/>
      <c r="FJ1090" s="307"/>
      <c r="FK1090" s="307"/>
      <c r="FL1090" s="306"/>
      <c r="FM1090" s="307"/>
      <c r="FN1090" s="306"/>
      <c r="FO1090" s="307"/>
      <c r="FP1090" s="306"/>
    </row>
    <row r="1091" spans="29:172">
      <c r="AC1091" s="156"/>
      <c r="CW1091" s="364"/>
      <c r="CX1091" s="316"/>
      <c r="CY1091" s="316"/>
      <c r="DA1091" s="309">
        <v>1090</v>
      </c>
      <c r="DB1091" s="313">
        <f t="shared" si="713"/>
        <v>596.72755535016063</v>
      </c>
      <c r="DC1091" s="309">
        <f t="shared" si="714"/>
        <v>4</v>
      </c>
      <c r="DD1091" s="309">
        <f t="shared" si="715"/>
        <v>0</v>
      </c>
      <c r="DE1091" s="308">
        <f t="shared" si="716"/>
        <v>0</v>
      </c>
      <c r="DF1091" s="313">
        <f t="shared" si="708"/>
        <v>600</v>
      </c>
      <c r="DG1091" s="313">
        <f t="shared" si="712"/>
        <v>0</v>
      </c>
      <c r="DH1091" s="313">
        <f t="shared" ref="DH1091:DH1154" si="720">IF(DC1091=1,DG1091,0)</f>
        <v>0</v>
      </c>
      <c r="DI1091" s="313">
        <f t="shared" ref="DI1091:DI1154" si="721">IF(DC1091=2,DG1091,0)</f>
        <v>0</v>
      </c>
      <c r="DJ1091" s="313">
        <f t="shared" ref="DJ1091:DJ1154" si="722">IF(DC1091=3,DG1091,0)</f>
        <v>0</v>
      </c>
      <c r="DK1091" s="313">
        <f t="shared" si="709"/>
        <v>0</v>
      </c>
      <c r="DL1091" s="313">
        <f t="shared" ref="DL1091:DL1154" si="723">IF(DC1091&lt;4,DL1092+DG1091,0)</f>
        <v>0</v>
      </c>
      <c r="DM1091" s="314">
        <f t="shared" ref="DM1091:DM1154" si="724">IF($DC1091&lt;&gt;4,IF($DA1091=edge_width,$CY$2,IF($DA1091=mid_width,$CY$3,1-DO1091+DM1090)),0)</f>
        <v>0</v>
      </c>
      <c r="DN1091" s="312">
        <f t="shared" ref="DN1091:DN1154" si="725">IF(DC1091&lt;&gt;4,CHOOSE(DC1091,DM1091/DA1091,DM1091/(DA1091-edge_width+1),DM1091/(DA1091-mid_width+1)),0)</f>
        <v>0</v>
      </c>
      <c r="DO1091" s="312">
        <f t="shared" si="710"/>
        <v>0</v>
      </c>
      <c r="DP1091" s="315" t="e">
        <f t="shared" si="717"/>
        <v>#NUM!</v>
      </c>
      <c r="DQ1091" s="316">
        <f t="shared" ref="DQ1091:DQ1154" si="726">IF(AND(DC1091&lt;&gt;4,DG1091&lt;&gt;0),1000*DP1091/DG1091,0)</f>
        <v>0</v>
      </c>
      <c r="DR1091" s="316">
        <f t="shared" ref="DR1091:DR1154" si="727">IF(DC1091&lt;&gt;4,DR1090+DQ1091,0)</f>
        <v>0</v>
      </c>
      <c r="DS1091" s="314">
        <f t="shared" ref="DS1091:DS1154" si="728">IF(AND(DC1091&lt;&gt;4,DR1091&lt;&gt;0),DA1091/DR1091,0)</f>
        <v>0</v>
      </c>
      <c r="DT1091" s="316">
        <f t="shared" ref="DT1091:DT1154" si="729">IF(DC1091&lt;&gt;4,IF(DA1091=edge_width,$CY$4,IF(DA1091=mid_width,$CY$5,DQ1091+DT1090)),0)</f>
        <v>0</v>
      </c>
      <c r="DU1091" s="314">
        <f t="shared" si="718"/>
        <v>0</v>
      </c>
      <c r="DV1091" s="316">
        <f t="shared" si="711"/>
        <v>0</v>
      </c>
      <c r="DW1091" s="310">
        <f t="shared" si="719"/>
        <v>0</v>
      </c>
      <c r="FB1091" s="307"/>
      <c r="FC1091" s="307"/>
      <c r="FF1091" s="307"/>
      <c r="FH1091" s="306"/>
      <c r="FJ1091" s="307"/>
      <c r="FK1091" s="307"/>
      <c r="FL1091" s="306"/>
      <c r="FM1091" s="307"/>
      <c r="FN1091" s="306"/>
      <c r="FO1091" s="307"/>
      <c r="FP1091" s="306"/>
    </row>
    <row r="1092" spans="29:172">
      <c r="AC1092" s="156"/>
      <c r="CW1092" s="364"/>
      <c r="CX1092" s="316"/>
      <c r="CY1092" s="316"/>
      <c r="DA1092" s="309">
        <v>1091</v>
      </c>
      <c r="DB1092" s="313">
        <f t="shared" si="713"/>
        <v>597.09152558442679</v>
      </c>
      <c r="DC1092" s="309">
        <f t="shared" si="714"/>
        <v>4</v>
      </c>
      <c r="DD1092" s="309">
        <f t="shared" si="715"/>
        <v>0</v>
      </c>
      <c r="DE1092" s="308">
        <f t="shared" si="716"/>
        <v>0</v>
      </c>
      <c r="DF1092" s="313">
        <f t="shared" ref="DF1092:DF1155" si="730">IF(DC1092&lt;4,DF1091+1,DF1091)</f>
        <v>600</v>
      </c>
      <c r="DG1092" s="313">
        <f t="shared" si="712"/>
        <v>0</v>
      </c>
      <c r="DH1092" s="313">
        <f t="shared" si="720"/>
        <v>0</v>
      </c>
      <c r="DI1092" s="313">
        <f t="shared" si="721"/>
        <v>0</v>
      </c>
      <c r="DJ1092" s="313">
        <f t="shared" si="722"/>
        <v>0</v>
      </c>
      <c r="DK1092" s="313">
        <f t="shared" ref="DK1092:DK1155" si="731">IF(DC1092&lt;4,DK1091+DG1092,0)</f>
        <v>0</v>
      </c>
      <c r="DL1092" s="313">
        <f t="shared" si="723"/>
        <v>0</v>
      </c>
      <c r="DM1092" s="314">
        <f t="shared" si="724"/>
        <v>0</v>
      </c>
      <c r="DN1092" s="312">
        <f t="shared" si="725"/>
        <v>0</v>
      </c>
      <c r="DO1092" s="312">
        <f t="shared" ref="DO1092:DO1155" si="732">IF(AND(DC1092&lt;&gt;4,DD1092&lt;&gt;0),DG1092/DD1092,0)</f>
        <v>0</v>
      </c>
      <c r="DP1092" s="315" t="e">
        <f t="shared" si="717"/>
        <v>#NUM!</v>
      </c>
      <c r="DQ1092" s="316">
        <f t="shared" si="726"/>
        <v>0</v>
      </c>
      <c r="DR1092" s="316">
        <f t="shared" si="727"/>
        <v>0</v>
      </c>
      <c r="DS1092" s="314">
        <f t="shared" si="728"/>
        <v>0</v>
      </c>
      <c r="DT1092" s="316">
        <f t="shared" si="729"/>
        <v>0</v>
      </c>
      <c r="DU1092" s="314">
        <f t="shared" si="718"/>
        <v>0</v>
      </c>
      <c r="DV1092" s="316">
        <f t="shared" ref="DV1092:DV1155" si="733">DV1093+DQ1092</f>
        <v>0</v>
      </c>
      <c r="DW1092" s="310">
        <f t="shared" si="719"/>
        <v>0</v>
      </c>
      <c r="FB1092" s="307"/>
      <c r="FC1092" s="307"/>
      <c r="FF1092" s="307"/>
      <c r="FH1092" s="306"/>
      <c r="FJ1092" s="307"/>
      <c r="FK1092" s="307"/>
      <c r="FL1092" s="306"/>
      <c r="FM1092" s="307"/>
      <c r="FN1092" s="306"/>
      <c r="FO1092" s="307"/>
      <c r="FP1092" s="306"/>
    </row>
    <row r="1093" spans="29:172">
      <c r="AC1093" s="156"/>
      <c r="CW1093" s="364"/>
      <c r="CX1093" s="316"/>
      <c r="CY1093" s="316"/>
      <c r="DA1093" s="309">
        <v>1092</v>
      </c>
      <c r="DB1093" s="313">
        <f t="shared" si="713"/>
        <v>597.45549581869295</v>
      </c>
      <c r="DC1093" s="309">
        <f t="shared" si="714"/>
        <v>4</v>
      </c>
      <c r="DD1093" s="309">
        <f t="shared" si="715"/>
        <v>0</v>
      </c>
      <c r="DE1093" s="308">
        <f t="shared" si="716"/>
        <v>0</v>
      </c>
      <c r="DF1093" s="313">
        <f t="shared" si="730"/>
        <v>600</v>
      </c>
      <c r="DG1093" s="313">
        <f t="shared" si="712"/>
        <v>0</v>
      </c>
      <c r="DH1093" s="313">
        <f t="shared" si="720"/>
        <v>0</v>
      </c>
      <c r="DI1093" s="313">
        <f t="shared" si="721"/>
        <v>0</v>
      </c>
      <c r="DJ1093" s="313">
        <f t="shared" si="722"/>
        <v>0</v>
      </c>
      <c r="DK1093" s="313">
        <f t="shared" si="731"/>
        <v>0</v>
      </c>
      <c r="DL1093" s="313">
        <f t="shared" si="723"/>
        <v>0</v>
      </c>
      <c r="DM1093" s="314">
        <f t="shared" si="724"/>
        <v>0</v>
      </c>
      <c r="DN1093" s="312">
        <f t="shared" si="725"/>
        <v>0</v>
      </c>
      <c r="DO1093" s="312">
        <f t="shared" si="732"/>
        <v>0</v>
      </c>
      <c r="DP1093" s="315" t="e">
        <f t="shared" si="717"/>
        <v>#NUM!</v>
      </c>
      <c r="DQ1093" s="316">
        <f t="shared" si="726"/>
        <v>0</v>
      </c>
      <c r="DR1093" s="316">
        <f t="shared" si="727"/>
        <v>0</v>
      </c>
      <c r="DS1093" s="314">
        <f t="shared" si="728"/>
        <v>0</v>
      </c>
      <c r="DT1093" s="316">
        <f t="shared" si="729"/>
        <v>0</v>
      </c>
      <c r="DU1093" s="314">
        <f t="shared" si="718"/>
        <v>0</v>
      </c>
      <c r="DV1093" s="316">
        <f t="shared" si="733"/>
        <v>0</v>
      </c>
      <c r="DW1093" s="310">
        <f t="shared" si="719"/>
        <v>0</v>
      </c>
      <c r="FB1093" s="307"/>
      <c r="FC1093" s="307"/>
      <c r="FF1093" s="307"/>
      <c r="FH1093" s="306"/>
      <c r="FJ1093" s="307"/>
      <c r="FK1093" s="307"/>
      <c r="FL1093" s="306"/>
      <c r="FM1093" s="307"/>
      <c r="FN1093" s="306"/>
      <c r="FO1093" s="307"/>
      <c r="FP1093" s="306"/>
    </row>
    <row r="1094" spans="29:172">
      <c r="AC1094" s="156"/>
      <c r="CW1094" s="364"/>
      <c r="CX1094" s="316"/>
      <c r="CY1094" s="316"/>
      <c r="DA1094" s="309">
        <v>1093</v>
      </c>
      <c r="DB1094" s="313">
        <f t="shared" si="713"/>
        <v>597.81946605295911</v>
      </c>
      <c r="DC1094" s="309">
        <f t="shared" si="714"/>
        <v>4</v>
      </c>
      <c r="DD1094" s="309">
        <f t="shared" si="715"/>
        <v>0</v>
      </c>
      <c r="DE1094" s="308">
        <f t="shared" si="716"/>
        <v>0</v>
      </c>
      <c r="DF1094" s="313">
        <f t="shared" si="730"/>
        <v>600</v>
      </c>
      <c r="DG1094" s="313">
        <f t="shared" si="712"/>
        <v>0</v>
      </c>
      <c r="DH1094" s="313">
        <f t="shared" si="720"/>
        <v>0</v>
      </c>
      <c r="DI1094" s="313">
        <f t="shared" si="721"/>
        <v>0</v>
      </c>
      <c r="DJ1094" s="313">
        <f t="shared" si="722"/>
        <v>0</v>
      </c>
      <c r="DK1094" s="313">
        <f t="shared" si="731"/>
        <v>0</v>
      </c>
      <c r="DL1094" s="313">
        <f t="shared" si="723"/>
        <v>0</v>
      </c>
      <c r="DM1094" s="314">
        <f t="shared" si="724"/>
        <v>0</v>
      </c>
      <c r="DN1094" s="312">
        <f t="shared" si="725"/>
        <v>0</v>
      </c>
      <c r="DO1094" s="312">
        <f t="shared" si="732"/>
        <v>0</v>
      </c>
      <c r="DP1094" s="315" t="e">
        <f t="shared" si="717"/>
        <v>#NUM!</v>
      </c>
      <c r="DQ1094" s="316">
        <f t="shared" si="726"/>
        <v>0</v>
      </c>
      <c r="DR1094" s="316">
        <f t="shared" si="727"/>
        <v>0</v>
      </c>
      <c r="DS1094" s="314">
        <f t="shared" si="728"/>
        <v>0</v>
      </c>
      <c r="DT1094" s="316">
        <f t="shared" si="729"/>
        <v>0</v>
      </c>
      <c r="DU1094" s="314">
        <f t="shared" si="718"/>
        <v>0</v>
      </c>
      <c r="DV1094" s="316">
        <f t="shared" si="733"/>
        <v>0</v>
      </c>
      <c r="DW1094" s="310">
        <f t="shared" si="719"/>
        <v>0</v>
      </c>
      <c r="FB1094" s="307"/>
      <c r="FC1094" s="307"/>
      <c r="FF1094" s="307"/>
      <c r="FH1094" s="306"/>
      <c r="FJ1094" s="307"/>
      <c r="FK1094" s="307"/>
      <c r="FL1094" s="306"/>
      <c r="FM1094" s="307"/>
      <c r="FN1094" s="306"/>
      <c r="FO1094" s="307"/>
      <c r="FP1094" s="306"/>
    </row>
    <row r="1095" spans="29:172">
      <c r="AC1095" s="156"/>
      <c r="CW1095" s="364"/>
      <c r="CX1095" s="316"/>
      <c r="CY1095" s="316"/>
      <c r="DA1095" s="309">
        <v>1094</v>
      </c>
      <c r="DB1095" s="313">
        <f t="shared" si="713"/>
        <v>598.18343628722528</v>
      </c>
      <c r="DC1095" s="309">
        <f t="shared" si="714"/>
        <v>4</v>
      </c>
      <c r="DD1095" s="309">
        <f t="shared" si="715"/>
        <v>0</v>
      </c>
      <c r="DE1095" s="308">
        <f t="shared" si="716"/>
        <v>0</v>
      </c>
      <c r="DF1095" s="313">
        <f t="shared" si="730"/>
        <v>600</v>
      </c>
      <c r="DG1095" s="313">
        <f t="shared" si="712"/>
        <v>0</v>
      </c>
      <c r="DH1095" s="313">
        <f t="shared" si="720"/>
        <v>0</v>
      </c>
      <c r="DI1095" s="313">
        <f t="shared" si="721"/>
        <v>0</v>
      </c>
      <c r="DJ1095" s="313">
        <f t="shared" si="722"/>
        <v>0</v>
      </c>
      <c r="DK1095" s="313">
        <f t="shared" si="731"/>
        <v>0</v>
      </c>
      <c r="DL1095" s="313">
        <f t="shared" si="723"/>
        <v>0</v>
      </c>
      <c r="DM1095" s="314">
        <f t="shared" si="724"/>
        <v>0</v>
      </c>
      <c r="DN1095" s="312">
        <f t="shared" si="725"/>
        <v>0</v>
      </c>
      <c r="DO1095" s="312">
        <f t="shared" si="732"/>
        <v>0</v>
      </c>
      <c r="DP1095" s="315" t="e">
        <f t="shared" si="717"/>
        <v>#NUM!</v>
      </c>
      <c r="DQ1095" s="316">
        <f t="shared" si="726"/>
        <v>0</v>
      </c>
      <c r="DR1095" s="316">
        <f t="shared" si="727"/>
        <v>0</v>
      </c>
      <c r="DS1095" s="314">
        <f t="shared" si="728"/>
        <v>0</v>
      </c>
      <c r="DT1095" s="316">
        <f t="shared" si="729"/>
        <v>0</v>
      </c>
      <c r="DU1095" s="314">
        <f t="shared" si="718"/>
        <v>0</v>
      </c>
      <c r="DV1095" s="316">
        <f t="shared" si="733"/>
        <v>0</v>
      </c>
      <c r="DW1095" s="310">
        <f t="shared" si="719"/>
        <v>0</v>
      </c>
      <c r="FB1095" s="307"/>
      <c r="FC1095" s="307"/>
      <c r="FF1095" s="307"/>
      <c r="FH1095" s="306"/>
      <c r="FJ1095" s="307"/>
      <c r="FK1095" s="307"/>
      <c r="FL1095" s="306"/>
      <c r="FM1095" s="307"/>
      <c r="FN1095" s="306"/>
      <c r="FO1095" s="307"/>
      <c r="FP1095" s="306"/>
    </row>
    <row r="1096" spans="29:172">
      <c r="AC1096" s="156"/>
      <c r="CW1096" s="364"/>
      <c r="CX1096" s="316"/>
      <c r="CY1096" s="316"/>
      <c r="DA1096" s="309">
        <v>1095</v>
      </c>
      <c r="DB1096" s="313">
        <f t="shared" si="713"/>
        <v>598.54740652149155</v>
      </c>
      <c r="DC1096" s="309">
        <f t="shared" si="714"/>
        <v>4</v>
      </c>
      <c r="DD1096" s="309">
        <f t="shared" si="715"/>
        <v>0</v>
      </c>
      <c r="DE1096" s="308">
        <f t="shared" si="716"/>
        <v>0</v>
      </c>
      <c r="DF1096" s="313">
        <f t="shared" si="730"/>
        <v>600</v>
      </c>
      <c r="DG1096" s="313">
        <f t="shared" si="712"/>
        <v>0</v>
      </c>
      <c r="DH1096" s="313">
        <f t="shared" si="720"/>
        <v>0</v>
      </c>
      <c r="DI1096" s="313">
        <f t="shared" si="721"/>
        <v>0</v>
      </c>
      <c r="DJ1096" s="313">
        <f t="shared" si="722"/>
        <v>0</v>
      </c>
      <c r="DK1096" s="313">
        <f t="shared" si="731"/>
        <v>0</v>
      </c>
      <c r="DL1096" s="313">
        <f t="shared" si="723"/>
        <v>0</v>
      </c>
      <c r="DM1096" s="314">
        <f t="shared" si="724"/>
        <v>0</v>
      </c>
      <c r="DN1096" s="312">
        <f t="shared" si="725"/>
        <v>0</v>
      </c>
      <c r="DO1096" s="312">
        <f t="shared" si="732"/>
        <v>0</v>
      </c>
      <c r="DP1096" s="315" t="e">
        <f t="shared" si="717"/>
        <v>#NUM!</v>
      </c>
      <c r="DQ1096" s="316">
        <f t="shared" si="726"/>
        <v>0</v>
      </c>
      <c r="DR1096" s="316">
        <f t="shared" si="727"/>
        <v>0</v>
      </c>
      <c r="DS1096" s="314">
        <f t="shared" si="728"/>
        <v>0</v>
      </c>
      <c r="DT1096" s="316">
        <f t="shared" si="729"/>
        <v>0</v>
      </c>
      <c r="DU1096" s="314">
        <f t="shared" si="718"/>
        <v>0</v>
      </c>
      <c r="DV1096" s="316">
        <f t="shared" si="733"/>
        <v>0</v>
      </c>
      <c r="DW1096" s="310">
        <f t="shared" si="719"/>
        <v>0</v>
      </c>
      <c r="FB1096" s="307"/>
      <c r="FC1096" s="307"/>
      <c r="FF1096" s="307"/>
      <c r="FH1096" s="306"/>
      <c r="FJ1096" s="307"/>
      <c r="FK1096" s="307"/>
      <c r="FL1096" s="306"/>
      <c r="FM1096" s="307"/>
      <c r="FN1096" s="306"/>
      <c r="FO1096" s="307"/>
      <c r="FP1096" s="306"/>
    </row>
    <row r="1097" spans="29:172">
      <c r="AC1097" s="156"/>
      <c r="CW1097" s="364"/>
      <c r="CX1097" s="316"/>
      <c r="CY1097" s="316"/>
      <c r="DA1097" s="309">
        <v>1096</v>
      </c>
      <c r="DB1097" s="313">
        <f t="shared" si="713"/>
        <v>598.91137675575783</v>
      </c>
      <c r="DC1097" s="309">
        <f t="shared" si="714"/>
        <v>4</v>
      </c>
      <c r="DD1097" s="309">
        <f t="shared" si="715"/>
        <v>0</v>
      </c>
      <c r="DE1097" s="308">
        <f t="shared" si="716"/>
        <v>0</v>
      </c>
      <c r="DF1097" s="313">
        <f t="shared" si="730"/>
        <v>600</v>
      </c>
      <c r="DG1097" s="313">
        <f t="shared" si="712"/>
        <v>0</v>
      </c>
      <c r="DH1097" s="313">
        <f t="shared" si="720"/>
        <v>0</v>
      </c>
      <c r="DI1097" s="313">
        <f t="shared" si="721"/>
        <v>0</v>
      </c>
      <c r="DJ1097" s="313">
        <f t="shared" si="722"/>
        <v>0</v>
      </c>
      <c r="DK1097" s="313">
        <f t="shared" si="731"/>
        <v>0</v>
      </c>
      <c r="DL1097" s="313">
        <f t="shared" si="723"/>
        <v>0</v>
      </c>
      <c r="DM1097" s="314">
        <f t="shared" si="724"/>
        <v>0</v>
      </c>
      <c r="DN1097" s="312">
        <f t="shared" si="725"/>
        <v>0</v>
      </c>
      <c r="DO1097" s="312">
        <f t="shared" si="732"/>
        <v>0</v>
      </c>
      <c r="DP1097" s="315" t="e">
        <f t="shared" si="717"/>
        <v>#NUM!</v>
      </c>
      <c r="DQ1097" s="316">
        <f t="shared" si="726"/>
        <v>0</v>
      </c>
      <c r="DR1097" s="316">
        <f t="shared" si="727"/>
        <v>0</v>
      </c>
      <c r="DS1097" s="314">
        <f t="shared" si="728"/>
        <v>0</v>
      </c>
      <c r="DT1097" s="316">
        <f t="shared" si="729"/>
        <v>0</v>
      </c>
      <c r="DU1097" s="314">
        <f t="shared" si="718"/>
        <v>0</v>
      </c>
      <c r="DV1097" s="316">
        <f t="shared" si="733"/>
        <v>0</v>
      </c>
      <c r="DW1097" s="310">
        <f t="shared" si="719"/>
        <v>0</v>
      </c>
      <c r="FB1097" s="307"/>
      <c r="FC1097" s="307"/>
      <c r="FF1097" s="307"/>
      <c r="FH1097" s="306"/>
      <c r="FJ1097" s="307"/>
      <c r="FK1097" s="307"/>
      <c r="FL1097" s="306"/>
      <c r="FM1097" s="307"/>
      <c r="FN1097" s="306"/>
      <c r="FO1097" s="307"/>
      <c r="FP1097" s="306"/>
    </row>
    <row r="1098" spans="29:172">
      <c r="AC1098" s="156"/>
      <c r="CW1098" s="364"/>
      <c r="CX1098" s="316"/>
      <c r="CY1098" s="316"/>
      <c r="DA1098" s="309">
        <v>1097</v>
      </c>
      <c r="DB1098" s="313">
        <f t="shared" si="713"/>
        <v>599.27534699002399</v>
      </c>
      <c r="DC1098" s="309">
        <f t="shared" si="714"/>
        <v>4</v>
      </c>
      <c r="DD1098" s="309">
        <f t="shared" si="715"/>
        <v>0</v>
      </c>
      <c r="DE1098" s="308">
        <f t="shared" si="716"/>
        <v>0</v>
      </c>
      <c r="DF1098" s="313">
        <f t="shared" si="730"/>
        <v>600</v>
      </c>
      <c r="DG1098" s="313">
        <f t="shared" si="712"/>
        <v>0</v>
      </c>
      <c r="DH1098" s="313">
        <f t="shared" si="720"/>
        <v>0</v>
      </c>
      <c r="DI1098" s="313">
        <f t="shared" si="721"/>
        <v>0</v>
      </c>
      <c r="DJ1098" s="313">
        <f t="shared" si="722"/>
        <v>0</v>
      </c>
      <c r="DK1098" s="313">
        <f t="shared" si="731"/>
        <v>0</v>
      </c>
      <c r="DL1098" s="313">
        <f t="shared" si="723"/>
        <v>0</v>
      </c>
      <c r="DM1098" s="314">
        <f t="shared" si="724"/>
        <v>0</v>
      </c>
      <c r="DN1098" s="312">
        <f t="shared" si="725"/>
        <v>0</v>
      </c>
      <c r="DO1098" s="312">
        <f t="shared" si="732"/>
        <v>0</v>
      </c>
      <c r="DP1098" s="315" t="e">
        <f t="shared" si="717"/>
        <v>#NUM!</v>
      </c>
      <c r="DQ1098" s="316">
        <f t="shared" si="726"/>
        <v>0</v>
      </c>
      <c r="DR1098" s="316">
        <f t="shared" si="727"/>
        <v>0</v>
      </c>
      <c r="DS1098" s="314">
        <f t="shared" si="728"/>
        <v>0</v>
      </c>
      <c r="DT1098" s="316">
        <f t="shared" si="729"/>
        <v>0</v>
      </c>
      <c r="DU1098" s="314">
        <f t="shared" si="718"/>
        <v>0</v>
      </c>
      <c r="DV1098" s="316">
        <f t="shared" si="733"/>
        <v>0</v>
      </c>
      <c r="DW1098" s="310">
        <f t="shared" si="719"/>
        <v>0</v>
      </c>
      <c r="FB1098" s="307"/>
      <c r="FC1098" s="307"/>
      <c r="FF1098" s="307"/>
      <c r="FH1098" s="306"/>
      <c r="FJ1098" s="307"/>
      <c r="FK1098" s="307"/>
      <c r="FL1098" s="306"/>
      <c r="FM1098" s="307"/>
      <c r="FN1098" s="306"/>
      <c r="FO1098" s="307"/>
      <c r="FP1098" s="306"/>
    </row>
    <row r="1099" spans="29:172">
      <c r="AC1099" s="156"/>
      <c r="CW1099" s="364"/>
      <c r="CX1099" s="316"/>
      <c r="CY1099" s="316"/>
      <c r="DA1099" s="309">
        <v>1098</v>
      </c>
      <c r="DB1099" s="313">
        <f t="shared" si="713"/>
        <v>599.63931722429015</v>
      </c>
      <c r="DC1099" s="309">
        <f t="shared" si="714"/>
        <v>4</v>
      </c>
      <c r="DD1099" s="309">
        <f t="shared" si="715"/>
        <v>0</v>
      </c>
      <c r="DE1099" s="308">
        <f t="shared" si="716"/>
        <v>0</v>
      </c>
      <c r="DF1099" s="313">
        <f t="shared" si="730"/>
        <v>600</v>
      </c>
      <c r="DG1099" s="313">
        <f t="shared" si="712"/>
        <v>0</v>
      </c>
      <c r="DH1099" s="313">
        <f t="shared" si="720"/>
        <v>0</v>
      </c>
      <c r="DI1099" s="313">
        <f t="shared" si="721"/>
        <v>0</v>
      </c>
      <c r="DJ1099" s="313">
        <f t="shared" si="722"/>
        <v>0</v>
      </c>
      <c r="DK1099" s="313">
        <f t="shared" si="731"/>
        <v>0</v>
      </c>
      <c r="DL1099" s="313">
        <f t="shared" si="723"/>
        <v>0</v>
      </c>
      <c r="DM1099" s="314">
        <f t="shared" si="724"/>
        <v>0</v>
      </c>
      <c r="DN1099" s="312">
        <f t="shared" si="725"/>
        <v>0</v>
      </c>
      <c r="DO1099" s="312">
        <f t="shared" si="732"/>
        <v>0</v>
      </c>
      <c r="DP1099" s="315" t="e">
        <f t="shared" si="717"/>
        <v>#NUM!</v>
      </c>
      <c r="DQ1099" s="316">
        <f t="shared" si="726"/>
        <v>0</v>
      </c>
      <c r="DR1099" s="316">
        <f t="shared" si="727"/>
        <v>0</v>
      </c>
      <c r="DS1099" s="314">
        <f t="shared" si="728"/>
        <v>0</v>
      </c>
      <c r="DT1099" s="316">
        <f t="shared" si="729"/>
        <v>0</v>
      </c>
      <c r="DU1099" s="314">
        <f t="shared" si="718"/>
        <v>0</v>
      </c>
      <c r="DV1099" s="316">
        <f t="shared" si="733"/>
        <v>0</v>
      </c>
      <c r="DW1099" s="310">
        <f t="shared" si="719"/>
        <v>0</v>
      </c>
      <c r="FB1099" s="307"/>
      <c r="FC1099" s="307"/>
      <c r="FF1099" s="307"/>
      <c r="FH1099" s="306"/>
      <c r="FJ1099" s="307"/>
      <c r="FK1099" s="307"/>
      <c r="FL1099" s="306"/>
      <c r="FM1099" s="307"/>
      <c r="FN1099" s="306"/>
      <c r="FO1099" s="307"/>
      <c r="FP1099" s="306"/>
    </row>
    <row r="1100" spans="29:172">
      <c r="AC1100" s="156"/>
      <c r="CW1100" s="364"/>
      <c r="CX1100" s="316"/>
      <c r="CY1100" s="316"/>
      <c r="DA1100" s="309">
        <v>1099</v>
      </c>
      <c r="DB1100" s="313">
        <f t="shared" si="713"/>
        <v>600.00328745855631</v>
      </c>
      <c r="DC1100" s="309">
        <f t="shared" si="714"/>
        <v>4</v>
      </c>
      <c r="DD1100" s="309">
        <f t="shared" si="715"/>
        <v>0</v>
      </c>
      <c r="DE1100" s="308">
        <f t="shared" si="716"/>
        <v>0</v>
      </c>
      <c r="DF1100" s="313">
        <f t="shared" si="730"/>
        <v>600</v>
      </c>
      <c r="DG1100" s="313">
        <f t="shared" si="712"/>
        <v>0</v>
      </c>
      <c r="DH1100" s="313">
        <f t="shared" si="720"/>
        <v>0</v>
      </c>
      <c r="DI1100" s="313">
        <f t="shared" si="721"/>
        <v>0</v>
      </c>
      <c r="DJ1100" s="313">
        <f t="shared" si="722"/>
        <v>0</v>
      </c>
      <c r="DK1100" s="313">
        <f t="shared" si="731"/>
        <v>0</v>
      </c>
      <c r="DL1100" s="313">
        <f t="shared" si="723"/>
        <v>0</v>
      </c>
      <c r="DM1100" s="314">
        <f t="shared" si="724"/>
        <v>0</v>
      </c>
      <c r="DN1100" s="312">
        <f t="shared" si="725"/>
        <v>0</v>
      </c>
      <c r="DO1100" s="312">
        <f t="shared" si="732"/>
        <v>0</v>
      </c>
      <c r="DP1100" s="315" t="e">
        <f t="shared" si="717"/>
        <v>#NUM!</v>
      </c>
      <c r="DQ1100" s="316">
        <f t="shared" si="726"/>
        <v>0</v>
      </c>
      <c r="DR1100" s="316">
        <f t="shared" si="727"/>
        <v>0</v>
      </c>
      <c r="DS1100" s="314">
        <f t="shared" si="728"/>
        <v>0</v>
      </c>
      <c r="DT1100" s="316">
        <f t="shared" si="729"/>
        <v>0</v>
      </c>
      <c r="DU1100" s="314">
        <f t="shared" si="718"/>
        <v>0</v>
      </c>
      <c r="DV1100" s="316">
        <f t="shared" si="733"/>
        <v>0</v>
      </c>
      <c r="DW1100" s="310">
        <f t="shared" si="719"/>
        <v>0</v>
      </c>
      <c r="FB1100" s="307"/>
      <c r="FC1100" s="307"/>
      <c r="FF1100" s="307"/>
      <c r="FH1100" s="306"/>
      <c r="FJ1100" s="307"/>
      <c r="FK1100" s="307"/>
      <c r="FL1100" s="306"/>
      <c r="FM1100" s="307"/>
      <c r="FN1100" s="306"/>
      <c r="FO1100" s="307"/>
      <c r="FP1100" s="306"/>
    </row>
    <row r="1101" spans="29:172">
      <c r="AC1101" s="156"/>
      <c r="CW1101" s="364"/>
      <c r="CX1101" s="316"/>
      <c r="CY1101" s="316"/>
      <c r="DA1101" s="309">
        <v>1100</v>
      </c>
      <c r="DB1101" s="313">
        <f t="shared" si="713"/>
        <v>600.36725769282259</v>
      </c>
      <c r="DC1101" s="309">
        <f t="shared" si="714"/>
        <v>4</v>
      </c>
      <c r="DD1101" s="309">
        <f t="shared" si="715"/>
        <v>0</v>
      </c>
      <c r="DE1101" s="308">
        <f t="shared" si="716"/>
        <v>0</v>
      </c>
      <c r="DF1101" s="313">
        <f t="shared" si="730"/>
        <v>600</v>
      </c>
      <c r="DG1101" s="313">
        <f t="shared" si="712"/>
        <v>0</v>
      </c>
      <c r="DH1101" s="313">
        <f t="shared" si="720"/>
        <v>0</v>
      </c>
      <c r="DI1101" s="313">
        <f t="shared" si="721"/>
        <v>0</v>
      </c>
      <c r="DJ1101" s="313">
        <f t="shared" si="722"/>
        <v>0</v>
      </c>
      <c r="DK1101" s="313">
        <f t="shared" si="731"/>
        <v>0</v>
      </c>
      <c r="DL1101" s="313">
        <f t="shared" si="723"/>
        <v>0</v>
      </c>
      <c r="DM1101" s="314">
        <f t="shared" si="724"/>
        <v>0</v>
      </c>
      <c r="DN1101" s="312">
        <f t="shared" si="725"/>
        <v>0</v>
      </c>
      <c r="DO1101" s="312">
        <f t="shared" si="732"/>
        <v>0</v>
      </c>
      <c r="DP1101" s="315" t="e">
        <f t="shared" si="717"/>
        <v>#NUM!</v>
      </c>
      <c r="DQ1101" s="316">
        <f t="shared" si="726"/>
        <v>0</v>
      </c>
      <c r="DR1101" s="316">
        <f t="shared" si="727"/>
        <v>0</v>
      </c>
      <c r="DS1101" s="314">
        <f t="shared" si="728"/>
        <v>0</v>
      </c>
      <c r="DT1101" s="316">
        <f t="shared" si="729"/>
        <v>0</v>
      </c>
      <c r="DU1101" s="314">
        <f t="shared" si="718"/>
        <v>0</v>
      </c>
      <c r="DV1101" s="316">
        <f t="shared" si="733"/>
        <v>0</v>
      </c>
      <c r="DW1101" s="310">
        <f t="shared" si="719"/>
        <v>0</v>
      </c>
      <c r="FB1101" s="307"/>
      <c r="FC1101" s="307"/>
      <c r="FF1101" s="307"/>
      <c r="FH1101" s="306"/>
      <c r="FJ1101" s="307"/>
      <c r="FK1101" s="307"/>
      <c r="FL1101" s="306"/>
      <c r="FM1101" s="307"/>
      <c r="FN1101" s="306"/>
      <c r="FO1101" s="307"/>
      <c r="FP1101" s="306"/>
    </row>
    <row r="1102" spans="29:172">
      <c r="AC1102" s="156"/>
      <c r="CW1102" s="364"/>
      <c r="CX1102" s="316"/>
      <c r="CY1102" s="316"/>
      <c r="DA1102" s="309">
        <v>1101</v>
      </c>
      <c r="DB1102" s="313">
        <f t="shared" si="713"/>
        <v>600.73122792708875</v>
      </c>
      <c r="DC1102" s="309">
        <f t="shared" si="714"/>
        <v>4</v>
      </c>
      <c r="DD1102" s="309">
        <f t="shared" si="715"/>
        <v>0</v>
      </c>
      <c r="DE1102" s="308">
        <f t="shared" si="716"/>
        <v>0</v>
      </c>
      <c r="DF1102" s="313">
        <f t="shared" si="730"/>
        <v>600</v>
      </c>
      <c r="DG1102" s="313">
        <f t="shared" si="712"/>
        <v>0</v>
      </c>
      <c r="DH1102" s="313">
        <f t="shared" si="720"/>
        <v>0</v>
      </c>
      <c r="DI1102" s="313">
        <f t="shared" si="721"/>
        <v>0</v>
      </c>
      <c r="DJ1102" s="313">
        <f t="shared" si="722"/>
        <v>0</v>
      </c>
      <c r="DK1102" s="313">
        <f t="shared" si="731"/>
        <v>0</v>
      </c>
      <c r="DL1102" s="313">
        <f t="shared" si="723"/>
        <v>0</v>
      </c>
      <c r="DM1102" s="314">
        <f t="shared" si="724"/>
        <v>0</v>
      </c>
      <c r="DN1102" s="312">
        <f t="shared" si="725"/>
        <v>0</v>
      </c>
      <c r="DO1102" s="312">
        <f t="shared" si="732"/>
        <v>0</v>
      </c>
      <c r="DP1102" s="315" t="e">
        <f t="shared" si="717"/>
        <v>#NUM!</v>
      </c>
      <c r="DQ1102" s="316">
        <f t="shared" si="726"/>
        <v>0</v>
      </c>
      <c r="DR1102" s="316">
        <f t="shared" si="727"/>
        <v>0</v>
      </c>
      <c r="DS1102" s="314">
        <f t="shared" si="728"/>
        <v>0</v>
      </c>
      <c r="DT1102" s="316">
        <f t="shared" si="729"/>
        <v>0</v>
      </c>
      <c r="DU1102" s="314">
        <f t="shared" si="718"/>
        <v>0</v>
      </c>
      <c r="DV1102" s="316">
        <f t="shared" si="733"/>
        <v>0</v>
      </c>
      <c r="DW1102" s="310">
        <f t="shared" si="719"/>
        <v>0</v>
      </c>
      <c r="FB1102" s="307"/>
      <c r="FC1102" s="307"/>
      <c r="FF1102" s="307"/>
      <c r="FH1102" s="306"/>
      <c r="FJ1102" s="307"/>
      <c r="FK1102" s="307"/>
      <c r="FL1102" s="306"/>
      <c r="FM1102" s="307"/>
      <c r="FN1102" s="306"/>
      <c r="FO1102" s="307"/>
      <c r="FP1102" s="306"/>
    </row>
    <row r="1103" spans="29:172">
      <c r="AC1103" s="156"/>
      <c r="CW1103" s="364"/>
      <c r="CX1103" s="316"/>
      <c r="CY1103" s="316"/>
      <c r="DA1103" s="309">
        <v>1102</v>
      </c>
      <c r="DB1103" s="313">
        <f t="shared" si="713"/>
        <v>601.09519816135503</v>
      </c>
      <c r="DC1103" s="309">
        <f t="shared" si="714"/>
        <v>4</v>
      </c>
      <c r="DD1103" s="309">
        <f t="shared" si="715"/>
        <v>0</v>
      </c>
      <c r="DE1103" s="308">
        <f t="shared" si="716"/>
        <v>0</v>
      </c>
      <c r="DF1103" s="313">
        <f t="shared" si="730"/>
        <v>600</v>
      </c>
      <c r="DG1103" s="313">
        <f t="shared" si="712"/>
        <v>0</v>
      </c>
      <c r="DH1103" s="313">
        <f t="shared" si="720"/>
        <v>0</v>
      </c>
      <c r="DI1103" s="313">
        <f t="shared" si="721"/>
        <v>0</v>
      </c>
      <c r="DJ1103" s="313">
        <f t="shared" si="722"/>
        <v>0</v>
      </c>
      <c r="DK1103" s="313">
        <f t="shared" si="731"/>
        <v>0</v>
      </c>
      <c r="DL1103" s="313">
        <f t="shared" si="723"/>
        <v>0</v>
      </c>
      <c r="DM1103" s="314">
        <f t="shared" si="724"/>
        <v>0</v>
      </c>
      <c r="DN1103" s="312">
        <f t="shared" si="725"/>
        <v>0</v>
      </c>
      <c r="DO1103" s="312">
        <f t="shared" si="732"/>
        <v>0</v>
      </c>
      <c r="DP1103" s="315" t="e">
        <f t="shared" si="717"/>
        <v>#NUM!</v>
      </c>
      <c r="DQ1103" s="316">
        <f t="shared" si="726"/>
        <v>0</v>
      </c>
      <c r="DR1103" s="316">
        <f t="shared" si="727"/>
        <v>0</v>
      </c>
      <c r="DS1103" s="314">
        <f t="shared" si="728"/>
        <v>0</v>
      </c>
      <c r="DT1103" s="316">
        <f t="shared" si="729"/>
        <v>0</v>
      </c>
      <c r="DU1103" s="314">
        <f t="shared" si="718"/>
        <v>0</v>
      </c>
      <c r="DV1103" s="316">
        <f t="shared" si="733"/>
        <v>0</v>
      </c>
      <c r="DW1103" s="310">
        <f t="shared" si="719"/>
        <v>0</v>
      </c>
      <c r="FC1103" s="307"/>
      <c r="FD1103" s="166"/>
      <c r="FF1103" s="307"/>
      <c r="FH1103" s="306"/>
      <c r="FJ1103" s="307"/>
      <c r="FK1103" s="307"/>
      <c r="FL1103" s="306"/>
      <c r="FM1103" s="307"/>
      <c r="FN1103" s="306"/>
      <c r="FO1103" s="307"/>
      <c r="FP1103" s="306"/>
    </row>
    <row r="1104" spans="29:172">
      <c r="AC1104" s="156"/>
      <c r="CW1104" s="364"/>
      <c r="CX1104" s="316"/>
      <c r="CY1104" s="316"/>
      <c r="DA1104" s="309">
        <v>1103</v>
      </c>
      <c r="DB1104" s="313">
        <f t="shared" si="713"/>
        <v>601.45916839562119</v>
      </c>
      <c r="DC1104" s="309">
        <f t="shared" si="714"/>
        <v>4</v>
      </c>
      <c r="DD1104" s="309">
        <f t="shared" si="715"/>
        <v>0</v>
      </c>
      <c r="DE1104" s="308">
        <f t="shared" si="716"/>
        <v>0</v>
      </c>
      <c r="DF1104" s="313">
        <f t="shared" si="730"/>
        <v>600</v>
      </c>
      <c r="DG1104" s="313">
        <f t="shared" si="712"/>
        <v>0</v>
      </c>
      <c r="DH1104" s="313">
        <f t="shared" si="720"/>
        <v>0</v>
      </c>
      <c r="DI1104" s="313">
        <f t="shared" si="721"/>
        <v>0</v>
      </c>
      <c r="DJ1104" s="313">
        <f t="shared" si="722"/>
        <v>0</v>
      </c>
      <c r="DK1104" s="313">
        <f t="shared" si="731"/>
        <v>0</v>
      </c>
      <c r="DL1104" s="313">
        <f t="shared" si="723"/>
        <v>0</v>
      </c>
      <c r="DM1104" s="314">
        <f t="shared" si="724"/>
        <v>0</v>
      </c>
      <c r="DN1104" s="312">
        <f t="shared" si="725"/>
        <v>0</v>
      </c>
      <c r="DO1104" s="312">
        <f t="shared" si="732"/>
        <v>0</v>
      </c>
      <c r="DP1104" s="315" t="e">
        <f t="shared" si="717"/>
        <v>#NUM!</v>
      </c>
      <c r="DQ1104" s="316">
        <f t="shared" si="726"/>
        <v>0</v>
      </c>
      <c r="DR1104" s="316">
        <f t="shared" si="727"/>
        <v>0</v>
      </c>
      <c r="DS1104" s="314">
        <f t="shared" si="728"/>
        <v>0</v>
      </c>
      <c r="DT1104" s="316">
        <f t="shared" si="729"/>
        <v>0</v>
      </c>
      <c r="DU1104" s="314">
        <f t="shared" si="718"/>
        <v>0</v>
      </c>
      <c r="DV1104" s="316">
        <f t="shared" si="733"/>
        <v>0</v>
      </c>
      <c r="DW1104" s="310">
        <f t="shared" si="719"/>
        <v>0</v>
      </c>
      <c r="FC1104" s="307"/>
      <c r="FD1104" s="166"/>
      <c r="FF1104" s="307"/>
      <c r="FH1104" s="306"/>
      <c r="FJ1104" s="307"/>
      <c r="FK1104" s="307"/>
      <c r="FL1104" s="306"/>
      <c r="FM1104" s="307"/>
      <c r="FN1104" s="306"/>
      <c r="FO1104" s="307"/>
      <c r="FP1104" s="306"/>
    </row>
    <row r="1105" spans="29:172">
      <c r="AC1105" s="156"/>
      <c r="CW1105" s="364"/>
      <c r="CX1105" s="316"/>
      <c r="CY1105" s="316"/>
      <c r="DA1105" s="309">
        <v>1104</v>
      </c>
      <c r="DB1105" s="313">
        <f t="shared" si="713"/>
        <v>601.82313862988735</v>
      </c>
      <c r="DC1105" s="309">
        <f t="shared" si="714"/>
        <v>4</v>
      </c>
      <c r="DD1105" s="309">
        <f t="shared" si="715"/>
        <v>0</v>
      </c>
      <c r="DE1105" s="308">
        <f t="shared" si="716"/>
        <v>0</v>
      </c>
      <c r="DF1105" s="313">
        <f t="shared" si="730"/>
        <v>600</v>
      </c>
      <c r="DG1105" s="313">
        <f t="shared" si="712"/>
        <v>0</v>
      </c>
      <c r="DH1105" s="313">
        <f t="shared" si="720"/>
        <v>0</v>
      </c>
      <c r="DI1105" s="313">
        <f t="shared" si="721"/>
        <v>0</v>
      </c>
      <c r="DJ1105" s="313">
        <f t="shared" si="722"/>
        <v>0</v>
      </c>
      <c r="DK1105" s="313">
        <f t="shared" si="731"/>
        <v>0</v>
      </c>
      <c r="DL1105" s="313">
        <f t="shared" si="723"/>
        <v>0</v>
      </c>
      <c r="DM1105" s="314">
        <f t="shared" si="724"/>
        <v>0</v>
      </c>
      <c r="DN1105" s="312">
        <f t="shared" si="725"/>
        <v>0</v>
      </c>
      <c r="DO1105" s="312">
        <f t="shared" si="732"/>
        <v>0</v>
      </c>
      <c r="DP1105" s="315" t="e">
        <f t="shared" si="717"/>
        <v>#NUM!</v>
      </c>
      <c r="DQ1105" s="316">
        <f t="shared" si="726"/>
        <v>0</v>
      </c>
      <c r="DR1105" s="316">
        <f t="shared" si="727"/>
        <v>0</v>
      </c>
      <c r="DS1105" s="314">
        <f t="shared" si="728"/>
        <v>0</v>
      </c>
      <c r="DT1105" s="316">
        <f t="shared" si="729"/>
        <v>0</v>
      </c>
      <c r="DU1105" s="314">
        <f t="shared" si="718"/>
        <v>0</v>
      </c>
      <c r="DV1105" s="316">
        <f t="shared" si="733"/>
        <v>0</v>
      </c>
      <c r="DW1105" s="310">
        <f t="shared" si="719"/>
        <v>0</v>
      </c>
      <c r="FC1105" s="307"/>
      <c r="FD1105" s="166"/>
      <c r="FF1105" s="307"/>
      <c r="FH1105" s="306"/>
      <c r="FJ1105" s="307"/>
      <c r="FK1105" s="307"/>
      <c r="FL1105" s="306"/>
      <c r="FM1105" s="307"/>
      <c r="FN1105" s="306"/>
      <c r="FO1105" s="307"/>
      <c r="FP1105" s="306"/>
    </row>
    <row r="1106" spans="29:172">
      <c r="AC1106" s="156"/>
      <c r="CW1106" s="364"/>
      <c r="CX1106" s="316"/>
      <c r="CY1106" s="316"/>
      <c r="DA1106" s="309">
        <v>1105</v>
      </c>
      <c r="DB1106" s="313">
        <f t="shared" si="713"/>
        <v>602.18710886415352</v>
      </c>
      <c r="DC1106" s="309">
        <f t="shared" si="714"/>
        <v>4</v>
      </c>
      <c r="DD1106" s="309">
        <f t="shared" si="715"/>
        <v>0</v>
      </c>
      <c r="DE1106" s="308">
        <f t="shared" si="716"/>
        <v>0</v>
      </c>
      <c r="DF1106" s="313">
        <f t="shared" si="730"/>
        <v>600</v>
      </c>
      <c r="DG1106" s="313">
        <f t="shared" si="712"/>
        <v>0</v>
      </c>
      <c r="DH1106" s="313">
        <f t="shared" si="720"/>
        <v>0</v>
      </c>
      <c r="DI1106" s="313">
        <f t="shared" si="721"/>
        <v>0</v>
      </c>
      <c r="DJ1106" s="313">
        <f t="shared" si="722"/>
        <v>0</v>
      </c>
      <c r="DK1106" s="313">
        <f t="shared" si="731"/>
        <v>0</v>
      </c>
      <c r="DL1106" s="313">
        <f t="shared" si="723"/>
        <v>0</v>
      </c>
      <c r="DM1106" s="314">
        <f t="shared" si="724"/>
        <v>0</v>
      </c>
      <c r="DN1106" s="312">
        <f t="shared" si="725"/>
        <v>0</v>
      </c>
      <c r="DO1106" s="312">
        <f t="shared" si="732"/>
        <v>0</v>
      </c>
      <c r="DP1106" s="315" t="e">
        <f t="shared" si="717"/>
        <v>#NUM!</v>
      </c>
      <c r="DQ1106" s="316">
        <f t="shared" si="726"/>
        <v>0</v>
      </c>
      <c r="DR1106" s="316">
        <f t="shared" si="727"/>
        <v>0</v>
      </c>
      <c r="DS1106" s="314">
        <f t="shared" si="728"/>
        <v>0</v>
      </c>
      <c r="DT1106" s="316">
        <f t="shared" si="729"/>
        <v>0</v>
      </c>
      <c r="DU1106" s="314">
        <f t="shared" si="718"/>
        <v>0</v>
      </c>
      <c r="DV1106" s="316">
        <f t="shared" si="733"/>
        <v>0</v>
      </c>
      <c r="DW1106" s="310">
        <f t="shared" si="719"/>
        <v>0</v>
      </c>
      <c r="FC1106" s="307"/>
      <c r="FD1106" s="166"/>
      <c r="FF1106" s="307"/>
      <c r="FH1106" s="306"/>
      <c r="FJ1106" s="307"/>
      <c r="FK1106" s="307"/>
      <c r="FL1106" s="306"/>
      <c r="FM1106" s="307"/>
      <c r="FN1106" s="306"/>
      <c r="FO1106" s="307"/>
      <c r="FP1106" s="306"/>
    </row>
    <row r="1107" spans="29:172">
      <c r="AC1107" s="156"/>
      <c r="CW1107" s="364"/>
      <c r="CX1107" s="316"/>
      <c r="CY1107" s="316"/>
      <c r="DA1107" s="309">
        <v>1106</v>
      </c>
      <c r="DB1107" s="313">
        <f t="shared" si="713"/>
        <v>602.55107909841979</v>
      </c>
      <c r="DC1107" s="309">
        <f t="shared" si="714"/>
        <v>4</v>
      </c>
      <c r="DD1107" s="309">
        <f t="shared" si="715"/>
        <v>0</v>
      </c>
      <c r="DE1107" s="308">
        <f t="shared" si="716"/>
        <v>0</v>
      </c>
      <c r="DF1107" s="313">
        <f t="shared" si="730"/>
        <v>600</v>
      </c>
      <c r="DG1107" s="313">
        <f t="shared" si="712"/>
        <v>0</v>
      </c>
      <c r="DH1107" s="313">
        <f t="shared" si="720"/>
        <v>0</v>
      </c>
      <c r="DI1107" s="313">
        <f t="shared" si="721"/>
        <v>0</v>
      </c>
      <c r="DJ1107" s="313">
        <f t="shared" si="722"/>
        <v>0</v>
      </c>
      <c r="DK1107" s="313">
        <f t="shared" si="731"/>
        <v>0</v>
      </c>
      <c r="DL1107" s="313">
        <f t="shared" si="723"/>
        <v>0</v>
      </c>
      <c r="DM1107" s="314">
        <f t="shared" si="724"/>
        <v>0</v>
      </c>
      <c r="DN1107" s="312">
        <f t="shared" si="725"/>
        <v>0</v>
      </c>
      <c r="DO1107" s="312">
        <f t="shared" si="732"/>
        <v>0</v>
      </c>
      <c r="DP1107" s="315" t="e">
        <f t="shared" si="717"/>
        <v>#NUM!</v>
      </c>
      <c r="DQ1107" s="316">
        <f t="shared" si="726"/>
        <v>0</v>
      </c>
      <c r="DR1107" s="316">
        <f t="shared" si="727"/>
        <v>0</v>
      </c>
      <c r="DS1107" s="314">
        <f t="shared" si="728"/>
        <v>0</v>
      </c>
      <c r="DT1107" s="316">
        <f t="shared" si="729"/>
        <v>0</v>
      </c>
      <c r="DU1107" s="314">
        <f t="shared" si="718"/>
        <v>0</v>
      </c>
      <c r="DV1107" s="316">
        <f t="shared" si="733"/>
        <v>0</v>
      </c>
      <c r="DW1107" s="310">
        <f t="shared" si="719"/>
        <v>0</v>
      </c>
      <c r="FC1107" s="307"/>
      <c r="FD1107" s="166"/>
      <c r="FF1107" s="307"/>
      <c r="FH1107" s="306"/>
      <c r="FJ1107" s="307"/>
      <c r="FK1107" s="307"/>
      <c r="FL1107" s="306"/>
      <c r="FM1107" s="307"/>
      <c r="FN1107" s="306"/>
      <c r="FO1107" s="307"/>
      <c r="FP1107" s="306"/>
    </row>
    <row r="1108" spans="29:172">
      <c r="AC1108" s="156"/>
      <c r="CW1108" s="364"/>
      <c r="CX1108" s="316"/>
      <c r="CY1108" s="316"/>
      <c r="DA1108" s="309">
        <v>1107</v>
      </c>
      <c r="DB1108" s="313">
        <f t="shared" si="713"/>
        <v>602.91504933268607</v>
      </c>
      <c r="DC1108" s="309">
        <f t="shared" si="714"/>
        <v>4</v>
      </c>
      <c r="DD1108" s="309">
        <f t="shared" si="715"/>
        <v>0</v>
      </c>
      <c r="DE1108" s="308">
        <f t="shared" si="716"/>
        <v>0</v>
      </c>
      <c r="DF1108" s="313">
        <f t="shared" si="730"/>
        <v>600</v>
      </c>
      <c r="DG1108" s="313">
        <f t="shared" si="712"/>
        <v>0</v>
      </c>
      <c r="DH1108" s="313">
        <f t="shared" si="720"/>
        <v>0</v>
      </c>
      <c r="DI1108" s="313">
        <f t="shared" si="721"/>
        <v>0</v>
      </c>
      <c r="DJ1108" s="313">
        <f t="shared" si="722"/>
        <v>0</v>
      </c>
      <c r="DK1108" s="313">
        <f t="shared" si="731"/>
        <v>0</v>
      </c>
      <c r="DL1108" s="313">
        <f t="shared" si="723"/>
        <v>0</v>
      </c>
      <c r="DM1108" s="314">
        <f t="shared" si="724"/>
        <v>0</v>
      </c>
      <c r="DN1108" s="312">
        <f t="shared" si="725"/>
        <v>0</v>
      </c>
      <c r="DO1108" s="312">
        <f t="shared" si="732"/>
        <v>0</v>
      </c>
      <c r="DP1108" s="315" t="e">
        <f t="shared" si="717"/>
        <v>#NUM!</v>
      </c>
      <c r="DQ1108" s="316">
        <f t="shared" si="726"/>
        <v>0</v>
      </c>
      <c r="DR1108" s="316">
        <f t="shared" si="727"/>
        <v>0</v>
      </c>
      <c r="DS1108" s="314">
        <f t="shared" si="728"/>
        <v>0</v>
      </c>
      <c r="DT1108" s="316">
        <f t="shared" si="729"/>
        <v>0</v>
      </c>
      <c r="DU1108" s="314">
        <f t="shared" si="718"/>
        <v>0</v>
      </c>
      <c r="DV1108" s="316">
        <f t="shared" si="733"/>
        <v>0</v>
      </c>
      <c r="DW1108" s="310">
        <f t="shared" si="719"/>
        <v>0</v>
      </c>
      <c r="FC1108" s="307"/>
      <c r="FD1108" s="166"/>
      <c r="FF1108" s="307"/>
      <c r="FH1108" s="306"/>
      <c r="FJ1108" s="307"/>
      <c r="FK1108" s="307"/>
      <c r="FL1108" s="306"/>
      <c r="FM1108" s="307"/>
      <c r="FN1108" s="306"/>
      <c r="FO1108" s="307"/>
      <c r="FP1108" s="306"/>
    </row>
    <row r="1109" spans="29:172">
      <c r="AC1109" s="156"/>
      <c r="CW1109" s="364"/>
      <c r="CX1109" s="316"/>
      <c r="CY1109" s="316"/>
      <c r="DA1109" s="309">
        <v>1108</v>
      </c>
      <c r="DB1109" s="313">
        <f t="shared" si="713"/>
        <v>603.27901956695223</v>
      </c>
      <c r="DC1109" s="309">
        <f t="shared" si="714"/>
        <v>4</v>
      </c>
      <c r="DD1109" s="309">
        <f t="shared" si="715"/>
        <v>0</v>
      </c>
      <c r="DE1109" s="308">
        <f t="shared" si="716"/>
        <v>0</v>
      </c>
      <c r="DF1109" s="313">
        <f t="shared" si="730"/>
        <v>600</v>
      </c>
      <c r="DG1109" s="313">
        <f t="shared" si="712"/>
        <v>0</v>
      </c>
      <c r="DH1109" s="313">
        <f t="shared" si="720"/>
        <v>0</v>
      </c>
      <c r="DI1109" s="313">
        <f t="shared" si="721"/>
        <v>0</v>
      </c>
      <c r="DJ1109" s="313">
        <f t="shared" si="722"/>
        <v>0</v>
      </c>
      <c r="DK1109" s="313">
        <f t="shared" si="731"/>
        <v>0</v>
      </c>
      <c r="DL1109" s="313">
        <f t="shared" si="723"/>
        <v>0</v>
      </c>
      <c r="DM1109" s="314">
        <f t="shared" si="724"/>
        <v>0</v>
      </c>
      <c r="DN1109" s="312">
        <f t="shared" si="725"/>
        <v>0</v>
      </c>
      <c r="DO1109" s="312">
        <f t="shared" si="732"/>
        <v>0</v>
      </c>
      <c r="DP1109" s="315" t="e">
        <f t="shared" si="717"/>
        <v>#NUM!</v>
      </c>
      <c r="DQ1109" s="316">
        <f t="shared" si="726"/>
        <v>0</v>
      </c>
      <c r="DR1109" s="316">
        <f t="shared" si="727"/>
        <v>0</v>
      </c>
      <c r="DS1109" s="314">
        <f t="shared" si="728"/>
        <v>0</v>
      </c>
      <c r="DT1109" s="316">
        <f t="shared" si="729"/>
        <v>0</v>
      </c>
      <c r="DU1109" s="314">
        <f t="shared" si="718"/>
        <v>0</v>
      </c>
      <c r="DV1109" s="316">
        <f t="shared" si="733"/>
        <v>0</v>
      </c>
      <c r="DW1109" s="310">
        <f t="shared" si="719"/>
        <v>0</v>
      </c>
      <c r="FC1109" s="307"/>
      <c r="FD1109" s="166"/>
      <c r="FF1109" s="307"/>
      <c r="FH1109" s="306"/>
      <c r="FJ1109" s="307"/>
      <c r="FK1109" s="307"/>
      <c r="FL1109" s="306"/>
      <c r="FM1109" s="307"/>
      <c r="FN1109" s="306"/>
      <c r="FO1109" s="307"/>
      <c r="FP1109" s="306"/>
    </row>
    <row r="1110" spans="29:172">
      <c r="AC1110" s="156"/>
      <c r="CW1110" s="364"/>
      <c r="CX1110" s="316"/>
      <c r="CY1110" s="316"/>
      <c r="DA1110" s="309">
        <v>1109</v>
      </c>
      <c r="DB1110" s="313">
        <f t="shared" si="713"/>
        <v>603.64298980121839</v>
      </c>
      <c r="DC1110" s="309">
        <f t="shared" si="714"/>
        <v>4</v>
      </c>
      <c r="DD1110" s="309">
        <f t="shared" si="715"/>
        <v>0</v>
      </c>
      <c r="DE1110" s="308">
        <f t="shared" si="716"/>
        <v>0</v>
      </c>
      <c r="DF1110" s="313">
        <f t="shared" si="730"/>
        <v>600</v>
      </c>
      <c r="DG1110" s="313">
        <f t="shared" si="712"/>
        <v>0</v>
      </c>
      <c r="DH1110" s="313">
        <f t="shared" si="720"/>
        <v>0</v>
      </c>
      <c r="DI1110" s="313">
        <f t="shared" si="721"/>
        <v>0</v>
      </c>
      <c r="DJ1110" s="313">
        <f t="shared" si="722"/>
        <v>0</v>
      </c>
      <c r="DK1110" s="313">
        <f t="shared" si="731"/>
        <v>0</v>
      </c>
      <c r="DL1110" s="313">
        <f t="shared" si="723"/>
        <v>0</v>
      </c>
      <c r="DM1110" s="314">
        <f t="shared" si="724"/>
        <v>0</v>
      </c>
      <c r="DN1110" s="312">
        <f t="shared" si="725"/>
        <v>0</v>
      </c>
      <c r="DO1110" s="312">
        <f t="shared" si="732"/>
        <v>0</v>
      </c>
      <c r="DP1110" s="315" t="e">
        <f t="shared" si="717"/>
        <v>#NUM!</v>
      </c>
      <c r="DQ1110" s="316">
        <f t="shared" si="726"/>
        <v>0</v>
      </c>
      <c r="DR1110" s="316">
        <f t="shared" si="727"/>
        <v>0</v>
      </c>
      <c r="DS1110" s="314">
        <f t="shared" si="728"/>
        <v>0</v>
      </c>
      <c r="DT1110" s="316">
        <f t="shared" si="729"/>
        <v>0</v>
      </c>
      <c r="DU1110" s="314">
        <f t="shared" si="718"/>
        <v>0</v>
      </c>
      <c r="DV1110" s="316">
        <f t="shared" si="733"/>
        <v>0</v>
      </c>
      <c r="DW1110" s="310">
        <f t="shared" si="719"/>
        <v>0</v>
      </c>
      <c r="FC1110" s="307"/>
      <c r="FD1110" s="166"/>
      <c r="FF1110" s="307"/>
      <c r="FH1110" s="306"/>
      <c r="FJ1110" s="307"/>
      <c r="FK1110" s="307"/>
      <c r="FL1110" s="306"/>
      <c r="FM1110" s="307"/>
      <c r="FN1110" s="306"/>
      <c r="FO1110" s="307"/>
      <c r="FP1110" s="306"/>
    </row>
    <row r="1111" spans="29:172">
      <c r="AC1111" s="156"/>
      <c r="CW1111" s="364"/>
      <c r="CX1111" s="316"/>
      <c r="CY1111" s="316"/>
      <c r="DA1111" s="309">
        <v>1110</v>
      </c>
      <c r="DB1111" s="313">
        <f t="shared" si="713"/>
        <v>604.00696003548455</v>
      </c>
      <c r="DC1111" s="309">
        <f t="shared" si="714"/>
        <v>4</v>
      </c>
      <c r="DD1111" s="309">
        <f t="shared" si="715"/>
        <v>0</v>
      </c>
      <c r="DE1111" s="308">
        <f t="shared" si="716"/>
        <v>0</v>
      </c>
      <c r="DF1111" s="313">
        <f t="shared" si="730"/>
        <v>600</v>
      </c>
      <c r="DG1111" s="313">
        <f t="shared" si="712"/>
        <v>0</v>
      </c>
      <c r="DH1111" s="313">
        <f t="shared" si="720"/>
        <v>0</v>
      </c>
      <c r="DI1111" s="313">
        <f t="shared" si="721"/>
        <v>0</v>
      </c>
      <c r="DJ1111" s="313">
        <f t="shared" si="722"/>
        <v>0</v>
      </c>
      <c r="DK1111" s="313">
        <f t="shared" si="731"/>
        <v>0</v>
      </c>
      <c r="DL1111" s="313">
        <f t="shared" si="723"/>
        <v>0</v>
      </c>
      <c r="DM1111" s="314">
        <f t="shared" si="724"/>
        <v>0</v>
      </c>
      <c r="DN1111" s="312">
        <f t="shared" si="725"/>
        <v>0</v>
      </c>
      <c r="DO1111" s="312">
        <f t="shared" si="732"/>
        <v>0</v>
      </c>
      <c r="DP1111" s="315" t="e">
        <f t="shared" si="717"/>
        <v>#NUM!</v>
      </c>
      <c r="DQ1111" s="316">
        <f t="shared" si="726"/>
        <v>0</v>
      </c>
      <c r="DR1111" s="316">
        <f t="shared" si="727"/>
        <v>0</v>
      </c>
      <c r="DS1111" s="314">
        <f t="shared" si="728"/>
        <v>0</v>
      </c>
      <c r="DT1111" s="316">
        <f t="shared" si="729"/>
        <v>0</v>
      </c>
      <c r="DU1111" s="314">
        <f t="shared" si="718"/>
        <v>0</v>
      </c>
      <c r="DV1111" s="316">
        <f t="shared" si="733"/>
        <v>0</v>
      </c>
      <c r="DW1111" s="310">
        <f t="shared" si="719"/>
        <v>0</v>
      </c>
      <c r="FC1111" s="307"/>
      <c r="FD1111" s="166"/>
      <c r="FF1111" s="307"/>
      <c r="FH1111" s="306"/>
      <c r="FJ1111" s="307"/>
      <c r="FK1111" s="307"/>
      <c r="FL1111" s="306"/>
      <c r="FM1111" s="307"/>
      <c r="FN1111" s="306"/>
      <c r="FO1111" s="307"/>
      <c r="FP1111" s="306"/>
    </row>
    <row r="1112" spans="29:172">
      <c r="AC1112" s="156"/>
      <c r="CW1112" s="364"/>
      <c r="CX1112" s="316"/>
      <c r="CY1112" s="316"/>
      <c r="DA1112" s="309">
        <v>1111</v>
      </c>
      <c r="DB1112" s="313">
        <f t="shared" si="713"/>
        <v>604.37093026975083</v>
      </c>
      <c r="DC1112" s="309">
        <f t="shared" si="714"/>
        <v>4</v>
      </c>
      <c r="DD1112" s="309">
        <f t="shared" si="715"/>
        <v>0</v>
      </c>
      <c r="DE1112" s="308">
        <f t="shared" si="716"/>
        <v>0</v>
      </c>
      <c r="DF1112" s="313">
        <f t="shared" si="730"/>
        <v>600</v>
      </c>
      <c r="DG1112" s="313">
        <f t="shared" si="712"/>
        <v>0</v>
      </c>
      <c r="DH1112" s="313">
        <f t="shared" si="720"/>
        <v>0</v>
      </c>
      <c r="DI1112" s="313">
        <f t="shared" si="721"/>
        <v>0</v>
      </c>
      <c r="DJ1112" s="313">
        <f t="shared" si="722"/>
        <v>0</v>
      </c>
      <c r="DK1112" s="313">
        <f t="shared" si="731"/>
        <v>0</v>
      </c>
      <c r="DL1112" s="313">
        <f t="shared" si="723"/>
        <v>0</v>
      </c>
      <c r="DM1112" s="314">
        <f t="shared" si="724"/>
        <v>0</v>
      </c>
      <c r="DN1112" s="312">
        <f t="shared" si="725"/>
        <v>0</v>
      </c>
      <c r="DO1112" s="312">
        <f t="shared" si="732"/>
        <v>0</v>
      </c>
      <c r="DP1112" s="315" t="e">
        <f t="shared" si="717"/>
        <v>#NUM!</v>
      </c>
      <c r="DQ1112" s="316">
        <f t="shared" si="726"/>
        <v>0</v>
      </c>
      <c r="DR1112" s="316">
        <f t="shared" si="727"/>
        <v>0</v>
      </c>
      <c r="DS1112" s="314">
        <f t="shared" si="728"/>
        <v>0</v>
      </c>
      <c r="DT1112" s="316">
        <f t="shared" si="729"/>
        <v>0</v>
      </c>
      <c r="DU1112" s="314">
        <f t="shared" si="718"/>
        <v>0</v>
      </c>
      <c r="DV1112" s="316">
        <f t="shared" si="733"/>
        <v>0</v>
      </c>
      <c r="DW1112" s="310">
        <f t="shared" si="719"/>
        <v>0</v>
      </c>
      <c r="FC1112" s="307"/>
      <c r="FD1112" s="166"/>
      <c r="FF1112" s="307"/>
      <c r="FH1112" s="306"/>
      <c r="FJ1112" s="307"/>
      <c r="FK1112" s="307"/>
      <c r="FL1112" s="306"/>
      <c r="FM1112" s="307"/>
      <c r="FN1112" s="306"/>
      <c r="FO1112" s="307"/>
      <c r="FP1112" s="306"/>
    </row>
    <row r="1113" spans="29:172">
      <c r="AC1113" s="156"/>
      <c r="CW1113" s="364"/>
      <c r="CX1113" s="316"/>
      <c r="CY1113" s="316"/>
      <c r="DA1113" s="309">
        <v>1112</v>
      </c>
      <c r="DB1113" s="313">
        <f t="shared" si="713"/>
        <v>604.73490050401699</v>
      </c>
      <c r="DC1113" s="309">
        <f t="shared" si="714"/>
        <v>4</v>
      </c>
      <c r="DD1113" s="309">
        <f t="shared" si="715"/>
        <v>0</v>
      </c>
      <c r="DE1113" s="308">
        <f t="shared" si="716"/>
        <v>0</v>
      </c>
      <c r="DF1113" s="313">
        <f t="shared" si="730"/>
        <v>600</v>
      </c>
      <c r="DG1113" s="313">
        <f t="shared" si="712"/>
        <v>0</v>
      </c>
      <c r="DH1113" s="313">
        <f t="shared" si="720"/>
        <v>0</v>
      </c>
      <c r="DI1113" s="313">
        <f t="shared" si="721"/>
        <v>0</v>
      </c>
      <c r="DJ1113" s="313">
        <f t="shared" si="722"/>
        <v>0</v>
      </c>
      <c r="DK1113" s="313">
        <f t="shared" si="731"/>
        <v>0</v>
      </c>
      <c r="DL1113" s="313">
        <f t="shared" si="723"/>
        <v>0</v>
      </c>
      <c r="DM1113" s="314">
        <f t="shared" si="724"/>
        <v>0</v>
      </c>
      <c r="DN1113" s="312">
        <f t="shared" si="725"/>
        <v>0</v>
      </c>
      <c r="DO1113" s="312">
        <f t="shared" si="732"/>
        <v>0</v>
      </c>
      <c r="DP1113" s="315" t="e">
        <f t="shared" si="717"/>
        <v>#NUM!</v>
      </c>
      <c r="DQ1113" s="316">
        <f t="shared" si="726"/>
        <v>0</v>
      </c>
      <c r="DR1113" s="316">
        <f t="shared" si="727"/>
        <v>0</v>
      </c>
      <c r="DS1113" s="314">
        <f t="shared" si="728"/>
        <v>0</v>
      </c>
      <c r="DT1113" s="316">
        <f t="shared" si="729"/>
        <v>0</v>
      </c>
      <c r="DU1113" s="314">
        <f t="shared" si="718"/>
        <v>0</v>
      </c>
      <c r="DV1113" s="316">
        <f t="shared" si="733"/>
        <v>0</v>
      </c>
      <c r="DW1113" s="310">
        <f t="shared" si="719"/>
        <v>0</v>
      </c>
      <c r="FC1113" s="307"/>
      <c r="FD1113" s="166"/>
      <c r="FF1113" s="307"/>
      <c r="FH1113" s="306"/>
      <c r="FJ1113" s="307"/>
      <c r="FK1113" s="307"/>
      <c r="FL1113" s="306"/>
      <c r="FM1113" s="307"/>
      <c r="FN1113" s="306"/>
      <c r="FO1113" s="307"/>
      <c r="FP1113" s="306"/>
    </row>
    <row r="1114" spans="29:172">
      <c r="AC1114" s="156"/>
      <c r="CW1114" s="364"/>
      <c r="CX1114" s="316"/>
      <c r="CY1114" s="316"/>
      <c r="DA1114" s="309">
        <v>1113</v>
      </c>
      <c r="DB1114" s="313">
        <f t="shared" si="713"/>
        <v>605.09887073828327</v>
      </c>
      <c r="DC1114" s="309">
        <f t="shared" si="714"/>
        <v>4</v>
      </c>
      <c r="DD1114" s="309">
        <f t="shared" si="715"/>
        <v>0</v>
      </c>
      <c r="DE1114" s="308">
        <f t="shared" si="716"/>
        <v>0</v>
      </c>
      <c r="DF1114" s="313">
        <f t="shared" si="730"/>
        <v>600</v>
      </c>
      <c r="DG1114" s="313">
        <f t="shared" si="712"/>
        <v>0</v>
      </c>
      <c r="DH1114" s="313">
        <f t="shared" si="720"/>
        <v>0</v>
      </c>
      <c r="DI1114" s="313">
        <f t="shared" si="721"/>
        <v>0</v>
      </c>
      <c r="DJ1114" s="313">
        <f t="shared" si="722"/>
        <v>0</v>
      </c>
      <c r="DK1114" s="313">
        <f t="shared" si="731"/>
        <v>0</v>
      </c>
      <c r="DL1114" s="313">
        <f t="shared" si="723"/>
        <v>0</v>
      </c>
      <c r="DM1114" s="314">
        <f t="shared" si="724"/>
        <v>0</v>
      </c>
      <c r="DN1114" s="312">
        <f t="shared" si="725"/>
        <v>0</v>
      </c>
      <c r="DO1114" s="312">
        <f t="shared" si="732"/>
        <v>0</v>
      </c>
      <c r="DP1114" s="315" t="e">
        <f t="shared" si="717"/>
        <v>#NUM!</v>
      </c>
      <c r="DQ1114" s="316">
        <f t="shared" si="726"/>
        <v>0</v>
      </c>
      <c r="DR1114" s="316">
        <f t="shared" si="727"/>
        <v>0</v>
      </c>
      <c r="DS1114" s="314">
        <f t="shared" si="728"/>
        <v>0</v>
      </c>
      <c r="DT1114" s="316">
        <f t="shared" si="729"/>
        <v>0</v>
      </c>
      <c r="DU1114" s="314">
        <f t="shared" si="718"/>
        <v>0</v>
      </c>
      <c r="DV1114" s="316">
        <f t="shared" si="733"/>
        <v>0</v>
      </c>
      <c r="DW1114" s="310">
        <f t="shared" si="719"/>
        <v>0</v>
      </c>
      <c r="FC1114" s="307"/>
      <c r="FD1114" s="166"/>
      <c r="FF1114" s="307"/>
      <c r="FH1114" s="306"/>
      <c r="FJ1114" s="307"/>
      <c r="FK1114" s="307"/>
      <c r="FL1114" s="306"/>
      <c r="FM1114" s="307"/>
      <c r="FN1114" s="306"/>
      <c r="FO1114" s="307"/>
      <c r="FP1114" s="306"/>
    </row>
    <row r="1115" spans="29:172">
      <c r="AC1115" s="156"/>
      <c r="CW1115" s="364"/>
      <c r="CX1115" s="316"/>
      <c r="CY1115" s="316"/>
      <c r="DA1115" s="309">
        <v>1114</v>
      </c>
      <c r="DB1115" s="313">
        <f t="shared" si="713"/>
        <v>605.46284097254943</v>
      </c>
      <c r="DC1115" s="309">
        <f t="shared" si="714"/>
        <v>4</v>
      </c>
      <c r="DD1115" s="309">
        <f t="shared" si="715"/>
        <v>0</v>
      </c>
      <c r="DE1115" s="308">
        <f t="shared" si="716"/>
        <v>0</v>
      </c>
      <c r="DF1115" s="313">
        <f t="shared" si="730"/>
        <v>600</v>
      </c>
      <c r="DG1115" s="313">
        <f t="shared" si="712"/>
        <v>0</v>
      </c>
      <c r="DH1115" s="313">
        <f t="shared" si="720"/>
        <v>0</v>
      </c>
      <c r="DI1115" s="313">
        <f t="shared" si="721"/>
        <v>0</v>
      </c>
      <c r="DJ1115" s="313">
        <f t="shared" si="722"/>
        <v>0</v>
      </c>
      <c r="DK1115" s="313">
        <f t="shared" si="731"/>
        <v>0</v>
      </c>
      <c r="DL1115" s="313">
        <f t="shared" si="723"/>
        <v>0</v>
      </c>
      <c r="DM1115" s="314">
        <f t="shared" si="724"/>
        <v>0</v>
      </c>
      <c r="DN1115" s="312">
        <f t="shared" si="725"/>
        <v>0</v>
      </c>
      <c r="DO1115" s="312">
        <f t="shared" si="732"/>
        <v>0</v>
      </c>
      <c r="DP1115" s="315" t="e">
        <f t="shared" si="717"/>
        <v>#NUM!</v>
      </c>
      <c r="DQ1115" s="316">
        <f t="shared" si="726"/>
        <v>0</v>
      </c>
      <c r="DR1115" s="316">
        <f t="shared" si="727"/>
        <v>0</v>
      </c>
      <c r="DS1115" s="314">
        <f t="shared" si="728"/>
        <v>0</v>
      </c>
      <c r="DT1115" s="316">
        <f t="shared" si="729"/>
        <v>0</v>
      </c>
      <c r="DU1115" s="314">
        <f t="shared" si="718"/>
        <v>0</v>
      </c>
      <c r="DV1115" s="316">
        <f t="shared" si="733"/>
        <v>0</v>
      </c>
      <c r="DW1115" s="310">
        <f t="shared" si="719"/>
        <v>0</v>
      </c>
      <c r="FC1115" s="307"/>
      <c r="FD1115" s="166"/>
      <c r="FF1115" s="307"/>
      <c r="FH1115" s="306"/>
      <c r="FJ1115" s="307"/>
      <c r="FK1115" s="307"/>
      <c r="FL1115" s="306"/>
      <c r="FM1115" s="307"/>
      <c r="FN1115" s="306"/>
      <c r="FO1115" s="307"/>
      <c r="FP1115" s="306"/>
    </row>
    <row r="1116" spans="29:172">
      <c r="AC1116" s="156"/>
      <c r="CW1116" s="364"/>
      <c r="CX1116" s="316"/>
      <c r="CY1116" s="316"/>
      <c r="DA1116" s="309">
        <v>1115</v>
      </c>
      <c r="DB1116" s="313">
        <f t="shared" si="713"/>
        <v>605.82681120681559</v>
      </c>
      <c r="DC1116" s="309">
        <f t="shared" si="714"/>
        <v>4</v>
      </c>
      <c r="DD1116" s="309">
        <f t="shared" si="715"/>
        <v>0</v>
      </c>
      <c r="DE1116" s="308">
        <f t="shared" si="716"/>
        <v>0</v>
      </c>
      <c r="DF1116" s="313">
        <f t="shared" si="730"/>
        <v>600</v>
      </c>
      <c r="DG1116" s="313">
        <f t="shared" si="712"/>
        <v>0</v>
      </c>
      <c r="DH1116" s="313">
        <f t="shared" si="720"/>
        <v>0</v>
      </c>
      <c r="DI1116" s="313">
        <f t="shared" si="721"/>
        <v>0</v>
      </c>
      <c r="DJ1116" s="313">
        <f t="shared" si="722"/>
        <v>0</v>
      </c>
      <c r="DK1116" s="313">
        <f t="shared" si="731"/>
        <v>0</v>
      </c>
      <c r="DL1116" s="313">
        <f t="shared" si="723"/>
        <v>0</v>
      </c>
      <c r="DM1116" s="314">
        <f t="shared" si="724"/>
        <v>0</v>
      </c>
      <c r="DN1116" s="312">
        <f t="shared" si="725"/>
        <v>0</v>
      </c>
      <c r="DO1116" s="312">
        <f t="shared" si="732"/>
        <v>0</v>
      </c>
      <c r="DP1116" s="315" t="e">
        <f t="shared" si="717"/>
        <v>#NUM!</v>
      </c>
      <c r="DQ1116" s="316">
        <f t="shared" si="726"/>
        <v>0</v>
      </c>
      <c r="DR1116" s="316">
        <f t="shared" si="727"/>
        <v>0</v>
      </c>
      <c r="DS1116" s="314">
        <f t="shared" si="728"/>
        <v>0</v>
      </c>
      <c r="DT1116" s="316">
        <f t="shared" si="729"/>
        <v>0</v>
      </c>
      <c r="DU1116" s="314">
        <f t="shared" si="718"/>
        <v>0</v>
      </c>
      <c r="DV1116" s="316">
        <f t="shared" si="733"/>
        <v>0</v>
      </c>
      <c r="DW1116" s="310">
        <f t="shared" si="719"/>
        <v>0</v>
      </c>
      <c r="FC1116" s="307"/>
      <c r="FD1116" s="166"/>
      <c r="FF1116" s="307"/>
      <c r="FH1116" s="306"/>
      <c r="FJ1116" s="307"/>
      <c r="FK1116" s="307"/>
      <c r="FL1116" s="306"/>
      <c r="FM1116" s="307"/>
      <c r="FN1116" s="306"/>
      <c r="FO1116" s="307"/>
      <c r="FP1116" s="306"/>
    </row>
    <row r="1117" spans="29:172">
      <c r="AC1117" s="156"/>
      <c r="CW1117" s="364"/>
      <c r="CX1117" s="316"/>
      <c r="CY1117" s="316"/>
      <c r="DA1117" s="309">
        <v>1116</v>
      </c>
      <c r="DB1117" s="313">
        <f t="shared" si="713"/>
        <v>606.19078144108175</v>
      </c>
      <c r="DC1117" s="309">
        <f t="shared" si="714"/>
        <v>4</v>
      </c>
      <c r="DD1117" s="309">
        <f t="shared" si="715"/>
        <v>0</v>
      </c>
      <c r="DE1117" s="308">
        <f t="shared" si="716"/>
        <v>0</v>
      </c>
      <c r="DF1117" s="313">
        <f t="shared" si="730"/>
        <v>600</v>
      </c>
      <c r="DG1117" s="313">
        <f t="shared" si="712"/>
        <v>0</v>
      </c>
      <c r="DH1117" s="313">
        <f t="shared" si="720"/>
        <v>0</v>
      </c>
      <c r="DI1117" s="313">
        <f t="shared" si="721"/>
        <v>0</v>
      </c>
      <c r="DJ1117" s="313">
        <f t="shared" si="722"/>
        <v>0</v>
      </c>
      <c r="DK1117" s="313">
        <f t="shared" si="731"/>
        <v>0</v>
      </c>
      <c r="DL1117" s="313">
        <f t="shared" si="723"/>
        <v>0</v>
      </c>
      <c r="DM1117" s="314">
        <f t="shared" si="724"/>
        <v>0</v>
      </c>
      <c r="DN1117" s="312">
        <f t="shared" si="725"/>
        <v>0</v>
      </c>
      <c r="DO1117" s="312">
        <f t="shared" si="732"/>
        <v>0</v>
      </c>
      <c r="DP1117" s="315" t="e">
        <f t="shared" si="717"/>
        <v>#NUM!</v>
      </c>
      <c r="DQ1117" s="316">
        <f t="shared" si="726"/>
        <v>0</v>
      </c>
      <c r="DR1117" s="316">
        <f t="shared" si="727"/>
        <v>0</v>
      </c>
      <c r="DS1117" s="314">
        <f t="shared" si="728"/>
        <v>0</v>
      </c>
      <c r="DT1117" s="316">
        <f t="shared" si="729"/>
        <v>0</v>
      </c>
      <c r="DU1117" s="314">
        <f t="shared" si="718"/>
        <v>0</v>
      </c>
      <c r="DV1117" s="316">
        <f t="shared" si="733"/>
        <v>0</v>
      </c>
      <c r="DW1117" s="310">
        <f t="shared" si="719"/>
        <v>0</v>
      </c>
      <c r="FC1117" s="307"/>
      <c r="FD1117" s="166"/>
      <c r="FF1117" s="307"/>
      <c r="FH1117" s="306"/>
      <c r="FJ1117" s="307"/>
      <c r="FK1117" s="307"/>
      <c r="FL1117" s="306"/>
      <c r="FM1117" s="307"/>
      <c r="FN1117" s="306"/>
      <c r="FO1117" s="307"/>
      <c r="FP1117" s="306"/>
    </row>
    <row r="1118" spans="29:172">
      <c r="AC1118" s="156"/>
      <c r="CW1118" s="364"/>
      <c r="CX1118" s="316"/>
      <c r="CY1118" s="316"/>
      <c r="DA1118" s="309">
        <v>1117</v>
      </c>
      <c r="DB1118" s="313">
        <f t="shared" si="713"/>
        <v>606.55475167534803</v>
      </c>
      <c r="DC1118" s="309">
        <f t="shared" si="714"/>
        <v>4</v>
      </c>
      <c r="DD1118" s="309">
        <f t="shared" si="715"/>
        <v>0</v>
      </c>
      <c r="DE1118" s="308">
        <f t="shared" si="716"/>
        <v>0</v>
      </c>
      <c r="DF1118" s="313">
        <f t="shared" si="730"/>
        <v>600</v>
      </c>
      <c r="DG1118" s="313">
        <f t="shared" si="712"/>
        <v>0</v>
      </c>
      <c r="DH1118" s="313">
        <f t="shared" si="720"/>
        <v>0</v>
      </c>
      <c r="DI1118" s="313">
        <f t="shared" si="721"/>
        <v>0</v>
      </c>
      <c r="DJ1118" s="313">
        <f t="shared" si="722"/>
        <v>0</v>
      </c>
      <c r="DK1118" s="313">
        <f t="shared" si="731"/>
        <v>0</v>
      </c>
      <c r="DL1118" s="313">
        <f t="shared" si="723"/>
        <v>0</v>
      </c>
      <c r="DM1118" s="314">
        <f t="shared" si="724"/>
        <v>0</v>
      </c>
      <c r="DN1118" s="312">
        <f t="shared" si="725"/>
        <v>0</v>
      </c>
      <c r="DO1118" s="312">
        <f t="shared" si="732"/>
        <v>0</v>
      </c>
      <c r="DP1118" s="315" t="e">
        <f t="shared" si="717"/>
        <v>#NUM!</v>
      </c>
      <c r="DQ1118" s="316">
        <f t="shared" si="726"/>
        <v>0</v>
      </c>
      <c r="DR1118" s="316">
        <f t="shared" si="727"/>
        <v>0</v>
      </c>
      <c r="DS1118" s="314">
        <f t="shared" si="728"/>
        <v>0</v>
      </c>
      <c r="DT1118" s="316">
        <f t="shared" si="729"/>
        <v>0</v>
      </c>
      <c r="DU1118" s="314">
        <f t="shared" si="718"/>
        <v>0</v>
      </c>
      <c r="DV1118" s="316">
        <f t="shared" si="733"/>
        <v>0</v>
      </c>
      <c r="DW1118" s="310">
        <f t="shared" si="719"/>
        <v>0</v>
      </c>
      <c r="FC1118" s="307"/>
      <c r="FD1118" s="166"/>
      <c r="FF1118" s="307"/>
      <c r="FH1118" s="306"/>
      <c r="FJ1118" s="307"/>
      <c r="FK1118" s="307"/>
      <c r="FL1118" s="306"/>
      <c r="FM1118" s="307"/>
      <c r="FN1118" s="306"/>
      <c r="FO1118" s="307"/>
      <c r="FP1118" s="306"/>
    </row>
    <row r="1119" spans="29:172">
      <c r="AC1119" s="156"/>
      <c r="CW1119" s="364"/>
      <c r="CX1119" s="316"/>
      <c r="CY1119" s="316"/>
      <c r="DA1119" s="309">
        <v>1118</v>
      </c>
      <c r="DB1119" s="313">
        <f t="shared" si="713"/>
        <v>606.91872190961419</v>
      </c>
      <c r="DC1119" s="309">
        <f t="shared" si="714"/>
        <v>4</v>
      </c>
      <c r="DD1119" s="309">
        <f t="shared" si="715"/>
        <v>0</v>
      </c>
      <c r="DE1119" s="308">
        <f t="shared" si="716"/>
        <v>0</v>
      </c>
      <c r="DF1119" s="313">
        <f t="shared" si="730"/>
        <v>600</v>
      </c>
      <c r="DG1119" s="313">
        <f t="shared" si="712"/>
        <v>0</v>
      </c>
      <c r="DH1119" s="313">
        <f t="shared" si="720"/>
        <v>0</v>
      </c>
      <c r="DI1119" s="313">
        <f t="shared" si="721"/>
        <v>0</v>
      </c>
      <c r="DJ1119" s="313">
        <f t="shared" si="722"/>
        <v>0</v>
      </c>
      <c r="DK1119" s="313">
        <f t="shared" si="731"/>
        <v>0</v>
      </c>
      <c r="DL1119" s="313">
        <f t="shared" si="723"/>
        <v>0</v>
      </c>
      <c r="DM1119" s="314">
        <f t="shared" si="724"/>
        <v>0</v>
      </c>
      <c r="DN1119" s="312">
        <f t="shared" si="725"/>
        <v>0</v>
      </c>
      <c r="DO1119" s="312">
        <f t="shared" si="732"/>
        <v>0</v>
      </c>
      <c r="DP1119" s="315" t="e">
        <f t="shared" si="717"/>
        <v>#NUM!</v>
      </c>
      <c r="DQ1119" s="316">
        <f t="shared" si="726"/>
        <v>0</v>
      </c>
      <c r="DR1119" s="316">
        <f t="shared" si="727"/>
        <v>0</v>
      </c>
      <c r="DS1119" s="314">
        <f t="shared" si="728"/>
        <v>0</v>
      </c>
      <c r="DT1119" s="316">
        <f t="shared" si="729"/>
        <v>0</v>
      </c>
      <c r="DU1119" s="314">
        <f t="shared" si="718"/>
        <v>0</v>
      </c>
      <c r="DV1119" s="316">
        <f t="shared" si="733"/>
        <v>0</v>
      </c>
      <c r="DW1119" s="310">
        <f t="shared" si="719"/>
        <v>0</v>
      </c>
      <c r="FC1119" s="307"/>
      <c r="FD1119" s="166"/>
      <c r="FF1119" s="307"/>
      <c r="FH1119" s="306"/>
      <c r="FJ1119" s="307"/>
      <c r="FK1119" s="307"/>
      <c r="FL1119" s="306"/>
      <c r="FM1119" s="307"/>
      <c r="FN1119" s="306"/>
      <c r="FO1119" s="307"/>
      <c r="FP1119" s="306"/>
    </row>
    <row r="1120" spans="29:172">
      <c r="AC1120" s="156"/>
      <c r="CW1120" s="364"/>
      <c r="CX1120" s="316"/>
      <c r="CY1120" s="316"/>
      <c r="DA1120" s="309">
        <v>1119</v>
      </c>
      <c r="DB1120" s="313">
        <f t="shared" si="713"/>
        <v>607.28269214388047</v>
      </c>
      <c r="DC1120" s="309">
        <f t="shared" si="714"/>
        <v>4</v>
      </c>
      <c r="DD1120" s="309">
        <f t="shared" si="715"/>
        <v>0</v>
      </c>
      <c r="DE1120" s="308">
        <f t="shared" si="716"/>
        <v>0</v>
      </c>
      <c r="DF1120" s="313">
        <f t="shared" si="730"/>
        <v>600</v>
      </c>
      <c r="DG1120" s="313">
        <f t="shared" si="712"/>
        <v>0</v>
      </c>
      <c r="DH1120" s="313">
        <f t="shared" si="720"/>
        <v>0</v>
      </c>
      <c r="DI1120" s="313">
        <f t="shared" si="721"/>
        <v>0</v>
      </c>
      <c r="DJ1120" s="313">
        <f t="shared" si="722"/>
        <v>0</v>
      </c>
      <c r="DK1120" s="313">
        <f t="shared" si="731"/>
        <v>0</v>
      </c>
      <c r="DL1120" s="313">
        <f t="shared" si="723"/>
        <v>0</v>
      </c>
      <c r="DM1120" s="314">
        <f t="shared" si="724"/>
        <v>0</v>
      </c>
      <c r="DN1120" s="312">
        <f t="shared" si="725"/>
        <v>0</v>
      </c>
      <c r="DO1120" s="312">
        <f t="shared" si="732"/>
        <v>0</v>
      </c>
      <c r="DP1120" s="315" t="e">
        <f t="shared" si="717"/>
        <v>#NUM!</v>
      </c>
      <c r="DQ1120" s="316">
        <f t="shared" si="726"/>
        <v>0</v>
      </c>
      <c r="DR1120" s="316">
        <f t="shared" si="727"/>
        <v>0</v>
      </c>
      <c r="DS1120" s="314">
        <f t="shared" si="728"/>
        <v>0</v>
      </c>
      <c r="DT1120" s="316">
        <f t="shared" si="729"/>
        <v>0</v>
      </c>
      <c r="DU1120" s="314">
        <f t="shared" si="718"/>
        <v>0</v>
      </c>
      <c r="DV1120" s="316">
        <f t="shared" si="733"/>
        <v>0</v>
      </c>
      <c r="DW1120" s="310">
        <f t="shared" si="719"/>
        <v>0</v>
      </c>
      <c r="FC1120" s="307"/>
      <c r="FD1120" s="166"/>
      <c r="FF1120" s="307"/>
      <c r="FH1120" s="306"/>
      <c r="FJ1120" s="307"/>
      <c r="FK1120" s="307"/>
      <c r="FL1120" s="306"/>
      <c r="FM1120" s="307"/>
      <c r="FN1120" s="306"/>
      <c r="FO1120" s="307"/>
      <c r="FP1120" s="306"/>
    </row>
    <row r="1121" spans="29:172">
      <c r="AC1121" s="156"/>
      <c r="CW1121" s="364"/>
      <c r="CX1121" s="316"/>
      <c r="CY1121" s="316"/>
      <c r="DA1121" s="309">
        <v>1120</v>
      </c>
      <c r="DB1121" s="313">
        <f t="shared" si="713"/>
        <v>607.64666237814663</v>
      </c>
      <c r="DC1121" s="309">
        <f t="shared" si="714"/>
        <v>4</v>
      </c>
      <c r="DD1121" s="309">
        <f t="shared" si="715"/>
        <v>0</v>
      </c>
      <c r="DE1121" s="308">
        <f t="shared" si="716"/>
        <v>0</v>
      </c>
      <c r="DF1121" s="313">
        <f t="shared" si="730"/>
        <v>600</v>
      </c>
      <c r="DG1121" s="313">
        <f t="shared" si="712"/>
        <v>0</v>
      </c>
      <c r="DH1121" s="313">
        <f t="shared" si="720"/>
        <v>0</v>
      </c>
      <c r="DI1121" s="313">
        <f t="shared" si="721"/>
        <v>0</v>
      </c>
      <c r="DJ1121" s="313">
        <f t="shared" si="722"/>
        <v>0</v>
      </c>
      <c r="DK1121" s="313">
        <f t="shared" si="731"/>
        <v>0</v>
      </c>
      <c r="DL1121" s="313">
        <f t="shared" si="723"/>
        <v>0</v>
      </c>
      <c r="DM1121" s="314">
        <f t="shared" si="724"/>
        <v>0</v>
      </c>
      <c r="DN1121" s="312">
        <f t="shared" si="725"/>
        <v>0</v>
      </c>
      <c r="DO1121" s="312">
        <f t="shared" si="732"/>
        <v>0</v>
      </c>
      <c r="DP1121" s="315" t="e">
        <f t="shared" si="717"/>
        <v>#NUM!</v>
      </c>
      <c r="DQ1121" s="316">
        <f t="shared" si="726"/>
        <v>0</v>
      </c>
      <c r="DR1121" s="316">
        <f t="shared" si="727"/>
        <v>0</v>
      </c>
      <c r="DS1121" s="314">
        <f t="shared" si="728"/>
        <v>0</v>
      </c>
      <c r="DT1121" s="316">
        <f t="shared" si="729"/>
        <v>0</v>
      </c>
      <c r="DU1121" s="314">
        <f t="shared" si="718"/>
        <v>0</v>
      </c>
      <c r="DV1121" s="316">
        <f t="shared" si="733"/>
        <v>0</v>
      </c>
      <c r="DW1121" s="310">
        <f t="shared" si="719"/>
        <v>0</v>
      </c>
      <c r="FC1121" s="307"/>
      <c r="FD1121" s="166"/>
      <c r="FF1121" s="307"/>
      <c r="FH1121" s="306"/>
      <c r="FJ1121" s="307"/>
      <c r="FK1121" s="307"/>
      <c r="FL1121" s="306"/>
      <c r="FM1121" s="307"/>
      <c r="FN1121" s="306"/>
      <c r="FO1121" s="307"/>
      <c r="FP1121" s="306"/>
    </row>
    <row r="1122" spans="29:172">
      <c r="AC1122" s="156"/>
      <c r="CW1122" s="364"/>
      <c r="CX1122" s="316"/>
      <c r="CY1122" s="316"/>
      <c r="DA1122" s="309">
        <v>1121</v>
      </c>
      <c r="DB1122" s="313">
        <f t="shared" si="713"/>
        <v>608.01063261241279</v>
      </c>
      <c r="DC1122" s="309">
        <f t="shared" si="714"/>
        <v>4</v>
      </c>
      <c r="DD1122" s="309">
        <f t="shared" si="715"/>
        <v>0</v>
      </c>
      <c r="DE1122" s="308">
        <f t="shared" si="716"/>
        <v>0</v>
      </c>
      <c r="DF1122" s="313">
        <f t="shared" si="730"/>
        <v>600</v>
      </c>
      <c r="DG1122" s="313">
        <f t="shared" si="712"/>
        <v>0</v>
      </c>
      <c r="DH1122" s="313">
        <f t="shared" si="720"/>
        <v>0</v>
      </c>
      <c r="DI1122" s="313">
        <f t="shared" si="721"/>
        <v>0</v>
      </c>
      <c r="DJ1122" s="313">
        <f t="shared" si="722"/>
        <v>0</v>
      </c>
      <c r="DK1122" s="313">
        <f t="shared" si="731"/>
        <v>0</v>
      </c>
      <c r="DL1122" s="313">
        <f t="shared" si="723"/>
        <v>0</v>
      </c>
      <c r="DM1122" s="314">
        <f t="shared" si="724"/>
        <v>0</v>
      </c>
      <c r="DN1122" s="312">
        <f t="shared" si="725"/>
        <v>0</v>
      </c>
      <c r="DO1122" s="312">
        <f t="shared" si="732"/>
        <v>0</v>
      </c>
      <c r="DP1122" s="315" t="e">
        <f t="shared" si="717"/>
        <v>#NUM!</v>
      </c>
      <c r="DQ1122" s="316">
        <f t="shared" si="726"/>
        <v>0</v>
      </c>
      <c r="DR1122" s="316">
        <f t="shared" si="727"/>
        <v>0</v>
      </c>
      <c r="DS1122" s="314">
        <f t="shared" si="728"/>
        <v>0</v>
      </c>
      <c r="DT1122" s="316">
        <f t="shared" si="729"/>
        <v>0</v>
      </c>
      <c r="DU1122" s="314">
        <f t="shared" si="718"/>
        <v>0</v>
      </c>
      <c r="DV1122" s="316">
        <f t="shared" si="733"/>
        <v>0</v>
      </c>
      <c r="DW1122" s="310">
        <f t="shared" si="719"/>
        <v>0</v>
      </c>
      <c r="FC1122" s="307"/>
      <c r="FD1122" s="166"/>
      <c r="FF1122" s="307"/>
      <c r="FH1122" s="306"/>
      <c r="FJ1122" s="307"/>
      <c r="FK1122" s="307"/>
      <c r="FL1122" s="306"/>
      <c r="FM1122" s="307"/>
      <c r="FN1122" s="306"/>
      <c r="FO1122" s="307"/>
      <c r="FP1122" s="306"/>
    </row>
    <row r="1123" spans="29:172">
      <c r="AC1123" s="156"/>
      <c r="CW1123" s="364"/>
      <c r="CX1123" s="316"/>
      <c r="CY1123" s="316"/>
      <c r="DA1123" s="309">
        <v>1122</v>
      </c>
      <c r="DB1123" s="313">
        <f t="shared" si="713"/>
        <v>608.37460284667895</v>
      </c>
      <c r="DC1123" s="309">
        <f t="shared" si="714"/>
        <v>4</v>
      </c>
      <c r="DD1123" s="309">
        <f t="shared" si="715"/>
        <v>0</v>
      </c>
      <c r="DE1123" s="308">
        <f t="shared" si="716"/>
        <v>0</v>
      </c>
      <c r="DF1123" s="313">
        <f t="shared" si="730"/>
        <v>600</v>
      </c>
      <c r="DG1123" s="313">
        <f t="shared" si="712"/>
        <v>0</v>
      </c>
      <c r="DH1123" s="313">
        <f t="shared" si="720"/>
        <v>0</v>
      </c>
      <c r="DI1123" s="313">
        <f t="shared" si="721"/>
        <v>0</v>
      </c>
      <c r="DJ1123" s="313">
        <f t="shared" si="722"/>
        <v>0</v>
      </c>
      <c r="DK1123" s="313">
        <f t="shared" si="731"/>
        <v>0</v>
      </c>
      <c r="DL1123" s="313">
        <f t="shared" si="723"/>
        <v>0</v>
      </c>
      <c r="DM1123" s="314">
        <f t="shared" si="724"/>
        <v>0</v>
      </c>
      <c r="DN1123" s="312">
        <f t="shared" si="725"/>
        <v>0</v>
      </c>
      <c r="DO1123" s="312">
        <f t="shared" si="732"/>
        <v>0</v>
      </c>
      <c r="DP1123" s="315" t="e">
        <f t="shared" si="717"/>
        <v>#NUM!</v>
      </c>
      <c r="DQ1123" s="316">
        <f t="shared" si="726"/>
        <v>0</v>
      </c>
      <c r="DR1123" s="316">
        <f t="shared" si="727"/>
        <v>0</v>
      </c>
      <c r="DS1123" s="314">
        <f t="shared" si="728"/>
        <v>0</v>
      </c>
      <c r="DT1123" s="316">
        <f t="shared" si="729"/>
        <v>0</v>
      </c>
      <c r="DU1123" s="314">
        <f t="shared" si="718"/>
        <v>0</v>
      </c>
      <c r="DV1123" s="316">
        <f t="shared" si="733"/>
        <v>0</v>
      </c>
      <c r="DW1123" s="310">
        <f t="shared" si="719"/>
        <v>0</v>
      </c>
      <c r="FC1123" s="307"/>
      <c r="FD1123" s="166"/>
      <c r="FF1123" s="307"/>
      <c r="FH1123" s="306"/>
      <c r="FJ1123" s="307"/>
      <c r="FK1123" s="307"/>
      <c r="FL1123" s="306"/>
      <c r="FM1123" s="307"/>
      <c r="FN1123" s="306"/>
      <c r="FO1123" s="307"/>
      <c r="FP1123" s="306"/>
    </row>
    <row r="1124" spans="29:172">
      <c r="AC1124" s="156"/>
      <c r="CW1124" s="364"/>
      <c r="CX1124" s="316"/>
      <c r="CY1124" s="316"/>
      <c r="DA1124" s="309">
        <v>1123</v>
      </c>
      <c r="DB1124" s="313">
        <f t="shared" si="713"/>
        <v>608.73857308094523</v>
      </c>
      <c r="DC1124" s="309">
        <f t="shared" si="714"/>
        <v>4</v>
      </c>
      <c r="DD1124" s="309">
        <f t="shared" si="715"/>
        <v>0</v>
      </c>
      <c r="DE1124" s="308">
        <f t="shared" si="716"/>
        <v>0</v>
      </c>
      <c r="DF1124" s="313">
        <f t="shared" si="730"/>
        <v>600</v>
      </c>
      <c r="DG1124" s="313">
        <f t="shared" si="712"/>
        <v>0</v>
      </c>
      <c r="DH1124" s="313">
        <f t="shared" si="720"/>
        <v>0</v>
      </c>
      <c r="DI1124" s="313">
        <f t="shared" si="721"/>
        <v>0</v>
      </c>
      <c r="DJ1124" s="313">
        <f t="shared" si="722"/>
        <v>0</v>
      </c>
      <c r="DK1124" s="313">
        <f t="shared" si="731"/>
        <v>0</v>
      </c>
      <c r="DL1124" s="313">
        <f t="shared" si="723"/>
        <v>0</v>
      </c>
      <c r="DM1124" s="314">
        <f t="shared" si="724"/>
        <v>0</v>
      </c>
      <c r="DN1124" s="312">
        <f t="shared" si="725"/>
        <v>0</v>
      </c>
      <c r="DO1124" s="312">
        <f t="shared" si="732"/>
        <v>0</v>
      </c>
      <c r="DP1124" s="315" t="e">
        <f t="shared" si="717"/>
        <v>#NUM!</v>
      </c>
      <c r="DQ1124" s="316">
        <f t="shared" si="726"/>
        <v>0</v>
      </c>
      <c r="DR1124" s="316">
        <f t="shared" si="727"/>
        <v>0</v>
      </c>
      <c r="DS1124" s="314">
        <f t="shared" si="728"/>
        <v>0</v>
      </c>
      <c r="DT1124" s="316">
        <f t="shared" si="729"/>
        <v>0</v>
      </c>
      <c r="DU1124" s="314">
        <f t="shared" si="718"/>
        <v>0</v>
      </c>
      <c r="DV1124" s="316">
        <f t="shared" si="733"/>
        <v>0</v>
      </c>
      <c r="DW1124" s="310">
        <f t="shared" si="719"/>
        <v>0</v>
      </c>
      <c r="FC1124" s="307"/>
      <c r="FD1124" s="166"/>
      <c r="FF1124" s="307"/>
      <c r="FH1124" s="306"/>
      <c r="FJ1124" s="307"/>
      <c r="FK1124" s="307"/>
      <c r="FL1124" s="306"/>
      <c r="FM1124" s="307"/>
      <c r="FN1124" s="306"/>
      <c r="FO1124" s="307"/>
      <c r="FP1124" s="306"/>
    </row>
    <row r="1125" spans="29:172">
      <c r="AC1125" s="156"/>
      <c r="CW1125" s="364"/>
      <c r="CX1125" s="316"/>
      <c r="CY1125" s="316"/>
      <c r="DA1125" s="309">
        <v>1124</v>
      </c>
      <c r="DB1125" s="313">
        <f t="shared" si="713"/>
        <v>609.10254331521151</v>
      </c>
      <c r="DC1125" s="309">
        <f t="shared" si="714"/>
        <v>4</v>
      </c>
      <c r="DD1125" s="309">
        <f t="shared" si="715"/>
        <v>0</v>
      </c>
      <c r="DE1125" s="308">
        <f t="shared" si="716"/>
        <v>0</v>
      </c>
      <c r="DF1125" s="313">
        <f t="shared" si="730"/>
        <v>600</v>
      </c>
      <c r="DG1125" s="313">
        <f t="shared" si="712"/>
        <v>0</v>
      </c>
      <c r="DH1125" s="313">
        <f t="shared" si="720"/>
        <v>0</v>
      </c>
      <c r="DI1125" s="313">
        <f t="shared" si="721"/>
        <v>0</v>
      </c>
      <c r="DJ1125" s="313">
        <f t="shared" si="722"/>
        <v>0</v>
      </c>
      <c r="DK1125" s="313">
        <f t="shared" si="731"/>
        <v>0</v>
      </c>
      <c r="DL1125" s="313">
        <f t="shared" si="723"/>
        <v>0</v>
      </c>
      <c r="DM1125" s="314">
        <f t="shared" si="724"/>
        <v>0</v>
      </c>
      <c r="DN1125" s="312">
        <f t="shared" si="725"/>
        <v>0</v>
      </c>
      <c r="DO1125" s="312">
        <f t="shared" si="732"/>
        <v>0</v>
      </c>
      <c r="DP1125" s="315" t="e">
        <f t="shared" si="717"/>
        <v>#NUM!</v>
      </c>
      <c r="DQ1125" s="316">
        <f t="shared" si="726"/>
        <v>0</v>
      </c>
      <c r="DR1125" s="316">
        <f t="shared" si="727"/>
        <v>0</v>
      </c>
      <c r="DS1125" s="314">
        <f t="shared" si="728"/>
        <v>0</v>
      </c>
      <c r="DT1125" s="316">
        <f t="shared" si="729"/>
        <v>0</v>
      </c>
      <c r="DU1125" s="314">
        <f t="shared" si="718"/>
        <v>0</v>
      </c>
      <c r="DV1125" s="316">
        <f t="shared" si="733"/>
        <v>0</v>
      </c>
      <c r="DW1125" s="310">
        <f t="shared" si="719"/>
        <v>0</v>
      </c>
      <c r="FC1125" s="307"/>
      <c r="FD1125" s="166"/>
      <c r="FF1125" s="307"/>
      <c r="FH1125" s="306"/>
      <c r="FJ1125" s="307"/>
      <c r="FK1125" s="307"/>
      <c r="FL1125" s="306"/>
      <c r="FM1125" s="307"/>
      <c r="FN1125" s="306"/>
      <c r="FO1125" s="307"/>
      <c r="FP1125" s="306"/>
    </row>
    <row r="1126" spans="29:172">
      <c r="AC1126" s="156"/>
      <c r="CW1126" s="364"/>
      <c r="CX1126" s="316"/>
      <c r="CY1126" s="316"/>
      <c r="DA1126" s="309">
        <v>1125</v>
      </c>
      <c r="DB1126" s="313">
        <f t="shared" si="713"/>
        <v>609.46651354947767</v>
      </c>
      <c r="DC1126" s="309">
        <f t="shared" si="714"/>
        <v>4</v>
      </c>
      <c r="DD1126" s="309">
        <f t="shared" si="715"/>
        <v>0</v>
      </c>
      <c r="DE1126" s="308">
        <f t="shared" si="716"/>
        <v>0</v>
      </c>
      <c r="DF1126" s="313">
        <f t="shared" si="730"/>
        <v>600</v>
      </c>
      <c r="DG1126" s="313">
        <f t="shared" si="712"/>
        <v>0</v>
      </c>
      <c r="DH1126" s="313">
        <f t="shared" si="720"/>
        <v>0</v>
      </c>
      <c r="DI1126" s="313">
        <f t="shared" si="721"/>
        <v>0</v>
      </c>
      <c r="DJ1126" s="313">
        <f t="shared" si="722"/>
        <v>0</v>
      </c>
      <c r="DK1126" s="313">
        <f t="shared" si="731"/>
        <v>0</v>
      </c>
      <c r="DL1126" s="313">
        <f t="shared" si="723"/>
        <v>0</v>
      </c>
      <c r="DM1126" s="314">
        <f t="shared" si="724"/>
        <v>0</v>
      </c>
      <c r="DN1126" s="312">
        <f t="shared" si="725"/>
        <v>0</v>
      </c>
      <c r="DO1126" s="312">
        <f t="shared" si="732"/>
        <v>0</v>
      </c>
      <c r="DP1126" s="315" t="e">
        <f t="shared" si="717"/>
        <v>#NUM!</v>
      </c>
      <c r="DQ1126" s="316">
        <f t="shared" si="726"/>
        <v>0</v>
      </c>
      <c r="DR1126" s="316">
        <f t="shared" si="727"/>
        <v>0</v>
      </c>
      <c r="DS1126" s="314">
        <f t="shared" si="728"/>
        <v>0</v>
      </c>
      <c r="DT1126" s="316">
        <f t="shared" si="729"/>
        <v>0</v>
      </c>
      <c r="DU1126" s="314">
        <f t="shared" si="718"/>
        <v>0</v>
      </c>
      <c r="DV1126" s="316">
        <f t="shared" si="733"/>
        <v>0</v>
      </c>
      <c r="DW1126" s="310">
        <f t="shared" si="719"/>
        <v>0</v>
      </c>
      <c r="FC1126" s="307"/>
      <c r="FD1126" s="166"/>
      <c r="FF1126" s="307"/>
      <c r="FH1126" s="306"/>
      <c r="FJ1126" s="307"/>
      <c r="FK1126" s="307"/>
      <c r="FL1126" s="306"/>
      <c r="FM1126" s="307"/>
      <c r="FN1126" s="306"/>
      <c r="FO1126" s="307"/>
      <c r="FP1126" s="306"/>
    </row>
    <row r="1127" spans="29:172">
      <c r="AC1127" s="156"/>
      <c r="CW1127" s="364"/>
      <c r="CX1127" s="316"/>
      <c r="CY1127" s="316"/>
      <c r="DA1127" s="309">
        <v>1126</v>
      </c>
      <c r="DB1127" s="313">
        <f t="shared" si="713"/>
        <v>609.83048378374383</v>
      </c>
      <c r="DC1127" s="309">
        <f t="shared" si="714"/>
        <v>4</v>
      </c>
      <c r="DD1127" s="309">
        <f t="shared" si="715"/>
        <v>0</v>
      </c>
      <c r="DE1127" s="308">
        <f t="shared" si="716"/>
        <v>0</v>
      </c>
      <c r="DF1127" s="313">
        <f t="shared" si="730"/>
        <v>600</v>
      </c>
      <c r="DG1127" s="313">
        <f t="shared" si="712"/>
        <v>0</v>
      </c>
      <c r="DH1127" s="313">
        <f t="shared" si="720"/>
        <v>0</v>
      </c>
      <c r="DI1127" s="313">
        <f t="shared" si="721"/>
        <v>0</v>
      </c>
      <c r="DJ1127" s="313">
        <f t="shared" si="722"/>
        <v>0</v>
      </c>
      <c r="DK1127" s="313">
        <f t="shared" si="731"/>
        <v>0</v>
      </c>
      <c r="DL1127" s="313">
        <f t="shared" si="723"/>
        <v>0</v>
      </c>
      <c r="DM1127" s="314">
        <f t="shared" si="724"/>
        <v>0</v>
      </c>
      <c r="DN1127" s="312">
        <f t="shared" si="725"/>
        <v>0</v>
      </c>
      <c r="DO1127" s="312">
        <f t="shared" si="732"/>
        <v>0</v>
      </c>
      <c r="DP1127" s="315" t="e">
        <f t="shared" si="717"/>
        <v>#NUM!</v>
      </c>
      <c r="DQ1127" s="316">
        <f t="shared" si="726"/>
        <v>0</v>
      </c>
      <c r="DR1127" s="316">
        <f t="shared" si="727"/>
        <v>0</v>
      </c>
      <c r="DS1127" s="314">
        <f t="shared" si="728"/>
        <v>0</v>
      </c>
      <c r="DT1127" s="316">
        <f t="shared" si="729"/>
        <v>0</v>
      </c>
      <c r="DU1127" s="314">
        <f t="shared" si="718"/>
        <v>0</v>
      </c>
      <c r="DV1127" s="316">
        <f t="shared" si="733"/>
        <v>0</v>
      </c>
      <c r="DW1127" s="310">
        <f t="shared" si="719"/>
        <v>0</v>
      </c>
      <c r="FC1127" s="307"/>
      <c r="FD1127" s="166"/>
      <c r="FF1127" s="307"/>
      <c r="FH1127" s="306"/>
      <c r="FJ1127" s="307"/>
      <c r="FK1127" s="307"/>
      <c r="FL1127" s="306"/>
      <c r="FM1127" s="307"/>
      <c r="FN1127" s="306"/>
      <c r="FO1127" s="307"/>
      <c r="FP1127" s="306"/>
    </row>
    <row r="1128" spans="29:172">
      <c r="AC1128" s="156"/>
      <c r="CW1128" s="364"/>
      <c r="CX1128" s="316"/>
      <c r="CY1128" s="316"/>
      <c r="DA1128" s="309">
        <v>1127</v>
      </c>
      <c r="DB1128" s="313">
        <f t="shared" si="713"/>
        <v>610.19445401800999</v>
      </c>
      <c r="DC1128" s="309">
        <f t="shared" si="714"/>
        <v>4</v>
      </c>
      <c r="DD1128" s="309">
        <f t="shared" si="715"/>
        <v>0</v>
      </c>
      <c r="DE1128" s="308">
        <f t="shared" si="716"/>
        <v>0</v>
      </c>
      <c r="DF1128" s="313">
        <f t="shared" si="730"/>
        <v>600</v>
      </c>
      <c r="DG1128" s="313">
        <f t="shared" si="712"/>
        <v>0</v>
      </c>
      <c r="DH1128" s="313">
        <f t="shared" si="720"/>
        <v>0</v>
      </c>
      <c r="DI1128" s="313">
        <f t="shared" si="721"/>
        <v>0</v>
      </c>
      <c r="DJ1128" s="313">
        <f t="shared" si="722"/>
        <v>0</v>
      </c>
      <c r="DK1128" s="313">
        <f t="shared" si="731"/>
        <v>0</v>
      </c>
      <c r="DL1128" s="313">
        <f t="shared" si="723"/>
        <v>0</v>
      </c>
      <c r="DM1128" s="314">
        <f t="shared" si="724"/>
        <v>0</v>
      </c>
      <c r="DN1128" s="312">
        <f t="shared" si="725"/>
        <v>0</v>
      </c>
      <c r="DO1128" s="312">
        <f t="shared" si="732"/>
        <v>0</v>
      </c>
      <c r="DP1128" s="315" t="e">
        <f t="shared" si="717"/>
        <v>#NUM!</v>
      </c>
      <c r="DQ1128" s="316">
        <f t="shared" si="726"/>
        <v>0</v>
      </c>
      <c r="DR1128" s="316">
        <f t="shared" si="727"/>
        <v>0</v>
      </c>
      <c r="DS1128" s="314">
        <f t="shared" si="728"/>
        <v>0</v>
      </c>
      <c r="DT1128" s="316">
        <f t="shared" si="729"/>
        <v>0</v>
      </c>
      <c r="DU1128" s="314">
        <f t="shared" si="718"/>
        <v>0</v>
      </c>
      <c r="DV1128" s="316">
        <f t="shared" si="733"/>
        <v>0</v>
      </c>
      <c r="DW1128" s="310">
        <f t="shared" si="719"/>
        <v>0</v>
      </c>
      <c r="FC1128" s="307"/>
      <c r="FD1128" s="166"/>
      <c r="FF1128" s="307"/>
      <c r="FH1128" s="306"/>
      <c r="FJ1128" s="307"/>
      <c r="FK1128" s="307"/>
      <c r="FL1128" s="306"/>
      <c r="FM1128" s="307"/>
      <c r="FN1128" s="306"/>
      <c r="FO1128" s="307"/>
      <c r="FP1128" s="306"/>
    </row>
    <row r="1129" spans="29:172">
      <c r="AC1129" s="156"/>
      <c r="CW1129" s="364"/>
      <c r="CX1129" s="316"/>
      <c r="CY1129" s="316"/>
      <c r="DA1129" s="309">
        <v>1128</v>
      </c>
      <c r="DB1129" s="313">
        <f t="shared" si="713"/>
        <v>610.55842425227627</v>
      </c>
      <c r="DC1129" s="309">
        <f t="shared" si="714"/>
        <v>4</v>
      </c>
      <c r="DD1129" s="309">
        <f t="shared" si="715"/>
        <v>0</v>
      </c>
      <c r="DE1129" s="308">
        <f t="shared" si="716"/>
        <v>0</v>
      </c>
      <c r="DF1129" s="313">
        <f t="shared" si="730"/>
        <v>600</v>
      </c>
      <c r="DG1129" s="313">
        <f t="shared" si="712"/>
        <v>0</v>
      </c>
      <c r="DH1129" s="313">
        <f t="shared" si="720"/>
        <v>0</v>
      </c>
      <c r="DI1129" s="313">
        <f t="shared" si="721"/>
        <v>0</v>
      </c>
      <c r="DJ1129" s="313">
        <f t="shared" si="722"/>
        <v>0</v>
      </c>
      <c r="DK1129" s="313">
        <f t="shared" si="731"/>
        <v>0</v>
      </c>
      <c r="DL1129" s="313">
        <f t="shared" si="723"/>
        <v>0</v>
      </c>
      <c r="DM1129" s="314">
        <f t="shared" si="724"/>
        <v>0</v>
      </c>
      <c r="DN1129" s="312">
        <f t="shared" si="725"/>
        <v>0</v>
      </c>
      <c r="DO1129" s="312">
        <f t="shared" si="732"/>
        <v>0</v>
      </c>
      <c r="DP1129" s="315" t="e">
        <f t="shared" si="717"/>
        <v>#NUM!</v>
      </c>
      <c r="DQ1129" s="316">
        <f t="shared" si="726"/>
        <v>0</v>
      </c>
      <c r="DR1129" s="316">
        <f t="shared" si="727"/>
        <v>0</v>
      </c>
      <c r="DS1129" s="314">
        <f t="shared" si="728"/>
        <v>0</v>
      </c>
      <c r="DT1129" s="316">
        <f t="shared" si="729"/>
        <v>0</v>
      </c>
      <c r="DU1129" s="314">
        <f t="shared" si="718"/>
        <v>0</v>
      </c>
      <c r="DV1129" s="316">
        <f t="shared" si="733"/>
        <v>0</v>
      </c>
      <c r="DW1129" s="310">
        <f t="shared" si="719"/>
        <v>0</v>
      </c>
      <c r="FC1129" s="307"/>
      <c r="FD1129" s="166"/>
      <c r="FF1129" s="307"/>
      <c r="FH1129" s="306"/>
      <c r="FJ1129" s="307"/>
      <c r="FK1129" s="307"/>
      <c r="FL1129" s="306"/>
      <c r="FM1129" s="307"/>
      <c r="FN1129" s="306"/>
      <c r="FO1129" s="307"/>
      <c r="FP1129" s="306"/>
    </row>
    <row r="1130" spans="29:172">
      <c r="AC1130" s="156"/>
      <c r="CW1130" s="364"/>
      <c r="CX1130" s="316"/>
      <c r="CY1130" s="316"/>
      <c r="DA1130" s="309">
        <v>1129</v>
      </c>
      <c r="DB1130" s="313">
        <f t="shared" si="713"/>
        <v>610.92239448654243</v>
      </c>
      <c r="DC1130" s="309">
        <f t="shared" si="714"/>
        <v>4</v>
      </c>
      <c r="DD1130" s="309">
        <f t="shared" si="715"/>
        <v>0</v>
      </c>
      <c r="DE1130" s="308">
        <f t="shared" si="716"/>
        <v>0</v>
      </c>
      <c r="DF1130" s="313">
        <f t="shared" si="730"/>
        <v>600</v>
      </c>
      <c r="DG1130" s="313">
        <f t="shared" si="712"/>
        <v>0</v>
      </c>
      <c r="DH1130" s="313">
        <f t="shared" si="720"/>
        <v>0</v>
      </c>
      <c r="DI1130" s="313">
        <f t="shared" si="721"/>
        <v>0</v>
      </c>
      <c r="DJ1130" s="313">
        <f t="shared" si="722"/>
        <v>0</v>
      </c>
      <c r="DK1130" s="313">
        <f t="shared" si="731"/>
        <v>0</v>
      </c>
      <c r="DL1130" s="313">
        <f t="shared" si="723"/>
        <v>0</v>
      </c>
      <c r="DM1130" s="314">
        <f t="shared" si="724"/>
        <v>0</v>
      </c>
      <c r="DN1130" s="312">
        <f t="shared" si="725"/>
        <v>0</v>
      </c>
      <c r="DO1130" s="312">
        <f t="shared" si="732"/>
        <v>0</v>
      </c>
      <c r="DP1130" s="315" t="e">
        <f t="shared" si="717"/>
        <v>#NUM!</v>
      </c>
      <c r="DQ1130" s="316">
        <f t="shared" si="726"/>
        <v>0</v>
      </c>
      <c r="DR1130" s="316">
        <f t="shared" si="727"/>
        <v>0</v>
      </c>
      <c r="DS1130" s="314">
        <f t="shared" si="728"/>
        <v>0</v>
      </c>
      <c r="DT1130" s="316">
        <f t="shared" si="729"/>
        <v>0</v>
      </c>
      <c r="DU1130" s="314">
        <f t="shared" si="718"/>
        <v>0</v>
      </c>
      <c r="DV1130" s="316">
        <f t="shared" si="733"/>
        <v>0</v>
      </c>
      <c r="DW1130" s="310">
        <f t="shared" si="719"/>
        <v>0</v>
      </c>
      <c r="FC1130" s="307"/>
      <c r="FD1130" s="166"/>
      <c r="FF1130" s="307"/>
      <c r="FH1130" s="306"/>
      <c r="FJ1130" s="307"/>
      <c r="FK1130" s="307"/>
      <c r="FL1130" s="306"/>
      <c r="FM1130" s="307"/>
      <c r="FN1130" s="306"/>
      <c r="FO1130" s="307"/>
      <c r="FP1130" s="306"/>
    </row>
    <row r="1131" spans="29:172">
      <c r="AC1131" s="156"/>
      <c r="CW1131" s="364"/>
      <c r="CX1131" s="316"/>
      <c r="CY1131" s="316"/>
      <c r="DA1131" s="309">
        <v>1130</v>
      </c>
      <c r="DB1131" s="313">
        <f t="shared" si="713"/>
        <v>611.28636472080871</v>
      </c>
      <c r="DC1131" s="309">
        <f t="shared" si="714"/>
        <v>4</v>
      </c>
      <c r="DD1131" s="309">
        <f t="shared" si="715"/>
        <v>0</v>
      </c>
      <c r="DE1131" s="308">
        <f t="shared" si="716"/>
        <v>0</v>
      </c>
      <c r="DF1131" s="313">
        <f t="shared" si="730"/>
        <v>600</v>
      </c>
      <c r="DG1131" s="313">
        <f t="shared" ref="DG1131:DG1194" si="734">IF(DC1131=4,DG1130,MIN(DB1131,DD1131))</f>
        <v>0</v>
      </c>
      <c r="DH1131" s="313">
        <f t="shared" si="720"/>
        <v>0</v>
      </c>
      <c r="DI1131" s="313">
        <f t="shared" si="721"/>
        <v>0</v>
      </c>
      <c r="DJ1131" s="313">
        <f t="shared" si="722"/>
        <v>0</v>
      </c>
      <c r="DK1131" s="313">
        <f t="shared" si="731"/>
        <v>0</v>
      </c>
      <c r="DL1131" s="313">
        <f t="shared" si="723"/>
        <v>0</v>
      </c>
      <c r="DM1131" s="314">
        <f t="shared" si="724"/>
        <v>0</v>
      </c>
      <c r="DN1131" s="312">
        <f t="shared" si="725"/>
        <v>0</v>
      </c>
      <c r="DO1131" s="312">
        <f t="shared" si="732"/>
        <v>0</v>
      </c>
      <c r="DP1131" s="315" t="e">
        <f t="shared" si="717"/>
        <v>#NUM!</v>
      </c>
      <c r="DQ1131" s="316">
        <f t="shared" si="726"/>
        <v>0</v>
      </c>
      <c r="DR1131" s="316">
        <f t="shared" si="727"/>
        <v>0</v>
      </c>
      <c r="DS1131" s="314">
        <f t="shared" si="728"/>
        <v>0</v>
      </c>
      <c r="DT1131" s="316">
        <f t="shared" si="729"/>
        <v>0</v>
      </c>
      <c r="DU1131" s="314">
        <f t="shared" si="718"/>
        <v>0</v>
      </c>
      <c r="DV1131" s="316">
        <f t="shared" si="733"/>
        <v>0</v>
      </c>
      <c r="DW1131" s="310">
        <f t="shared" si="719"/>
        <v>0</v>
      </c>
      <c r="FC1131" s="307"/>
      <c r="FD1131" s="166"/>
      <c r="FF1131" s="307"/>
      <c r="FH1131" s="306"/>
      <c r="FJ1131" s="307"/>
      <c r="FK1131" s="307"/>
      <c r="FL1131" s="306"/>
      <c r="FM1131" s="307"/>
      <c r="FN1131" s="306"/>
      <c r="FO1131" s="307"/>
      <c r="FP1131" s="306"/>
    </row>
    <row r="1132" spans="29:172">
      <c r="AC1132" s="156"/>
      <c r="CW1132" s="364"/>
      <c r="CX1132" s="316"/>
      <c r="CY1132" s="316"/>
      <c r="DA1132" s="309">
        <v>1131</v>
      </c>
      <c r="DB1132" s="313">
        <f t="shared" si="713"/>
        <v>611.65033495507487</v>
      </c>
      <c r="DC1132" s="309">
        <f t="shared" si="714"/>
        <v>4</v>
      </c>
      <c r="DD1132" s="309">
        <f t="shared" si="715"/>
        <v>0</v>
      </c>
      <c r="DE1132" s="308">
        <f t="shared" si="716"/>
        <v>0</v>
      </c>
      <c r="DF1132" s="313">
        <f t="shared" si="730"/>
        <v>600</v>
      </c>
      <c r="DG1132" s="313">
        <f t="shared" si="734"/>
        <v>0</v>
      </c>
      <c r="DH1132" s="313">
        <f t="shared" si="720"/>
        <v>0</v>
      </c>
      <c r="DI1132" s="313">
        <f t="shared" si="721"/>
        <v>0</v>
      </c>
      <c r="DJ1132" s="313">
        <f t="shared" si="722"/>
        <v>0</v>
      </c>
      <c r="DK1132" s="313">
        <f t="shared" si="731"/>
        <v>0</v>
      </c>
      <c r="DL1132" s="313">
        <f t="shared" si="723"/>
        <v>0</v>
      </c>
      <c r="DM1132" s="314">
        <f t="shared" si="724"/>
        <v>0</v>
      </c>
      <c r="DN1132" s="312">
        <f t="shared" si="725"/>
        <v>0</v>
      </c>
      <c r="DO1132" s="312">
        <f t="shared" si="732"/>
        <v>0</v>
      </c>
      <c r="DP1132" s="315" t="e">
        <f t="shared" si="717"/>
        <v>#NUM!</v>
      </c>
      <c r="DQ1132" s="316">
        <f t="shared" si="726"/>
        <v>0</v>
      </c>
      <c r="DR1132" s="316">
        <f t="shared" si="727"/>
        <v>0</v>
      </c>
      <c r="DS1132" s="314">
        <f t="shared" si="728"/>
        <v>0</v>
      </c>
      <c r="DT1132" s="316">
        <f t="shared" si="729"/>
        <v>0</v>
      </c>
      <c r="DU1132" s="314">
        <f t="shared" si="718"/>
        <v>0</v>
      </c>
      <c r="DV1132" s="316">
        <f t="shared" si="733"/>
        <v>0</v>
      </c>
      <c r="DW1132" s="310">
        <f t="shared" si="719"/>
        <v>0</v>
      </c>
      <c r="FC1132" s="307"/>
      <c r="FD1132" s="166"/>
      <c r="FF1132" s="307"/>
      <c r="FH1132" s="306"/>
      <c r="FJ1132" s="307"/>
      <c r="FK1132" s="307"/>
      <c r="FL1132" s="306"/>
      <c r="FM1132" s="307"/>
      <c r="FN1132" s="306"/>
      <c r="FO1132" s="307"/>
      <c r="FP1132" s="306"/>
    </row>
    <row r="1133" spans="29:172">
      <c r="AC1133" s="156"/>
      <c r="CW1133" s="364"/>
      <c r="CX1133" s="316"/>
      <c r="CY1133" s="316"/>
      <c r="DA1133" s="309">
        <v>1132</v>
      </c>
      <c r="DB1133" s="313">
        <f t="shared" si="713"/>
        <v>612.01430518934103</v>
      </c>
      <c r="DC1133" s="309">
        <f t="shared" si="714"/>
        <v>4</v>
      </c>
      <c r="DD1133" s="309">
        <f t="shared" si="715"/>
        <v>0</v>
      </c>
      <c r="DE1133" s="308">
        <f t="shared" si="716"/>
        <v>0</v>
      </c>
      <c r="DF1133" s="313">
        <f t="shared" si="730"/>
        <v>600</v>
      </c>
      <c r="DG1133" s="313">
        <f t="shared" si="734"/>
        <v>0</v>
      </c>
      <c r="DH1133" s="313">
        <f t="shared" si="720"/>
        <v>0</v>
      </c>
      <c r="DI1133" s="313">
        <f t="shared" si="721"/>
        <v>0</v>
      </c>
      <c r="DJ1133" s="313">
        <f t="shared" si="722"/>
        <v>0</v>
      </c>
      <c r="DK1133" s="313">
        <f t="shared" si="731"/>
        <v>0</v>
      </c>
      <c r="DL1133" s="313">
        <f t="shared" si="723"/>
        <v>0</v>
      </c>
      <c r="DM1133" s="314">
        <f t="shared" si="724"/>
        <v>0</v>
      </c>
      <c r="DN1133" s="312">
        <f t="shared" si="725"/>
        <v>0</v>
      </c>
      <c r="DO1133" s="312">
        <f t="shared" si="732"/>
        <v>0</v>
      </c>
      <c r="DP1133" s="315" t="e">
        <f t="shared" si="717"/>
        <v>#NUM!</v>
      </c>
      <c r="DQ1133" s="316">
        <f t="shared" si="726"/>
        <v>0</v>
      </c>
      <c r="DR1133" s="316">
        <f t="shared" si="727"/>
        <v>0</v>
      </c>
      <c r="DS1133" s="314">
        <f t="shared" si="728"/>
        <v>0</v>
      </c>
      <c r="DT1133" s="316">
        <f t="shared" si="729"/>
        <v>0</v>
      </c>
      <c r="DU1133" s="314">
        <f t="shared" si="718"/>
        <v>0</v>
      </c>
      <c r="DV1133" s="316">
        <f t="shared" si="733"/>
        <v>0</v>
      </c>
      <c r="DW1133" s="310">
        <f t="shared" si="719"/>
        <v>0</v>
      </c>
      <c r="FC1133" s="307"/>
      <c r="FD1133" s="166"/>
      <c r="FF1133" s="307"/>
      <c r="FH1133" s="306"/>
      <c r="FJ1133" s="307"/>
      <c r="FK1133" s="307"/>
      <c r="FL1133" s="306"/>
      <c r="FM1133" s="307"/>
      <c r="FN1133" s="306"/>
      <c r="FO1133" s="307"/>
      <c r="FP1133" s="306"/>
    </row>
    <row r="1134" spans="29:172">
      <c r="AC1134" s="156"/>
      <c r="CW1134" s="364"/>
      <c r="CX1134" s="316"/>
      <c r="CY1134" s="316"/>
      <c r="DA1134" s="309">
        <v>1133</v>
      </c>
      <c r="DB1134" s="313">
        <f t="shared" si="713"/>
        <v>612.37827542360719</v>
      </c>
      <c r="DC1134" s="309">
        <f t="shared" si="714"/>
        <v>4</v>
      </c>
      <c r="DD1134" s="309">
        <f t="shared" si="715"/>
        <v>0</v>
      </c>
      <c r="DE1134" s="308">
        <f t="shared" si="716"/>
        <v>0</v>
      </c>
      <c r="DF1134" s="313">
        <f t="shared" si="730"/>
        <v>600</v>
      </c>
      <c r="DG1134" s="313">
        <f t="shared" si="734"/>
        <v>0</v>
      </c>
      <c r="DH1134" s="313">
        <f t="shared" si="720"/>
        <v>0</v>
      </c>
      <c r="DI1134" s="313">
        <f t="shared" si="721"/>
        <v>0</v>
      </c>
      <c r="DJ1134" s="313">
        <f t="shared" si="722"/>
        <v>0</v>
      </c>
      <c r="DK1134" s="313">
        <f t="shared" si="731"/>
        <v>0</v>
      </c>
      <c r="DL1134" s="313">
        <f t="shared" si="723"/>
        <v>0</v>
      </c>
      <c r="DM1134" s="314">
        <f t="shared" si="724"/>
        <v>0</v>
      </c>
      <c r="DN1134" s="312">
        <f t="shared" si="725"/>
        <v>0</v>
      </c>
      <c r="DO1134" s="312">
        <f t="shared" si="732"/>
        <v>0</v>
      </c>
      <c r="DP1134" s="315" t="e">
        <f t="shared" si="717"/>
        <v>#NUM!</v>
      </c>
      <c r="DQ1134" s="316">
        <f t="shared" si="726"/>
        <v>0</v>
      </c>
      <c r="DR1134" s="316">
        <f t="shared" si="727"/>
        <v>0</v>
      </c>
      <c r="DS1134" s="314">
        <f t="shared" si="728"/>
        <v>0</v>
      </c>
      <c r="DT1134" s="316">
        <f t="shared" si="729"/>
        <v>0</v>
      </c>
      <c r="DU1134" s="314">
        <f t="shared" si="718"/>
        <v>0</v>
      </c>
      <c r="DV1134" s="316">
        <f t="shared" si="733"/>
        <v>0</v>
      </c>
      <c r="DW1134" s="310">
        <f t="shared" si="719"/>
        <v>0</v>
      </c>
      <c r="FC1134" s="307"/>
      <c r="FD1134" s="166"/>
      <c r="FF1134" s="307"/>
      <c r="FH1134" s="306"/>
      <c r="FJ1134" s="307"/>
      <c r="FK1134" s="307"/>
      <c r="FL1134" s="306"/>
      <c r="FM1134" s="307"/>
      <c r="FN1134" s="306"/>
      <c r="FO1134" s="307"/>
      <c r="FP1134" s="306"/>
    </row>
    <row r="1135" spans="29:172">
      <c r="AC1135" s="156"/>
      <c r="CW1135" s="364"/>
      <c r="CX1135" s="316"/>
      <c r="CY1135" s="316"/>
      <c r="DA1135" s="309">
        <v>1134</v>
      </c>
      <c r="DB1135" s="313">
        <f t="shared" si="713"/>
        <v>612.74224565787347</v>
      </c>
      <c r="DC1135" s="309">
        <f t="shared" si="714"/>
        <v>4</v>
      </c>
      <c r="DD1135" s="309">
        <f t="shared" si="715"/>
        <v>0</v>
      </c>
      <c r="DE1135" s="308">
        <f t="shared" si="716"/>
        <v>0</v>
      </c>
      <c r="DF1135" s="313">
        <f t="shared" si="730"/>
        <v>600</v>
      </c>
      <c r="DG1135" s="313">
        <f t="shared" si="734"/>
        <v>0</v>
      </c>
      <c r="DH1135" s="313">
        <f t="shared" si="720"/>
        <v>0</v>
      </c>
      <c r="DI1135" s="313">
        <f t="shared" si="721"/>
        <v>0</v>
      </c>
      <c r="DJ1135" s="313">
        <f t="shared" si="722"/>
        <v>0</v>
      </c>
      <c r="DK1135" s="313">
        <f t="shared" si="731"/>
        <v>0</v>
      </c>
      <c r="DL1135" s="313">
        <f t="shared" si="723"/>
        <v>0</v>
      </c>
      <c r="DM1135" s="314">
        <f t="shared" si="724"/>
        <v>0</v>
      </c>
      <c r="DN1135" s="312">
        <f t="shared" si="725"/>
        <v>0</v>
      </c>
      <c r="DO1135" s="312">
        <f t="shared" si="732"/>
        <v>0</v>
      </c>
      <c r="DP1135" s="315" t="e">
        <f t="shared" si="717"/>
        <v>#NUM!</v>
      </c>
      <c r="DQ1135" s="316">
        <f t="shared" si="726"/>
        <v>0</v>
      </c>
      <c r="DR1135" s="316">
        <f t="shared" si="727"/>
        <v>0</v>
      </c>
      <c r="DS1135" s="314">
        <f t="shared" si="728"/>
        <v>0</v>
      </c>
      <c r="DT1135" s="316">
        <f t="shared" si="729"/>
        <v>0</v>
      </c>
      <c r="DU1135" s="314">
        <f t="shared" si="718"/>
        <v>0</v>
      </c>
      <c r="DV1135" s="316">
        <f t="shared" si="733"/>
        <v>0</v>
      </c>
      <c r="DW1135" s="310">
        <f t="shared" si="719"/>
        <v>0</v>
      </c>
      <c r="FC1135" s="307"/>
      <c r="FD1135" s="166"/>
      <c r="FF1135" s="307"/>
      <c r="FH1135" s="306"/>
      <c r="FJ1135" s="307"/>
      <c r="FK1135" s="307"/>
      <c r="FL1135" s="306"/>
      <c r="FM1135" s="307"/>
      <c r="FN1135" s="306"/>
      <c r="FO1135" s="307"/>
      <c r="FP1135" s="306"/>
    </row>
    <row r="1136" spans="29:172">
      <c r="AC1136" s="156"/>
      <c r="CW1136" s="364"/>
      <c r="CX1136" s="316"/>
      <c r="CY1136" s="316"/>
      <c r="DA1136" s="309">
        <v>1135</v>
      </c>
      <c r="DB1136" s="313">
        <f t="shared" si="713"/>
        <v>613.10621589213963</v>
      </c>
      <c r="DC1136" s="309">
        <f t="shared" si="714"/>
        <v>4</v>
      </c>
      <c r="DD1136" s="309">
        <f t="shared" si="715"/>
        <v>0</v>
      </c>
      <c r="DE1136" s="308">
        <f t="shared" si="716"/>
        <v>0</v>
      </c>
      <c r="DF1136" s="313">
        <f t="shared" si="730"/>
        <v>600</v>
      </c>
      <c r="DG1136" s="313">
        <f t="shared" si="734"/>
        <v>0</v>
      </c>
      <c r="DH1136" s="313">
        <f t="shared" si="720"/>
        <v>0</v>
      </c>
      <c r="DI1136" s="313">
        <f t="shared" si="721"/>
        <v>0</v>
      </c>
      <c r="DJ1136" s="313">
        <f t="shared" si="722"/>
        <v>0</v>
      </c>
      <c r="DK1136" s="313">
        <f t="shared" si="731"/>
        <v>0</v>
      </c>
      <c r="DL1136" s="313">
        <f t="shared" si="723"/>
        <v>0</v>
      </c>
      <c r="DM1136" s="314">
        <f t="shared" si="724"/>
        <v>0</v>
      </c>
      <c r="DN1136" s="312">
        <f t="shared" si="725"/>
        <v>0</v>
      </c>
      <c r="DO1136" s="312">
        <f t="shared" si="732"/>
        <v>0</v>
      </c>
      <c r="DP1136" s="315" t="e">
        <f t="shared" si="717"/>
        <v>#NUM!</v>
      </c>
      <c r="DQ1136" s="316">
        <f t="shared" si="726"/>
        <v>0</v>
      </c>
      <c r="DR1136" s="316">
        <f t="shared" si="727"/>
        <v>0</v>
      </c>
      <c r="DS1136" s="314">
        <f t="shared" si="728"/>
        <v>0</v>
      </c>
      <c r="DT1136" s="316">
        <f t="shared" si="729"/>
        <v>0</v>
      </c>
      <c r="DU1136" s="314">
        <f t="shared" si="718"/>
        <v>0</v>
      </c>
      <c r="DV1136" s="316">
        <f t="shared" si="733"/>
        <v>0</v>
      </c>
      <c r="DW1136" s="310">
        <f t="shared" si="719"/>
        <v>0</v>
      </c>
      <c r="FC1136" s="307"/>
      <c r="FD1136" s="166"/>
      <c r="FF1136" s="307"/>
      <c r="FH1136" s="306"/>
      <c r="FJ1136" s="307"/>
      <c r="FK1136" s="307"/>
      <c r="FL1136" s="306"/>
      <c r="FM1136" s="307"/>
      <c r="FN1136" s="306"/>
      <c r="FO1136" s="307"/>
      <c r="FP1136" s="306"/>
    </row>
    <row r="1137" spans="29:172">
      <c r="AC1137" s="156"/>
      <c r="CW1137" s="364"/>
      <c r="CX1137" s="316"/>
      <c r="CY1137" s="316"/>
      <c r="DA1137" s="309">
        <v>1136</v>
      </c>
      <c r="DB1137" s="313">
        <f t="shared" si="713"/>
        <v>613.47018612640591</v>
      </c>
      <c r="DC1137" s="309">
        <f t="shared" si="714"/>
        <v>4</v>
      </c>
      <c r="DD1137" s="309">
        <f t="shared" si="715"/>
        <v>0</v>
      </c>
      <c r="DE1137" s="308">
        <f t="shared" si="716"/>
        <v>0</v>
      </c>
      <c r="DF1137" s="313">
        <f t="shared" si="730"/>
        <v>600</v>
      </c>
      <c r="DG1137" s="313">
        <f t="shared" si="734"/>
        <v>0</v>
      </c>
      <c r="DH1137" s="313">
        <f t="shared" si="720"/>
        <v>0</v>
      </c>
      <c r="DI1137" s="313">
        <f t="shared" si="721"/>
        <v>0</v>
      </c>
      <c r="DJ1137" s="313">
        <f t="shared" si="722"/>
        <v>0</v>
      </c>
      <c r="DK1137" s="313">
        <f t="shared" si="731"/>
        <v>0</v>
      </c>
      <c r="DL1137" s="313">
        <f t="shared" si="723"/>
        <v>0</v>
      </c>
      <c r="DM1137" s="314">
        <f t="shared" si="724"/>
        <v>0</v>
      </c>
      <c r="DN1137" s="312">
        <f t="shared" si="725"/>
        <v>0</v>
      </c>
      <c r="DO1137" s="312">
        <f t="shared" si="732"/>
        <v>0</v>
      </c>
      <c r="DP1137" s="315" t="e">
        <f t="shared" si="717"/>
        <v>#NUM!</v>
      </c>
      <c r="DQ1137" s="316">
        <f t="shared" si="726"/>
        <v>0</v>
      </c>
      <c r="DR1137" s="316">
        <f t="shared" si="727"/>
        <v>0</v>
      </c>
      <c r="DS1137" s="314">
        <f t="shared" si="728"/>
        <v>0</v>
      </c>
      <c r="DT1137" s="316">
        <f t="shared" si="729"/>
        <v>0</v>
      </c>
      <c r="DU1137" s="314">
        <f t="shared" si="718"/>
        <v>0</v>
      </c>
      <c r="DV1137" s="316">
        <f t="shared" si="733"/>
        <v>0</v>
      </c>
      <c r="DW1137" s="310">
        <f t="shared" si="719"/>
        <v>0</v>
      </c>
      <c r="FC1137" s="307"/>
      <c r="FD1137" s="166"/>
      <c r="FF1137" s="307"/>
      <c r="FH1137" s="306"/>
      <c r="FJ1137" s="307"/>
      <c r="FK1137" s="307"/>
      <c r="FL1137" s="306"/>
      <c r="FM1137" s="307"/>
      <c r="FN1137" s="306"/>
      <c r="FO1137" s="307"/>
      <c r="FP1137" s="306"/>
    </row>
    <row r="1138" spans="29:172">
      <c r="AC1138" s="156"/>
      <c r="CW1138" s="364"/>
      <c r="CX1138" s="316"/>
      <c r="CY1138" s="316"/>
      <c r="DA1138" s="309">
        <v>1137</v>
      </c>
      <c r="DB1138" s="313">
        <f t="shared" si="713"/>
        <v>613.83415636067207</v>
      </c>
      <c r="DC1138" s="309">
        <f t="shared" si="714"/>
        <v>4</v>
      </c>
      <c r="DD1138" s="309">
        <f t="shared" si="715"/>
        <v>0</v>
      </c>
      <c r="DE1138" s="308">
        <f t="shared" si="716"/>
        <v>0</v>
      </c>
      <c r="DF1138" s="313">
        <f t="shared" si="730"/>
        <v>600</v>
      </c>
      <c r="DG1138" s="313">
        <f t="shared" si="734"/>
        <v>0</v>
      </c>
      <c r="DH1138" s="313">
        <f t="shared" si="720"/>
        <v>0</v>
      </c>
      <c r="DI1138" s="313">
        <f t="shared" si="721"/>
        <v>0</v>
      </c>
      <c r="DJ1138" s="313">
        <f t="shared" si="722"/>
        <v>0</v>
      </c>
      <c r="DK1138" s="313">
        <f t="shared" si="731"/>
        <v>0</v>
      </c>
      <c r="DL1138" s="313">
        <f t="shared" si="723"/>
        <v>0</v>
      </c>
      <c r="DM1138" s="314">
        <f t="shared" si="724"/>
        <v>0</v>
      </c>
      <c r="DN1138" s="312">
        <f t="shared" si="725"/>
        <v>0</v>
      </c>
      <c r="DO1138" s="312">
        <f t="shared" si="732"/>
        <v>0</v>
      </c>
      <c r="DP1138" s="315" t="e">
        <f t="shared" si="717"/>
        <v>#NUM!</v>
      </c>
      <c r="DQ1138" s="316">
        <f t="shared" si="726"/>
        <v>0</v>
      </c>
      <c r="DR1138" s="316">
        <f t="shared" si="727"/>
        <v>0</v>
      </c>
      <c r="DS1138" s="314">
        <f t="shared" si="728"/>
        <v>0</v>
      </c>
      <c r="DT1138" s="316">
        <f t="shared" si="729"/>
        <v>0</v>
      </c>
      <c r="DU1138" s="314">
        <f t="shared" si="718"/>
        <v>0</v>
      </c>
      <c r="DV1138" s="316">
        <f t="shared" si="733"/>
        <v>0</v>
      </c>
      <c r="DW1138" s="310">
        <f t="shared" si="719"/>
        <v>0</v>
      </c>
      <c r="FC1138" s="307"/>
      <c r="FD1138" s="166"/>
      <c r="FF1138" s="307"/>
      <c r="FH1138" s="306"/>
      <c r="FJ1138" s="307"/>
      <c r="FK1138" s="307"/>
      <c r="FL1138" s="306"/>
      <c r="FM1138" s="307"/>
      <c r="FN1138" s="306"/>
      <c r="FO1138" s="307"/>
      <c r="FP1138" s="306"/>
    </row>
    <row r="1139" spans="29:172">
      <c r="AC1139" s="156"/>
      <c r="CW1139" s="364"/>
      <c r="CX1139" s="316"/>
      <c r="CY1139" s="316"/>
      <c r="DA1139" s="309">
        <v>1138</v>
      </c>
      <c r="DB1139" s="313">
        <f t="shared" si="713"/>
        <v>614.19812659493823</v>
      </c>
      <c r="DC1139" s="309">
        <f t="shared" si="714"/>
        <v>4</v>
      </c>
      <c r="DD1139" s="309">
        <f t="shared" si="715"/>
        <v>0</v>
      </c>
      <c r="DE1139" s="308">
        <f t="shared" si="716"/>
        <v>0</v>
      </c>
      <c r="DF1139" s="313">
        <f t="shared" si="730"/>
        <v>600</v>
      </c>
      <c r="DG1139" s="313">
        <f t="shared" si="734"/>
        <v>0</v>
      </c>
      <c r="DH1139" s="313">
        <f t="shared" si="720"/>
        <v>0</v>
      </c>
      <c r="DI1139" s="313">
        <f t="shared" si="721"/>
        <v>0</v>
      </c>
      <c r="DJ1139" s="313">
        <f t="shared" si="722"/>
        <v>0</v>
      </c>
      <c r="DK1139" s="313">
        <f t="shared" si="731"/>
        <v>0</v>
      </c>
      <c r="DL1139" s="313">
        <f t="shared" si="723"/>
        <v>0</v>
      </c>
      <c r="DM1139" s="314">
        <f t="shared" si="724"/>
        <v>0</v>
      </c>
      <c r="DN1139" s="312">
        <f t="shared" si="725"/>
        <v>0</v>
      </c>
      <c r="DO1139" s="312">
        <f t="shared" si="732"/>
        <v>0</v>
      </c>
      <c r="DP1139" s="315" t="e">
        <f t="shared" si="717"/>
        <v>#NUM!</v>
      </c>
      <c r="DQ1139" s="316">
        <f t="shared" si="726"/>
        <v>0</v>
      </c>
      <c r="DR1139" s="316">
        <f t="shared" si="727"/>
        <v>0</v>
      </c>
      <c r="DS1139" s="314">
        <f t="shared" si="728"/>
        <v>0</v>
      </c>
      <c r="DT1139" s="316">
        <f t="shared" si="729"/>
        <v>0</v>
      </c>
      <c r="DU1139" s="314">
        <f t="shared" si="718"/>
        <v>0</v>
      </c>
      <c r="DV1139" s="316">
        <f t="shared" si="733"/>
        <v>0</v>
      </c>
      <c r="DW1139" s="310">
        <f t="shared" si="719"/>
        <v>0</v>
      </c>
      <c r="FC1139" s="307"/>
      <c r="FD1139" s="166"/>
      <c r="FF1139" s="307"/>
      <c r="FH1139" s="306"/>
      <c r="FJ1139" s="307"/>
      <c r="FK1139" s="307"/>
      <c r="FL1139" s="306"/>
      <c r="FM1139" s="307"/>
      <c r="FN1139" s="306"/>
      <c r="FO1139" s="307"/>
      <c r="FP1139" s="306"/>
    </row>
    <row r="1140" spans="29:172">
      <c r="AC1140" s="156"/>
      <c r="CW1140" s="364"/>
      <c r="CX1140" s="316"/>
      <c r="CY1140" s="316"/>
      <c r="DA1140" s="309">
        <v>1139</v>
      </c>
      <c r="DB1140" s="313">
        <f t="shared" si="713"/>
        <v>614.56209682920439</v>
      </c>
      <c r="DC1140" s="309">
        <f t="shared" si="714"/>
        <v>4</v>
      </c>
      <c r="DD1140" s="309">
        <f t="shared" si="715"/>
        <v>0</v>
      </c>
      <c r="DE1140" s="308">
        <f t="shared" si="716"/>
        <v>0</v>
      </c>
      <c r="DF1140" s="313">
        <f t="shared" si="730"/>
        <v>600</v>
      </c>
      <c r="DG1140" s="313">
        <f t="shared" si="734"/>
        <v>0</v>
      </c>
      <c r="DH1140" s="313">
        <f t="shared" si="720"/>
        <v>0</v>
      </c>
      <c r="DI1140" s="313">
        <f t="shared" si="721"/>
        <v>0</v>
      </c>
      <c r="DJ1140" s="313">
        <f t="shared" si="722"/>
        <v>0</v>
      </c>
      <c r="DK1140" s="313">
        <f t="shared" si="731"/>
        <v>0</v>
      </c>
      <c r="DL1140" s="313">
        <f t="shared" si="723"/>
        <v>0</v>
      </c>
      <c r="DM1140" s="314">
        <f t="shared" si="724"/>
        <v>0</v>
      </c>
      <c r="DN1140" s="312">
        <f t="shared" si="725"/>
        <v>0</v>
      </c>
      <c r="DO1140" s="312">
        <f t="shared" si="732"/>
        <v>0</v>
      </c>
      <c r="DP1140" s="315" t="e">
        <f t="shared" si="717"/>
        <v>#NUM!</v>
      </c>
      <c r="DQ1140" s="316">
        <f t="shared" si="726"/>
        <v>0</v>
      </c>
      <c r="DR1140" s="316">
        <f t="shared" si="727"/>
        <v>0</v>
      </c>
      <c r="DS1140" s="314">
        <f t="shared" si="728"/>
        <v>0</v>
      </c>
      <c r="DT1140" s="316">
        <f t="shared" si="729"/>
        <v>0</v>
      </c>
      <c r="DU1140" s="314">
        <f t="shared" si="718"/>
        <v>0</v>
      </c>
      <c r="DV1140" s="316">
        <f t="shared" si="733"/>
        <v>0</v>
      </c>
      <c r="DW1140" s="310">
        <f t="shared" si="719"/>
        <v>0</v>
      </c>
      <c r="FC1140" s="307"/>
      <c r="FD1140" s="166"/>
      <c r="FF1140" s="307"/>
      <c r="FH1140" s="306"/>
      <c r="FJ1140" s="307"/>
      <c r="FK1140" s="307"/>
      <c r="FL1140" s="306"/>
      <c r="FM1140" s="307"/>
      <c r="FN1140" s="306"/>
      <c r="FO1140" s="307"/>
      <c r="FP1140" s="306"/>
    </row>
    <row r="1141" spans="29:172">
      <c r="AC1141" s="156"/>
      <c r="CW1141" s="364"/>
      <c r="CX1141" s="316"/>
      <c r="CY1141" s="316"/>
      <c r="DA1141" s="309">
        <v>1140</v>
      </c>
      <c r="DB1141" s="313">
        <f t="shared" si="713"/>
        <v>614.92606706347067</v>
      </c>
      <c r="DC1141" s="309">
        <f t="shared" si="714"/>
        <v>4</v>
      </c>
      <c r="DD1141" s="309">
        <f t="shared" si="715"/>
        <v>0</v>
      </c>
      <c r="DE1141" s="308">
        <f t="shared" si="716"/>
        <v>0</v>
      </c>
      <c r="DF1141" s="313">
        <f t="shared" si="730"/>
        <v>600</v>
      </c>
      <c r="DG1141" s="313">
        <f t="shared" si="734"/>
        <v>0</v>
      </c>
      <c r="DH1141" s="313">
        <f t="shared" si="720"/>
        <v>0</v>
      </c>
      <c r="DI1141" s="313">
        <f t="shared" si="721"/>
        <v>0</v>
      </c>
      <c r="DJ1141" s="313">
        <f t="shared" si="722"/>
        <v>0</v>
      </c>
      <c r="DK1141" s="313">
        <f t="shared" si="731"/>
        <v>0</v>
      </c>
      <c r="DL1141" s="313">
        <f t="shared" si="723"/>
        <v>0</v>
      </c>
      <c r="DM1141" s="314">
        <f t="shared" si="724"/>
        <v>0</v>
      </c>
      <c r="DN1141" s="312">
        <f t="shared" si="725"/>
        <v>0</v>
      </c>
      <c r="DO1141" s="312">
        <f t="shared" si="732"/>
        <v>0</v>
      </c>
      <c r="DP1141" s="315" t="e">
        <f t="shared" si="717"/>
        <v>#NUM!</v>
      </c>
      <c r="DQ1141" s="316">
        <f t="shared" si="726"/>
        <v>0</v>
      </c>
      <c r="DR1141" s="316">
        <f t="shared" si="727"/>
        <v>0</v>
      </c>
      <c r="DS1141" s="314">
        <f t="shared" si="728"/>
        <v>0</v>
      </c>
      <c r="DT1141" s="316">
        <f t="shared" si="729"/>
        <v>0</v>
      </c>
      <c r="DU1141" s="314">
        <f t="shared" si="718"/>
        <v>0</v>
      </c>
      <c r="DV1141" s="316">
        <f t="shared" si="733"/>
        <v>0</v>
      </c>
      <c r="DW1141" s="310">
        <f t="shared" si="719"/>
        <v>0</v>
      </c>
      <c r="FC1141" s="307"/>
      <c r="FD1141" s="166"/>
      <c r="FF1141" s="307"/>
      <c r="FH1141" s="306"/>
      <c r="FJ1141" s="307"/>
      <c r="FK1141" s="307"/>
      <c r="FL1141" s="306"/>
      <c r="FM1141" s="307"/>
      <c r="FN1141" s="306"/>
      <c r="FO1141" s="307"/>
      <c r="FP1141" s="306"/>
    </row>
    <row r="1142" spans="29:172">
      <c r="AC1142" s="156"/>
      <c r="CW1142" s="364"/>
      <c r="CX1142" s="316"/>
      <c r="CY1142" s="316"/>
      <c r="DA1142" s="309">
        <v>1141</v>
      </c>
      <c r="DB1142" s="313">
        <f t="shared" si="713"/>
        <v>615.29003729773694</v>
      </c>
      <c r="DC1142" s="309">
        <f t="shared" si="714"/>
        <v>4</v>
      </c>
      <c r="DD1142" s="309">
        <f t="shared" si="715"/>
        <v>0</v>
      </c>
      <c r="DE1142" s="308">
        <f t="shared" si="716"/>
        <v>0</v>
      </c>
      <c r="DF1142" s="313">
        <f t="shared" si="730"/>
        <v>600</v>
      </c>
      <c r="DG1142" s="313">
        <f t="shared" si="734"/>
        <v>0</v>
      </c>
      <c r="DH1142" s="313">
        <f t="shared" si="720"/>
        <v>0</v>
      </c>
      <c r="DI1142" s="313">
        <f t="shared" si="721"/>
        <v>0</v>
      </c>
      <c r="DJ1142" s="313">
        <f t="shared" si="722"/>
        <v>0</v>
      </c>
      <c r="DK1142" s="313">
        <f t="shared" si="731"/>
        <v>0</v>
      </c>
      <c r="DL1142" s="313">
        <f t="shared" si="723"/>
        <v>0</v>
      </c>
      <c r="DM1142" s="314">
        <f t="shared" si="724"/>
        <v>0</v>
      </c>
      <c r="DN1142" s="312">
        <f t="shared" si="725"/>
        <v>0</v>
      </c>
      <c r="DO1142" s="312">
        <f t="shared" si="732"/>
        <v>0</v>
      </c>
      <c r="DP1142" s="315" t="e">
        <f t="shared" si="717"/>
        <v>#NUM!</v>
      </c>
      <c r="DQ1142" s="316">
        <f t="shared" si="726"/>
        <v>0</v>
      </c>
      <c r="DR1142" s="316">
        <f t="shared" si="727"/>
        <v>0</v>
      </c>
      <c r="DS1142" s="314">
        <f t="shared" si="728"/>
        <v>0</v>
      </c>
      <c r="DT1142" s="316">
        <f t="shared" si="729"/>
        <v>0</v>
      </c>
      <c r="DU1142" s="314">
        <f t="shared" si="718"/>
        <v>0</v>
      </c>
      <c r="DV1142" s="316">
        <f t="shared" si="733"/>
        <v>0</v>
      </c>
      <c r="DW1142" s="310">
        <f t="shared" si="719"/>
        <v>0</v>
      </c>
      <c r="FC1142" s="307"/>
      <c r="FD1142" s="166"/>
      <c r="FF1142" s="307"/>
      <c r="FH1142" s="306"/>
      <c r="FJ1142" s="307"/>
      <c r="FK1142" s="307"/>
      <c r="FL1142" s="306"/>
      <c r="FM1142" s="307"/>
      <c r="FN1142" s="306"/>
      <c r="FO1142" s="307"/>
      <c r="FP1142" s="306"/>
    </row>
    <row r="1143" spans="29:172">
      <c r="AC1143" s="156"/>
      <c r="CW1143" s="364"/>
      <c r="CX1143" s="316"/>
      <c r="CY1143" s="316"/>
      <c r="DA1143" s="309">
        <v>1142</v>
      </c>
      <c r="DB1143" s="313">
        <f t="shared" si="713"/>
        <v>615.65400753200311</v>
      </c>
      <c r="DC1143" s="309">
        <f t="shared" si="714"/>
        <v>4</v>
      </c>
      <c r="DD1143" s="309">
        <f t="shared" si="715"/>
        <v>0</v>
      </c>
      <c r="DE1143" s="308">
        <f t="shared" si="716"/>
        <v>0</v>
      </c>
      <c r="DF1143" s="313">
        <f t="shared" si="730"/>
        <v>600</v>
      </c>
      <c r="DG1143" s="313">
        <f t="shared" si="734"/>
        <v>0</v>
      </c>
      <c r="DH1143" s="313">
        <f t="shared" si="720"/>
        <v>0</v>
      </c>
      <c r="DI1143" s="313">
        <f t="shared" si="721"/>
        <v>0</v>
      </c>
      <c r="DJ1143" s="313">
        <f t="shared" si="722"/>
        <v>0</v>
      </c>
      <c r="DK1143" s="313">
        <f t="shared" si="731"/>
        <v>0</v>
      </c>
      <c r="DL1143" s="313">
        <f t="shared" si="723"/>
        <v>0</v>
      </c>
      <c r="DM1143" s="314">
        <f t="shared" si="724"/>
        <v>0</v>
      </c>
      <c r="DN1143" s="312">
        <f t="shared" si="725"/>
        <v>0</v>
      </c>
      <c r="DO1143" s="312">
        <f t="shared" si="732"/>
        <v>0</v>
      </c>
      <c r="DP1143" s="315" t="e">
        <f t="shared" si="717"/>
        <v>#NUM!</v>
      </c>
      <c r="DQ1143" s="316">
        <f t="shared" si="726"/>
        <v>0</v>
      </c>
      <c r="DR1143" s="316">
        <f t="shared" si="727"/>
        <v>0</v>
      </c>
      <c r="DS1143" s="314">
        <f t="shared" si="728"/>
        <v>0</v>
      </c>
      <c r="DT1143" s="316">
        <f t="shared" si="729"/>
        <v>0</v>
      </c>
      <c r="DU1143" s="314">
        <f t="shared" si="718"/>
        <v>0</v>
      </c>
      <c r="DV1143" s="316">
        <f t="shared" si="733"/>
        <v>0</v>
      </c>
      <c r="DW1143" s="310">
        <f t="shared" si="719"/>
        <v>0</v>
      </c>
      <c r="FC1143" s="307"/>
      <c r="FD1143" s="166"/>
      <c r="FF1143" s="307"/>
      <c r="FH1143" s="306"/>
      <c r="FJ1143" s="307"/>
      <c r="FK1143" s="307"/>
      <c r="FL1143" s="306"/>
      <c r="FM1143" s="307"/>
      <c r="FN1143" s="306"/>
      <c r="FO1143" s="307"/>
      <c r="FP1143" s="306"/>
    </row>
    <row r="1144" spans="29:172">
      <c r="AC1144" s="156"/>
      <c r="CW1144" s="364"/>
      <c r="CX1144" s="316"/>
      <c r="CY1144" s="316"/>
      <c r="DA1144" s="309">
        <v>1143</v>
      </c>
      <c r="DB1144" s="313">
        <f t="shared" si="713"/>
        <v>616.01797776626927</v>
      </c>
      <c r="DC1144" s="309">
        <f t="shared" si="714"/>
        <v>4</v>
      </c>
      <c r="DD1144" s="309">
        <f t="shared" si="715"/>
        <v>0</v>
      </c>
      <c r="DE1144" s="308">
        <f t="shared" si="716"/>
        <v>0</v>
      </c>
      <c r="DF1144" s="313">
        <f t="shared" si="730"/>
        <v>600</v>
      </c>
      <c r="DG1144" s="313">
        <f t="shared" si="734"/>
        <v>0</v>
      </c>
      <c r="DH1144" s="313">
        <f t="shared" si="720"/>
        <v>0</v>
      </c>
      <c r="DI1144" s="313">
        <f t="shared" si="721"/>
        <v>0</v>
      </c>
      <c r="DJ1144" s="313">
        <f t="shared" si="722"/>
        <v>0</v>
      </c>
      <c r="DK1144" s="313">
        <f t="shared" si="731"/>
        <v>0</v>
      </c>
      <c r="DL1144" s="313">
        <f t="shared" si="723"/>
        <v>0</v>
      </c>
      <c r="DM1144" s="314">
        <f t="shared" si="724"/>
        <v>0</v>
      </c>
      <c r="DN1144" s="312">
        <f t="shared" si="725"/>
        <v>0</v>
      </c>
      <c r="DO1144" s="312">
        <f t="shared" si="732"/>
        <v>0</v>
      </c>
      <c r="DP1144" s="315" t="e">
        <f t="shared" si="717"/>
        <v>#NUM!</v>
      </c>
      <c r="DQ1144" s="316">
        <f t="shared" si="726"/>
        <v>0</v>
      </c>
      <c r="DR1144" s="316">
        <f t="shared" si="727"/>
        <v>0</v>
      </c>
      <c r="DS1144" s="314">
        <f t="shared" si="728"/>
        <v>0</v>
      </c>
      <c r="DT1144" s="316">
        <f t="shared" si="729"/>
        <v>0</v>
      </c>
      <c r="DU1144" s="314">
        <f t="shared" si="718"/>
        <v>0</v>
      </c>
      <c r="DV1144" s="316">
        <f t="shared" si="733"/>
        <v>0</v>
      </c>
      <c r="DW1144" s="310">
        <f t="shared" si="719"/>
        <v>0</v>
      </c>
      <c r="FC1144" s="307"/>
      <c r="FD1144" s="166"/>
      <c r="FF1144" s="307"/>
      <c r="FH1144" s="306"/>
      <c r="FJ1144" s="307"/>
      <c r="FK1144" s="307"/>
      <c r="FL1144" s="306"/>
      <c r="FM1144" s="307"/>
      <c r="FN1144" s="306"/>
      <c r="FO1144" s="307"/>
      <c r="FP1144" s="306"/>
    </row>
    <row r="1145" spans="29:172">
      <c r="AC1145" s="156"/>
      <c r="CW1145" s="364"/>
      <c r="CX1145" s="316"/>
      <c r="CY1145" s="316"/>
      <c r="DA1145" s="309">
        <v>1144</v>
      </c>
      <c r="DB1145" s="313">
        <f t="shared" si="713"/>
        <v>616.38194800053543</v>
      </c>
      <c r="DC1145" s="309">
        <f t="shared" si="714"/>
        <v>4</v>
      </c>
      <c r="DD1145" s="309">
        <f t="shared" si="715"/>
        <v>0</v>
      </c>
      <c r="DE1145" s="308">
        <f t="shared" si="716"/>
        <v>0</v>
      </c>
      <c r="DF1145" s="313">
        <f t="shared" si="730"/>
        <v>600</v>
      </c>
      <c r="DG1145" s="313">
        <f t="shared" si="734"/>
        <v>0</v>
      </c>
      <c r="DH1145" s="313">
        <f t="shared" si="720"/>
        <v>0</v>
      </c>
      <c r="DI1145" s="313">
        <f t="shared" si="721"/>
        <v>0</v>
      </c>
      <c r="DJ1145" s="313">
        <f t="shared" si="722"/>
        <v>0</v>
      </c>
      <c r="DK1145" s="313">
        <f t="shared" si="731"/>
        <v>0</v>
      </c>
      <c r="DL1145" s="313">
        <f t="shared" si="723"/>
        <v>0</v>
      </c>
      <c r="DM1145" s="314">
        <f t="shared" si="724"/>
        <v>0</v>
      </c>
      <c r="DN1145" s="312">
        <f t="shared" si="725"/>
        <v>0</v>
      </c>
      <c r="DO1145" s="312">
        <f t="shared" si="732"/>
        <v>0</v>
      </c>
      <c r="DP1145" s="315" t="e">
        <f t="shared" si="717"/>
        <v>#NUM!</v>
      </c>
      <c r="DQ1145" s="316">
        <f t="shared" si="726"/>
        <v>0</v>
      </c>
      <c r="DR1145" s="316">
        <f t="shared" si="727"/>
        <v>0</v>
      </c>
      <c r="DS1145" s="314">
        <f t="shared" si="728"/>
        <v>0</v>
      </c>
      <c r="DT1145" s="316">
        <f t="shared" si="729"/>
        <v>0</v>
      </c>
      <c r="DU1145" s="314">
        <f t="shared" si="718"/>
        <v>0</v>
      </c>
      <c r="DV1145" s="316">
        <f t="shared" si="733"/>
        <v>0</v>
      </c>
      <c r="DW1145" s="310">
        <f t="shared" si="719"/>
        <v>0</v>
      </c>
      <c r="FC1145" s="307"/>
      <c r="FD1145" s="166"/>
      <c r="FF1145" s="307"/>
      <c r="FH1145" s="306"/>
      <c r="FJ1145" s="307"/>
      <c r="FK1145" s="307"/>
      <c r="FL1145" s="306"/>
      <c r="FM1145" s="307"/>
      <c r="FN1145" s="306"/>
      <c r="FO1145" s="307"/>
      <c r="FP1145" s="306"/>
    </row>
    <row r="1146" spans="29:172">
      <c r="AC1146" s="156"/>
      <c r="CW1146" s="364"/>
      <c r="CX1146" s="316"/>
      <c r="CY1146" s="316"/>
      <c r="DA1146" s="309">
        <v>1145</v>
      </c>
      <c r="DB1146" s="313">
        <f t="shared" si="713"/>
        <v>616.74591823480171</v>
      </c>
      <c r="DC1146" s="309">
        <f t="shared" si="714"/>
        <v>4</v>
      </c>
      <c r="DD1146" s="309">
        <f t="shared" si="715"/>
        <v>0</v>
      </c>
      <c r="DE1146" s="308">
        <f t="shared" si="716"/>
        <v>0</v>
      </c>
      <c r="DF1146" s="313">
        <f t="shared" si="730"/>
        <v>600</v>
      </c>
      <c r="DG1146" s="313">
        <f t="shared" si="734"/>
        <v>0</v>
      </c>
      <c r="DH1146" s="313">
        <f t="shared" si="720"/>
        <v>0</v>
      </c>
      <c r="DI1146" s="313">
        <f t="shared" si="721"/>
        <v>0</v>
      </c>
      <c r="DJ1146" s="313">
        <f t="shared" si="722"/>
        <v>0</v>
      </c>
      <c r="DK1146" s="313">
        <f t="shared" si="731"/>
        <v>0</v>
      </c>
      <c r="DL1146" s="313">
        <f t="shared" si="723"/>
        <v>0</v>
      </c>
      <c r="DM1146" s="314">
        <f t="shared" si="724"/>
        <v>0</v>
      </c>
      <c r="DN1146" s="312">
        <f t="shared" si="725"/>
        <v>0</v>
      </c>
      <c r="DO1146" s="312">
        <f t="shared" si="732"/>
        <v>0</v>
      </c>
      <c r="DP1146" s="315" t="e">
        <f t="shared" si="717"/>
        <v>#NUM!</v>
      </c>
      <c r="DQ1146" s="316">
        <f t="shared" si="726"/>
        <v>0</v>
      </c>
      <c r="DR1146" s="316">
        <f t="shared" si="727"/>
        <v>0</v>
      </c>
      <c r="DS1146" s="314">
        <f t="shared" si="728"/>
        <v>0</v>
      </c>
      <c r="DT1146" s="316">
        <f t="shared" si="729"/>
        <v>0</v>
      </c>
      <c r="DU1146" s="314">
        <f t="shared" si="718"/>
        <v>0</v>
      </c>
      <c r="DV1146" s="316">
        <f t="shared" si="733"/>
        <v>0</v>
      </c>
      <c r="DW1146" s="310">
        <f t="shared" si="719"/>
        <v>0</v>
      </c>
      <c r="FC1146" s="307"/>
      <c r="FD1146" s="166"/>
      <c r="FF1146" s="307"/>
      <c r="FH1146" s="306"/>
      <c r="FJ1146" s="307"/>
      <c r="FK1146" s="307"/>
      <c r="FL1146" s="306"/>
      <c r="FM1146" s="307"/>
      <c r="FN1146" s="306"/>
      <c r="FO1146" s="307"/>
      <c r="FP1146" s="306"/>
    </row>
    <row r="1147" spans="29:172">
      <c r="AC1147" s="156"/>
      <c r="CW1147" s="364"/>
      <c r="CX1147" s="316"/>
      <c r="CY1147" s="316"/>
      <c r="DA1147" s="309">
        <v>1146</v>
      </c>
      <c r="DB1147" s="313">
        <f t="shared" si="713"/>
        <v>617.10988846906787</v>
      </c>
      <c r="DC1147" s="309">
        <f t="shared" si="714"/>
        <v>4</v>
      </c>
      <c r="DD1147" s="309">
        <f t="shared" si="715"/>
        <v>0</v>
      </c>
      <c r="DE1147" s="308">
        <f t="shared" si="716"/>
        <v>0</v>
      </c>
      <c r="DF1147" s="313">
        <f t="shared" si="730"/>
        <v>600</v>
      </c>
      <c r="DG1147" s="313">
        <f t="shared" si="734"/>
        <v>0</v>
      </c>
      <c r="DH1147" s="313">
        <f t="shared" si="720"/>
        <v>0</v>
      </c>
      <c r="DI1147" s="313">
        <f t="shared" si="721"/>
        <v>0</v>
      </c>
      <c r="DJ1147" s="313">
        <f t="shared" si="722"/>
        <v>0</v>
      </c>
      <c r="DK1147" s="313">
        <f t="shared" si="731"/>
        <v>0</v>
      </c>
      <c r="DL1147" s="313">
        <f t="shared" si="723"/>
        <v>0</v>
      </c>
      <c r="DM1147" s="314">
        <f t="shared" si="724"/>
        <v>0</v>
      </c>
      <c r="DN1147" s="312">
        <f t="shared" si="725"/>
        <v>0</v>
      </c>
      <c r="DO1147" s="312">
        <f t="shared" si="732"/>
        <v>0</v>
      </c>
      <c r="DP1147" s="315" t="e">
        <f t="shared" si="717"/>
        <v>#NUM!</v>
      </c>
      <c r="DQ1147" s="316">
        <f t="shared" si="726"/>
        <v>0</v>
      </c>
      <c r="DR1147" s="316">
        <f t="shared" si="727"/>
        <v>0</v>
      </c>
      <c r="DS1147" s="314">
        <f t="shared" si="728"/>
        <v>0</v>
      </c>
      <c r="DT1147" s="316">
        <f t="shared" si="729"/>
        <v>0</v>
      </c>
      <c r="DU1147" s="314">
        <f t="shared" si="718"/>
        <v>0</v>
      </c>
      <c r="DV1147" s="316">
        <f t="shared" si="733"/>
        <v>0</v>
      </c>
      <c r="DW1147" s="310">
        <f t="shared" si="719"/>
        <v>0</v>
      </c>
      <c r="FC1147" s="307"/>
      <c r="FD1147" s="166"/>
      <c r="FF1147" s="307"/>
      <c r="FH1147" s="306"/>
      <c r="FJ1147" s="307"/>
      <c r="FK1147" s="307"/>
      <c r="FL1147" s="306"/>
      <c r="FM1147" s="307"/>
      <c r="FN1147" s="306"/>
      <c r="FO1147" s="307"/>
      <c r="FP1147" s="306"/>
    </row>
    <row r="1148" spans="29:172">
      <c r="AC1148" s="156"/>
      <c r="CW1148" s="364"/>
      <c r="CX1148" s="316"/>
      <c r="CY1148" s="316"/>
      <c r="DA1148" s="309">
        <v>1147</v>
      </c>
      <c r="DB1148" s="313">
        <f t="shared" si="713"/>
        <v>617.47385870333414</v>
      </c>
      <c r="DC1148" s="309">
        <f t="shared" si="714"/>
        <v>4</v>
      </c>
      <c r="DD1148" s="309">
        <f t="shared" si="715"/>
        <v>0</v>
      </c>
      <c r="DE1148" s="308">
        <f t="shared" si="716"/>
        <v>0</v>
      </c>
      <c r="DF1148" s="313">
        <f t="shared" si="730"/>
        <v>600</v>
      </c>
      <c r="DG1148" s="313">
        <f t="shared" si="734"/>
        <v>0</v>
      </c>
      <c r="DH1148" s="313">
        <f t="shared" si="720"/>
        <v>0</v>
      </c>
      <c r="DI1148" s="313">
        <f t="shared" si="721"/>
        <v>0</v>
      </c>
      <c r="DJ1148" s="313">
        <f t="shared" si="722"/>
        <v>0</v>
      </c>
      <c r="DK1148" s="313">
        <f t="shared" si="731"/>
        <v>0</v>
      </c>
      <c r="DL1148" s="313">
        <f t="shared" si="723"/>
        <v>0</v>
      </c>
      <c r="DM1148" s="314">
        <f t="shared" si="724"/>
        <v>0</v>
      </c>
      <c r="DN1148" s="312">
        <f t="shared" si="725"/>
        <v>0</v>
      </c>
      <c r="DO1148" s="312">
        <f t="shared" si="732"/>
        <v>0</v>
      </c>
      <c r="DP1148" s="315" t="e">
        <f t="shared" si="717"/>
        <v>#NUM!</v>
      </c>
      <c r="DQ1148" s="316">
        <f t="shared" si="726"/>
        <v>0</v>
      </c>
      <c r="DR1148" s="316">
        <f t="shared" si="727"/>
        <v>0</v>
      </c>
      <c r="DS1148" s="314">
        <f t="shared" si="728"/>
        <v>0</v>
      </c>
      <c r="DT1148" s="316">
        <f t="shared" si="729"/>
        <v>0</v>
      </c>
      <c r="DU1148" s="314">
        <f t="shared" si="718"/>
        <v>0</v>
      </c>
      <c r="DV1148" s="316">
        <f t="shared" si="733"/>
        <v>0</v>
      </c>
      <c r="DW1148" s="310">
        <f t="shared" si="719"/>
        <v>0</v>
      </c>
      <c r="FC1148" s="307"/>
      <c r="FD1148" s="166"/>
      <c r="FF1148" s="307"/>
      <c r="FH1148" s="306"/>
      <c r="FJ1148" s="307"/>
      <c r="FK1148" s="307"/>
      <c r="FL1148" s="306"/>
      <c r="FM1148" s="307"/>
      <c r="FN1148" s="306"/>
      <c r="FO1148" s="307"/>
      <c r="FP1148" s="306"/>
    </row>
    <row r="1149" spans="29:172">
      <c r="AC1149" s="156"/>
      <c r="CW1149" s="364"/>
      <c r="CX1149" s="316"/>
      <c r="CY1149" s="316"/>
      <c r="DA1149" s="309">
        <v>1148</v>
      </c>
      <c r="DB1149" s="313">
        <f t="shared" si="713"/>
        <v>617.83782893760031</v>
      </c>
      <c r="DC1149" s="309">
        <f t="shared" si="714"/>
        <v>4</v>
      </c>
      <c r="DD1149" s="309">
        <f t="shared" si="715"/>
        <v>0</v>
      </c>
      <c r="DE1149" s="308">
        <f t="shared" si="716"/>
        <v>0</v>
      </c>
      <c r="DF1149" s="313">
        <f t="shared" si="730"/>
        <v>600</v>
      </c>
      <c r="DG1149" s="313">
        <f t="shared" si="734"/>
        <v>0</v>
      </c>
      <c r="DH1149" s="313">
        <f t="shared" si="720"/>
        <v>0</v>
      </c>
      <c r="DI1149" s="313">
        <f t="shared" si="721"/>
        <v>0</v>
      </c>
      <c r="DJ1149" s="313">
        <f t="shared" si="722"/>
        <v>0</v>
      </c>
      <c r="DK1149" s="313">
        <f t="shared" si="731"/>
        <v>0</v>
      </c>
      <c r="DL1149" s="313">
        <f t="shared" si="723"/>
        <v>0</v>
      </c>
      <c r="DM1149" s="314">
        <f t="shared" si="724"/>
        <v>0</v>
      </c>
      <c r="DN1149" s="312">
        <f t="shared" si="725"/>
        <v>0</v>
      </c>
      <c r="DO1149" s="312">
        <f t="shared" si="732"/>
        <v>0</v>
      </c>
      <c r="DP1149" s="315" t="e">
        <f t="shared" si="717"/>
        <v>#NUM!</v>
      </c>
      <c r="DQ1149" s="316">
        <f t="shared" si="726"/>
        <v>0</v>
      </c>
      <c r="DR1149" s="316">
        <f t="shared" si="727"/>
        <v>0</v>
      </c>
      <c r="DS1149" s="314">
        <f t="shared" si="728"/>
        <v>0</v>
      </c>
      <c r="DT1149" s="316">
        <f t="shared" si="729"/>
        <v>0</v>
      </c>
      <c r="DU1149" s="314">
        <f t="shared" si="718"/>
        <v>0</v>
      </c>
      <c r="DV1149" s="316">
        <f t="shared" si="733"/>
        <v>0</v>
      </c>
      <c r="DW1149" s="310">
        <f t="shared" si="719"/>
        <v>0</v>
      </c>
      <c r="FC1149" s="307"/>
      <c r="FD1149" s="166"/>
      <c r="FF1149" s="307"/>
      <c r="FH1149" s="306"/>
      <c r="FJ1149" s="307"/>
      <c r="FK1149" s="307"/>
      <c r="FL1149" s="306"/>
      <c r="FM1149" s="307"/>
      <c r="FN1149" s="306"/>
      <c r="FO1149" s="307"/>
      <c r="FP1149" s="306"/>
    </row>
    <row r="1150" spans="29:172">
      <c r="AC1150" s="156"/>
      <c r="CW1150" s="364"/>
      <c r="CX1150" s="316"/>
      <c r="CY1150" s="316"/>
      <c r="DA1150" s="309">
        <v>1149</v>
      </c>
      <c r="DB1150" s="313">
        <f t="shared" si="713"/>
        <v>618.20179917186647</v>
      </c>
      <c r="DC1150" s="309">
        <f t="shared" si="714"/>
        <v>4</v>
      </c>
      <c r="DD1150" s="309">
        <f t="shared" si="715"/>
        <v>0</v>
      </c>
      <c r="DE1150" s="308">
        <f t="shared" si="716"/>
        <v>0</v>
      </c>
      <c r="DF1150" s="313">
        <f t="shared" si="730"/>
        <v>600</v>
      </c>
      <c r="DG1150" s="313">
        <f t="shared" si="734"/>
        <v>0</v>
      </c>
      <c r="DH1150" s="313">
        <f t="shared" si="720"/>
        <v>0</v>
      </c>
      <c r="DI1150" s="313">
        <f t="shared" si="721"/>
        <v>0</v>
      </c>
      <c r="DJ1150" s="313">
        <f t="shared" si="722"/>
        <v>0</v>
      </c>
      <c r="DK1150" s="313">
        <f t="shared" si="731"/>
        <v>0</v>
      </c>
      <c r="DL1150" s="313">
        <f t="shared" si="723"/>
        <v>0</v>
      </c>
      <c r="DM1150" s="314">
        <f t="shared" si="724"/>
        <v>0</v>
      </c>
      <c r="DN1150" s="312">
        <f t="shared" si="725"/>
        <v>0</v>
      </c>
      <c r="DO1150" s="312">
        <f t="shared" si="732"/>
        <v>0</v>
      </c>
      <c r="DP1150" s="315" t="e">
        <f t="shared" si="717"/>
        <v>#NUM!</v>
      </c>
      <c r="DQ1150" s="316">
        <f t="shared" si="726"/>
        <v>0</v>
      </c>
      <c r="DR1150" s="316">
        <f t="shared" si="727"/>
        <v>0</v>
      </c>
      <c r="DS1150" s="314">
        <f t="shared" si="728"/>
        <v>0</v>
      </c>
      <c r="DT1150" s="316">
        <f t="shared" si="729"/>
        <v>0</v>
      </c>
      <c r="DU1150" s="314">
        <f t="shared" si="718"/>
        <v>0</v>
      </c>
      <c r="DV1150" s="316">
        <f t="shared" si="733"/>
        <v>0</v>
      </c>
      <c r="DW1150" s="310">
        <f t="shared" si="719"/>
        <v>0</v>
      </c>
      <c r="FC1150" s="307"/>
      <c r="FD1150" s="166"/>
      <c r="FF1150" s="307"/>
      <c r="FH1150" s="306"/>
      <c r="FJ1150" s="307"/>
      <c r="FK1150" s="307"/>
      <c r="FL1150" s="306"/>
      <c r="FM1150" s="307"/>
      <c r="FN1150" s="306"/>
      <c r="FO1150" s="307"/>
      <c r="FP1150" s="306"/>
    </row>
    <row r="1151" spans="29:172">
      <c r="AC1151" s="156"/>
      <c r="CW1151" s="364"/>
      <c r="CX1151" s="316"/>
      <c r="CY1151" s="316"/>
      <c r="DA1151" s="309">
        <v>1150</v>
      </c>
      <c r="DB1151" s="313">
        <f t="shared" si="713"/>
        <v>618.56576940613263</v>
      </c>
      <c r="DC1151" s="309">
        <f t="shared" si="714"/>
        <v>4</v>
      </c>
      <c r="DD1151" s="309">
        <f t="shared" si="715"/>
        <v>0</v>
      </c>
      <c r="DE1151" s="308">
        <f t="shared" si="716"/>
        <v>0</v>
      </c>
      <c r="DF1151" s="313">
        <f t="shared" si="730"/>
        <v>600</v>
      </c>
      <c r="DG1151" s="313">
        <f t="shared" si="734"/>
        <v>0</v>
      </c>
      <c r="DH1151" s="313">
        <f t="shared" si="720"/>
        <v>0</v>
      </c>
      <c r="DI1151" s="313">
        <f t="shared" si="721"/>
        <v>0</v>
      </c>
      <c r="DJ1151" s="313">
        <f t="shared" si="722"/>
        <v>0</v>
      </c>
      <c r="DK1151" s="313">
        <f t="shared" si="731"/>
        <v>0</v>
      </c>
      <c r="DL1151" s="313">
        <f t="shared" si="723"/>
        <v>0</v>
      </c>
      <c r="DM1151" s="314">
        <f t="shared" si="724"/>
        <v>0</v>
      </c>
      <c r="DN1151" s="312">
        <f t="shared" si="725"/>
        <v>0</v>
      </c>
      <c r="DO1151" s="312">
        <f t="shared" si="732"/>
        <v>0</v>
      </c>
      <c r="DP1151" s="315" t="e">
        <f t="shared" si="717"/>
        <v>#NUM!</v>
      </c>
      <c r="DQ1151" s="316">
        <f t="shared" si="726"/>
        <v>0</v>
      </c>
      <c r="DR1151" s="316">
        <f t="shared" si="727"/>
        <v>0</v>
      </c>
      <c r="DS1151" s="314">
        <f t="shared" si="728"/>
        <v>0</v>
      </c>
      <c r="DT1151" s="316">
        <f t="shared" si="729"/>
        <v>0</v>
      </c>
      <c r="DU1151" s="314">
        <f t="shared" si="718"/>
        <v>0</v>
      </c>
      <c r="DV1151" s="316">
        <f t="shared" si="733"/>
        <v>0</v>
      </c>
      <c r="DW1151" s="310">
        <f t="shared" si="719"/>
        <v>0</v>
      </c>
      <c r="FC1151" s="307"/>
      <c r="FD1151" s="166"/>
      <c r="FF1151" s="307"/>
      <c r="FH1151" s="306"/>
      <c r="FJ1151" s="307"/>
      <c r="FK1151" s="307"/>
      <c r="FL1151" s="306"/>
      <c r="FM1151" s="307"/>
      <c r="FN1151" s="306"/>
      <c r="FO1151" s="307"/>
      <c r="FP1151" s="306"/>
    </row>
    <row r="1152" spans="29:172">
      <c r="AC1152" s="156"/>
      <c r="CW1152" s="364"/>
      <c r="CX1152" s="316"/>
      <c r="CY1152" s="316"/>
      <c r="DA1152" s="309">
        <v>1151</v>
      </c>
      <c r="DB1152" s="313">
        <f t="shared" si="713"/>
        <v>618.92973964039891</v>
      </c>
      <c r="DC1152" s="309">
        <f t="shared" si="714"/>
        <v>4</v>
      </c>
      <c r="DD1152" s="309">
        <f t="shared" si="715"/>
        <v>0</v>
      </c>
      <c r="DE1152" s="308">
        <f t="shared" si="716"/>
        <v>0</v>
      </c>
      <c r="DF1152" s="313">
        <f t="shared" si="730"/>
        <v>600</v>
      </c>
      <c r="DG1152" s="313">
        <f t="shared" si="734"/>
        <v>0</v>
      </c>
      <c r="DH1152" s="313">
        <f t="shared" si="720"/>
        <v>0</v>
      </c>
      <c r="DI1152" s="313">
        <f t="shared" si="721"/>
        <v>0</v>
      </c>
      <c r="DJ1152" s="313">
        <f t="shared" si="722"/>
        <v>0</v>
      </c>
      <c r="DK1152" s="313">
        <f t="shared" si="731"/>
        <v>0</v>
      </c>
      <c r="DL1152" s="313">
        <f t="shared" si="723"/>
        <v>0</v>
      </c>
      <c r="DM1152" s="314">
        <f t="shared" si="724"/>
        <v>0</v>
      </c>
      <c r="DN1152" s="312">
        <f t="shared" si="725"/>
        <v>0</v>
      </c>
      <c r="DO1152" s="312">
        <f t="shared" si="732"/>
        <v>0</v>
      </c>
      <c r="DP1152" s="315" t="e">
        <f t="shared" si="717"/>
        <v>#NUM!</v>
      </c>
      <c r="DQ1152" s="316">
        <f t="shared" si="726"/>
        <v>0</v>
      </c>
      <c r="DR1152" s="316">
        <f t="shared" si="727"/>
        <v>0</v>
      </c>
      <c r="DS1152" s="314">
        <f t="shared" si="728"/>
        <v>0</v>
      </c>
      <c r="DT1152" s="316">
        <f t="shared" si="729"/>
        <v>0</v>
      </c>
      <c r="DU1152" s="314">
        <f t="shared" si="718"/>
        <v>0</v>
      </c>
      <c r="DV1152" s="316">
        <f t="shared" si="733"/>
        <v>0</v>
      </c>
      <c r="DW1152" s="310">
        <f t="shared" si="719"/>
        <v>0</v>
      </c>
      <c r="FC1152" s="307"/>
      <c r="FD1152" s="166"/>
      <c r="FF1152" s="307"/>
      <c r="FH1152" s="306"/>
      <c r="FJ1152" s="307"/>
      <c r="FK1152" s="307"/>
      <c r="FL1152" s="306"/>
      <c r="FM1152" s="307"/>
      <c r="FN1152" s="306"/>
      <c r="FO1152" s="307"/>
      <c r="FP1152" s="306"/>
    </row>
    <row r="1153" spans="29:172">
      <c r="AC1153" s="156"/>
      <c r="CW1153" s="364"/>
      <c r="CX1153" s="316"/>
      <c r="CY1153" s="316"/>
      <c r="DA1153" s="309">
        <v>1152</v>
      </c>
      <c r="DB1153" s="313">
        <f t="shared" si="713"/>
        <v>619.29370987466507</v>
      </c>
      <c r="DC1153" s="309">
        <f t="shared" si="714"/>
        <v>4</v>
      </c>
      <c r="DD1153" s="309">
        <f t="shared" si="715"/>
        <v>0</v>
      </c>
      <c r="DE1153" s="308">
        <f t="shared" si="716"/>
        <v>0</v>
      </c>
      <c r="DF1153" s="313">
        <f t="shared" si="730"/>
        <v>600</v>
      </c>
      <c r="DG1153" s="313">
        <f t="shared" si="734"/>
        <v>0</v>
      </c>
      <c r="DH1153" s="313">
        <f t="shared" si="720"/>
        <v>0</v>
      </c>
      <c r="DI1153" s="313">
        <f t="shared" si="721"/>
        <v>0</v>
      </c>
      <c r="DJ1153" s="313">
        <f t="shared" si="722"/>
        <v>0</v>
      </c>
      <c r="DK1153" s="313">
        <f t="shared" si="731"/>
        <v>0</v>
      </c>
      <c r="DL1153" s="313">
        <f t="shared" si="723"/>
        <v>0</v>
      </c>
      <c r="DM1153" s="314">
        <f t="shared" si="724"/>
        <v>0</v>
      </c>
      <c r="DN1153" s="312">
        <f t="shared" si="725"/>
        <v>0</v>
      </c>
      <c r="DO1153" s="312">
        <f t="shared" si="732"/>
        <v>0</v>
      </c>
      <c r="DP1153" s="315" t="e">
        <f t="shared" si="717"/>
        <v>#NUM!</v>
      </c>
      <c r="DQ1153" s="316">
        <f t="shared" si="726"/>
        <v>0</v>
      </c>
      <c r="DR1153" s="316">
        <f t="shared" si="727"/>
        <v>0</v>
      </c>
      <c r="DS1153" s="314">
        <f t="shared" si="728"/>
        <v>0</v>
      </c>
      <c r="DT1153" s="316">
        <f t="shared" si="729"/>
        <v>0</v>
      </c>
      <c r="DU1153" s="314">
        <f t="shared" si="718"/>
        <v>0</v>
      </c>
      <c r="DV1153" s="316">
        <f t="shared" si="733"/>
        <v>0</v>
      </c>
      <c r="DW1153" s="310">
        <f t="shared" si="719"/>
        <v>0</v>
      </c>
      <c r="FC1153" s="307"/>
      <c r="FD1153" s="166"/>
      <c r="FF1153" s="307"/>
      <c r="FH1153" s="306"/>
      <c r="FJ1153" s="307"/>
      <c r="FK1153" s="307"/>
      <c r="FL1153" s="306"/>
      <c r="FM1153" s="307"/>
      <c r="FN1153" s="306"/>
      <c r="FO1153" s="307"/>
      <c r="FP1153" s="306"/>
    </row>
    <row r="1154" spans="29:172">
      <c r="AC1154" s="156"/>
      <c r="CW1154" s="364"/>
      <c r="CX1154" s="316"/>
      <c r="CY1154" s="316"/>
      <c r="DA1154" s="309">
        <v>1153</v>
      </c>
      <c r="DB1154" s="313">
        <f t="shared" ref="DB1154:DB1201" si="735">start+DA1154*tanO</f>
        <v>619.65768010893134</v>
      </c>
      <c r="DC1154" s="309">
        <f t="shared" ref="DC1154:DC1201" si="736">IF(DA1154&lt;edge_width,1,IF(DA1154&lt;mid_width,2,IF(DA1154&lt;=tot_width,3,4)))</f>
        <v>4</v>
      </c>
      <c r="DD1154" s="309">
        <f t="shared" ref="DD1154:DD1201" si="737">CHOOSE(DC1154,edge_thick,second_thick,core_thick,0)</f>
        <v>0</v>
      </c>
      <c r="DE1154" s="308">
        <f t="shared" ref="DE1154:DE1201" si="738">CHOOSE(DC1154,edge_k,second_k,core_k,0)</f>
        <v>0</v>
      </c>
      <c r="DF1154" s="313">
        <f t="shared" si="730"/>
        <v>600</v>
      </c>
      <c r="DG1154" s="313">
        <f t="shared" si="734"/>
        <v>0</v>
      </c>
      <c r="DH1154" s="313">
        <f t="shared" si="720"/>
        <v>0</v>
      </c>
      <c r="DI1154" s="313">
        <f t="shared" si="721"/>
        <v>0</v>
      </c>
      <c r="DJ1154" s="313">
        <f t="shared" si="722"/>
        <v>0</v>
      </c>
      <c r="DK1154" s="313">
        <f t="shared" si="731"/>
        <v>0</v>
      </c>
      <c r="DL1154" s="313">
        <f t="shared" si="723"/>
        <v>0</v>
      </c>
      <c r="DM1154" s="314">
        <f t="shared" si="724"/>
        <v>0</v>
      </c>
      <c r="DN1154" s="312">
        <f t="shared" si="725"/>
        <v>0</v>
      </c>
      <c r="DO1154" s="312">
        <f t="shared" si="732"/>
        <v>0</v>
      </c>
      <c r="DP1154" s="315" t="e">
        <f t="shared" ref="DP1154:DP1201" si="739">DE1154*DO1154^CHOOSE(DC1154,mult1,mult2,mult3,0)</f>
        <v>#NUM!</v>
      </c>
      <c r="DQ1154" s="316">
        <f t="shared" si="726"/>
        <v>0</v>
      </c>
      <c r="DR1154" s="316">
        <f t="shared" si="727"/>
        <v>0</v>
      </c>
      <c r="DS1154" s="314">
        <f t="shared" si="728"/>
        <v>0</v>
      </c>
      <c r="DT1154" s="316">
        <f t="shared" si="729"/>
        <v>0</v>
      </c>
      <c r="DU1154" s="314">
        <f t="shared" ref="DU1154:DU1201" si="740">IF(DC1154&lt;&gt;4,CHOOSE(DC1154,DA1154/DT1154,(DA1154-edge_width+1)/DT1154,(DA1154-mid_width+1)/DT1154),0)</f>
        <v>0</v>
      </c>
      <c r="DV1154" s="316">
        <f t="shared" si="733"/>
        <v>0</v>
      </c>
      <c r="DW1154" s="310">
        <f t="shared" ref="DW1154:DW1201" si="741">IF(DC1154&lt;&gt;4,(tot_width-DA1154+1)/DV1154,0)</f>
        <v>0</v>
      </c>
      <c r="FC1154" s="307"/>
      <c r="FD1154" s="166"/>
      <c r="FF1154" s="307"/>
      <c r="FH1154" s="306"/>
      <c r="FJ1154" s="307"/>
      <c r="FK1154" s="307"/>
      <c r="FL1154" s="306"/>
      <c r="FM1154" s="307"/>
      <c r="FN1154" s="306"/>
      <c r="FO1154" s="307"/>
      <c r="FP1154" s="306"/>
    </row>
    <row r="1155" spans="29:172">
      <c r="AC1155" s="156"/>
      <c r="CW1155" s="364"/>
      <c r="CX1155" s="316"/>
      <c r="CY1155" s="316"/>
      <c r="DA1155" s="309">
        <v>1154</v>
      </c>
      <c r="DB1155" s="313">
        <f t="shared" si="735"/>
        <v>620.02165034319751</v>
      </c>
      <c r="DC1155" s="309">
        <f t="shared" si="736"/>
        <v>4</v>
      </c>
      <c r="DD1155" s="309">
        <f t="shared" si="737"/>
        <v>0</v>
      </c>
      <c r="DE1155" s="308">
        <f t="shared" si="738"/>
        <v>0</v>
      </c>
      <c r="DF1155" s="313">
        <f t="shared" si="730"/>
        <v>600</v>
      </c>
      <c r="DG1155" s="313">
        <f t="shared" si="734"/>
        <v>0</v>
      </c>
      <c r="DH1155" s="313">
        <f t="shared" ref="DH1155:DH1201" si="742">IF(DC1155=1,DG1155,0)</f>
        <v>0</v>
      </c>
      <c r="DI1155" s="313">
        <f t="shared" ref="DI1155:DI1201" si="743">IF(DC1155=2,DG1155,0)</f>
        <v>0</v>
      </c>
      <c r="DJ1155" s="313">
        <f t="shared" ref="DJ1155:DJ1201" si="744">IF(DC1155=3,DG1155,0)</f>
        <v>0</v>
      </c>
      <c r="DK1155" s="313">
        <f t="shared" si="731"/>
        <v>0</v>
      </c>
      <c r="DL1155" s="313">
        <f t="shared" ref="DL1155:DL1201" si="745">IF(DC1155&lt;4,DL1156+DG1155,0)</f>
        <v>0</v>
      </c>
      <c r="DM1155" s="314">
        <f t="shared" ref="DM1155:DM1201" si="746">IF($DC1155&lt;&gt;4,IF($DA1155=edge_width,$CY$2,IF($DA1155=mid_width,$CY$3,1-DO1155+DM1154)),0)</f>
        <v>0</v>
      </c>
      <c r="DN1155" s="312">
        <f t="shared" ref="DN1155:DN1201" si="747">IF(DC1155&lt;&gt;4,CHOOSE(DC1155,DM1155/DA1155,DM1155/(DA1155-edge_width+1),DM1155/(DA1155-mid_width+1)),0)</f>
        <v>0</v>
      </c>
      <c r="DO1155" s="312">
        <f t="shared" si="732"/>
        <v>0</v>
      </c>
      <c r="DP1155" s="315" t="e">
        <f t="shared" si="739"/>
        <v>#NUM!</v>
      </c>
      <c r="DQ1155" s="316">
        <f t="shared" ref="DQ1155:DQ1201" si="748">IF(AND(DC1155&lt;&gt;4,DG1155&lt;&gt;0),1000*DP1155/DG1155,0)</f>
        <v>0</v>
      </c>
      <c r="DR1155" s="316">
        <f t="shared" ref="DR1155:DR1201" si="749">IF(DC1155&lt;&gt;4,DR1154+DQ1155,0)</f>
        <v>0</v>
      </c>
      <c r="DS1155" s="314">
        <f t="shared" ref="DS1155:DS1201" si="750">IF(AND(DC1155&lt;&gt;4,DR1155&lt;&gt;0),DA1155/DR1155,0)</f>
        <v>0</v>
      </c>
      <c r="DT1155" s="316">
        <f t="shared" ref="DT1155:DT1201" si="751">IF(DC1155&lt;&gt;4,IF(DA1155=edge_width,$CY$4,IF(DA1155=mid_width,$CY$5,DQ1155+DT1154)),0)</f>
        <v>0</v>
      </c>
      <c r="DU1155" s="314">
        <f t="shared" si="740"/>
        <v>0</v>
      </c>
      <c r="DV1155" s="316">
        <f t="shared" si="733"/>
        <v>0</v>
      </c>
      <c r="DW1155" s="310">
        <f t="shared" si="741"/>
        <v>0</v>
      </c>
      <c r="FC1155" s="307"/>
      <c r="FD1155" s="166"/>
      <c r="FF1155" s="307"/>
      <c r="FH1155" s="306"/>
      <c r="FJ1155" s="307"/>
      <c r="FK1155" s="307"/>
      <c r="FL1155" s="306"/>
      <c r="FM1155" s="307"/>
      <c r="FN1155" s="306"/>
      <c r="FO1155" s="307"/>
      <c r="FP1155" s="306"/>
    </row>
    <row r="1156" spans="29:172">
      <c r="AC1156" s="156"/>
      <c r="CW1156" s="364"/>
      <c r="CX1156" s="316"/>
      <c r="CY1156" s="316"/>
      <c r="DA1156" s="309">
        <v>1155</v>
      </c>
      <c r="DB1156" s="313">
        <f t="shared" si="735"/>
        <v>620.38562057746367</v>
      </c>
      <c r="DC1156" s="309">
        <f t="shared" si="736"/>
        <v>4</v>
      </c>
      <c r="DD1156" s="309">
        <f t="shared" si="737"/>
        <v>0</v>
      </c>
      <c r="DE1156" s="308">
        <f t="shared" si="738"/>
        <v>0</v>
      </c>
      <c r="DF1156" s="313">
        <f t="shared" ref="DF1156:DF1201" si="752">IF(DC1156&lt;4,DF1155+1,DF1155)</f>
        <v>600</v>
      </c>
      <c r="DG1156" s="313">
        <f t="shared" si="734"/>
        <v>0</v>
      </c>
      <c r="DH1156" s="313">
        <f t="shared" si="742"/>
        <v>0</v>
      </c>
      <c r="DI1156" s="313">
        <f t="shared" si="743"/>
        <v>0</v>
      </c>
      <c r="DJ1156" s="313">
        <f t="shared" si="744"/>
        <v>0</v>
      </c>
      <c r="DK1156" s="313">
        <f t="shared" ref="DK1156:DK1201" si="753">IF(DC1156&lt;4,DK1155+DG1156,0)</f>
        <v>0</v>
      </c>
      <c r="DL1156" s="313">
        <f t="shared" si="745"/>
        <v>0</v>
      </c>
      <c r="DM1156" s="314">
        <f t="shared" si="746"/>
        <v>0</v>
      </c>
      <c r="DN1156" s="312">
        <f t="shared" si="747"/>
        <v>0</v>
      </c>
      <c r="DO1156" s="312">
        <f t="shared" ref="DO1156:DO1201" si="754">IF(AND(DC1156&lt;&gt;4,DD1156&lt;&gt;0),DG1156/DD1156,0)</f>
        <v>0</v>
      </c>
      <c r="DP1156" s="315" t="e">
        <f t="shared" si="739"/>
        <v>#NUM!</v>
      </c>
      <c r="DQ1156" s="316">
        <f t="shared" si="748"/>
        <v>0</v>
      </c>
      <c r="DR1156" s="316">
        <f t="shared" si="749"/>
        <v>0</v>
      </c>
      <c r="DS1156" s="314">
        <f t="shared" si="750"/>
        <v>0</v>
      </c>
      <c r="DT1156" s="316">
        <f t="shared" si="751"/>
        <v>0</v>
      </c>
      <c r="DU1156" s="314">
        <f t="shared" si="740"/>
        <v>0</v>
      </c>
      <c r="DV1156" s="316">
        <f t="shared" ref="DV1156:DV1199" si="755">DV1157+DQ1156</f>
        <v>0</v>
      </c>
      <c r="DW1156" s="310">
        <f t="shared" si="741"/>
        <v>0</v>
      </c>
      <c r="FC1156" s="307"/>
      <c r="FD1156" s="166"/>
      <c r="FF1156" s="307"/>
      <c r="FH1156" s="306"/>
      <c r="FJ1156" s="307"/>
      <c r="FK1156" s="307"/>
      <c r="FL1156" s="306"/>
      <c r="FM1156" s="307"/>
      <c r="FN1156" s="306"/>
      <c r="FO1156" s="307"/>
      <c r="FP1156" s="306"/>
    </row>
    <row r="1157" spans="29:172">
      <c r="AC1157" s="156"/>
      <c r="CW1157" s="364"/>
      <c r="CX1157" s="316"/>
      <c r="CY1157" s="316"/>
      <c r="DA1157" s="309">
        <v>1156</v>
      </c>
      <c r="DB1157" s="313">
        <f t="shared" si="735"/>
        <v>620.74959081172983</v>
      </c>
      <c r="DC1157" s="309">
        <f t="shared" si="736"/>
        <v>4</v>
      </c>
      <c r="DD1157" s="309">
        <f t="shared" si="737"/>
        <v>0</v>
      </c>
      <c r="DE1157" s="308">
        <f t="shared" si="738"/>
        <v>0</v>
      </c>
      <c r="DF1157" s="313">
        <f t="shared" si="752"/>
        <v>600</v>
      </c>
      <c r="DG1157" s="313">
        <f t="shared" si="734"/>
        <v>0</v>
      </c>
      <c r="DH1157" s="313">
        <f t="shared" si="742"/>
        <v>0</v>
      </c>
      <c r="DI1157" s="313">
        <f t="shared" si="743"/>
        <v>0</v>
      </c>
      <c r="DJ1157" s="313">
        <f t="shared" si="744"/>
        <v>0</v>
      </c>
      <c r="DK1157" s="313">
        <f t="shared" si="753"/>
        <v>0</v>
      </c>
      <c r="DL1157" s="313">
        <f t="shared" si="745"/>
        <v>0</v>
      </c>
      <c r="DM1157" s="314">
        <f t="shared" si="746"/>
        <v>0</v>
      </c>
      <c r="DN1157" s="312">
        <f t="shared" si="747"/>
        <v>0</v>
      </c>
      <c r="DO1157" s="312">
        <f t="shared" si="754"/>
        <v>0</v>
      </c>
      <c r="DP1157" s="315" t="e">
        <f t="shared" si="739"/>
        <v>#NUM!</v>
      </c>
      <c r="DQ1157" s="316">
        <f t="shared" si="748"/>
        <v>0</v>
      </c>
      <c r="DR1157" s="316">
        <f t="shared" si="749"/>
        <v>0</v>
      </c>
      <c r="DS1157" s="314">
        <f t="shared" si="750"/>
        <v>0</v>
      </c>
      <c r="DT1157" s="316">
        <f t="shared" si="751"/>
        <v>0</v>
      </c>
      <c r="DU1157" s="314">
        <f t="shared" si="740"/>
        <v>0</v>
      </c>
      <c r="DV1157" s="316">
        <f t="shared" si="755"/>
        <v>0</v>
      </c>
      <c r="DW1157" s="310">
        <f t="shared" si="741"/>
        <v>0</v>
      </c>
      <c r="FC1157" s="307"/>
      <c r="FD1157" s="166"/>
      <c r="FF1157" s="307"/>
      <c r="FH1157" s="306"/>
      <c r="FJ1157" s="307"/>
      <c r="FK1157" s="307"/>
      <c r="FL1157" s="306"/>
      <c r="FM1157" s="307"/>
      <c r="FN1157" s="306"/>
      <c r="FO1157" s="307"/>
      <c r="FP1157" s="306"/>
    </row>
    <row r="1158" spans="29:172">
      <c r="AC1158" s="156"/>
      <c r="CW1158" s="364"/>
      <c r="CX1158" s="316"/>
      <c r="CY1158" s="316"/>
      <c r="DA1158" s="309">
        <v>1157</v>
      </c>
      <c r="DB1158" s="313">
        <f t="shared" si="735"/>
        <v>621.11356104599611</v>
      </c>
      <c r="DC1158" s="309">
        <f t="shared" si="736"/>
        <v>4</v>
      </c>
      <c r="DD1158" s="309">
        <f t="shared" si="737"/>
        <v>0</v>
      </c>
      <c r="DE1158" s="308">
        <f t="shared" si="738"/>
        <v>0</v>
      </c>
      <c r="DF1158" s="313">
        <f t="shared" si="752"/>
        <v>600</v>
      </c>
      <c r="DG1158" s="313">
        <f t="shared" si="734"/>
        <v>0</v>
      </c>
      <c r="DH1158" s="313">
        <f t="shared" si="742"/>
        <v>0</v>
      </c>
      <c r="DI1158" s="313">
        <f t="shared" si="743"/>
        <v>0</v>
      </c>
      <c r="DJ1158" s="313">
        <f t="shared" si="744"/>
        <v>0</v>
      </c>
      <c r="DK1158" s="313">
        <f t="shared" si="753"/>
        <v>0</v>
      </c>
      <c r="DL1158" s="313">
        <f t="shared" si="745"/>
        <v>0</v>
      </c>
      <c r="DM1158" s="314">
        <f t="shared" si="746"/>
        <v>0</v>
      </c>
      <c r="DN1158" s="312">
        <f t="shared" si="747"/>
        <v>0</v>
      </c>
      <c r="DO1158" s="312">
        <f t="shared" si="754"/>
        <v>0</v>
      </c>
      <c r="DP1158" s="315" t="e">
        <f t="shared" si="739"/>
        <v>#NUM!</v>
      </c>
      <c r="DQ1158" s="316">
        <f t="shared" si="748"/>
        <v>0</v>
      </c>
      <c r="DR1158" s="316">
        <f t="shared" si="749"/>
        <v>0</v>
      </c>
      <c r="DS1158" s="314">
        <f t="shared" si="750"/>
        <v>0</v>
      </c>
      <c r="DT1158" s="316">
        <f t="shared" si="751"/>
        <v>0</v>
      </c>
      <c r="DU1158" s="314">
        <f t="shared" si="740"/>
        <v>0</v>
      </c>
      <c r="DV1158" s="316">
        <f t="shared" si="755"/>
        <v>0</v>
      </c>
      <c r="DW1158" s="310">
        <f t="shared" si="741"/>
        <v>0</v>
      </c>
      <c r="FC1158" s="307"/>
      <c r="FD1158" s="166"/>
      <c r="FF1158" s="307"/>
      <c r="FH1158" s="306"/>
      <c r="FJ1158" s="307"/>
      <c r="FK1158" s="307"/>
      <c r="FL1158" s="306"/>
      <c r="FM1158" s="307"/>
      <c r="FN1158" s="306"/>
      <c r="FO1158" s="307"/>
      <c r="FP1158" s="306"/>
    </row>
    <row r="1159" spans="29:172">
      <c r="AC1159" s="156"/>
      <c r="CW1159" s="364"/>
      <c r="CX1159" s="316"/>
      <c r="CY1159" s="316"/>
      <c r="DA1159" s="309">
        <v>1158</v>
      </c>
      <c r="DB1159" s="313">
        <f t="shared" si="735"/>
        <v>621.47753128026238</v>
      </c>
      <c r="DC1159" s="309">
        <f t="shared" si="736"/>
        <v>4</v>
      </c>
      <c r="DD1159" s="309">
        <f t="shared" si="737"/>
        <v>0</v>
      </c>
      <c r="DE1159" s="308">
        <f t="shared" si="738"/>
        <v>0</v>
      </c>
      <c r="DF1159" s="313">
        <f t="shared" si="752"/>
        <v>600</v>
      </c>
      <c r="DG1159" s="313">
        <f t="shared" si="734"/>
        <v>0</v>
      </c>
      <c r="DH1159" s="313">
        <f t="shared" si="742"/>
        <v>0</v>
      </c>
      <c r="DI1159" s="313">
        <f t="shared" si="743"/>
        <v>0</v>
      </c>
      <c r="DJ1159" s="313">
        <f t="shared" si="744"/>
        <v>0</v>
      </c>
      <c r="DK1159" s="313">
        <f t="shared" si="753"/>
        <v>0</v>
      </c>
      <c r="DL1159" s="313">
        <f t="shared" si="745"/>
        <v>0</v>
      </c>
      <c r="DM1159" s="314">
        <f t="shared" si="746"/>
        <v>0</v>
      </c>
      <c r="DN1159" s="312">
        <f t="shared" si="747"/>
        <v>0</v>
      </c>
      <c r="DO1159" s="312">
        <f t="shared" si="754"/>
        <v>0</v>
      </c>
      <c r="DP1159" s="315" t="e">
        <f t="shared" si="739"/>
        <v>#NUM!</v>
      </c>
      <c r="DQ1159" s="316">
        <f t="shared" si="748"/>
        <v>0</v>
      </c>
      <c r="DR1159" s="316">
        <f t="shared" si="749"/>
        <v>0</v>
      </c>
      <c r="DS1159" s="314">
        <f t="shared" si="750"/>
        <v>0</v>
      </c>
      <c r="DT1159" s="316">
        <f t="shared" si="751"/>
        <v>0</v>
      </c>
      <c r="DU1159" s="314">
        <f t="shared" si="740"/>
        <v>0</v>
      </c>
      <c r="DV1159" s="316">
        <f t="shared" si="755"/>
        <v>0</v>
      </c>
      <c r="DW1159" s="310">
        <f t="shared" si="741"/>
        <v>0</v>
      </c>
      <c r="FC1159" s="307"/>
      <c r="FD1159" s="166"/>
      <c r="FF1159" s="307"/>
      <c r="FH1159" s="306"/>
      <c r="FJ1159" s="307"/>
      <c r="FK1159" s="307"/>
      <c r="FL1159" s="306"/>
      <c r="FM1159" s="307"/>
      <c r="FN1159" s="306"/>
      <c r="FO1159" s="307"/>
      <c r="FP1159" s="306"/>
    </row>
    <row r="1160" spans="29:172">
      <c r="AC1160" s="156"/>
      <c r="CW1160" s="364"/>
      <c r="CX1160" s="316"/>
      <c r="CY1160" s="316"/>
      <c r="DA1160" s="309">
        <v>1159</v>
      </c>
      <c r="DB1160" s="313">
        <f t="shared" si="735"/>
        <v>621.84150151452855</v>
      </c>
      <c r="DC1160" s="309">
        <f t="shared" si="736"/>
        <v>4</v>
      </c>
      <c r="DD1160" s="309">
        <f t="shared" si="737"/>
        <v>0</v>
      </c>
      <c r="DE1160" s="308">
        <f t="shared" si="738"/>
        <v>0</v>
      </c>
      <c r="DF1160" s="313">
        <f t="shared" si="752"/>
        <v>600</v>
      </c>
      <c r="DG1160" s="313">
        <f t="shared" si="734"/>
        <v>0</v>
      </c>
      <c r="DH1160" s="313">
        <f t="shared" si="742"/>
        <v>0</v>
      </c>
      <c r="DI1160" s="313">
        <f t="shared" si="743"/>
        <v>0</v>
      </c>
      <c r="DJ1160" s="313">
        <f t="shared" si="744"/>
        <v>0</v>
      </c>
      <c r="DK1160" s="313">
        <f t="shared" si="753"/>
        <v>0</v>
      </c>
      <c r="DL1160" s="313">
        <f t="shared" si="745"/>
        <v>0</v>
      </c>
      <c r="DM1160" s="314">
        <f t="shared" si="746"/>
        <v>0</v>
      </c>
      <c r="DN1160" s="312">
        <f t="shared" si="747"/>
        <v>0</v>
      </c>
      <c r="DO1160" s="312">
        <f t="shared" si="754"/>
        <v>0</v>
      </c>
      <c r="DP1160" s="315" t="e">
        <f t="shared" si="739"/>
        <v>#NUM!</v>
      </c>
      <c r="DQ1160" s="316">
        <f t="shared" si="748"/>
        <v>0</v>
      </c>
      <c r="DR1160" s="316">
        <f t="shared" si="749"/>
        <v>0</v>
      </c>
      <c r="DS1160" s="314">
        <f t="shared" si="750"/>
        <v>0</v>
      </c>
      <c r="DT1160" s="316">
        <f t="shared" si="751"/>
        <v>0</v>
      </c>
      <c r="DU1160" s="314">
        <f t="shared" si="740"/>
        <v>0</v>
      </c>
      <c r="DV1160" s="316">
        <f t="shared" si="755"/>
        <v>0</v>
      </c>
      <c r="DW1160" s="310">
        <f t="shared" si="741"/>
        <v>0</v>
      </c>
      <c r="FC1160" s="307"/>
      <c r="FD1160" s="166"/>
      <c r="FF1160" s="307"/>
      <c r="FH1160" s="306"/>
      <c r="FJ1160" s="307"/>
      <c r="FK1160" s="307"/>
      <c r="FL1160" s="306"/>
      <c r="FM1160" s="307"/>
      <c r="FN1160" s="306"/>
      <c r="FO1160" s="307"/>
      <c r="FP1160" s="306"/>
    </row>
    <row r="1161" spans="29:172">
      <c r="AC1161" s="156"/>
      <c r="CW1161" s="364"/>
      <c r="CX1161" s="316"/>
      <c r="CY1161" s="316"/>
      <c r="DA1161" s="309">
        <v>1160</v>
      </c>
      <c r="DB1161" s="313">
        <f t="shared" si="735"/>
        <v>622.20547174879471</v>
      </c>
      <c r="DC1161" s="309">
        <f t="shared" si="736"/>
        <v>4</v>
      </c>
      <c r="DD1161" s="309">
        <f t="shared" si="737"/>
        <v>0</v>
      </c>
      <c r="DE1161" s="308">
        <f t="shared" si="738"/>
        <v>0</v>
      </c>
      <c r="DF1161" s="313">
        <f t="shared" si="752"/>
        <v>600</v>
      </c>
      <c r="DG1161" s="313">
        <f t="shared" si="734"/>
        <v>0</v>
      </c>
      <c r="DH1161" s="313">
        <f t="shared" si="742"/>
        <v>0</v>
      </c>
      <c r="DI1161" s="313">
        <f t="shared" si="743"/>
        <v>0</v>
      </c>
      <c r="DJ1161" s="313">
        <f t="shared" si="744"/>
        <v>0</v>
      </c>
      <c r="DK1161" s="313">
        <f t="shared" si="753"/>
        <v>0</v>
      </c>
      <c r="DL1161" s="313">
        <f t="shared" si="745"/>
        <v>0</v>
      </c>
      <c r="DM1161" s="314">
        <f t="shared" si="746"/>
        <v>0</v>
      </c>
      <c r="DN1161" s="312">
        <f t="shared" si="747"/>
        <v>0</v>
      </c>
      <c r="DO1161" s="312">
        <f t="shared" si="754"/>
        <v>0</v>
      </c>
      <c r="DP1161" s="315" t="e">
        <f t="shared" si="739"/>
        <v>#NUM!</v>
      </c>
      <c r="DQ1161" s="316">
        <f t="shared" si="748"/>
        <v>0</v>
      </c>
      <c r="DR1161" s="316">
        <f t="shared" si="749"/>
        <v>0</v>
      </c>
      <c r="DS1161" s="314">
        <f t="shared" si="750"/>
        <v>0</v>
      </c>
      <c r="DT1161" s="316">
        <f t="shared" si="751"/>
        <v>0</v>
      </c>
      <c r="DU1161" s="314">
        <f t="shared" si="740"/>
        <v>0</v>
      </c>
      <c r="DV1161" s="316">
        <f t="shared" si="755"/>
        <v>0</v>
      </c>
      <c r="DW1161" s="310">
        <f t="shared" si="741"/>
        <v>0</v>
      </c>
      <c r="FC1161" s="307"/>
      <c r="FD1161" s="166"/>
      <c r="FF1161" s="307"/>
      <c r="FH1161" s="306"/>
      <c r="FJ1161" s="307"/>
      <c r="FK1161" s="307"/>
      <c r="FL1161" s="306"/>
      <c r="FM1161" s="307"/>
      <c r="FN1161" s="306"/>
      <c r="FO1161" s="307"/>
      <c r="FP1161" s="306"/>
    </row>
    <row r="1162" spans="29:172">
      <c r="AC1162" s="156"/>
      <c r="CW1162" s="364"/>
      <c r="CX1162" s="316"/>
      <c r="CY1162" s="316"/>
      <c r="DA1162" s="309">
        <v>1161</v>
      </c>
      <c r="DB1162" s="313">
        <f t="shared" si="735"/>
        <v>622.56944198306087</v>
      </c>
      <c r="DC1162" s="309">
        <f t="shared" si="736"/>
        <v>4</v>
      </c>
      <c r="DD1162" s="309">
        <f t="shared" si="737"/>
        <v>0</v>
      </c>
      <c r="DE1162" s="308">
        <f t="shared" si="738"/>
        <v>0</v>
      </c>
      <c r="DF1162" s="313">
        <f t="shared" si="752"/>
        <v>600</v>
      </c>
      <c r="DG1162" s="313">
        <f t="shared" si="734"/>
        <v>0</v>
      </c>
      <c r="DH1162" s="313">
        <f t="shared" si="742"/>
        <v>0</v>
      </c>
      <c r="DI1162" s="313">
        <f t="shared" si="743"/>
        <v>0</v>
      </c>
      <c r="DJ1162" s="313">
        <f t="shared" si="744"/>
        <v>0</v>
      </c>
      <c r="DK1162" s="313">
        <f t="shared" si="753"/>
        <v>0</v>
      </c>
      <c r="DL1162" s="313">
        <f t="shared" si="745"/>
        <v>0</v>
      </c>
      <c r="DM1162" s="314">
        <f t="shared" si="746"/>
        <v>0</v>
      </c>
      <c r="DN1162" s="312">
        <f t="shared" si="747"/>
        <v>0</v>
      </c>
      <c r="DO1162" s="312">
        <f t="shared" si="754"/>
        <v>0</v>
      </c>
      <c r="DP1162" s="315" t="e">
        <f t="shared" si="739"/>
        <v>#NUM!</v>
      </c>
      <c r="DQ1162" s="316">
        <f t="shared" si="748"/>
        <v>0</v>
      </c>
      <c r="DR1162" s="316">
        <f t="shared" si="749"/>
        <v>0</v>
      </c>
      <c r="DS1162" s="314">
        <f t="shared" si="750"/>
        <v>0</v>
      </c>
      <c r="DT1162" s="316">
        <f t="shared" si="751"/>
        <v>0</v>
      </c>
      <c r="DU1162" s="314">
        <f t="shared" si="740"/>
        <v>0</v>
      </c>
      <c r="DV1162" s="316">
        <f t="shared" si="755"/>
        <v>0</v>
      </c>
      <c r="DW1162" s="310">
        <f t="shared" si="741"/>
        <v>0</v>
      </c>
      <c r="FC1162" s="307"/>
      <c r="FD1162" s="166"/>
      <c r="FF1162" s="307"/>
      <c r="FH1162" s="306"/>
      <c r="FJ1162" s="307"/>
      <c r="FK1162" s="307"/>
      <c r="FL1162" s="306"/>
      <c r="FM1162" s="307"/>
      <c r="FN1162" s="306"/>
      <c r="FO1162" s="307"/>
      <c r="FP1162" s="306"/>
    </row>
    <row r="1163" spans="29:172">
      <c r="AC1163" s="156"/>
      <c r="CW1163" s="364"/>
      <c r="CX1163" s="316"/>
      <c r="CY1163" s="316"/>
      <c r="DA1163" s="309">
        <v>1162</v>
      </c>
      <c r="DB1163" s="313">
        <f t="shared" si="735"/>
        <v>622.93341221732715</v>
      </c>
      <c r="DC1163" s="309">
        <f t="shared" si="736"/>
        <v>4</v>
      </c>
      <c r="DD1163" s="309">
        <f t="shared" si="737"/>
        <v>0</v>
      </c>
      <c r="DE1163" s="308">
        <f t="shared" si="738"/>
        <v>0</v>
      </c>
      <c r="DF1163" s="313">
        <f t="shared" si="752"/>
        <v>600</v>
      </c>
      <c r="DG1163" s="313">
        <f t="shared" si="734"/>
        <v>0</v>
      </c>
      <c r="DH1163" s="313">
        <f t="shared" si="742"/>
        <v>0</v>
      </c>
      <c r="DI1163" s="313">
        <f t="shared" si="743"/>
        <v>0</v>
      </c>
      <c r="DJ1163" s="313">
        <f t="shared" si="744"/>
        <v>0</v>
      </c>
      <c r="DK1163" s="313">
        <f t="shared" si="753"/>
        <v>0</v>
      </c>
      <c r="DL1163" s="313">
        <f t="shared" si="745"/>
        <v>0</v>
      </c>
      <c r="DM1163" s="314">
        <f t="shared" si="746"/>
        <v>0</v>
      </c>
      <c r="DN1163" s="312">
        <f t="shared" si="747"/>
        <v>0</v>
      </c>
      <c r="DO1163" s="312">
        <f t="shared" si="754"/>
        <v>0</v>
      </c>
      <c r="DP1163" s="315" t="e">
        <f t="shared" si="739"/>
        <v>#NUM!</v>
      </c>
      <c r="DQ1163" s="316">
        <f t="shared" si="748"/>
        <v>0</v>
      </c>
      <c r="DR1163" s="316">
        <f t="shared" si="749"/>
        <v>0</v>
      </c>
      <c r="DS1163" s="314">
        <f t="shared" si="750"/>
        <v>0</v>
      </c>
      <c r="DT1163" s="316">
        <f t="shared" si="751"/>
        <v>0</v>
      </c>
      <c r="DU1163" s="314">
        <f t="shared" si="740"/>
        <v>0</v>
      </c>
      <c r="DV1163" s="316">
        <f t="shared" si="755"/>
        <v>0</v>
      </c>
      <c r="DW1163" s="310">
        <f t="shared" si="741"/>
        <v>0</v>
      </c>
      <c r="FC1163" s="307"/>
      <c r="FD1163" s="166"/>
      <c r="FF1163" s="307"/>
      <c r="FH1163" s="306"/>
      <c r="FJ1163" s="307"/>
      <c r="FK1163" s="307"/>
      <c r="FL1163" s="306"/>
      <c r="FM1163" s="307"/>
      <c r="FN1163" s="306"/>
      <c r="FO1163" s="307"/>
      <c r="FP1163" s="306"/>
    </row>
    <row r="1164" spans="29:172">
      <c r="AC1164" s="156"/>
      <c r="CW1164" s="364"/>
      <c r="CX1164" s="316"/>
      <c r="CY1164" s="316"/>
      <c r="DA1164" s="309">
        <v>1163</v>
      </c>
      <c r="DB1164" s="313">
        <f t="shared" si="735"/>
        <v>623.29738245159331</v>
      </c>
      <c r="DC1164" s="309">
        <f t="shared" si="736"/>
        <v>4</v>
      </c>
      <c r="DD1164" s="309">
        <f t="shared" si="737"/>
        <v>0</v>
      </c>
      <c r="DE1164" s="308">
        <f t="shared" si="738"/>
        <v>0</v>
      </c>
      <c r="DF1164" s="313">
        <f t="shared" si="752"/>
        <v>600</v>
      </c>
      <c r="DG1164" s="313">
        <f t="shared" si="734"/>
        <v>0</v>
      </c>
      <c r="DH1164" s="313">
        <f t="shared" si="742"/>
        <v>0</v>
      </c>
      <c r="DI1164" s="313">
        <f t="shared" si="743"/>
        <v>0</v>
      </c>
      <c r="DJ1164" s="313">
        <f t="shared" si="744"/>
        <v>0</v>
      </c>
      <c r="DK1164" s="313">
        <f t="shared" si="753"/>
        <v>0</v>
      </c>
      <c r="DL1164" s="313">
        <f t="shared" si="745"/>
        <v>0</v>
      </c>
      <c r="DM1164" s="314">
        <f t="shared" si="746"/>
        <v>0</v>
      </c>
      <c r="DN1164" s="312">
        <f t="shared" si="747"/>
        <v>0</v>
      </c>
      <c r="DO1164" s="312">
        <f t="shared" si="754"/>
        <v>0</v>
      </c>
      <c r="DP1164" s="315" t="e">
        <f t="shared" si="739"/>
        <v>#NUM!</v>
      </c>
      <c r="DQ1164" s="316">
        <f t="shared" si="748"/>
        <v>0</v>
      </c>
      <c r="DR1164" s="316">
        <f t="shared" si="749"/>
        <v>0</v>
      </c>
      <c r="DS1164" s="314">
        <f t="shared" si="750"/>
        <v>0</v>
      </c>
      <c r="DT1164" s="316">
        <f t="shared" si="751"/>
        <v>0</v>
      </c>
      <c r="DU1164" s="314">
        <f t="shared" si="740"/>
        <v>0</v>
      </c>
      <c r="DV1164" s="316">
        <f t="shared" si="755"/>
        <v>0</v>
      </c>
      <c r="DW1164" s="310">
        <f t="shared" si="741"/>
        <v>0</v>
      </c>
      <c r="FC1164" s="307"/>
      <c r="FD1164" s="166"/>
      <c r="FF1164" s="307"/>
      <c r="FH1164" s="306"/>
      <c r="FJ1164" s="307"/>
      <c r="FK1164" s="307"/>
      <c r="FL1164" s="306"/>
      <c r="FM1164" s="307"/>
      <c r="FN1164" s="306"/>
      <c r="FO1164" s="307"/>
      <c r="FP1164" s="306"/>
    </row>
    <row r="1165" spans="29:172">
      <c r="AC1165" s="156"/>
      <c r="CW1165" s="364"/>
      <c r="CX1165" s="316"/>
      <c r="CY1165" s="316"/>
      <c r="DA1165" s="309">
        <v>1164</v>
      </c>
      <c r="DB1165" s="313">
        <f t="shared" si="735"/>
        <v>623.66135268585958</v>
      </c>
      <c r="DC1165" s="309">
        <f t="shared" si="736"/>
        <v>4</v>
      </c>
      <c r="DD1165" s="309">
        <f t="shared" si="737"/>
        <v>0</v>
      </c>
      <c r="DE1165" s="308">
        <f t="shared" si="738"/>
        <v>0</v>
      </c>
      <c r="DF1165" s="313">
        <f t="shared" si="752"/>
        <v>600</v>
      </c>
      <c r="DG1165" s="313">
        <f t="shared" si="734"/>
        <v>0</v>
      </c>
      <c r="DH1165" s="313">
        <f t="shared" si="742"/>
        <v>0</v>
      </c>
      <c r="DI1165" s="313">
        <f t="shared" si="743"/>
        <v>0</v>
      </c>
      <c r="DJ1165" s="313">
        <f t="shared" si="744"/>
        <v>0</v>
      </c>
      <c r="DK1165" s="313">
        <f t="shared" si="753"/>
        <v>0</v>
      </c>
      <c r="DL1165" s="313">
        <f t="shared" si="745"/>
        <v>0</v>
      </c>
      <c r="DM1165" s="314">
        <f t="shared" si="746"/>
        <v>0</v>
      </c>
      <c r="DN1165" s="312">
        <f t="shared" si="747"/>
        <v>0</v>
      </c>
      <c r="DO1165" s="312">
        <f t="shared" si="754"/>
        <v>0</v>
      </c>
      <c r="DP1165" s="315" t="e">
        <f t="shared" si="739"/>
        <v>#NUM!</v>
      </c>
      <c r="DQ1165" s="316">
        <f t="shared" si="748"/>
        <v>0</v>
      </c>
      <c r="DR1165" s="316">
        <f t="shared" si="749"/>
        <v>0</v>
      </c>
      <c r="DS1165" s="314">
        <f t="shared" si="750"/>
        <v>0</v>
      </c>
      <c r="DT1165" s="316">
        <f t="shared" si="751"/>
        <v>0</v>
      </c>
      <c r="DU1165" s="314">
        <f t="shared" si="740"/>
        <v>0</v>
      </c>
      <c r="DV1165" s="316">
        <f t="shared" si="755"/>
        <v>0</v>
      </c>
      <c r="DW1165" s="310">
        <f t="shared" si="741"/>
        <v>0</v>
      </c>
      <c r="FC1165" s="307"/>
      <c r="FD1165" s="166"/>
      <c r="FF1165" s="307"/>
      <c r="FH1165" s="306"/>
      <c r="FJ1165" s="307"/>
      <c r="FK1165" s="307"/>
      <c r="FL1165" s="306"/>
      <c r="FM1165" s="307"/>
      <c r="FN1165" s="306"/>
      <c r="FO1165" s="307"/>
      <c r="FP1165" s="306"/>
    </row>
    <row r="1166" spans="29:172">
      <c r="AC1166" s="156"/>
      <c r="CW1166" s="364"/>
      <c r="CX1166" s="316"/>
      <c r="CY1166" s="316"/>
      <c r="DA1166" s="309">
        <v>1165</v>
      </c>
      <c r="DB1166" s="313">
        <f t="shared" si="735"/>
        <v>624.02532292012575</v>
      </c>
      <c r="DC1166" s="309">
        <f t="shared" si="736"/>
        <v>4</v>
      </c>
      <c r="DD1166" s="309">
        <f t="shared" si="737"/>
        <v>0</v>
      </c>
      <c r="DE1166" s="308">
        <f t="shared" si="738"/>
        <v>0</v>
      </c>
      <c r="DF1166" s="313">
        <f t="shared" si="752"/>
        <v>600</v>
      </c>
      <c r="DG1166" s="313">
        <f t="shared" si="734"/>
        <v>0</v>
      </c>
      <c r="DH1166" s="313">
        <f t="shared" si="742"/>
        <v>0</v>
      </c>
      <c r="DI1166" s="313">
        <f t="shared" si="743"/>
        <v>0</v>
      </c>
      <c r="DJ1166" s="313">
        <f t="shared" si="744"/>
        <v>0</v>
      </c>
      <c r="DK1166" s="313">
        <f t="shared" si="753"/>
        <v>0</v>
      </c>
      <c r="DL1166" s="313">
        <f t="shared" si="745"/>
        <v>0</v>
      </c>
      <c r="DM1166" s="314">
        <f t="shared" si="746"/>
        <v>0</v>
      </c>
      <c r="DN1166" s="312">
        <f t="shared" si="747"/>
        <v>0</v>
      </c>
      <c r="DO1166" s="312">
        <f t="shared" si="754"/>
        <v>0</v>
      </c>
      <c r="DP1166" s="315" t="e">
        <f t="shared" si="739"/>
        <v>#NUM!</v>
      </c>
      <c r="DQ1166" s="316">
        <f t="shared" si="748"/>
        <v>0</v>
      </c>
      <c r="DR1166" s="316">
        <f t="shared" si="749"/>
        <v>0</v>
      </c>
      <c r="DS1166" s="314">
        <f t="shared" si="750"/>
        <v>0</v>
      </c>
      <c r="DT1166" s="316">
        <f t="shared" si="751"/>
        <v>0</v>
      </c>
      <c r="DU1166" s="314">
        <f t="shared" si="740"/>
        <v>0</v>
      </c>
      <c r="DV1166" s="316">
        <f t="shared" si="755"/>
        <v>0</v>
      </c>
      <c r="DW1166" s="310">
        <f t="shared" si="741"/>
        <v>0</v>
      </c>
      <c r="FC1166" s="307"/>
      <c r="FD1166" s="166"/>
      <c r="FF1166" s="307"/>
      <c r="FH1166" s="306"/>
      <c r="FJ1166" s="307"/>
      <c r="FK1166" s="307"/>
      <c r="FL1166" s="306"/>
      <c r="FM1166" s="307"/>
      <c r="FN1166" s="306"/>
      <c r="FO1166" s="307"/>
      <c r="FP1166" s="306"/>
    </row>
    <row r="1167" spans="29:172">
      <c r="AC1167" s="156"/>
      <c r="CW1167" s="364"/>
      <c r="CX1167" s="316"/>
      <c r="CY1167" s="316"/>
      <c r="DA1167" s="309">
        <v>1166</v>
      </c>
      <c r="DB1167" s="313">
        <f t="shared" si="735"/>
        <v>624.38929315439191</v>
      </c>
      <c r="DC1167" s="309">
        <f t="shared" si="736"/>
        <v>4</v>
      </c>
      <c r="DD1167" s="309">
        <f t="shared" si="737"/>
        <v>0</v>
      </c>
      <c r="DE1167" s="308">
        <f t="shared" si="738"/>
        <v>0</v>
      </c>
      <c r="DF1167" s="313">
        <f t="shared" si="752"/>
        <v>600</v>
      </c>
      <c r="DG1167" s="313">
        <f t="shared" si="734"/>
        <v>0</v>
      </c>
      <c r="DH1167" s="313">
        <f t="shared" si="742"/>
        <v>0</v>
      </c>
      <c r="DI1167" s="313">
        <f t="shared" si="743"/>
        <v>0</v>
      </c>
      <c r="DJ1167" s="313">
        <f t="shared" si="744"/>
        <v>0</v>
      </c>
      <c r="DK1167" s="313">
        <f t="shared" si="753"/>
        <v>0</v>
      </c>
      <c r="DL1167" s="313">
        <f t="shared" si="745"/>
        <v>0</v>
      </c>
      <c r="DM1167" s="314">
        <f t="shared" si="746"/>
        <v>0</v>
      </c>
      <c r="DN1167" s="312">
        <f t="shared" si="747"/>
        <v>0</v>
      </c>
      <c r="DO1167" s="312">
        <f t="shared" si="754"/>
        <v>0</v>
      </c>
      <c r="DP1167" s="315" t="e">
        <f t="shared" si="739"/>
        <v>#NUM!</v>
      </c>
      <c r="DQ1167" s="316">
        <f t="shared" si="748"/>
        <v>0</v>
      </c>
      <c r="DR1167" s="316">
        <f t="shared" si="749"/>
        <v>0</v>
      </c>
      <c r="DS1167" s="314">
        <f t="shared" si="750"/>
        <v>0</v>
      </c>
      <c r="DT1167" s="316">
        <f t="shared" si="751"/>
        <v>0</v>
      </c>
      <c r="DU1167" s="314">
        <f t="shared" si="740"/>
        <v>0</v>
      </c>
      <c r="DV1167" s="316">
        <f t="shared" si="755"/>
        <v>0</v>
      </c>
      <c r="DW1167" s="310">
        <f t="shared" si="741"/>
        <v>0</v>
      </c>
      <c r="FC1167" s="307"/>
      <c r="FD1167" s="166"/>
      <c r="FF1167" s="307"/>
      <c r="FH1167" s="306"/>
      <c r="FJ1167" s="307"/>
      <c r="FK1167" s="307"/>
      <c r="FL1167" s="306"/>
      <c r="FM1167" s="307"/>
      <c r="FN1167" s="306"/>
      <c r="FO1167" s="307"/>
      <c r="FP1167" s="306"/>
    </row>
    <row r="1168" spans="29:172">
      <c r="AC1168" s="156"/>
      <c r="CW1168" s="364"/>
      <c r="CX1168" s="316"/>
      <c r="CY1168" s="316"/>
      <c r="DA1168" s="309">
        <v>1167</v>
      </c>
      <c r="DB1168" s="313">
        <f t="shared" si="735"/>
        <v>624.75326338865807</v>
      </c>
      <c r="DC1168" s="309">
        <f t="shared" si="736"/>
        <v>4</v>
      </c>
      <c r="DD1168" s="309">
        <f t="shared" si="737"/>
        <v>0</v>
      </c>
      <c r="DE1168" s="308">
        <f t="shared" si="738"/>
        <v>0</v>
      </c>
      <c r="DF1168" s="313">
        <f t="shared" si="752"/>
        <v>600</v>
      </c>
      <c r="DG1168" s="313">
        <f t="shared" si="734"/>
        <v>0</v>
      </c>
      <c r="DH1168" s="313">
        <f t="shared" si="742"/>
        <v>0</v>
      </c>
      <c r="DI1168" s="313">
        <f t="shared" si="743"/>
        <v>0</v>
      </c>
      <c r="DJ1168" s="313">
        <f t="shared" si="744"/>
        <v>0</v>
      </c>
      <c r="DK1168" s="313">
        <f t="shared" si="753"/>
        <v>0</v>
      </c>
      <c r="DL1168" s="313">
        <f t="shared" si="745"/>
        <v>0</v>
      </c>
      <c r="DM1168" s="314">
        <f t="shared" si="746"/>
        <v>0</v>
      </c>
      <c r="DN1168" s="312">
        <f t="shared" si="747"/>
        <v>0</v>
      </c>
      <c r="DO1168" s="312">
        <f t="shared" si="754"/>
        <v>0</v>
      </c>
      <c r="DP1168" s="315" t="e">
        <f t="shared" si="739"/>
        <v>#NUM!</v>
      </c>
      <c r="DQ1168" s="316">
        <f t="shared" si="748"/>
        <v>0</v>
      </c>
      <c r="DR1168" s="316">
        <f t="shared" si="749"/>
        <v>0</v>
      </c>
      <c r="DS1168" s="314">
        <f t="shared" si="750"/>
        <v>0</v>
      </c>
      <c r="DT1168" s="316">
        <f t="shared" si="751"/>
        <v>0</v>
      </c>
      <c r="DU1168" s="314">
        <f t="shared" si="740"/>
        <v>0</v>
      </c>
      <c r="DV1168" s="316">
        <f t="shared" si="755"/>
        <v>0</v>
      </c>
      <c r="DW1168" s="310">
        <f t="shared" si="741"/>
        <v>0</v>
      </c>
      <c r="FC1168" s="307"/>
      <c r="FD1168" s="166"/>
      <c r="FF1168" s="307"/>
      <c r="FH1168" s="306"/>
      <c r="FJ1168" s="307"/>
      <c r="FK1168" s="307"/>
      <c r="FL1168" s="306"/>
      <c r="FM1168" s="307"/>
      <c r="FN1168" s="306"/>
      <c r="FO1168" s="307"/>
      <c r="FP1168" s="306"/>
    </row>
    <row r="1169" spans="29:172">
      <c r="AC1169" s="156"/>
      <c r="CW1169" s="364"/>
      <c r="CX1169" s="316"/>
      <c r="CY1169" s="316"/>
      <c r="DA1169" s="309">
        <v>1168</v>
      </c>
      <c r="DB1169" s="313">
        <f t="shared" si="735"/>
        <v>625.11723362292435</v>
      </c>
      <c r="DC1169" s="309">
        <f t="shared" si="736"/>
        <v>4</v>
      </c>
      <c r="DD1169" s="309">
        <f t="shared" si="737"/>
        <v>0</v>
      </c>
      <c r="DE1169" s="308">
        <f t="shared" si="738"/>
        <v>0</v>
      </c>
      <c r="DF1169" s="313">
        <f t="shared" si="752"/>
        <v>600</v>
      </c>
      <c r="DG1169" s="313">
        <f t="shared" si="734"/>
        <v>0</v>
      </c>
      <c r="DH1169" s="313">
        <f t="shared" si="742"/>
        <v>0</v>
      </c>
      <c r="DI1169" s="313">
        <f t="shared" si="743"/>
        <v>0</v>
      </c>
      <c r="DJ1169" s="313">
        <f t="shared" si="744"/>
        <v>0</v>
      </c>
      <c r="DK1169" s="313">
        <f t="shared" si="753"/>
        <v>0</v>
      </c>
      <c r="DL1169" s="313">
        <f t="shared" si="745"/>
        <v>0</v>
      </c>
      <c r="DM1169" s="314">
        <f t="shared" si="746"/>
        <v>0</v>
      </c>
      <c r="DN1169" s="312">
        <f t="shared" si="747"/>
        <v>0</v>
      </c>
      <c r="DO1169" s="312">
        <f t="shared" si="754"/>
        <v>0</v>
      </c>
      <c r="DP1169" s="315" t="e">
        <f t="shared" si="739"/>
        <v>#NUM!</v>
      </c>
      <c r="DQ1169" s="316">
        <f t="shared" si="748"/>
        <v>0</v>
      </c>
      <c r="DR1169" s="316">
        <f t="shared" si="749"/>
        <v>0</v>
      </c>
      <c r="DS1169" s="314">
        <f t="shared" si="750"/>
        <v>0</v>
      </c>
      <c r="DT1169" s="316">
        <f t="shared" si="751"/>
        <v>0</v>
      </c>
      <c r="DU1169" s="314">
        <f t="shared" si="740"/>
        <v>0</v>
      </c>
      <c r="DV1169" s="316">
        <f t="shared" si="755"/>
        <v>0</v>
      </c>
      <c r="DW1169" s="310">
        <f t="shared" si="741"/>
        <v>0</v>
      </c>
      <c r="FC1169" s="307"/>
      <c r="FD1169" s="166"/>
      <c r="FF1169" s="307"/>
      <c r="FH1169" s="306"/>
      <c r="FJ1169" s="307"/>
      <c r="FK1169" s="307"/>
      <c r="FL1169" s="306"/>
      <c r="FM1169" s="307"/>
      <c r="FN1169" s="306"/>
      <c r="FO1169" s="307"/>
      <c r="FP1169" s="306"/>
    </row>
    <row r="1170" spans="29:172">
      <c r="AC1170" s="156"/>
      <c r="CW1170" s="364"/>
      <c r="CX1170" s="316"/>
      <c r="CY1170" s="316"/>
      <c r="DA1170" s="309">
        <v>1169</v>
      </c>
      <c r="DB1170" s="313">
        <f t="shared" si="735"/>
        <v>625.48120385719062</v>
      </c>
      <c r="DC1170" s="309">
        <f t="shared" si="736"/>
        <v>4</v>
      </c>
      <c r="DD1170" s="309">
        <f t="shared" si="737"/>
        <v>0</v>
      </c>
      <c r="DE1170" s="308">
        <f t="shared" si="738"/>
        <v>0</v>
      </c>
      <c r="DF1170" s="313">
        <f t="shared" si="752"/>
        <v>600</v>
      </c>
      <c r="DG1170" s="313">
        <f t="shared" si="734"/>
        <v>0</v>
      </c>
      <c r="DH1170" s="313">
        <f t="shared" si="742"/>
        <v>0</v>
      </c>
      <c r="DI1170" s="313">
        <f t="shared" si="743"/>
        <v>0</v>
      </c>
      <c r="DJ1170" s="313">
        <f t="shared" si="744"/>
        <v>0</v>
      </c>
      <c r="DK1170" s="313">
        <f t="shared" si="753"/>
        <v>0</v>
      </c>
      <c r="DL1170" s="313">
        <f t="shared" si="745"/>
        <v>0</v>
      </c>
      <c r="DM1170" s="314">
        <f t="shared" si="746"/>
        <v>0</v>
      </c>
      <c r="DN1170" s="312">
        <f t="shared" si="747"/>
        <v>0</v>
      </c>
      <c r="DO1170" s="312">
        <f t="shared" si="754"/>
        <v>0</v>
      </c>
      <c r="DP1170" s="315" t="e">
        <f t="shared" si="739"/>
        <v>#NUM!</v>
      </c>
      <c r="DQ1170" s="316">
        <f t="shared" si="748"/>
        <v>0</v>
      </c>
      <c r="DR1170" s="316">
        <f t="shared" si="749"/>
        <v>0</v>
      </c>
      <c r="DS1170" s="314">
        <f t="shared" si="750"/>
        <v>0</v>
      </c>
      <c r="DT1170" s="316">
        <f t="shared" si="751"/>
        <v>0</v>
      </c>
      <c r="DU1170" s="314">
        <f t="shared" si="740"/>
        <v>0</v>
      </c>
      <c r="DV1170" s="316">
        <f t="shared" si="755"/>
        <v>0</v>
      </c>
      <c r="DW1170" s="310">
        <f t="shared" si="741"/>
        <v>0</v>
      </c>
      <c r="FC1170" s="307"/>
      <c r="FD1170" s="166"/>
      <c r="FF1170" s="307"/>
      <c r="FH1170" s="306"/>
      <c r="FJ1170" s="307"/>
      <c r="FK1170" s="307"/>
      <c r="FL1170" s="306"/>
      <c r="FM1170" s="307"/>
      <c r="FN1170" s="306"/>
      <c r="FO1170" s="307"/>
      <c r="FP1170" s="306"/>
    </row>
    <row r="1171" spans="29:172">
      <c r="AC1171" s="156"/>
      <c r="CW1171" s="364"/>
      <c r="CX1171" s="316"/>
      <c r="CY1171" s="316"/>
      <c r="DA1171" s="309">
        <v>1170</v>
      </c>
      <c r="DB1171" s="313">
        <f t="shared" si="735"/>
        <v>625.84517409145678</v>
      </c>
      <c r="DC1171" s="309">
        <f t="shared" si="736"/>
        <v>4</v>
      </c>
      <c r="DD1171" s="309">
        <f t="shared" si="737"/>
        <v>0</v>
      </c>
      <c r="DE1171" s="308">
        <f t="shared" si="738"/>
        <v>0</v>
      </c>
      <c r="DF1171" s="313">
        <f t="shared" si="752"/>
        <v>600</v>
      </c>
      <c r="DG1171" s="313">
        <f t="shared" si="734"/>
        <v>0</v>
      </c>
      <c r="DH1171" s="313">
        <f t="shared" si="742"/>
        <v>0</v>
      </c>
      <c r="DI1171" s="313">
        <f t="shared" si="743"/>
        <v>0</v>
      </c>
      <c r="DJ1171" s="313">
        <f t="shared" si="744"/>
        <v>0</v>
      </c>
      <c r="DK1171" s="313">
        <f t="shared" si="753"/>
        <v>0</v>
      </c>
      <c r="DL1171" s="313">
        <f t="shared" si="745"/>
        <v>0</v>
      </c>
      <c r="DM1171" s="314">
        <f t="shared" si="746"/>
        <v>0</v>
      </c>
      <c r="DN1171" s="312">
        <f t="shared" si="747"/>
        <v>0</v>
      </c>
      <c r="DO1171" s="312">
        <f t="shared" si="754"/>
        <v>0</v>
      </c>
      <c r="DP1171" s="315" t="e">
        <f t="shared" si="739"/>
        <v>#NUM!</v>
      </c>
      <c r="DQ1171" s="316">
        <f t="shared" si="748"/>
        <v>0</v>
      </c>
      <c r="DR1171" s="316">
        <f t="shared" si="749"/>
        <v>0</v>
      </c>
      <c r="DS1171" s="314">
        <f t="shared" si="750"/>
        <v>0</v>
      </c>
      <c r="DT1171" s="316">
        <f t="shared" si="751"/>
        <v>0</v>
      </c>
      <c r="DU1171" s="314">
        <f t="shared" si="740"/>
        <v>0</v>
      </c>
      <c r="DV1171" s="316">
        <f t="shared" si="755"/>
        <v>0</v>
      </c>
      <c r="DW1171" s="310">
        <f t="shared" si="741"/>
        <v>0</v>
      </c>
      <c r="FC1171" s="307"/>
      <c r="FD1171" s="166"/>
      <c r="FF1171" s="307"/>
      <c r="FH1171" s="306"/>
      <c r="FJ1171" s="307"/>
      <c r="FK1171" s="307"/>
      <c r="FL1171" s="306"/>
      <c r="FM1171" s="307"/>
      <c r="FN1171" s="306"/>
      <c r="FO1171" s="307"/>
      <c r="FP1171" s="306"/>
    </row>
    <row r="1172" spans="29:172">
      <c r="AC1172" s="156"/>
      <c r="CW1172" s="364"/>
      <c r="CX1172" s="316"/>
      <c r="CY1172" s="316"/>
      <c r="DA1172" s="309">
        <v>1171</v>
      </c>
      <c r="DB1172" s="313">
        <f t="shared" si="735"/>
        <v>626.20914432572295</v>
      </c>
      <c r="DC1172" s="309">
        <f t="shared" si="736"/>
        <v>4</v>
      </c>
      <c r="DD1172" s="309">
        <f t="shared" si="737"/>
        <v>0</v>
      </c>
      <c r="DE1172" s="308">
        <f t="shared" si="738"/>
        <v>0</v>
      </c>
      <c r="DF1172" s="313">
        <f t="shared" si="752"/>
        <v>600</v>
      </c>
      <c r="DG1172" s="313">
        <f t="shared" si="734"/>
        <v>0</v>
      </c>
      <c r="DH1172" s="313">
        <f t="shared" si="742"/>
        <v>0</v>
      </c>
      <c r="DI1172" s="313">
        <f t="shared" si="743"/>
        <v>0</v>
      </c>
      <c r="DJ1172" s="313">
        <f t="shared" si="744"/>
        <v>0</v>
      </c>
      <c r="DK1172" s="313">
        <f t="shared" si="753"/>
        <v>0</v>
      </c>
      <c r="DL1172" s="313">
        <f t="shared" si="745"/>
        <v>0</v>
      </c>
      <c r="DM1172" s="314">
        <f t="shared" si="746"/>
        <v>0</v>
      </c>
      <c r="DN1172" s="312">
        <f t="shared" si="747"/>
        <v>0</v>
      </c>
      <c r="DO1172" s="312">
        <f t="shared" si="754"/>
        <v>0</v>
      </c>
      <c r="DP1172" s="315" t="e">
        <f t="shared" si="739"/>
        <v>#NUM!</v>
      </c>
      <c r="DQ1172" s="316">
        <f t="shared" si="748"/>
        <v>0</v>
      </c>
      <c r="DR1172" s="316">
        <f t="shared" si="749"/>
        <v>0</v>
      </c>
      <c r="DS1172" s="314">
        <f t="shared" si="750"/>
        <v>0</v>
      </c>
      <c r="DT1172" s="316">
        <f t="shared" si="751"/>
        <v>0</v>
      </c>
      <c r="DU1172" s="314">
        <f t="shared" si="740"/>
        <v>0</v>
      </c>
      <c r="DV1172" s="316">
        <f t="shared" si="755"/>
        <v>0</v>
      </c>
      <c r="DW1172" s="310">
        <f t="shared" si="741"/>
        <v>0</v>
      </c>
      <c r="FC1172" s="307"/>
      <c r="FD1172" s="166"/>
      <c r="FF1172" s="307"/>
      <c r="FH1172" s="306"/>
      <c r="FJ1172" s="307"/>
      <c r="FK1172" s="307"/>
      <c r="FL1172" s="306"/>
      <c r="FM1172" s="307"/>
      <c r="FN1172" s="306"/>
      <c r="FO1172" s="307"/>
      <c r="FP1172" s="306"/>
    </row>
    <row r="1173" spans="29:172">
      <c r="AC1173" s="156"/>
      <c r="CW1173" s="364"/>
      <c r="CX1173" s="316"/>
      <c r="CY1173" s="316"/>
      <c r="DA1173" s="309">
        <v>1172</v>
      </c>
      <c r="DB1173" s="313">
        <f t="shared" si="735"/>
        <v>626.57311455998911</v>
      </c>
      <c r="DC1173" s="309">
        <f t="shared" si="736"/>
        <v>4</v>
      </c>
      <c r="DD1173" s="309">
        <f t="shared" si="737"/>
        <v>0</v>
      </c>
      <c r="DE1173" s="308">
        <f t="shared" si="738"/>
        <v>0</v>
      </c>
      <c r="DF1173" s="313">
        <f t="shared" si="752"/>
        <v>600</v>
      </c>
      <c r="DG1173" s="313">
        <f t="shared" si="734"/>
        <v>0</v>
      </c>
      <c r="DH1173" s="313">
        <f t="shared" si="742"/>
        <v>0</v>
      </c>
      <c r="DI1173" s="313">
        <f t="shared" si="743"/>
        <v>0</v>
      </c>
      <c r="DJ1173" s="313">
        <f t="shared" si="744"/>
        <v>0</v>
      </c>
      <c r="DK1173" s="313">
        <f t="shared" si="753"/>
        <v>0</v>
      </c>
      <c r="DL1173" s="313">
        <f t="shared" si="745"/>
        <v>0</v>
      </c>
      <c r="DM1173" s="314">
        <f t="shared" si="746"/>
        <v>0</v>
      </c>
      <c r="DN1173" s="312">
        <f t="shared" si="747"/>
        <v>0</v>
      </c>
      <c r="DO1173" s="312">
        <f t="shared" si="754"/>
        <v>0</v>
      </c>
      <c r="DP1173" s="315" t="e">
        <f t="shared" si="739"/>
        <v>#NUM!</v>
      </c>
      <c r="DQ1173" s="316">
        <f t="shared" si="748"/>
        <v>0</v>
      </c>
      <c r="DR1173" s="316">
        <f t="shared" si="749"/>
        <v>0</v>
      </c>
      <c r="DS1173" s="314">
        <f t="shared" si="750"/>
        <v>0</v>
      </c>
      <c r="DT1173" s="316">
        <f t="shared" si="751"/>
        <v>0</v>
      </c>
      <c r="DU1173" s="314">
        <f t="shared" si="740"/>
        <v>0</v>
      </c>
      <c r="DV1173" s="316">
        <f t="shared" si="755"/>
        <v>0</v>
      </c>
      <c r="DW1173" s="310">
        <f t="shared" si="741"/>
        <v>0</v>
      </c>
      <c r="FC1173" s="307"/>
      <c r="FD1173" s="166"/>
      <c r="FF1173" s="307"/>
      <c r="FH1173" s="306"/>
      <c r="FJ1173" s="307"/>
      <c r="FK1173" s="307"/>
      <c r="FL1173" s="306"/>
      <c r="FM1173" s="307"/>
      <c r="FN1173" s="306"/>
      <c r="FO1173" s="307"/>
      <c r="FP1173" s="306"/>
    </row>
    <row r="1174" spans="29:172">
      <c r="AC1174" s="156"/>
      <c r="CW1174" s="364"/>
      <c r="CX1174" s="316"/>
      <c r="CY1174" s="316"/>
      <c r="DA1174" s="309">
        <v>1173</v>
      </c>
      <c r="DB1174" s="313">
        <f t="shared" si="735"/>
        <v>626.93708479425527</v>
      </c>
      <c r="DC1174" s="309">
        <f t="shared" si="736"/>
        <v>4</v>
      </c>
      <c r="DD1174" s="309">
        <f t="shared" si="737"/>
        <v>0</v>
      </c>
      <c r="DE1174" s="308">
        <f t="shared" si="738"/>
        <v>0</v>
      </c>
      <c r="DF1174" s="313">
        <f t="shared" si="752"/>
        <v>600</v>
      </c>
      <c r="DG1174" s="313">
        <f t="shared" si="734"/>
        <v>0</v>
      </c>
      <c r="DH1174" s="313">
        <f t="shared" si="742"/>
        <v>0</v>
      </c>
      <c r="DI1174" s="313">
        <f t="shared" si="743"/>
        <v>0</v>
      </c>
      <c r="DJ1174" s="313">
        <f t="shared" si="744"/>
        <v>0</v>
      </c>
      <c r="DK1174" s="313">
        <f t="shared" si="753"/>
        <v>0</v>
      </c>
      <c r="DL1174" s="313">
        <f t="shared" si="745"/>
        <v>0</v>
      </c>
      <c r="DM1174" s="314">
        <f t="shared" si="746"/>
        <v>0</v>
      </c>
      <c r="DN1174" s="312">
        <f t="shared" si="747"/>
        <v>0</v>
      </c>
      <c r="DO1174" s="312">
        <f t="shared" si="754"/>
        <v>0</v>
      </c>
      <c r="DP1174" s="315" t="e">
        <f t="shared" si="739"/>
        <v>#NUM!</v>
      </c>
      <c r="DQ1174" s="316">
        <f t="shared" si="748"/>
        <v>0</v>
      </c>
      <c r="DR1174" s="316">
        <f t="shared" si="749"/>
        <v>0</v>
      </c>
      <c r="DS1174" s="314">
        <f t="shared" si="750"/>
        <v>0</v>
      </c>
      <c r="DT1174" s="316">
        <f t="shared" si="751"/>
        <v>0</v>
      </c>
      <c r="DU1174" s="314">
        <f t="shared" si="740"/>
        <v>0</v>
      </c>
      <c r="DV1174" s="316">
        <f t="shared" si="755"/>
        <v>0</v>
      </c>
      <c r="DW1174" s="310">
        <f t="shared" si="741"/>
        <v>0</v>
      </c>
      <c r="FC1174" s="307"/>
      <c r="FD1174" s="166"/>
      <c r="FF1174" s="307"/>
      <c r="FH1174" s="306"/>
      <c r="FJ1174" s="307"/>
      <c r="FK1174" s="307"/>
      <c r="FL1174" s="306"/>
      <c r="FM1174" s="307"/>
      <c r="FN1174" s="306"/>
      <c r="FO1174" s="307"/>
      <c r="FP1174" s="306"/>
    </row>
    <row r="1175" spans="29:172">
      <c r="AC1175" s="156"/>
      <c r="CW1175" s="364"/>
      <c r="CX1175" s="316"/>
      <c r="CY1175" s="316"/>
      <c r="DA1175" s="309">
        <v>1174</v>
      </c>
      <c r="DB1175" s="313">
        <f t="shared" si="735"/>
        <v>627.30105502852155</v>
      </c>
      <c r="DC1175" s="309">
        <f t="shared" si="736"/>
        <v>4</v>
      </c>
      <c r="DD1175" s="309">
        <f t="shared" si="737"/>
        <v>0</v>
      </c>
      <c r="DE1175" s="308">
        <f t="shared" si="738"/>
        <v>0</v>
      </c>
      <c r="DF1175" s="313">
        <f t="shared" si="752"/>
        <v>600</v>
      </c>
      <c r="DG1175" s="313">
        <f t="shared" si="734"/>
        <v>0</v>
      </c>
      <c r="DH1175" s="313">
        <f t="shared" si="742"/>
        <v>0</v>
      </c>
      <c r="DI1175" s="313">
        <f t="shared" si="743"/>
        <v>0</v>
      </c>
      <c r="DJ1175" s="313">
        <f t="shared" si="744"/>
        <v>0</v>
      </c>
      <c r="DK1175" s="313">
        <f t="shared" si="753"/>
        <v>0</v>
      </c>
      <c r="DL1175" s="313">
        <f t="shared" si="745"/>
        <v>0</v>
      </c>
      <c r="DM1175" s="314">
        <f t="shared" si="746"/>
        <v>0</v>
      </c>
      <c r="DN1175" s="312">
        <f t="shared" si="747"/>
        <v>0</v>
      </c>
      <c r="DO1175" s="312">
        <f t="shared" si="754"/>
        <v>0</v>
      </c>
      <c r="DP1175" s="315" t="e">
        <f t="shared" si="739"/>
        <v>#NUM!</v>
      </c>
      <c r="DQ1175" s="316">
        <f t="shared" si="748"/>
        <v>0</v>
      </c>
      <c r="DR1175" s="316">
        <f t="shared" si="749"/>
        <v>0</v>
      </c>
      <c r="DS1175" s="314">
        <f t="shared" si="750"/>
        <v>0</v>
      </c>
      <c r="DT1175" s="316">
        <f t="shared" si="751"/>
        <v>0</v>
      </c>
      <c r="DU1175" s="314">
        <f t="shared" si="740"/>
        <v>0</v>
      </c>
      <c r="DV1175" s="316">
        <f t="shared" si="755"/>
        <v>0</v>
      </c>
      <c r="DW1175" s="310">
        <f t="shared" si="741"/>
        <v>0</v>
      </c>
      <c r="FC1175" s="307"/>
      <c r="FD1175" s="166"/>
      <c r="FF1175" s="307"/>
      <c r="FH1175" s="306"/>
      <c r="FJ1175" s="307"/>
      <c r="FK1175" s="307"/>
      <c r="FL1175" s="306"/>
      <c r="FM1175" s="307"/>
      <c r="FN1175" s="306"/>
      <c r="FO1175" s="307"/>
      <c r="FP1175" s="306"/>
    </row>
    <row r="1176" spans="29:172">
      <c r="AC1176" s="156"/>
      <c r="CW1176" s="364"/>
      <c r="CX1176" s="316"/>
      <c r="CY1176" s="316"/>
      <c r="DA1176" s="309">
        <v>1175</v>
      </c>
      <c r="DB1176" s="313">
        <f t="shared" si="735"/>
        <v>627.66502526278782</v>
      </c>
      <c r="DC1176" s="309">
        <f t="shared" si="736"/>
        <v>4</v>
      </c>
      <c r="DD1176" s="309">
        <f t="shared" si="737"/>
        <v>0</v>
      </c>
      <c r="DE1176" s="308">
        <f t="shared" si="738"/>
        <v>0</v>
      </c>
      <c r="DF1176" s="313">
        <f t="shared" si="752"/>
        <v>600</v>
      </c>
      <c r="DG1176" s="313">
        <f t="shared" si="734"/>
        <v>0</v>
      </c>
      <c r="DH1176" s="313">
        <f t="shared" si="742"/>
        <v>0</v>
      </c>
      <c r="DI1176" s="313">
        <f t="shared" si="743"/>
        <v>0</v>
      </c>
      <c r="DJ1176" s="313">
        <f t="shared" si="744"/>
        <v>0</v>
      </c>
      <c r="DK1176" s="313">
        <f t="shared" si="753"/>
        <v>0</v>
      </c>
      <c r="DL1176" s="313">
        <f t="shared" si="745"/>
        <v>0</v>
      </c>
      <c r="DM1176" s="314">
        <f t="shared" si="746"/>
        <v>0</v>
      </c>
      <c r="DN1176" s="312">
        <f t="shared" si="747"/>
        <v>0</v>
      </c>
      <c r="DO1176" s="312">
        <f t="shared" si="754"/>
        <v>0</v>
      </c>
      <c r="DP1176" s="315" t="e">
        <f t="shared" si="739"/>
        <v>#NUM!</v>
      </c>
      <c r="DQ1176" s="316">
        <f t="shared" si="748"/>
        <v>0</v>
      </c>
      <c r="DR1176" s="316">
        <f t="shared" si="749"/>
        <v>0</v>
      </c>
      <c r="DS1176" s="314">
        <f t="shared" si="750"/>
        <v>0</v>
      </c>
      <c r="DT1176" s="316">
        <f t="shared" si="751"/>
        <v>0</v>
      </c>
      <c r="DU1176" s="314">
        <f t="shared" si="740"/>
        <v>0</v>
      </c>
      <c r="DV1176" s="316">
        <f t="shared" si="755"/>
        <v>0</v>
      </c>
      <c r="DW1176" s="310">
        <f t="shared" si="741"/>
        <v>0</v>
      </c>
      <c r="FC1176" s="307"/>
      <c r="FD1176" s="166"/>
      <c r="FF1176" s="307"/>
      <c r="FH1176" s="306"/>
      <c r="FJ1176" s="307"/>
      <c r="FK1176" s="307"/>
      <c r="FL1176" s="306"/>
      <c r="FM1176" s="307"/>
      <c r="FN1176" s="306"/>
      <c r="FO1176" s="307"/>
      <c r="FP1176" s="306"/>
    </row>
    <row r="1177" spans="29:172">
      <c r="AC1177" s="156"/>
      <c r="CW1177" s="364"/>
      <c r="CX1177" s="316"/>
      <c r="CY1177" s="316"/>
      <c r="DA1177" s="309">
        <v>1176</v>
      </c>
      <c r="DB1177" s="313">
        <f t="shared" si="735"/>
        <v>628.02899549705398</v>
      </c>
      <c r="DC1177" s="309">
        <f t="shared" si="736"/>
        <v>4</v>
      </c>
      <c r="DD1177" s="309">
        <f t="shared" si="737"/>
        <v>0</v>
      </c>
      <c r="DE1177" s="308">
        <f t="shared" si="738"/>
        <v>0</v>
      </c>
      <c r="DF1177" s="313">
        <f t="shared" si="752"/>
        <v>600</v>
      </c>
      <c r="DG1177" s="313">
        <f t="shared" si="734"/>
        <v>0</v>
      </c>
      <c r="DH1177" s="313">
        <f t="shared" si="742"/>
        <v>0</v>
      </c>
      <c r="DI1177" s="313">
        <f t="shared" si="743"/>
        <v>0</v>
      </c>
      <c r="DJ1177" s="313">
        <f t="shared" si="744"/>
        <v>0</v>
      </c>
      <c r="DK1177" s="313">
        <f t="shared" si="753"/>
        <v>0</v>
      </c>
      <c r="DL1177" s="313">
        <f t="shared" si="745"/>
        <v>0</v>
      </c>
      <c r="DM1177" s="314">
        <f t="shared" si="746"/>
        <v>0</v>
      </c>
      <c r="DN1177" s="312">
        <f t="shared" si="747"/>
        <v>0</v>
      </c>
      <c r="DO1177" s="312">
        <f t="shared" si="754"/>
        <v>0</v>
      </c>
      <c r="DP1177" s="315" t="e">
        <f t="shared" si="739"/>
        <v>#NUM!</v>
      </c>
      <c r="DQ1177" s="316">
        <f t="shared" si="748"/>
        <v>0</v>
      </c>
      <c r="DR1177" s="316">
        <f t="shared" si="749"/>
        <v>0</v>
      </c>
      <c r="DS1177" s="314">
        <f t="shared" si="750"/>
        <v>0</v>
      </c>
      <c r="DT1177" s="316">
        <f t="shared" si="751"/>
        <v>0</v>
      </c>
      <c r="DU1177" s="314">
        <f t="shared" si="740"/>
        <v>0</v>
      </c>
      <c r="DV1177" s="316">
        <f t="shared" si="755"/>
        <v>0</v>
      </c>
      <c r="DW1177" s="310">
        <f t="shared" si="741"/>
        <v>0</v>
      </c>
      <c r="FC1177" s="307"/>
      <c r="FD1177" s="166"/>
      <c r="FF1177" s="307"/>
      <c r="FH1177" s="306"/>
      <c r="FJ1177" s="307"/>
      <c r="FK1177" s="307"/>
      <c r="FL1177" s="306"/>
      <c r="FM1177" s="307"/>
      <c r="FN1177" s="306"/>
      <c r="FO1177" s="307"/>
      <c r="FP1177" s="306"/>
    </row>
    <row r="1178" spans="29:172">
      <c r="AC1178" s="156"/>
      <c r="CW1178" s="364"/>
      <c r="CX1178" s="316"/>
      <c r="CY1178" s="316"/>
      <c r="DA1178" s="309">
        <v>1177</v>
      </c>
      <c r="DB1178" s="313">
        <f t="shared" si="735"/>
        <v>628.39296573132015</v>
      </c>
      <c r="DC1178" s="309">
        <f t="shared" si="736"/>
        <v>4</v>
      </c>
      <c r="DD1178" s="309">
        <f t="shared" si="737"/>
        <v>0</v>
      </c>
      <c r="DE1178" s="308">
        <f t="shared" si="738"/>
        <v>0</v>
      </c>
      <c r="DF1178" s="313">
        <f t="shared" si="752"/>
        <v>600</v>
      </c>
      <c r="DG1178" s="313">
        <f t="shared" si="734"/>
        <v>0</v>
      </c>
      <c r="DH1178" s="313">
        <f t="shared" si="742"/>
        <v>0</v>
      </c>
      <c r="DI1178" s="313">
        <f t="shared" si="743"/>
        <v>0</v>
      </c>
      <c r="DJ1178" s="313">
        <f t="shared" si="744"/>
        <v>0</v>
      </c>
      <c r="DK1178" s="313">
        <f t="shared" si="753"/>
        <v>0</v>
      </c>
      <c r="DL1178" s="313">
        <f t="shared" si="745"/>
        <v>0</v>
      </c>
      <c r="DM1178" s="314">
        <f t="shared" si="746"/>
        <v>0</v>
      </c>
      <c r="DN1178" s="312">
        <f t="shared" si="747"/>
        <v>0</v>
      </c>
      <c r="DO1178" s="312">
        <f t="shared" si="754"/>
        <v>0</v>
      </c>
      <c r="DP1178" s="315" t="e">
        <f t="shared" si="739"/>
        <v>#NUM!</v>
      </c>
      <c r="DQ1178" s="316">
        <f t="shared" si="748"/>
        <v>0</v>
      </c>
      <c r="DR1178" s="316">
        <f t="shared" si="749"/>
        <v>0</v>
      </c>
      <c r="DS1178" s="314">
        <f t="shared" si="750"/>
        <v>0</v>
      </c>
      <c r="DT1178" s="316">
        <f t="shared" si="751"/>
        <v>0</v>
      </c>
      <c r="DU1178" s="314">
        <f t="shared" si="740"/>
        <v>0</v>
      </c>
      <c r="DV1178" s="316">
        <f t="shared" si="755"/>
        <v>0</v>
      </c>
      <c r="DW1178" s="310">
        <f t="shared" si="741"/>
        <v>0</v>
      </c>
      <c r="FC1178" s="307"/>
      <c r="FD1178" s="166"/>
      <c r="FF1178" s="307"/>
      <c r="FH1178" s="306"/>
      <c r="FJ1178" s="307"/>
      <c r="FK1178" s="307"/>
      <c r="FL1178" s="306"/>
      <c r="FM1178" s="307"/>
      <c r="FN1178" s="306"/>
      <c r="FO1178" s="307"/>
      <c r="FP1178" s="306"/>
    </row>
    <row r="1179" spans="29:172">
      <c r="AC1179" s="156"/>
      <c r="CW1179" s="364"/>
      <c r="CX1179" s="316"/>
      <c r="CY1179" s="316"/>
      <c r="DA1179" s="309">
        <v>1178</v>
      </c>
      <c r="DB1179" s="313">
        <f t="shared" si="735"/>
        <v>628.75693596558631</v>
      </c>
      <c r="DC1179" s="309">
        <f t="shared" si="736"/>
        <v>4</v>
      </c>
      <c r="DD1179" s="309">
        <f t="shared" si="737"/>
        <v>0</v>
      </c>
      <c r="DE1179" s="308">
        <f t="shared" si="738"/>
        <v>0</v>
      </c>
      <c r="DF1179" s="313">
        <f t="shared" si="752"/>
        <v>600</v>
      </c>
      <c r="DG1179" s="313">
        <f t="shared" si="734"/>
        <v>0</v>
      </c>
      <c r="DH1179" s="313">
        <f t="shared" si="742"/>
        <v>0</v>
      </c>
      <c r="DI1179" s="313">
        <f t="shared" si="743"/>
        <v>0</v>
      </c>
      <c r="DJ1179" s="313">
        <f t="shared" si="744"/>
        <v>0</v>
      </c>
      <c r="DK1179" s="313">
        <f t="shared" si="753"/>
        <v>0</v>
      </c>
      <c r="DL1179" s="313">
        <f t="shared" si="745"/>
        <v>0</v>
      </c>
      <c r="DM1179" s="314">
        <f t="shared" si="746"/>
        <v>0</v>
      </c>
      <c r="DN1179" s="312">
        <f t="shared" si="747"/>
        <v>0</v>
      </c>
      <c r="DO1179" s="312">
        <f t="shared" si="754"/>
        <v>0</v>
      </c>
      <c r="DP1179" s="315" t="e">
        <f t="shared" si="739"/>
        <v>#NUM!</v>
      </c>
      <c r="DQ1179" s="316">
        <f t="shared" si="748"/>
        <v>0</v>
      </c>
      <c r="DR1179" s="316">
        <f t="shared" si="749"/>
        <v>0</v>
      </c>
      <c r="DS1179" s="314">
        <f t="shared" si="750"/>
        <v>0</v>
      </c>
      <c r="DT1179" s="316">
        <f t="shared" si="751"/>
        <v>0</v>
      </c>
      <c r="DU1179" s="314">
        <f t="shared" si="740"/>
        <v>0</v>
      </c>
      <c r="DV1179" s="316">
        <f t="shared" si="755"/>
        <v>0</v>
      </c>
      <c r="DW1179" s="310">
        <f t="shared" si="741"/>
        <v>0</v>
      </c>
      <c r="FC1179" s="307"/>
      <c r="FD1179" s="166"/>
      <c r="FF1179" s="307"/>
      <c r="FH1179" s="306"/>
      <c r="FJ1179" s="307"/>
      <c r="FK1179" s="307"/>
      <c r="FL1179" s="306"/>
      <c r="FM1179" s="307"/>
      <c r="FN1179" s="306"/>
      <c r="FO1179" s="307"/>
      <c r="FP1179" s="306"/>
    </row>
    <row r="1180" spans="29:172">
      <c r="AC1180" s="156"/>
      <c r="CW1180" s="364"/>
      <c r="CX1180" s="316"/>
      <c r="CY1180" s="316"/>
      <c r="DA1180" s="309">
        <v>1179</v>
      </c>
      <c r="DB1180" s="313">
        <f t="shared" si="735"/>
        <v>629.12090619985258</v>
      </c>
      <c r="DC1180" s="309">
        <f t="shared" si="736"/>
        <v>4</v>
      </c>
      <c r="DD1180" s="309">
        <f t="shared" si="737"/>
        <v>0</v>
      </c>
      <c r="DE1180" s="308">
        <f t="shared" si="738"/>
        <v>0</v>
      </c>
      <c r="DF1180" s="313">
        <f t="shared" si="752"/>
        <v>600</v>
      </c>
      <c r="DG1180" s="313">
        <f t="shared" si="734"/>
        <v>0</v>
      </c>
      <c r="DH1180" s="313">
        <f t="shared" si="742"/>
        <v>0</v>
      </c>
      <c r="DI1180" s="313">
        <f t="shared" si="743"/>
        <v>0</v>
      </c>
      <c r="DJ1180" s="313">
        <f t="shared" si="744"/>
        <v>0</v>
      </c>
      <c r="DK1180" s="313">
        <f t="shared" si="753"/>
        <v>0</v>
      </c>
      <c r="DL1180" s="313">
        <f t="shared" si="745"/>
        <v>0</v>
      </c>
      <c r="DM1180" s="314">
        <f t="shared" si="746"/>
        <v>0</v>
      </c>
      <c r="DN1180" s="312">
        <f t="shared" si="747"/>
        <v>0</v>
      </c>
      <c r="DO1180" s="312">
        <f t="shared" si="754"/>
        <v>0</v>
      </c>
      <c r="DP1180" s="315" t="e">
        <f t="shared" si="739"/>
        <v>#NUM!</v>
      </c>
      <c r="DQ1180" s="316">
        <f t="shared" si="748"/>
        <v>0</v>
      </c>
      <c r="DR1180" s="316">
        <f t="shared" si="749"/>
        <v>0</v>
      </c>
      <c r="DS1180" s="314">
        <f t="shared" si="750"/>
        <v>0</v>
      </c>
      <c r="DT1180" s="316">
        <f t="shared" si="751"/>
        <v>0</v>
      </c>
      <c r="DU1180" s="314">
        <f t="shared" si="740"/>
        <v>0</v>
      </c>
      <c r="DV1180" s="316">
        <f t="shared" si="755"/>
        <v>0</v>
      </c>
      <c r="DW1180" s="310">
        <f t="shared" si="741"/>
        <v>0</v>
      </c>
      <c r="FC1180" s="307"/>
      <c r="FD1180" s="166"/>
      <c r="FF1180" s="307"/>
      <c r="FH1180" s="306"/>
      <c r="FJ1180" s="307"/>
      <c r="FK1180" s="307"/>
      <c r="FL1180" s="306"/>
      <c r="FM1180" s="307"/>
      <c r="FN1180" s="306"/>
      <c r="FO1180" s="307"/>
      <c r="FP1180" s="306"/>
    </row>
    <row r="1181" spans="29:172">
      <c r="AC1181" s="156"/>
      <c r="CW1181" s="364"/>
      <c r="CX1181" s="316"/>
      <c r="CY1181" s="316"/>
      <c r="DA1181" s="309">
        <v>1180</v>
      </c>
      <c r="DB1181" s="313">
        <f t="shared" si="735"/>
        <v>629.48487643411875</v>
      </c>
      <c r="DC1181" s="309">
        <f t="shared" si="736"/>
        <v>4</v>
      </c>
      <c r="DD1181" s="309">
        <f t="shared" si="737"/>
        <v>0</v>
      </c>
      <c r="DE1181" s="308">
        <f t="shared" si="738"/>
        <v>0</v>
      </c>
      <c r="DF1181" s="313">
        <f t="shared" si="752"/>
        <v>600</v>
      </c>
      <c r="DG1181" s="313">
        <f t="shared" si="734"/>
        <v>0</v>
      </c>
      <c r="DH1181" s="313">
        <f t="shared" si="742"/>
        <v>0</v>
      </c>
      <c r="DI1181" s="313">
        <f t="shared" si="743"/>
        <v>0</v>
      </c>
      <c r="DJ1181" s="313">
        <f t="shared" si="744"/>
        <v>0</v>
      </c>
      <c r="DK1181" s="313">
        <f t="shared" si="753"/>
        <v>0</v>
      </c>
      <c r="DL1181" s="313">
        <f t="shared" si="745"/>
        <v>0</v>
      </c>
      <c r="DM1181" s="314">
        <f t="shared" si="746"/>
        <v>0</v>
      </c>
      <c r="DN1181" s="312">
        <f t="shared" si="747"/>
        <v>0</v>
      </c>
      <c r="DO1181" s="312">
        <f t="shared" si="754"/>
        <v>0</v>
      </c>
      <c r="DP1181" s="315" t="e">
        <f t="shared" si="739"/>
        <v>#NUM!</v>
      </c>
      <c r="DQ1181" s="316">
        <f t="shared" si="748"/>
        <v>0</v>
      </c>
      <c r="DR1181" s="316">
        <f t="shared" si="749"/>
        <v>0</v>
      </c>
      <c r="DS1181" s="314">
        <f t="shared" si="750"/>
        <v>0</v>
      </c>
      <c r="DT1181" s="316">
        <f t="shared" si="751"/>
        <v>0</v>
      </c>
      <c r="DU1181" s="314">
        <f t="shared" si="740"/>
        <v>0</v>
      </c>
      <c r="DV1181" s="316">
        <f t="shared" si="755"/>
        <v>0</v>
      </c>
      <c r="DW1181" s="310">
        <f t="shared" si="741"/>
        <v>0</v>
      </c>
      <c r="FC1181" s="307"/>
      <c r="FD1181" s="166"/>
      <c r="FF1181" s="307"/>
      <c r="FH1181" s="306"/>
      <c r="FJ1181" s="307"/>
      <c r="FK1181" s="307"/>
      <c r="FL1181" s="306"/>
      <c r="FM1181" s="307"/>
      <c r="FN1181" s="306"/>
      <c r="FO1181" s="307"/>
      <c r="FP1181" s="306"/>
    </row>
    <row r="1182" spans="29:172">
      <c r="AC1182" s="156"/>
      <c r="CW1182" s="364"/>
      <c r="CX1182" s="316"/>
      <c r="CY1182" s="316"/>
      <c r="DA1182" s="309">
        <v>1181</v>
      </c>
      <c r="DB1182" s="313">
        <f t="shared" si="735"/>
        <v>629.84884666838502</v>
      </c>
      <c r="DC1182" s="309">
        <f t="shared" si="736"/>
        <v>4</v>
      </c>
      <c r="DD1182" s="309">
        <f t="shared" si="737"/>
        <v>0</v>
      </c>
      <c r="DE1182" s="308">
        <f t="shared" si="738"/>
        <v>0</v>
      </c>
      <c r="DF1182" s="313">
        <f t="shared" si="752"/>
        <v>600</v>
      </c>
      <c r="DG1182" s="313">
        <f t="shared" si="734"/>
        <v>0</v>
      </c>
      <c r="DH1182" s="313">
        <f t="shared" si="742"/>
        <v>0</v>
      </c>
      <c r="DI1182" s="313">
        <f t="shared" si="743"/>
        <v>0</v>
      </c>
      <c r="DJ1182" s="313">
        <f t="shared" si="744"/>
        <v>0</v>
      </c>
      <c r="DK1182" s="313">
        <f t="shared" si="753"/>
        <v>0</v>
      </c>
      <c r="DL1182" s="313">
        <f t="shared" si="745"/>
        <v>0</v>
      </c>
      <c r="DM1182" s="314">
        <f t="shared" si="746"/>
        <v>0</v>
      </c>
      <c r="DN1182" s="312">
        <f t="shared" si="747"/>
        <v>0</v>
      </c>
      <c r="DO1182" s="312">
        <f t="shared" si="754"/>
        <v>0</v>
      </c>
      <c r="DP1182" s="315" t="e">
        <f t="shared" si="739"/>
        <v>#NUM!</v>
      </c>
      <c r="DQ1182" s="316">
        <f t="shared" si="748"/>
        <v>0</v>
      </c>
      <c r="DR1182" s="316">
        <f t="shared" si="749"/>
        <v>0</v>
      </c>
      <c r="DS1182" s="314">
        <f t="shared" si="750"/>
        <v>0</v>
      </c>
      <c r="DT1182" s="316">
        <f t="shared" si="751"/>
        <v>0</v>
      </c>
      <c r="DU1182" s="314">
        <f t="shared" si="740"/>
        <v>0</v>
      </c>
      <c r="DV1182" s="316">
        <f t="shared" si="755"/>
        <v>0</v>
      </c>
      <c r="DW1182" s="310">
        <f t="shared" si="741"/>
        <v>0</v>
      </c>
      <c r="FC1182" s="307"/>
      <c r="FD1182" s="166"/>
      <c r="FF1182" s="307"/>
      <c r="FH1182" s="306"/>
      <c r="FJ1182" s="307"/>
      <c r="FK1182" s="307"/>
      <c r="FL1182" s="306"/>
      <c r="FM1182" s="307"/>
      <c r="FN1182" s="306"/>
      <c r="FO1182" s="307"/>
      <c r="FP1182" s="306"/>
    </row>
    <row r="1183" spans="29:172">
      <c r="AC1183" s="156"/>
      <c r="CW1183" s="364"/>
      <c r="CX1183" s="316"/>
      <c r="CY1183" s="316"/>
      <c r="DA1183" s="309">
        <v>1182</v>
      </c>
      <c r="DB1183" s="313">
        <f t="shared" si="735"/>
        <v>630.21281690265118</v>
      </c>
      <c r="DC1183" s="309">
        <f t="shared" si="736"/>
        <v>4</v>
      </c>
      <c r="DD1183" s="309">
        <f t="shared" si="737"/>
        <v>0</v>
      </c>
      <c r="DE1183" s="308">
        <f t="shared" si="738"/>
        <v>0</v>
      </c>
      <c r="DF1183" s="313">
        <f t="shared" si="752"/>
        <v>600</v>
      </c>
      <c r="DG1183" s="313">
        <f t="shared" si="734"/>
        <v>0</v>
      </c>
      <c r="DH1183" s="313">
        <f t="shared" si="742"/>
        <v>0</v>
      </c>
      <c r="DI1183" s="313">
        <f t="shared" si="743"/>
        <v>0</v>
      </c>
      <c r="DJ1183" s="313">
        <f t="shared" si="744"/>
        <v>0</v>
      </c>
      <c r="DK1183" s="313">
        <f t="shared" si="753"/>
        <v>0</v>
      </c>
      <c r="DL1183" s="313">
        <f t="shared" si="745"/>
        <v>0</v>
      </c>
      <c r="DM1183" s="314">
        <f t="shared" si="746"/>
        <v>0</v>
      </c>
      <c r="DN1183" s="312">
        <f t="shared" si="747"/>
        <v>0</v>
      </c>
      <c r="DO1183" s="312">
        <f t="shared" si="754"/>
        <v>0</v>
      </c>
      <c r="DP1183" s="315" t="e">
        <f t="shared" si="739"/>
        <v>#NUM!</v>
      </c>
      <c r="DQ1183" s="316">
        <f t="shared" si="748"/>
        <v>0</v>
      </c>
      <c r="DR1183" s="316">
        <f t="shared" si="749"/>
        <v>0</v>
      </c>
      <c r="DS1183" s="314">
        <f t="shared" si="750"/>
        <v>0</v>
      </c>
      <c r="DT1183" s="316">
        <f t="shared" si="751"/>
        <v>0</v>
      </c>
      <c r="DU1183" s="314">
        <f t="shared" si="740"/>
        <v>0</v>
      </c>
      <c r="DV1183" s="316">
        <f t="shared" si="755"/>
        <v>0</v>
      </c>
      <c r="DW1183" s="310">
        <f t="shared" si="741"/>
        <v>0</v>
      </c>
      <c r="FC1183" s="307"/>
      <c r="FD1183" s="166"/>
      <c r="FF1183" s="307"/>
      <c r="FH1183" s="306"/>
      <c r="FJ1183" s="307"/>
      <c r="FK1183" s="307"/>
      <c r="FL1183" s="306"/>
      <c r="FM1183" s="307"/>
      <c r="FN1183" s="306"/>
      <c r="FO1183" s="307"/>
      <c r="FP1183" s="306"/>
    </row>
    <row r="1184" spans="29:172">
      <c r="AC1184" s="156"/>
      <c r="CW1184" s="364"/>
      <c r="CX1184" s="316"/>
      <c r="CY1184" s="316"/>
      <c r="DA1184" s="309">
        <v>1183</v>
      </c>
      <c r="DB1184" s="313">
        <f t="shared" si="735"/>
        <v>630.57678713691735</v>
      </c>
      <c r="DC1184" s="309">
        <f t="shared" si="736"/>
        <v>4</v>
      </c>
      <c r="DD1184" s="309">
        <f t="shared" si="737"/>
        <v>0</v>
      </c>
      <c r="DE1184" s="308">
        <f t="shared" si="738"/>
        <v>0</v>
      </c>
      <c r="DF1184" s="313">
        <f t="shared" si="752"/>
        <v>600</v>
      </c>
      <c r="DG1184" s="313">
        <f t="shared" si="734"/>
        <v>0</v>
      </c>
      <c r="DH1184" s="313">
        <f t="shared" si="742"/>
        <v>0</v>
      </c>
      <c r="DI1184" s="313">
        <f t="shared" si="743"/>
        <v>0</v>
      </c>
      <c r="DJ1184" s="313">
        <f t="shared" si="744"/>
        <v>0</v>
      </c>
      <c r="DK1184" s="313">
        <f t="shared" si="753"/>
        <v>0</v>
      </c>
      <c r="DL1184" s="313">
        <f t="shared" si="745"/>
        <v>0</v>
      </c>
      <c r="DM1184" s="314">
        <f t="shared" si="746"/>
        <v>0</v>
      </c>
      <c r="DN1184" s="312">
        <f t="shared" si="747"/>
        <v>0</v>
      </c>
      <c r="DO1184" s="312">
        <f t="shared" si="754"/>
        <v>0</v>
      </c>
      <c r="DP1184" s="315" t="e">
        <f t="shared" si="739"/>
        <v>#NUM!</v>
      </c>
      <c r="DQ1184" s="316">
        <f t="shared" si="748"/>
        <v>0</v>
      </c>
      <c r="DR1184" s="316">
        <f t="shared" si="749"/>
        <v>0</v>
      </c>
      <c r="DS1184" s="314">
        <f t="shared" si="750"/>
        <v>0</v>
      </c>
      <c r="DT1184" s="316">
        <f t="shared" si="751"/>
        <v>0</v>
      </c>
      <c r="DU1184" s="314">
        <f t="shared" si="740"/>
        <v>0</v>
      </c>
      <c r="DV1184" s="316">
        <f t="shared" si="755"/>
        <v>0</v>
      </c>
      <c r="DW1184" s="310">
        <f t="shared" si="741"/>
        <v>0</v>
      </c>
      <c r="FC1184" s="307"/>
      <c r="FD1184" s="166"/>
      <c r="FF1184" s="307"/>
      <c r="FH1184" s="306"/>
      <c r="FJ1184" s="307"/>
      <c r="FK1184" s="307"/>
      <c r="FL1184" s="306"/>
      <c r="FM1184" s="307"/>
      <c r="FN1184" s="306"/>
      <c r="FO1184" s="307"/>
      <c r="FP1184" s="306"/>
    </row>
    <row r="1185" spans="29:172">
      <c r="AC1185" s="156"/>
      <c r="CW1185" s="364"/>
      <c r="CX1185" s="316"/>
      <c r="CY1185" s="316"/>
      <c r="DA1185" s="309">
        <v>1184</v>
      </c>
      <c r="DB1185" s="313">
        <f t="shared" si="735"/>
        <v>630.94075737118351</v>
      </c>
      <c r="DC1185" s="309">
        <f t="shared" si="736"/>
        <v>4</v>
      </c>
      <c r="DD1185" s="309">
        <f t="shared" si="737"/>
        <v>0</v>
      </c>
      <c r="DE1185" s="308">
        <f t="shared" si="738"/>
        <v>0</v>
      </c>
      <c r="DF1185" s="313">
        <f t="shared" si="752"/>
        <v>600</v>
      </c>
      <c r="DG1185" s="313">
        <f t="shared" si="734"/>
        <v>0</v>
      </c>
      <c r="DH1185" s="313">
        <f t="shared" si="742"/>
        <v>0</v>
      </c>
      <c r="DI1185" s="313">
        <f t="shared" si="743"/>
        <v>0</v>
      </c>
      <c r="DJ1185" s="313">
        <f t="shared" si="744"/>
        <v>0</v>
      </c>
      <c r="DK1185" s="313">
        <f t="shared" si="753"/>
        <v>0</v>
      </c>
      <c r="DL1185" s="313">
        <f t="shared" si="745"/>
        <v>0</v>
      </c>
      <c r="DM1185" s="314">
        <f t="shared" si="746"/>
        <v>0</v>
      </c>
      <c r="DN1185" s="312">
        <f t="shared" si="747"/>
        <v>0</v>
      </c>
      <c r="DO1185" s="312">
        <f t="shared" si="754"/>
        <v>0</v>
      </c>
      <c r="DP1185" s="315" t="e">
        <f t="shared" si="739"/>
        <v>#NUM!</v>
      </c>
      <c r="DQ1185" s="316">
        <f t="shared" si="748"/>
        <v>0</v>
      </c>
      <c r="DR1185" s="316">
        <f t="shared" si="749"/>
        <v>0</v>
      </c>
      <c r="DS1185" s="314">
        <f t="shared" si="750"/>
        <v>0</v>
      </c>
      <c r="DT1185" s="316">
        <f t="shared" si="751"/>
        <v>0</v>
      </c>
      <c r="DU1185" s="314">
        <f t="shared" si="740"/>
        <v>0</v>
      </c>
      <c r="DV1185" s="316">
        <f t="shared" si="755"/>
        <v>0</v>
      </c>
      <c r="DW1185" s="310">
        <f t="shared" si="741"/>
        <v>0</v>
      </c>
      <c r="FC1185" s="307"/>
      <c r="FD1185" s="166"/>
      <c r="FF1185" s="307"/>
      <c r="FH1185" s="306"/>
      <c r="FJ1185" s="307"/>
      <c r="FK1185" s="307"/>
      <c r="FL1185" s="306"/>
      <c r="FM1185" s="307"/>
      <c r="FN1185" s="306"/>
      <c r="FO1185" s="307"/>
      <c r="FP1185" s="306"/>
    </row>
    <row r="1186" spans="29:172">
      <c r="AC1186" s="156"/>
      <c r="CW1186" s="364"/>
      <c r="CX1186" s="316"/>
      <c r="CY1186" s="316"/>
      <c r="DA1186" s="309">
        <v>1185</v>
      </c>
      <c r="DB1186" s="313">
        <f t="shared" si="735"/>
        <v>631.30472760544978</v>
      </c>
      <c r="DC1186" s="309">
        <f t="shared" si="736"/>
        <v>4</v>
      </c>
      <c r="DD1186" s="309">
        <f t="shared" si="737"/>
        <v>0</v>
      </c>
      <c r="DE1186" s="308">
        <f t="shared" si="738"/>
        <v>0</v>
      </c>
      <c r="DF1186" s="313">
        <f t="shared" si="752"/>
        <v>600</v>
      </c>
      <c r="DG1186" s="313">
        <f t="shared" si="734"/>
        <v>0</v>
      </c>
      <c r="DH1186" s="313">
        <f t="shared" si="742"/>
        <v>0</v>
      </c>
      <c r="DI1186" s="313">
        <f t="shared" si="743"/>
        <v>0</v>
      </c>
      <c r="DJ1186" s="313">
        <f t="shared" si="744"/>
        <v>0</v>
      </c>
      <c r="DK1186" s="313">
        <f t="shared" si="753"/>
        <v>0</v>
      </c>
      <c r="DL1186" s="313">
        <f t="shared" si="745"/>
        <v>0</v>
      </c>
      <c r="DM1186" s="314">
        <f t="shared" si="746"/>
        <v>0</v>
      </c>
      <c r="DN1186" s="312">
        <f t="shared" si="747"/>
        <v>0</v>
      </c>
      <c r="DO1186" s="312">
        <f t="shared" si="754"/>
        <v>0</v>
      </c>
      <c r="DP1186" s="315" t="e">
        <f t="shared" si="739"/>
        <v>#NUM!</v>
      </c>
      <c r="DQ1186" s="316">
        <f t="shared" si="748"/>
        <v>0</v>
      </c>
      <c r="DR1186" s="316">
        <f t="shared" si="749"/>
        <v>0</v>
      </c>
      <c r="DS1186" s="314">
        <f t="shared" si="750"/>
        <v>0</v>
      </c>
      <c r="DT1186" s="316">
        <f t="shared" si="751"/>
        <v>0</v>
      </c>
      <c r="DU1186" s="314">
        <f t="shared" si="740"/>
        <v>0</v>
      </c>
      <c r="DV1186" s="316">
        <f t="shared" si="755"/>
        <v>0</v>
      </c>
      <c r="DW1186" s="310">
        <f t="shared" si="741"/>
        <v>0</v>
      </c>
      <c r="FC1186" s="307"/>
      <c r="FD1186" s="166"/>
      <c r="FF1186" s="307"/>
      <c r="FH1186" s="306"/>
      <c r="FJ1186" s="307"/>
      <c r="FK1186" s="307"/>
      <c r="FL1186" s="306"/>
      <c r="FM1186" s="307"/>
      <c r="FN1186" s="306"/>
      <c r="FO1186" s="307"/>
      <c r="FP1186" s="306"/>
    </row>
    <row r="1187" spans="29:172">
      <c r="AC1187" s="156"/>
      <c r="CW1187" s="364"/>
      <c r="CX1187" s="316"/>
      <c r="CY1187" s="316"/>
      <c r="DA1187" s="309">
        <v>1186</v>
      </c>
      <c r="DB1187" s="313">
        <f t="shared" si="735"/>
        <v>631.66869783971606</v>
      </c>
      <c r="DC1187" s="309">
        <f t="shared" si="736"/>
        <v>4</v>
      </c>
      <c r="DD1187" s="309">
        <f t="shared" si="737"/>
        <v>0</v>
      </c>
      <c r="DE1187" s="308">
        <f t="shared" si="738"/>
        <v>0</v>
      </c>
      <c r="DF1187" s="313">
        <f t="shared" si="752"/>
        <v>600</v>
      </c>
      <c r="DG1187" s="313">
        <f t="shared" si="734"/>
        <v>0</v>
      </c>
      <c r="DH1187" s="313">
        <f t="shared" si="742"/>
        <v>0</v>
      </c>
      <c r="DI1187" s="313">
        <f t="shared" si="743"/>
        <v>0</v>
      </c>
      <c r="DJ1187" s="313">
        <f t="shared" si="744"/>
        <v>0</v>
      </c>
      <c r="DK1187" s="313">
        <f t="shared" si="753"/>
        <v>0</v>
      </c>
      <c r="DL1187" s="313">
        <f t="shared" si="745"/>
        <v>0</v>
      </c>
      <c r="DM1187" s="314">
        <f t="shared" si="746"/>
        <v>0</v>
      </c>
      <c r="DN1187" s="312">
        <f t="shared" si="747"/>
        <v>0</v>
      </c>
      <c r="DO1187" s="312">
        <f t="shared" si="754"/>
        <v>0</v>
      </c>
      <c r="DP1187" s="315" t="e">
        <f t="shared" si="739"/>
        <v>#NUM!</v>
      </c>
      <c r="DQ1187" s="316">
        <f t="shared" si="748"/>
        <v>0</v>
      </c>
      <c r="DR1187" s="316">
        <f t="shared" si="749"/>
        <v>0</v>
      </c>
      <c r="DS1187" s="314">
        <f t="shared" si="750"/>
        <v>0</v>
      </c>
      <c r="DT1187" s="316">
        <f t="shared" si="751"/>
        <v>0</v>
      </c>
      <c r="DU1187" s="314">
        <f t="shared" si="740"/>
        <v>0</v>
      </c>
      <c r="DV1187" s="316">
        <f t="shared" si="755"/>
        <v>0</v>
      </c>
      <c r="DW1187" s="310">
        <f t="shared" si="741"/>
        <v>0</v>
      </c>
      <c r="FC1187" s="307"/>
      <c r="FD1187" s="166"/>
      <c r="FF1187" s="307"/>
      <c r="FH1187" s="306"/>
      <c r="FJ1187" s="307"/>
      <c r="FK1187" s="307"/>
      <c r="FL1187" s="306"/>
      <c r="FM1187" s="307"/>
      <c r="FN1187" s="306"/>
      <c r="FO1187" s="307"/>
      <c r="FP1187" s="306"/>
    </row>
    <row r="1188" spans="29:172">
      <c r="AC1188" s="156"/>
      <c r="CW1188" s="364"/>
      <c r="CX1188" s="316"/>
      <c r="CY1188" s="316"/>
      <c r="DA1188" s="309">
        <v>1187</v>
      </c>
      <c r="DB1188" s="313">
        <f t="shared" si="735"/>
        <v>632.03266807398222</v>
      </c>
      <c r="DC1188" s="309">
        <f t="shared" si="736"/>
        <v>4</v>
      </c>
      <c r="DD1188" s="309">
        <f t="shared" si="737"/>
        <v>0</v>
      </c>
      <c r="DE1188" s="308">
        <f t="shared" si="738"/>
        <v>0</v>
      </c>
      <c r="DF1188" s="313">
        <f t="shared" si="752"/>
        <v>600</v>
      </c>
      <c r="DG1188" s="313">
        <f t="shared" si="734"/>
        <v>0</v>
      </c>
      <c r="DH1188" s="313">
        <f t="shared" si="742"/>
        <v>0</v>
      </c>
      <c r="DI1188" s="313">
        <f t="shared" si="743"/>
        <v>0</v>
      </c>
      <c r="DJ1188" s="313">
        <f t="shared" si="744"/>
        <v>0</v>
      </c>
      <c r="DK1188" s="313">
        <f t="shared" si="753"/>
        <v>0</v>
      </c>
      <c r="DL1188" s="313">
        <f t="shared" si="745"/>
        <v>0</v>
      </c>
      <c r="DM1188" s="314">
        <f t="shared" si="746"/>
        <v>0</v>
      </c>
      <c r="DN1188" s="312">
        <f t="shared" si="747"/>
        <v>0</v>
      </c>
      <c r="DO1188" s="312">
        <f t="shared" si="754"/>
        <v>0</v>
      </c>
      <c r="DP1188" s="315" t="e">
        <f t="shared" si="739"/>
        <v>#NUM!</v>
      </c>
      <c r="DQ1188" s="316">
        <f t="shared" si="748"/>
        <v>0</v>
      </c>
      <c r="DR1188" s="316">
        <f t="shared" si="749"/>
        <v>0</v>
      </c>
      <c r="DS1188" s="314">
        <f t="shared" si="750"/>
        <v>0</v>
      </c>
      <c r="DT1188" s="316">
        <f t="shared" si="751"/>
        <v>0</v>
      </c>
      <c r="DU1188" s="314">
        <f t="shared" si="740"/>
        <v>0</v>
      </c>
      <c r="DV1188" s="316">
        <f t="shared" si="755"/>
        <v>0</v>
      </c>
      <c r="DW1188" s="310">
        <f t="shared" si="741"/>
        <v>0</v>
      </c>
      <c r="FC1188" s="307"/>
      <c r="FD1188" s="166"/>
      <c r="FF1188" s="307"/>
      <c r="FH1188" s="306"/>
      <c r="FJ1188" s="307"/>
      <c r="FK1188" s="307"/>
      <c r="FL1188" s="306"/>
      <c r="FM1188" s="307"/>
      <c r="FN1188" s="306"/>
      <c r="FO1188" s="307"/>
      <c r="FP1188" s="306"/>
    </row>
    <row r="1189" spans="29:172">
      <c r="AC1189" s="156"/>
      <c r="CW1189" s="364"/>
      <c r="CX1189" s="316"/>
      <c r="CY1189" s="316"/>
      <c r="DA1189" s="309">
        <v>1188</v>
      </c>
      <c r="DB1189" s="313">
        <f t="shared" si="735"/>
        <v>632.39663830824838</v>
      </c>
      <c r="DC1189" s="309">
        <f t="shared" si="736"/>
        <v>4</v>
      </c>
      <c r="DD1189" s="309">
        <f t="shared" si="737"/>
        <v>0</v>
      </c>
      <c r="DE1189" s="308">
        <f t="shared" si="738"/>
        <v>0</v>
      </c>
      <c r="DF1189" s="313">
        <f t="shared" si="752"/>
        <v>600</v>
      </c>
      <c r="DG1189" s="313">
        <f t="shared" si="734"/>
        <v>0</v>
      </c>
      <c r="DH1189" s="313">
        <f t="shared" si="742"/>
        <v>0</v>
      </c>
      <c r="DI1189" s="313">
        <f t="shared" si="743"/>
        <v>0</v>
      </c>
      <c r="DJ1189" s="313">
        <f t="shared" si="744"/>
        <v>0</v>
      </c>
      <c r="DK1189" s="313">
        <f t="shared" si="753"/>
        <v>0</v>
      </c>
      <c r="DL1189" s="313">
        <f t="shared" si="745"/>
        <v>0</v>
      </c>
      <c r="DM1189" s="314">
        <f t="shared" si="746"/>
        <v>0</v>
      </c>
      <c r="DN1189" s="312">
        <f t="shared" si="747"/>
        <v>0</v>
      </c>
      <c r="DO1189" s="312">
        <f t="shared" si="754"/>
        <v>0</v>
      </c>
      <c r="DP1189" s="315" t="e">
        <f t="shared" si="739"/>
        <v>#NUM!</v>
      </c>
      <c r="DQ1189" s="316">
        <f t="shared" si="748"/>
        <v>0</v>
      </c>
      <c r="DR1189" s="316">
        <f t="shared" si="749"/>
        <v>0</v>
      </c>
      <c r="DS1189" s="314">
        <f t="shared" si="750"/>
        <v>0</v>
      </c>
      <c r="DT1189" s="316">
        <f t="shared" si="751"/>
        <v>0</v>
      </c>
      <c r="DU1189" s="314">
        <f t="shared" si="740"/>
        <v>0</v>
      </c>
      <c r="DV1189" s="316">
        <f t="shared" si="755"/>
        <v>0</v>
      </c>
      <c r="DW1189" s="310">
        <f t="shared" si="741"/>
        <v>0</v>
      </c>
      <c r="FC1189" s="307"/>
      <c r="FD1189" s="166"/>
      <c r="FF1189" s="307"/>
      <c r="FH1189" s="306"/>
      <c r="FJ1189" s="307"/>
      <c r="FK1189" s="307"/>
      <c r="FL1189" s="306"/>
      <c r="FM1189" s="307"/>
      <c r="FN1189" s="306"/>
      <c r="FO1189" s="307"/>
      <c r="FP1189" s="306"/>
    </row>
    <row r="1190" spans="29:172">
      <c r="AC1190" s="156"/>
      <c r="CW1190" s="364"/>
      <c r="CX1190" s="316"/>
      <c r="CY1190" s="316"/>
      <c r="DA1190" s="309">
        <v>1189</v>
      </c>
      <c r="DB1190" s="313">
        <f t="shared" si="735"/>
        <v>632.76060854251455</v>
      </c>
      <c r="DC1190" s="309">
        <f t="shared" si="736"/>
        <v>4</v>
      </c>
      <c r="DD1190" s="309">
        <f t="shared" si="737"/>
        <v>0</v>
      </c>
      <c r="DE1190" s="308">
        <f t="shared" si="738"/>
        <v>0</v>
      </c>
      <c r="DF1190" s="313">
        <f t="shared" si="752"/>
        <v>600</v>
      </c>
      <c r="DG1190" s="313">
        <f t="shared" si="734"/>
        <v>0</v>
      </c>
      <c r="DH1190" s="313">
        <f t="shared" si="742"/>
        <v>0</v>
      </c>
      <c r="DI1190" s="313">
        <f t="shared" si="743"/>
        <v>0</v>
      </c>
      <c r="DJ1190" s="313">
        <f t="shared" si="744"/>
        <v>0</v>
      </c>
      <c r="DK1190" s="313">
        <f t="shared" si="753"/>
        <v>0</v>
      </c>
      <c r="DL1190" s="313">
        <f t="shared" si="745"/>
        <v>0</v>
      </c>
      <c r="DM1190" s="314">
        <f t="shared" si="746"/>
        <v>0</v>
      </c>
      <c r="DN1190" s="312">
        <f t="shared" si="747"/>
        <v>0</v>
      </c>
      <c r="DO1190" s="312">
        <f t="shared" si="754"/>
        <v>0</v>
      </c>
      <c r="DP1190" s="315" t="e">
        <f t="shared" si="739"/>
        <v>#NUM!</v>
      </c>
      <c r="DQ1190" s="316">
        <f t="shared" si="748"/>
        <v>0</v>
      </c>
      <c r="DR1190" s="316">
        <f t="shared" si="749"/>
        <v>0</v>
      </c>
      <c r="DS1190" s="314">
        <f t="shared" si="750"/>
        <v>0</v>
      </c>
      <c r="DT1190" s="316">
        <f t="shared" si="751"/>
        <v>0</v>
      </c>
      <c r="DU1190" s="314">
        <f t="shared" si="740"/>
        <v>0</v>
      </c>
      <c r="DV1190" s="316">
        <f t="shared" si="755"/>
        <v>0</v>
      </c>
      <c r="DW1190" s="310">
        <f t="shared" si="741"/>
        <v>0</v>
      </c>
      <c r="FC1190" s="307"/>
      <c r="FD1190" s="166"/>
      <c r="FF1190" s="307"/>
      <c r="FH1190" s="306"/>
      <c r="FJ1190" s="307"/>
      <c r="FK1190" s="307"/>
      <c r="FL1190" s="306"/>
      <c r="FM1190" s="307"/>
      <c r="FN1190" s="306"/>
      <c r="FO1190" s="307"/>
      <c r="FP1190" s="306"/>
    </row>
    <row r="1191" spans="29:172">
      <c r="AC1191" s="156"/>
      <c r="CW1191" s="364"/>
      <c r="CX1191" s="316"/>
      <c r="CY1191" s="316"/>
      <c r="DA1191" s="309">
        <v>1190</v>
      </c>
      <c r="DB1191" s="313">
        <f t="shared" si="735"/>
        <v>633.12457877678071</v>
      </c>
      <c r="DC1191" s="309">
        <f t="shared" si="736"/>
        <v>4</v>
      </c>
      <c r="DD1191" s="309">
        <f t="shared" si="737"/>
        <v>0</v>
      </c>
      <c r="DE1191" s="308">
        <f t="shared" si="738"/>
        <v>0</v>
      </c>
      <c r="DF1191" s="313">
        <f t="shared" si="752"/>
        <v>600</v>
      </c>
      <c r="DG1191" s="313">
        <f t="shared" si="734"/>
        <v>0</v>
      </c>
      <c r="DH1191" s="313">
        <f t="shared" si="742"/>
        <v>0</v>
      </c>
      <c r="DI1191" s="313">
        <f t="shared" si="743"/>
        <v>0</v>
      </c>
      <c r="DJ1191" s="313">
        <f t="shared" si="744"/>
        <v>0</v>
      </c>
      <c r="DK1191" s="313">
        <f t="shared" si="753"/>
        <v>0</v>
      </c>
      <c r="DL1191" s="313">
        <f t="shared" si="745"/>
        <v>0</v>
      </c>
      <c r="DM1191" s="314">
        <f t="shared" si="746"/>
        <v>0</v>
      </c>
      <c r="DN1191" s="312">
        <f t="shared" si="747"/>
        <v>0</v>
      </c>
      <c r="DO1191" s="312">
        <f t="shared" si="754"/>
        <v>0</v>
      </c>
      <c r="DP1191" s="315" t="e">
        <f t="shared" si="739"/>
        <v>#NUM!</v>
      </c>
      <c r="DQ1191" s="316">
        <f t="shared" si="748"/>
        <v>0</v>
      </c>
      <c r="DR1191" s="316">
        <f t="shared" si="749"/>
        <v>0</v>
      </c>
      <c r="DS1191" s="314">
        <f t="shared" si="750"/>
        <v>0</v>
      </c>
      <c r="DT1191" s="316">
        <f t="shared" si="751"/>
        <v>0</v>
      </c>
      <c r="DU1191" s="314">
        <f t="shared" si="740"/>
        <v>0</v>
      </c>
      <c r="DV1191" s="316">
        <f t="shared" si="755"/>
        <v>0</v>
      </c>
      <c r="DW1191" s="310">
        <f t="shared" si="741"/>
        <v>0</v>
      </c>
      <c r="FC1191" s="307"/>
      <c r="FD1191" s="166"/>
      <c r="FF1191" s="307"/>
      <c r="FH1191" s="306"/>
      <c r="FJ1191" s="307"/>
      <c r="FK1191" s="307"/>
      <c r="FL1191" s="306"/>
      <c r="FM1191" s="307"/>
      <c r="FN1191" s="306"/>
      <c r="FO1191" s="307"/>
      <c r="FP1191" s="306"/>
    </row>
    <row r="1192" spans="29:172">
      <c r="AC1192" s="156"/>
      <c r="CW1192" s="364"/>
      <c r="CX1192" s="316"/>
      <c r="CY1192" s="316"/>
      <c r="DA1192" s="309">
        <v>1191</v>
      </c>
      <c r="DB1192" s="313">
        <f t="shared" si="735"/>
        <v>633.48854901104698</v>
      </c>
      <c r="DC1192" s="309">
        <f t="shared" si="736"/>
        <v>4</v>
      </c>
      <c r="DD1192" s="309">
        <f t="shared" si="737"/>
        <v>0</v>
      </c>
      <c r="DE1192" s="308">
        <f t="shared" si="738"/>
        <v>0</v>
      </c>
      <c r="DF1192" s="313">
        <f t="shared" si="752"/>
        <v>600</v>
      </c>
      <c r="DG1192" s="313">
        <f t="shared" si="734"/>
        <v>0</v>
      </c>
      <c r="DH1192" s="313">
        <f t="shared" si="742"/>
        <v>0</v>
      </c>
      <c r="DI1192" s="313">
        <f t="shared" si="743"/>
        <v>0</v>
      </c>
      <c r="DJ1192" s="313">
        <f t="shared" si="744"/>
        <v>0</v>
      </c>
      <c r="DK1192" s="313">
        <f t="shared" si="753"/>
        <v>0</v>
      </c>
      <c r="DL1192" s="313">
        <f t="shared" si="745"/>
        <v>0</v>
      </c>
      <c r="DM1192" s="314">
        <f t="shared" si="746"/>
        <v>0</v>
      </c>
      <c r="DN1192" s="312">
        <f t="shared" si="747"/>
        <v>0</v>
      </c>
      <c r="DO1192" s="312">
        <f t="shared" si="754"/>
        <v>0</v>
      </c>
      <c r="DP1192" s="315" t="e">
        <f t="shared" si="739"/>
        <v>#NUM!</v>
      </c>
      <c r="DQ1192" s="316">
        <f t="shared" si="748"/>
        <v>0</v>
      </c>
      <c r="DR1192" s="316">
        <f t="shared" si="749"/>
        <v>0</v>
      </c>
      <c r="DS1192" s="314">
        <f t="shared" si="750"/>
        <v>0</v>
      </c>
      <c r="DT1192" s="316">
        <f t="shared" si="751"/>
        <v>0</v>
      </c>
      <c r="DU1192" s="314">
        <f t="shared" si="740"/>
        <v>0</v>
      </c>
      <c r="DV1192" s="316">
        <f t="shared" si="755"/>
        <v>0</v>
      </c>
      <c r="DW1192" s="310">
        <f t="shared" si="741"/>
        <v>0</v>
      </c>
      <c r="FC1192" s="307"/>
      <c r="FD1192" s="166"/>
      <c r="FF1192" s="307"/>
      <c r="FH1192" s="306"/>
      <c r="FJ1192" s="307"/>
      <c r="FK1192" s="307"/>
      <c r="FL1192" s="306"/>
      <c r="FM1192" s="307"/>
      <c r="FN1192" s="306"/>
      <c r="FO1192" s="307"/>
      <c r="FP1192" s="306"/>
    </row>
    <row r="1193" spans="29:172">
      <c r="AC1193" s="156"/>
      <c r="CW1193" s="364"/>
      <c r="CX1193" s="316"/>
      <c r="CY1193" s="316"/>
      <c r="DA1193" s="309">
        <v>1192</v>
      </c>
      <c r="DB1193" s="313">
        <f t="shared" si="735"/>
        <v>633.85251924531326</v>
      </c>
      <c r="DC1193" s="309">
        <f t="shared" si="736"/>
        <v>4</v>
      </c>
      <c r="DD1193" s="309">
        <f t="shared" si="737"/>
        <v>0</v>
      </c>
      <c r="DE1193" s="308">
        <f t="shared" si="738"/>
        <v>0</v>
      </c>
      <c r="DF1193" s="313">
        <f t="shared" si="752"/>
        <v>600</v>
      </c>
      <c r="DG1193" s="313">
        <f t="shared" si="734"/>
        <v>0</v>
      </c>
      <c r="DH1193" s="313">
        <f t="shared" si="742"/>
        <v>0</v>
      </c>
      <c r="DI1193" s="313">
        <f t="shared" si="743"/>
        <v>0</v>
      </c>
      <c r="DJ1193" s="313">
        <f t="shared" si="744"/>
        <v>0</v>
      </c>
      <c r="DK1193" s="313">
        <f t="shared" si="753"/>
        <v>0</v>
      </c>
      <c r="DL1193" s="313">
        <f t="shared" si="745"/>
        <v>0</v>
      </c>
      <c r="DM1193" s="314">
        <f t="shared" si="746"/>
        <v>0</v>
      </c>
      <c r="DN1193" s="312">
        <f t="shared" si="747"/>
        <v>0</v>
      </c>
      <c r="DO1193" s="312">
        <f t="shared" si="754"/>
        <v>0</v>
      </c>
      <c r="DP1193" s="315" t="e">
        <f t="shared" si="739"/>
        <v>#NUM!</v>
      </c>
      <c r="DQ1193" s="316">
        <f t="shared" si="748"/>
        <v>0</v>
      </c>
      <c r="DR1193" s="316">
        <f t="shared" si="749"/>
        <v>0</v>
      </c>
      <c r="DS1193" s="314">
        <f t="shared" si="750"/>
        <v>0</v>
      </c>
      <c r="DT1193" s="316">
        <f t="shared" si="751"/>
        <v>0</v>
      </c>
      <c r="DU1193" s="314">
        <f t="shared" si="740"/>
        <v>0</v>
      </c>
      <c r="DV1193" s="316">
        <f t="shared" si="755"/>
        <v>0</v>
      </c>
      <c r="DW1193" s="310">
        <f t="shared" si="741"/>
        <v>0</v>
      </c>
      <c r="FC1193" s="307"/>
      <c r="FD1193" s="166"/>
      <c r="FF1193" s="307"/>
      <c r="FH1193" s="306"/>
      <c r="FJ1193" s="307"/>
      <c r="FK1193" s="307"/>
      <c r="FL1193" s="306"/>
      <c r="FM1193" s="307"/>
      <c r="FN1193" s="306"/>
      <c r="FO1193" s="307"/>
      <c r="FP1193" s="306"/>
    </row>
    <row r="1194" spans="29:172">
      <c r="AC1194" s="156"/>
      <c r="CW1194" s="364"/>
      <c r="CX1194" s="316"/>
      <c r="CY1194" s="316"/>
      <c r="DA1194" s="309">
        <v>1193</v>
      </c>
      <c r="DB1194" s="313">
        <f t="shared" si="735"/>
        <v>634.21648947957942</v>
      </c>
      <c r="DC1194" s="309">
        <f t="shared" si="736"/>
        <v>4</v>
      </c>
      <c r="DD1194" s="309">
        <f t="shared" si="737"/>
        <v>0</v>
      </c>
      <c r="DE1194" s="308">
        <f t="shared" si="738"/>
        <v>0</v>
      </c>
      <c r="DF1194" s="313">
        <f t="shared" si="752"/>
        <v>600</v>
      </c>
      <c r="DG1194" s="313">
        <f t="shared" si="734"/>
        <v>0</v>
      </c>
      <c r="DH1194" s="313">
        <f t="shared" si="742"/>
        <v>0</v>
      </c>
      <c r="DI1194" s="313">
        <f t="shared" si="743"/>
        <v>0</v>
      </c>
      <c r="DJ1194" s="313">
        <f t="shared" si="744"/>
        <v>0</v>
      </c>
      <c r="DK1194" s="313">
        <f t="shared" si="753"/>
        <v>0</v>
      </c>
      <c r="DL1194" s="313">
        <f t="shared" si="745"/>
        <v>0</v>
      </c>
      <c r="DM1194" s="314">
        <f t="shared" si="746"/>
        <v>0</v>
      </c>
      <c r="DN1194" s="312">
        <f t="shared" si="747"/>
        <v>0</v>
      </c>
      <c r="DO1194" s="312">
        <f t="shared" si="754"/>
        <v>0</v>
      </c>
      <c r="DP1194" s="315" t="e">
        <f t="shared" si="739"/>
        <v>#NUM!</v>
      </c>
      <c r="DQ1194" s="316">
        <f t="shared" si="748"/>
        <v>0</v>
      </c>
      <c r="DR1194" s="316">
        <f t="shared" si="749"/>
        <v>0</v>
      </c>
      <c r="DS1194" s="314">
        <f t="shared" si="750"/>
        <v>0</v>
      </c>
      <c r="DT1194" s="316">
        <f t="shared" si="751"/>
        <v>0</v>
      </c>
      <c r="DU1194" s="314">
        <f t="shared" si="740"/>
        <v>0</v>
      </c>
      <c r="DV1194" s="316">
        <f t="shared" si="755"/>
        <v>0</v>
      </c>
      <c r="DW1194" s="310">
        <f t="shared" si="741"/>
        <v>0</v>
      </c>
      <c r="FC1194" s="307"/>
      <c r="FD1194" s="166"/>
      <c r="FF1194" s="307"/>
      <c r="FH1194" s="306"/>
      <c r="FJ1194" s="307"/>
      <c r="FK1194" s="307"/>
      <c r="FL1194" s="306"/>
      <c r="FM1194" s="307"/>
      <c r="FN1194" s="306"/>
      <c r="FO1194" s="307"/>
      <c r="FP1194" s="306"/>
    </row>
    <row r="1195" spans="29:172">
      <c r="AC1195" s="156"/>
      <c r="CW1195" s="364"/>
      <c r="CX1195" s="316"/>
      <c r="CY1195" s="316"/>
      <c r="DA1195" s="309">
        <v>1194</v>
      </c>
      <c r="DB1195" s="313">
        <f t="shared" si="735"/>
        <v>634.58045971384558</v>
      </c>
      <c r="DC1195" s="309">
        <f t="shared" si="736"/>
        <v>4</v>
      </c>
      <c r="DD1195" s="309">
        <f t="shared" si="737"/>
        <v>0</v>
      </c>
      <c r="DE1195" s="308">
        <f t="shared" si="738"/>
        <v>0</v>
      </c>
      <c r="DF1195" s="313">
        <f t="shared" si="752"/>
        <v>600</v>
      </c>
      <c r="DG1195" s="313">
        <f t="shared" ref="DG1195:DG1201" si="756">IF(DC1195=4,DG1194,MIN(DB1195,DD1195))</f>
        <v>0</v>
      </c>
      <c r="DH1195" s="313">
        <f t="shared" si="742"/>
        <v>0</v>
      </c>
      <c r="DI1195" s="313">
        <f t="shared" si="743"/>
        <v>0</v>
      </c>
      <c r="DJ1195" s="313">
        <f t="shared" si="744"/>
        <v>0</v>
      </c>
      <c r="DK1195" s="313">
        <f t="shared" si="753"/>
        <v>0</v>
      </c>
      <c r="DL1195" s="313">
        <f t="shared" si="745"/>
        <v>0</v>
      </c>
      <c r="DM1195" s="314">
        <f t="shared" si="746"/>
        <v>0</v>
      </c>
      <c r="DN1195" s="312">
        <f t="shared" si="747"/>
        <v>0</v>
      </c>
      <c r="DO1195" s="312">
        <f t="shared" si="754"/>
        <v>0</v>
      </c>
      <c r="DP1195" s="315" t="e">
        <f t="shared" si="739"/>
        <v>#NUM!</v>
      </c>
      <c r="DQ1195" s="316">
        <f t="shared" si="748"/>
        <v>0</v>
      </c>
      <c r="DR1195" s="316">
        <f t="shared" si="749"/>
        <v>0</v>
      </c>
      <c r="DS1195" s="314">
        <f t="shared" si="750"/>
        <v>0</v>
      </c>
      <c r="DT1195" s="316">
        <f t="shared" si="751"/>
        <v>0</v>
      </c>
      <c r="DU1195" s="314">
        <f t="shared" si="740"/>
        <v>0</v>
      </c>
      <c r="DV1195" s="316">
        <f t="shared" si="755"/>
        <v>0</v>
      </c>
      <c r="DW1195" s="310">
        <f t="shared" si="741"/>
        <v>0</v>
      </c>
      <c r="FC1195" s="307"/>
      <c r="FD1195" s="166"/>
      <c r="FF1195" s="307"/>
      <c r="FH1195" s="306"/>
      <c r="FJ1195" s="307"/>
      <c r="FK1195" s="307"/>
      <c r="FL1195" s="306"/>
      <c r="FM1195" s="307"/>
      <c r="FN1195" s="306"/>
      <c r="FO1195" s="307"/>
      <c r="FP1195" s="306"/>
    </row>
    <row r="1196" spans="29:172">
      <c r="AC1196" s="156"/>
      <c r="CW1196" s="364"/>
      <c r="CX1196" s="316"/>
      <c r="CY1196" s="316"/>
      <c r="DA1196" s="309">
        <v>1195</v>
      </c>
      <c r="DB1196" s="313">
        <f t="shared" si="735"/>
        <v>634.94442994811175</v>
      </c>
      <c r="DC1196" s="309">
        <f t="shared" si="736"/>
        <v>4</v>
      </c>
      <c r="DD1196" s="309">
        <f t="shared" si="737"/>
        <v>0</v>
      </c>
      <c r="DE1196" s="308">
        <f t="shared" si="738"/>
        <v>0</v>
      </c>
      <c r="DF1196" s="313">
        <f t="shared" si="752"/>
        <v>600</v>
      </c>
      <c r="DG1196" s="313">
        <f t="shared" si="756"/>
        <v>0</v>
      </c>
      <c r="DH1196" s="313">
        <f t="shared" si="742"/>
        <v>0</v>
      </c>
      <c r="DI1196" s="313">
        <f t="shared" si="743"/>
        <v>0</v>
      </c>
      <c r="DJ1196" s="313">
        <f t="shared" si="744"/>
        <v>0</v>
      </c>
      <c r="DK1196" s="313">
        <f t="shared" si="753"/>
        <v>0</v>
      </c>
      <c r="DL1196" s="313">
        <f t="shared" si="745"/>
        <v>0</v>
      </c>
      <c r="DM1196" s="314">
        <f t="shared" si="746"/>
        <v>0</v>
      </c>
      <c r="DN1196" s="312">
        <f t="shared" si="747"/>
        <v>0</v>
      </c>
      <c r="DO1196" s="312">
        <f t="shared" si="754"/>
        <v>0</v>
      </c>
      <c r="DP1196" s="315" t="e">
        <f t="shared" si="739"/>
        <v>#NUM!</v>
      </c>
      <c r="DQ1196" s="316">
        <f t="shared" si="748"/>
        <v>0</v>
      </c>
      <c r="DR1196" s="316">
        <f t="shared" si="749"/>
        <v>0</v>
      </c>
      <c r="DS1196" s="314">
        <f t="shared" si="750"/>
        <v>0</v>
      </c>
      <c r="DT1196" s="316">
        <f t="shared" si="751"/>
        <v>0</v>
      </c>
      <c r="DU1196" s="314">
        <f t="shared" si="740"/>
        <v>0</v>
      </c>
      <c r="DV1196" s="316">
        <f t="shared" si="755"/>
        <v>0</v>
      </c>
      <c r="DW1196" s="310">
        <f t="shared" si="741"/>
        <v>0</v>
      </c>
      <c r="FC1196" s="307"/>
      <c r="FD1196" s="166"/>
      <c r="FF1196" s="307"/>
      <c r="FH1196" s="306"/>
      <c r="FJ1196" s="307"/>
      <c r="FK1196" s="307"/>
      <c r="FL1196" s="306"/>
      <c r="FM1196" s="307"/>
      <c r="FN1196" s="306"/>
      <c r="FO1196" s="307"/>
      <c r="FP1196" s="306"/>
    </row>
    <row r="1197" spans="29:172">
      <c r="AC1197" s="156"/>
      <c r="CW1197" s="364"/>
      <c r="CX1197" s="316"/>
      <c r="CY1197" s="316"/>
      <c r="DA1197" s="309">
        <v>1196</v>
      </c>
      <c r="DB1197" s="313">
        <f t="shared" si="735"/>
        <v>635.30840018237802</v>
      </c>
      <c r="DC1197" s="309">
        <f t="shared" si="736"/>
        <v>4</v>
      </c>
      <c r="DD1197" s="309">
        <f t="shared" si="737"/>
        <v>0</v>
      </c>
      <c r="DE1197" s="308">
        <f t="shared" si="738"/>
        <v>0</v>
      </c>
      <c r="DF1197" s="313">
        <f t="shared" si="752"/>
        <v>600</v>
      </c>
      <c r="DG1197" s="313">
        <f t="shared" si="756"/>
        <v>0</v>
      </c>
      <c r="DH1197" s="313">
        <f t="shared" si="742"/>
        <v>0</v>
      </c>
      <c r="DI1197" s="313">
        <f t="shared" si="743"/>
        <v>0</v>
      </c>
      <c r="DJ1197" s="313">
        <f t="shared" si="744"/>
        <v>0</v>
      </c>
      <c r="DK1197" s="313">
        <f t="shared" si="753"/>
        <v>0</v>
      </c>
      <c r="DL1197" s="313">
        <f t="shared" si="745"/>
        <v>0</v>
      </c>
      <c r="DM1197" s="314">
        <f t="shared" si="746"/>
        <v>0</v>
      </c>
      <c r="DN1197" s="312">
        <f t="shared" si="747"/>
        <v>0</v>
      </c>
      <c r="DO1197" s="312">
        <f t="shared" si="754"/>
        <v>0</v>
      </c>
      <c r="DP1197" s="315" t="e">
        <f t="shared" si="739"/>
        <v>#NUM!</v>
      </c>
      <c r="DQ1197" s="316">
        <f t="shared" si="748"/>
        <v>0</v>
      </c>
      <c r="DR1197" s="316">
        <f t="shared" si="749"/>
        <v>0</v>
      </c>
      <c r="DS1197" s="314">
        <f t="shared" si="750"/>
        <v>0</v>
      </c>
      <c r="DT1197" s="316">
        <f t="shared" si="751"/>
        <v>0</v>
      </c>
      <c r="DU1197" s="314">
        <f t="shared" si="740"/>
        <v>0</v>
      </c>
      <c r="DV1197" s="316">
        <f t="shared" si="755"/>
        <v>0</v>
      </c>
      <c r="DW1197" s="310">
        <f t="shared" si="741"/>
        <v>0</v>
      </c>
      <c r="FC1197" s="307"/>
      <c r="FD1197" s="166"/>
      <c r="FF1197" s="307"/>
      <c r="FH1197" s="306"/>
      <c r="FJ1197" s="307"/>
      <c r="FK1197" s="307"/>
      <c r="FL1197" s="306"/>
      <c r="FM1197" s="307"/>
      <c r="FN1197" s="306"/>
      <c r="FO1197" s="307"/>
      <c r="FP1197" s="306"/>
    </row>
    <row r="1198" spans="29:172">
      <c r="AC1198" s="156"/>
      <c r="CW1198" s="364"/>
      <c r="CX1198" s="316"/>
      <c r="CY1198" s="316"/>
      <c r="DA1198" s="309">
        <v>1197</v>
      </c>
      <c r="DB1198" s="313">
        <f t="shared" si="735"/>
        <v>635.67237041664418</v>
      </c>
      <c r="DC1198" s="309">
        <f t="shared" si="736"/>
        <v>4</v>
      </c>
      <c r="DD1198" s="309">
        <f t="shared" si="737"/>
        <v>0</v>
      </c>
      <c r="DE1198" s="308">
        <f t="shared" si="738"/>
        <v>0</v>
      </c>
      <c r="DF1198" s="313">
        <f t="shared" si="752"/>
        <v>600</v>
      </c>
      <c r="DG1198" s="313">
        <f t="shared" si="756"/>
        <v>0</v>
      </c>
      <c r="DH1198" s="313">
        <f t="shared" si="742"/>
        <v>0</v>
      </c>
      <c r="DI1198" s="313">
        <f t="shared" si="743"/>
        <v>0</v>
      </c>
      <c r="DJ1198" s="313">
        <f t="shared" si="744"/>
        <v>0</v>
      </c>
      <c r="DK1198" s="313">
        <f t="shared" si="753"/>
        <v>0</v>
      </c>
      <c r="DL1198" s="313">
        <f t="shared" si="745"/>
        <v>0</v>
      </c>
      <c r="DM1198" s="314">
        <f t="shared" si="746"/>
        <v>0</v>
      </c>
      <c r="DN1198" s="312">
        <f t="shared" si="747"/>
        <v>0</v>
      </c>
      <c r="DO1198" s="312">
        <f t="shared" si="754"/>
        <v>0</v>
      </c>
      <c r="DP1198" s="315" t="e">
        <f t="shared" si="739"/>
        <v>#NUM!</v>
      </c>
      <c r="DQ1198" s="316">
        <f t="shared" si="748"/>
        <v>0</v>
      </c>
      <c r="DR1198" s="316">
        <f t="shared" si="749"/>
        <v>0</v>
      </c>
      <c r="DS1198" s="314">
        <f t="shared" si="750"/>
        <v>0</v>
      </c>
      <c r="DT1198" s="316">
        <f t="shared" si="751"/>
        <v>0</v>
      </c>
      <c r="DU1198" s="314">
        <f t="shared" si="740"/>
        <v>0</v>
      </c>
      <c r="DV1198" s="316">
        <f t="shared" si="755"/>
        <v>0</v>
      </c>
      <c r="DW1198" s="310">
        <f t="shared" si="741"/>
        <v>0</v>
      </c>
      <c r="FC1198" s="307"/>
      <c r="FD1198" s="166"/>
      <c r="FF1198" s="307"/>
      <c r="FH1198" s="306"/>
      <c r="FJ1198" s="307"/>
      <c r="FK1198" s="307"/>
      <c r="FL1198" s="306"/>
      <c r="FM1198" s="307"/>
      <c r="FN1198" s="306"/>
      <c r="FO1198" s="307"/>
      <c r="FP1198" s="306"/>
    </row>
    <row r="1199" spans="29:172">
      <c r="AC1199" s="156"/>
      <c r="CW1199" s="364"/>
      <c r="CX1199" s="316"/>
      <c r="CY1199" s="316"/>
      <c r="DA1199" s="309">
        <v>1198</v>
      </c>
      <c r="DB1199" s="313">
        <f t="shared" si="735"/>
        <v>636.03634065091046</v>
      </c>
      <c r="DC1199" s="309">
        <f t="shared" si="736"/>
        <v>4</v>
      </c>
      <c r="DD1199" s="309">
        <f t="shared" si="737"/>
        <v>0</v>
      </c>
      <c r="DE1199" s="308">
        <f t="shared" si="738"/>
        <v>0</v>
      </c>
      <c r="DF1199" s="313">
        <f t="shared" si="752"/>
        <v>600</v>
      </c>
      <c r="DG1199" s="313">
        <f t="shared" si="756"/>
        <v>0</v>
      </c>
      <c r="DH1199" s="313">
        <f t="shared" si="742"/>
        <v>0</v>
      </c>
      <c r="DI1199" s="313">
        <f t="shared" si="743"/>
        <v>0</v>
      </c>
      <c r="DJ1199" s="313">
        <f t="shared" si="744"/>
        <v>0</v>
      </c>
      <c r="DK1199" s="313">
        <f t="shared" si="753"/>
        <v>0</v>
      </c>
      <c r="DL1199" s="313">
        <f t="shared" si="745"/>
        <v>0</v>
      </c>
      <c r="DM1199" s="314">
        <f t="shared" si="746"/>
        <v>0</v>
      </c>
      <c r="DN1199" s="312">
        <f t="shared" si="747"/>
        <v>0</v>
      </c>
      <c r="DO1199" s="312">
        <f t="shared" si="754"/>
        <v>0</v>
      </c>
      <c r="DP1199" s="315" t="e">
        <f t="shared" si="739"/>
        <v>#NUM!</v>
      </c>
      <c r="DQ1199" s="316">
        <f t="shared" si="748"/>
        <v>0</v>
      </c>
      <c r="DR1199" s="316">
        <f t="shared" si="749"/>
        <v>0</v>
      </c>
      <c r="DS1199" s="314">
        <f t="shared" si="750"/>
        <v>0</v>
      </c>
      <c r="DT1199" s="316">
        <f t="shared" si="751"/>
        <v>0</v>
      </c>
      <c r="DU1199" s="314">
        <f t="shared" si="740"/>
        <v>0</v>
      </c>
      <c r="DV1199" s="316">
        <f t="shared" si="755"/>
        <v>0</v>
      </c>
      <c r="DW1199" s="310">
        <f t="shared" si="741"/>
        <v>0</v>
      </c>
      <c r="FC1199" s="307"/>
      <c r="FD1199" s="166"/>
      <c r="FF1199" s="307"/>
      <c r="FH1199" s="306"/>
      <c r="FJ1199" s="307"/>
      <c r="FK1199" s="307"/>
      <c r="FL1199" s="306"/>
      <c r="FM1199" s="307"/>
      <c r="FN1199" s="306"/>
      <c r="FO1199" s="307"/>
      <c r="FP1199" s="306"/>
    </row>
    <row r="1200" spans="29:172">
      <c r="AC1200" s="156"/>
      <c r="CW1200" s="364"/>
      <c r="CX1200" s="316"/>
      <c r="CY1200" s="316"/>
      <c r="DA1200" s="309">
        <v>1199</v>
      </c>
      <c r="DB1200" s="313">
        <f t="shared" si="735"/>
        <v>636.40031088517662</v>
      </c>
      <c r="DC1200" s="309">
        <f t="shared" si="736"/>
        <v>4</v>
      </c>
      <c r="DD1200" s="309">
        <f t="shared" si="737"/>
        <v>0</v>
      </c>
      <c r="DE1200" s="308">
        <f t="shared" si="738"/>
        <v>0</v>
      </c>
      <c r="DF1200" s="313">
        <f t="shared" si="752"/>
        <v>600</v>
      </c>
      <c r="DG1200" s="313">
        <f t="shared" si="756"/>
        <v>0</v>
      </c>
      <c r="DH1200" s="313">
        <f t="shared" si="742"/>
        <v>0</v>
      </c>
      <c r="DI1200" s="313">
        <f t="shared" si="743"/>
        <v>0</v>
      </c>
      <c r="DJ1200" s="313">
        <f t="shared" si="744"/>
        <v>0</v>
      </c>
      <c r="DK1200" s="313">
        <f t="shared" si="753"/>
        <v>0</v>
      </c>
      <c r="DL1200" s="313">
        <f t="shared" si="745"/>
        <v>0</v>
      </c>
      <c r="DM1200" s="314">
        <f t="shared" si="746"/>
        <v>0</v>
      </c>
      <c r="DN1200" s="312">
        <f t="shared" si="747"/>
        <v>0</v>
      </c>
      <c r="DO1200" s="312">
        <f t="shared" si="754"/>
        <v>0</v>
      </c>
      <c r="DP1200" s="315" t="e">
        <f t="shared" si="739"/>
        <v>#NUM!</v>
      </c>
      <c r="DQ1200" s="316">
        <f t="shared" si="748"/>
        <v>0</v>
      </c>
      <c r="DR1200" s="316">
        <f t="shared" si="749"/>
        <v>0</v>
      </c>
      <c r="DS1200" s="314">
        <f t="shared" si="750"/>
        <v>0</v>
      </c>
      <c r="DT1200" s="316">
        <f t="shared" si="751"/>
        <v>0</v>
      </c>
      <c r="DU1200" s="314">
        <f t="shared" si="740"/>
        <v>0</v>
      </c>
      <c r="DV1200" s="316">
        <f>DV1201+DQ1200</f>
        <v>0</v>
      </c>
      <c r="DW1200" s="310">
        <f t="shared" si="741"/>
        <v>0</v>
      </c>
      <c r="FC1200" s="307"/>
      <c r="FD1200" s="166"/>
      <c r="FF1200" s="307"/>
      <c r="FH1200" s="306"/>
      <c r="FJ1200" s="307"/>
      <c r="FK1200" s="307"/>
      <c r="FL1200" s="306"/>
      <c r="FM1200" s="307"/>
      <c r="FN1200" s="306"/>
      <c r="FO1200" s="307"/>
      <c r="FP1200" s="306"/>
    </row>
    <row r="1201" spans="29:172">
      <c r="AC1201" s="156"/>
      <c r="CW1201" s="364"/>
      <c r="CX1201" s="316"/>
      <c r="CY1201" s="316"/>
      <c r="DA1201" s="309">
        <v>1200</v>
      </c>
      <c r="DB1201" s="313">
        <f t="shared" si="735"/>
        <v>636.76428111944278</v>
      </c>
      <c r="DC1201" s="309">
        <f t="shared" si="736"/>
        <v>4</v>
      </c>
      <c r="DD1201" s="309">
        <f t="shared" si="737"/>
        <v>0</v>
      </c>
      <c r="DE1201" s="308">
        <f t="shared" si="738"/>
        <v>0</v>
      </c>
      <c r="DF1201" s="313">
        <f t="shared" si="752"/>
        <v>600</v>
      </c>
      <c r="DG1201" s="313">
        <f t="shared" si="756"/>
        <v>0</v>
      </c>
      <c r="DH1201" s="313">
        <f t="shared" si="742"/>
        <v>0</v>
      </c>
      <c r="DI1201" s="313">
        <f t="shared" si="743"/>
        <v>0</v>
      </c>
      <c r="DJ1201" s="313">
        <f t="shared" si="744"/>
        <v>0</v>
      </c>
      <c r="DK1201" s="313">
        <f t="shared" si="753"/>
        <v>0</v>
      </c>
      <c r="DL1201" s="313">
        <f t="shared" si="745"/>
        <v>0</v>
      </c>
      <c r="DM1201" s="314">
        <f t="shared" si="746"/>
        <v>0</v>
      </c>
      <c r="DN1201" s="312">
        <f t="shared" si="747"/>
        <v>0</v>
      </c>
      <c r="DO1201" s="312">
        <f t="shared" si="754"/>
        <v>0</v>
      </c>
      <c r="DP1201" s="315" t="e">
        <f t="shared" si="739"/>
        <v>#NUM!</v>
      </c>
      <c r="DQ1201" s="316">
        <f t="shared" si="748"/>
        <v>0</v>
      </c>
      <c r="DR1201" s="316">
        <f t="shared" si="749"/>
        <v>0</v>
      </c>
      <c r="DS1201" s="314">
        <f t="shared" si="750"/>
        <v>0</v>
      </c>
      <c r="DT1201" s="316">
        <f t="shared" si="751"/>
        <v>0</v>
      </c>
      <c r="DU1201" s="314">
        <f t="shared" si="740"/>
        <v>0</v>
      </c>
      <c r="DV1201" s="316">
        <v>0</v>
      </c>
      <c r="DW1201" s="310">
        <f t="shared" si="741"/>
        <v>0</v>
      </c>
      <c r="FC1201" s="307"/>
      <c r="FD1201" s="166"/>
      <c r="FF1201" s="307"/>
      <c r="FH1201" s="306"/>
      <c r="FJ1201" s="307"/>
      <c r="FK1201" s="307"/>
      <c r="FL1201" s="306"/>
      <c r="FM1201" s="307"/>
      <c r="FN1201" s="306"/>
      <c r="FO1201" s="307"/>
      <c r="FP1201" s="306"/>
    </row>
    <row r="1202" spans="29:172">
      <c r="FC1202" s="307"/>
      <c r="FD1202" s="166"/>
      <c r="FF1202" s="307"/>
      <c r="FH1202" s="306"/>
      <c r="FJ1202" s="307"/>
      <c r="FK1202" s="307"/>
      <c r="FL1202" s="306"/>
      <c r="FM1202" s="307"/>
      <c r="FN1202" s="306"/>
      <c r="FO1202" s="307"/>
      <c r="FP1202" s="306"/>
    </row>
    <row r="1203" spans="29:172">
      <c r="FC1203" s="307"/>
      <c r="FD1203" s="166"/>
      <c r="FF1203" s="307"/>
      <c r="FH1203" s="306"/>
      <c r="FJ1203" s="307"/>
      <c r="FK1203" s="307"/>
      <c r="FL1203" s="306"/>
      <c r="FM1203" s="307"/>
      <c r="FN1203" s="306"/>
      <c r="FO1203" s="307"/>
      <c r="FP1203" s="306"/>
    </row>
    <row r="1204" spans="29:172">
      <c r="FC1204" s="307"/>
      <c r="FD1204" s="166"/>
      <c r="FF1204" s="307"/>
      <c r="FH1204" s="306"/>
      <c r="FJ1204" s="307"/>
      <c r="FK1204" s="307"/>
      <c r="FL1204" s="306"/>
      <c r="FM1204" s="307"/>
      <c r="FN1204" s="306"/>
      <c r="FO1204" s="307"/>
      <c r="FP1204" s="306"/>
    </row>
    <row r="1205" spans="29:172">
      <c r="FC1205" s="307"/>
      <c r="FD1205" s="166"/>
      <c r="FF1205" s="307"/>
      <c r="FH1205" s="306"/>
      <c r="FJ1205" s="307"/>
      <c r="FK1205" s="307"/>
      <c r="FL1205" s="306"/>
      <c r="FM1205" s="307"/>
      <c r="FN1205" s="306"/>
      <c r="FO1205" s="307"/>
      <c r="FP1205" s="306"/>
    </row>
    <row r="1206" spans="29:172">
      <c r="FC1206" s="307"/>
      <c r="FD1206" s="166"/>
      <c r="FF1206" s="307"/>
      <c r="FH1206" s="306"/>
      <c r="FJ1206" s="307"/>
      <c r="FK1206" s="307"/>
      <c r="FL1206" s="306"/>
      <c r="FM1206" s="307"/>
      <c r="FN1206" s="306"/>
      <c r="FO1206" s="307"/>
      <c r="FP1206" s="306"/>
    </row>
    <row r="1207" spans="29:172">
      <c r="FC1207" s="307"/>
      <c r="FD1207" s="166"/>
      <c r="FF1207" s="307"/>
      <c r="FH1207" s="306"/>
      <c r="FJ1207" s="307"/>
      <c r="FK1207" s="307"/>
      <c r="FL1207" s="306"/>
      <c r="FM1207" s="307"/>
      <c r="FN1207" s="306"/>
      <c r="FO1207" s="307"/>
      <c r="FP1207" s="306"/>
    </row>
    <row r="1208" spans="29:172">
      <c r="FC1208" s="307"/>
      <c r="FD1208" s="166"/>
      <c r="FF1208" s="307"/>
      <c r="FH1208" s="306"/>
      <c r="FJ1208" s="307"/>
      <c r="FK1208" s="307"/>
      <c r="FL1208" s="306"/>
      <c r="FM1208" s="307"/>
      <c r="FN1208" s="306"/>
      <c r="FO1208" s="307"/>
      <c r="FP1208" s="306"/>
    </row>
    <row r="1209" spans="29:172">
      <c r="FC1209" s="307"/>
      <c r="FD1209" s="166"/>
      <c r="FF1209" s="307"/>
      <c r="FH1209" s="306"/>
      <c r="FJ1209" s="307"/>
      <c r="FK1209" s="307"/>
      <c r="FL1209" s="306"/>
      <c r="FM1209" s="307"/>
      <c r="FN1209" s="306"/>
      <c r="FO1209" s="307"/>
      <c r="FP1209" s="306"/>
    </row>
    <row r="1210" spans="29:172">
      <c r="FC1210" s="307"/>
      <c r="FD1210" s="166"/>
      <c r="FF1210" s="307"/>
      <c r="FH1210" s="306"/>
      <c r="FJ1210" s="307"/>
      <c r="FK1210" s="307"/>
      <c r="FL1210" s="306"/>
      <c r="FM1210" s="307"/>
      <c r="FN1210" s="306"/>
      <c r="FO1210" s="307"/>
      <c r="FP1210" s="306"/>
    </row>
    <row r="1211" spans="29:172">
      <c r="FC1211" s="307"/>
      <c r="FD1211" s="166"/>
      <c r="FF1211" s="307"/>
      <c r="FH1211" s="306"/>
      <c r="FJ1211" s="307"/>
      <c r="FK1211" s="307"/>
      <c r="FL1211" s="306"/>
      <c r="FM1211" s="307"/>
      <c r="FN1211" s="306"/>
      <c r="FO1211" s="307"/>
      <c r="FP1211" s="306"/>
    </row>
    <row r="1212" spans="29:172">
      <c r="FC1212" s="307"/>
      <c r="FD1212" s="166"/>
      <c r="FF1212" s="307"/>
      <c r="FH1212" s="306"/>
      <c r="FJ1212" s="307"/>
      <c r="FK1212" s="307"/>
      <c r="FL1212" s="306"/>
      <c r="FM1212" s="307"/>
      <c r="FN1212" s="306"/>
      <c r="FO1212" s="307"/>
      <c r="FP1212" s="306"/>
    </row>
    <row r="1213" spans="29:172">
      <c r="FC1213" s="307"/>
      <c r="FD1213" s="166"/>
      <c r="FF1213" s="307"/>
      <c r="FH1213" s="306"/>
      <c r="FJ1213" s="307"/>
      <c r="FK1213" s="307"/>
      <c r="FL1213" s="306"/>
      <c r="FM1213" s="307"/>
      <c r="FN1213" s="306"/>
      <c r="FO1213" s="307"/>
      <c r="FP1213" s="306"/>
    </row>
    <row r="1214" spans="29:172">
      <c r="FC1214" s="307"/>
      <c r="FD1214" s="166"/>
      <c r="FF1214" s="307"/>
      <c r="FH1214" s="306"/>
      <c r="FJ1214" s="307"/>
      <c r="FK1214" s="307"/>
      <c r="FL1214" s="306"/>
      <c r="FM1214" s="307"/>
      <c r="FN1214" s="306"/>
      <c r="FO1214" s="307"/>
      <c r="FP1214" s="306"/>
    </row>
    <row r="1215" spans="29:172">
      <c r="FC1215" s="307"/>
      <c r="FD1215" s="166"/>
      <c r="FF1215" s="307"/>
      <c r="FH1215" s="306"/>
      <c r="FJ1215" s="307"/>
      <c r="FK1215" s="307"/>
      <c r="FL1215" s="306"/>
      <c r="FM1215" s="307"/>
      <c r="FN1215" s="306"/>
      <c r="FO1215" s="307"/>
      <c r="FP1215" s="306"/>
    </row>
    <row r="1216" spans="29:172">
      <c r="FC1216" s="307"/>
      <c r="FD1216" s="166"/>
      <c r="FF1216" s="307"/>
      <c r="FH1216" s="306"/>
      <c r="FJ1216" s="307"/>
      <c r="FK1216" s="307"/>
      <c r="FL1216" s="306"/>
      <c r="FM1216" s="307"/>
      <c r="FN1216" s="306"/>
      <c r="FO1216" s="307"/>
      <c r="FP1216" s="306"/>
    </row>
    <row r="1217" spans="159:172">
      <c r="FC1217" s="307"/>
      <c r="FD1217" s="166"/>
      <c r="FF1217" s="307"/>
      <c r="FH1217" s="306"/>
      <c r="FJ1217" s="307"/>
      <c r="FK1217" s="307"/>
      <c r="FL1217" s="306"/>
      <c r="FM1217" s="307"/>
      <c r="FN1217" s="306"/>
      <c r="FO1217" s="307"/>
      <c r="FP1217" s="306"/>
    </row>
    <row r="1218" spans="159:172">
      <c r="FC1218" s="307"/>
      <c r="FD1218" s="166"/>
      <c r="FF1218" s="307"/>
      <c r="FH1218" s="306"/>
      <c r="FJ1218" s="307"/>
      <c r="FK1218" s="307"/>
      <c r="FL1218" s="306"/>
      <c r="FM1218" s="307"/>
      <c r="FN1218" s="306"/>
      <c r="FO1218" s="307"/>
      <c r="FP1218" s="306"/>
    </row>
    <row r="1219" spans="159:172">
      <c r="FC1219" s="307"/>
      <c r="FD1219" s="166"/>
      <c r="FF1219" s="307"/>
      <c r="FH1219" s="306"/>
      <c r="FJ1219" s="307"/>
      <c r="FK1219" s="307"/>
      <c r="FL1219" s="306"/>
      <c r="FM1219" s="307"/>
      <c r="FN1219" s="306"/>
      <c r="FO1219" s="307"/>
      <c r="FP1219" s="306"/>
    </row>
    <row r="1220" spans="159:172">
      <c r="FC1220" s="307"/>
      <c r="FD1220" s="166"/>
      <c r="FF1220" s="307"/>
      <c r="FH1220" s="306"/>
      <c r="FJ1220" s="307"/>
      <c r="FK1220" s="307"/>
      <c r="FL1220" s="306"/>
      <c r="FM1220" s="307"/>
      <c r="FN1220" s="306"/>
      <c r="FO1220" s="307"/>
      <c r="FP1220" s="306"/>
    </row>
    <row r="1221" spans="159:172">
      <c r="FC1221" s="307"/>
      <c r="FD1221" s="166"/>
      <c r="FF1221" s="307"/>
      <c r="FH1221" s="306"/>
      <c r="FJ1221" s="307"/>
      <c r="FK1221" s="307"/>
      <c r="FL1221" s="306"/>
      <c r="FM1221" s="307"/>
      <c r="FN1221" s="306"/>
      <c r="FO1221" s="307"/>
      <c r="FP1221" s="306"/>
    </row>
    <row r="1222" spans="159:172">
      <c r="FC1222" s="307"/>
      <c r="FD1222" s="166"/>
      <c r="FF1222" s="307"/>
      <c r="FH1222" s="306"/>
      <c r="FJ1222" s="307"/>
      <c r="FK1222" s="307"/>
      <c r="FL1222" s="306"/>
      <c r="FM1222" s="307"/>
      <c r="FN1222" s="306"/>
      <c r="FO1222" s="307"/>
      <c r="FP1222" s="306"/>
    </row>
    <row r="1223" spans="159:172">
      <c r="FC1223" s="307"/>
      <c r="FD1223" s="166"/>
      <c r="FF1223" s="307"/>
      <c r="FH1223" s="306"/>
      <c r="FJ1223" s="307"/>
      <c r="FK1223" s="307"/>
      <c r="FL1223" s="306"/>
      <c r="FM1223" s="307"/>
      <c r="FN1223" s="306"/>
      <c r="FO1223" s="307"/>
      <c r="FP1223" s="306"/>
    </row>
    <row r="1224" spans="159:172">
      <c r="FC1224" s="307"/>
      <c r="FD1224" s="166"/>
      <c r="FF1224" s="307"/>
      <c r="FH1224" s="306"/>
      <c r="FJ1224" s="307"/>
      <c r="FK1224" s="307"/>
      <c r="FL1224" s="306"/>
      <c r="FM1224" s="307"/>
      <c r="FN1224" s="306"/>
      <c r="FO1224" s="307"/>
      <c r="FP1224" s="306"/>
    </row>
    <row r="1225" spans="159:172">
      <c r="FC1225" s="307"/>
      <c r="FD1225" s="166"/>
      <c r="FF1225" s="307"/>
      <c r="FH1225" s="306"/>
      <c r="FJ1225" s="307"/>
      <c r="FK1225" s="307"/>
      <c r="FL1225" s="306"/>
      <c r="FM1225" s="307"/>
      <c r="FN1225" s="306"/>
      <c r="FO1225" s="307"/>
      <c r="FP1225" s="306"/>
    </row>
    <row r="1226" spans="159:172">
      <c r="FC1226" s="307"/>
      <c r="FD1226" s="166"/>
      <c r="FF1226" s="307"/>
      <c r="FH1226" s="306"/>
      <c r="FJ1226" s="307"/>
      <c r="FK1226" s="307"/>
      <c r="FL1226" s="306"/>
      <c r="FM1226" s="307"/>
      <c r="FN1226" s="306"/>
      <c r="FO1226" s="307"/>
      <c r="FP1226" s="306"/>
    </row>
    <row r="1227" spans="159:172">
      <c r="FC1227" s="307"/>
      <c r="FD1227" s="166"/>
      <c r="FF1227" s="307"/>
      <c r="FH1227" s="306"/>
      <c r="FJ1227" s="307"/>
      <c r="FK1227" s="307"/>
      <c r="FL1227" s="306"/>
      <c r="FM1227" s="307"/>
      <c r="FN1227" s="306"/>
      <c r="FO1227" s="307"/>
      <c r="FP1227" s="306"/>
    </row>
    <row r="1228" spans="159:172">
      <c r="FC1228" s="307"/>
      <c r="FD1228" s="166"/>
      <c r="FF1228" s="307"/>
      <c r="FH1228" s="306"/>
      <c r="FJ1228" s="307"/>
      <c r="FK1228" s="307"/>
      <c r="FL1228" s="306"/>
      <c r="FM1228" s="307"/>
      <c r="FN1228" s="306"/>
      <c r="FO1228" s="307"/>
      <c r="FP1228" s="306"/>
    </row>
    <row r="1229" spans="159:172">
      <c r="FC1229" s="307"/>
      <c r="FD1229" s="166"/>
      <c r="FF1229" s="307"/>
      <c r="FH1229" s="306"/>
      <c r="FJ1229" s="307"/>
      <c r="FK1229" s="307"/>
      <c r="FL1229" s="306"/>
      <c r="FM1229" s="307"/>
      <c r="FN1229" s="306"/>
      <c r="FO1229" s="307"/>
      <c r="FP1229" s="306"/>
    </row>
    <row r="1230" spans="159:172">
      <c r="FC1230" s="307"/>
      <c r="FD1230" s="166"/>
      <c r="FF1230" s="307"/>
      <c r="FH1230" s="306"/>
      <c r="FJ1230" s="307"/>
      <c r="FK1230" s="307"/>
      <c r="FL1230" s="306"/>
      <c r="FM1230" s="307"/>
      <c r="FN1230" s="306"/>
      <c r="FO1230" s="307"/>
      <c r="FP1230" s="306"/>
    </row>
    <row r="1231" spans="159:172">
      <c r="FC1231" s="307"/>
      <c r="FD1231" s="166"/>
      <c r="FF1231" s="307"/>
      <c r="FH1231" s="306"/>
      <c r="FJ1231" s="307"/>
      <c r="FK1231" s="307"/>
      <c r="FL1231" s="306"/>
      <c r="FM1231" s="307"/>
      <c r="FN1231" s="306"/>
      <c r="FO1231" s="307"/>
      <c r="FP1231" s="306"/>
    </row>
    <row r="1232" spans="159:172">
      <c r="FC1232" s="307"/>
      <c r="FD1232" s="166"/>
      <c r="FF1232" s="307"/>
      <c r="FH1232" s="306"/>
      <c r="FJ1232" s="307"/>
      <c r="FK1232" s="307"/>
      <c r="FL1232" s="306"/>
      <c r="FM1232" s="307"/>
      <c r="FN1232" s="306"/>
      <c r="FO1232" s="307"/>
      <c r="FP1232" s="306"/>
    </row>
    <row r="1233" spans="159:172">
      <c r="FC1233" s="307"/>
      <c r="FD1233" s="166"/>
      <c r="FF1233" s="307"/>
      <c r="FH1233" s="306"/>
      <c r="FJ1233" s="307"/>
      <c r="FK1233" s="307"/>
      <c r="FL1233" s="306"/>
      <c r="FM1233" s="307"/>
      <c r="FN1233" s="306"/>
      <c r="FO1233" s="307"/>
      <c r="FP1233" s="306"/>
    </row>
    <row r="1234" spans="159:172">
      <c r="FC1234" s="307"/>
      <c r="FD1234" s="166"/>
      <c r="FF1234" s="307"/>
      <c r="FH1234" s="306"/>
      <c r="FJ1234" s="307"/>
      <c r="FK1234" s="307"/>
      <c r="FL1234" s="306"/>
      <c r="FM1234" s="307"/>
      <c r="FN1234" s="306"/>
      <c r="FO1234" s="307"/>
      <c r="FP1234" s="306"/>
    </row>
    <row r="1235" spans="159:172">
      <c r="FC1235" s="307"/>
      <c r="FD1235" s="166"/>
      <c r="FF1235" s="307"/>
      <c r="FH1235" s="306"/>
      <c r="FJ1235" s="307"/>
      <c r="FK1235" s="307"/>
      <c r="FL1235" s="306"/>
      <c r="FM1235" s="307"/>
      <c r="FN1235" s="306"/>
      <c r="FO1235" s="307"/>
      <c r="FP1235" s="306"/>
    </row>
    <row r="1236" spans="159:172">
      <c r="FC1236" s="307"/>
      <c r="FD1236" s="166"/>
      <c r="FF1236" s="307"/>
      <c r="FH1236" s="306"/>
      <c r="FJ1236" s="307"/>
      <c r="FK1236" s="307"/>
      <c r="FL1236" s="306"/>
      <c r="FM1236" s="307"/>
      <c r="FN1236" s="306"/>
      <c r="FO1236" s="307"/>
      <c r="FP1236" s="306"/>
    </row>
    <row r="1237" spans="159:172">
      <c r="FC1237" s="307"/>
      <c r="FD1237" s="166"/>
      <c r="FF1237" s="307"/>
      <c r="FH1237" s="306"/>
      <c r="FJ1237" s="307"/>
      <c r="FK1237" s="307"/>
      <c r="FL1237" s="306"/>
      <c r="FM1237" s="307"/>
      <c r="FN1237" s="306"/>
      <c r="FO1237" s="307"/>
      <c r="FP1237" s="306"/>
    </row>
    <row r="1238" spans="159:172">
      <c r="FC1238" s="307"/>
      <c r="FD1238" s="166"/>
      <c r="FF1238" s="307"/>
      <c r="FH1238" s="306"/>
      <c r="FJ1238" s="307"/>
      <c r="FK1238" s="307"/>
      <c r="FL1238" s="306"/>
      <c r="FM1238" s="307"/>
      <c r="FN1238" s="306"/>
      <c r="FO1238" s="307"/>
      <c r="FP1238" s="306"/>
    </row>
    <row r="1239" spans="159:172">
      <c r="FC1239" s="307"/>
      <c r="FD1239" s="166"/>
      <c r="FF1239" s="307"/>
      <c r="FH1239" s="306"/>
      <c r="FJ1239" s="307"/>
      <c r="FK1239" s="307"/>
      <c r="FL1239" s="306"/>
      <c r="FM1239" s="307"/>
      <c r="FN1239" s="306"/>
      <c r="FO1239" s="307"/>
      <c r="FP1239" s="306"/>
    </row>
    <row r="1240" spans="159:172">
      <c r="FC1240" s="307"/>
      <c r="FD1240" s="166"/>
      <c r="FF1240" s="307"/>
      <c r="FH1240" s="306"/>
      <c r="FJ1240" s="307"/>
      <c r="FK1240" s="307"/>
      <c r="FL1240" s="306"/>
      <c r="FM1240" s="307"/>
      <c r="FN1240" s="306"/>
      <c r="FO1240" s="307"/>
      <c r="FP1240" s="306"/>
    </row>
    <row r="1241" spans="159:172">
      <c r="FC1241" s="307"/>
      <c r="FD1241" s="166"/>
      <c r="FF1241" s="307"/>
      <c r="FH1241" s="306"/>
      <c r="FJ1241" s="307"/>
      <c r="FK1241" s="307"/>
      <c r="FL1241" s="306"/>
      <c r="FM1241" s="307"/>
      <c r="FN1241" s="306"/>
      <c r="FO1241" s="307"/>
      <c r="FP1241" s="306"/>
    </row>
    <row r="1242" spans="159:172">
      <c r="FC1242" s="307"/>
      <c r="FD1242" s="166"/>
      <c r="FF1242" s="307"/>
      <c r="FH1242" s="306"/>
      <c r="FJ1242" s="307"/>
      <c r="FK1242" s="307"/>
      <c r="FL1242" s="306"/>
      <c r="FM1242" s="307"/>
      <c r="FN1242" s="306"/>
      <c r="FO1242" s="307"/>
      <c r="FP1242" s="306"/>
    </row>
    <row r="1243" spans="159:172">
      <c r="FC1243" s="307"/>
      <c r="FD1243" s="166"/>
      <c r="FF1243" s="307"/>
      <c r="FH1243" s="306"/>
      <c r="FJ1243" s="307"/>
      <c r="FK1243" s="307"/>
      <c r="FL1243" s="306"/>
      <c r="FM1243" s="307"/>
      <c r="FN1243" s="306"/>
      <c r="FO1243" s="307"/>
      <c r="FP1243" s="306"/>
    </row>
    <row r="1244" spans="159:172">
      <c r="FC1244" s="307"/>
      <c r="FD1244" s="166"/>
      <c r="FF1244" s="307"/>
      <c r="FH1244" s="306"/>
      <c r="FJ1244" s="307"/>
      <c r="FK1244" s="307"/>
      <c r="FL1244" s="306"/>
      <c r="FM1244" s="307"/>
      <c r="FN1244" s="306"/>
      <c r="FO1244" s="307"/>
      <c r="FP1244" s="306"/>
    </row>
    <row r="1245" spans="159:172">
      <c r="FC1245" s="307"/>
      <c r="FD1245" s="166"/>
      <c r="FF1245" s="307"/>
      <c r="FH1245" s="306"/>
      <c r="FJ1245" s="307"/>
      <c r="FK1245" s="307"/>
      <c r="FL1245" s="306"/>
      <c r="FM1245" s="307"/>
      <c r="FN1245" s="306"/>
      <c r="FO1245" s="307"/>
      <c r="FP1245" s="306"/>
    </row>
    <row r="1246" spans="159:172">
      <c r="FC1246" s="307"/>
      <c r="FD1246" s="166"/>
      <c r="FF1246" s="307"/>
      <c r="FH1246" s="306"/>
      <c r="FJ1246" s="307"/>
      <c r="FK1246" s="307"/>
      <c r="FL1246" s="306"/>
      <c r="FM1246" s="307"/>
      <c r="FN1246" s="306"/>
      <c r="FO1246" s="307"/>
      <c r="FP1246" s="306"/>
    </row>
    <row r="1247" spans="159:172">
      <c r="FC1247" s="307"/>
      <c r="FD1247" s="166"/>
      <c r="FF1247" s="307"/>
      <c r="FH1247" s="306"/>
      <c r="FJ1247" s="307"/>
      <c r="FK1247" s="307"/>
      <c r="FL1247" s="306"/>
      <c r="FM1247" s="307"/>
      <c r="FN1247" s="306"/>
      <c r="FO1247" s="307"/>
      <c r="FP1247" s="306"/>
    </row>
    <row r="1248" spans="159:172">
      <c r="FC1248" s="307"/>
      <c r="FD1248" s="166"/>
      <c r="FF1248" s="307"/>
      <c r="FH1248" s="306"/>
      <c r="FJ1248" s="307"/>
      <c r="FK1248" s="307"/>
      <c r="FL1248" s="306"/>
      <c r="FM1248" s="307"/>
      <c r="FN1248" s="306"/>
      <c r="FO1248" s="307"/>
      <c r="FP1248" s="306"/>
    </row>
    <row r="1249" spans="159:172">
      <c r="FC1249" s="307"/>
      <c r="FD1249" s="166"/>
      <c r="FF1249" s="307"/>
      <c r="FH1249" s="306"/>
      <c r="FJ1249" s="307"/>
      <c r="FK1249" s="307"/>
      <c r="FL1249" s="306"/>
      <c r="FM1249" s="307"/>
      <c r="FN1249" s="306"/>
      <c r="FO1249" s="307"/>
      <c r="FP1249" s="306"/>
    </row>
    <row r="1250" spans="159:172">
      <c r="FC1250" s="307"/>
      <c r="FD1250" s="166"/>
      <c r="FF1250" s="307"/>
      <c r="FH1250" s="306"/>
      <c r="FJ1250" s="307"/>
      <c r="FK1250" s="307"/>
      <c r="FL1250" s="306"/>
      <c r="FM1250" s="307"/>
      <c r="FN1250" s="306"/>
      <c r="FO1250" s="307"/>
      <c r="FP1250" s="306"/>
    </row>
    <row r="1251" spans="159:172">
      <c r="FC1251" s="307"/>
      <c r="FD1251" s="166"/>
      <c r="FF1251" s="307"/>
      <c r="FH1251" s="306"/>
      <c r="FJ1251" s="307"/>
      <c r="FK1251" s="307"/>
      <c r="FL1251" s="306"/>
      <c r="FM1251" s="307"/>
      <c r="FN1251" s="306"/>
      <c r="FO1251" s="307"/>
      <c r="FP1251" s="306"/>
    </row>
    <row r="1252" spans="159:172">
      <c r="FC1252" s="307"/>
      <c r="FD1252" s="166"/>
      <c r="FF1252" s="307"/>
      <c r="FH1252" s="306"/>
      <c r="FJ1252" s="307"/>
      <c r="FK1252" s="307"/>
      <c r="FL1252" s="306"/>
      <c r="FM1252" s="307"/>
      <c r="FN1252" s="306"/>
      <c r="FO1252" s="307"/>
      <c r="FP1252" s="306"/>
    </row>
    <row r="1253" spans="159:172">
      <c r="FC1253" s="307"/>
      <c r="FD1253" s="166"/>
      <c r="FF1253" s="307"/>
      <c r="FH1253" s="306"/>
      <c r="FJ1253" s="307"/>
      <c r="FK1253" s="307"/>
      <c r="FL1253" s="306"/>
      <c r="FM1253" s="307"/>
      <c r="FN1253" s="306"/>
      <c r="FO1253" s="307"/>
      <c r="FP1253" s="306"/>
    </row>
    <row r="1254" spans="159:172">
      <c r="FC1254" s="307"/>
      <c r="FD1254" s="166"/>
      <c r="FF1254" s="307"/>
      <c r="FH1254" s="306"/>
      <c r="FJ1254" s="307"/>
      <c r="FK1254" s="307"/>
      <c r="FL1254" s="306"/>
      <c r="FM1254" s="307"/>
      <c r="FN1254" s="306"/>
      <c r="FO1254" s="307"/>
      <c r="FP1254" s="306"/>
    </row>
    <row r="1255" spans="159:172">
      <c r="FC1255" s="307"/>
      <c r="FD1255" s="166"/>
      <c r="FF1255" s="307"/>
      <c r="FH1255" s="306"/>
      <c r="FJ1255" s="307"/>
      <c r="FK1255" s="307"/>
      <c r="FL1255" s="306"/>
      <c r="FM1255" s="307"/>
      <c r="FN1255" s="306"/>
      <c r="FO1255" s="307"/>
      <c r="FP1255" s="306"/>
    </row>
    <row r="1256" spans="159:172">
      <c r="FC1256" s="307"/>
      <c r="FD1256" s="166"/>
      <c r="FF1256" s="307"/>
      <c r="FH1256" s="306"/>
      <c r="FJ1256" s="307"/>
      <c r="FK1256" s="307"/>
      <c r="FL1256" s="306"/>
      <c r="FM1256" s="307"/>
      <c r="FN1256" s="306"/>
      <c r="FO1256" s="307"/>
      <c r="FP1256" s="306"/>
    </row>
    <row r="1257" spans="159:172">
      <c r="FC1257" s="307"/>
      <c r="FD1257" s="166"/>
      <c r="FF1257" s="307"/>
      <c r="FH1257" s="306"/>
      <c r="FJ1257" s="307"/>
      <c r="FK1257" s="307"/>
      <c r="FL1257" s="306"/>
      <c r="FM1257" s="307"/>
      <c r="FN1257" s="306"/>
      <c r="FO1257" s="307"/>
      <c r="FP1257" s="306"/>
    </row>
    <row r="1258" spans="159:172">
      <c r="FC1258" s="307"/>
      <c r="FD1258" s="166"/>
      <c r="FF1258" s="307"/>
      <c r="FH1258" s="306"/>
      <c r="FJ1258" s="307"/>
      <c r="FK1258" s="307"/>
      <c r="FL1258" s="306"/>
      <c r="FM1258" s="307"/>
      <c r="FN1258" s="306"/>
      <c r="FO1258" s="307"/>
      <c r="FP1258" s="306"/>
    </row>
    <row r="1259" spans="159:172">
      <c r="FC1259" s="307"/>
      <c r="FD1259" s="166"/>
      <c r="FF1259" s="307"/>
      <c r="FH1259" s="306"/>
      <c r="FJ1259" s="307"/>
      <c r="FK1259" s="307"/>
      <c r="FL1259" s="306"/>
      <c r="FM1259" s="307"/>
      <c r="FN1259" s="306"/>
      <c r="FO1259" s="307"/>
      <c r="FP1259" s="306"/>
    </row>
    <row r="1260" spans="159:172">
      <c r="FC1260" s="307"/>
      <c r="FD1260" s="166"/>
      <c r="FF1260" s="307"/>
      <c r="FH1260" s="306"/>
      <c r="FJ1260" s="307"/>
      <c r="FK1260" s="307"/>
      <c r="FL1260" s="306"/>
      <c r="FM1260" s="307"/>
      <c r="FN1260" s="306"/>
      <c r="FO1260" s="307"/>
      <c r="FP1260" s="306"/>
    </row>
    <row r="1261" spans="159:172">
      <c r="FC1261" s="307"/>
      <c r="FD1261" s="166"/>
      <c r="FF1261" s="307"/>
      <c r="FH1261" s="306"/>
      <c r="FJ1261" s="307"/>
      <c r="FK1261" s="307"/>
      <c r="FL1261" s="306"/>
      <c r="FM1261" s="307"/>
      <c r="FN1261" s="306"/>
      <c r="FO1261" s="307"/>
      <c r="FP1261" s="306"/>
    </row>
    <row r="1262" spans="159:172">
      <c r="FC1262" s="307"/>
      <c r="FD1262" s="166"/>
      <c r="FF1262" s="307"/>
      <c r="FH1262" s="306"/>
      <c r="FJ1262" s="307"/>
      <c r="FK1262" s="307"/>
      <c r="FL1262" s="306"/>
      <c r="FM1262" s="307"/>
      <c r="FN1262" s="306"/>
      <c r="FO1262" s="307"/>
      <c r="FP1262" s="306"/>
    </row>
    <row r="1263" spans="159:172">
      <c r="FC1263" s="307"/>
      <c r="FD1263" s="166"/>
      <c r="FF1263" s="307"/>
      <c r="FH1263" s="306"/>
      <c r="FJ1263" s="307"/>
      <c r="FK1263" s="307"/>
      <c r="FL1263" s="306"/>
      <c r="FM1263" s="307"/>
      <c r="FN1263" s="306"/>
      <c r="FO1263" s="307"/>
      <c r="FP1263" s="306"/>
    </row>
    <row r="1264" spans="159:172">
      <c r="FC1264" s="307"/>
      <c r="FD1264" s="166"/>
      <c r="FF1264" s="307"/>
      <c r="FH1264" s="306"/>
      <c r="FJ1264" s="307"/>
      <c r="FK1264" s="307"/>
      <c r="FL1264" s="306"/>
      <c r="FM1264" s="307"/>
      <c r="FN1264" s="306"/>
      <c r="FO1264" s="307"/>
      <c r="FP1264" s="306"/>
    </row>
    <row r="1265" spans="159:172">
      <c r="FC1265" s="307"/>
      <c r="FD1265" s="166"/>
      <c r="FF1265" s="307"/>
      <c r="FH1265" s="306"/>
      <c r="FJ1265" s="307"/>
      <c r="FK1265" s="307"/>
      <c r="FL1265" s="306"/>
      <c r="FM1265" s="307"/>
      <c r="FN1265" s="306"/>
      <c r="FO1265" s="307"/>
      <c r="FP1265" s="306"/>
    </row>
    <row r="1266" spans="159:172">
      <c r="FC1266" s="307"/>
      <c r="FD1266" s="166"/>
      <c r="FF1266" s="307"/>
      <c r="FH1266" s="306"/>
      <c r="FJ1266" s="307"/>
      <c r="FK1266" s="307"/>
      <c r="FL1266" s="306"/>
      <c r="FM1266" s="307"/>
      <c r="FN1266" s="306"/>
      <c r="FO1266" s="307"/>
      <c r="FP1266" s="306"/>
    </row>
    <row r="1267" spans="159:172">
      <c r="FC1267" s="307"/>
      <c r="FD1267" s="166"/>
      <c r="FF1267" s="307"/>
      <c r="FH1267" s="306"/>
      <c r="FJ1267" s="307"/>
      <c r="FK1267" s="307"/>
      <c r="FL1267" s="306"/>
      <c r="FM1267" s="307"/>
      <c r="FN1267" s="306"/>
      <c r="FO1267" s="307"/>
      <c r="FP1267" s="306"/>
    </row>
    <row r="1268" spans="159:172">
      <c r="FC1268" s="307"/>
      <c r="FD1268" s="166"/>
      <c r="FF1268" s="307"/>
      <c r="FH1268" s="306"/>
      <c r="FJ1268" s="307"/>
      <c r="FK1268" s="307"/>
      <c r="FL1268" s="306"/>
      <c r="FM1268" s="307"/>
      <c r="FN1268" s="306"/>
      <c r="FO1268" s="307"/>
      <c r="FP1268" s="306"/>
    </row>
    <row r="1269" spans="159:172">
      <c r="FC1269" s="307"/>
      <c r="FD1269" s="166"/>
      <c r="FF1269" s="307"/>
      <c r="FH1269" s="306"/>
      <c r="FJ1269" s="307"/>
      <c r="FK1269" s="307"/>
      <c r="FL1269" s="306"/>
      <c r="FM1269" s="307"/>
      <c r="FN1269" s="306"/>
      <c r="FO1269" s="307"/>
      <c r="FP1269" s="306"/>
    </row>
    <row r="1270" spans="159:172">
      <c r="FC1270" s="307"/>
      <c r="FD1270" s="166"/>
      <c r="FF1270" s="307"/>
      <c r="FH1270" s="306"/>
      <c r="FJ1270" s="307"/>
      <c r="FK1270" s="307"/>
      <c r="FL1270" s="306"/>
      <c r="FM1270" s="307"/>
      <c r="FN1270" s="306"/>
      <c r="FO1270" s="307"/>
      <c r="FP1270" s="306"/>
    </row>
    <row r="1271" spans="159:172">
      <c r="FC1271" s="307"/>
      <c r="FD1271" s="166"/>
      <c r="FF1271" s="307"/>
      <c r="FH1271" s="306"/>
      <c r="FJ1271" s="307"/>
      <c r="FK1271" s="307"/>
      <c r="FL1271" s="306"/>
      <c r="FM1271" s="307"/>
      <c r="FN1271" s="306"/>
      <c r="FO1271" s="307"/>
      <c r="FP1271" s="306"/>
    </row>
    <row r="1272" spans="159:172">
      <c r="FC1272" s="307"/>
      <c r="FD1272" s="166"/>
      <c r="FF1272" s="307"/>
      <c r="FH1272" s="306"/>
      <c r="FJ1272" s="307"/>
      <c r="FK1272" s="307"/>
      <c r="FL1272" s="306"/>
      <c r="FM1272" s="307"/>
      <c r="FN1272" s="306"/>
      <c r="FO1272" s="307"/>
      <c r="FP1272" s="306"/>
    </row>
    <row r="1273" spans="159:172">
      <c r="FC1273" s="307"/>
      <c r="FD1273" s="166"/>
      <c r="FF1273" s="307"/>
      <c r="FH1273" s="306"/>
      <c r="FJ1273" s="307"/>
      <c r="FK1273" s="307"/>
      <c r="FL1273" s="306"/>
      <c r="FM1273" s="307"/>
      <c r="FN1273" s="306"/>
      <c r="FO1273" s="307"/>
      <c r="FP1273" s="306"/>
    </row>
    <row r="1274" spans="159:172">
      <c r="FC1274" s="307"/>
      <c r="FD1274" s="166"/>
      <c r="FF1274" s="307"/>
      <c r="FH1274" s="306"/>
      <c r="FJ1274" s="307"/>
      <c r="FK1274" s="307"/>
      <c r="FL1274" s="306"/>
      <c r="FM1274" s="307"/>
      <c r="FN1274" s="306"/>
      <c r="FO1274" s="307"/>
      <c r="FP1274" s="306"/>
    </row>
    <row r="1275" spans="159:172">
      <c r="FC1275" s="307"/>
      <c r="FD1275" s="166"/>
      <c r="FF1275" s="307"/>
      <c r="FH1275" s="306"/>
      <c r="FJ1275" s="307"/>
      <c r="FK1275" s="307"/>
      <c r="FL1275" s="306"/>
      <c r="FM1275" s="307"/>
      <c r="FN1275" s="306"/>
      <c r="FO1275" s="307"/>
      <c r="FP1275" s="306"/>
    </row>
    <row r="1276" spans="159:172">
      <c r="FC1276" s="307"/>
      <c r="FD1276" s="166"/>
      <c r="FF1276" s="307"/>
      <c r="FH1276" s="306"/>
      <c r="FJ1276" s="307"/>
      <c r="FK1276" s="307"/>
      <c r="FL1276" s="306"/>
      <c r="FM1276" s="307"/>
      <c r="FN1276" s="306"/>
      <c r="FO1276" s="307"/>
      <c r="FP1276" s="306"/>
    </row>
    <row r="1277" spans="159:172">
      <c r="FC1277" s="307"/>
      <c r="FD1277" s="166"/>
      <c r="FF1277" s="307"/>
      <c r="FH1277" s="306"/>
      <c r="FJ1277" s="307"/>
      <c r="FK1277" s="307"/>
      <c r="FL1277" s="306"/>
      <c r="FM1277" s="307"/>
      <c r="FN1277" s="306"/>
      <c r="FO1277" s="307"/>
      <c r="FP1277" s="306"/>
    </row>
    <row r="1278" spans="159:172">
      <c r="FC1278" s="307"/>
      <c r="FD1278" s="166"/>
      <c r="FF1278" s="307"/>
      <c r="FH1278" s="306"/>
      <c r="FJ1278" s="307"/>
      <c r="FK1278" s="307"/>
      <c r="FL1278" s="306"/>
      <c r="FM1278" s="307"/>
      <c r="FN1278" s="306"/>
      <c r="FO1278" s="307"/>
      <c r="FP1278" s="306"/>
    </row>
    <row r="1279" spans="159:172">
      <c r="FC1279" s="307"/>
      <c r="FD1279" s="166"/>
      <c r="FF1279" s="307"/>
      <c r="FH1279" s="306"/>
      <c r="FJ1279" s="307"/>
      <c r="FK1279" s="307"/>
      <c r="FL1279" s="306"/>
      <c r="FM1279" s="307"/>
      <c r="FN1279" s="306"/>
      <c r="FO1279" s="307"/>
      <c r="FP1279" s="306"/>
    </row>
    <row r="1280" spans="159:172">
      <c r="FC1280" s="307"/>
      <c r="FD1280" s="166"/>
      <c r="FF1280" s="307"/>
      <c r="FH1280" s="306"/>
      <c r="FJ1280" s="307"/>
      <c r="FK1280" s="307"/>
      <c r="FL1280" s="306"/>
      <c r="FM1280" s="307"/>
      <c r="FN1280" s="306"/>
      <c r="FO1280" s="307"/>
      <c r="FP1280" s="306"/>
    </row>
    <row r="1281" spans="159:172">
      <c r="FC1281" s="307"/>
      <c r="FD1281" s="166"/>
      <c r="FF1281" s="307"/>
      <c r="FH1281" s="306"/>
      <c r="FJ1281" s="307"/>
      <c r="FK1281" s="307"/>
      <c r="FL1281" s="306"/>
      <c r="FM1281" s="307"/>
      <c r="FN1281" s="306"/>
      <c r="FO1281" s="307"/>
      <c r="FP1281" s="306"/>
    </row>
    <row r="1282" spans="159:172">
      <c r="FC1282" s="307"/>
      <c r="FD1282" s="166"/>
      <c r="FF1282" s="307"/>
      <c r="FH1282" s="306"/>
      <c r="FJ1282" s="307"/>
      <c r="FK1282" s="307"/>
      <c r="FL1282" s="306"/>
      <c r="FM1282" s="307"/>
      <c r="FN1282" s="306"/>
      <c r="FO1282" s="307"/>
      <c r="FP1282" s="306"/>
    </row>
    <row r="1283" spans="159:172">
      <c r="FC1283" s="307"/>
      <c r="FD1283" s="166"/>
      <c r="FF1283" s="307"/>
      <c r="FH1283" s="306"/>
      <c r="FJ1283" s="307"/>
      <c r="FK1283" s="307"/>
      <c r="FL1283" s="306"/>
      <c r="FM1283" s="307"/>
      <c r="FN1283" s="306"/>
      <c r="FO1283" s="307"/>
      <c r="FP1283" s="306"/>
    </row>
    <row r="1284" spans="159:172">
      <c r="FC1284" s="307"/>
      <c r="FD1284" s="166"/>
      <c r="FF1284" s="307"/>
      <c r="FH1284" s="306"/>
      <c r="FJ1284" s="307"/>
      <c r="FK1284" s="307"/>
      <c r="FL1284" s="306"/>
      <c r="FM1284" s="307"/>
      <c r="FN1284" s="306"/>
      <c r="FO1284" s="307"/>
      <c r="FP1284" s="306"/>
    </row>
    <row r="1285" spans="159:172">
      <c r="FC1285" s="307"/>
      <c r="FD1285" s="166"/>
      <c r="FF1285" s="307"/>
      <c r="FH1285" s="306"/>
      <c r="FJ1285" s="307"/>
      <c r="FK1285" s="307"/>
      <c r="FL1285" s="306"/>
      <c r="FM1285" s="307"/>
      <c r="FN1285" s="306"/>
      <c r="FO1285" s="307"/>
      <c r="FP1285" s="306"/>
    </row>
    <row r="1286" spans="159:172">
      <c r="FC1286" s="307"/>
      <c r="FD1286" s="166"/>
      <c r="FF1286" s="307"/>
      <c r="FH1286" s="306"/>
      <c r="FJ1286" s="307"/>
      <c r="FK1286" s="307"/>
      <c r="FL1286" s="306"/>
      <c r="FM1286" s="307"/>
      <c r="FN1286" s="306"/>
      <c r="FO1286" s="307"/>
      <c r="FP1286" s="306"/>
    </row>
    <row r="1287" spans="159:172">
      <c r="FC1287" s="307"/>
      <c r="FD1287" s="166"/>
      <c r="FF1287" s="307"/>
      <c r="FH1287" s="306"/>
      <c r="FJ1287" s="307"/>
      <c r="FK1287" s="307"/>
      <c r="FL1287" s="306"/>
      <c r="FM1287" s="307"/>
      <c r="FN1287" s="306"/>
      <c r="FO1287" s="307"/>
      <c r="FP1287" s="306"/>
    </row>
    <row r="1288" spans="159:172">
      <c r="FC1288" s="307"/>
      <c r="FD1288" s="166"/>
      <c r="FF1288" s="307"/>
      <c r="FH1288" s="306"/>
      <c r="FJ1288" s="307"/>
      <c r="FK1288" s="307"/>
      <c r="FL1288" s="306"/>
      <c r="FM1288" s="307"/>
      <c r="FN1288" s="306"/>
      <c r="FO1288" s="307"/>
      <c r="FP1288" s="306"/>
    </row>
    <row r="1289" spans="159:172">
      <c r="FC1289" s="307"/>
      <c r="FD1289" s="166"/>
      <c r="FF1289" s="307"/>
      <c r="FH1289" s="306"/>
      <c r="FJ1289" s="307"/>
      <c r="FK1289" s="307"/>
      <c r="FL1289" s="306"/>
      <c r="FM1289" s="307"/>
      <c r="FN1289" s="306"/>
      <c r="FO1289" s="307"/>
      <c r="FP1289" s="306"/>
    </row>
    <row r="1290" spans="159:172">
      <c r="FC1290" s="307"/>
      <c r="FD1290" s="166"/>
      <c r="FF1290" s="307"/>
      <c r="FH1290" s="306"/>
      <c r="FJ1290" s="307"/>
      <c r="FK1290" s="307"/>
      <c r="FL1290" s="306"/>
      <c r="FM1290" s="307"/>
      <c r="FN1290" s="306"/>
      <c r="FO1290" s="307"/>
      <c r="FP1290" s="306"/>
    </row>
    <row r="1291" spans="159:172">
      <c r="FC1291" s="307"/>
      <c r="FD1291" s="166"/>
      <c r="FF1291" s="307"/>
      <c r="FH1291" s="306"/>
      <c r="FJ1291" s="307"/>
      <c r="FK1291" s="307"/>
      <c r="FL1291" s="306"/>
      <c r="FM1291" s="307"/>
      <c r="FN1291" s="306"/>
      <c r="FO1291" s="307"/>
      <c r="FP1291" s="306"/>
    </row>
    <row r="1292" spans="159:172">
      <c r="FC1292" s="307"/>
      <c r="FD1292" s="166"/>
      <c r="FF1292" s="307"/>
      <c r="FH1292" s="306"/>
      <c r="FJ1292" s="307"/>
      <c r="FK1292" s="307"/>
      <c r="FL1292" s="306"/>
      <c r="FM1292" s="307"/>
      <c r="FN1292" s="306"/>
      <c r="FO1292" s="307"/>
      <c r="FP1292" s="306"/>
    </row>
    <row r="1293" spans="159:172">
      <c r="FC1293" s="307"/>
      <c r="FD1293" s="166"/>
      <c r="FF1293" s="307"/>
      <c r="FH1293" s="306"/>
      <c r="FJ1293" s="307"/>
      <c r="FK1293" s="307"/>
      <c r="FL1293" s="306"/>
      <c r="FM1293" s="307"/>
      <c r="FN1293" s="306"/>
      <c r="FO1293" s="307"/>
      <c r="FP1293" s="306"/>
    </row>
    <row r="1294" spans="159:172">
      <c r="FC1294" s="307"/>
      <c r="FD1294" s="166"/>
      <c r="FF1294" s="307"/>
      <c r="FH1294" s="306"/>
      <c r="FJ1294" s="307"/>
      <c r="FK1294" s="307"/>
      <c r="FL1294" s="306"/>
      <c r="FM1294" s="307"/>
      <c r="FN1294" s="306"/>
      <c r="FO1294" s="307"/>
      <c r="FP1294" s="306"/>
    </row>
    <row r="1295" spans="159:172">
      <c r="FC1295" s="307"/>
      <c r="FD1295" s="166"/>
      <c r="FF1295" s="307"/>
      <c r="FH1295" s="306"/>
      <c r="FJ1295" s="307"/>
      <c r="FK1295" s="307"/>
      <c r="FL1295" s="306"/>
      <c r="FM1295" s="307"/>
      <c r="FN1295" s="306"/>
      <c r="FO1295" s="307"/>
      <c r="FP1295" s="306"/>
    </row>
    <row r="1296" spans="159:172">
      <c r="FC1296" s="307"/>
      <c r="FD1296" s="166"/>
      <c r="FF1296" s="307"/>
      <c r="FH1296" s="306"/>
      <c r="FJ1296" s="307"/>
      <c r="FK1296" s="307"/>
      <c r="FL1296" s="306"/>
      <c r="FM1296" s="307"/>
      <c r="FN1296" s="306"/>
      <c r="FO1296" s="307"/>
      <c r="FP1296" s="306"/>
    </row>
    <row r="1297" spans="159:172">
      <c r="FC1297" s="307"/>
      <c r="FD1297" s="166"/>
      <c r="FF1297" s="307"/>
      <c r="FH1297" s="306"/>
      <c r="FJ1297" s="307"/>
      <c r="FK1297" s="307"/>
      <c r="FL1297" s="306"/>
      <c r="FM1297" s="307"/>
      <c r="FN1297" s="306"/>
      <c r="FO1297" s="307"/>
      <c r="FP1297" s="306"/>
    </row>
    <row r="1298" spans="159:172">
      <c r="FC1298" s="307"/>
      <c r="FD1298" s="166"/>
      <c r="FF1298" s="307"/>
      <c r="FH1298" s="306"/>
      <c r="FJ1298" s="307"/>
      <c r="FK1298" s="307"/>
      <c r="FL1298" s="306"/>
      <c r="FM1298" s="307"/>
      <c r="FN1298" s="306"/>
      <c r="FO1298" s="307"/>
      <c r="FP1298" s="306"/>
    </row>
    <row r="1299" spans="159:172">
      <c r="FC1299" s="307"/>
      <c r="FD1299" s="166"/>
      <c r="FF1299" s="307"/>
      <c r="FH1299" s="306"/>
      <c r="FJ1299" s="307"/>
      <c r="FK1299" s="307"/>
      <c r="FL1299" s="306"/>
      <c r="FM1299" s="307"/>
      <c r="FN1299" s="306"/>
      <c r="FO1299" s="307"/>
      <c r="FP1299" s="306"/>
    </row>
    <row r="1300" spans="159:172">
      <c r="FC1300" s="307"/>
      <c r="FD1300" s="166"/>
      <c r="FF1300" s="307"/>
      <c r="FH1300" s="306"/>
      <c r="FJ1300" s="307"/>
      <c r="FK1300" s="307"/>
      <c r="FL1300" s="306"/>
      <c r="FM1300" s="307"/>
      <c r="FN1300" s="306"/>
      <c r="FO1300" s="307"/>
      <c r="FP1300" s="306"/>
    </row>
    <row r="1301" spans="159:172">
      <c r="FC1301" s="307"/>
      <c r="FD1301" s="166"/>
      <c r="FF1301" s="307"/>
      <c r="FH1301" s="306"/>
      <c r="FJ1301" s="307"/>
      <c r="FK1301" s="307"/>
      <c r="FL1301" s="306"/>
      <c r="FM1301" s="307"/>
      <c r="FN1301" s="306"/>
      <c r="FO1301" s="307"/>
      <c r="FP1301" s="306"/>
    </row>
    <row r="1302" spans="159:172">
      <c r="FC1302" s="307"/>
      <c r="FD1302" s="166"/>
      <c r="FF1302" s="307"/>
      <c r="FH1302" s="306"/>
      <c r="FJ1302" s="307"/>
      <c r="FK1302" s="307"/>
      <c r="FL1302" s="306"/>
      <c r="FM1302" s="307"/>
      <c r="FN1302" s="306"/>
      <c r="FO1302" s="307"/>
      <c r="FP1302" s="306"/>
    </row>
    <row r="1303" spans="159:172">
      <c r="FC1303" s="307"/>
      <c r="FD1303" s="166"/>
      <c r="FF1303" s="307"/>
      <c r="FH1303" s="306"/>
      <c r="FJ1303" s="307"/>
      <c r="FK1303" s="307"/>
      <c r="FL1303" s="306"/>
      <c r="FM1303" s="307"/>
      <c r="FN1303" s="306"/>
      <c r="FO1303" s="307"/>
      <c r="FP1303" s="306"/>
    </row>
    <row r="1304" spans="159:172">
      <c r="FC1304" s="307"/>
      <c r="FD1304" s="166"/>
      <c r="FF1304" s="307"/>
      <c r="FH1304" s="306"/>
      <c r="FJ1304" s="307"/>
      <c r="FK1304" s="307"/>
      <c r="FL1304" s="306"/>
      <c r="FM1304" s="307"/>
      <c r="FN1304" s="306"/>
      <c r="FO1304" s="307"/>
      <c r="FP1304" s="306"/>
    </row>
    <row r="1305" spans="159:172">
      <c r="FC1305" s="307"/>
      <c r="FD1305" s="166"/>
      <c r="FF1305" s="307"/>
      <c r="FH1305" s="306"/>
      <c r="FJ1305" s="307"/>
      <c r="FK1305" s="307"/>
      <c r="FL1305" s="306"/>
      <c r="FM1305" s="307"/>
      <c r="FN1305" s="306"/>
      <c r="FO1305" s="307"/>
      <c r="FP1305" s="306"/>
    </row>
    <row r="1306" spans="159:172">
      <c r="FC1306" s="307"/>
      <c r="FD1306" s="166"/>
      <c r="FF1306" s="307"/>
      <c r="FH1306" s="306"/>
      <c r="FJ1306" s="307"/>
      <c r="FK1306" s="307"/>
      <c r="FL1306" s="306"/>
      <c r="FM1306" s="307"/>
      <c r="FN1306" s="306"/>
      <c r="FO1306" s="307"/>
      <c r="FP1306" s="306"/>
    </row>
    <row r="1307" spans="159:172">
      <c r="FC1307" s="307"/>
      <c r="FD1307" s="166"/>
      <c r="FF1307" s="307"/>
      <c r="FH1307" s="306"/>
      <c r="FJ1307" s="307"/>
      <c r="FK1307" s="307"/>
      <c r="FL1307" s="306"/>
      <c r="FM1307" s="307"/>
      <c r="FN1307" s="306"/>
      <c r="FO1307" s="307"/>
      <c r="FP1307" s="306"/>
    </row>
    <row r="1308" spans="159:172">
      <c r="FC1308" s="307"/>
      <c r="FD1308" s="166"/>
      <c r="FF1308" s="307"/>
      <c r="FH1308" s="306"/>
      <c r="FJ1308" s="307"/>
      <c r="FK1308" s="307"/>
      <c r="FL1308" s="306"/>
      <c r="FM1308" s="307"/>
      <c r="FN1308" s="306"/>
      <c r="FO1308" s="307"/>
      <c r="FP1308" s="306"/>
    </row>
    <row r="1309" spans="159:172">
      <c r="FC1309" s="307"/>
      <c r="FD1309" s="166"/>
      <c r="FF1309" s="307"/>
      <c r="FH1309" s="306"/>
      <c r="FJ1309" s="307"/>
      <c r="FK1309" s="307"/>
      <c r="FL1309" s="306"/>
      <c r="FM1309" s="307"/>
      <c r="FN1309" s="306"/>
      <c r="FO1309" s="307"/>
      <c r="FP1309" s="306"/>
    </row>
    <row r="1310" spans="159:172">
      <c r="FC1310" s="307"/>
      <c r="FD1310" s="166"/>
      <c r="FF1310" s="307"/>
      <c r="FH1310" s="306"/>
      <c r="FJ1310" s="307"/>
      <c r="FK1310" s="307"/>
      <c r="FL1310" s="306"/>
      <c r="FM1310" s="307"/>
      <c r="FN1310" s="306"/>
      <c r="FO1310" s="307"/>
      <c r="FP1310" s="306"/>
    </row>
    <row r="1311" spans="159:172">
      <c r="FC1311" s="307"/>
      <c r="FD1311" s="166"/>
      <c r="FF1311" s="307"/>
      <c r="FH1311" s="306"/>
      <c r="FJ1311" s="307"/>
      <c r="FK1311" s="307"/>
      <c r="FL1311" s="306"/>
      <c r="FM1311" s="307"/>
      <c r="FN1311" s="306"/>
      <c r="FO1311" s="307"/>
      <c r="FP1311" s="306"/>
    </row>
    <row r="1312" spans="159:172">
      <c r="FC1312" s="307"/>
      <c r="FD1312" s="166"/>
      <c r="FF1312" s="307"/>
      <c r="FH1312" s="306"/>
      <c r="FJ1312" s="307"/>
      <c r="FK1312" s="307"/>
      <c r="FL1312" s="306"/>
      <c r="FM1312" s="307"/>
      <c r="FN1312" s="306"/>
      <c r="FO1312" s="307"/>
      <c r="FP1312" s="306"/>
    </row>
    <row r="1313" spans="159:172">
      <c r="FC1313" s="307"/>
      <c r="FD1313" s="166"/>
      <c r="FF1313" s="307"/>
      <c r="FH1313" s="306"/>
      <c r="FJ1313" s="307"/>
      <c r="FK1313" s="307"/>
      <c r="FL1313" s="306"/>
      <c r="FM1313" s="307"/>
      <c r="FN1313" s="306"/>
      <c r="FO1313" s="307"/>
      <c r="FP1313" s="306"/>
    </row>
    <row r="1314" spans="159:172">
      <c r="FC1314" s="307"/>
      <c r="FD1314" s="166"/>
      <c r="FF1314" s="307"/>
      <c r="FH1314" s="306"/>
      <c r="FJ1314" s="307"/>
      <c r="FK1314" s="307"/>
      <c r="FL1314" s="306"/>
      <c r="FM1314" s="307"/>
      <c r="FN1314" s="306"/>
      <c r="FO1314" s="307"/>
      <c r="FP1314" s="306"/>
    </row>
    <row r="1315" spans="159:172">
      <c r="FC1315" s="307"/>
      <c r="FD1315" s="166"/>
      <c r="FF1315" s="307"/>
      <c r="FH1315" s="306"/>
      <c r="FJ1315" s="307"/>
      <c r="FK1315" s="307"/>
      <c r="FL1315" s="306"/>
      <c r="FM1315" s="307"/>
      <c r="FN1315" s="306"/>
      <c r="FO1315" s="307"/>
      <c r="FP1315" s="306"/>
    </row>
    <row r="1316" spans="159:172">
      <c r="FC1316" s="307"/>
      <c r="FD1316" s="166"/>
      <c r="FF1316" s="307"/>
      <c r="FH1316" s="306"/>
      <c r="FJ1316" s="307"/>
      <c r="FK1316" s="307"/>
      <c r="FL1316" s="306"/>
      <c r="FM1316" s="307"/>
      <c r="FN1316" s="306"/>
      <c r="FO1316" s="307"/>
      <c r="FP1316" s="306"/>
    </row>
    <row r="1317" spans="159:172">
      <c r="FC1317" s="307"/>
      <c r="FD1317" s="166"/>
      <c r="FF1317" s="307"/>
      <c r="FH1317" s="306"/>
      <c r="FJ1317" s="307"/>
      <c r="FK1317" s="307"/>
      <c r="FL1317" s="306"/>
      <c r="FM1317" s="307"/>
      <c r="FN1317" s="306"/>
      <c r="FO1317" s="307"/>
      <c r="FP1317" s="306"/>
    </row>
    <row r="1318" spans="159:172">
      <c r="FC1318" s="307"/>
      <c r="FD1318" s="166"/>
      <c r="FF1318" s="307"/>
      <c r="FH1318" s="306"/>
      <c r="FJ1318" s="307"/>
      <c r="FK1318" s="307"/>
      <c r="FL1318" s="306"/>
      <c r="FM1318" s="307"/>
      <c r="FN1318" s="306"/>
      <c r="FO1318" s="307"/>
      <c r="FP1318" s="306"/>
    </row>
    <row r="1319" spans="159:172">
      <c r="FC1319" s="307"/>
      <c r="FD1319" s="166"/>
      <c r="FF1319" s="307"/>
      <c r="FH1319" s="306"/>
      <c r="FJ1319" s="307"/>
      <c r="FK1319" s="307"/>
      <c r="FL1319" s="306"/>
      <c r="FM1319" s="307"/>
      <c r="FN1319" s="306"/>
      <c r="FO1319" s="307"/>
      <c r="FP1319" s="306"/>
    </row>
    <row r="1320" spans="159:172">
      <c r="FC1320" s="307"/>
      <c r="FD1320" s="166"/>
      <c r="FF1320" s="307"/>
      <c r="FH1320" s="306"/>
      <c r="FJ1320" s="307"/>
      <c r="FK1320" s="307"/>
      <c r="FL1320" s="306"/>
      <c r="FM1320" s="307"/>
      <c r="FN1320" s="306"/>
      <c r="FO1320" s="307"/>
      <c r="FP1320" s="306"/>
    </row>
    <row r="1321" spans="159:172">
      <c r="FC1321" s="307"/>
      <c r="FD1321" s="166"/>
      <c r="FF1321" s="307"/>
      <c r="FH1321" s="306"/>
      <c r="FJ1321" s="307"/>
      <c r="FK1321" s="307"/>
      <c r="FL1321" s="306"/>
      <c r="FM1321" s="307"/>
      <c r="FN1321" s="306"/>
      <c r="FO1321" s="307"/>
      <c r="FP1321" s="306"/>
    </row>
    <row r="1322" spans="159:172">
      <c r="FC1322" s="307"/>
      <c r="FD1322" s="166"/>
      <c r="FF1322" s="307"/>
      <c r="FH1322" s="306"/>
      <c r="FJ1322" s="307"/>
      <c r="FK1322" s="307"/>
      <c r="FL1322" s="306"/>
      <c r="FM1322" s="307"/>
      <c r="FN1322" s="306"/>
      <c r="FO1322" s="307"/>
      <c r="FP1322" s="306"/>
    </row>
    <row r="1323" spans="159:172">
      <c r="FC1323" s="307"/>
      <c r="FD1323" s="166"/>
      <c r="FF1323" s="307"/>
      <c r="FH1323" s="306"/>
      <c r="FJ1323" s="307"/>
      <c r="FK1323" s="307"/>
      <c r="FL1323" s="306"/>
      <c r="FM1323" s="307"/>
      <c r="FN1323" s="306"/>
      <c r="FO1323" s="307"/>
      <c r="FP1323" s="306"/>
    </row>
    <row r="1324" spans="159:172">
      <c r="FC1324" s="307"/>
      <c r="FD1324" s="166"/>
      <c r="FF1324" s="307"/>
      <c r="FH1324" s="306"/>
      <c r="FJ1324" s="307"/>
      <c r="FK1324" s="307"/>
      <c r="FL1324" s="306"/>
      <c r="FM1324" s="307"/>
      <c r="FN1324" s="306"/>
      <c r="FO1324" s="307"/>
      <c r="FP1324" s="306"/>
    </row>
    <row r="1325" spans="159:172">
      <c r="FC1325" s="307"/>
      <c r="FD1325" s="166"/>
      <c r="FF1325" s="307"/>
      <c r="FH1325" s="306"/>
      <c r="FJ1325" s="307"/>
      <c r="FK1325" s="307"/>
      <c r="FL1325" s="306"/>
      <c r="FM1325" s="307"/>
      <c r="FN1325" s="306"/>
      <c r="FO1325" s="307"/>
      <c r="FP1325" s="306"/>
    </row>
    <row r="1326" spans="159:172">
      <c r="FC1326" s="307"/>
      <c r="FD1326" s="166"/>
      <c r="FF1326" s="307"/>
      <c r="FH1326" s="306"/>
      <c r="FJ1326" s="307"/>
      <c r="FK1326" s="307"/>
      <c r="FL1326" s="306"/>
      <c r="FM1326" s="307"/>
      <c r="FN1326" s="306"/>
      <c r="FO1326" s="307"/>
      <c r="FP1326" s="306"/>
    </row>
    <row r="1327" spans="159:172">
      <c r="FC1327" s="307"/>
      <c r="FD1327" s="166"/>
      <c r="FF1327" s="307"/>
      <c r="FH1327" s="306"/>
      <c r="FJ1327" s="307"/>
      <c r="FK1327" s="307"/>
      <c r="FL1327" s="306"/>
      <c r="FM1327" s="307"/>
      <c r="FN1327" s="306"/>
      <c r="FO1327" s="307"/>
      <c r="FP1327" s="306"/>
    </row>
    <row r="1328" spans="159:172">
      <c r="FC1328" s="307"/>
      <c r="FD1328" s="166"/>
      <c r="FF1328" s="307"/>
      <c r="FH1328" s="306"/>
      <c r="FJ1328" s="307"/>
      <c r="FK1328" s="307"/>
      <c r="FL1328" s="306"/>
      <c r="FM1328" s="307"/>
      <c r="FN1328" s="306"/>
      <c r="FO1328" s="307"/>
      <c r="FP1328" s="306"/>
    </row>
    <row r="1329" spans="159:172">
      <c r="FC1329" s="307"/>
      <c r="FD1329" s="166"/>
      <c r="FF1329" s="307"/>
      <c r="FH1329" s="306"/>
      <c r="FJ1329" s="307"/>
      <c r="FK1329" s="307"/>
      <c r="FL1329" s="306"/>
      <c r="FM1329" s="307"/>
      <c r="FN1329" s="306"/>
      <c r="FO1329" s="307"/>
      <c r="FP1329" s="306"/>
    </row>
    <row r="1330" spans="159:172">
      <c r="FC1330" s="307"/>
      <c r="FD1330" s="166"/>
      <c r="FF1330" s="307"/>
      <c r="FH1330" s="306"/>
      <c r="FJ1330" s="307"/>
      <c r="FK1330" s="307"/>
      <c r="FL1330" s="306"/>
      <c r="FM1330" s="307"/>
      <c r="FN1330" s="306"/>
      <c r="FO1330" s="307"/>
      <c r="FP1330" s="306"/>
    </row>
    <row r="1331" spans="159:172">
      <c r="FC1331" s="307"/>
      <c r="FD1331" s="166"/>
      <c r="FF1331" s="307"/>
      <c r="FH1331" s="306"/>
      <c r="FJ1331" s="307"/>
      <c r="FK1331" s="307"/>
      <c r="FL1331" s="306"/>
      <c r="FM1331" s="307"/>
      <c r="FN1331" s="306"/>
      <c r="FO1331" s="307"/>
      <c r="FP1331" s="306"/>
    </row>
    <row r="1332" spans="159:172">
      <c r="FC1332" s="307"/>
      <c r="FD1332" s="166"/>
      <c r="FF1332" s="307"/>
      <c r="FH1332" s="306"/>
      <c r="FJ1332" s="307"/>
      <c r="FK1332" s="307"/>
      <c r="FL1332" s="306"/>
      <c r="FM1332" s="307"/>
      <c r="FN1332" s="306"/>
      <c r="FO1332" s="307"/>
      <c r="FP1332" s="306"/>
    </row>
    <row r="1333" spans="159:172">
      <c r="FC1333" s="307"/>
      <c r="FD1333" s="166"/>
      <c r="FF1333" s="307"/>
      <c r="FH1333" s="306"/>
      <c r="FJ1333" s="307"/>
      <c r="FK1333" s="307"/>
      <c r="FL1333" s="306"/>
      <c r="FM1333" s="307"/>
      <c r="FN1333" s="306"/>
      <c r="FO1333" s="307"/>
      <c r="FP1333" s="306"/>
    </row>
    <row r="1334" spans="159:172">
      <c r="FC1334" s="307"/>
      <c r="FD1334" s="166"/>
      <c r="FF1334" s="307"/>
      <c r="FH1334" s="306"/>
      <c r="FJ1334" s="307"/>
      <c r="FK1334" s="307"/>
      <c r="FL1334" s="306"/>
      <c r="FM1334" s="307"/>
      <c r="FN1334" s="306"/>
      <c r="FO1334" s="307"/>
      <c r="FP1334" s="306"/>
    </row>
    <row r="1335" spans="159:172">
      <c r="FC1335" s="307"/>
      <c r="FD1335" s="166"/>
      <c r="FF1335" s="307"/>
      <c r="FH1335" s="306"/>
      <c r="FJ1335" s="307"/>
      <c r="FK1335" s="307"/>
      <c r="FL1335" s="306"/>
      <c r="FM1335" s="307"/>
      <c r="FN1335" s="306"/>
      <c r="FO1335" s="307"/>
      <c r="FP1335" s="306"/>
    </row>
    <row r="1336" spans="159:172">
      <c r="FC1336" s="307"/>
      <c r="FD1336" s="166"/>
      <c r="FF1336" s="307"/>
      <c r="FH1336" s="306"/>
      <c r="FJ1336" s="307"/>
      <c r="FK1336" s="307"/>
      <c r="FL1336" s="306"/>
      <c r="FM1336" s="307"/>
      <c r="FN1336" s="306"/>
      <c r="FO1336" s="307"/>
      <c r="FP1336" s="306"/>
    </row>
    <row r="1337" spans="159:172">
      <c r="FC1337" s="307"/>
      <c r="FD1337" s="166"/>
      <c r="FF1337" s="307"/>
      <c r="FH1337" s="306"/>
      <c r="FJ1337" s="307"/>
      <c r="FK1337" s="307"/>
      <c r="FL1337" s="306"/>
      <c r="FM1337" s="307"/>
      <c r="FN1337" s="306"/>
      <c r="FO1337" s="307"/>
      <c r="FP1337" s="306"/>
    </row>
    <row r="1338" spans="159:172">
      <c r="FC1338" s="307"/>
      <c r="FD1338" s="166"/>
      <c r="FF1338" s="307"/>
      <c r="FH1338" s="306"/>
      <c r="FJ1338" s="307"/>
      <c r="FK1338" s="307"/>
      <c r="FL1338" s="306"/>
      <c r="FM1338" s="307"/>
      <c r="FN1338" s="306"/>
      <c r="FO1338" s="307"/>
      <c r="FP1338" s="306"/>
    </row>
    <row r="1339" spans="159:172">
      <c r="FC1339" s="307"/>
      <c r="FD1339" s="166"/>
      <c r="FF1339" s="307"/>
      <c r="FH1339" s="306"/>
      <c r="FJ1339" s="307"/>
      <c r="FK1339" s="307"/>
      <c r="FL1339" s="306"/>
      <c r="FM1339" s="307"/>
      <c r="FN1339" s="306"/>
      <c r="FO1339" s="307"/>
      <c r="FP1339" s="306"/>
    </row>
    <row r="1340" spans="159:172">
      <c r="FC1340" s="307"/>
      <c r="FD1340" s="166"/>
      <c r="FF1340" s="307"/>
      <c r="FH1340" s="306"/>
      <c r="FJ1340" s="307"/>
      <c r="FK1340" s="307"/>
      <c r="FL1340" s="306"/>
      <c r="FM1340" s="307"/>
      <c r="FN1340" s="306"/>
      <c r="FO1340" s="307"/>
      <c r="FP1340" s="306"/>
    </row>
    <row r="1341" spans="159:172">
      <c r="FC1341" s="307"/>
      <c r="FD1341" s="166"/>
      <c r="FF1341" s="307"/>
      <c r="FH1341" s="306"/>
      <c r="FJ1341" s="307"/>
      <c r="FK1341" s="307"/>
      <c r="FL1341" s="306"/>
      <c r="FM1341" s="307"/>
      <c r="FN1341" s="306"/>
      <c r="FO1341" s="307"/>
      <c r="FP1341" s="306"/>
    </row>
    <row r="1342" spans="159:172">
      <c r="FC1342" s="307"/>
      <c r="FD1342" s="166"/>
      <c r="FF1342" s="307"/>
      <c r="FH1342" s="306"/>
      <c r="FJ1342" s="307"/>
      <c r="FK1342" s="307"/>
      <c r="FL1342" s="306"/>
      <c r="FM1342" s="307"/>
      <c r="FN1342" s="306"/>
      <c r="FO1342" s="307"/>
      <c r="FP1342" s="306"/>
    </row>
    <row r="1343" spans="159:172">
      <c r="FC1343" s="307"/>
      <c r="FD1343" s="166"/>
      <c r="FF1343" s="307"/>
      <c r="FH1343" s="306"/>
      <c r="FJ1343" s="307"/>
      <c r="FK1343" s="307"/>
      <c r="FL1343" s="306"/>
      <c r="FM1343" s="307"/>
      <c r="FN1343" s="306"/>
      <c r="FO1343" s="307"/>
      <c r="FP1343" s="306"/>
    </row>
    <row r="1344" spans="159:172">
      <c r="FC1344" s="307"/>
      <c r="FD1344" s="166"/>
      <c r="FF1344" s="307"/>
      <c r="FH1344" s="306"/>
      <c r="FJ1344" s="307"/>
      <c r="FK1344" s="307"/>
      <c r="FL1344" s="306"/>
      <c r="FM1344" s="307"/>
      <c r="FN1344" s="306"/>
      <c r="FO1344" s="307"/>
      <c r="FP1344" s="306"/>
    </row>
    <row r="1345" spans="159:172">
      <c r="FC1345" s="307"/>
      <c r="FD1345" s="166"/>
      <c r="FF1345" s="307"/>
      <c r="FH1345" s="306"/>
      <c r="FJ1345" s="307"/>
      <c r="FK1345" s="307"/>
      <c r="FL1345" s="306"/>
      <c r="FM1345" s="307"/>
      <c r="FN1345" s="306"/>
      <c r="FO1345" s="307"/>
      <c r="FP1345" s="306"/>
    </row>
    <row r="1346" spans="159:172">
      <c r="FC1346" s="307"/>
      <c r="FD1346" s="166"/>
      <c r="FF1346" s="307"/>
      <c r="FH1346" s="306"/>
      <c r="FJ1346" s="307"/>
      <c r="FK1346" s="307"/>
      <c r="FL1346" s="306"/>
      <c r="FM1346" s="307"/>
      <c r="FN1346" s="306"/>
      <c r="FO1346" s="307"/>
      <c r="FP1346" s="306"/>
    </row>
    <row r="1347" spans="159:172">
      <c r="FC1347" s="307"/>
      <c r="FD1347" s="166"/>
      <c r="FF1347" s="307"/>
      <c r="FH1347" s="306"/>
      <c r="FJ1347" s="307"/>
      <c r="FK1347" s="307"/>
      <c r="FL1347" s="306"/>
      <c r="FM1347" s="307"/>
      <c r="FN1347" s="306"/>
      <c r="FO1347" s="307"/>
      <c r="FP1347" s="306"/>
    </row>
    <row r="1348" spans="159:172">
      <c r="FC1348" s="307"/>
      <c r="FD1348" s="166"/>
      <c r="FF1348" s="307"/>
      <c r="FH1348" s="306"/>
      <c r="FJ1348" s="307"/>
      <c r="FK1348" s="307"/>
      <c r="FL1348" s="306"/>
      <c r="FM1348" s="307"/>
      <c r="FN1348" s="306"/>
      <c r="FO1348" s="307"/>
      <c r="FP1348" s="306"/>
    </row>
    <row r="1349" spans="159:172">
      <c r="FC1349" s="307"/>
      <c r="FD1349" s="166"/>
      <c r="FF1349" s="307"/>
      <c r="FH1349" s="306"/>
      <c r="FJ1349" s="307"/>
      <c r="FK1349" s="307"/>
      <c r="FL1349" s="306"/>
      <c r="FM1349" s="307"/>
      <c r="FN1349" s="306"/>
      <c r="FO1349" s="307"/>
      <c r="FP1349" s="306"/>
    </row>
    <row r="1350" spans="159:172">
      <c r="FC1350" s="307"/>
      <c r="FD1350" s="166"/>
      <c r="FF1350" s="307"/>
      <c r="FH1350" s="306"/>
      <c r="FJ1350" s="307"/>
      <c r="FK1350" s="307"/>
      <c r="FL1350" s="306"/>
      <c r="FM1350" s="307"/>
      <c r="FN1350" s="306"/>
      <c r="FO1350" s="307"/>
      <c r="FP1350" s="306"/>
    </row>
    <row r="1351" spans="159:172">
      <c r="FC1351" s="307"/>
      <c r="FD1351" s="166"/>
      <c r="FF1351" s="307"/>
      <c r="FH1351" s="306"/>
      <c r="FJ1351" s="307"/>
      <c r="FK1351" s="307"/>
      <c r="FL1351" s="306"/>
      <c r="FM1351" s="307"/>
      <c r="FN1351" s="306"/>
      <c r="FO1351" s="307"/>
      <c r="FP1351" s="306"/>
    </row>
    <row r="1352" spans="159:172">
      <c r="FC1352" s="307"/>
      <c r="FD1352" s="166"/>
      <c r="FF1352" s="307"/>
      <c r="FH1352" s="306"/>
      <c r="FJ1352" s="307"/>
      <c r="FK1352" s="307"/>
      <c r="FL1352" s="306"/>
      <c r="FM1352" s="307"/>
      <c r="FN1352" s="306"/>
      <c r="FO1352" s="307"/>
      <c r="FP1352" s="306"/>
    </row>
    <row r="1353" spans="159:172">
      <c r="FC1353" s="307"/>
      <c r="FD1353" s="166"/>
      <c r="FF1353" s="307"/>
      <c r="FH1353" s="306"/>
      <c r="FJ1353" s="307"/>
      <c r="FK1353" s="307"/>
      <c r="FL1353" s="306"/>
      <c r="FM1353" s="307"/>
      <c r="FN1353" s="306"/>
      <c r="FO1353" s="307"/>
      <c r="FP1353" s="306"/>
    </row>
    <row r="1354" spans="159:172">
      <c r="FC1354" s="307"/>
      <c r="FD1354" s="166"/>
      <c r="FF1354" s="307"/>
      <c r="FH1354" s="306"/>
      <c r="FJ1354" s="307"/>
      <c r="FK1354" s="307"/>
      <c r="FL1354" s="306"/>
      <c r="FM1354" s="307"/>
      <c r="FN1354" s="306"/>
      <c r="FO1354" s="307"/>
      <c r="FP1354" s="306"/>
    </row>
    <row r="1355" spans="159:172">
      <c r="FC1355" s="307"/>
      <c r="FD1355" s="166"/>
      <c r="FF1355" s="307"/>
      <c r="FH1355" s="306"/>
      <c r="FJ1355" s="307"/>
      <c r="FK1355" s="307"/>
      <c r="FL1355" s="306"/>
      <c r="FM1355" s="307"/>
      <c r="FN1355" s="306"/>
      <c r="FO1355" s="307"/>
      <c r="FP1355" s="306"/>
    </row>
    <row r="1356" spans="159:172">
      <c r="FC1356" s="307"/>
      <c r="FD1356" s="166"/>
      <c r="FF1356" s="307"/>
      <c r="FH1356" s="306"/>
      <c r="FJ1356" s="307"/>
      <c r="FK1356" s="307"/>
      <c r="FL1356" s="306"/>
      <c r="FM1356" s="307"/>
      <c r="FN1356" s="306"/>
      <c r="FO1356" s="307"/>
      <c r="FP1356" s="306"/>
    </row>
    <row r="1357" spans="159:172">
      <c r="FC1357" s="307"/>
      <c r="FD1357" s="166"/>
      <c r="FF1357" s="307"/>
      <c r="FH1357" s="306"/>
      <c r="FJ1357" s="307"/>
      <c r="FK1357" s="307"/>
      <c r="FL1357" s="306"/>
      <c r="FM1357" s="307"/>
      <c r="FN1357" s="306"/>
      <c r="FO1357" s="307"/>
      <c r="FP1357" s="306"/>
    </row>
    <row r="1358" spans="159:172">
      <c r="FC1358" s="307"/>
      <c r="FD1358" s="166"/>
      <c r="FF1358" s="307"/>
      <c r="FH1358" s="306"/>
      <c r="FJ1358" s="307"/>
      <c r="FK1358" s="307"/>
      <c r="FL1358" s="306"/>
      <c r="FM1358" s="307"/>
      <c r="FN1358" s="306"/>
      <c r="FO1358" s="307"/>
      <c r="FP1358" s="306"/>
    </row>
    <row r="1359" spans="159:172">
      <c r="FC1359" s="307"/>
      <c r="FD1359" s="166"/>
      <c r="FF1359" s="307"/>
      <c r="FH1359" s="306"/>
      <c r="FJ1359" s="307"/>
      <c r="FK1359" s="307"/>
      <c r="FL1359" s="306"/>
      <c r="FM1359" s="307"/>
      <c r="FN1359" s="306"/>
      <c r="FO1359" s="307"/>
      <c r="FP1359" s="306"/>
    </row>
    <row r="1360" spans="159:172">
      <c r="FC1360" s="307"/>
      <c r="FD1360" s="166"/>
      <c r="FF1360" s="307"/>
      <c r="FH1360" s="306"/>
      <c r="FJ1360" s="307"/>
      <c r="FK1360" s="307"/>
      <c r="FL1360" s="306"/>
      <c r="FM1360" s="307"/>
      <c r="FN1360" s="306"/>
      <c r="FO1360" s="307"/>
      <c r="FP1360" s="306"/>
    </row>
    <row r="1361" spans="159:172">
      <c r="FC1361" s="307"/>
      <c r="FD1361" s="166"/>
      <c r="FF1361" s="307"/>
      <c r="FH1361" s="306"/>
      <c r="FJ1361" s="307"/>
      <c r="FK1361" s="307"/>
      <c r="FL1361" s="306"/>
      <c r="FM1361" s="307"/>
      <c r="FN1361" s="306"/>
      <c r="FO1361" s="307"/>
      <c r="FP1361" s="306"/>
    </row>
    <row r="1362" spans="159:172">
      <c r="FC1362" s="307"/>
      <c r="FD1362" s="166"/>
      <c r="FF1362" s="307"/>
      <c r="FH1362" s="306"/>
      <c r="FJ1362" s="307"/>
      <c r="FK1362" s="307"/>
      <c r="FL1362" s="306"/>
      <c r="FM1362" s="307"/>
      <c r="FN1362" s="306"/>
      <c r="FO1362" s="307"/>
      <c r="FP1362" s="306"/>
    </row>
    <row r="1363" spans="159:172">
      <c r="FC1363" s="307"/>
      <c r="FD1363" s="166"/>
      <c r="FF1363" s="307"/>
      <c r="FH1363" s="306"/>
      <c r="FJ1363" s="307"/>
      <c r="FK1363" s="307"/>
      <c r="FL1363" s="306"/>
      <c r="FM1363" s="307"/>
      <c r="FN1363" s="306"/>
      <c r="FO1363" s="307"/>
      <c r="FP1363" s="306"/>
    </row>
    <row r="1364" spans="159:172">
      <c r="FC1364" s="307"/>
      <c r="FD1364" s="166"/>
      <c r="FF1364" s="307"/>
      <c r="FH1364" s="306"/>
      <c r="FJ1364" s="307"/>
      <c r="FK1364" s="307"/>
      <c r="FL1364" s="306"/>
      <c r="FM1364" s="307"/>
      <c r="FN1364" s="306"/>
      <c r="FO1364" s="307"/>
      <c r="FP1364" s="306"/>
    </row>
    <row r="1365" spans="159:172">
      <c r="FC1365" s="307"/>
      <c r="FD1365" s="166"/>
      <c r="FF1365" s="307"/>
      <c r="FH1365" s="306"/>
      <c r="FJ1365" s="307"/>
      <c r="FK1365" s="307"/>
      <c r="FL1365" s="306"/>
      <c r="FM1365" s="307"/>
      <c r="FN1365" s="306"/>
      <c r="FO1365" s="307"/>
      <c r="FP1365" s="306"/>
    </row>
    <row r="1366" spans="159:172">
      <c r="FC1366" s="307"/>
      <c r="FD1366" s="166"/>
      <c r="FF1366" s="307"/>
      <c r="FH1366" s="306"/>
      <c r="FJ1366" s="307"/>
      <c r="FK1366" s="307"/>
      <c r="FL1366" s="306"/>
      <c r="FM1366" s="307"/>
      <c r="FN1366" s="306"/>
      <c r="FO1366" s="307"/>
      <c r="FP1366" s="306"/>
    </row>
    <row r="1367" spans="159:172">
      <c r="FC1367" s="307"/>
      <c r="FD1367" s="166"/>
      <c r="FF1367" s="307"/>
      <c r="FH1367" s="306"/>
      <c r="FJ1367" s="307"/>
      <c r="FK1367" s="307"/>
      <c r="FL1367" s="306"/>
      <c r="FM1367" s="307"/>
      <c r="FN1367" s="306"/>
      <c r="FO1367" s="307"/>
      <c r="FP1367" s="306"/>
    </row>
    <row r="1368" spans="159:172">
      <c r="FC1368" s="307"/>
      <c r="FD1368" s="166"/>
      <c r="FF1368" s="307"/>
      <c r="FH1368" s="306"/>
      <c r="FJ1368" s="307"/>
      <c r="FK1368" s="307"/>
      <c r="FL1368" s="306"/>
      <c r="FM1368" s="307"/>
      <c r="FN1368" s="306"/>
      <c r="FO1368" s="307"/>
      <c r="FP1368" s="306"/>
    </row>
    <row r="1369" spans="159:172">
      <c r="FC1369" s="307"/>
      <c r="FD1369" s="166"/>
      <c r="FF1369" s="307"/>
      <c r="FH1369" s="306"/>
      <c r="FJ1369" s="307"/>
      <c r="FK1369" s="307"/>
      <c r="FL1369" s="306"/>
      <c r="FM1369" s="307"/>
      <c r="FN1369" s="306"/>
      <c r="FO1369" s="307"/>
      <c r="FP1369" s="306"/>
    </row>
    <row r="1370" spans="159:172">
      <c r="FC1370" s="307"/>
      <c r="FD1370" s="166"/>
      <c r="FF1370" s="307"/>
      <c r="FH1370" s="306"/>
      <c r="FJ1370" s="307"/>
      <c r="FK1370" s="307"/>
      <c r="FL1370" s="306"/>
      <c r="FM1370" s="307"/>
      <c r="FN1370" s="306"/>
      <c r="FO1370" s="307"/>
      <c r="FP1370" s="306"/>
    </row>
    <row r="1371" spans="159:172">
      <c r="FC1371" s="307"/>
      <c r="FD1371" s="166"/>
      <c r="FF1371" s="307"/>
      <c r="FH1371" s="306"/>
      <c r="FJ1371" s="307"/>
      <c r="FK1371" s="307"/>
      <c r="FL1371" s="306"/>
      <c r="FM1371" s="307"/>
      <c r="FN1371" s="306"/>
      <c r="FO1371" s="307"/>
      <c r="FP1371" s="306"/>
    </row>
    <row r="1372" spans="159:172">
      <c r="FC1372" s="307"/>
      <c r="FD1372" s="166"/>
      <c r="FF1372" s="307"/>
      <c r="FH1372" s="306"/>
      <c r="FJ1372" s="307"/>
      <c r="FK1372" s="307"/>
      <c r="FL1372" s="306"/>
      <c r="FM1372" s="307"/>
      <c r="FN1372" s="306"/>
      <c r="FO1372" s="307"/>
      <c r="FP1372" s="306"/>
    </row>
    <row r="1373" spans="159:172">
      <c r="FC1373" s="307"/>
      <c r="FD1373" s="166"/>
      <c r="FF1373" s="307"/>
      <c r="FH1373" s="306"/>
      <c r="FJ1373" s="307"/>
      <c r="FK1373" s="307"/>
      <c r="FL1373" s="306"/>
      <c r="FM1373" s="307"/>
      <c r="FN1373" s="306"/>
      <c r="FO1373" s="307"/>
      <c r="FP1373" s="306"/>
    </row>
    <row r="1374" spans="159:172">
      <c r="FC1374" s="307"/>
      <c r="FD1374" s="166"/>
      <c r="FF1374" s="307"/>
      <c r="FH1374" s="306"/>
      <c r="FJ1374" s="307"/>
      <c r="FK1374" s="307"/>
      <c r="FL1374" s="306"/>
      <c r="FM1374" s="307"/>
      <c r="FN1374" s="306"/>
      <c r="FO1374" s="307"/>
      <c r="FP1374" s="306"/>
    </row>
    <row r="1375" spans="159:172">
      <c r="FC1375" s="307"/>
      <c r="FD1375" s="166"/>
      <c r="FF1375" s="307"/>
      <c r="FH1375" s="306"/>
      <c r="FJ1375" s="307"/>
      <c r="FK1375" s="307"/>
      <c r="FL1375" s="306"/>
      <c r="FM1375" s="307"/>
      <c r="FN1375" s="306"/>
      <c r="FO1375" s="307"/>
      <c r="FP1375" s="306"/>
    </row>
    <row r="1376" spans="159:172">
      <c r="FC1376" s="307"/>
      <c r="FD1376" s="166"/>
      <c r="FF1376" s="307"/>
      <c r="FH1376" s="306"/>
      <c r="FJ1376" s="307"/>
      <c r="FK1376" s="307"/>
      <c r="FL1376" s="306"/>
      <c r="FM1376" s="307"/>
      <c r="FN1376" s="306"/>
      <c r="FO1376" s="307"/>
      <c r="FP1376" s="306"/>
    </row>
    <row r="1377" spans="159:172">
      <c r="FC1377" s="307"/>
      <c r="FD1377" s="166"/>
      <c r="FF1377" s="307"/>
      <c r="FH1377" s="306"/>
      <c r="FJ1377" s="307"/>
      <c r="FK1377" s="307"/>
      <c r="FL1377" s="306"/>
      <c r="FM1377" s="307"/>
      <c r="FN1377" s="306"/>
      <c r="FO1377" s="307"/>
      <c r="FP1377" s="306"/>
    </row>
    <row r="1378" spans="159:172">
      <c r="FC1378" s="307"/>
      <c r="FD1378" s="166"/>
      <c r="FF1378" s="307"/>
      <c r="FH1378" s="306"/>
      <c r="FJ1378" s="307"/>
      <c r="FK1378" s="307"/>
      <c r="FL1378" s="306"/>
      <c r="FM1378" s="307"/>
      <c r="FN1378" s="306"/>
      <c r="FO1378" s="307"/>
      <c r="FP1378" s="306"/>
    </row>
    <row r="1379" spans="159:172">
      <c r="FC1379" s="307"/>
      <c r="FD1379" s="166"/>
      <c r="FF1379" s="307"/>
      <c r="FH1379" s="306"/>
      <c r="FJ1379" s="307"/>
      <c r="FK1379" s="307"/>
      <c r="FL1379" s="306"/>
      <c r="FM1379" s="307"/>
      <c r="FN1379" s="306"/>
      <c r="FO1379" s="307"/>
      <c r="FP1379" s="306"/>
    </row>
    <row r="1380" spans="159:172">
      <c r="FC1380" s="307"/>
      <c r="FD1380" s="166"/>
      <c r="FF1380" s="307"/>
      <c r="FH1380" s="306"/>
      <c r="FJ1380" s="307"/>
      <c r="FK1380" s="307"/>
      <c r="FL1380" s="306"/>
      <c r="FM1380" s="307"/>
      <c r="FN1380" s="306"/>
      <c r="FO1380" s="307"/>
      <c r="FP1380" s="306"/>
    </row>
    <row r="1381" spans="159:172">
      <c r="FC1381" s="307"/>
      <c r="FD1381" s="166"/>
      <c r="FF1381" s="307"/>
      <c r="FH1381" s="306"/>
      <c r="FJ1381" s="307"/>
      <c r="FK1381" s="307"/>
      <c r="FL1381" s="306"/>
      <c r="FM1381" s="307"/>
      <c r="FN1381" s="306"/>
      <c r="FO1381" s="307"/>
      <c r="FP1381" s="306"/>
    </row>
    <row r="1382" spans="159:172">
      <c r="FC1382" s="307"/>
      <c r="FD1382" s="166"/>
      <c r="FF1382" s="307"/>
      <c r="FH1382" s="306"/>
      <c r="FJ1382" s="307"/>
      <c r="FK1382" s="307"/>
      <c r="FL1382" s="306"/>
      <c r="FM1382" s="307"/>
      <c r="FN1382" s="306"/>
      <c r="FO1382" s="307"/>
      <c r="FP1382" s="306"/>
    </row>
    <row r="1383" spans="159:172">
      <c r="FC1383" s="307"/>
      <c r="FD1383" s="166"/>
      <c r="FF1383" s="307"/>
      <c r="FH1383" s="306"/>
      <c r="FJ1383" s="307"/>
      <c r="FK1383" s="307"/>
      <c r="FL1383" s="306"/>
      <c r="FM1383" s="307"/>
      <c r="FN1383" s="306"/>
      <c r="FO1383" s="307"/>
      <c r="FP1383" s="306"/>
    </row>
    <row r="1384" spans="159:172">
      <c r="FC1384" s="307"/>
      <c r="FD1384" s="166"/>
      <c r="FF1384" s="307"/>
      <c r="FH1384" s="306"/>
      <c r="FJ1384" s="307"/>
      <c r="FK1384" s="307"/>
      <c r="FL1384" s="306"/>
      <c r="FM1384" s="307"/>
      <c r="FN1384" s="306"/>
      <c r="FO1384" s="307"/>
      <c r="FP1384" s="306"/>
    </row>
    <row r="1385" spans="159:172">
      <c r="FC1385" s="307"/>
      <c r="FD1385" s="166"/>
      <c r="FF1385" s="307"/>
      <c r="FH1385" s="306"/>
      <c r="FJ1385" s="307"/>
      <c r="FK1385" s="307"/>
      <c r="FL1385" s="306"/>
      <c r="FM1385" s="307"/>
      <c r="FN1385" s="306"/>
      <c r="FO1385" s="307"/>
      <c r="FP1385" s="306"/>
    </row>
    <row r="1386" spans="159:172">
      <c r="FC1386" s="307"/>
      <c r="FD1386" s="166"/>
      <c r="FF1386" s="307"/>
      <c r="FH1386" s="306"/>
      <c r="FJ1386" s="307"/>
      <c r="FK1386" s="307"/>
      <c r="FL1386" s="306"/>
      <c r="FM1386" s="307"/>
      <c r="FN1386" s="306"/>
      <c r="FO1386" s="307"/>
      <c r="FP1386" s="306"/>
    </row>
    <row r="1387" spans="159:172">
      <c r="FC1387" s="307"/>
      <c r="FD1387" s="166"/>
      <c r="FF1387" s="307"/>
      <c r="FH1387" s="306"/>
      <c r="FJ1387" s="307"/>
      <c r="FK1387" s="307"/>
      <c r="FL1387" s="306"/>
      <c r="FM1387" s="307"/>
      <c r="FN1387" s="306"/>
      <c r="FO1387" s="307"/>
      <c r="FP1387" s="306"/>
    </row>
    <row r="1388" spans="159:172">
      <c r="FC1388" s="307"/>
      <c r="FD1388" s="166"/>
      <c r="FF1388" s="307"/>
      <c r="FH1388" s="306"/>
      <c r="FJ1388" s="307"/>
      <c r="FK1388" s="307"/>
      <c r="FL1388" s="306"/>
      <c r="FM1388" s="307"/>
      <c r="FN1388" s="306"/>
      <c r="FO1388" s="307"/>
      <c r="FP1388" s="306"/>
    </row>
    <row r="1389" spans="159:172">
      <c r="FC1389" s="307"/>
      <c r="FD1389" s="166"/>
      <c r="FF1389" s="307"/>
      <c r="FH1389" s="306"/>
      <c r="FJ1389" s="307"/>
      <c r="FK1389" s="307"/>
      <c r="FL1389" s="306"/>
      <c r="FM1389" s="307"/>
      <c r="FN1389" s="306"/>
      <c r="FO1389" s="307"/>
      <c r="FP1389" s="306"/>
    </row>
    <row r="1390" spans="159:172">
      <c r="FC1390" s="307"/>
      <c r="FD1390" s="166"/>
      <c r="FF1390" s="307"/>
      <c r="FH1390" s="306"/>
      <c r="FJ1390" s="307"/>
      <c r="FK1390" s="307"/>
      <c r="FL1390" s="306"/>
      <c r="FM1390" s="307"/>
      <c r="FN1390" s="306"/>
      <c r="FO1390" s="307"/>
      <c r="FP1390" s="306"/>
    </row>
    <row r="1391" spans="159:172">
      <c r="FC1391" s="307"/>
      <c r="FD1391" s="166"/>
      <c r="FF1391" s="307"/>
      <c r="FH1391" s="306"/>
      <c r="FJ1391" s="307"/>
      <c r="FK1391" s="307"/>
      <c r="FL1391" s="306"/>
      <c r="FM1391" s="307"/>
      <c r="FN1391" s="306"/>
      <c r="FO1391" s="307"/>
      <c r="FP1391" s="306"/>
    </row>
    <row r="1392" spans="159:172">
      <c r="FC1392" s="307"/>
      <c r="FD1392" s="166"/>
      <c r="FF1392" s="307"/>
      <c r="FH1392" s="306"/>
      <c r="FJ1392" s="307"/>
      <c r="FK1392" s="307"/>
      <c r="FL1392" s="306"/>
      <c r="FM1392" s="307"/>
      <c r="FN1392" s="306"/>
      <c r="FO1392" s="307"/>
      <c r="FP1392" s="306"/>
    </row>
    <row r="1393" spans="159:172">
      <c r="FC1393" s="307"/>
      <c r="FD1393" s="166"/>
      <c r="FF1393" s="307"/>
      <c r="FH1393" s="306"/>
      <c r="FJ1393" s="307"/>
      <c r="FK1393" s="307"/>
      <c r="FL1393" s="306"/>
      <c r="FM1393" s="307"/>
      <c r="FN1393" s="306"/>
      <c r="FO1393" s="307"/>
      <c r="FP1393" s="306"/>
    </row>
    <row r="1394" spans="159:172">
      <c r="FC1394" s="307"/>
      <c r="FD1394" s="166"/>
      <c r="FF1394" s="307"/>
      <c r="FH1394" s="306"/>
      <c r="FJ1394" s="307"/>
      <c r="FK1394" s="307"/>
      <c r="FL1394" s="306"/>
      <c r="FM1394" s="307"/>
      <c r="FN1394" s="306"/>
      <c r="FO1394" s="307"/>
      <c r="FP1394" s="306"/>
    </row>
    <row r="1395" spans="159:172">
      <c r="FC1395" s="307"/>
      <c r="FD1395" s="166"/>
      <c r="FF1395" s="307"/>
      <c r="FH1395" s="306"/>
      <c r="FJ1395" s="307"/>
      <c r="FK1395" s="307"/>
      <c r="FL1395" s="306"/>
      <c r="FM1395" s="307"/>
      <c r="FN1395" s="306"/>
      <c r="FO1395" s="307"/>
      <c r="FP1395" s="306"/>
    </row>
    <row r="1396" spans="159:172">
      <c r="FC1396" s="307"/>
      <c r="FD1396" s="166"/>
      <c r="FF1396" s="307"/>
      <c r="FH1396" s="306"/>
      <c r="FJ1396" s="307"/>
      <c r="FK1396" s="307"/>
      <c r="FL1396" s="306"/>
      <c r="FM1396" s="307"/>
      <c r="FN1396" s="306"/>
      <c r="FO1396" s="307"/>
      <c r="FP1396" s="306"/>
    </row>
    <row r="1397" spans="159:172">
      <c r="FC1397" s="307"/>
      <c r="FD1397" s="166"/>
      <c r="FF1397" s="307"/>
      <c r="FH1397" s="306"/>
      <c r="FJ1397" s="307"/>
      <c r="FK1397" s="307"/>
      <c r="FL1397" s="306"/>
      <c r="FM1397" s="307"/>
      <c r="FN1397" s="306"/>
      <c r="FO1397" s="307"/>
      <c r="FP1397" s="306"/>
    </row>
    <row r="1398" spans="159:172">
      <c r="FC1398" s="307"/>
      <c r="FD1398" s="166"/>
      <c r="FF1398" s="307"/>
      <c r="FH1398" s="306"/>
      <c r="FJ1398" s="307"/>
      <c r="FK1398" s="307"/>
      <c r="FL1398" s="306"/>
      <c r="FM1398" s="307"/>
      <c r="FN1398" s="306"/>
      <c r="FO1398" s="307"/>
      <c r="FP1398" s="306"/>
    </row>
    <row r="1399" spans="159:172">
      <c r="FC1399" s="307"/>
      <c r="FD1399" s="166"/>
      <c r="FF1399" s="307"/>
      <c r="FH1399" s="306"/>
      <c r="FJ1399" s="307"/>
      <c r="FK1399" s="307"/>
      <c r="FL1399" s="306"/>
      <c r="FM1399" s="307"/>
      <c r="FN1399" s="306"/>
      <c r="FO1399" s="307"/>
      <c r="FP1399" s="306"/>
    </row>
    <row r="1400" spans="159:172">
      <c r="FC1400" s="307"/>
      <c r="FD1400" s="166"/>
      <c r="FF1400" s="307"/>
      <c r="FH1400" s="306"/>
      <c r="FJ1400" s="307"/>
      <c r="FK1400" s="307"/>
      <c r="FL1400" s="306"/>
      <c r="FM1400" s="307"/>
      <c r="FN1400" s="306"/>
      <c r="FO1400" s="307"/>
      <c r="FP1400" s="306"/>
    </row>
    <row r="1401" spans="159:172">
      <c r="FC1401" s="307"/>
      <c r="FD1401" s="166"/>
      <c r="FF1401" s="307"/>
      <c r="FH1401" s="306"/>
      <c r="FJ1401" s="307"/>
      <c r="FK1401" s="307"/>
      <c r="FL1401" s="306"/>
      <c r="FM1401" s="307"/>
      <c r="FN1401" s="306"/>
      <c r="FO1401" s="307"/>
      <c r="FP1401" s="306"/>
    </row>
    <row r="1402" spans="159:172">
      <c r="FC1402" s="307"/>
      <c r="FD1402" s="166"/>
      <c r="FF1402" s="307"/>
      <c r="FH1402" s="306"/>
      <c r="FJ1402" s="307"/>
      <c r="FK1402" s="307"/>
      <c r="FL1402" s="306"/>
      <c r="FM1402" s="307"/>
      <c r="FN1402" s="306"/>
      <c r="FO1402" s="307"/>
      <c r="FP1402" s="306"/>
    </row>
    <row r="1403" spans="159:172">
      <c r="FC1403" s="307"/>
      <c r="FD1403" s="166"/>
      <c r="FF1403" s="307"/>
      <c r="FH1403" s="306"/>
      <c r="FJ1403" s="307"/>
      <c r="FK1403" s="307"/>
      <c r="FL1403" s="306"/>
      <c r="FM1403" s="307"/>
      <c r="FN1403" s="306"/>
      <c r="FO1403" s="307"/>
      <c r="FP1403" s="306"/>
    </row>
    <row r="1404" spans="159:172">
      <c r="FC1404" s="307"/>
      <c r="FD1404" s="166"/>
      <c r="FF1404" s="307"/>
      <c r="FH1404" s="306"/>
      <c r="FJ1404" s="307"/>
      <c r="FK1404" s="307"/>
      <c r="FL1404" s="306"/>
      <c r="FM1404" s="307"/>
      <c r="FN1404" s="306"/>
      <c r="FO1404" s="307"/>
      <c r="FP1404" s="306"/>
    </row>
    <row r="1405" spans="159:172">
      <c r="FC1405" s="307"/>
      <c r="FD1405" s="166"/>
      <c r="FF1405" s="307"/>
      <c r="FH1405" s="306"/>
      <c r="FJ1405" s="307"/>
      <c r="FK1405" s="307"/>
      <c r="FL1405" s="306"/>
      <c r="FM1405" s="307"/>
      <c r="FN1405" s="306"/>
      <c r="FO1405" s="307"/>
      <c r="FP1405" s="306"/>
    </row>
    <row r="1406" spans="159:172">
      <c r="FC1406" s="307"/>
      <c r="FD1406" s="166"/>
      <c r="FF1406" s="307"/>
      <c r="FH1406" s="306"/>
      <c r="FJ1406" s="307"/>
      <c r="FK1406" s="307"/>
      <c r="FL1406" s="306"/>
      <c r="FM1406" s="307"/>
      <c r="FN1406" s="306"/>
      <c r="FO1406" s="307"/>
      <c r="FP1406" s="306"/>
    </row>
    <row r="1407" spans="159:172">
      <c r="FC1407" s="307"/>
      <c r="FD1407" s="166"/>
      <c r="FF1407" s="307"/>
      <c r="FH1407" s="306"/>
      <c r="FJ1407" s="307"/>
      <c r="FK1407" s="307"/>
      <c r="FL1407" s="306"/>
      <c r="FM1407" s="307"/>
      <c r="FN1407" s="306"/>
      <c r="FO1407" s="307"/>
      <c r="FP1407" s="306"/>
    </row>
    <row r="1408" spans="159:172">
      <c r="FC1408" s="307"/>
      <c r="FD1408" s="166"/>
      <c r="FF1408" s="307"/>
      <c r="FH1408" s="306"/>
      <c r="FJ1408" s="307"/>
      <c r="FK1408" s="307"/>
      <c r="FL1408" s="306"/>
      <c r="FM1408" s="307"/>
      <c r="FN1408" s="306"/>
      <c r="FO1408" s="307"/>
      <c r="FP1408" s="306"/>
    </row>
    <row r="1409" spans="159:172">
      <c r="FC1409" s="307"/>
      <c r="FD1409" s="166"/>
      <c r="FF1409" s="307"/>
      <c r="FH1409" s="306"/>
      <c r="FJ1409" s="307"/>
      <c r="FK1409" s="307"/>
      <c r="FL1409" s="306"/>
      <c r="FM1409" s="307"/>
      <c r="FN1409" s="306"/>
      <c r="FO1409" s="307"/>
      <c r="FP1409" s="306"/>
    </row>
    <row r="1410" spans="159:172">
      <c r="FC1410" s="307"/>
      <c r="FD1410" s="166"/>
      <c r="FF1410" s="307"/>
      <c r="FH1410" s="306"/>
      <c r="FJ1410" s="307"/>
      <c r="FK1410" s="307"/>
      <c r="FL1410" s="306"/>
      <c r="FM1410" s="307"/>
      <c r="FN1410" s="306"/>
      <c r="FO1410" s="307"/>
      <c r="FP1410" s="306"/>
    </row>
    <row r="1411" spans="159:172">
      <c r="FC1411" s="307"/>
      <c r="FD1411" s="166"/>
      <c r="FF1411" s="307"/>
      <c r="FH1411" s="306"/>
      <c r="FJ1411" s="307"/>
      <c r="FK1411" s="307"/>
      <c r="FL1411" s="306"/>
      <c r="FM1411" s="307"/>
      <c r="FN1411" s="306"/>
      <c r="FO1411" s="307"/>
      <c r="FP1411" s="306"/>
    </row>
    <row r="1412" spans="159:172">
      <c r="FC1412" s="307"/>
      <c r="FD1412" s="166"/>
      <c r="FF1412" s="307"/>
      <c r="FH1412" s="306"/>
      <c r="FJ1412" s="307"/>
      <c r="FK1412" s="307"/>
      <c r="FL1412" s="306"/>
      <c r="FM1412" s="307"/>
      <c r="FN1412" s="306"/>
      <c r="FO1412" s="307"/>
      <c r="FP1412" s="306"/>
    </row>
    <row r="1413" spans="159:172">
      <c r="FC1413" s="307"/>
      <c r="FD1413" s="166"/>
      <c r="FF1413" s="307"/>
      <c r="FH1413" s="306"/>
      <c r="FJ1413" s="307"/>
      <c r="FK1413" s="307"/>
      <c r="FL1413" s="306"/>
      <c r="FM1413" s="307"/>
      <c r="FN1413" s="306"/>
      <c r="FO1413" s="307"/>
      <c r="FP1413" s="306"/>
    </row>
    <row r="1414" spans="159:172">
      <c r="FC1414" s="307"/>
      <c r="FD1414" s="166"/>
      <c r="FF1414" s="307"/>
      <c r="FH1414" s="306"/>
      <c r="FJ1414" s="307"/>
      <c r="FK1414" s="307"/>
      <c r="FL1414" s="306"/>
      <c r="FM1414" s="307"/>
      <c r="FN1414" s="306"/>
      <c r="FO1414" s="307"/>
      <c r="FP1414" s="306"/>
    </row>
    <row r="1415" spans="159:172">
      <c r="FC1415" s="307"/>
      <c r="FD1415" s="166"/>
      <c r="FF1415" s="307"/>
      <c r="FH1415" s="306"/>
      <c r="FJ1415" s="307"/>
      <c r="FK1415" s="307"/>
      <c r="FL1415" s="306"/>
      <c r="FM1415" s="307"/>
      <c r="FN1415" s="306"/>
      <c r="FO1415" s="307"/>
      <c r="FP1415" s="306"/>
    </row>
    <row r="1416" spans="159:172">
      <c r="FC1416" s="307"/>
      <c r="FD1416" s="166"/>
      <c r="FF1416" s="307"/>
      <c r="FH1416" s="306"/>
      <c r="FJ1416" s="307"/>
      <c r="FK1416" s="307"/>
      <c r="FL1416" s="306"/>
      <c r="FM1416" s="307"/>
      <c r="FN1416" s="306"/>
      <c r="FO1416" s="307"/>
      <c r="FP1416" s="306"/>
    </row>
    <row r="1417" spans="159:172">
      <c r="FC1417" s="307"/>
      <c r="FD1417" s="166"/>
      <c r="FF1417" s="307"/>
      <c r="FH1417" s="306"/>
      <c r="FJ1417" s="307"/>
      <c r="FK1417" s="307"/>
      <c r="FL1417" s="306"/>
      <c r="FM1417" s="307"/>
      <c r="FN1417" s="306"/>
      <c r="FO1417" s="307"/>
      <c r="FP1417" s="306"/>
    </row>
    <row r="1418" spans="159:172">
      <c r="FC1418" s="307"/>
      <c r="FD1418" s="166"/>
      <c r="FF1418" s="307"/>
      <c r="FH1418" s="306"/>
      <c r="FJ1418" s="307"/>
      <c r="FK1418" s="307"/>
      <c r="FL1418" s="306"/>
      <c r="FM1418" s="307"/>
      <c r="FN1418" s="306"/>
      <c r="FO1418" s="307"/>
      <c r="FP1418" s="306"/>
    </row>
    <row r="1419" spans="159:172">
      <c r="FC1419" s="307"/>
      <c r="FD1419" s="166"/>
      <c r="FF1419" s="307"/>
      <c r="FH1419" s="306"/>
      <c r="FJ1419" s="307"/>
      <c r="FK1419" s="307"/>
      <c r="FL1419" s="306"/>
      <c r="FM1419" s="307"/>
      <c r="FN1419" s="306"/>
      <c r="FO1419" s="307"/>
      <c r="FP1419" s="306"/>
    </row>
    <row r="1420" spans="159:172">
      <c r="FC1420" s="307"/>
      <c r="FD1420" s="166"/>
      <c r="FF1420" s="307"/>
      <c r="FH1420" s="306"/>
      <c r="FJ1420" s="307"/>
      <c r="FK1420" s="307"/>
      <c r="FL1420" s="306"/>
      <c r="FM1420" s="307"/>
      <c r="FN1420" s="306"/>
      <c r="FO1420" s="307"/>
      <c r="FP1420" s="306"/>
    </row>
    <row r="1421" spans="159:172">
      <c r="FC1421" s="307"/>
      <c r="FD1421" s="166"/>
      <c r="FF1421" s="307"/>
      <c r="FH1421" s="306"/>
      <c r="FJ1421" s="307"/>
      <c r="FK1421" s="307"/>
      <c r="FL1421" s="306"/>
      <c r="FM1421" s="307"/>
      <c r="FN1421" s="306"/>
      <c r="FO1421" s="307"/>
      <c r="FP1421" s="306"/>
    </row>
    <row r="1422" spans="159:172">
      <c r="FC1422" s="307"/>
      <c r="FD1422" s="166"/>
      <c r="FF1422" s="307"/>
      <c r="FH1422" s="306"/>
      <c r="FJ1422" s="307"/>
      <c r="FK1422" s="307"/>
      <c r="FL1422" s="306"/>
      <c r="FM1422" s="307"/>
      <c r="FN1422" s="306"/>
      <c r="FO1422" s="307"/>
      <c r="FP1422" s="306"/>
    </row>
    <row r="1423" spans="159:172">
      <c r="FC1423" s="307"/>
      <c r="FD1423" s="166"/>
      <c r="FF1423" s="307"/>
      <c r="FH1423" s="306"/>
      <c r="FJ1423" s="307"/>
      <c r="FK1423" s="307"/>
      <c r="FL1423" s="306"/>
      <c r="FM1423" s="307"/>
      <c r="FN1423" s="306"/>
      <c r="FO1423" s="307"/>
      <c r="FP1423" s="306"/>
    </row>
    <row r="1424" spans="159:172">
      <c r="FC1424" s="307"/>
      <c r="FD1424" s="166"/>
      <c r="FF1424" s="307"/>
      <c r="FH1424" s="306"/>
      <c r="FJ1424" s="307"/>
      <c r="FK1424" s="307"/>
      <c r="FL1424" s="306"/>
      <c r="FM1424" s="307"/>
      <c r="FN1424" s="306"/>
      <c r="FO1424" s="307"/>
      <c r="FP1424" s="306"/>
    </row>
    <row r="1425" spans="159:172">
      <c r="FC1425" s="307"/>
      <c r="FD1425" s="166"/>
      <c r="FF1425" s="307"/>
      <c r="FH1425" s="306"/>
      <c r="FJ1425" s="307"/>
      <c r="FK1425" s="307"/>
      <c r="FL1425" s="306"/>
      <c r="FM1425" s="307"/>
      <c r="FN1425" s="306"/>
      <c r="FO1425" s="307"/>
      <c r="FP1425" s="306"/>
    </row>
    <row r="1426" spans="159:172">
      <c r="FC1426" s="307"/>
      <c r="FD1426" s="166"/>
      <c r="FF1426" s="307"/>
      <c r="FH1426" s="306"/>
      <c r="FJ1426" s="307"/>
      <c r="FK1426" s="307"/>
      <c r="FL1426" s="306"/>
      <c r="FM1426" s="307"/>
      <c r="FN1426" s="306"/>
      <c r="FO1426" s="307"/>
      <c r="FP1426" s="306"/>
    </row>
    <row r="1427" spans="159:172">
      <c r="FC1427" s="307"/>
      <c r="FD1427" s="166"/>
      <c r="FF1427" s="307"/>
      <c r="FH1427" s="306"/>
      <c r="FJ1427" s="307"/>
      <c r="FK1427" s="307"/>
      <c r="FL1427" s="306"/>
      <c r="FM1427" s="307"/>
      <c r="FN1427" s="306"/>
      <c r="FO1427" s="307"/>
      <c r="FP1427" s="306"/>
    </row>
    <row r="1428" spans="159:172">
      <c r="FC1428" s="307"/>
      <c r="FD1428" s="166"/>
      <c r="FF1428" s="307"/>
      <c r="FH1428" s="306"/>
      <c r="FJ1428" s="307"/>
      <c r="FK1428" s="307"/>
      <c r="FL1428" s="306"/>
      <c r="FM1428" s="307"/>
      <c r="FN1428" s="306"/>
      <c r="FO1428" s="307"/>
      <c r="FP1428" s="306"/>
    </row>
    <row r="1429" spans="159:172">
      <c r="FC1429" s="307"/>
      <c r="FD1429" s="166"/>
      <c r="FF1429" s="307"/>
      <c r="FH1429" s="306"/>
      <c r="FJ1429" s="307"/>
      <c r="FK1429" s="307"/>
      <c r="FL1429" s="306"/>
      <c r="FM1429" s="307"/>
      <c r="FN1429" s="306"/>
      <c r="FO1429" s="307"/>
      <c r="FP1429" s="306"/>
    </row>
    <row r="1430" spans="159:172">
      <c r="FC1430" s="307"/>
      <c r="FD1430" s="166"/>
      <c r="FF1430" s="307"/>
      <c r="FH1430" s="306"/>
      <c r="FJ1430" s="307"/>
      <c r="FK1430" s="307"/>
      <c r="FL1430" s="306"/>
      <c r="FM1430" s="307"/>
      <c r="FN1430" s="306"/>
      <c r="FO1430" s="307"/>
      <c r="FP1430" s="306"/>
    </row>
    <row r="1431" spans="159:172">
      <c r="FC1431" s="307"/>
      <c r="FD1431" s="166"/>
      <c r="FF1431" s="307"/>
      <c r="FH1431" s="306"/>
      <c r="FJ1431" s="307"/>
      <c r="FK1431" s="307"/>
      <c r="FL1431" s="306"/>
      <c r="FM1431" s="307"/>
      <c r="FN1431" s="306"/>
      <c r="FO1431" s="307"/>
      <c r="FP1431" s="306"/>
    </row>
    <row r="1432" spans="159:172">
      <c r="FC1432" s="307"/>
      <c r="FD1432" s="166"/>
      <c r="FF1432" s="307"/>
      <c r="FH1432" s="306"/>
      <c r="FJ1432" s="307"/>
      <c r="FK1432" s="307"/>
      <c r="FL1432" s="306"/>
      <c r="FM1432" s="307"/>
      <c r="FN1432" s="306"/>
      <c r="FO1432" s="307"/>
      <c r="FP1432" s="306"/>
    </row>
    <row r="1433" spans="159:172">
      <c r="FC1433" s="307"/>
      <c r="FD1433" s="166"/>
      <c r="FF1433" s="307"/>
      <c r="FH1433" s="306"/>
      <c r="FJ1433" s="307"/>
      <c r="FK1433" s="307"/>
      <c r="FL1433" s="306"/>
      <c r="FM1433" s="307"/>
      <c r="FN1433" s="306"/>
      <c r="FO1433" s="307"/>
      <c r="FP1433" s="306"/>
    </row>
    <row r="1434" spans="159:172">
      <c r="FC1434" s="307"/>
      <c r="FD1434" s="166"/>
      <c r="FF1434" s="307"/>
      <c r="FH1434" s="306"/>
      <c r="FJ1434" s="307"/>
      <c r="FK1434" s="307"/>
      <c r="FL1434" s="306"/>
      <c r="FM1434" s="307"/>
      <c r="FN1434" s="306"/>
      <c r="FO1434" s="307"/>
      <c r="FP1434" s="306"/>
    </row>
    <row r="1435" spans="159:172">
      <c r="FC1435" s="307"/>
      <c r="FD1435" s="166"/>
      <c r="FF1435" s="307"/>
      <c r="FH1435" s="306"/>
      <c r="FJ1435" s="307"/>
      <c r="FK1435" s="307"/>
      <c r="FL1435" s="306"/>
      <c r="FM1435" s="307"/>
      <c r="FN1435" s="306"/>
      <c r="FO1435" s="307"/>
      <c r="FP1435" s="306"/>
    </row>
    <row r="1436" spans="159:172">
      <c r="FC1436" s="307"/>
      <c r="FD1436" s="166"/>
      <c r="FF1436" s="307"/>
      <c r="FH1436" s="306"/>
      <c r="FJ1436" s="307"/>
      <c r="FK1436" s="307"/>
      <c r="FL1436" s="306"/>
      <c r="FM1436" s="307"/>
      <c r="FN1436" s="306"/>
      <c r="FO1436" s="307"/>
      <c r="FP1436" s="306"/>
    </row>
    <row r="1437" spans="159:172">
      <c r="FC1437" s="307"/>
      <c r="FD1437" s="166"/>
      <c r="FF1437" s="307"/>
      <c r="FH1437" s="306"/>
      <c r="FJ1437" s="307"/>
      <c r="FK1437" s="307"/>
      <c r="FL1437" s="306"/>
      <c r="FM1437" s="307"/>
      <c r="FN1437" s="306"/>
      <c r="FO1437" s="307"/>
      <c r="FP1437" s="306"/>
    </row>
    <row r="1438" spans="159:172">
      <c r="FC1438" s="307"/>
      <c r="FD1438" s="166"/>
      <c r="FF1438" s="307"/>
      <c r="FH1438" s="306"/>
      <c r="FJ1438" s="307"/>
      <c r="FK1438" s="307"/>
      <c r="FL1438" s="306"/>
      <c r="FM1438" s="307"/>
      <c r="FN1438" s="306"/>
      <c r="FO1438" s="307"/>
      <c r="FP1438" s="306"/>
    </row>
    <row r="1439" spans="159:172">
      <c r="FC1439" s="307"/>
      <c r="FD1439" s="166"/>
      <c r="FF1439" s="307"/>
      <c r="FH1439" s="306"/>
      <c r="FJ1439" s="307"/>
      <c r="FK1439" s="307"/>
      <c r="FL1439" s="306"/>
      <c r="FM1439" s="307"/>
      <c r="FN1439" s="306"/>
      <c r="FO1439" s="307"/>
      <c r="FP1439" s="306"/>
    </row>
    <row r="1440" spans="159:172">
      <c r="FC1440" s="307"/>
      <c r="FD1440" s="166"/>
      <c r="FF1440" s="307"/>
      <c r="FH1440" s="306"/>
      <c r="FJ1440" s="307"/>
      <c r="FK1440" s="307"/>
      <c r="FL1440" s="306"/>
      <c r="FM1440" s="307"/>
      <c r="FN1440" s="306"/>
      <c r="FO1440" s="307"/>
      <c r="FP1440" s="306"/>
    </row>
    <row r="1441" spans="159:172">
      <c r="FC1441" s="307"/>
      <c r="FD1441" s="166"/>
      <c r="FF1441" s="307"/>
      <c r="FH1441" s="306"/>
      <c r="FJ1441" s="307"/>
      <c r="FK1441" s="307"/>
      <c r="FL1441" s="306"/>
      <c r="FM1441" s="307"/>
      <c r="FN1441" s="306"/>
      <c r="FO1441" s="307"/>
      <c r="FP1441" s="306"/>
    </row>
    <row r="1442" spans="159:172">
      <c r="FC1442" s="307"/>
      <c r="FD1442" s="166"/>
      <c r="FF1442" s="307"/>
      <c r="FH1442" s="306"/>
      <c r="FJ1442" s="307"/>
      <c r="FK1442" s="307"/>
      <c r="FL1442" s="306"/>
      <c r="FM1442" s="307"/>
      <c r="FN1442" s="306"/>
      <c r="FO1442" s="307"/>
      <c r="FP1442" s="306"/>
    </row>
    <row r="1443" spans="159:172">
      <c r="FC1443" s="307"/>
      <c r="FD1443" s="166"/>
      <c r="FF1443" s="307"/>
      <c r="FH1443" s="306"/>
      <c r="FJ1443" s="307"/>
      <c r="FK1443" s="307"/>
      <c r="FL1443" s="306"/>
      <c r="FM1443" s="307"/>
      <c r="FN1443" s="306"/>
      <c r="FO1443" s="307"/>
      <c r="FP1443" s="306"/>
    </row>
    <row r="1444" spans="159:172">
      <c r="FC1444" s="307"/>
      <c r="FD1444" s="166"/>
      <c r="FF1444" s="307"/>
      <c r="FH1444" s="306"/>
      <c r="FJ1444" s="307"/>
      <c r="FK1444" s="307"/>
      <c r="FL1444" s="306"/>
      <c r="FM1444" s="307"/>
      <c r="FN1444" s="306"/>
      <c r="FO1444" s="307"/>
      <c r="FP1444" s="306"/>
    </row>
    <row r="1445" spans="159:172">
      <c r="FC1445" s="307"/>
      <c r="FD1445" s="166"/>
      <c r="FF1445" s="307"/>
      <c r="FH1445" s="306"/>
      <c r="FJ1445" s="307"/>
      <c r="FK1445" s="307"/>
      <c r="FL1445" s="306"/>
      <c r="FM1445" s="307"/>
      <c r="FN1445" s="306"/>
      <c r="FO1445" s="307"/>
      <c r="FP1445" s="306"/>
    </row>
    <row r="1446" spans="159:172">
      <c r="FC1446" s="307"/>
      <c r="FD1446" s="166"/>
      <c r="FF1446" s="307"/>
      <c r="FH1446" s="306"/>
      <c r="FJ1446" s="307"/>
      <c r="FK1446" s="307"/>
      <c r="FL1446" s="306"/>
      <c r="FM1446" s="307"/>
      <c r="FN1446" s="306"/>
      <c r="FO1446" s="307"/>
      <c r="FP1446" s="306"/>
    </row>
    <row r="1447" spans="159:172">
      <c r="FC1447" s="307"/>
      <c r="FD1447" s="166"/>
      <c r="FF1447" s="307"/>
      <c r="FH1447" s="306"/>
      <c r="FJ1447" s="307"/>
      <c r="FK1447" s="307"/>
      <c r="FL1447" s="306"/>
      <c r="FM1447" s="307"/>
      <c r="FN1447" s="306"/>
      <c r="FO1447" s="307"/>
      <c r="FP1447" s="306"/>
    </row>
    <row r="1448" spans="159:172">
      <c r="FC1448" s="307"/>
      <c r="FD1448" s="166"/>
      <c r="FF1448" s="307"/>
      <c r="FH1448" s="306"/>
      <c r="FJ1448" s="307"/>
      <c r="FK1448" s="307"/>
      <c r="FL1448" s="306"/>
      <c r="FM1448" s="307"/>
      <c r="FN1448" s="306"/>
      <c r="FO1448" s="307"/>
      <c r="FP1448" s="306"/>
    </row>
    <row r="1449" spans="159:172">
      <c r="FC1449" s="307"/>
      <c r="FD1449" s="166"/>
      <c r="FF1449" s="307"/>
      <c r="FH1449" s="306"/>
      <c r="FJ1449" s="307"/>
      <c r="FK1449" s="307"/>
      <c r="FL1449" s="306"/>
      <c r="FM1449" s="307"/>
      <c r="FN1449" s="306"/>
      <c r="FO1449" s="307"/>
      <c r="FP1449" s="306"/>
    </row>
    <row r="1450" spans="159:172">
      <c r="FC1450" s="307"/>
      <c r="FD1450" s="166"/>
      <c r="FF1450" s="307"/>
      <c r="FH1450" s="306"/>
      <c r="FJ1450" s="307"/>
      <c r="FK1450" s="307"/>
      <c r="FL1450" s="306"/>
      <c r="FM1450" s="307"/>
      <c r="FN1450" s="306"/>
      <c r="FO1450" s="307"/>
      <c r="FP1450" s="306"/>
    </row>
    <row r="1451" spans="159:172">
      <c r="FC1451" s="307"/>
      <c r="FD1451" s="166"/>
      <c r="FF1451" s="307"/>
      <c r="FH1451" s="306"/>
      <c r="FJ1451" s="307"/>
      <c r="FK1451" s="307"/>
      <c r="FL1451" s="306"/>
      <c r="FM1451" s="307"/>
      <c r="FN1451" s="306"/>
      <c r="FO1451" s="307"/>
      <c r="FP1451" s="306"/>
    </row>
    <row r="1452" spans="159:172">
      <c r="FC1452" s="307"/>
      <c r="FD1452" s="166"/>
      <c r="FF1452" s="307"/>
      <c r="FH1452" s="306"/>
      <c r="FJ1452" s="307"/>
      <c r="FK1452" s="307"/>
      <c r="FL1452" s="306"/>
      <c r="FM1452" s="307"/>
      <c r="FN1452" s="306"/>
      <c r="FO1452" s="307"/>
      <c r="FP1452" s="306"/>
    </row>
    <row r="1453" spans="159:172">
      <c r="FC1453" s="307"/>
      <c r="FD1453" s="166"/>
      <c r="FF1453" s="307"/>
      <c r="FH1453" s="306"/>
      <c r="FJ1453" s="307"/>
      <c r="FK1453" s="307"/>
      <c r="FL1453" s="306"/>
      <c r="FM1453" s="307"/>
      <c r="FN1453" s="306"/>
      <c r="FO1453" s="307"/>
      <c r="FP1453" s="306"/>
    </row>
    <row r="1454" spans="159:172">
      <c r="FC1454" s="307"/>
      <c r="FD1454" s="166"/>
      <c r="FF1454" s="307"/>
      <c r="FH1454" s="306"/>
      <c r="FJ1454" s="307"/>
      <c r="FK1454" s="307"/>
      <c r="FL1454" s="306"/>
      <c r="FM1454" s="307"/>
      <c r="FN1454" s="306"/>
      <c r="FO1454" s="307"/>
      <c r="FP1454" s="306"/>
    </row>
    <row r="1455" spans="159:172">
      <c r="FC1455" s="307"/>
      <c r="FD1455" s="166"/>
      <c r="FF1455" s="307"/>
      <c r="FH1455" s="306"/>
      <c r="FJ1455" s="307"/>
      <c r="FK1455" s="307"/>
      <c r="FL1455" s="306"/>
      <c r="FM1455" s="307"/>
      <c r="FN1455" s="306"/>
      <c r="FO1455" s="307"/>
      <c r="FP1455" s="306"/>
    </row>
    <row r="1456" spans="159:172">
      <c r="FC1456" s="307"/>
      <c r="FD1456" s="166"/>
      <c r="FF1456" s="307"/>
      <c r="FH1456" s="306"/>
      <c r="FJ1456" s="307"/>
      <c r="FK1456" s="307"/>
      <c r="FL1456" s="306"/>
      <c r="FM1456" s="307"/>
      <c r="FN1456" s="306"/>
      <c r="FO1456" s="307"/>
      <c r="FP1456" s="306"/>
    </row>
    <row r="1457" spans="159:172">
      <c r="FC1457" s="307"/>
      <c r="FD1457" s="166"/>
      <c r="FF1457" s="307"/>
      <c r="FH1457" s="306"/>
      <c r="FJ1457" s="307"/>
      <c r="FK1457" s="307"/>
      <c r="FL1457" s="306"/>
      <c r="FM1457" s="307"/>
      <c r="FN1457" s="306"/>
      <c r="FO1457" s="307"/>
      <c r="FP1457" s="306"/>
    </row>
    <row r="1458" spans="159:172">
      <c r="FC1458" s="307"/>
      <c r="FD1458" s="166"/>
      <c r="FF1458" s="307"/>
      <c r="FH1458" s="306"/>
      <c r="FJ1458" s="307"/>
      <c r="FK1458" s="307"/>
      <c r="FL1458" s="306"/>
      <c r="FM1458" s="307"/>
      <c r="FN1458" s="306"/>
      <c r="FO1458" s="307"/>
      <c r="FP1458" s="306"/>
    </row>
    <row r="1459" spans="159:172">
      <c r="FC1459" s="307"/>
      <c r="FD1459" s="166"/>
      <c r="FF1459" s="307"/>
      <c r="FH1459" s="306"/>
      <c r="FJ1459" s="307"/>
      <c r="FK1459" s="307"/>
      <c r="FL1459" s="306"/>
      <c r="FM1459" s="307"/>
      <c r="FN1459" s="306"/>
      <c r="FO1459" s="307"/>
      <c r="FP1459" s="306"/>
    </row>
    <row r="1460" spans="159:172">
      <c r="FC1460" s="307"/>
      <c r="FD1460" s="166"/>
      <c r="FF1460" s="307"/>
      <c r="FH1460" s="306"/>
      <c r="FJ1460" s="307"/>
      <c r="FK1460" s="307"/>
      <c r="FL1460" s="306"/>
      <c r="FM1460" s="307"/>
      <c r="FN1460" s="306"/>
      <c r="FO1460" s="307"/>
      <c r="FP1460" s="306"/>
    </row>
    <row r="1461" spans="159:172">
      <c r="FC1461" s="307"/>
      <c r="FD1461" s="166"/>
      <c r="FF1461" s="307"/>
      <c r="FH1461" s="306"/>
      <c r="FJ1461" s="307"/>
      <c r="FK1461" s="307"/>
      <c r="FL1461" s="306"/>
      <c r="FM1461" s="307"/>
      <c r="FN1461" s="306"/>
      <c r="FO1461" s="307"/>
      <c r="FP1461" s="306"/>
    </row>
    <row r="1462" spans="159:172">
      <c r="FC1462" s="307"/>
      <c r="FD1462" s="166"/>
      <c r="FF1462" s="307"/>
      <c r="FH1462" s="306"/>
      <c r="FJ1462" s="307"/>
      <c r="FK1462" s="307"/>
      <c r="FL1462" s="306"/>
      <c r="FM1462" s="307"/>
      <c r="FN1462" s="306"/>
      <c r="FO1462" s="307"/>
      <c r="FP1462" s="306"/>
    </row>
    <row r="1463" spans="159:172">
      <c r="FC1463" s="307"/>
      <c r="FD1463" s="166"/>
      <c r="FF1463" s="307"/>
      <c r="FH1463" s="306"/>
      <c r="FJ1463" s="307"/>
      <c r="FK1463" s="307"/>
      <c r="FL1463" s="306"/>
      <c r="FM1463" s="307"/>
      <c r="FN1463" s="306"/>
      <c r="FO1463" s="307"/>
      <c r="FP1463" s="306"/>
    </row>
    <row r="1464" spans="159:172">
      <c r="FC1464" s="307"/>
      <c r="FD1464" s="166"/>
      <c r="FF1464" s="307"/>
      <c r="FH1464" s="306"/>
      <c r="FJ1464" s="307"/>
      <c r="FK1464" s="307"/>
      <c r="FL1464" s="306"/>
      <c r="FM1464" s="307"/>
      <c r="FN1464" s="306"/>
      <c r="FO1464" s="307"/>
      <c r="FP1464" s="306"/>
    </row>
    <row r="1465" spans="159:172">
      <c r="FC1465" s="307"/>
      <c r="FD1465" s="166"/>
      <c r="FF1465" s="307"/>
      <c r="FH1465" s="306"/>
      <c r="FJ1465" s="307"/>
      <c r="FK1465" s="307"/>
      <c r="FL1465" s="306"/>
      <c r="FM1465" s="307"/>
      <c r="FN1465" s="306"/>
      <c r="FO1465" s="307"/>
      <c r="FP1465" s="306"/>
    </row>
    <row r="1466" spans="159:172">
      <c r="FC1466" s="307"/>
      <c r="FD1466" s="166"/>
      <c r="FF1466" s="307"/>
      <c r="FH1466" s="306"/>
      <c r="FJ1466" s="307"/>
      <c r="FK1466" s="307"/>
      <c r="FL1466" s="306"/>
      <c r="FM1466" s="307"/>
      <c r="FN1466" s="306"/>
      <c r="FO1466" s="307"/>
      <c r="FP1466" s="306"/>
    </row>
    <row r="1467" spans="159:172">
      <c r="FC1467" s="307"/>
      <c r="FD1467" s="166"/>
      <c r="FF1467" s="307"/>
      <c r="FH1467" s="306"/>
      <c r="FJ1467" s="307"/>
      <c r="FK1467" s="307"/>
      <c r="FL1467" s="306"/>
      <c r="FM1467" s="307"/>
      <c r="FN1467" s="306"/>
      <c r="FO1467" s="307"/>
      <c r="FP1467" s="306"/>
    </row>
    <row r="1468" spans="159:172">
      <c r="FC1468" s="307"/>
      <c r="FD1468" s="166"/>
      <c r="FF1468" s="307"/>
      <c r="FH1468" s="306"/>
      <c r="FJ1468" s="307"/>
      <c r="FK1468" s="307"/>
      <c r="FL1468" s="306"/>
      <c r="FM1468" s="307"/>
      <c r="FN1468" s="306"/>
      <c r="FO1468" s="307"/>
      <c r="FP1468" s="306"/>
    </row>
    <row r="1469" spans="159:172">
      <c r="FC1469" s="307"/>
      <c r="FD1469" s="166"/>
      <c r="FF1469" s="307"/>
      <c r="FH1469" s="306"/>
      <c r="FJ1469" s="307"/>
      <c r="FK1469" s="307"/>
      <c r="FL1469" s="306"/>
      <c r="FM1469" s="307"/>
      <c r="FN1469" s="306"/>
      <c r="FO1469" s="307"/>
      <c r="FP1469" s="306"/>
    </row>
    <row r="1470" spans="159:172">
      <c r="FC1470" s="307"/>
      <c r="FD1470" s="166"/>
      <c r="FF1470" s="307"/>
      <c r="FH1470" s="306"/>
      <c r="FJ1470" s="307"/>
      <c r="FK1470" s="307"/>
      <c r="FL1470" s="306"/>
      <c r="FM1470" s="307"/>
      <c r="FN1470" s="306"/>
      <c r="FO1470" s="307"/>
      <c r="FP1470" s="306"/>
    </row>
    <row r="1471" spans="159:172">
      <c r="FC1471" s="307"/>
      <c r="FD1471" s="166"/>
      <c r="FF1471" s="307"/>
      <c r="FH1471" s="306"/>
      <c r="FJ1471" s="307"/>
      <c r="FK1471" s="307"/>
      <c r="FL1471" s="306"/>
      <c r="FM1471" s="307"/>
      <c r="FN1471" s="306"/>
      <c r="FO1471" s="307"/>
      <c r="FP1471" s="306"/>
    </row>
    <row r="1472" spans="159:172">
      <c r="FC1472" s="307"/>
      <c r="FD1472" s="166"/>
      <c r="FF1472" s="307"/>
      <c r="FH1472" s="306"/>
      <c r="FJ1472" s="307"/>
      <c r="FK1472" s="307"/>
      <c r="FL1472" s="306"/>
      <c r="FM1472" s="307"/>
      <c r="FN1472" s="306"/>
      <c r="FO1472" s="307"/>
      <c r="FP1472" s="306"/>
    </row>
    <row r="1473" spans="159:172">
      <c r="FC1473" s="307"/>
      <c r="FD1473" s="166"/>
      <c r="FF1473" s="307"/>
      <c r="FH1473" s="306"/>
      <c r="FJ1473" s="307"/>
      <c r="FK1473" s="307"/>
      <c r="FL1473" s="306"/>
      <c r="FM1473" s="307"/>
      <c r="FN1473" s="306"/>
      <c r="FO1473" s="307"/>
      <c r="FP1473" s="306"/>
    </row>
    <row r="1474" spans="159:172">
      <c r="FC1474" s="307"/>
      <c r="FD1474" s="166"/>
      <c r="FF1474" s="307"/>
      <c r="FH1474" s="306"/>
      <c r="FJ1474" s="307"/>
      <c r="FK1474" s="307"/>
      <c r="FL1474" s="306"/>
      <c r="FM1474" s="307"/>
      <c r="FN1474" s="306"/>
      <c r="FO1474" s="307"/>
      <c r="FP1474" s="306"/>
    </row>
    <row r="1475" spans="159:172">
      <c r="FC1475" s="307"/>
      <c r="FD1475" s="166"/>
      <c r="FF1475" s="307"/>
      <c r="FH1475" s="306"/>
      <c r="FJ1475" s="307"/>
      <c r="FK1475" s="307"/>
      <c r="FL1475" s="306"/>
      <c r="FM1475" s="307"/>
      <c r="FN1475" s="306"/>
      <c r="FO1475" s="307"/>
      <c r="FP1475" s="306"/>
    </row>
    <row r="1476" spans="159:172">
      <c r="FC1476" s="307"/>
      <c r="FD1476" s="166"/>
      <c r="FF1476" s="307"/>
      <c r="FH1476" s="306"/>
      <c r="FJ1476" s="307"/>
      <c r="FK1476" s="307"/>
      <c r="FL1476" s="306"/>
      <c r="FM1476" s="307"/>
      <c r="FN1476" s="306"/>
      <c r="FO1476" s="307"/>
      <c r="FP1476" s="306"/>
    </row>
    <row r="1477" spans="159:172">
      <c r="FC1477" s="307"/>
      <c r="FD1477" s="166"/>
      <c r="FF1477" s="307"/>
      <c r="FH1477" s="306"/>
      <c r="FJ1477" s="307"/>
      <c r="FK1477" s="307"/>
      <c r="FL1477" s="306"/>
      <c r="FM1477" s="307"/>
      <c r="FN1477" s="306"/>
      <c r="FO1477" s="307"/>
      <c r="FP1477" s="306"/>
    </row>
    <row r="1478" spans="159:172">
      <c r="FC1478" s="307"/>
      <c r="FD1478" s="166"/>
      <c r="FF1478" s="307"/>
      <c r="FH1478" s="306"/>
      <c r="FJ1478" s="307"/>
      <c r="FK1478" s="307"/>
      <c r="FL1478" s="306"/>
      <c r="FM1478" s="307"/>
      <c r="FN1478" s="306"/>
      <c r="FO1478" s="307"/>
      <c r="FP1478" s="306"/>
    </row>
    <row r="1479" spans="159:172">
      <c r="FC1479" s="307"/>
      <c r="FD1479" s="166"/>
      <c r="FF1479" s="307"/>
      <c r="FH1479" s="306"/>
      <c r="FJ1479" s="307"/>
      <c r="FK1479" s="307"/>
      <c r="FL1479" s="306"/>
      <c r="FM1479" s="307"/>
      <c r="FN1479" s="306"/>
      <c r="FO1479" s="307"/>
      <c r="FP1479" s="306"/>
    </row>
    <row r="1480" spans="159:172">
      <c r="FC1480" s="307"/>
      <c r="FD1480" s="166"/>
      <c r="FF1480" s="307"/>
      <c r="FH1480" s="306"/>
      <c r="FJ1480" s="307"/>
      <c r="FK1480" s="307"/>
      <c r="FL1480" s="306"/>
      <c r="FM1480" s="307"/>
      <c r="FN1480" s="306"/>
      <c r="FO1480" s="307"/>
      <c r="FP1480" s="306"/>
    </row>
    <row r="1481" spans="159:172">
      <c r="FC1481" s="307"/>
      <c r="FD1481" s="166"/>
      <c r="FF1481" s="307"/>
      <c r="FH1481" s="306"/>
      <c r="FJ1481" s="307"/>
      <c r="FK1481" s="307"/>
      <c r="FL1481" s="306"/>
      <c r="FM1481" s="307"/>
      <c r="FN1481" s="306"/>
      <c r="FO1481" s="307"/>
      <c r="FP1481" s="306"/>
    </row>
    <row r="1482" spans="159:172">
      <c r="FC1482" s="307"/>
      <c r="FD1482" s="166"/>
      <c r="FF1482" s="307"/>
      <c r="FH1482" s="306"/>
      <c r="FJ1482" s="307"/>
      <c r="FK1482" s="307"/>
      <c r="FL1482" s="306"/>
      <c r="FM1482" s="307"/>
      <c r="FN1482" s="306"/>
      <c r="FO1482" s="307"/>
      <c r="FP1482" s="306"/>
    </row>
    <row r="1483" spans="159:172">
      <c r="FC1483" s="307"/>
      <c r="FD1483" s="166"/>
      <c r="FF1483" s="307"/>
      <c r="FH1483" s="306"/>
      <c r="FJ1483" s="307"/>
      <c r="FK1483" s="307"/>
      <c r="FL1483" s="306"/>
      <c r="FM1483" s="307"/>
      <c r="FN1483" s="306"/>
      <c r="FO1483" s="307"/>
      <c r="FP1483" s="306"/>
    </row>
    <row r="1484" spans="159:172">
      <c r="FC1484" s="307"/>
      <c r="FD1484" s="166"/>
      <c r="FF1484" s="307"/>
      <c r="FH1484" s="306"/>
      <c r="FJ1484" s="307"/>
      <c r="FK1484" s="307"/>
      <c r="FL1484" s="306"/>
      <c r="FM1484" s="307"/>
      <c r="FN1484" s="306"/>
      <c r="FO1484" s="307"/>
      <c r="FP1484" s="306"/>
    </row>
    <row r="1485" spans="159:172">
      <c r="FC1485" s="307"/>
      <c r="FD1485" s="166"/>
      <c r="FF1485" s="307"/>
      <c r="FH1485" s="306"/>
      <c r="FJ1485" s="307"/>
      <c r="FK1485" s="307"/>
      <c r="FL1485" s="306"/>
      <c r="FM1485" s="307"/>
      <c r="FN1485" s="306"/>
      <c r="FO1485" s="307"/>
      <c r="FP1485" s="306"/>
    </row>
    <row r="1486" spans="159:172">
      <c r="FC1486" s="307"/>
      <c r="FD1486" s="166"/>
      <c r="FF1486" s="307"/>
      <c r="FH1486" s="306"/>
      <c r="FJ1486" s="307"/>
      <c r="FK1486" s="307"/>
      <c r="FL1486" s="306"/>
      <c r="FM1486" s="307"/>
      <c r="FN1486" s="306"/>
      <c r="FO1486" s="307"/>
      <c r="FP1486" s="306"/>
    </row>
    <row r="1487" spans="159:172">
      <c r="FC1487" s="307"/>
      <c r="FD1487" s="166"/>
      <c r="FF1487" s="307"/>
      <c r="FH1487" s="306"/>
      <c r="FJ1487" s="307"/>
      <c r="FK1487" s="307"/>
      <c r="FL1487" s="306"/>
      <c r="FM1487" s="307"/>
      <c r="FN1487" s="306"/>
      <c r="FO1487" s="307"/>
      <c r="FP1487" s="306"/>
    </row>
    <row r="1488" spans="159:172">
      <c r="FC1488" s="307"/>
      <c r="FD1488" s="166"/>
      <c r="FF1488" s="307"/>
      <c r="FH1488" s="306"/>
      <c r="FJ1488" s="307"/>
      <c r="FK1488" s="307"/>
      <c r="FL1488" s="306"/>
      <c r="FM1488" s="307"/>
      <c r="FN1488" s="306"/>
      <c r="FO1488" s="307"/>
      <c r="FP1488" s="306"/>
    </row>
    <row r="1489" spans="159:172">
      <c r="FC1489" s="307"/>
      <c r="FD1489" s="166"/>
      <c r="FF1489" s="307"/>
      <c r="FH1489" s="306"/>
      <c r="FJ1489" s="307"/>
      <c r="FK1489" s="307"/>
      <c r="FL1489" s="306"/>
      <c r="FM1489" s="307"/>
      <c r="FN1489" s="306"/>
      <c r="FO1489" s="307"/>
      <c r="FP1489" s="306"/>
    </row>
    <row r="1490" spans="159:172">
      <c r="FC1490" s="307"/>
      <c r="FD1490" s="166"/>
      <c r="FF1490" s="307"/>
      <c r="FH1490" s="306"/>
      <c r="FJ1490" s="307"/>
      <c r="FK1490" s="307"/>
      <c r="FL1490" s="306"/>
      <c r="FM1490" s="307"/>
      <c r="FN1490" s="306"/>
      <c r="FO1490" s="307"/>
      <c r="FP1490" s="306"/>
    </row>
    <row r="1491" spans="159:172">
      <c r="FC1491" s="307"/>
      <c r="FD1491" s="166"/>
      <c r="FF1491" s="307"/>
      <c r="FH1491" s="306"/>
      <c r="FJ1491" s="307"/>
      <c r="FK1491" s="307"/>
      <c r="FL1491" s="306"/>
      <c r="FM1491" s="307"/>
      <c r="FN1491" s="306"/>
      <c r="FO1491" s="307"/>
      <c r="FP1491" s="306"/>
    </row>
    <row r="1492" spans="159:172">
      <c r="FC1492" s="307"/>
      <c r="FD1492" s="166"/>
      <c r="FF1492" s="307"/>
      <c r="FH1492" s="306"/>
      <c r="FJ1492" s="307"/>
      <c r="FK1492" s="307"/>
      <c r="FL1492" s="306"/>
      <c r="FM1492" s="307"/>
      <c r="FN1492" s="306"/>
      <c r="FO1492" s="307"/>
      <c r="FP1492" s="306"/>
    </row>
    <row r="1493" spans="159:172">
      <c r="FC1493" s="307"/>
      <c r="FD1493" s="166"/>
      <c r="FF1493" s="307"/>
      <c r="FH1493" s="306"/>
      <c r="FJ1493" s="307"/>
      <c r="FK1493" s="307"/>
      <c r="FL1493" s="306"/>
      <c r="FM1493" s="307"/>
      <c r="FN1493" s="306"/>
      <c r="FO1493" s="307"/>
      <c r="FP1493" s="306"/>
    </row>
    <row r="1494" spans="159:172">
      <c r="FC1494" s="307"/>
      <c r="FD1494" s="166"/>
      <c r="FF1494" s="307"/>
      <c r="FH1494" s="306"/>
      <c r="FJ1494" s="307"/>
      <c r="FK1494" s="307"/>
      <c r="FL1494" s="306"/>
      <c r="FM1494" s="307"/>
      <c r="FN1494" s="306"/>
      <c r="FO1494" s="307"/>
      <c r="FP1494" s="306"/>
    </row>
    <row r="1495" spans="159:172">
      <c r="FC1495" s="307"/>
      <c r="FD1495" s="166"/>
      <c r="FF1495" s="307"/>
      <c r="FH1495" s="306"/>
      <c r="FJ1495" s="307"/>
      <c r="FK1495" s="307"/>
      <c r="FL1495" s="306"/>
      <c r="FM1495" s="307"/>
      <c r="FN1495" s="306"/>
      <c r="FO1495" s="307"/>
      <c r="FP1495" s="306"/>
    </row>
    <row r="1496" spans="159:172">
      <c r="FC1496" s="307"/>
      <c r="FD1496" s="166"/>
      <c r="FF1496" s="307"/>
      <c r="FH1496" s="306"/>
      <c r="FJ1496" s="307"/>
      <c r="FK1496" s="307"/>
      <c r="FL1496" s="306"/>
      <c r="FM1496" s="307"/>
      <c r="FN1496" s="306"/>
      <c r="FO1496" s="307"/>
      <c r="FP1496" s="306"/>
    </row>
    <row r="1497" spans="159:172">
      <c r="FC1497" s="307"/>
      <c r="FD1497" s="166"/>
      <c r="FF1497" s="307"/>
      <c r="FH1497" s="306"/>
      <c r="FJ1497" s="307"/>
      <c r="FK1497" s="307"/>
      <c r="FL1497" s="306"/>
      <c r="FM1497" s="307"/>
      <c r="FN1497" s="306"/>
      <c r="FO1497" s="307"/>
      <c r="FP1497" s="306"/>
    </row>
    <row r="1498" spans="159:172">
      <c r="FC1498" s="307"/>
      <c r="FD1498" s="166"/>
      <c r="FF1498" s="307"/>
      <c r="FH1498" s="306"/>
      <c r="FJ1498" s="307"/>
      <c r="FK1498" s="307"/>
      <c r="FL1498" s="306"/>
      <c r="FM1498" s="307"/>
      <c r="FN1498" s="306"/>
      <c r="FO1498" s="307"/>
      <c r="FP1498" s="306"/>
    </row>
    <row r="1499" spans="159:172">
      <c r="FC1499" s="307"/>
      <c r="FD1499" s="166"/>
      <c r="FF1499" s="307"/>
      <c r="FH1499" s="306"/>
      <c r="FJ1499" s="307"/>
      <c r="FK1499" s="307"/>
      <c r="FL1499" s="306"/>
      <c r="FM1499" s="307"/>
      <c r="FN1499" s="306"/>
      <c r="FO1499" s="307"/>
      <c r="FP1499" s="306"/>
    </row>
    <row r="1500" spans="159:172">
      <c r="FC1500" s="307"/>
      <c r="FD1500" s="166"/>
      <c r="FF1500" s="307"/>
      <c r="FH1500" s="306"/>
      <c r="FJ1500" s="307"/>
      <c r="FK1500" s="307"/>
      <c r="FL1500" s="306"/>
      <c r="FM1500" s="307"/>
      <c r="FN1500" s="306"/>
      <c r="FO1500" s="307"/>
      <c r="FP1500" s="306"/>
    </row>
    <row r="1501" spans="159:172">
      <c r="FC1501" s="307"/>
      <c r="FD1501" s="166"/>
      <c r="FF1501" s="307"/>
      <c r="FH1501" s="306"/>
      <c r="FJ1501" s="307"/>
      <c r="FK1501" s="307"/>
      <c r="FL1501" s="306"/>
      <c r="FM1501" s="307"/>
      <c r="FN1501" s="306"/>
      <c r="FO1501" s="307"/>
      <c r="FP1501" s="306"/>
    </row>
    <row r="1502" spans="159:172">
      <c r="FC1502" s="307"/>
      <c r="FD1502" s="166"/>
      <c r="FF1502" s="307"/>
      <c r="FH1502" s="306"/>
      <c r="FJ1502" s="307"/>
      <c r="FK1502" s="307"/>
      <c r="FL1502" s="306"/>
      <c r="FM1502" s="307"/>
      <c r="FN1502" s="306"/>
      <c r="FO1502" s="307"/>
      <c r="FP1502" s="306"/>
    </row>
    <row r="1503" spans="159:172">
      <c r="FC1503" s="307"/>
      <c r="FD1503" s="166"/>
      <c r="FF1503" s="307"/>
      <c r="FH1503" s="306"/>
      <c r="FJ1503" s="307"/>
      <c r="FK1503" s="307"/>
      <c r="FL1503" s="306"/>
      <c r="FM1503" s="307"/>
      <c r="FN1503" s="306"/>
      <c r="FO1503" s="307"/>
      <c r="FP1503" s="306"/>
    </row>
    <row r="1504" spans="159:172">
      <c r="FC1504" s="307"/>
      <c r="FD1504" s="166"/>
      <c r="FF1504" s="307"/>
      <c r="FH1504" s="306"/>
      <c r="FJ1504" s="307"/>
      <c r="FK1504" s="307"/>
      <c r="FL1504" s="306"/>
      <c r="FM1504" s="307"/>
      <c r="FN1504" s="306"/>
      <c r="FO1504" s="307"/>
      <c r="FP1504" s="306"/>
    </row>
    <row r="1505" spans="159:172">
      <c r="FC1505" s="307"/>
      <c r="FD1505" s="166"/>
      <c r="FF1505" s="307"/>
      <c r="FH1505" s="306"/>
      <c r="FJ1505" s="307"/>
      <c r="FK1505" s="307"/>
      <c r="FL1505" s="306"/>
      <c r="FM1505" s="307"/>
      <c r="FN1505" s="306"/>
      <c r="FO1505" s="307"/>
      <c r="FP1505" s="306"/>
    </row>
    <row r="1506" spans="159:172">
      <c r="FC1506" s="307"/>
      <c r="FD1506" s="166"/>
      <c r="FF1506" s="307"/>
      <c r="FH1506" s="306"/>
      <c r="FJ1506" s="307"/>
      <c r="FK1506" s="307"/>
      <c r="FL1506" s="306"/>
      <c r="FM1506" s="307"/>
      <c r="FN1506" s="306"/>
      <c r="FO1506" s="307"/>
      <c r="FP1506" s="306"/>
    </row>
    <row r="1507" spans="159:172">
      <c r="FC1507" s="307"/>
      <c r="FD1507" s="166"/>
      <c r="FF1507" s="307"/>
      <c r="FH1507" s="306"/>
      <c r="FJ1507" s="307"/>
      <c r="FK1507" s="307"/>
      <c r="FL1507" s="306"/>
      <c r="FM1507" s="307"/>
      <c r="FN1507" s="306"/>
      <c r="FO1507" s="307"/>
      <c r="FP1507" s="306"/>
    </row>
    <row r="1508" spans="159:172">
      <c r="FC1508" s="307"/>
      <c r="FD1508" s="166"/>
      <c r="FF1508" s="307"/>
      <c r="FH1508" s="306"/>
      <c r="FJ1508" s="307"/>
      <c r="FK1508" s="307"/>
      <c r="FL1508" s="306"/>
      <c r="FM1508" s="307"/>
      <c r="FN1508" s="306"/>
      <c r="FO1508" s="307"/>
      <c r="FP1508" s="306"/>
    </row>
    <row r="1509" spans="159:172">
      <c r="FC1509" s="307"/>
      <c r="FD1509" s="166"/>
      <c r="FF1509" s="307"/>
      <c r="FH1509" s="306"/>
      <c r="FJ1509" s="307"/>
      <c r="FK1509" s="307"/>
      <c r="FL1509" s="306"/>
      <c r="FM1509" s="307"/>
      <c r="FN1509" s="306"/>
      <c r="FO1509" s="307"/>
      <c r="FP1509" s="306"/>
    </row>
    <row r="1510" spans="159:172">
      <c r="FC1510" s="307"/>
      <c r="FD1510" s="166"/>
      <c r="FF1510" s="307"/>
      <c r="FH1510" s="306"/>
      <c r="FJ1510" s="307"/>
      <c r="FK1510" s="307"/>
      <c r="FL1510" s="306"/>
      <c r="FM1510" s="307"/>
      <c r="FN1510" s="306"/>
      <c r="FO1510" s="307"/>
      <c r="FP1510" s="306"/>
    </row>
    <row r="1511" spans="159:172">
      <c r="FC1511" s="307"/>
      <c r="FD1511" s="166"/>
      <c r="FF1511" s="307"/>
      <c r="FH1511" s="306"/>
      <c r="FJ1511" s="307"/>
      <c r="FK1511" s="307"/>
      <c r="FL1511" s="306"/>
      <c r="FM1511" s="307"/>
      <c r="FN1511" s="306"/>
      <c r="FO1511" s="307"/>
      <c r="FP1511" s="306"/>
    </row>
    <row r="1512" spans="159:172">
      <c r="FC1512" s="307"/>
      <c r="FD1512" s="166"/>
      <c r="FF1512" s="307"/>
      <c r="FH1512" s="306"/>
      <c r="FJ1512" s="307"/>
      <c r="FK1512" s="307"/>
      <c r="FL1512" s="306"/>
      <c r="FM1512" s="307"/>
      <c r="FN1512" s="306"/>
      <c r="FO1512" s="307"/>
      <c r="FP1512" s="306"/>
    </row>
    <row r="1513" spans="159:172">
      <c r="FC1513" s="307"/>
      <c r="FD1513" s="166"/>
      <c r="FF1513" s="307"/>
      <c r="FH1513" s="306"/>
      <c r="FJ1513" s="307"/>
      <c r="FK1513" s="307"/>
      <c r="FL1513" s="306"/>
      <c r="FM1513" s="307"/>
      <c r="FN1513" s="306"/>
      <c r="FO1513" s="307"/>
      <c r="FP1513" s="306"/>
    </row>
    <row r="1514" spans="159:172">
      <c r="FC1514" s="307"/>
      <c r="FD1514" s="166"/>
      <c r="FF1514" s="307"/>
      <c r="FH1514" s="306"/>
      <c r="FJ1514" s="307"/>
      <c r="FK1514" s="307"/>
      <c r="FL1514" s="306"/>
      <c r="FM1514" s="307"/>
      <c r="FN1514" s="306"/>
      <c r="FO1514" s="307"/>
      <c r="FP1514" s="306"/>
    </row>
    <row r="1515" spans="159:172">
      <c r="FC1515" s="307"/>
      <c r="FD1515" s="166"/>
      <c r="FF1515" s="307"/>
      <c r="FH1515" s="306"/>
      <c r="FJ1515" s="307"/>
      <c r="FK1515" s="307"/>
      <c r="FL1515" s="306"/>
      <c r="FM1515" s="307"/>
      <c r="FN1515" s="306"/>
      <c r="FO1515" s="307"/>
      <c r="FP1515" s="306"/>
    </row>
    <row r="1516" spans="159:172">
      <c r="FC1516" s="307"/>
      <c r="FD1516" s="166"/>
      <c r="FF1516" s="307"/>
      <c r="FH1516" s="306"/>
      <c r="FJ1516" s="307"/>
      <c r="FK1516" s="307"/>
      <c r="FL1516" s="306"/>
      <c r="FM1516" s="307"/>
      <c r="FN1516" s="306"/>
      <c r="FO1516" s="307"/>
      <c r="FP1516" s="306"/>
    </row>
    <row r="1517" spans="159:172">
      <c r="FC1517" s="307"/>
      <c r="FD1517" s="166"/>
      <c r="FF1517" s="307"/>
      <c r="FH1517" s="306"/>
      <c r="FJ1517" s="307"/>
      <c r="FK1517" s="307"/>
      <c r="FL1517" s="306"/>
      <c r="FM1517" s="307"/>
      <c r="FN1517" s="306"/>
      <c r="FO1517" s="307"/>
      <c r="FP1517" s="306"/>
    </row>
    <row r="1518" spans="159:172">
      <c r="FC1518" s="307"/>
      <c r="FD1518" s="166"/>
      <c r="FF1518" s="307"/>
      <c r="FH1518" s="306"/>
      <c r="FJ1518" s="307"/>
      <c r="FK1518" s="307"/>
      <c r="FL1518" s="306"/>
      <c r="FM1518" s="307"/>
      <c r="FN1518" s="306"/>
      <c r="FO1518" s="307"/>
      <c r="FP1518" s="306"/>
    </row>
    <row r="1519" spans="159:172">
      <c r="FC1519" s="307"/>
      <c r="FD1519" s="166"/>
      <c r="FF1519" s="307"/>
      <c r="FH1519" s="306"/>
      <c r="FJ1519" s="307"/>
      <c r="FK1519" s="307"/>
      <c r="FL1519" s="306"/>
      <c r="FM1519" s="307"/>
      <c r="FN1519" s="306"/>
      <c r="FO1519" s="307"/>
      <c r="FP1519" s="306"/>
    </row>
    <row r="1520" spans="159:172">
      <c r="FC1520" s="307"/>
      <c r="FD1520" s="166"/>
      <c r="FF1520" s="307"/>
      <c r="FH1520" s="306"/>
      <c r="FJ1520" s="307"/>
      <c r="FK1520" s="307"/>
      <c r="FL1520" s="306"/>
      <c r="FM1520" s="307"/>
      <c r="FN1520" s="306"/>
      <c r="FO1520" s="307"/>
      <c r="FP1520" s="306"/>
    </row>
    <row r="1521" spans="159:172">
      <c r="FC1521" s="307"/>
      <c r="FD1521" s="166"/>
      <c r="FF1521" s="307"/>
      <c r="FH1521" s="306"/>
      <c r="FJ1521" s="307"/>
      <c r="FK1521" s="307"/>
      <c r="FL1521" s="306"/>
      <c r="FM1521" s="307"/>
      <c r="FN1521" s="306"/>
      <c r="FO1521" s="307"/>
      <c r="FP1521" s="306"/>
    </row>
    <row r="1522" spans="159:172">
      <c r="FC1522" s="307"/>
      <c r="FD1522" s="166"/>
      <c r="FF1522" s="307"/>
      <c r="FH1522" s="306"/>
      <c r="FJ1522" s="307"/>
      <c r="FK1522" s="307"/>
      <c r="FL1522" s="306"/>
      <c r="FM1522" s="307"/>
      <c r="FN1522" s="306"/>
      <c r="FO1522" s="307"/>
      <c r="FP1522" s="306"/>
    </row>
    <row r="1523" spans="159:172">
      <c r="FC1523" s="307"/>
      <c r="FD1523" s="166"/>
      <c r="FF1523" s="307"/>
      <c r="FH1523" s="306"/>
      <c r="FJ1523" s="307"/>
      <c r="FK1523" s="307"/>
      <c r="FL1523" s="306"/>
      <c r="FM1523" s="307"/>
      <c r="FN1523" s="306"/>
      <c r="FO1523" s="307"/>
      <c r="FP1523" s="306"/>
    </row>
    <row r="1524" spans="159:172">
      <c r="FC1524" s="307"/>
      <c r="FD1524" s="166"/>
      <c r="FF1524" s="307"/>
      <c r="FH1524" s="306"/>
      <c r="FJ1524" s="307"/>
      <c r="FK1524" s="307"/>
      <c r="FL1524" s="306"/>
      <c r="FM1524" s="307"/>
      <c r="FN1524" s="306"/>
      <c r="FO1524" s="307"/>
      <c r="FP1524" s="306"/>
    </row>
    <row r="1525" spans="159:172">
      <c r="FC1525" s="307"/>
      <c r="FD1525" s="166"/>
      <c r="FF1525" s="307"/>
      <c r="FH1525" s="306"/>
      <c r="FJ1525" s="307"/>
      <c r="FK1525" s="307"/>
      <c r="FL1525" s="306"/>
      <c r="FM1525" s="307"/>
      <c r="FN1525" s="306"/>
      <c r="FO1525" s="307"/>
      <c r="FP1525" s="306"/>
    </row>
    <row r="1526" spans="159:172">
      <c r="FC1526" s="307"/>
      <c r="FD1526" s="166"/>
      <c r="FF1526" s="307"/>
      <c r="FH1526" s="306"/>
      <c r="FJ1526" s="307"/>
      <c r="FK1526" s="307"/>
      <c r="FL1526" s="306"/>
      <c r="FM1526" s="307"/>
      <c r="FN1526" s="306"/>
      <c r="FO1526" s="307"/>
      <c r="FP1526" s="306"/>
    </row>
    <row r="1527" spans="159:172">
      <c r="FC1527" s="307"/>
      <c r="FD1527" s="166"/>
      <c r="FF1527" s="307"/>
      <c r="FH1527" s="306"/>
      <c r="FJ1527" s="307"/>
      <c r="FK1527" s="307"/>
      <c r="FL1527" s="306"/>
      <c r="FM1527" s="307"/>
      <c r="FN1527" s="306"/>
      <c r="FO1527" s="307"/>
      <c r="FP1527" s="306"/>
    </row>
    <row r="1528" spans="159:172">
      <c r="FC1528" s="307"/>
      <c r="FD1528" s="166"/>
      <c r="FF1528" s="307"/>
      <c r="FH1528" s="306"/>
      <c r="FJ1528" s="307"/>
      <c r="FK1528" s="307"/>
      <c r="FL1528" s="306"/>
      <c r="FM1528" s="307"/>
      <c r="FN1528" s="306"/>
      <c r="FO1528" s="307"/>
      <c r="FP1528" s="306"/>
    </row>
    <row r="1529" spans="159:172">
      <c r="FC1529" s="307"/>
      <c r="FD1529" s="166"/>
      <c r="FF1529" s="307"/>
      <c r="FH1529" s="306"/>
      <c r="FJ1529" s="307"/>
      <c r="FK1529" s="307"/>
      <c r="FL1529" s="306"/>
      <c r="FM1529" s="307"/>
      <c r="FN1529" s="306"/>
      <c r="FO1529" s="307"/>
      <c r="FP1529" s="306"/>
    </row>
    <row r="1530" spans="159:172">
      <c r="FC1530" s="307"/>
      <c r="FD1530" s="166"/>
      <c r="FF1530" s="307"/>
      <c r="FH1530" s="306"/>
      <c r="FJ1530" s="307"/>
      <c r="FK1530" s="307"/>
      <c r="FL1530" s="306"/>
      <c r="FM1530" s="307"/>
      <c r="FN1530" s="306"/>
      <c r="FO1530" s="307"/>
      <c r="FP1530" s="306"/>
    </row>
    <row r="1531" spans="159:172">
      <c r="FC1531" s="307"/>
      <c r="FD1531" s="166"/>
      <c r="FF1531" s="307"/>
      <c r="FH1531" s="306"/>
      <c r="FJ1531" s="307"/>
      <c r="FK1531" s="307"/>
      <c r="FL1531" s="306"/>
      <c r="FM1531" s="307"/>
      <c r="FN1531" s="306"/>
      <c r="FO1531" s="307"/>
      <c r="FP1531" s="306"/>
    </row>
    <row r="1532" spans="159:172">
      <c r="FC1532" s="307"/>
      <c r="FD1532" s="166"/>
      <c r="FF1532" s="307"/>
      <c r="FH1532" s="306"/>
      <c r="FJ1532" s="307"/>
      <c r="FK1532" s="307"/>
      <c r="FL1532" s="306"/>
      <c r="FM1532" s="307"/>
      <c r="FN1532" s="306"/>
      <c r="FO1532" s="307"/>
      <c r="FP1532" s="306"/>
    </row>
    <row r="1533" spans="159:172">
      <c r="FC1533" s="307"/>
      <c r="FD1533" s="166"/>
      <c r="FF1533" s="307"/>
      <c r="FH1533" s="306"/>
      <c r="FJ1533" s="307"/>
      <c r="FK1533" s="307"/>
      <c r="FL1533" s="306"/>
      <c r="FM1533" s="307"/>
      <c r="FN1533" s="306"/>
      <c r="FO1533" s="307"/>
      <c r="FP1533" s="306"/>
    </row>
    <row r="1534" spans="159:172">
      <c r="FC1534" s="307"/>
      <c r="FD1534" s="166"/>
      <c r="FF1534" s="307"/>
      <c r="FH1534" s="306"/>
      <c r="FJ1534" s="307"/>
      <c r="FK1534" s="307"/>
      <c r="FL1534" s="306"/>
      <c r="FM1534" s="307"/>
      <c r="FN1534" s="306"/>
      <c r="FO1534" s="307"/>
      <c r="FP1534" s="306"/>
    </row>
    <row r="1535" spans="159:172">
      <c r="FC1535" s="307"/>
      <c r="FD1535" s="166"/>
      <c r="FF1535" s="307"/>
      <c r="FH1535" s="306"/>
      <c r="FJ1535" s="307"/>
      <c r="FK1535" s="307"/>
      <c r="FL1535" s="306"/>
      <c r="FM1535" s="307"/>
      <c r="FN1535" s="306"/>
      <c r="FO1535" s="307"/>
      <c r="FP1535" s="306"/>
    </row>
    <row r="1536" spans="159:172">
      <c r="FC1536" s="307"/>
      <c r="FD1536" s="166"/>
      <c r="FF1536" s="307"/>
      <c r="FH1536" s="306"/>
      <c r="FJ1536" s="307"/>
      <c r="FK1536" s="307"/>
      <c r="FL1536" s="306"/>
      <c r="FM1536" s="307"/>
      <c r="FN1536" s="306"/>
      <c r="FO1536" s="307"/>
      <c r="FP1536" s="306"/>
    </row>
    <row r="1537" spans="159:172">
      <c r="FC1537" s="307"/>
      <c r="FD1537" s="166"/>
      <c r="FF1537" s="307"/>
      <c r="FH1537" s="306"/>
      <c r="FJ1537" s="307"/>
      <c r="FK1537" s="307"/>
      <c r="FL1537" s="306"/>
      <c r="FM1537" s="307"/>
      <c r="FN1537" s="306"/>
      <c r="FO1537" s="307"/>
      <c r="FP1537" s="306"/>
    </row>
    <row r="1538" spans="159:172">
      <c r="FC1538" s="307"/>
      <c r="FD1538" s="166"/>
      <c r="FF1538" s="307"/>
      <c r="FH1538" s="306"/>
      <c r="FJ1538" s="307"/>
      <c r="FK1538" s="307"/>
      <c r="FL1538" s="306"/>
      <c r="FM1538" s="307"/>
      <c r="FN1538" s="306"/>
      <c r="FO1538" s="307"/>
      <c r="FP1538" s="306"/>
    </row>
    <row r="1539" spans="159:172">
      <c r="FC1539" s="307"/>
      <c r="FD1539" s="166"/>
      <c r="FF1539" s="307"/>
      <c r="FH1539" s="306"/>
      <c r="FJ1539" s="307"/>
      <c r="FK1539" s="307"/>
      <c r="FL1539" s="306"/>
      <c r="FM1539" s="307"/>
      <c r="FN1539" s="306"/>
      <c r="FO1539" s="307"/>
      <c r="FP1539" s="306"/>
    </row>
    <row r="1540" spans="159:172">
      <c r="FC1540" s="307"/>
      <c r="FD1540" s="166"/>
      <c r="FF1540" s="307"/>
      <c r="FH1540" s="306"/>
      <c r="FJ1540" s="307"/>
      <c r="FK1540" s="307"/>
      <c r="FL1540" s="306"/>
      <c r="FM1540" s="307"/>
      <c r="FN1540" s="306"/>
      <c r="FO1540" s="307"/>
      <c r="FP1540" s="306"/>
    </row>
    <row r="1541" spans="159:172">
      <c r="FC1541" s="307"/>
      <c r="FD1541" s="166"/>
      <c r="FF1541" s="307"/>
      <c r="FH1541" s="306"/>
      <c r="FJ1541" s="307"/>
      <c r="FK1541" s="307"/>
      <c r="FL1541" s="306"/>
      <c r="FM1541" s="307"/>
      <c r="FN1541" s="306"/>
      <c r="FO1541" s="307"/>
      <c r="FP1541" s="306"/>
    </row>
    <row r="1542" spans="159:172">
      <c r="FC1542" s="307"/>
      <c r="FD1542" s="166"/>
      <c r="FF1542" s="307"/>
      <c r="FH1542" s="306"/>
      <c r="FJ1542" s="307"/>
      <c r="FK1542" s="307"/>
      <c r="FL1542" s="306"/>
      <c r="FM1542" s="307"/>
      <c r="FN1542" s="306"/>
      <c r="FO1542" s="307"/>
      <c r="FP1542" s="306"/>
    </row>
    <row r="1543" spans="159:172">
      <c r="FC1543" s="307"/>
      <c r="FD1543" s="166"/>
      <c r="FF1543" s="307"/>
      <c r="FH1543" s="306"/>
      <c r="FJ1543" s="307"/>
      <c r="FK1543" s="307"/>
      <c r="FL1543" s="306"/>
      <c r="FM1543" s="307"/>
      <c r="FN1543" s="306"/>
      <c r="FO1543" s="307"/>
      <c r="FP1543" s="306"/>
    </row>
    <row r="1544" spans="159:172">
      <c r="FC1544" s="307"/>
      <c r="FD1544" s="166"/>
      <c r="FF1544" s="307"/>
      <c r="FH1544" s="306"/>
      <c r="FJ1544" s="307"/>
      <c r="FK1544" s="307"/>
      <c r="FL1544" s="306"/>
      <c r="FM1544" s="307"/>
      <c r="FN1544" s="306"/>
      <c r="FO1544" s="307"/>
      <c r="FP1544" s="306"/>
    </row>
    <row r="1545" spans="159:172">
      <c r="FC1545" s="307"/>
      <c r="FD1545" s="166"/>
      <c r="FF1545" s="307"/>
      <c r="FH1545" s="306"/>
      <c r="FJ1545" s="307"/>
      <c r="FK1545" s="307"/>
      <c r="FL1545" s="306"/>
      <c r="FM1545" s="307"/>
      <c r="FN1545" s="306"/>
      <c r="FO1545" s="307"/>
      <c r="FP1545" s="306"/>
    </row>
    <row r="1546" spans="159:172">
      <c r="FC1546" s="307"/>
      <c r="FD1546" s="166"/>
      <c r="FF1546" s="307"/>
      <c r="FH1546" s="306"/>
      <c r="FJ1546" s="307"/>
      <c r="FK1546" s="307"/>
      <c r="FL1546" s="306"/>
      <c r="FM1546" s="307"/>
      <c r="FN1546" s="306"/>
      <c r="FO1546" s="307"/>
      <c r="FP1546" s="306"/>
    </row>
    <row r="1547" spans="159:172">
      <c r="FC1547" s="307"/>
      <c r="FD1547" s="166"/>
      <c r="FF1547" s="307"/>
      <c r="FH1547" s="306"/>
      <c r="FJ1547" s="307"/>
      <c r="FK1547" s="307"/>
      <c r="FL1547" s="306"/>
      <c r="FM1547" s="307"/>
      <c r="FN1547" s="306"/>
      <c r="FO1547" s="307"/>
      <c r="FP1547" s="306"/>
    </row>
    <row r="1548" spans="159:172">
      <c r="FC1548" s="307"/>
      <c r="FD1548" s="166"/>
      <c r="FF1548" s="307"/>
      <c r="FH1548" s="306"/>
      <c r="FJ1548" s="307"/>
      <c r="FK1548" s="307"/>
      <c r="FL1548" s="306"/>
      <c r="FM1548" s="307"/>
      <c r="FN1548" s="306"/>
      <c r="FO1548" s="307"/>
      <c r="FP1548" s="306"/>
    </row>
    <row r="1549" spans="159:172">
      <c r="FC1549" s="307"/>
      <c r="FD1549" s="166"/>
      <c r="FF1549" s="307"/>
      <c r="FH1549" s="306"/>
      <c r="FJ1549" s="307"/>
      <c r="FK1549" s="307"/>
      <c r="FL1549" s="306"/>
      <c r="FM1549" s="307"/>
      <c r="FN1549" s="306"/>
      <c r="FO1549" s="307"/>
      <c r="FP1549" s="306"/>
    </row>
    <row r="1550" spans="159:172">
      <c r="FC1550" s="307"/>
      <c r="FD1550" s="166"/>
      <c r="FF1550" s="307"/>
      <c r="FH1550" s="306"/>
      <c r="FJ1550" s="307"/>
      <c r="FK1550" s="307"/>
      <c r="FL1550" s="306"/>
      <c r="FM1550" s="307"/>
      <c r="FN1550" s="306"/>
      <c r="FO1550" s="307"/>
      <c r="FP1550" s="306"/>
    </row>
    <row r="1551" spans="159:172">
      <c r="FC1551" s="307"/>
      <c r="FD1551" s="166"/>
      <c r="FF1551" s="307"/>
      <c r="FH1551" s="306"/>
      <c r="FJ1551" s="307"/>
      <c r="FK1551" s="307"/>
      <c r="FL1551" s="306"/>
      <c r="FM1551" s="307"/>
      <c r="FN1551" s="306"/>
      <c r="FO1551" s="307"/>
      <c r="FP1551" s="306"/>
    </row>
    <row r="1552" spans="159:172">
      <c r="FC1552" s="307"/>
      <c r="FD1552" s="166"/>
      <c r="FF1552" s="307"/>
      <c r="FH1552" s="306"/>
      <c r="FJ1552" s="307"/>
      <c r="FK1552" s="307"/>
      <c r="FL1552" s="306"/>
      <c r="FM1552" s="307"/>
      <c r="FN1552" s="306"/>
      <c r="FO1552" s="307"/>
      <c r="FP1552" s="306"/>
    </row>
    <row r="1553" spans="159:172">
      <c r="FC1553" s="307"/>
      <c r="FD1553" s="166"/>
      <c r="FF1553" s="307"/>
      <c r="FH1553" s="306"/>
      <c r="FJ1553" s="307"/>
      <c r="FK1553" s="307"/>
      <c r="FL1553" s="306"/>
      <c r="FM1553" s="307"/>
      <c r="FN1553" s="306"/>
      <c r="FO1553" s="307"/>
      <c r="FP1553" s="306"/>
    </row>
    <row r="1554" spans="159:172">
      <c r="FC1554" s="307"/>
      <c r="FD1554" s="166"/>
      <c r="FF1554" s="307"/>
      <c r="FH1554" s="306"/>
      <c r="FJ1554" s="307"/>
      <c r="FK1554" s="307"/>
      <c r="FL1554" s="306"/>
      <c r="FM1554" s="307"/>
      <c r="FN1554" s="306"/>
      <c r="FO1554" s="307"/>
      <c r="FP1554" s="306"/>
    </row>
    <row r="1555" spans="159:172">
      <c r="FC1555" s="307"/>
      <c r="FD1555" s="166"/>
      <c r="FF1555" s="307"/>
      <c r="FH1555" s="306"/>
      <c r="FJ1555" s="307"/>
      <c r="FK1555" s="307"/>
      <c r="FL1555" s="306"/>
      <c r="FM1555" s="307"/>
      <c r="FN1555" s="306"/>
      <c r="FO1555" s="307"/>
      <c r="FP1555" s="306"/>
    </row>
    <row r="1556" spans="159:172">
      <c r="FC1556" s="307"/>
      <c r="FD1556" s="166"/>
      <c r="FF1556" s="307"/>
      <c r="FH1556" s="306"/>
      <c r="FJ1556" s="307"/>
      <c r="FK1556" s="307"/>
      <c r="FL1556" s="306"/>
      <c r="FM1556" s="307"/>
      <c r="FN1556" s="306"/>
      <c r="FO1556" s="307"/>
      <c r="FP1556" s="306"/>
    </row>
    <row r="1557" spans="159:172">
      <c r="FC1557" s="307"/>
      <c r="FD1557" s="166"/>
      <c r="FF1557" s="307"/>
      <c r="FH1557" s="306"/>
      <c r="FJ1557" s="307"/>
      <c r="FK1557" s="307"/>
      <c r="FL1557" s="306"/>
      <c r="FM1557" s="307"/>
      <c r="FN1557" s="306"/>
      <c r="FO1557" s="307"/>
      <c r="FP1557" s="306"/>
    </row>
    <row r="1558" spans="159:172">
      <c r="FC1558" s="307"/>
      <c r="FD1558" s="166"/>
      <c r="FF1558" s="307"/>
      <c r="FH1558" s="306"/>
      <c r="FJ1558" s="307"/>
      <c r="FK1558" s="307"/>
      <c r="FL1558" s="306"/>
      <c r="FM1558" s="307"/>
      <c r="FN1558" s="306"/>
      <c r="FO1558" s="307"/>
      <c r="FP1558" s="306"/>
    </row>
    <row r="1559" spans="159:172">
      <c r="FC1559" s="307"/>
      <c r="FD1559" s="166"/>
      <c r="FF1559" s="307"/>
      <c r="FH1559" s="306"/>
      <c r="FJ1559" s="307"/>
      <c r="FK1559" s="307"/>
      <c r="FL1559" s="306"/>
      <c r="FM1559" s="307"/>
      <c r="FN1559" s="306"/>
      <c r="FO1559" s="307"/>
      <c r="FP1559" s="306"/>
    </row>
    <row r="1560" spans="159:172">
      <c r="FC1560" s="307"/>
      <c r="FD1560" s="166"/>
      <c r="FF1560" s="307"/>
      <c r="FH1560" s="306"/>
      <c r="FJ1560" s="307"/>
      <c r="FK1560" s="307"/>
      <c r="FL1560" s="306"/>
      <c r="FM1560" s="307"/>
      <c r="FN1560" s="306"/>
      <c r="FO1560" s="307"/>
      <c r="FP1560" s="306"/>
    </row>
    <row r="1561" spans="159:172">
      <c r="FC1561" s="307"/>
      <c r="FD1561" s="166"/>
      <c r="FF1561" s="307"/>
      <c r="FH1561" s="306"/>
      <c r="FJ1561" s="307"/>
      <c r="FK1561" s="307"/>
      <c r="FL1561" s="306"/>
      <c r="FM1561" s="307"/>
      <c r="FN1561" s="306"/>
      <c r="FO1561" s="307"/>
      <c r="FP1561" s="306"/>
    </row>
    <row r="1562" spans="159:172">
      <c r="FC1562" s="307"/>
      <c r="FD1562" s="166"/>
      <c r="FF1562" s="307"/>
      <c r="FH1562" s="306"/>
      <c r="FJ1562" s="307"/>
      <c r="FK1562" s="307"/>
      <c r="FL1562" s="306"/>
      <c r="FM1562" s="307"/>
      <c r="FN1562" s="306"/>
      <c r="FO1562" s="307"/>
      <c r="FP1562" s="306"/>
    </row>
    <row r="1563" spans="159:172">
      <c r="FC1563" s="307"/>
      <c r="FD1563" s="166"/>
      <c r="FF1563" s="307"/>
      <c r="FH1563" s="306"/>
      <c r="FJ1563" s="307"/>
      <c r="FK1563" s="307"/>
      <c r="FL1563" s="306"/>
      <c r="FM1563" s="307"/>
      <c r="FN1563" s="306"/>
      <c r="FO1563" s="307"/>
      <c r="FP1563" s="306"/>
    </row>
    <row r="1564" spans="159:172">
      <c r="FC1564" s="307"/>
      <c r="FD1564" s="166"/>
      <c r="FF1564" s="307"/>
      <c r="FH1564" s="306"/>
      <c r="FJ1564" s="307"/>
      <c r="FK1564" s="307"/>
      <c r="FL1564" s="306"/>
      <c r="FM1564" s="307"/>
      <c r="FN1564" s="306"/>
      <c r="FO1564" s="307"/>
      <c r="FP1564" s="306"/>
    </row>
    <row r="1565" spans="159:172">
      <c r="FC1565" s="307"/>
      <c r="FD1565" s="166"/>
      <c r="FF1565" s="307"/>
      <c r="FH1565" s="306"/>
      <c r="FJ1565" s="307"/>
      <c r="FK1565" s="307"/>
      <c r="FL1565" s="306"/>
      <c r="FM1565" s="307"/>
      <c r="FN1565" s="306"/>
      <c r="FO1565" s="307"/>
      <c r="FP1565" s="306"/>
    </row>
    <row r="1566" spans="159:172">
      <c r="FC1566" s="307"/>
      <c r="FD1566" s="166"/>
      <c r="FF1566" s="307"/>
      <c r="FH1566" s="306"/>
      <c r="FJ1566" s="307"/>
      <c r="FK1566" s="307"/>
      <c r="FL1566" s="306"/>
      <c r="FM1566" s="307"/>
      <c r="FN1566" s="306"/>
      <c r="FO1566" s="307"/>
      <c r="FP1566" s="306"/>
    </row>
    <row r="1567" spans="159:172">
      <c r="FC1567" s="307"/>
      <c r="FD1567" s="166"/>
      <c r="FF1567" s="307"/>
      <c r="FH1567" s="306"/>
      <c r="FJ1567" s="307"/>
      <c r="FK1567" s="307"/>
      <c r="FL1567" s="306"/>
      <c r="FM1567" s="307"/>
      <c r="FN1567" s="306"/>
      <c r="FO1567" s="307"/>
      <c r="FP1567" s="306"/>
    </row>
    <row r="1568" spans="159:172">
      <c r="FC1568" s="307"/>
      <c r="FD1568" s="166"/>
      <c r="FF1568" s="307"/>
      <c r="FH1568" s="306"/>
      <c r="FJ1568" s="307"/>
      <c r="FK1568" s="307"/>
      <c r="FL1568" s="306"/>
      <c r="FM1568" s="307"/>
      <c r="FN1568" s="306"/>
      <c r="FO1568" s="307"/>
      <c r="FP1568" s="306"/>
    </row>
    <row r="1569" spans="159:172">
      <c r="FC1569" s="307"/>
      <c r="FD1569" s="166"/>
      <c r="FF1569" s="307"/>
      <c r="FH1569" s="306"/>
      <c r="FJ1569" s="307"/>
      <c r="FK1569" s="307"/>
      <c r="FL1569" s="306"/>
      <c r="FM1569" s="307"/>
      <c r="FN1569" s="306"/>
      <c r="FO1569" s="307"/>
      <c r="FP1569" s="306"/>
    </row>
    <row r="1570" spans="159:172">
      <c r="FC1570" s="307"/>
      <c r="FD1570" s="166"/>
      <c r="FF1570" s="307"/>
      <c r="FH1570" s="306"/>
      <c r="FJ1570" s="307"/>
      <c r="FK1570" s="307"/>
      <c r="FL1570" s="306"/>
      <c r="FM1570" s="307"/>
      <c r="FN1570" s="306"/>
      <c r="FO1570" s="307"/>
      <c r="FP1570" s="306"/>
    </row>
    <row r="1571" spans="159:172">
      <c r="FC1571" s="307"/>
      <c r="FD1571" s="166"/>
      <c r="FF1571" s="307"/>
      <c r="FH1571" s="306"/>
      <c r="FJ1571" s="307"/>
      <c r="FK1571" s="307"/>
      <c r="FL1571" s="306"/>
      <c r="FM1571" s="307"/>
      <c r="FN1571" s="306"/>
      <c r="FO1571" s="307"/>
      <c r="FP1571" s="306"/>
    </row>
    <row r="1572" spans="159:172">
      <c r="FC1572" s="307"/>
      <c r="FD1572" s="166"/>
      <c r="FF1572" s="307"/>
      <c r="FH1572" s="306"/>
      <c r="FJ1572" s="307"/>
      <c r="FK1572" s="307"/>
      <c r="FL1572" s="306"/>
      <c r="FM1572" s="307"/>
      <c r="FN1572" s="306"/>
      <c r="FO1572" s="307"/>
      <c r="FP1572" s="306"/>
    </row>
    <row r="1573" spans="159:172">
      <c r="FC1573" s="307"/>
      <c r="FD1573" s="166"/>
      <c r="FF1573" s="307"/>
      <c r="FH1573" s="306"/>
      <c r="FJ1573" s="307"/>
      <c r="FK1573" s="307"/>
      <c r="FL1573" s="306"/>
      <c r="FM1573" s="307"/>
      <c r="FN1573" s="306"/>
      <c r="FO1573" s="307"/>
      <c r="FP1573" s="306"/>
    </row>
    <row r="1574" spans="159:172">
      <c r="FC1574" s="307"/>
      <c r="FD1574" s="166"/>
      <c r="FF1574" s="307"/>
      <c r="FH1574" s="306"/>
      <c r="FJ1574" s="307"/>
      <c r="FK1574" s="307"/>
      <c r="FL1574" s="306"/>
      <c r="FM1574" s="307"/>
      <c r="FN1574" s="306"/>
      <c r="FO1574" s="307"/>
      <c r="FP1574" s="306"/>
    </row>
    <row r="1575" spans="159:172">
      <c r="FC1575" s="307"/>
      <c r="FD1575" s="166"/>
      <c r="FF1575" s="307"/>
      <c r="FH1575" s="306"/>
      <c r="FJ1575" s="307"/>
      <c r="FK1575" s="307"/>
      <c r="FL1575" s="306"/>
      <c r="FM1575" s="307"/>
      <c r="FN1575" s="306"/>
      <c r="FO1575" s="307"/>
      <c r="FP1575" s="306"/>
    </row>
    <row r="1576" spans="159:172">
      <c r="FC1576" s="307"/>
      <c r="FD1576" s="166"/>
      <c r="FF1576" s="307"/>
      <c r="FH1576" s="306"/>
      <c r="FJ1576" s="307"/>
      <c r="FK1576" s="307"/>
      <c r="FL1576" s="306"/>
      <c r="FM1576" s="307"/>
      <c r="FN1576" s="306"/>
      <c r="FO1576" s="307"/>
      <c r="FP1576" s="306"/>
    </row>
    <row r="1577" spans="159:172">
      <c r="FC1577" s="307"/>
      <c r="FD1577" s="166"/>
      <c r="FF1577" s="307"/>
      <c r="FH1577" s="306"/>
      <c r="FJ1577" s="307"/>
      <c r="FK1577" s="307"/>
      <c r="FL1577" s="306"/>
      <c r="FM1577" s="307"/>
      <c r="FN1577" s="306"/>
      <c r="FO1577" s="307"/>
      <c r="FP1577" s="306"/>
    </row>
    <row r="1578" spans="159:172">
      <c r="FC1578" s="307"/>
      <c r="FD1578" s="166"/>
      <c r="FF1578" s="307"/>
      <c r="FH1578" s="306"/>
      <c r="FJ1578" s="307"/>
      <c r="FK1578" s="307"/>
      <c r="FL1578" s="306"/>
      <c r="FM1578" s="307"/>
      <c r="FN1578" s="306"/>
      <c r="FO1578" s="307"/>
      <c r="FP1578" s="306"/>
    </row>
    <row r="1579" spans="159:172">
      <c r="FC1579" s="307"/>
      <c r="FD1579" s="166"/>
      <c r="FF1579" s="307"/>
      <c r="FH1579" s="306"/>
      <c r="FJ1579" s="307"/>
      <c r="FK1579" s="307"/>
      <c r="FL1579" s="306"/>
      <c r="FM1579" s="307"/>
      <c r="FN1579" s="306"/>
      <c r="FO1579" s="307"/>
      <c r="FP1579" s="306"/>
    </row>
    <row r="1580" spans="159:172">
      <c r="FC1580" s="307"/>
      <c r="FD1580" s="166"/>
      <c r="FF1580" s="307"/>
      <c r="FH1580" s="306"/>
      <c r="FJ1580" s="307"/>
      <c r="FK1580" s="307"/>
      <c r="FL1580" s="306"/>
      <c r="FM1580" s="307"/>
      <c r="FN1580" s="306"/>
      <c r="FO1580" s="307"/>
      <c r="FP1580" s="306"/>
    </row>
    <row r="1581" spans="159:172">
      <c r="FC1581" s="307"/>
      <c r="FD1581" s="166"/>
      <c r="FF1581" s="307"/>
      <c r="FH1581" s="306"/>
      <c r="FJ1581" s="307"/>
      <c r="FK1581" s="307"/>
      <c r="FL1581" s="306"/>
      <c r="FM1581" s="307"/>
      <c r="FN1581" s="306"/>
      <c r="FO1581" s="307"/>
      <c r="FP1581" s="306"/>
    </row>
    <row r="1582" spans="159:172">
      <c r="FC1582" s="307"/>
      <c r="FD1582" s="166"/>
      <c r="FF1582" s="307"/>
      <c r="FH1582" s="306"/>
      <c r="FJ1582" s="307"/>
      <c r="FK1582" s="307"/>
      <c r="FL1582" s="306"/>
      <c r="FM1582" s="307"/>
      <c r="FN1582" s="306"/>
      <c r="FO1582" s="307"/>
      <c r="FP1582" s="306"/>
    </row>
    <row r="1583" spans="159:172">
      <c r="FC1583" s="307"/>
      <c r="FD1583" s="166"/>
      <c r="FF1583" s="307"/>
      <c r="FH1583" s="306"/>
      <c r="FJ1583" s="307"/>
      <c r="FK1583" s="307"/>
      <c r="FL1583" s="306"/>
      <c r="FM1583" s="307"/>
      <c r="FN1583" s="306"/>
      <c r="FO1583" s="307"/>
      <c r="FP1583" s="306"/>
    </row>
    <row r="1584" spans="159:172">
      <c r="FC1584" s="307"/>
      <c r="FD1584" s="166"/>
      <c r="FF1584" s="307"/>
      <c r="FH1584" s="306"/>
      <c r="FJ1584" s="307"/>
      <c r="FK1584" s="307"/>
      <c r="FL1584" s="306"/>
      <c r="FM1584" s="307"/>
      <c r="FN1584" s="306"/>
      <c r="FO1584" s="307"/>
      <c r="FP1584" s="306"/>
    </row>
    <row r="1585" spans="159:172">
      <c r="FC1585" s="307"/>
      <c r="FD1585" s="166"/>
      <c r="FF1585" s="307"/>
      <c r="FH1585" s="306"/>
      <c r="FJ1585" s="307"/>
      <c r="FK1585" s="307"/>
      <c r="FL1585" s="306"/>
      <c r="FM1585" s="307"/>
      <c r="FN1585" s="306"/>
      <c r="FO1585" s="307"/>
      <c r="FP1585" s="306"/>
    </row>
    <row r="1586" spans="159:172">
      <c r="FC1586" s="307"/>
      <c r="FD1586" s="166"/>
      <c r="FF1586" s="307"/>
      <c r="FH1586" s="306"/>
      <c r="FJ1586" s="307"/>
      <c r="FK1586" s="307"/>
      <c r="FL1586" s="306"/>
      <c r="FM1586" s="307"/>
      <c r="FN1586" s="306"/>
      <c r="FO1586" s="307"/>
      <c r="FP1586" s="306"/>
    </row>
    <row r="1587" spans="159:172">
      <c r="FC1587" s="307"/>
      <c r="FD1587" s="166"/>
      <c r="FF1587" s="307"/>
      <c r="FH1587" s="306"/>
      <c r="FJ1587" s="307"/>
      <c r="FK1587" s="307"/>
      <c r="FL1587" s="306"/>
      <c r="FM1587" s="307"/>
      <c r="FN1587" s="306"/>
      <c r="FO1587" s="307"/>
      <c r="FP1587" s="306"/>
    </row>
    <row r="1588" spans="159:172">
      <c r="FC1588" s="307"/>
      <c r="FD1588" s="166"/>
      <c r="FF1588" s="307"/>
      <c r="FH1588" s="306"/>
      <c r="FJ1588" s="307"/>
      <c r="FK1588" s="307"/>
      <c r="FL1588" s="306"/>
      <c r="FM1588" s="307"/>
      <c r="FN1588" s="306"/>
      <c r="FO1588" s="307"/>
      <c r="FP1588" s="306"/>
    </row>
    <row r="1589" spans="159:172">
      <c r="FC1589" s="307"/>
      <c r="FD1589" s="166"/>
      <c r="FF1589" s="307"/>
      <c r="FH1589" s="306"/>
      <c r="FJ1589" s="307"/>
      <c r="FK1589" s="307"/>
      <c r="FL1589" s="306"/>
      <c r="FM1589" s="307"/>
      <c r="FN1589" s="306"/>
      <c r="FO1589" s="307"/>
      <c r="FP1589" s="306"/>
    </row>
    <row r="1590" spans="159:172">
      <c r="FC1590" s="307"/>
      <c r="FD1590" s="166"/>
      <c r="FF1590" s="307"/>
      <c r="FH1590" s="306"/>
      <c r="FJ1590" s="307"/>
      <c r="FK1590" s="307"/>
      <c r="FL1590" s="306"/>
      <c r="FM1590" s="307"/>
      <c r="FN1590" s="306"/>
      <c r="FO1590" s="307"/>
      <c r="FP1590" s="306"/>
    </row>
    <row r="1591" spans="159:172">
      <c r="FC1591" s="307"/>
      <c r="FD1591" s="166"/>
      <c r="FF1591" s="307"/>
      <c r="FH1591" s="306"/>
      <c r="FJ1591" s="307"/>
      <c r="FK1591" s="307"/>
      <c r="FL1591" s="306"/>
      <c r="FM1591" s="307"/>
      <c r="FN1591" s="306"/>
      <c r="FO1591" s="307"/>
      <c r="FP1591" s="306"/>
    </row>
    <row r="1592" spans="159:172">
      <c r="FC1592" s="307"/>
      <c r="FD1592" s="166"/>
      <c r="FF1592" s="307"/>
      <c r="FH1592" s="306"/>
      <c r="FJ1592" s="307"/>
      <c r="FK1592" s="307"/>
      <c r="FL1592" s="306"/>
      <c r="FM1592" s="307"/>
      <c r="FN1592" s="306"/>
      <c r="FO1592" s="307"/>
      <c r="FP1592" s="306"/>
    </row>
    <row r="1593" spans="159:172">
      <c r="FC1593" s="307"/>
      <c r="FD1593" s="166"/>
      <c r="FF1593" s="307"/>
      <c r="FH1593" s="306"/>
      <c r="FJ1593" s="307"/>
      <c r="FK1593" s="307"/>
      <c r="FL1593" s="306"/>
      <c r="FM1593" s="307"/>
      <c r="FN1593" s="306"/>
      <c r="FO1593" s="307"/>
      <c r="FP1593" s="306"/>
    </row>
    <row r="1594" spans="159:172">
      <c r="FC1594" s="307"/>
      <c r="FD1594" s="166"/>
      <c r="FF1594" s="307"/>
      <c r="FH1594" s="306"/>
      <c r="FJ1594" s="307"/>
      <c r="FK1594" s="307"/>
      <c r="FL1594" s="306"/>
      <c r="FM1594" s="307"/>
      <c r="FN1594" s="306"/>
      <c r="FO1594" s="307"/>
      <c r="FP1594" s="306"/>
    </row>
    <row r="1595" spans="159:172">
      <c r="FC1595" s="307"/>
      <c r="FD1595" s="166"/>
      <c r="FF1595" s="307"/>
      <c r="FH1595" s="306"/>
      <c r="FJ1595" s="307"/>
      <c r="FK1595" s="307"/>
      <c r="FL1595" s="306"/>
      <c r="FM1595" s="307"/>
      <c r="FN1595" s="306"/>
      <c r="FO1595" s="307"/>
      <c r="FP1595" s="306"/>
    </row>
    <row r="1596" spans="159:172">
      <c r="FC1596" s="307"/>
      <c r="FD1596" s="166"/>
      <c r="FF1596" s="307"/>
      <c r="FH1596" s="306"/>
      <c r="FJ1596" s="307"/>
      <c r="FK1596" s="307"/>
      <c r="FL1596" s="306"/>
      <c r="FM1596" s="307"/>
      <c r="FN1596" s="306"/>
      <c r="FO1596" s="307"/>
      <c r="FP1596" s="306"/>
    </row>
    <row r="1597" spans="159:172">
      <c r="FC1597" s="307"/>
      <c r="FD1597" s="166"/>
      <c r="FF1597" s="307"/>
      <c r="FH1597" s="306"/>
      <c r="FJ1597" s="307"/>
      <c r="FK1597" s="307"/>
      <c r="FL1597" s="306"/>
      <c r="FM1597" s="307"/>
      <c r="FN1597" s="306"/>
      <c r="FO1597" s="307"/>
      <c r="FP1597" s="306"/>
    </row>
    <row r="1598" spans="159:172">
      <c r="FC1598" s="307"/>
      <c r="FD1598" s="166"/>
      <c r="FF1598" s="307"/>
      <c r="FH1598" s="306"/>
      <c r="FJ1598" s="307"/>
      <c r="FK1598" s="307"/>
      <c r="FL1598" s="306"/>
      <c r="FM1598" s="307"/>
      <c r="FN1598" s="306"/>
      <c r="FO1598" s="307"/>
      <c r="FP1598" s="306"/>
    </row>
    <row r="1599" spans="159:172">
      <c r="FC1599" s="307"/>
      <c r="FD1599" s="166"/>
      <c r="FF1599" s="307"/>
      <c r="FH1599" s="306"/>
      <c r="FJ1599" s="307"/>
      <c r="FK1599" s="307"/>
      <c r="FL1599" s="306"/>
      <c r="FM1599" s="307"/>
      <c r="FN1599" s="306"/>
      <c r="FO1599" s="307"/>
      <c r="FP1599" s="306"/>
    </row>
    <row r="1600" spans="159:172">
      <c r="FC1600" s="307"/>
      <c r="FD1600" s="166"/>
      <c r="FF1600" s="307"/>
      <c r="FH1600" s="306"/>
      <c r="FJ1600" s="307"/>
      <c r="FK1600" s="307"/>
      <c r="FL1600" s="306"/>
      <c r="FM1600" s="307"/>
      <c r="FN1600" s="306"/>
      <c r="FO1600" s="307"/>
      <c r="FP1600" s="306"/>
    </row>
    <row r="1601" spans="159:172">
      <c r="FC1601" s="307"/>
      <c r="FD1601" s="166"/>
      <c r="FF1601" s="307"/>
      <c r="FH1601" s="306"/>
      <c r="FJ1601" s="307"/>
      <c r="FK1601" s="307"/>
      <c r="FL1601" s="306"/>
      <c r="FM1601" s="307"/>
      <c r="FN1601" s="306"/>
      <c r="FO1601" s="307"/>
      <c r="FP1601" s="306"/>
    </row>
    <row r="1602" spans="159:172">
      <c r="FC1602" s="307"/>
      <c r="FD1602" s="166"/>
      <c r="FF1602" s="307"/>
      <c r="FH1602" s="306"/>
      <c r="FJ1602" s="307"/>
      <c r="FK1602" s="307"/>
      <c r="FL1602" s="306"/>
      <c r="FM1602" s="307"/>
      <c r="FN1602" s="306"/>
      <c r="FO1602" s="307"/>
      <c r="FP1602" s="306"/>
    </row>
    <row r="1603" spans="159:172">
      <c r="FC1603" s="307"/>
      <c r="FD1603" s="166"/>
      <c r="FF1603" s="307"/>
      <c r="FH1603" s="306"/>
      <c r="FJ1603" s="307"/>
      <c r="FK1603" s="307"/>
      <c r="FL1603" s="306"/>
      <c r="FM1603" s="307"/>
      <c r="FN1603" s="306"/>
      <c r="FO1603" s="307"/>
      <c r="FP1603" s="306"/>
    </row>
    <row r="1604" spans="159:172">
      <c r="FC1604" s="307"/>
      <c r="FD1604" s="166"/>
      <c r="FF1604" s="307"/>
      <c r="FH1604" s="306"/>
      <c r="FJ1604" s="307"/>
      <c r="FK1604" s="307"/>
      <c r="FL1604" s="306"/>
      <c r="FM1604" s="307"/>
      <c r="FN1604" s="306"/>
      <c r="FO1604" s="307"/>
      <c r="FP1604" s="306"/>
    </row>
    <row r="1605" spans="159:172">
      <c r="FC1605" s="307"/>
      <c r="FD1605" s="166"/>
      <c r="FF1605" s="307"/>
      <c r="FH1605" s="306"/>
      <c r="FJ1605" s="307"/>
      <c r="FK1605" s="307"/>
      <c r="FL1605" s="306"/>
      <c r="FM1605" s="307"/>
      <c r="FN1605" s="306"/>
      <c r="FO1605" s="307"/>
      <c r="FP1605" s="306"/>
    </row>
    <row r="1606" spans="159:172">
      <c r="FC1606" s="307"/>
      <c r="FD1606" s="166"/>
      <c r="FF1606" s="307"/>
      <c r="FH1606" s="306"/>
      <c r="FJ1606" s="307"/>
      <c r="FK1606" s="307"/>
      <c r="FL1606" s="306"/>
      <c r="FM1606" s="307"/>
      <c r="FN1606" s="306"/>
      <c r="FO1606" s="307"/>
      <c r="FP1606" s="306"/>
    </row>
    <row r="1607" spans="159:172">
      <c r="FC1607" s="307"/>
      <c r="FD1607" s="166"/>
      <c r="FF1607" s="307"/>
      <c r="FH1607" s="306"/>
      <c r="FJ1607" s="307"/>
      <c r="FK1607" s="307"/>
      <c r="FL1607" s="306"/>
      <c r="FM1607" s="307"/>
      <c r="FN1607" s="306"/>
      <c r="FO1607" s="307"/>
      <c r="FP1607" s="306"/>
    </row>
    <row r="1608" spans="159:172">
      <c r="FC1608" s="307"/>
      <c r="FD1608" s="166"/>
      <c r="FF1608" s="307"/>
      <c r="FH1608" s="306"/>
      <c r="FJ1608" s="307"/>
      <c r="FK1608" s="307"/>
      <c r="FL1608" s="306"/>
      <c r="FM1608" s="307"/>
      <c r="FN1608" s="306"/>
      <c r="FO1608" s="307"/>
      <c r="FP1608" s="306"/>
    </row>
    <row r="1609" spans="159:172">
      <c r="FC1609" s="307"/>
      <c r="FD1609" s="166"/>
      <c r="FF1609" s="307"/>
      <c r="FH1609" s="306"/>
      <c r="FJ1609" s="307"/>
      <c r="FK1609" s="307"/>
      <c r="FL1609" s="306"/>
      <c r="FM1609" s="307"/>
      <c r="FN1609" s="306"/>
      <c r="FO1609" s="307"/>
      <c r="FP1609" s="306"/>
    </row>
    <row r="1610" spans="159:172">
      <c r="FC1610" s="307"/>
      <c r="FD1610" s="166"/>
      <c r="FF1610" s="307"/>
      <c r="FH1610" s="306"/>
      <c r="FJ1610" s="307"/>
      <c r="FK1610" s="307"/>
      <c r="FL1610" s="306"/>
      <c r="FM1610" s="307"/>
      <c r="FN1610" s="306"/>
      <c r="FO1610" s="307"/>
      <c r="FP1610" s="306"/>
    </row>
    <row r="1611" spans="159:172">
      <c r="FC1611" s="307"/>
      <c r="FD1611" s="166"/>
      <c r="FF1611" s="307"/>
      <c r="FH1611" s="306"/>
      <c r="FJ1611" s="307"/>
      <c r="FK1611" s="307"/>
      <c r="FL1611" s="306"/>
      <c r="FM1611" s="307"/>
      <c r="FN1611" s="306"/>
      <c r="FO1611" s="307"/>
      <c r="FP1611" s="306"/>
    </row>
    <row r="1612" spans="159:172">
      <c r="FC1612" s="307"/>
      <c r="FD1612" s="166"/>
      <c r="FF1612" s="307"/>
      <c r="FH1612" s="306"/>
      <c r="FJ1612" s="307"/>
      <c r="FK1612" s="307"/>
      <c r="FL1612" s="306"/>
      <c r="FM1612" s="307"/>
      <c r="FN1612" s="306"/>
      <c r="FO1612" s="307"/>
      <c r="FP1612" s="306"/>
    </row>
    <row r="1613" spans="159:172">
      <c r="FC1613" s="307"/>
      <c r="FD1613" s="166"/>
      <c r="FF1613" s="307"/>
      <c r="FH1613" s="306"/>
      <c r="FJ1613" s="307"/>
      <c r="FK1613" s="307"/>
      <c r="FL1613" s="306"/>
      <c r="FM1613" s="307"/>
      <c r="FN1613" s="306"/>
      <c r="FO1613" s="307"/>
      <c r="FP1613" s="306"/>
    </row>
    <row r="1614" spans="159:172">
      <c r="FC1614" s="307"/>
      <c r="FD1614" s="166"/>
      <c r="FF1614" s="307"/>
      <c r="FH1614" s="306"/>
      <c r="FJ1614" s="307"/>
      <c r="FK1614" s="307"/>
      <c r="FL1614" s="306"/>
      <c r="FM1614" s="307"/>
      <c r="FN1614" s="306"/>
      <c r="FO1614" s="307"/>
      <c r="FP1614" s="306"/>
    </row>
    <row r="1615" spans="159:172">
      <c r="FC1615" s="307"/>
      <c r="FD1615" s="166"/>
      <c r="FF1615" s="307"/>
      <c r="FH1615" s="306"/>
      <c r="FJ1615" s="307"/>
      <c r="FK1615" s="307"/>
      <c r="FL1615" s="306"/>
      <c r="FM1615" s="307"/>
      <c r="FN1615" s="306"/>
      <c r="FO1615" s="307"/>
      <c r="FP1615" s="306"/>
    </row>
    <row r="1616" spans="159:172">
      <c r="FC1616" s="307"/>
      <c r="FD1616" s="166"/>
      <c r="FF1616" s="307"/>
      <c r="FH1616" s="306"/>
      <c r="FJ1616" s="307"/>
      <c r="FK1616" s="307"/>
      <c r="FL1616" s="306"/>
      <c r="FM1616" s="307"/>
      <c r="FN1616" s="306"/>
      <c r="FO1616" s="307"/>
      <c r="FP1616" s="306"/>
    </row>
    <row r="1617" spans="159:172">
      <c r="FC1617" s="307"/>
      <c r="FD1617" s="166"/>
      <c r="FF1617" s="307"/>
      <c r="FH1617" s="306"/>
      <c r="FJ1617" s="307"/>
      <c r="FK1617" s="307"/>
      <c r="FL1617" s="306"/>
      <c r="FM1617" s="307"/>
      <c r="FN1617" s="306"/>
      <c r="FO1617" s="307"/>
      <c r="FP1617" s="306"/>
    </row>
    <row r="1618" spans="159:172">
      <c r="FC1618" s="307"/>
      <c r="FD1618" s="166"/>
      <c r="FF1618" s="307"/>
      <c r="FH1618" s="306"/>
      <c r="FJ1618" s="307"/>
      <c r="FK1618" s="307"/>
      <c r="FL1618" s="306"/>
      <c r="FM1618" s="307"/>
      <c r="FN1618" s="306"/>
      <c r="FO1618" s="307"/>
      <c r="FP1618" s="306"/>
    </row>
    <row r="1619" spans="159:172">
      <c r="FC1619" s="307"/>
      <c r="FD1619" s="166"/>
      <c r="FF1619" s="307"/>
      <c r="FH1619" s="306"/>
      <c r="FJ1619" s="307"/>
      <c r="FK1619" s="307"/>
      <c r="FL1619" s="306"/>
      <c r="FM1619" s="307"/>
      <c r="FN1619" s="306"/>
      <c r="FO1619" s="307"/>
      <c r="FP1619" s="306"/>
    </row>
    <row r="1620" spans="159:172">
      <c r="FC1620" s="307"/>
      <c r="FD1620" s="166"/>
      <c r="FF1620" s="307"/>
      <c r="FH1620" s="306"/>
      <c r="FJ1620" s="307"/>
      <c r="FK1620" s="307"/>
      <c r="FL1620" s="306"/>
      <c r="FM1620" s="307"/>
      <c r="FN1620" s="306"/>
      <c r="FO1620" s="307"/>
      <c r="FP1620" s="306"/>
    </row>
    <row r="1621" spans="159:172">
      <c r="FC1621" s="307"/>
      <c r="FD1621" s="166"/>
      <c r="FF1621" s="307"/>
      <c r="FH1621" s="306"/>
      <c r="FJ1621" s="307"/>
      <c r="FK1621" s="307"/>
      <c r="FL1621" s="306"/>
      <c r="FM1621" s="307"/>
      <c r="FN1621" s="306"/>
      <c r="FO1621" s="307"/>
      <c r="FP1621" s="306"/>
    </row>
    <row r="1622" spans="159:172">
      <c r="FC1622" s="307"/>
      <c r="FD1622" s="166"/>
      <c r="FF1622" s="307"/>
      <c r="FH1622" s="306"/>
      <c r="FJ1622" s="307"/>
      <c r="FK1622" s="307"/>
      <c r="FL1622" s="306"/>
      <c r="FM1622" s="307"/>
      <c r="FN1622" s="306"/>
      <c r="FO1622" s="307"/>
      <c r="FP1622" s="306"/>
    </row>
    <row r="1623" spans="159:172">
      <c r="FC1623" s="307"/>
      <c r="FD1623" s="166"/>
      <c r="FF1623" s="307"/>
      <c r="FH1623" s="306"/>
      <c r="FJ1623" s="307"/>
      <c r="FK1623" s="307"/>
      <c r="FL1623" s="306"/>
      <c r="FM1623" s="307"/>
      <c r="FN1623" s="306"/>
      <c r="FO1623" s="307"/>
      <c r="FP1623" s="306"/>
    </row>
    <row r="1624" spans="159:172">
      <c r="FC1624" s="307"/>
      <c r="FD1624" s="166"/>
      <c r="FF1624" s="307"/>
      <c r="FH1624" s="306"/>
      <c r="FJ1624" s="307"/>
      <c r="FK1624" s="307"/>
      <c r="FL1624" s="306"/>
      <c r="FM1624" s="307"/>
      <c r="FN1624" s="306"/>
      <c r="FO1624" s="307"/>
      <c r="FP1624" s="306"/>
    </row>
    <row r="1625" spans="159:172">
      <c r="FC1625" s="307"/>
      <c r="FD1625" s="166"/>
      <c r="FF1625" s="307"/>
      <c r="FH1625" s="306"/>
      <c r="FJ1625" s="307"/>
      <c r="FK1625" s="307"/>
      <c r="FL1625" s="306"/>
      <c r="FM1625" s="307"/>
      <c r="FN1625" s="306"/>
      <c r="FO1625" s="307"/>
      <c r="FP1625" s="306"/>
    </row>
    <row r="1626" spans="159:172">
      <c r="FC1626" s="307"/>
      <c r="FD1626" s="166"/>
      <c r="FF1626" s="307"/>
      <c r="FH1626" s="306"/>
      <c r="FJ1626" s="307"/>
      <c r="FK1626" s="307"/>
      <c r="FL1626" s="306"/>
      <c r="FM1626" s="307"/>
      <c r="FN1626" s="306"/>
      <c r="FO1626" s="307"/>
      <c r="FP1626" s="306"/>
    </row>
    <row r="1627" spans="159:172">
      <c r="FC1627" s="307"/>
      <c r="FD1627" s="166"/>
      <c r="FF1627" s="307"/>
      <c r="FH1627" s="306"/>
      <c r="FJ1627" s="307"/>
      <c r="FK1627" s="307"/>
      <c r="FL1627" s="306"/>
      <c r="FM1627" s="307"/>
      <c r="FN1627" s="306"/>
      <c r="FO1627" s="307"/>
      <c r="FP1627" s="306"/>
    </row>
    <row r="1628" spans="159:172">
      <c r="FC1628" s="307"/>
      <c r="FD1628" s="166"/>
      <c r="FF1628" s="307"/>
      <c r="FH1628" s="306"/>
      <c r="FJ1628" s="307"/>
      <c r="FK1628" s="307"/>
      <c r="FL1628" s="306"/>
      <c r="FM1628" s="307"/>
      <c r="FN1628" s="306"/>
      <c r="FO1628" s="307"/>
      <c r="FP1628" s="306"/>
    </row>
    <row r="1629" spans="159:172">
      <c r="FC1629" s="307"/>
      <c r="FD1629" s="166"/>
      <c r="FF1629" s="307"/>
      <c r="FH1629" s="306"/>
      <c r="FJ1629" s="307"/>
      <c r="FK1629" s="307"/>
      <c r="FL1629" s="306"/>
      <c r="FM1629" s="307"/>
      <c r="FN1629" s="306"/>
      <c r="FO1629" s="307"/>
      <c r="FP1629" s="306"/>
    </row>
    <row r="1630" spans="159:172">
      <c r="FC1630" s="307"/>
      <c r="FD1630" s="166"/>
      <c r="FF1630" s="307"/>
      <c r="FH1630" s="306"/>
      <c r="FJ1630" s="307"/>
      <c r="FK1630" s="307"/>
      <c r="FL1630" s="306"/>
      <c r="FM1630" s="307"/>
      <c r="FN1630" s="306"/>
      <c r="FO1630" s="307"/>
      <c r="FP1630" s="306"/>
    </row>
    <row r="1631" spans="159:172">
      <c r="FC1631" s="307"/>
      <c r="FD1631" s="166"/>
      <c r="FF1631" s="307"/>
      <c r="FH1631" s="306"/>
      <c r="FJ1631" s="307"/>
      <c r="FK1631" s="307"/>
      <c r="FL1631" s="306"/>
      <c r="FM1631" s="307"/>
      <c r="FN1631" s="306"/>
      <c r="FO1631" s="307"/>
      <c r="FP1631" s="306"/>
    </row>
    <row r="1632" spans="159:172">
      <c r="FC1632" s="307"/>
      <c r="FD1632" s="166"/>
      <c r="FF1632" s="307"/>
      <c r="FH1632" s="306"/>
      <c r="FJ1632" s="307"/>
      <c r="FK1632" s="307"/>
      <c r="FL1632" s="306"/>
      <c r="FM1632" s="307"/>
      <c r="FN1632" s="306"/>
      <c r="FO1632" s="307"/>
      <c r="FP1632" s="306"/>
    </row>
    <row r="1633" spans="159:172">
      <c r="FC1633" s="307"/>
      <c r="FD1633" s="166"/>
      <c r="FF1633" s="307"/>
      <c r="FH1633" s="306"/>
      <c r="FJ1633" s="307"/>
      <c r="FK1633" s="307"/>
      <c r="FL1633" s="306"/>
      <c r="FM1633" s="307"/>
      <c r="FN1633" s="306"/>
      <c r="FO1633" s="307"/>
      <c r="FP1633" s="306"/>
    </row>
    <row r="1634" spans="159:172">
      <c r="FC1634" s="307"/>
      <c r="FD1634" s="166"/>
      <c r="FF1634" s="307"/>
      <c r="FH1634" s="306"/>
      <c r="FJ1634" s="307"/>
      <c r="FK1634" s="307"/>
      <c r="FL1634" s="306"/>
      <c r="FM1634" s="307"/>
      <c r="FN1634" s="306"/>
      <c r="FO1634" s="307"/>
      <c r="FP1634" s="306"/>
    </row>
    <row r="1635" spans="159:172">
      <c r="FC1635" s="307"/>
      <c r="FD1635" s="166"/>
      <c r="FF1635" s="307"/>
      <c r="FH1635" s="306"/>
      <c r="FJ1635" s="307"/>
      <c r="FK1635" s="307"/>
      <c r="FL1635" s="306"/>
      <c r="FM1635" s="307"/>
      <c r="FN1635" s="306"/>
      <c r="FO1635" s="307"/>
      <c r="FP1635" s="306"/>
    </row>
    <row r="1636" spans="159:172">
      <c r="FC1636" s="307"/>
      <c r="FD1636" s="166"/>
      <c r="FF1636" s="307"/>
      <c r="FH1636" s="306"/>
      <c r="FJ1636" s="307"/>
      <c r="FK1636" s="307"/>
      <c r="FL1636" s="306"/>
      <c r="FM1636" s="307"/>
      <c r="FN1636" s="306"/>
      <c r="FO1636" s="307"/>
      <c r="FP1636" s="306"/>
    </row>
    <row r="1637" spans="159:172">
      <c r="FC1637" s="307"/>
      <c r="FD1637" s="166"/>
      <c r="FF1637" s="307"/>
      <c r="FH1637" s="306"/>
      <c r="FJ1637" s="307"/>
      <c r="FK1637" s="307"/>
      <c r="FL1637" s="306"/>
      <c r="FM1637" s="307"/>
      <c r="FN1637" s="306"/>
      <c r="FO1637" s="307"/>
      <c r="FP1637" s="306"/>
    </row>
    <row r="1638" spans="159:172">
      <c r="FC1638" s="307"/>
      <c r="FD1638" s="166"/>
      <c r="FF1638" s="307"/>
      <c r="FH1638" s="306"/>
      <c r="FJ1638" s="307"/>
      <c r="FK1638" s="307"/>
      <c r="FL1638" s="306"/>
      <c r="FM1638" s="307"/>
      <c r="FN1638" s="306"/>
      <c r="FO1638" s="307"/>
      <c r="FP1638" s="306"/>
    </row>
    <row r="1639" spans="159:172">
      <c r="FC1639" s="307"/>
      <c r="FD1639" s="166"/>
      <c r="FF1639" s="307"/>
      <c r="FH1639" s="306"/>
      <c r="FJ1639" s="307"/>
      <c r="FK1639" s="307"/>
      <c r="FL1639" s="306"/>
      <c r="FM1639" s="307"/>
      <c r="FN1639" s="306"/>
      <c r="FO1639" s="307"/>
      <c r="FP1639" s="306"/>
    </row>
    <row r="1640" spans="159:172">
      <c r="FC1640" s="307"/>
      <c r="FD1640" s="166"/>
      <c r="FF1640" s="307"/>
      <c r="FH1640" s="306"/>
      <c r="FJ1640" s="307"/>
      <c r="FK1640" s="307"/>
      <c r="FL1640" s="306"/>
      <c r="FM1640" s="307"/>
      <c r="FN1640" s="306"/>
      <c r="FO1640" s="307"/>
      <c r="FP1640" s="306"/>
    </row>
    <row r="1641" spans="159:172">
      <c r="FC1641" s="307"/>
      <c r="FD1641" s="166"/>
      <c r="FF1641" s="307"/>
      <c r="FH1641" s="306"/>
      <c r="FJ1641" s="307"/>
      <c r="FK1641" s="307"/>
      <c r="FL1641" s="306"/>
      <c r="FM1641" s="307"/>
      <c r="FN1641" s="306"/>
      <c r="FO1641" s="307"/>
      <c r="FP1641" s="306"/>
    </row>
    <row r="1642" spans="159:172">
      <c r="FC1642" s="307"/>
      <c r="FD1642" s="166"/>
      <c r="FF1642" s="307"/>
      <c r="FH1642" s="306"/>
      <c r="FJ1642" s="307"/>
      <c r="FK1642" s="307"/>
      <c r="FL1642" s="306"/>
      <c r="FM1642" s="307"/>
      <c r="FN1642" s="306"/>
      <c r="FO1642" s="307"/>
      <c r="FP1642" s="306"/>
    </row>
    <row r="1643" spans="159:172">
      <c r="FC1643" s="307"/>
      <c r="FD1643" s="166"/>
      <c r="FF1643" s="307"/>
      <c r="FH1643" s="306"/>
      <c r="FJ1643" s="307"/>
      <c r="FK1643" s="307"/>
      <c r="FL1643" s="306"/>
      <c r="FM1643" s="307"/>
      <c r="FN1643" s="306"/>
      <c r="FO1643" s="307"/>
      <c r="FP1643" s="306"/>
    </row>
    <row r="1644" spans="159:172">
      <c r="FC1644" s="307"/>
      <c r="FD1644" s="166"/>
      <c r="FF1644" s="307"/>
      <c r="FH1644" s="306"/>
      <c r="FJ1644" s="307"/>
      <c r="FK1644" s="307"/>
      <c r="FL1644" s="306"/>
      <c r="FM1644" s="307"/>
      <c r="FN1644" s="306"/>
      <c r="FO1644" s="307"/>
      <c r="FP1644" s="306"/>
    </row>
    <row r="1645" spans="159:172">
      <c r="FC1645" s="307"/>
      <c r="FD1645" s="166"/>
      <c r="FF1645" s="307"/>
      <c r="FH1645" s="306"/>
      <c r="FJ1645" s="307"/>
      <c r="FK1645" s="307"/>
      <c r="FL1645" s="306"/>
      <c r="FM1645" s="307"/>
      <c r="FN1645" s="306"/>
      <c r="FO1645" s="307"/>
      <c r="FP1645" s="306"/>
    </row>
    <row r="1646" spans="159:172">
      <c r="FC1646" s="307"/>
      <c r="FD1646" s="166"/>
      <c r="FF1646" s="307"/>
      <c r="FH1646" s="306"/>
      <c r="FJ1646" s="307"/>
      <c r="FK1646" s="307"/>
      <c r="FL1646" s="306"/>
      <c r="FM1646" s="307"/>
      <c r="FN1646" s="306"/>
      <c r="FO1646" s="307"/>
      <c r="FP1646" s="306"/>
    </row>
    <row r="1647" spans="159:172">
      <c r="FC1647" s="307"/>
      <c r="FD1647" s="166"/>
      <c r="FF1647" s="307"/>
      <c r="FH1647" s="306"/>
      <c r="FJ1647" s="307"/>
      <c r="FK1647" s="307"/>
      <c r="FL1647" s="306"/>
      <c r="FM1647" s="307"/>
      <c r="FN1647" s="306"/>
      <c r="FO1647" s="307"/>
      <c r="FP1647" s="306"/>
    </row>
    <row r="1648" spans="159:172">
      <c r="FC1648" s="307"/>
      <c r="FD1648" s="166"/>
      <c r="FF1648" s="307"/>
      <c r="FH1648" s="306"/>
      <c r="FJ1648" s="307"/>
      <c r="FK1648" s="307"/>
      <c r="FL1648" s="306"/>
      <c r="FM1648" s="307"/>
      <c r="FN1648" s="306"/>
      <c r="FO1648" s="307"/>
      <c r="FP1648" s="306"/>
    </row>
    <row r="1649" spans="159:172">
      <c r="FC1649" s="307"/>
      <c r="FD1649" s="166"/>
      <c r="FF1649" s="307"/>
      <c r="FH1649" s="306"/>
      <c r="FJ1649" s="307"/>
      <c r="FK1649" s="307"/>
      <c r="FL1649" s="306"/>
      <c r="FM1649" s="307"/>
      <c r="FN1649" s="306"/>
      <c r="FO1649" s="307"/>
      <c r="FP1649" s="306"/>
    </row>
    <row r="1650" spans="159:172">
      <c r="FC1650" s="307"/>
      <c r="FD1650" s="166"/>
      <c r="FF1650" s="307"/>
      <c r="FH1650" s="306"/>
      <c r="FJ1650" s="307"/>
      <c r="FK1650" s="307"/>
      <c r="FL1650" s="306"/>
      <c r="FM1650" s="307"/>
      <c r="FN1650" s="306"/>
      <c r="FO1650" s="307"/>
      <c r="FP1650" s="306"/>
    </row>
    <row r="1651" spans="159:172">
      <c r="FC1651" s="307"/>
      <c r="FD1651" s="166"/>
      <c r="FF1651" s="307"/>
      <c r="FH1651" s="306"/>
      <c r="FJ1651" s="307"/>
      <c r="FK1651" s="307"/>
      <c r="FL1651" s="306"/>
      <c r="FM1651" s="307"/>
      <c r="FN1651" s="306"/>
      <c r="FO1651" s="307"/>
      <c r="FP1651" s="306"/>
    </row>
    <row r="1652" spans="159:172">
      <c r="FC1652" s="307"/>
      <c r="FD1652" s="166"/>
      <c r="FF1652" s="307"/>
      <c r="FH1652" s="306"/>
      <c r="FJ1652" s="307"/>
      <c r="FK1652" s="307"/>
      <c r="FL1652" s="306"/>
      <c r="FM1652" s="307"/>
      <c r="FN1652" s="306"/>
      <c r="FO1652" s="307"/>
      <c r="FP1652" s="306"/>
    </row>
    <row r="1653" spans="159:172">
      <c r="FC1653" s="307"/>
      <c r="FD1653" s="166"/>
      <c r="FF1653" s="307"/>
      <c r="FH1653" s="306"/>
      <c r="FJ1653" s="307"/>
      <c r="FK1653" s="307"/>
      <c r="FL1653" s="306"/>
      <c r="FM1653" s="307"/>
      <c r="FN1653" s="306"/>
      <c r="FO1653" s="307"/>
      <c r="FP1653" s="306"/>
    </row>
    <row r="1654" spans="159:172">
      <c r="FC1654" s="307"/>
      <c r="FD1654" s="166"/>
      <c r="FF1654" s="307"/>
      <c r="FH1654" s="306"/>
      <c r="FJ1654" s="307"/>
      <c r="FK1654" s="307"/>
      <c r="FL1654" s="306"/>
      <c r="FM1654" s="307"/>
      <c r="FN1654" s="306"/>
      <c r="FO1654" s="307"/>
      <c r="FP1654" s="306"/>
    </row>
    <row r="1655" spans="159:172">
      <c r="FC1655" s="307"/>
      <c r="FD1655" s="166"/>
      <c r="FF1655" s="307"/>
      <c r="FH1655" s="306"/>
      <c r="FJ1655" s="307"/>
      <c r="FK1655" s="307"/>
      <c r="FL1655" s="306"/>
      <c r="FM1655" s="307"/>
      <c r="FN1655" s="306"/>
      <c r="FO1655" s="307"/>
      <c r="FP1655" s="306"/>
    </row>
    <row r="1656" spans="159:172">
      <c r="FC1656" s="307"/>
      <c r="FD1656" s="166"/>
      <c r="FF1656" s="307"/>
      <c r="FH1656" s="306"/>
      <c r="FJ1656" s="307"/>
      <c r="FK1656" s="307"/>
      <c r="FL1656" s="306"/>
      <c r="FM1656" s="307"/>
      <c r="FN1656" s="306"/>
      <c r="FO1656" s="307"/>
      <c r="FP1656" s="306"/>
    </row>
    <row r="1657" spans="159:172">
      <c r="FC1657" s="307"/>
      <c r="FD1657" s="166"/>
      <c r="FF1657" s="307"/>
      <c r="FH1657" s="306"/>
      <c r="FJ1657" s="307"/>
      <c r="FK1657" s="307"/>
      <c r="FL1657" s="306"/>
      <c r="FM1657" s="307"/>
      <c r="FN1657" s="306"/>
      <c r="FO1657" s="307"/>
      <c r="FP1657" s="306"/>
    </row>
    <row r="1658" spans="159:172">
      <c r="FC1658" s="307"/>
      <c r="FD1658" s="166"/>
      <c r="FF1658" s="307"/>
      <c r="FH1658" s="306"/>
      <c r="FJ1658" s="307"/>
      <c r="FK1658" s="307"/>
      <c r="FL1658" s="306"/>
      <c r="FM1658" s="307"/>
      <c r="FN1658" s="306"/>
      <c r="FO1658" s="307"/>
      <c r="FP1658" s="306"/>
    </row>
    <row r="1659" spans="159:172">
      <c r="FC1659" s="307"/>
      <c r="FD1659" s="166"/>
      <c r="FF1659" s="307"/>
      <c r="FH1659" s="306"/>
      <c r="FJ1659" s="307"/>
      <c r="FK1659" s="307"/>
      <c r="FL1659" s="306"/>
      <c r="FM1659" s="307"/>
      <c r="FN1659" s="306"/>
      <c r="FO1659" s="307"/>
      <c r="FP1659" s="306"/>
    </row>
    <row r="1660" spans="159:172">
      <c r="FC1660" s="307"/>
      <c r="FD1660" s="166"/>
      <c r="FF1660" s="307"/>
      <c r="FH1660" s="306"/>
      <c r="FJ1660" s="307"/>
      <c r="FK1660" s="307"/>
      <c r="FL1660" s="306"/>
      <c r="FM1660" s="307"/>
      <c r="FN1660" s="306"/>
      <c r="FO1660" s="307"/>
      <c r="FP1660" s="306"/>
    </row>
    <row r="1661" spans="159:172">
      <c r="FC1661" s="307"/>
      <c r="FD1661" s="166"/>
      <c r="FF1661" s="307"/>
      <c r="FH1661" s="306"/>
      <c r="FJ1661" s="307"/>
      <c r="FK1661" s="307"/>
      <c r="FL1661" s="306"/>
      <c r="FM1661" s="307"/>
      <c r="FN1661" s="306"/>
      <c r="FO1661" s="307"/>
      <c r="FP1661" s="306"/>
    </row>
    <row r="1662" spans="159:172">
      <c r="FC1662" s="307"/>
      <c r="FD1662" s="166"/>
      <c r="FF1662" s="307"/>
      <c r="FH1662" s="306"/>
      <c r="FJ1662" s="307"/>
      <c r="FK1662" s="307"/>
      <c r="FL1662" s="306"/>
      <c r="FM1662" s="307"/>
      <c r="FN1662" s="306"/>
      <c r="FO1662" s="307"/>
      <c r="FP1662" s="306"/>
    </row>
    <row r="1663" spans="159:172">
      <c r="FC1663" s="307"/>
      <c r="FD1663" s="166"/>
      <c r="FF1663" s="307"/>
      <c r="FH1663" s="306"/>
      <c r="FJ1663" s="307"/>
      <c r="FK1663" s="307"/>
      <c r="FL1663" s="306"/>
      <c r="FM1663" s="307"/>
      <c r="FN1663" s="306"/>
      <c r="FO1663" s="307"/>
      <c r="FP1663" s="306"/>
    </row>
    <row r="1664" spans="159:172">
      <c r="FC1664" s="307"/>
      <c r="FD1664" s="166"/>
      <c r="FF1664" s="307"/>
      <c r="FH1664" s="306"/>
      <c r="FJ1664" s="307"/>
      <c r="FK1664" s="307"/>
      <c r="FL1664" s="306"/>
      <c r="FM1664" s="307"/>
      <c r="FN1664" s="306"/>
      <c r="FO1664" s="307"/>
      <c r="FP1664" s="306"/>
    </row>
    <row r="1665" spans="159:172">
      <c r="FC1665" s="307"/>
      <c r="FD1665" s="166"/>
      <c r="FF1665" s="307"/>
      <c r="FH1665" s="306"/>
      <c r="FJ1665" s="307"/>
      <c r="FK1665" s="307"/>
      <c r="FL1665" s="306"/>
      <c r="FM1665" s="307"/>
      <c r="FN1665" s="306"/>
      <c r="FO1665" s="307"/>
      <c r="FP1665" s="306"/>
    </row>
    <row r="1666" spans="159:172">
      <c r="FC1666" s="307"/>
      <c r="FD1666" s="166"/>
      <c r="FF1666" s="307"/>
      <c r="FH1666" s="306"/>
      <c r="FJ1666" s="307"/>
      <c r="FK1666" s="307"/>
      <c r="FL1666" s="306"/>
      <c r="FM1666" s="307"/>
      <c r="FN1666" s="306"/>
      <c r="FO1666" s="307"/>
      <c r="FP1666" s="306"/>
    </row>
    <row r="1667" spans="159:172">
      <c r="FC1667" s="307"/>
      <c r="FD1667" s="166"/>
      <c r="FF1667" s="307"/>
      <c r="FH1667" s="306"/>
      <c r="FJ1667" s="307"/>
      <c r="FK1667" s="307"/>
      <c r="FL1667" s="306"/>
      <c r="FM1667" s="307"/>
      <c r="FN1667" s="306"/>
      <c r="FO1667" s="307"/>
      <c r="FP1667" s="306"/>
    </row>
    <row r="1668" spans="159:172">
      <c r="FC1668" s="307"/>
      <c r="FD1668" s="166"/>
      <c r="FF1668" s="307"/>
      <c r="FH1668" s="306"/>
      <c r="FJ1668" s="307"/>
      <c r="FK1668" s="307"/>
      <c r="FL1668" s="306"/>
      <c r="FM1668" s="307"/>
      <c r="FN1668" s="306"/>
      <c r="FO1668" s="307"/>
      <c r="FP1668" s="306"/>
    </row>
    <row r="1669" spans="159:172">
      <c r="FC1669" s="307"/>
      <c r="FD1669" s="166"/>
      <c r="FF1669" s="307"/>
      <c r="FH1669" s="306"/>
      <c r="FJ1669" s="307"/>
      <c r="FK1669" s="307"/>
      <c r="FL1669" s="306"/>
      <c r="FM1669" s="307"/>
      <c r="FN1669" s="306"/>
      <c r="FO1669" s="307"/>
      <c r="FP1669" s="306"/>
    </row>
    <row r="1670" spans="159:172">
      <c r="FC1670" s="307"/>
      <c r="FD1670" s="166"/>
      <c r="FF1670" s="307"/>
      <c r="FH1670" s="306"/>
      <c r="FJ1670" s="307"/>
      <c r="FK1670" s="307"/>
      <c r="FL1670" s="306"/>
      <c r="FM1670" s="307"/>
      <c r="FN1670" s="306"/>
      <c r="FO1670" s="307"/>
      <c r="FP1670" s="306"/>
    </row>
    <row r="1671" spans="159:172">
      <c r="FC1671" s="307"/>
      <c r="FD1671" s="166"/>
      <c r="FF1671" s="307"/>
      <c r="FH1671" s="306"/>
      <c r="FJ1671" s="307"/>
      <c r="FK1671" s="307"/>
      <c r="FL1671" s="306"/>
      <c r="FM1671" s="307"/>
      <c r="FN1671" s="306"/>
      <c r="FO1671" s="307"/>
      <c r="FP1671" s="306"/>
    </row>
    <row r="1672" spans="159:172">
      <c r="FC1672" s="307"/>
      <c r="FD1672" s="166"/>
      <c r="FF1672" s="307"/>
      <c r="FH1672" s="306"/>
      <c r="FJ1672" s="307"/>
      <c r="FK1672" s="307"/>
      <c r="FL1672" s="306"/>
      <c r="FM1672" s="307"/>
      <c r="FN1672" s="306"/>
      <c r="FO1672" s="307"/>
      <c r="FP1672" s="306"/>
    </row>
    <row r="1673" spans="159:172">
      <c r="FC1673" s="307"/>
      <c r="FD1673" s="166"/>
      <c r="FF1673" s="307"/>
      <c r="FH1673" s="306"/>
      <c r="FJ1673" s="307"/>
      <c r="FK1673" s="307"/>
      <c r="FL1673" s="306"/>
      <c r="FM1673" s="307"/>
      <c r="FN1673" s="306"/>
      <c r="FO1673" s="307"/>
      <c r="FP1673" s="306"/>
    </row>
    <row r="1674" spans="159:172">
      <c r="FC1674" s="307"/>
      <c r="FD1674" s="166"/>
      <c r="FF1674" s="307"/>
      <c r="FH1674" s="306"/>
      <c r="FJ1674" s="307"/>
      <c r="FK1674" s="307"/>
      <c r="FL1674" s="306"/>
      <c r="FM1674" s="307"/>
      <c r="FN1674" s="306"/>
      <c r="FO1674" s="307"/>
      <c r="FP1674" s="306"/>
    </row>
    <row r="1675" spans="159:172">
      <c r="FC1675" s="307"/>
      <c r="FD1675" s="166"/>
      <c r="FF1675" s="307"/>
      <c r="FH1675" s="306"/>
      <c r="FJ1675" s="307"/>
      <c r="FK1675" s="307"/>
      <c r="FL1675" s="306"/>
      <c r="FM1675" s="307"/>
      <c r="FN1675" s="306"/>
      <c r="FO1675" s="307"/>
      <c r="FP1675" s="306"/>
    </row>
    <row r="1676" spans="159:172">
      <c r="FC1676" s="307"/>
      <c r="FD1676" s="166"/>
      <c r="FF1676" s="307"/>
      <c r="FH1676" s="306"/>
      <c r="FJ1676" s="307"/>
      <c r="FK1676" s="307"/>
      <c r="FL1676" s="306"/>
      <c r="FM1676" s="307"/>
      <c r="FN1676" s="306"/>
      <c r="FO1676" s="307"/>
      <c r="FP1676" s="306"/>
    </row>
    <row r="1677" spans="159:172">
      <c r="FC1677" s="307"/>
      <c r="FD1677" s="166"/>
      <c r="FF1677" s="307"/>
      <c r="FH1677" s="306"/>
      <c r="FJ1677" s="307"/>
      <c r="FK1677" s="307"/>
      <c r="FL1677" s="306"/>
      <c r="FM1677" s="307"/>
      <c r="FN1677" s="306"/>
      <c r="FO1677" s="307"/>
      <c r="FP1677" s="306"/>
    </row>
    <row r="1678" spans="159:172">
      <c r="FC1678" s="307"/>
      <c r="FD1678" s="166"/>
      <c r="FF1678" s="307"/>
      <c r="FH1678" s="306"/>
      <c r="FJ1678" s="307"/>
      <c r="FK1678" s="307"/>
      <c r="FL1678" s="306"/>
      <c r="FM1678" s="307"/>
      <c r="FN1678" s="306"/>
      <c r="FO1678" s="307"/>
      <c r="FP1678" s="306"/>
    </row>
    <row r="1679" spans="159:172">
      <c r="FC1679" s="307"/>
      <c r="FD1679" s="166"/>
      <c r="FF1679" s="307"/>
      <c r="FH1679" s="306"/>
      <c r="FJ1679" s="307"/>
      <c r="FK1679" s="307"/>
      <c r="FL1679" s="306"/>
      <c r="FM1679" s="307"/>
      <c r="FN1679" s="306"/>
      <c r="FO1679" s="307"/>
      <c r="FP1679" s="306"/>
    </row>
    <row r="1680" spans="159:172">
      <c r="FC1680" s="307"/>
      <c r="FD1680" s="166"/>
      <c r="FF1680" s="307"/>
      <c r="FH1680" s="306"/>
      <c r="FJ1680" s="307"/>
      <c r="FK1680" s="307"/>
      <c r="FL1680" s="306"/>
      <c r="FM1680" s="307"/>
      <c r="FN1680" s="306"/>
      <c r="FO1680" s="307"/>
      <c r="FP1680" s="306"/>
    </row>
    <row r="1681" spans="159:172">
      <c r="FC1681" s="307"/>
      <c r="FD1681" s="166"/>
      <c r="FF1681" s="307"/>
      <c r="FH1681" s="306"/>
      <c r="FJ1681" s="307"/>
      <c r="FK1681" s="307"/>
      <c r="FL1681" s="306"/>
      <c r="FM1681" s="307"/>
      <c r="FN1681" s="306"/>
      <c r="FO1681" s="307"/>
      <c r="FP1681" s="306"/>
    </row>
    <row r="1682" spans="159:172">
      <c r="FC1682" s="307"/>
      <c r="FD1682" s="166"/>
      <c r="FF1682" s="307"/>
      <c r="FH1682" s="306"/>
      <c r="FJ1682" s="307"/>
      <c r="FK1682" s="307"/>
      <c r="FL1682" s="306"/>
      <c r="FM1682" s="307"/>
      <c r="FN1682" s="306"/>
      <c r="FO1682" s="307"/>
      <c r="FP1682" s="306"/>
    </row>
    <row r="1683" spans="159:172">
      <c r="FC1683" s="307"/>
      <c r="FD1683" s="166"/>
      <c r="FF1683" s="307"/>
      <c r="FH1683" s="306"/>
      <c r="FJ1683" s="307"/>
      <c r="FK1683" s="307"/>
      <c r="FL1683" s="306"/>
      <c r="FM1683" s="307"/>
      <c r="FN1683" s="306"/>
      <c r="FO1683" s="307"/>
      <c r="FP1683" s="306"/>
    </row>
    <row r="1684" spans="159:172">
      <c r="FC1684" s="307"/>
      <c r="FD1684" s="166"/>
      <c r="FF1684" s="307"/>
      <c r="FH1684" s="306"/>
      <c r="FJ1684" s="307"/>
      <c r="FK1684" s="307"/>
      <c r="FL1684" s="306"/>
      <c r="FM1684" s="307"/>
      <c r="FN1684" s="306"/>
      <c r="FO1684" s="307"/>
      <c r="FP1684" s="306"/>
    </row>
    <row r="1685" spans="159:172">
      <c r="FC1685" s="307"/>
      <c r="FD1685" s="166"/>
      <c r="FF1685" s="307"/>
      <c r="FH1685" s="306"/>
      <c r="FJ1685" s="307"/>
      <c r="FK1685" s="307"/>
      <c r="FL1685" s="306"/>
      <c r="FM1685" s="307"/>
      <c r="FN1685" s="306"/>
      <c r="FO1685" s="307"/>
      <c r="FP1685" s="306"/>
    </row>
    <row r="1686" spans="159:172">
      <c r="FC1686" s="307"/>
      <c r="FD1686" s="166"/>
      <c r="FF1686" s="307"/>
      <c r="FH1686" s="306"/>
      <c r="FJ1686" s="307"/>
      <c r="FK1686" s="307"/>
      <c r="FL1686" s="306"/>
      <c r="FM1686" s="307"/>
      <c r="FN1686" s="306"/>
      <c r="FO1686" s="307"/>
      <c r="FP1686" s="306"/>
    </row>
    <row r="1687" spans="159:172">
      <c r="FC1687" s="307"/>
      <c r="FD1687" s="166"/>
      <c r="FF1687" s="307"/>
      <c r="FH1687" s="306"/>
      <c r="FJ1687" s="307"/>
      <c r="FK1687" s="307"/>
      <c r="FL1687" s="306"/>
      <c r="FM1687" s="307"/>
      <c r="FN1687" s="306"/>
      <c r="FO1687" s="307"/>
      <c r="FP1687" s="306"/>
    </row>
    <row r="1688" spans="159:172">
      <c r="FC1688" s="307"/>
      <c r="FD1688" s="166"/>
      <c r="FF1688" s="307"/>
      <c r="FH1688" s="306"/>
      <c r="FJ1688" s="307"/>
      <c r="FK1688" s="307"/>
      <c r="FL1688" s="306"/>
      <c r="FM1688" s="307"/>
      <c r="FN1688" s="306"/>
      <c r="FO1688" s="307"/>
      <c r="FP1688" s="306"/>
    </row>
    <row r="1689" spans="159:172">
      <c r="FC1689" s="307"/>
      <c r="FD1689" s="166"/>
      <c r="FF1689" s="307"/>
      <c r="FH1689" s="306"/>
      <c r="FJ1689" s="307"/>
      <c r="FK1689" s="307"/>
      <c r="FL1689" s="306"/>
      <c r="FM1689" s="307"/>
      <c r="FN1689" s="306"/>
      <c r="FO1689" s="307"/>
      <c r="FP1689" s="306"/>
    </row>
    <row r="1690" spans="159:172">
      <c r="FC1690" s="307"/>
      <c r="FD1690" s="166"/>
      <c r="FF1690" s="307"/>
      <c r="FH1690" s="306"/>
      <c r="FJ1690" s="307"/>
      <c r="FK1690" s="307"/>
      <c r="FL1690" s="306"/>
      <c r="FM1690" s="307"/>
      <c r="FN1690" s="306"/>
      <c r="FO1690" s="307"/>
      <c r="FP1690" s="306"/>
    </row>
    <row r="1691" spans="159:172">
      <c r="FC1691" s="307"/>
      <c r="FD1691" s="166"/>
      <c r="FF1691" s="307"/>
      <c r="FH1691" s="306"/>
      <c r="FJ1691" s="307"/>
      <c r="FK1691" s="307"/>
      <c r="FL1691" s="306"/>
      <c r="FM1691" s="307"/>
      <c r="FN1691" s="306"/>
      <c r="FO1691" s="307"/>
      <c r="FP1691" s="306"/>
    </row>
    <row r="1692" spans="159:172">
      <c r="FC1692" s="307"/>
      <c r="FD1692" s="166"/>
      <c r="FF1692" s="307"/>
      <c r="FH1692" s="306"/>
      <c r="FJ1692" s="307"/>
      <c r="FK1692" s="307"/>
      <c r="FL1692" s="306"/>
      <c r="FM1692" s="307"/>
      <c r="FN1692" s="306"/>
      <c r="FO1692" s="307"/>
      <c r="FP1692" s="306"/>
    </row>
    <row r="1693" spans="159:172">
      <c r="FC1693" s="307"/>
      <c r="FD1693" s="166"/>
      <c r="FF1693" s="307"/>
      <c r="FH1693" s="306"/>
      <c r="FJ1693" s="307"/>
      <c r="FK1693" s="307"/>
      <c r="FL1693" s="306"/>
      <c r="FM1693" s="307"/>
      <c r="FN1693" s="306"/>
      <c r="FO1693" s="307"/>
      <c r="FP1693" s="306"/>
    </row>
    <row r="1694" spans="159:172">
      <c r="FC1694" s="307"/>
      <c r="FD1694" s="166"/>
      <c r="FF1694" s="307"/>
      <c r="FH1694" s="306"/>
      <c r="FJ1694" s="307"/>
      <c r="FK1694" s="307"/>
      <c r="FL1694" s="306"/>
      <c r="FM1694" s="307"/>
      <c r="FN1694" s="306"/>
      <c r="FO1694" s="307"/>
      <c r="FP1694" s="306"/>
    </row>
    <row r="1695" spans="159:172">
      <c r="FC1695" s="307"/>
      <c r="FD1695" s="166"/>
      <c r="FF1695" s="307"/>
      <c r="FH1695" s="306"/>
      <c r="FJ1695" s="307"/>
      <c r="FK1695" s="307"/>
      <c r="FL1695" s="306"/>
      <c r="FM1695" s="307"/>
      <c r="FN1695" s="306"/>
      <c r="FO1695" s="307"/>
      <c r="FP1695" s="306"/>
    </row>
    <row r="1696" spans="159:172">
      <c r="FC1696" s="307"/>
      <c r="FD1696" s="166"/>
      <c r="FF1696" s="307"/>
      <c r="FH1696" s="306"/>
      <c r="FJ1696" s="307"/>
      <c r="FK1696" s="307"/>
      <c r="FL1696" s="306"/>
      <c r="FM1696" s="307"/>
      <c r="FN1696" s="306"/>
      <c r="FO1696" s="307"/>
      <c r="FP1696" s="306"/>
    </row>
    <row r="1697" spans="159:172">
      <c r="FC1697" s="307"/>
      <c r="FD1697" s="166"/>
      <c r="FF1697" s="307"/>
      <c r="FH1697" s="306"/>
      <c r="FJ1697" s="307"/>
      <c r="FK1697" s="307"/>
      <c r="FL1697" s="306"/>
      <c r="FM1697" s="307"/>
      <c r="FN1697" s="306"/>
      <c r="FO1697" s="307"/>
      <c r="FP1697" s="306"/>
    </row>
    <row r="1698" spans="159:172">
      <c r="FC1698" s="307"/>
      <c r="FD1698" s="166"/>
      <c r="FF1698" s="307"/>
      <c r="FH1698" s="306"/>
      <c r="FJ1698" s="307"/>
      <c r="FK1698" s="307"/>
      <c r="FL1698" s="306"/>
      <c r="FM1698" s="307"/>
      <c r="FN1698" s="306"/>
      <c r="FO1698" s="307"/>
      <c r="FP1698" s="306"/>
    </row>
    <row r="1699" spans="159:172">
      <c r="FC1699" s="307"/>
      <c r="FD1699" s="166"/>
      <c r="FF1699" s="307"/>
      <c r="FH1699" s="306"/>
      <c r="FJ1699" s="307"/>
      <c r="FK1699" s="307"/>
      <c r="FL1699" s="306"/>
      <c r="FM1699" s="307"/>
      <c r="FN1699" s="306"/>
      <c r="FO1699" s="307"/>
      <c r="FP1699" s="306"/>
    </row>
    <row r="1700" spans="159:172">
      <c r="FC1700" s="307"/>
      <c r="FD1700" s="166"/>
      <c r="FF1700" s="307"/>
      <c r="FH1700" s="306"/>
      <c r="FJ1700" s="307"/>
      <c r="FK1700" s="307"/>
      <c r="FL1700" s="306"/>
      <c r="FM1700" s="307"/>
      <c r="FN1700" s="306"/>
      <c r="FO1700" s="307"/>
      <c r="FP1700" s="306"/>
    </row>
    <row r="1701" spans="159:172">
      <c r="FC1701" s="307"/>
      <c r="FD1701" s="166"/>
      <c r="FF1701" s="307"/>
      <c r="FH1701" s="306"/>
      <c r="FJ1701" s="307"/>
      <c r="FK1701" s="307"/>
      <c r="FL1701" s="306"/>
      <c r="FM1701" s="307"/>
      <c r="FN1701" s="306"/>
      <c r="FO1701" s="307"/>
      <c r="FP1701" s="306"/>
    </row>
    <row r="1702" spans="159:172">
      <c r="FC1702" s="307"/>
      <c r="FD1702" s="166"/>
      <c r="FF1702" s="307"/>
      <c r="FH1702" s="306"/>
      <c r="FJ1702" s="307"/>
      <c r="FK1702" s="307"/>
      <c r="FL1702" s="306"/>
      <c r="FM1702" s="307"/>
      <c r="FN1702" s="306"/>
      <c r="FO1702" s="307"/>
      <c r="FP1702" s="306"/>
    </row>
    <row r="1703" spans="159:172">
      <c r="FC1703" s="307"/>
      <c r="FD1703" s="166"/>
      <c r="FF1703" s="307"/>
      <c r="FH1703" s="306"/>
      <c r="FJ1703" s="307"/>
      <c r="FK1703" s="307"/>
      <c r="FL1703" s="306"/>
      <c r="FM1703" s="307"/>
      <c r="FN1703" s="306"/>
      <c r="FO1703" s="307"/>
      <c r="FP1703" s="306"/>
    </row>
    <row r="1704" spans="159:172">
      <c r="FC1704" s="307"/>
      <c r="FD1704" s="166"/>
      <c r="FF1704" s="307"/>
      <c r="FH1704" s="306"/>
      <c r="FJ1704" s="307"/>
      <c r="FK1704" s="307"/>
      <c r="FL1704" s="306"/>
      <c r="FM1704" s="307"/>
      <c r="FN1704" s="306"/>
      <c r="FO1704" s="307"/>
      <c r="FP1704" s="306"/>
    </row>
    <row r="1705" spans="159:172">
      <c r="FC1705" s="307"/>
      <c r="FD1705" s="166"/>
      <c r="FF1705" s="307"/>
      <c r="FH1705" s="306"/>
      <c r="FJ1705" s="307"/>
      <c r="FK1705" s="307"/>
      <c r="FL1705" s="306"/>
      <c r="FM1705" s="307"/>
      <c r="FN1705" s="306"/>
      <c r="FO1705" s="307"/>
      <c r="FP1705" s="306"/>
    </row>
    <row r="1706" spans="159:172">
      <c r="FC1706" s="307"/>
      <c r="FD1706" s="166"/>
      <c r="FF1706" s="307"/>
      <c r="FH1706" s="306"/>
      <c r="FJ1706" s="307"/>
      <c r="FK1706" s="307"/>
      <c r="FL1706" s="306"/>
      <c r="FM1706" s="307"/>
      <c r="FN1706" s="306"/>
      <c r="FO1706" s="307"/>
      <c r="FP1706" s="306"/>
    </row>
    <row r="1707" spans="159:172">
      <c r="FC1707" s="307"/>
      <c r="FD1707" s="166"/>
      <c r="FF1707" s="307"/>
      <c r="FH1707" s="306"/>
      <c r="FJ1707" s="307"/>
      <c r="FK1707" s="307"/>
      <c r="FL1707" s="306"/>
      <c r="FM1707" s="307"/>
      <c r="FN1707" s="306"/>
      <c r="FO1707" s="307"/>
      <c r="FP1707" s="306"/>
    </row>
    <row r="1708" spans="159:172">
      <c r="FC1708" s="307"/>
      <c r="FD1708" s="166"/>
      <c r="FF1708" s="307"/>
      <c r="FH1708" s="306"/>
      <c r="FJ1708" s="307"/>
      <c r="FK1708" s="307"/>
      <c r="FL1708" s="306"/>
      <c r="FM1708" s="307"/>
      <c r="FN1708" s="306"/>
      <c r="FO1708" s="307"/>
      <c r="FP1708" s="306"/>
    </row>
    <row r="1709" spans="159:172">
      <c r="FC1709" s="307"/>
      <c r="FD1709" s="166"/>
      <c r="FF1709" s="307"/>
      <c r="FH1709" s="306"/>
      <c r="FJ1709" s="307"/>
      <c r="FK1709" s="307"/>
      <c r="FL1709" s="306"/>
      <c r="FM1709" s="307"/>
      <c r="FN1709" s="306"/>
      <c r="FO1709" s="307"/>
      <c r="FP1709" s="306"/>
    </row>
    <row r="1710" spans="159:172">
      <c r="FC1710" s="307"/>
      <c r="FD1710" s="166"/>
      <c r="FF1710" s="307"/>
      <c r="FH1710" s="306"/>
      <c r="FJ1710" s="307"/>
      <c r="FK1710" s="307"/>
      <c r="FL1710" s="306"/>
      <c r="FM1710" s="307"/>
      <c r="FN1710" s="306"/>
      <c r="FO1710" s="307"/>
      <c r="FP1710" s="306"/>
    </row>
    <row r="1711" spans="159:172">
      <c r="FC1711" s="307"/>
      <c r="FD1711" s="166"/>
      <c r="FF1711" s="307"/>
      <c r="FH1711" s="306"/>
      <c r="FJ1711" s="307"/>
      <c r="FK1711" s="307"/>
      <c r="FL1711" s="306"/>
      <c r="FM1711" s="307"/>
      <c r="FN1711" s="306"/>
      <c r="FO1711" s="307"/>
      <c r="FP1711" s="306"/>
    </row>
    <row r="1712" spans="159:172">
      <c r="FC1712" s="307"/>
      <c r="FD1712" s="166"/>
      <c r="FF1712" s="307"/>
      <c r="FH1712" s="306"/>
      <c r="FJ1712" s="307"/>
      <c r="FK1712" s="307"/>
      <c r="FL1712" s="306"/>
      <c r="FM1712" s="307"/>
      <c r="FN1712" s="306"/>
      <c r="FO1712" s="307"/>
      <c r="FP1712" s="306"/>
    </row>
    <row r="1713" spans="159:172">
      <c r="FC1713" s="307"/>
      <c r="FD1713" s="166"/>
      <c r="FF1713" s="307"/>
      <c r="FH1713" s="306"/>
      <c r="FJ1713" s="307"/>
      <c r="FK1713" s="307"/>
      <c r="FL1713" s="306"/>
      <c r="FM1713" s="307"/>
      <c r="FN1713" s="306"/>
      <c r="FO1713" s="307"/>
      <c r="FP1713" s="306"/>
    </row>
    <row r="1714" spans="159:172">
      <c r="FC1714" s="307"/>
      <c r="FD1714" s="166"/>
      <c r="FF1714" s="307"/>
      <c r="FH1714" s="306"/>
      <c r="FJ1714" s="307"/>
      <c r="FK1714" s="307"/>
      <c r="FL1714" s="306"/>
      <c r="FM1714" s="307"/>
      <c r="FN1714" s="306"/>
      <c r="FO1714" s="307"/>
      <c r="FP1714" s="306"/>
    </row>
    <row r="1715" spans="159:172">
      <c r="FC1715" s="307"/>
      <c r="FD1715" s="166"/>
      <c r="FF1715" s="307"/>
      <c r="FH1715" s="306"/>
      <c r="FJ1715" s="307"/>
      <c r="FK1715" s="307"/>
      <c r="FL1715" s="306"/>
      <c r="FM1715" s="307"/>
      <c r="FN1715" s="306"/>
      <c r="FO1715" s="307"/>
      <c r="FP1715" s="306"/>
    </row>
    <row r="1716" spans="159:172">
      <c r="FC1716" s="307"/>
      <c r="FD1716" s="166"/>
      <c r="FF1716" s="307"/>
      <c r="FH1716" s="306"/>
      <c r="FJ1716" s="307"/>
      <c r="FK1716" s="307"/>
      <c r="FL1716" s="306"/>
      <c r="FM1716" s="307"/>
      <c r="FN1716" s="306"/>
      <c r="FO1716" s="307"/>
      <c r="FP1716" s="306"/>
    </row>
    <row r="1717" spans="159:172">
      <c r="FC1717" s="307"/>
      <c r="FD1717" s="166"/>
      <c r="FF1717" s="307"/>
      <c r="FH1717" s="306"/>
      <c r="FJ1717" s="307"/>
      <c r="FK1717" s="307"/>
      <c r="FL1717" s="306"/>
      <c r="FM1717" s="307"/>
      <c r="FN1717" s="306"/>
      <c r="FO1717" s="307"/>
      <c r="FP1717" s="306"/>
    </row>
    <row r="1718" spans="159:172">
      <c r="FC1718" s="307"/>
      <c r="FD1718" s="166"/>
      <c r="FF1718" s="307"/>
      <c r="FH1718" s="306"/>
      <c r="FJ1718" s="307"/>
      <c r="FK1718" s="307"/>
      <c r="FL1718" s="306"/>
      <c r="FM1718" s="307"/>
      <c r="FN1718" s="306"/>
      <c r="FO1718" s="307"/>
      <c r="FP1718" s="306"/>
    </row>
    <row r="1719" spans="159:172">
      <c r="FC1719" s="307"/>
      <c r="FD1719" s="166"/>
      <c r="FF1719" s="307"/>
      <c r="FH1719" s="306"/>
      <c r="FJ1719" s="307"/>
      <c r="FK1719" s="307"/>
      <c r="FL1719" s="306"/>
      <c r="FM1719" s="307"/>
      <c r="FN1719" s="306"/>
      <c r="FO1719" s="307"/>
      <c r="FP1719" s="306"/>
    </row>
    <row r="1720" spans="159:172">
      <c r="FC1720" s="307"/>
      <c r="FD1720" s="166"/>
      <c r="FF1720" s="307"/>
      <c r="FH1720" s="306"/>
      <c r="FJ1720" s="307"/>
      <c r="FK1720" s="307"/>
      <c r="FL1720" s="306"/>
      <c r="FM1720" s="307"/>
      <c r="FN1720" s="306"/>
      <c r="FO1720" s="307"/>
      <c r="FP1720" s="306"/>
    </row>
    <row r="1721" spans="159:172">
      <c r="FC1721" s="307"/>
      <c r="FD1721" s="166"/>
      <c r="FF1721" s="307"/>
      <c r="FH1721" s="306"/>
      <c r="FJ1721" s="307"/>
      <c r="FK1721" s="307"/>
      <c r="FL1721" s="306"/>
      <c r="FM1721" s="307"/>
      <c r="FN1721" s="306"/>
      <c r="FO1721" s="307"/>
      <c r="FP1721" s="306"/>
    </row>
    <row r="1722" spans="159:172">
      <c r="FC1722" s="307"/>
      <c r="FD1722" s="166"/>
      <c r="FF1722" s="307"/>
      <c r="FH1722" s="306"/>
      <c r="FJ1722" s="307"/>
      <c r="FK1722" s="307"/>
      <c r="FL1722" s="306"/>
      <c r="FM1722" s="307"/>
      <c r="FN1722" s="306"/>
      <c r="FO1722" s="307"/>
      <c r="FP1722" s="306"/>
    </row>
    <row r="1723" spans="159:172">
      <c r="FC1723" s="307"/>
      <c r="FD1723" s="166"/>
      <c r="FF1723" s="307"/>
      <c r="FH1723" s="306"/>
      <c r="FJ1723" s="307"/>
      <c r="FK1723" s="307"/>
      <c r="FL1723" s="306"/>
      <c r="FM1723" s="307"/>
      <c r="FN1723" s="306"/>
      <c r="FO1723" s="307"/>
      <c r="FP1723" s="306"/>
    </row>
    <row r="1724" spans="159:172">
      <c r="FC1724" s="307"/>
      <c r="FD1724" s="166"/>
      <c r="FF1724" s="307"/>
      <c r="FH1724" s="306"/>
      <c r="FJ1724" s="307"/>
      <c r="FK1724" s="307"/>
      <c r="FL1724" s="306"/>
      <c r="FM1724" s="307"/>
      <c r="FN1724" s="306"/>
      <c r="FO1724" s="307"/>
      <c r="FP1724" s="306"/>
    </row>
    <row r="1725" spans="159:172">
      <c r="FC1725" s="307"/>
      <c r="FD1725" s="166"/>
      <c r="FF1725" s="307"/>
      <c r="FH1725" s="306"/>
      <c r="FJ1725" s="307"/>
      <c r="FK1725" s="307"/>
      <c r="FL1725" s="306"/>
      <c r="FM1725" s="307"/>
      <c r="FN1725" s="306"/>
      <c r="FO1725" s="307"/>
      <c r="FP1725" s="306"/>
    </row>
    <row r="1726" spans="159:172">
      <c r="FC1726" s="307"/>
      <c r="FD1726" s="166"/>
      <c r="FF1726" s="307"/>
      <c r="FH1726" s="306"/>
      <c r="FJ1726" s="307"/>
      <c r="FK1726" s="307"/>
      <c r="FL1726" s="306"/>
      <c r="FM1726" s="307"/>
      <c r="FN1726" s="306"/>
      <c r="FO1726" s="307"/>
      <c r="FP1726" s="306"/>
    </row>
    <row r="1727" spans="159:172">
      <c r="FC1727" s="307"/>
      <c r="FD1727" s="166"/>
      <c r="FF1727" s="307"/>
      <c r="FH1727" s="306"/>
      <c r="FJ1727" s="307"/>
      <c r="FK1727" s="307"/>
      <c r="FL1727" s="306"/>
      <c r="FM1727" s="307"/>
      <c r="FN1727" s="306"/>
      <c r="FO1727" s="307"/>
      <c r="FP1727" s="306"/>
    </row>
    <row r="1728" spans="159:172">
      <c r="FC1728" s="307"/>
      <c r="FD1728" s="166"/>
      <c r="FF1728" s="307"/>
      <c r="FH1728" s="306"/>
      <c r="FJ1728" s="307"/>
      <c r="FK1728" s="307"/>
      <c r="FL1728" s="306"/>
      <c r="FM1728" s="307"/>
      <c r="FN1728" s="306"/>
      <c r="FO1728" s="307"/>
      <c r="FP1728" s="306"/>
    </row>
    <row r="1729" spans="159:172">
      <c r="FC1729" s="307"/>
      <c r="FD1729" s="166"/>
      <c r="FF1729" s="307"/>
      <c r="FH1729" s="306"/>
      <c r="FJ1729" s="307"/>
      <c r="FK1729" s="307"/>
      <c r="FL1729" s="306"/>
      <c r="FM1729" s="307"/>
      <c r="FN1729" s="306"/>
      <c r="FO1729" s="307"/>
      <c r="FP1729" s="306"/>
    </row>
    <row r="1730" spans="159:172">
      <c r="FC1730" s="307"/>
      <c r="FD1730" s="166"/>
      <c r="FF1730" s="307"/>
      <c r="FH1730" s="306"/>
      <c r="FJ1730" s="307"/>
      <c r="FK1730" s="307"/>
      <c r="FL1730" s="306"/>
      <c r="FM1730" s="307"/>
      <c r="FN1730" s="306"/>
      <c r="FO1730" s="307"/>
      <c r="FP1730" s="306"/>
    </row>
    <row r="1731" spans="159:172">
      <c r="FC1731" s="307"/>
      <c r="FD1731" s="166"/>
      <c r="FF1731" s="307"/>
      <c r="FH1731" s="306"/>
      <c r="FJ1731" s="307"/>
      <c r="FK1731" s="307"/>
      <c r="FL1731" s="306"/>
      <c r="FM1731" s="307"/>
      <c r="FN1731" s="306"/>
      <c r="FO1731" s="307"/>
      <c r="FP1731" s="306"/>
    </row>
    <row r="1732" spans="159:172">
      <c r="FC1732" s="307"/>
      <c r="FD1732" s="166"/>
      <c r="FF1732" s="307"/>
      <c r="FH1732" s="306"/>
      <c r="FJ1732" s="307"/>
      <c r="FK1732" s="307"/>
      <c r="FL1732" s="306"/>
      <c r="FM1732" s="307"/>
      <c r="FN1732" s="306"/>
      <c r="FO1732" s="307"/>
      <c r="FP1732" s="306"/>
    </row>
    <row r="1733" spans="159:172">
      <c r="FC1733" s="307"/>
      <c r="FD1733" s="166"/>
      <c r="FF1733" s="307"/>
      <c r="FH1733" s="306"/>
      <c r="FJ1733" s="307"/>
      <c r="FK1733" s="307"/>
      <c r="FL1733" s="306"/>
      <c r="FM1733" s="307"/>
      <c r="FN1733" s="306"/>
      <c r="FO1733" s="307"/>
      <c r="FP1733" s="306"/>
    </row>
    <row r="1734" spans="159:172">
      <c r="FC1734" s="307"/>
      <c r="FD1734" s="166"/>
      <c r="FF1734" s="307"/>
      <c r="FH1734" s="306"/>
      <c r="FJ1734" s="307"/>
      <c r="FK1734" s="307"/>
      <c r="FL1734" s="306"/>
      <c r="FM1734" s="307"/>
      <c r="FN1734" s="306"/>
      <c r="FO1734" s="307"/>
      <c r="FP1734" s="306"/>
    </row>
    <row r="1735" spans="159:172">
      <c r="FC1735" s="307"/>
      <c r="FD1735" s="166"/>
      <c r="FF1735" s="307"/>
      <c r="FH1735" s="306"/>
      <c r="FJ1735" s="307"/>
      <c r="FK1735" s="307"/>
      <c r="FL1735" s="306"/>
      <c r="FM1735" s="307"/>
      <c r="FN1735" s="306"/>
      <c r="FO1735" s="307"/>
      <c r="FP1735" s="306"/>
    </row>
    <row r="1736" spans="159:172">
      <c r="FC1736" s="307"/>
      <c r="FD1736" s="166"/>
      <c r="FF1736" s="307"/>
      <c r="FH1736" s="306"/>
      <c r="FJ1736" s="307"/>
      <c r="FK1736" s="307"/>
      <c r="FL1736" s="306"/>
      <c r="FM1736" s="307"/>
      <c r="FN1736" s="306"/>
      <c r="FO1736" s="307"/>
      <c r="FP1736" s="306"/>
    </row>
    <row r="1737" spans="159:172">
      <c r="FC1737" s="307"/>
      <c r="FD1737" s="166"/>
      <c r="FF1737" s="307"/>
      <c r="FH1737" s="306"/>
      <c r="FJ1737" s="307"/>
      <c r="FK1737" s="307"/>
      <c r="FL1737" s="306"/>
      <c r="FM1737" s="307"/>
      <c r="FN1737" s="306"/>
      <c r="FO1737" s="307"/>
      <c r="FP1737" s="306"/>
    </row>
    <row r="1738" spans="159:172">
      <c r="FC1738" s="307"/>
      <c r="FD1738" s="166"/>
      <c r="FF1738" s="307"/>
      <c r="FH1738" s="306"/>
      <c r="FJ1738" s="307"/>
      <c r="FK1738" s="307"/>
      <c r="FL1738" s="306"/>
      <c r="FM1738" s="307"/>
      <c r="FN1738" s="306"/>
      <c r="FO1738" s="307"/>
      <c r="FP1738" s="306"/>
    </row>
    <row r="1739" spans="159:172">
      <c r="FC1739" s="307"/>
      <c r="FD1739" s="166"/>
      <c r="FF1739" s="307"/>
      <c r="FH1739" s="306"/>
      <c r="FJ1739" s="307"/>
      <c r="FK1739" s="307"/>
      <c r="FL1739" s="306"/>
      <c r="FM1739" s="307"/>
      <c r="FN1739" s="306"/>
      <c r="FO1739" s="307"/>
      <c r="FP1739" s="306"/>
    </row>
    <row r="1740" spans="159:172">
      <c r="FC1740" s="307"/>
      <c r="FD1740" s="166"/>
      <c r="FF1740" s="307"/>
      <c r="FH1740" s="306"/>
      <c r="FJ1740" s="307"/>
      <c r="FK1740" s="307"/>
      <c r="FL1740" s="306"/>
      <c r="FM1740" s="307"/>
      <c r="FN1740" s="306"/>
      <c r="FO1740" s="307"/>
      <c r="FP1740" s="306"/>
    </row>
    <row r="1741" spans="159:172">
      <c r="FC1741" s="307"/>
      <c r="FD1741" s="166"/>
      <c r="FF1741" s="307"/>
      <c r="FH1741" s="306"/>
      <c r="FJ1741" s="307"/>
      <c r="FK1741" s="307"/>
      <c r="FL1741" s="306"/>
      <c r="FM1741" s="307"/>
      <c r="FN1741" s="306"/>
      <c r="FO1741" s="307"/>
      <c r="FP1741" s="306"/>
    </row>
    <row r="1742" spans="159:172">
      <c r="FC1742" s="307"/>
      <c r="FD1742" s="166"/>
      <c r="FF1742" s="307"/>
      <c r="FH1742" s="306"/>
      <c r="FJ1742" s="307"/>
      <c r="FK1742" s="307"/>
      <c r="FL1742" s="306"/>
      <c r="FM1742" s="307"/>
      <c r="FN1742" s="306"/>
      <c r="FO1742" s="307"/>
      <c r="FP1742" s="306"/>
    </row>
    <row r="1743" spans="159:172">
      <c r="FC1743" s="307"/>
      <c r="FD1743" s="166"/>
      <c r="FF1743" s="307"/>
      <c r="FH1743" s="306"/>
      <c r="FJ1743" s="307"/>
      <c r="FK1743" s="307"/>
      <c r="FL1743" s="306"/>
      <c r="FM1743" s="307"/>
      <c r="FN1743" s="306"/>
      <c r="FO1743" s="307"/>
      <c r="FP1743" s="306"/>
    </row>
    <row r="1744" spans="159:172">
      <c r="FC1744" s="307"/>
      <c r="FD1744" s="166"/>
      <c r="FF1744" s="307"/>
      <c r="FH1744" s="306"/>
      <c r="FJ1744" s="307"/>
      <c r="FK1744" s="307"/>
      <c r="FL1744" s="306"/>
      <c r="FM1744" s="307"/>
      <c r="FN1744" s="306"/>
      <c r="FO1744" s="307"/>
      <c r="FP1744" s="306"/>
    </row>
    <row r="1745" spans="159:172">
      <c r="FC1745" s="307"/>
      <c r="FD1745" s="166"/>
      <c r="FF1745" s="307"/>
      <c r="FH1745" s="306"/>
      <c r="FJ1745" s="307"/>
      <c r="FK1745" s="307"/>
      <c r="FL1745" s="306"/>
      <c r="FM1745" s="307"/>
      <c r="FN1745" s="306"/>
      <c r="FO1745" s="307"/>
      <c r="FP1745" s="306"/>
    </row>
    <row r="1746" spans="159:172">
      <c r="FC1746" s="307"/>
      <c r="FD1746" s="166"/>
      <c r="FF1746" s="307"/>
      <c r="FH1746" s="306"/>
      <c r="FJ1746" s="307"/>
      <c r="FK1746" s="307"/>
      <c r="FL1746" s="306"/>
      <c r="FM1746" s="307"/>
      <c r="FN1746" s="306"/>
      <c r="FO1746" s="307"/>
      <c r="FP1746" s="306"/>
    </row>
    <row r="1747" spans="159:172">
      <c r="FC1747" s="307"/>
      <c r="FD1747" s="166"/>
      <c r="FF1747" s="307"/>
      <c r="FH1747" s="306"/>
      <c r="FJ1747" s="307"/>
      <c r="FK1747" s="307"/>
      <c r="FL1747" s="306"/>
      <c r="FM1747" s="307"/>
      <c r="FN1747" s="306"/>
      <c r="FO1747" s="307"/>
      <c r="FP1747" s="306"/>
    </row>
    <row r="1748" spans="159:172">
      <c r="FC1748" s="307"/>
      <c r="FD1748" s="166"/>
      <c r="FF1748" s="307"/>
      <c r="FH1748" s="306"/>
      <c r="FJ1748" s="307"/>
      <c r="FK1748" s="307"/>
      <c r="FL1748" s="306"/>
      <c r="FM1748" s="307"/>
      <c r="FN1748" s="306"/>
      <c r="FO1748" s="307"/>
      <c r="FP1748" s="306"/>
    </row>
    <row r="1749" spans="159:172">
      <c r="FC1749" s="307"/>
      <c r="FD1749" s="166"/>
      <c r="FF1749" s="307"/>
      <c r="FH1749" s="306"/>
      <c r="FJ1749" s="307"/>
      <c r="FK1749" s="307"/>
      <c r="FL1749" s="306"/>
      <c r="FM1749" s="307"/>
      <c r="FN1749" s="306"/>
      <c r="FO1749" s="307"/>
      <c r="FP1749" s="306"/>
    </row>
    <row r="1750" spans="159:172">
      <c r="FC1750" s="307"/>
      <c r="FD1750" s="166"/>
      <c r="FF1750" s="307"/>
      <c r="FH1750" s="306"/>
      <c r="FJ1750" s="307"/>
      <c r="FK1750" s="307"/>
      <c r="FL1750" s="306"/>
      <c r="FM1750" s="307"/>
      <c r="FN1750" s="306"/>
      <c r="FO1750" s="307"/>
      <c r="FP1750" s="306"/>
    </row>
    <row r="1751" spans="159:172">
      <c r="FC1751" s="307"/>
      <c r="FD1751" s="166"/>
      <c r="FF1751" s="307"/>
      <c r="FH1751" s="306"/>
      <c r="FJ1751" s="307"/>
      <c r="FK1751" s="307"/>
      <c r="FL1751" s="306"/>
      <c r="FM1751" s="307"/>
      <c r="FN1751" s="306"/>
      <c r="FO1751" s="307"/>
      <c r="FP1751" s="306"/>
    </row>
    <row r="1752" spans="159:172">
      <c r="FC1752" s="307"/>
      <c r="FD1752" s="166"/>
      <c r="FF1752" s="307"/>
      <c r="FH1752" s="306"/>
      <c r="FJ1752" s="307"/>
      <c r="FK1752" s="307"/>
      <c r="FL1752" s="306"/>
      <c r="FM1752" s="307"/>
      <c r="FN1752" s="306"/>
      <c r="FO1752" s="307"/>
      <c r="FP1752" s="306"/>
    </row>
    <row r="1753" spans="159:172">
      <c r="FC1753" s="307"/>
      <c r="FD1753" s="166"/>
      <c r="FF1753" s="307"/>
      <c r="FH1753" s="306"/>
      <c r="FJ1753" s="307"/>
      <c r="FK1753" s="307"/>
      <c r="FL1753" s="306"/>
      <c r="FM1753" s="307"/>
      <c r="FN1753" s="306"/>
      <c r="FO1753" s="307"/>
      <c r="FP1753" s="306"/>
    </row>
    <row r="1754" spans="159:172">
      <c r="FC1754" s="307"/>
      <c r="FD1754" s="166"/>
      <c r="FF1754" s="307"/>
      <c r="FH1754" s="306"/>
      <c r="FJ1754" s="307"/>
      <c r="FK1754" s="307"/>
      <c r="FL1754" s="306"/>
      <c r="FM1754" s="307"/>
      <c r="FN1754" s="306"/>
      <c r="FO1754" s="307"/>
      <c r="FP1754" s="306"/>
    </row>
    <row r="1755" spans="159:172">
      <c r="FC1755" s="307"/>
      <c r="FD1755" s="166"/>
      <c r="FF1755" s="307"/>
      <c r="FH1755" s="306"/>
      <c r="FJ1755" s="307"/>
      <c r="FK1755" s="307"/>
      <c r="FL1755" s="306"/>
      <c r="FM1755" s="307"/>
      <c r="FN1755" s="306"/>
      <c r="FO1755" s="307"/>
      <c r="FP1755" s="306"/>
    </row>
    <row r="1756" spans="159:172">
      <c r="FC1756" s="307"/>
      <c r="FD1756" s="166"/>
      <c r="FF1756" s="307"/>
      <c r="FH1756" s="306"/>
      <c r="FJ1756" s="307"/>
      <c r="FK1756" s="307"/>
      <c r="FL1756" s="306"/>
      <c r="FM1756" s="307"/>
      <c r="FN1756" s="306"/>
      <c r="FO1756" s="307"/>
      <c r="FP1756" s="306"/>
    </row>
    <row r="1757" spans="159:172">
      <c r="FC1757" s="307"/>
      <c r="FD1757" s="166"/>
      <c r="FF1757" s="307"/>
      <c r="FH1757" s="306"/>
      <c r="FJ1757" s="307"/>
      <c r="FK1757" s="307"/>
      <c r="FL1757" s="306"/>
      <c r="FM1757" s="307"/>
      <c r="FN1757" s="306"/>
      <c r="FO1757" s="307"/>
      <c r="FP1757" s="306"/>
    </row>
    <row r="1758" spans="159:172">
      <c r="FC1758" s="307"/>
      <c r="FD1758" s="166"/>
      <c r="FF1758" s="307"/>
      <c r="FH1758" s="306"/>
      <c r="FJ1758" s="307"/>
      <c r="FK1758" s="307"/>
      <c r="FL1758" s="306"/>
      <c r="FM1758" s="307"/>
      <c r="FN1758" s="306"/>
      <c r="FO1758" s="307"/>
      <c r="FP1758" s="306"/>
    </row>
    <row r="1759" spans="159:172">
      <c r="FC1759" s="307"/>
      <c r="FD1759" s="166"/>
      <c r="FF1759" s="307"/>
      <c r="FH1759" s="306"/>
      <c r="FJ1759" s="307"/>
      <c r="FK1759" s="307"/>
      <c r="FL1759" s="306"/>
      <c r="FM1759" s="307"/>
      <c r="FN1759" s="306"/>
      <c r="FO1759" s="307"/>
      <c r="FP1759" s="306"/>
    </row>
    <row r="1760" spans="159:172">
      <c r="FC1760" s="307"/>
      <c r="FD1760" s="166"/>
      <c r="FF1760" s="307"/>
      <c r="FH1760" s="306"/>
      <c r="FJ1760" s="307"/>
      <c r="FK1760" s="307"/>
      <c r="FL1760" s="306"/>
      <c r="FM1760" s="307"/>
      <c r="FN1760" s="306"/>
      <c r="FO1760" s="307"/>
      <c r="FP1760" s="306"/>
    </row>
    <row r="1761" spans="159:172">
      <c r="FC1761" s="307"/>
      <c r="FD1761" s="166"/>
      <c r="FF1761" s="307"/>
      <c r="FH1761" s="306"/>
      <c r="FJ1761" s="307"/>
      <c r="FK1761" s="307"/>
      <c r="FL1761" s="306"/>
      <c r="FM1761" s="307"/>
      <c r="FN1761" s="306"/>
      <c r="FO1761" s="307"/>
      <c r="FP1761" s="306"/>
    </row>
    <row r="1762" spans="159:172">
      <c r="FC1762" s="307"/>
      <c r="FD1762" s="166"/>
      <c r="FF1762" s="307"/>
      <c r="FH1762" s="306"/>
      <c r="FJ1762" s="307"/>
      <c r="FK1762" s="307"/>
      <c r="FL1762" s="306"/>
      <c r="FM1762" s="307"/>
      <c r="FN1762" s="306"/>
      <c r="FO1762" s="307"/>
      <c r="FP1762" s="306"/>
    </row>
    <row r="1763" spans="159:172">
      <c r="FC1763" s="307"/>
      <c r="FD1763" s="166"/>
      <c r="FF1763" s="307"/>
      <c r="FH1763" s="306"/>
      <c r="FJ1763" s="307"/>
      <c r="FK1763" s="307"/>
      <c r="FL1763" s="306"/>
      <c r="FM1763" s="307"/>
      <c r="FN1763" s="306"/>
      <c r="FO1763" s="307"/>
      <c r="FP1763" s="306"/>
    </row>
    <row r="1764" spans="159:172">
      <c r="FC1764" s="307"/>
      <c r="FD1764" s="166"/>
      <c r="FF1764" s="307"/>
      <c r="FH1764" s="306"/>
      <c r="FJ1764" s="307"/>
      <c r="FK1764" s="307"/>
      <c r="FL1764" s="306"/>
      <c r="FM1764" s="307"/>
      <c r="FN1764" s="306"/>
      <c r="FO1764" s="307"/>
      <c r="FP1764" s="306"/>
    </row>
    <row r="1765" spans="159:172">
      <c r="FC1765" s="307"/>
      <c r="FD1765" s="166"/>
      <c r="FF1765" s="307"/>
      <c r="FH1765" s="306"/>
      <c r="FJ1765" s="307"/>
      <c r="FK1765" s="307"/>
      <c r="FL1765" s="306"/>
      <c r="FM1765" s="307"/>
      <c r="FN1765" s="306"/>
      <c r="FO1765" s="307"/>
      <c r="FP1765" s="306"/>
    </row>
    <row r="1766" spans="159:172">
      <c r="FC1766" s="307"/>
      <c r="FD1766" s="166"/>
      <c r="FF1766" s="307"/>
      <c r="FH1766" s="306"/>
      <c r="FJ1766" s="307"/>
      <c r="FK1766" s="307"/>
      <c r="FL1766" s="306"/>
      <c r="FM1766" s="307"/>
      <c r="FN1766" s="306"/>
      <c r="FO1766" s="307"/>
      <c r="FP1766" s="306"/>
    </row>
    <row r="1767" spans="159:172">
      <c r="FC1767" s="307"/>
      <c r="FD1767" s="166"/>
      <c r="FF1767" s="307"/>
      <c r="FH1767" s="306"/>
      <c r="FJ1767" s="307"/>
      <c r="FK1767" s="307"/>
      <c r="FL1767" s="306"/>
      <c r="FM1767" s="307"/>
      <c r="FN1767" s="306"/>
      <c r="FO1767" s="307"/>
      <c r="FP1767" s="306"/>
    </row>
    <row r="1768" spans="159:172">
      <c r="FC1768" s="307"/>
      <c r="FD1768" s="166"/>
      <c r="FF1768" s="307"/>
      <c r="FH1768" s="306"/>
      <c r="FJ1768" s="307"/>
      <c r="FK1768" s="307"/>
      <c r="FL1768" s="306"/>
      <c r="FM1768" s="307"/>
      <c r="FN1768" s="306"/>
      <c r="FO1768" s="307"/>
      <c r="FP1768" s="306"/>
    </row>
    <row r="1769" spans="159:172">
      <c r="FC1769" s="307"/>
      <c r="FD1769" s="166"/>
      <c r="FF1769" s="307"/>
      <c r="FH1769" s="306"/>
      <c r="FJ1769" s="307"/>
      <c r="FK1769" s="307"/>
      <c r="FL1769" s="306"/>
      <c r="FM1769" s="307"/>
      <c r="FN1769" s="306"/>
      <c r="FO1769" s="307"/>
      <c r="FP1769" s="306"/>
    </row>
    <row r="1770" spans="159:172">
      <c r="FC1770" s="307"/>
      <c r="FD1770" s="166"/>
      <c r="FF1770" s="307"/>
      <c r="FH1770" s="306"/>
      <c r="FJ1770" s="307"/>
      <c r="FK1770" s="307"/>
      <c r="FL1770" s="306"/>
      <c r="FM1770" s="307"/>
      <c r="FN1770" s="306"/>
      <c r="FO1770" s="307"/>
      <c r="FP1770" s="306"/>
    </row>
    <row r="1771" spans="159:172">
      <c r="FC1771" s="307"/>
      <c r="FD1771" s="166"/>
      <c r="FF1771" s="307"/>
      <c r="FH1771" s="306"/>
      <c r="FJ1771" s="307"/>
      <c r="FK1771" s="307"/>
      <c r="FL1771" s="306"/>
      <c r="FM1771" s="307"/>
      <c r="FN1771" s="306"/>
      <c r="FO1771" s="307"/>
      <c r="FP1771" s="306"/>
    </row>
    <row r="1772" spans="159:172">
      <c r="FC1772" s="307"/>
      <c r="FD1772" s="166"/>
      <c r="FF1772" s="307"/>
      <c r="FH1772" s="306"/>
      <c r="FJ1772" s="307"/>
      <c r="FK1772" s="307"/>
      <c r="FL1772" s="306"/>
      <c r="FM1772" s="307"/>
      <c r="FN1772" s="306"/>
      <c r="FO1772" s="307"/>
      <c r="FP1772" s="306"/>
    </row>
    <row r="1773" spans="159:172">
      <c r="FC1773" s="307"/>
      <c r="FD1773" s="166"/>
      <c r="FF1773" s="307"/>
      <c r="FH1773" s="306"/>
      <c r="FJ1773" s="307"/>
      <c r="FK1773" s="307"/>
      <c r="FL1773" s="306"/>
      <c r="FM1773" s="307"/>
      <c r="FN1773" s="306"/>
      <c r="FO1773" s="307"/>
      <c r="FP1773" s="306"/>
    </row>
    <row r="1774" spans="159:172">
      <c r="FC1774" s="307"/>
      <c r="FD1774" s="166"/>
      <c r="FF1774" s="307"/>
      <c r="FH1774" s="306"/>
      <c r="FJ1774" s="307"/>
      <c r="FK1774" s="307"/>
      <c r="FL1774" s="306"/>
      <c r="FM1774" s="307"/>
      <c r="FN1774" s="306"/>
      <c r="FO1774" s="307"/>
      <c r="FP1774" s="306"/>
    </row>
    <row r="1775" spans="159:172">
      <c r="FC1775" s="307"/>
      <c r="FD1775" s="166"/>
      <c r="FF1775" s="307"/>
      <c r="FH1775" s="306"/>
      <c r="FJ1775" s="307"/>
      <c r="FK1775" s="307"/>
      <c r="FL1775" s="306"/>
      <c r="FM1775" s="307"/>
      <c r="FN1775" s="306"/>
      <c r="FO1775" s="307"/>
      <c r="FP1775" s="306"/>
    </row>
    <row r="1776" spans="159:172">
      <c r="FC1776" s="307"/>
      <c r="FD1776" s="166"/>
      <c r="FF1776" s="307"/>
      <c r="FH1776" s="306"/>
      <c r="FJ1776" s="307"/>
      <c r="FK1776" s="307"/>
      <c r="FL1776" s="306"/>
      <c r="FM1776" s="307"/>
      <c r="FN1776" s="306"/>
      <c r="FO1776" s="307"/>
      <c r="FP1776" s="306"/>
    </row>
    <row r="1777" spans="159:172">
      <c r="FC1777" s="307"/>
      <c r="FD1777" s="166"/>
      <c r="FF1777" s="307"/>
      <c r="FH1777" s="306"/>
      <c r="FJ1777" s="307"/>
      <c r="FK1777" s="307"/>
      <c r="FL1777" s="306"/>
      <c r="FM1777" s="307"/>
      <c r="FN1777" s="306"/>
      <c r="FO1777" s="307"/>
      <c r="FP1777" s="306"/>
    </row>
    <row r="1778" spans="159:172">
      <c r="FC1778" s="307"/>
      <c r="FD1778" s="166"/>
      <c r="FF1778" s="307"/>
      <c r="FH1778" s="306"/>
      <c r="FJ1778" s="307"/>
      <c r="FK1778" s="307"/>
      <c r="FL1778" s="306"/>
      <c r="FM1778" s="307"/>
      <c r="FN1778" s="306"/>
      <c r="FO1778" s="307"/>
      <c r="FP1778" s="306"/>
    </row>
    <row r="1779" spans="159:172">
      <c r="FC1779" s="307"/>
      <c r="FD1779" s="166"/>
      <c r="FF1779" s="307"/>
      <c r="FH1779" s="306"/>
      <c r="FJ1779" s="307"/>
      <c r="FK1779" s="307"/>
      <c r="FL1779" s="306"/>
      <c r="FM1779" s="307"/>
      <c r="FN1779" s="306"/>
      <c r="FO1779" s="307"/>
      <c r="FP1779" s="306"/>
    </row>
    <row r="1780" spans="159:172">
      <c r="FC1780" s="307"/>
      <c r="FD1780" s="166"/>
      <c r="FF1780" s="307"/>
      <c r="FH1780" s="306"/>
      <c r="FJ1780" s="307"/>
      <c r="FK1780" s="307"/>
      <c r="FL1780" s="306"/>
      <c r="FM1780" s="307"/>
      <c r="FN1780" s="306"/>
      <c r="FO1780" s="307"/>
      <c r="FP1780" s="306"/>
    </row>
    <row r="1781" spans="159:172">
      <c r="FC1781" s="307"/>
      <c r="FD1781" s="166"/>
      <c r="FF1781" s="307"/>
      <c r="FH1781" s="306"/>
      <c r="FJ1781" s="307"/>
      <c r="FK1781" s="307"/>
      <c r="FL1781" s="306"/>
      <c r="FM1781" s="307"/>
      <c r="FN1781" s="306"/>
      <c r="FO1781" s="307"/>
      <c r="FP1781" s="306"/>
    </row>
    <row r="1782" spans="159:172">
      <c r="FC1782" s="307"/>
      <c r="FD1782" s="166"/>
      <c r="FF1782" s="307"/>
      <c r="FH1782" s="306"/>
      <c r="FJ1782" s="307"/>
      <c r="FK1782" s="307"/>
      <c r="FL1782" s="306"/>
      <c r="FM1782" s="307"/>
      <c r="FN1782" s="306"/>
      <c r="FO1782" s="307"/>
      <c r="FP1782" s="306"/>
    </row>
    <row r="1783" spans="159:172">
      <c r="FC1783" s="307"/>
      <c r="FD1783" s="166"/>
      <c r="FF1783" s="307"/>
      <c r="FH1783" s="306"/>
      <c r="FJ1783" s="307"/>
      <c r="FK1783" s="307"/>
      <c r="FL1783" s="306"/>
      <c r="FM1783" s="307"/>
      <c r="FN1783" s="306"/>
      <c r="FO1783" s="307"/>
      <c r="FP1783" s="306"/>
    </row>
    <row r="1784" spans="159:172">
      <c r="FC1784" s="307"/>
      <c r="FD1784" s="166"/>
      <c r="FF1784" s="307"/>
      <c r="FH1784" s="306"/>
      <c r="FJ1784" s="307"/>
      <c r="FK1784" s="307"/>
      <c r="FL1784" s="306"/>
      <c r="FM1784" s="307"/>
      <c r="FN1784" s="306"/>
      <c r="FO1784" s="307"/>
      <c r="FP1784" s="306"/>
    </row>
    <row r="1785" spans="159:172">
      <c r="FC1785" s="307"/>
      <c r="FD1785" s="166"/>
      <c r="FF1785" s="307"/>
      <c r="FH1785" s="306"/>
      <c r="FJ1785" s="307"/>
      <c r="FK1785" s="307"/>
      <c r="FL1785" s="306"/>
      <c r="FM1785" s="307"/>
      <c r="FN1785" s="306"/>
      <c r="FO1785" s="307"/>
      <c r="FP1785" s="306"/>
    </row>
    <row r="1786" spans="159:172">
      <c r="FC1786" s="307"/>
      <c r="FD1786" s="166"/>
      <c r="FF1786" s="307"/>
      <c r="FH1786" s="306"/>
      <c r="FJ1786" s="307"/>
      <c r="FK1786" s="307"/>
      <c r="FL1786" s="306"/>
      <c r="FM1786" s="307"/>
      <c r="FN1786" s="306"/>
      <c r="FO1786" s="307"/>
      <c r="FP1786" s="306"/>
    </row>
    <row r="1787" spans="159:172">
      <c r="FC1787" s="307"/>
      <c r="FD1787" s="166"/>
      <c r="FF1787" s="307"/>
      <c r="FH1787" s="306"/>
      <c r="FJ1787" s="307"/>
      <c r="FK1787" s="307"/>
      <c r="FL1787" s="306"/>
      <c r="FM1787" s="307"/>
      <c r="FN1787" s="306"/>
      <c r="FO1787" s="307"/>
      <c r="FP1787" s="306"/>
    </row>
    <row r="1788" spans="159:172">
      <c r="FC1788" s="307"/>
      <c r="FD1788" s="166"/>
      <c r="FF1788" s="307"/>
      <c r="FH1788" s="306"/>
      <c r="FJ1788" s="307"/>
      <c r="FK1788" s="307"/>
      <c r="FL1788" s="306"/>
      <c r="FM1788" s="307"/>
      <c r="FN1788" s="306"/>
      <c r="FO1788" s="307"/>
      <c r="FP1788" s="306"/>
    </row>
    <row r="1789" spans="159:172">
      <c r="FC1789" s="307"/>
      <c r="FD1789" s="166"/>
      <c r="FF1789" s="307"/>
      <c r="FH1789" s="306"/>
      <c r="FJ1789" s="307"/>
      <c r="FK1789" s="307"/>
      <c r="FL1789" s="306"/>
      <c r="FM1789" s="307"/>
      <c r="FN1789" s="306"/>
      <c r="FO1789" s="307"/>
      <c r="FP1789" s="306"/>
    </row>
    <row r="1790" spans="159:172">
      <c r="FC1790" s="307"/>
      <c r="FD1790" s="166"/>
      <c r="FF1790" s="307"/>
      <c r="FH1790" s="306"/>
      <c r="FJ1790" s="307"/>
      <c r="FK1790" s="307"/>
      <c r="FL1790" s="306"/>
      <c r="FM1790" s="307"/>
      <c r="FN1790" s="306"/>
      <c r="FO1790" s="307"/>
      <c r="FP1790" s="306"/>
    </row>
    <row r="1791" spans="159:172">
      <c r="FC1791" s="307"/>
      <c r="FD1791" s="166"/>
      <c r="FF1791" s="307"/>
      <c r="FH1791" s="306"/>
      <c r="FJ1791" s="307"/>
      <c r="FK1791" s="307"/>
      <c r="FL1791" s="306"/>
      <c r="FM1791" s="307"/>
      <c r="FN1791" s="306"/>
      <c r="FO1791" s="307"/>
      <c r="FP1791" s="306"/>
    </row>
    <row r="1792" spans="159:172">
      <c r="FC1792" s="307"/>
      <c r="FD1792" s="166"/>
      <c r="FF1792" s="307"/>
      <c r="FH1792" s="306"/>
      <c r="FJ1792" s="307"/>
      <c r="FK1792" s="307"/>
      <c r="FL1792" s="306"/>
      <c r="FM1792" s="307"/>
      <c r="FN1792" s="306"/>
      <c r="FO1792" s="307"/>
      <c r="FP1792" s="306"/>
    </row>
    <row r="1793" spans="159:172">
      <c r="FC1793" s="307"/>
      <c r="FD1793" s="166"/>
      <c r="FF1793" s="307"/>
      <c r="FH1793" s="306"/>
      <c r="FJ1793" s="307"/>
      <c r="FK1793" s="307"/>
      <c r="FL1793" s="306"/>
      <c r="FM1793" s="307"/>
      <c r="FN1793" s="306"/>
      <c r="FO1793" s="307"/>
      <c r="FP1793" s="306"/>
    </row>
    <row r="1794" spans="159:172">
      <c r="FC1794" s="307"/>
      <c r="FD1794" s="166"/>
      <c r="FF1794" s="307"/>
      <c r="FH1794" s="306"/>
      <c r="FJ1794" s="307"/>
      <c r="FK1794" s="307"/>
      <c r="FL1794" s="306"/>
      <c r="FM1794" s="307"/>
      <c r="FN1794" s="306"/>
      <c r="FO1794" s="307"/>
      <c r="FP1794" s="306"/>
    </row>
    <row r="1795" spans="159:172">
      <c r="FC1795" s="307"/>
      <c r="FD1795" s="166"/>
      <c r="FF1795" s="307"/>
      <c r="FH1795" s="306"/>
      <c r="FJ1795" s="307"/>
      <c r="FK1795" s="307"/>
      <c r="FL1795" s="306"/>
      <c r="FM1795" s="307"/>
      <c r="FN1795" s="306"/>
      <c r="FO1795" s="307"/>
      <c r="FP1795" s="306"/>
    </row>
    <row r="1796" spans="159:172">
      <c r="FC1796" s="307"/>
      <c r="FD1796" s="166"/>
      <c r="FF1796" s="307"/>
      <c r="FH1796" s="306"/>
      <c r="FJ1796" s="307"/>
      <c r="FK1796" s="307"/>
      <c r="FL1796" s="306"/>
      <c r="FM1796" s="307"/>
      <c r="FN1796" s="306"/>
      <c r="FO1796" s="307"/>
      <c r="FP1796" s="306"/>
    </row>
    <row r="1797" spans="159:172">
      <c r="FC1797" s="307"/>
      <c r="FD1797" s="166"/>
      <c r="FF1797" s="307"/>
      <c r="FH1797" s="306"/>
      <c r="FJ1797" s="307"/>
      <c r="FK1797" s="307"/>
      <c r="FL1797" s="306"/>
      <c r="FM1797" s="307"/>
      <c r="FN1797" s="306"/>
      <c r="FO1797" s="307"/>
      <c r="FP1797" s="306"/>
    </row>
    <row r="1798" spans="159:172">
      <c r="FC1798" s="307"/>
      <c r="FD1798" s="166"/>
      <c r="FF1798" s="307"/>
      <c r="FH1798" s="306"/>
      <c r="FJ1798" s="307"/>
      <c r="FK1798" s="307"/>
      <c r="FL1798" s="306"/>
      <c r="FM1798" s="307"/>
      <c r="FN1798" s="306"/>
      <c r="FO1798" s="307"/>
      <c r="FP1798" s="306"/>
    </row>
    <row r="1799" spans="159:172">
      <c r="FC1799" s="307"/>
      <c r="FD1799" s="166"/>
      <c r="FF1799" s="307"/>
      <c r="FH1799" s="306"/>
      <c r="FJ1799" s="307"/>
      <c r="FK1799" s="307"/>
      <c r="FL1799" s="306"/>
      <c r="FM1799" s="307"/>
      <c r="FN1799" s="306"/>
      <c r="FO1799" s="307"/>
      <c r="FP1799" s="306"/>
    </row>
    <row r="1800" spans="159:172">
      <c r="FC1800" s="307"/>
      <c r="FD1800" s="166"/>
      <c r="FF1800" s="307"/>
      <c r="FH1800" s="306"/>
      <c r="FJ1800" s="307"/>
      <c r="FK1800" s="307"/>
      <c r="FL1800" s="306"/>
      <c r="FM1800" s="307"/>
      <c r="FN1800" s="306"/>
      <c r="FO1800" s="307"/>
      <c r="FP1800" s="306"/>
    </row>
    <row r="1801" spans="159:172">
      <c r="FC1801" s="307"/>
      <c r="FD1801" s="166"/>
      <c r="FF1801" s="307"/>
      <c r="FH1801" s="306"/>
      <c r="FJ1801" s="307"/>
      <c r="FK1801" s="307"/>
      <c r="FL1801" s="306"/>
      <c r="FM1801" s="307"/>
      <c r="FN1801" s="306"/>
      <c r="FO1801" s="307"/>
      <c r="FP1801" s="306"/>
    </row>
    <row r="1802" spans="159:172">
      <c r="FC1802" s="307"/>
      <c r="FD1802" s="166"/>
      <c r="FF1802" s="307"/>
      <c r="FH1802" s="306"/>
      <c r="FJ1802" s="307"/>
      <c r="FK1802" s="307"/>
      <c r="FL1802" s="306"/>
      <c r="FM1802" s="307"/>
      <c r="FN1802" s="306"/>
      <c r="FO1802" s="307"/>
      <c r="FP1802" s="306"/>
    </row>
    <row r="1803" spans="159:172">
      <c r="FC1803" s="307"/>
      <c r="FD1803" s="166"/>
      <c r="FF1803" s="307"/>
      <c r="FH1803" s="306"/>
      <c r="FJ1803" s="307"/>
      <c r="FK1803" s="307"/>
      <c r="FL1803" s="306"/>
      <c r="FM1803" s="307"/>
      <c r="FN1803" s="306"/>
      <c r="FO1803" s="307"/>
      <c r="FP1803" s="306"/>
    </row>
    <row r="1804" spans="159:172">
      <c r="FC1804" s="307"/>
      <c r="FD1804" s="166"/>
      <c r="FF1804" s="307"/>
      <c r="FH1804" s="306"/>
      <c r="FJ1804" s="307"/>
      <c r="FK1804" s="307"/>
      <c r="FL1804" s="306"/>
      <c r="FM1804" s="307"/>
      <c r="FN1804" s="306"/>
      <c r="FO1804" s="307"/>
      <c r="FP1804" s="306"/>
    </row>
    <row r="1805" spans="159:172">
      <c r="FC1805" s="307"/>
      <c r="FD1805" s="166"/>
      <c r="FF1805" s="307"/>
      <c r="FH1805" s="306"/>
      <c r="FJ1805" s="307"/>
      <c r="FK1805" s="307"/>
      <c r="FL1805" s="306"/>
      <c r="FM1805" s="307"/>
      <c r="FN1805" s="306"/>
      <c r="FO1805" s="307"/>
      <c r="FP1805" s="306"/>
    </row>
    <row r="1806" spans="159:172">
      <c r="FC1806" s="307"/>
      <c r="FD1806" s="166"/>
      <c r="FF1806" s="307"/>
      <c r="FH1806" s="306"/>
      <c r="FJ1806" s="307"/>
      <c r="FK1806" s="307"/>
      <c r="FL1806" s="306"/>
      <c r="FM1806" s="307"/>
      <c r="FN1806" s="306"/>
      <c r="FO1806" s="307"/>
      <c r="FP1806" s="306"/>
    </row>
    <row r="1807" spans="159:172">
      <c r="FC1807" s="307"/>
      <c r="FD1807" s="166"/>
      <c r="FF1807" s="307"/>
      <c r="FH1807" s="306"/>
      <c r="FJ1807" s="307"/>
      <c r="FK1807" s="307"/>
      <c r="FL1807" s="306"/>
      <c r="FM1807" s="307"/>
      <c r="FN1807" s="306"/>
      <c r="FO1807" s="307"/>
      <c r="FP1807" s="306"/>
    </row>
    <row r="1808" spans="159:172">
      <c r="FC1808" s="307"/>
      <c r="FD1808" s="166"/>
      <c r="FF1808" s="307"/>
      <c r="FH1808" s="306"/>
      <c r="FJ1808" s="307"/>
      <c r="FK1808" s="307"/>
      <c r="FL1808" s="306"/>
      <c r="FM1808" s="307"/>
      <c r="FN1808" s="306"/>
      <c r="FO1808" s="307"/>
      <c r="FP1808" s="306"/>
    </row>
    <row r="1809" spans="159:172">
      <c r="FC1809" s="307"/>
      <c r="FD1809" s="166"/>
      <c r="FF1809" s="307"/>
      <c r="FH1809" s="306"/>
      <c r="FJ1809" s="307"/>
      <c r="FK1809" s="307"/>
      <c r="FL1809" s="306"/>
      <c r="FM1809" s="307"/>
      <c r="FN1809" s="306"/>
      <c r="FO1809" s="307"/>
      <c r="FP1809" s="306"/>
    </row>
    <row r="1810" spans="159:172">
      <c r="FC1810" s="307"/>
      <c r="FD1810" s="166"/>
      <c r="FF1810" s="307"/>
      <c r="FH1810" s="306"/>
      <c r="FJ1810" s="307"/>
      <c r="FK1810" s="307"/>
      <c r="FL1810" s="306"/>
      <c r="FM1810" s="307"/>
      <c r="FN1810" s="306"/>
      <c r="FO1810" s="307"/>
      <c r="FP1810" s="306"/>
    </row>
    <row r="1811" spans="159:172">
      <c r="FC1811" s="307"/>
      <c r="FD1811" s="166"/>
      <c r="FF1811" s="307"/>
      <c r="FH1811" s="306"/>
      <c r="FJ1811" s="307"/>
      <c r="FK1811" s="307"/>
      <c r="FL1811" s="306"/>
      <c r="FM1811" s="307"/>
      <c r="FN1811" s="306"/>
      <c r="FO1811" s="307"/>
      <c r="FP1811" s="306"/>
    </row>
    <row r="1812" spans="159:172">
      <c r="FC1812" s="307"/>
      <c r="FD1812" s="166"/>
      <c r="FF1812" s="307"/>
      <c r="FH1812" s="306"/>
      <c r="FJ1812" s="307"/>
      <c r="FK1812" s="307"/>
      <c r="FL1812" s="306"/>
      <c r="FM1812" s="307"/>
      <c r="FN1812" s="306"/>
      <c r="FO1812" s="307"/>
      <c r="FP1812" s="306"/>
    </row>
    <row r="1813" spans="159:172">
      <c r="FC1813" s="307"/>
      <c r="FD1813" s="166"/>
      <c r="FF1813" s="307"/>
      <c r="FH1813" s="306"/>
      <c r="FJ1813" s="307"/>
      <c r="FK1813" s="307"/>
      <c r="FL1813" s="306"/>
      <c r="FM1813" s="307"/>
      <c r="FN1813" s="306"/>
      <c r="FO1813" s="307"/>
      <c r="FP1813" s="306"/>
    </row>
    <row r="1814" spans="159:172">
      <c r="FC1814" s="307"/>
      <c r="FD1814" s="166"/>
      <c r="FF1814" s="307"/>
      <c r="FH1814" s="306"/>
      <c r="FJ1814" s="307"/>
      <c r="FK1814" s="307"/>
      <c r="FL1814" s="306"/>
      <c r="FM1814" s="307"/>
      <c r="FN1814" s="306"/>
      <c r="FO1814" s="307"/>
      <c r="FP1814" s="306"/>
    </row>
    <row r="1815" spans="159:172">
      <c r="FC1815" s="307"/>
      <c r="FD1815" s="166"/>
      <c r="FF1815" s="307"/>
      <c r="FH1815" s="306"/>
      <c r="FJ1815" s="307"/>
      <c r="FK1815" s="307"/>
      <c r="FL1815" s="306"/>
      <c r="FM1815" s="307"/>
      <c r="FN1815" s="306"/>
      <c r="FO1815" s="307"/>
      <c r="FP1815" s="306"/>
    </row>
    <row r="1816" spans="159:172">
      <c r="FC1816" s="307"/>
      <c r="FD1816" s="166"/>
      <c r="FF1816" s="307"/>
      <c r="FH1816" s="306"/>
      <c r="FJ1816" s="307"/>
      <c r="FK1816" s="307"/>
      <c r="FL1816" s="306"/>
      <c r="FM1816" s="307"/>
      <c r="FN1816" s="306"/>
      <c r="FO1816" s="307"/>
      <c r="FP1816" s="306"/>
    </row>
    <row r="1817" spans="159:172">
      <c r="FC1817" s="307"/>
      <c r="FD1817" s="166"/>
      <c r="FF1817" s="307"/>
      <c r="FH1817" s="306"/>
      <c r="FJ1817" s="307"/>
      <c r="FK1817" s="307"/>
      <c r="FL1817" s="306"/>
      <c r="FM1817" s="307"/>
      <c r="FN1817" s="306"/>
      <c r="FO1817" s="307"/>
      <c r="FP1817" s="306"/>
    </row>
    <row r="1818" spans="159:172">
      <c r="FC1818" s="307"/>
      <c r="FD1818" s="166"/>
      <c r="FF1818" s="307"/>
      <c r="FH1818" s="306"/>
      <c r="FJ1818" s="307"/>
      <c r="FK1818" s="307"/>
      <c r="FL1818" s="306"/>
      <c r="FM1818" s="307"/>
      <c r="FN1818" s="306"/>
      <c r="FO1818" s="307"/>
      <c r="FP1818" s="306"/>
    </row>
    <row r="1819" spans="159:172">
      <c r="FC1819" s="307"/>
      <c r="FD1819" s="166"/>
      <c r="FF1819" s="307"/>
      <c r="FH1819" s="306"/>
      <c r="FJ1819" s="307"/>
      <c r="FK1819" s="307"/>
      <c r="FL1819" s="306"/>
      <c r="FM1819" s="307"/>
      <c r="FN1819" s="306"/>
      <c r="FO1819" s="307"/>
      <c r="FP1819" s="306"/>
    </row>
    <row r="1820" spans="159:172">
      <c r="FC1820" s="307"/>
      <c r="FD1820" s="166"/>
      <c r="FF1820" s="307"/>
      <c r="FH1820" s="306"/>
      <c r="FJ1820" s="307"/>
      <c r="FK1820" s="307"/>
      <c r="FL1820" s="306"/>
      <c r="FM1820" s="307"/>
      <c r="FN1820" s="306"/>
      <c r="FO1820" s="307"/>
      <c r="FP1820" s="306"/>
    </row>
    <row r="1821" spans="159:172">
      <c r="FC1821" s="307"/>
      <c r="FD1821" s="166"/>
      <c r="FF1821" s="307"/>
      <c r="FH1821" s="306"/>
      <c r="FJ1821" s="307"/>
      <c r="FK1821" s="307"/>
      <c r="FL1821" s="306"/>
      <c r="FM1821" s="307"/>
      <c r="FN1821" s="306"/>
      <c r="FO1821" s="307"/>
      <c r="FP1821" s="306"/>
    </row>
    <row r="1822" spans="159:172">
      <c r="FC1822" s="307"/>
      <c r="FD1822" s="166"/>
      <c r="FF1822" s="307"/>
      <c r="FH1822" s="306"/>
      <c r="FJ1822" s="307"/>
      <c r="FK1822" s="307"/>
      <c r="FL1822" s="306"/>
      <c r="FM1822" s="307"/>
      <c r="FN1822" s="306"/>
      <c r="FO1822" s="307"/>
      <c r="FP1822" s="306"/>
    </row>
    <row r="1823" spans="159:172">
      <c r="FC1823" s="307"/>
      <c r="FD1823" s="166"/>
      <c r="FF1823" s="307"/>
      <c r="FH1823" s="306"/>
      <c r="FJ1823" s="307"/>
      <c r="FK1823" s="307"/>
      <c r="FL1823" s="306"/>
      <c r="FM1823" s="307"/>
      <c r="FN1823" s="306"/>
      <c r="FO1823" s="307"/>
      <c r="FP1823" s="306"/>
    </row>
    <row r="1824" spans="159:172">
      <c r="FC1824" s="307"/>
      <c r="FD1824" s="166"/>
      <c r="FF1824" s="307"/>
      <c r="FH1824" s="306"/>
      <c r="FJ1824" s="307"/>
      <c r="FK1824" s="307"/>
      <c r="FL1824" s="306"/>
      <c r="FM1824" s="307"/>
      <c r="FN1824" s="306"/>
      <c r="FO1824" s="307"/>
      <c r="FP1824" s="306"/>
    </row>
    <row r="1825" spans="159:172">
      <c r="FC1825" s="307"/>
      <c r="FD1825" s="166"/>
      <c r="FF1825" s="307"/>
      <c r="FH1825" s="306"/>
      <c r="FJ1825" s="307"/>
      <c r="FK1825" s="307"/>
      <c r="FL1825" s="306"/>
      <c r="FM1825" s="307"/>
      <c r="FN1825" s="306"/>
      <c r="FO1825" s="307"/>
      <c r="FP1825" s="306"/>
    </row>
    <row r="1826" spans="159:172">
      <c r="FC1826" s="307"/>
      <c r="FD1826" s="166"/>
      <c r="FF1826" s="307"/>
      <c r="FH1826" s="306"/>
      <c r="FJ1826" s="307"/>
      <c r="FK1826" s="307"/>
      <c r="FL1826" s="306"/>
      <c r="FM1826" s="307"/>
      <c r="FN1826" s="306"/>
      <c r="FO1826" s="307"/>
      <c r="FP1826" s="306"/>
    </row>
    <row r="1827" spans="159:172">
      <c r="FC1827" s="307"/>
      <c r="FD1827" s="166"/>
      <c r="FF1827" s="307"/>
      <c r="FH1827" s="306"/>
      <c r="FJ1827" s="307"/>
      <c r="FK1827" s="307"/>
      <c r="FL1827" s="306"/>
      <c r="FM1827" s="307"/>
      <c r="FN1827" s="306"/>
      <c r="FO1827" s="307"/>
      <c r="FP1827" s="306"/>
    </row>
    <row r="1828" spans="159:172">
      <c r="FC1828" s="307"/>
      <c r="FD1828" s="166"/>
      <c r="FF1828" s="307"/>
      <c r="FH1828" s="306"/>
      <c r="FJ1828" s="307"/>
      <c r="FK1828" s="307"/>
      <c r="FL1828" s="306"/>
      <c r="FM1828" s="307"/>
      <c r="FN1828" s="306"/>
      <c r="FO1828" s="307"/>
      <c r="FP1828" s="306"/>
    </row>
    <row r="1829" spans="159:172">
      <c r="FC1829" s="307"/>
      <c r="FD1829" s="166"/>
      <c r="FF1829" s="307"/>
      <c r="FH1829" s="306"/>
      <c r="FJ1829" s="307"/>
      <c r="FK1829" s="307"/>
      <c r="FL1829" s="306"/>
      <c r="FM1829" s="307"/>
      <c r="FN1829" s="306"/>
      <c r="FO1829" s="307"/>
      <c r="FP1829" s="306"/>
    </row>
    <row r="1830" spans="159:172">
      <c r="FC1830" s="307"/>
      <c r="FD1830" s="166"/>
      <c r="FF1830" s="307"/>
      <c r="FH1830" s="306"/>
      <c r="FJ1830" s="307"/>
      <c r="FK1830" s="307"/>
      <c r="FL1830" s="306"/>
      <c r="FM1830" s="307"/>
      <c r="FN1830" s="306"/>
      <c r="FO1830" s="307"/>
      <c r="FP1830" s="306"/>
    </row>
    <row r="1831" spans="159:172">
      <c r="FC1831" s="307"/>
      <c r="FD1831" s="166"/>
      <c r="FF1831" s="307"/>
      <c r="FH1831" s="306"/>
      <c r="FJ1831" s="307"/>
      <c r="FK1831" s="307"/>
      <c r="FL1831" s="306"/>
      <c r="FM1831" s="307"/>
      <c r="FN1831" s="306"/>
      <c r="FO1831" s="307"/>
      <c r="FP1831" s="306"/>
    </row>
    <row r="1832" spans="159:172">
      <c r="FC1832" s="307"/>
      <c r="FD1832" s="166"/>
      <c r="FF1832" s="307"/>
      <c r="FH1832" s="306"/>
      <c r="FJ1832" s="307"/>
      <c r="FK1832" s="307"/>
      <c r="FL1832" s="306"/>
      <c r="FM1832" s="307"/>
      <c r="FN1832" s="306"/>
      <c r="FO1832" s="307"/>
      <c r="FP1832" s="306"/>
    </row>
    <row r="1833" spans="159:172">
      <c r="FC1833" s="307"/>
      <c r="FD1833" s="166"/>
      <c r="FF1833" s="307"/>
      <c r="FH1833" s="306"/>
      <c r="FJ1833" s="307"/>
      <c r="FK1833" s="307"/>
      <c r="FL1833" s="306"/>
      <c r="FM1833" s="307"/>
      <c r="FN1833" s="306"/>
      <c r="FO1833" s="307"/>
      <c r="FP1833" s="306"/>
    </row>
    <row r="1834" spans="159:172">
      <c r="FC1834" s="307"/>
      <c r="FD1834" s="166"/>
      <c r="FF1834" s="307"/>
      <c r="FH1834" s="306"/>
      <c r="FJ1834" s="307"/>
      <c r="FK1834" s="307"/>
      <c r="FL1834" s="306"/>
      <c r="FM1834" s="307"/>
      <c r="FN1834" s="306"/>
      <c r="FO1834" s="307"/>
      <c r="FP1834" s="306"/>
    </row>
    <row r="1835" spans="159:172">
      <c r="FC1835" s="307"/>
      <c r="FD1835" s="166"/>
      <c r="FF1835" s="307"/>
      <c r="FH1835" s="306"/>
      <c r="FJ1835" s="307"/>
      <c r="FK1835" s="307"/>
      <c r="FL1835" s="306"/>
      <c r="FM1835" s="307"/>
      <c r="FN1835" s="306"/>
      <c r="FO1835" s="307"/>
      <c r="FP1835" s="306"/>
    </row>
    <row r="1836" spans="159:172">
      <c r="FC1836" s="307"/>
      <c r="FD1836" s="166"/>
      <c r="FF1836" s="307"/>
      <c r="FH1836" s="306"/>
      <c r="FJ1836" s="307"/>
      <c r="FK1836" s="307"/>
      <c r="FL1836" s="306"/>
      <c r="FM1836" s="307"/>
      <c r="FN1836" s="306"/>
      <c r="FO1836" s="307"/>
      <c r="FP1836" s="306"/>
    </row>
    <row r="1837" spans="159:172">
      <c r="FC1837" s="307"/>
      <c r="FD1837" s="166"/>
      <c r="FF1837" s="307"/>
      <c r="FH1837" s="306"/>
      <c r="FJ1837" s="307"/>
      <c r="FK1837" s="307"/>
      <c r="FL1837" s="306"/>
      <c r="FM1837" s="307"/>
      <c r="FN1837" s="306"/>
      <c r="FO1837" s="307"/>
      <c r="FP1837" s="306"/>
    </row>
    <row r="1838" spans="159:172">
      <c r="FC1838" s="307"/>
      <c r="FD1838" s="166"/>
      <c r="FF1838" s="307"/>
      <c r="FH1838" s="306"/>
      <c r="FJ1838" s="307"/>
      <c r="FK1838" s="307"/>
      <c r="FL1838" s="306"/>
      <c r="FM1838" s="307"/>
      <c r="FN1838" s="306"/>
      <c r="FO1838" s="307"/>
      <c r="FP1838" s="306"/>
    </row>
    <row r="1839" spans="159:172">
      <c r="FC1839" s="307"/>
      <c r="FD1839" s="166"/>
      <c r="FF1839" s="307"/>
      <c r="FH1839" s="306"/>
      <c r="FJ1839" s="307"/>
      <c r="FK1839" s="307"/>
      <c r="FL1839" s="306"/>
      <c r="FM1839" s="307"/>
      <c r="FN1839" s="306"/>
      <c r="FO1839" s="307"/>
      <c r="FP1839" s="306"/>
    </row>
    <row r="1840" spans="159:172">
      <c r="FC1840" s="307"/>
      <c r="FD1840" s="166"/>
      <c r="FF1840" s="307"/>
      <c r="FH1840" s="306"/>
      <c r="FJ1840" s="307"/>
      <c r="FK1840" s="307"/>
      <c r="FL1840" s="306"/>
      <c r="FM1840" s="307"/>
      <c r="FN1840" s="306"/>
      <c r="FO1840" s="307"/>
      <c r="FP1840" s="306"/>
    </row>
    <row r="1841" spans="159:172">
      <c r="FC1841" s="307"/>
      <c r="FD1841" s="166"/>
      <c r="FF1841" s="307"/>
      <c r="FH1841" s="306"/>
      <c r="FJ1841" s="307"/>
      <c r="FK1841" s="307"/>
      <c r="FL1841" s="306"/>
      <c r="FM1841" s="307"/>
      <c r="FN1841" s="306"/>
      <c r="FO1841" s="307"/>
      <c r="FP1841" s="306"/>
    </row>
    <row r="1842" spans="159:172">
      <c r="FC1842" s="307"/>
      <c r="FD1842" s="166"/>
      <c r="FF1842" s="307"/>
      <c r="FH1842" s="306"/>
      <c r="FJ1842" s="307"/>
      <c r="FK1842" s="307"/>
      <c r="FL1842" s="306"/>
      <c r="FM1842" s="307"/>
      <c r="FN1842" s="306"/>
      <c r="FO1842" s="307"/>
      <c r="FP1842" s="306"/>
    </row>
    <row r="1843" spans="159:172">
      <c r="FC1843" s="307"/>
      <c r="FD1843" s="166"/>
      <c r="FF1843" s="307"/>
      <c r="FH1843" s="306"/>
      <c r="FJ1843" s="307"/>
      <c r="FK1843" s="307"/>
      <c r="FL1843" s="306"/>
      <c r="FM1843" s="307"/>
      <c r="FN1843" s="306"/>
      <c r="FO1843" s="307"/>
      <c r="FP1843" s="306"/>
    </row>
    <row r="1844" spans="159:172">
      <c r="FC1844" s="307"/>
      <c r="FD1844" s="166"/>
      <c r="FF1844" s="307"/>
      <c r="FH1844" s="306"/>
      <c r="FJ1844" s="307"/>
      <c r="FK1844" s="307"/>
      <c r="FL1844" s="306"/>
      <c r="FM1844" s="307"/>
      <c r="FN1844" s="306"/>
      <c r="FO1844" s="307"/>
      <c r="FP1844" s="306"/>
    </row>
    <row r="1845" spans="159:172">
      <c r="FC1845" s="307"/>
      <c r="FD1845" s="166"/>
      <c r="FF1845" s="307"/>
      <c r="FH1845" s="306"/>
      <c r="FJ1845" s="307"/>
      <c r="FK1845" s="307"/>
      <c r="FL1845" s="306"/>
      <c r="FM1845" s="307"/>
      <c r="FN1845" s="306"/>
      <c r="FO1845" s="307"/>
      <c r="FP1845" s="306"/>
    </row>
    <row r="1846" spans="159:172">
      <c r="FC1846" s="307"/>
      <c r="FD1846" s="166"/>
      <c r="FF1846" s="307"/>
      <c r="FH1846" s="306"/>
      <c r="FJ1846" s="307"/>
      <c r="FK1846" s="307"/>
      <c r="FL1846" s="306"/>
      <c r="FM1846" s="307"/>
      <c r="FN1846" s="306"/>
      <c r="FO1846" s="307"/>
      <c r="FP1846" s="306"/>
    </row>
    <row r="1847" spans="159:172">
      <c r="FC1847" s="307"/>
      <c r="FD1847" s="166"/>
      <c r="FF1847" s="307"/>
      <c r="FH1847" s="306"/>
      <c r="FJ1847" s="307"/>
      <c r="FK1847" s="307"/>
      <c r="FL1847" s="306"/>
      <c r="FM1847" s="307"/>
      <c r="FN1847" s="306"/>
      <c r="FO1847" s="307"/>
      <c r="FP1847" s="306"/>
    </row>
    <row r="1848" spans="159:172">
      <c r="FC1848" s="307"/>
      <c r="FD1848" s="166"/>
      <c r="FF1848" s="307"/>
      <c r="FH1848" s="306"/>
      <c r="FJ1848" s="307"/>
      <c r="FK1848" s="307"/>
      <c r="FL1848" s="306"/>
      <c r="FM1848" s="307"/>
      <c r="FN1848" s="306"/>
      <c r="FO1848" s="307"/>
      <c r="FP1848" s="306"/>
    </row>
    <row r="1849" spans="159:172">
      <c r="FC1849" s="307"/>
      <c r="FD1849" s="166"/>
      <c r="FF1849" s="307"/>
      <c r="FH1849" s="306"/>
      <c r="FJ1849" s="307"/>
      <c r="FK1849" s="307"/>
      <c r="FL1849" s="306"/>
      <c r="FM1849" s="307"/>
      <c r="FN1849" s="306"/>
      <c r="FO1849" s="307"/>
      <c r="FP1849" s="306"/>
    </row>
    <row r="1850" spans="159:172">
      <c r="FC1850" s="307"/>
      <c r="FD1850" s="166"/>
      <c r="FF1850" s="307"/>
      <c r="FH1850" s="306"/>
      <c r="FJ1850" s="307"/>
      <c r="FK1850" s="307"/>
      <c r="FL1850" s="306"/>
      <c r="FM1850" s="307"/>
      <c r="FN1850" s="306"/>
      <c r="FO1850" s="307"/>
      <c r="FP1850" s="306"/>
    </row>
    <row r="1851" spans="159:172">
      <c r="FC1851" s="307"/>
      <c r="FD1851" s="166"/>
      <c r="FF1851" s="307"/>
      <c r="FH1851" s="306"/>
      <c r="FJ1851" s="307"/>
      <c r="FK1851" s="307"/>
      <c r="FL1851" s="306"/>
      <c r="FM1851" s="307"/>
      <c r="FN1851" s="306"/>
      <c r="FO1851" s="307"/>
      <c r="FP1851" s="306"/>
    </row>
    <row r="1852" spans="159:172">
      <c r="FC1852" s="307"/>
      <c r="FD1852" s="166"/>
      <c r="FF1852" s="307"/>
      <c r="FH1852" s="306"/>
      <c r="FJ1852" s="307"/>
      <c r="FK1852" s="307"/>
      <c r="FL1852" s="306"/>
      <c r="FM1852" s="307"/>
      <c r="FN1852" s="306"/>
      <c r="FO1852" s="307"/>
      <c r="FP1852" s="306"/>
    </row>
    <row r="1853" spans="159:172">
      <c r="FC1853" s="307"/>
      <c r="FD1853" s="166"/>
      <c r="FF1853" s="307"/>
      <c r="FH1853" s="306"/>
      <c r="FJ1853" s="307"/>
      <c r="FK1853" s="307"/>
      <c r="FL1853" s="306"/>
      <c r="FM1853" s="307"/>
      <c r="FN1853" s="306"/>
      <c r="FO1853" s="307"/>
      <c r="FP1853" s="306"/>
    </row>
    <row r="1854" spans="159:172">
      <c r="FC1854" s="307"/>
      <c r="FD1854" s="166"/>
      <c r="FF1854" s="307"/>
      <c r="FH1854" s="306"/>
      <c r="FJ1854" s="307"/>
      <c r="FK1854" s="307"/>
      <c r="FL1854" s="306"/>
      <c r="FM1854" s="307"/>
      <c r="FN1854" s="306"/>
      <c r="FO1854" s="307"/>
      <c r="FP1854" s="306"/>
    </row>
    <row r="1855" spans="159:172">
      <c r="FC1855" s="307"/>
      <c r="FD1855" s="166"/>
      <c r="FF1855" s="307"/>
      <c r="FH1855" s="306"/>
      <c r="FJ1855" s="307"/>
      <c r="FK1855" s="307"/>
      <c r="FL1855" s="306"/>
      <c r="FM1855" s="307"/>
      <c r="FN1855" s="306"/>
      <c r="FO1855" s="307"/>
      <c r="FP1855" s="306"/>
    </row>
    <row r="1856" spans="159:172">
      <c r="FC1856" s="307"/>
      <c r="FD1856" s="166"/>
      <c r="FF1856" s="307"/>
      <c r="FH1856" s="306"/>
      <c r="FJ1856" s="307"/>
      <c r="FK1856" s="307"/>
      <c r="FL1856" s="306"/>
      <c r="FM1856" s="307"/>
      <c r="FN1856" s="306"/>
      <c r="FO1856" s="307"/>
      <c r="FP1856" s="306"/>
    </row>
    <row r="1857" spans="159:172">
      <c r="FC1857" s="307"/>
      <c r="FD1857" s="166"/>
      <c r="FF1857" s="307"/>
      <c r="FH1857" s="306"/>
      <c r="FJ1857" s="307"/>
      <c r="FK1857" s="307"/>
      <c r="FL1857" s="306"/>
      <c r="FM1857" s="307"/>
      <c r="FN1857" s="306"/>
      <c r="FO1857" s="307"/>
      <c r="FP1857" s="306"/>
    </row>
    <row r="1858" spans="159:172">
      <c r="FC1858" s="307"/>
      <c r="FD1858" s="166"/>
      <c r="FF1858" s="307"/>
      <c r="FH1858" s="306"/>
      <c r="FJ1858" s="307"/>
      <c r="FK1858" s="307"/>
      <c r="FL1858" s="306"/>
      <c r="FM1858" s="307"/>
      <c r="FN1858" s="306"/>
      <c r="FO1858" s="307"/>
      <c r="FP1858" s="306"/>
    </row>
    <row r="1859" spans="159:172">
      <c r="FC1859" s="307"/>
      <c r="FD1859" s="166"/>
      <c r="FF1859" s="307"/>
      <c r="FH1859" s="306"/>
      <c r="FJ1859" s="307"/>
      <c r="FK1859" s="307"/>
      <c r="FL1859" s="306"/>
      <c r="FM1859" s="307"/>
      <c r="FN1859" s="306"/>
      <c r="FO1859" s="307"/>
      <c r="FP1859" s="306"/>
    </row>
    <row r="1860" spans="159:172">
      <c r="FC1860" s="307"/>
      <c r="FD1860" s="166"/>
      <c r="FF1860" s="307"/>
      <c r="FH1860" s="306"/>
      <c r="FJ1860" s="307"/>
      <c r="FK1860" s="307"/>
      <c r="FL1860" s="306"/>
      <c r="FM1860" s="307"/>
      <c r="FN1860" s="306"/>
      <c r="FO1860" s="307"/>
      <c r="FP1860" s="306"/>
    </row>
    <row r="1861" spans="159:172">
      <c r="FC1861" s="307"/>
      <c r="FD1861" s="166"/>
      <c r="FF1861" s="307"/>
      <c r="FH1861" s="306"/>
      <c r="FJ1861" s="307"/>
      <c r="FK1861" s="307"/>
      <c r="FL1861" s="306"/>
      <c r="FM1861" s="307"/>
      <c r="FN1861" s="306"/>
      <c r="FO1861" s="307"/>
      <c r="FP1861" s="306"/>
    </row>
    <row r="1862" spans="159:172">
      <c r="FC1862" s="307"/>
      <c r="FD1862" s="166"/>
      <c r="FF1862" s="307"/>
      <c r="FH1862" s="306"/>
      <c r="FJ1862" s="307"/>
      <c r="FK1862" s="307"/>
      <c r="FL1862" s="306"/>
      <c r="FM1862" s="307"/>
      <c r="FN1862" s="306"/>
      <c r="FO1862" s="307"/>
      <c r="FP1862" s="306"/>
    </row>
    <row r="1863" spans="159:172">
      <c r="FC1863" s="307"/>
      <c r="FD1863" s="166"/>
      <c r="FF1863" s="307"/>
      <c r="FH1863" s="306"/>
      <c r="FJ1863" s="307"/>
      <c r="FK1863" s="307"/>
      <c r="FL1863" s="306"/>
      <c r="FM1863" s="307"/>
      <c r="FN1863" s="306"/>
      <c r="FO1863" s="307"/>
      <c r="FP1863" s="306"/>
    </row>
    <row r="1864" spans="159:172">
      <c r="FC1864" s="307"/>
      <c r="FD1864" s="166"/>
      <c r="FF1864" s="307"/>
      <c r="FH1864" s="306"/>
      <c r="FJ1864" s="307"/>
      <c r="FK1864" s="307"/>
      <c r="FL1864" s="306"/>
      <c r="FM1864" s="307"/>
      <c r="FN1864" s="306"/>
      <c r="FO1864" s="307"/>
      <c r="FP1864" s="306"/>
    </row>
    <row r="1865" spans="159:172">
      <c r="FC1865" s="307"/>
      <c r="FD1865" s="166"/>
      <c r="FF1865" s="307"/>
      <c r="FH1865" s="306"/>
      <c r="FJ1865" s="307"/>
      <c r="FK1865" s="307"/>
      <c r="FL1865" s="306"/>
      <c r="FM1865" s="307"/>
      <c r="FN1865" s="306"/>
      <c r="FO1865" s="307"/>
      <c r="FP1865" s="306"/>
    </row>
    <row r="1866" spans="159:172">
      <c r="FC1866" s="307"/>
      <c r="FD1866" s="166"/>
      <c r="FF1866" s="307"/>
      <c r="FH1866" s="306"/>
      <c r="FJ1866" s="307"/>
      <c r="FK1866" s="307"/>
      <c r="FL1866" s="306"/>
      <c r="FM1866" s="307"/>
      <c r="FN1866" s="306"/>
      <c r="FO1866" s="307"/>
      <c r="FP1866" s="306"/>
    </row>
    <row r="1867" spans="159:172">
      <c r="FC1867" s="307"/>
      <c r="FD1867" s="166"/>
      <c r="FF1867" s="307"/>
      <c r="FH1867" s="306"/>
      <c r="FJ1867" s="307"/>
      <c r="FK1867" s="307"/>
      <c r="FL1867" s="306"/>
      <c r="FM1867" s="307"/>
      <c r="FN1867" s="306"/>
      <c r="FO1867" s="307"/>
      <c r="FP1867" s="306"/>
    </row>
    <row r="1868" spans="159:172">
      <c r="FC1868" s="307"/>
      <c r="FD1868" s="166"/>
      <c r="FF1868" s="307"/>
      <c r="FH1868" s="306"/>
      <c r="FJ1868" s="307"/>
      <c r="FK1868" s="307"/>
      <c r="FL1868" s="306"/>
      <c r="FM1868" s="307"/>
      <c r="FN1868" s="306"/>
      <c r="FO1868" s="307"/>
      <c r="FP1868" s="306"/>
    </row>
    <row r="1869" spans="159:172">
      <c r="FC1869" s="307"/>
      <c r="FD1869" s="166"/>
      <c r="FF1869" s="307"/>
      <c r="FH1869" s="306"/>
      <c r="FJ1869" s="307"/>
      <c r="FK1869" s="307"/>
      <c r="FL1869" s="306"/>
      <c r="FM1869" s="307"/>
      <c r="FN1869" s="306"/>
      <c r="FO1869" s="307"/>
      <c r="FP1869" s="306"/>
    </row>
    <row r="1870" spans="159:172">
      <c r="FC1870" s="307"/>
      <c r="FD1870" s="166"/>
      <c r="FF1870" s="307"/>
      <c r="FH1870" s="306"/>
      <c r="FJ1870" s="307"/>
      <c r="FK1870" s="307"/>
      <c r="FL1870" s="306"/>
      <c r="FM1870" s="307"/>
      <c r="FN1870" s="306"/>
      <c r="FO1870" s="307"/>
      <c r="FP1870" s="306"/>
    </row>
    <row r="1871" spans="159:172">
      <c r="FC1871" s="307"/>
      <c r="FD1871" s="166"/>
      <c r="FF1871" s="307"/>
      <c r="FH1871" s="306"/>
      <c r="FJ1871" s="307"/>
      <c r="FK1871" s="307"/>
      <c r="FL1871" s="306"/>
      <c r="FM1871" s="307"/>
      <c r="FN1871" s="306"/>
      <c r="FO1871" s="307"/>
      <c r="FP1871" s="306"/>
    </row>
    <row r="1872" spans="159:172">
      <c r="FC1872" s="307"/>
      <c r="FD1872" s="166"/>
      <c r="FF1872" s="307"/>
      <c r="FH1872" s="306"/>
      <c r="FJ1872" s="307"/>
      <c r="FK1872" s="307"/>
      <c r="FL1872" s="306"/>
      <c r="FM1872" s="307"/>
      <c r="FN1872" s="306"/>
      <c r="FO1872" s="307"/>
      <c r="FP1872" s="306"/>
    </row>
    <row r="1873" spans="159:172">
      <c r="FC1873" s="307"/>
      <c r="FD1873" s="166"/>
      <c r="FF1873" s="307"/>
      <c r="FH1873" s="306"/>
      <c r="FJ1873" s="307"/>
      <c r="FK1873" s="307"/>
      <c r="FL1873" s="306"/>
      <c r="FM1873" s="307"/>
      <c r="FN1873" s="306"/>
      <c r="FO1873" s="307"/>
      <c r="FP1873" s="306"/>
    </row>
    <row r="1874" spans="159:172">
      <c r="FC1874" s="307"/>
      <c r="FD1874" s="166"/>
      <c r="FF1874" s="307"/>
      <c r="FH1874" s="306"/>
      <c r="FJ1874" s="307"/>
      <c r="FK1874" s="307"/>
      <c r="FL1874" s="306"/>
      <c r="FM1874" s="307"/>
      <c r="FN1874" s="306"/>
      <c r="FO1874" s="307"/>
      <c r="FP1874" s="306"/>
    </row>
    <row r="1875" spans="159:172">
      <c r="FC1875" s="307"/>
      <c r="FD1875" s="166"/>
      <c r="FF1875" s="307"/>
      <c r="FH1875" s="306"/>
      <c r="FJ1875" s="307"/>
      <c r="FK1875" s="307"/>
      <c r="FL1875" s="306"/>
      <c r="FM1875" s="307"/>
      <c r="FN1875" s="306"/>
      <c r="FO1875" s="307"/>
      <c r="FP1875" s="306"/>
    </row>
    <row r="1876" spans="159:172">
      <c r="FC1876" s="307"/>
      <c r="FD1876" s="166"/>
      <c r="FF1876" s="307"/>
      <c r="FH1876" s="306"/>
      <c r="FJ1876" s="307"/>
      <c r="FK1876" s="307"/>
      <c r="FL1876" s="306"/>
      <c r="FM1876" s="307"/>
      <c r="FN1876" s="306"/>
      <c r="FO1876" s="307"/>
      <c r="FP1876" s="306"/>
    </row>
    <row r="1877" spans="159:172">
      <c r="FC1877" s="307"/>
      <c r="FD1877" s="166"/>
      <c r="FF1877" s="307"/>
      <c r="FH1877" s="306"/>
      <c r="FJ1877" s="307"/>
      <c r="FK1877" s="307"/>
      <c r="FL1877" s="306"/>
      <c r="FM1877" s="307"/>
      <c r="FN1877" s="306"/>
      <c r="FO1877" s="307"/>
      <c r="FP1877" s="306"/>
    </row>
    <row r="1878" spans="159:172">
      <c r="FC1878" s="307"/>
      <c r="FD1878" s="166"/>
      <c r="FF1878" s="307"/>
      <c r="FH1878" s="306"/>
      <c r="FJ1878" s="307"/>
      <c r="FK1878" s="307"/>
      <c r="FL1878" s="306"/>
      <c r="FM1878" s="307"/>
      <c r="FN1878" s="306"/>
      <c r="FO1878" s="307"/>
      <c r="FP1878" s="306"/>
    </row>
    <row r="1879" spans="159:172">
      <c r="FC1879" s="307"/>
      <c r="FD1879" s="166"/>
      <c r="FF1879" s="307"/>
      <c r="FH1879" s="306"/>
      <c r="FJ1879" s="307"/>
      <c r="FK1879" s="307"/>
      <c r="FL1879" s="306"/>
      <c r="FM1879" s="307"/>
      <c r="FN1879" s="306"/>
      <c r="FO1879" s="307"/>
      <c r="FP1879" s="306"/>
    </row>
    <row r="1880" spans="159:172">
      <c r="FC1880" s="307"/>
      <c r="FD1880" s="166"/>
      <c r="FF1880" s="307"/>
      <c r="FH1880" s="306"/>
      <c r="FJ1880" s="307"/>
      <c r="FK1880" s="307"/>
      <c r="FL1880" s="306"/>
      <c r="FM1880" s="307"/>
      <c r="FN1880" s="306"/>
      <c r="FO1880" s="307"/>
      <c r="FP1880" s="306"/>
    </row>
    <row r="1881" spans="159:172">
      <c r="FC1881" s="307"/>
      <c r="FD1881" s="166"/>
      <c r="FF1881" s="307"/>
      <c r="FH1881" s="306"/>
      <c r="FJ1881" s="307"/>
      <c r="FK1881" s="307"/>
      <c r="FL1881" s="306"/>
      <c r="FM1881" s="307"/>
      <c r="FN1881" s="306"/>
      <c r="FO1881" s="307"/>
      <c r="FP1881" s="306"/>
    </row>
    <row r="1882" spans="159:172">
      <c r="FC1882" s="307"/>
      <c r="FD1882" s="166"/>
      <c r="FF1882" s="307"/>
      <c r="FH1882" s="306"/>
      <c r="FJ1882" s="307"/>
      <c r="FK1882" s="307"/>
      <c r="FL1882" s="306"/>
      <c r="FM1882" s="307"/>
      <c r="FN1882" s="306"/>
      <c r="FO1882" s="307"/>
      <c r="FP1882" s="306"/>
    </row>
    <row r="1883" spans="159:172">
      <c r="FC1883" s="307"/>
      <c r="FD1883" s="166"/>
      <c r="FF1883" s="307"/>
      <c r="FH1883" s="306"/>
      <c r="FJ1883" s="307"/>
      <c r="FK1883" s="307"/>
      <c r="FL1883" s="306"/>
      <c r="FM1883" s="307"/>
      <c r="FN1883" s="306"/>
      <c r="FO1883" s="307"/>
      <c r="FP1883" s="306"/>
    </row>
    <row r="1884" spans="159:172">
      <c r="FC1884" s="307"/>
      <c r="FD1884" s="166"/>
      <c r="FF1884" s="307"/>
      <c r="FH1884" s="306"/>
      <c r="FJ1884" s="307"/>
      <c r="FK1884" s="307"/>
      <c r="FL1884" s="306"/>
      <c r="FM1884" s="307"/>
      <c r="FN1884" s="306"/>
      <c r="FO1884" s="307"/>
      <c r="FP1884" s="306"/>
    </row>
    <row r="1885" spans="159:172">
      <c r="FC1885" s="307"/>
      <c r="FD1885" s="166"/>
      <c r="FF1885" s="307"/>
      <c r="FH1885" s="306"/>
      <c r="FJ1885" s="307"/>
      <c r="FK1885" s="307"/>
      <c r="FL1885" s="306"/>
      <c r="FM1885" s="307"/>
      <c r="FN1885" s="306"/>
      <c r="FO1885" s="307"/>
      <c r="FP1885" s="306"/>
    </row>
    <row r="1886" spans="159:172">
      <c r="FC1886" s="307"/>
      <c r="FD1886" s="166"/>
      <c r="FF1886" s="307"/>
      <c r="FH1886" s="306"/>
      <c r="FJ1886" s="307"/>
      <c r="FK1886" s="307"/>
      <c r="FL1886" s="306"/>
      <c r="FM1886" s="307"/>
      <c r="FN1886" s="306"/>
      <c r="FO1886" s="307"/>
      <c r="FP1886" s="306"/>
    </row>
    <row r="1887" spans="159:172">
      <c r="FC1887" s="307"/>
      <c r="FD1887" s="166"/>
      <c r="FF1887" s="307"/>
      <c r="FH1887" s="306"/>
      <c r="FJ1887" s="307"/>
      <c r="FK1887" s="307"/>
      <c r="FL1887" s="306"/>
      <c r="FM1887" s="307"/>
      <c r="FN1887" s="306"/>
      <c r="FO1887" s="307"/>
      <c r="FP1887" s="306"/>
    </row>
    <row r="1888" spans="159:172">
      <c r="FC1888" s="307"/>
      <c r="FD1888" s="166"/>
      <c r="FF1888" s="307"/>
      <c r="FH1888" s="306"/>
      <c r="FJ1888" s="307"/>
      <c r="FK1888" s="307"/>
      <c r="FL1888" s="306"/>
      <c r="FM1888" s="307"/>
      <c r="FN1888" s="306"/>
      <c r="FO1888" s="307"/>
      <c r="FP1888" s="306"/>
    </row>
    <row r="1889" spans="159:172">
      <c r="FC1889" s="307"/>
      <c r="FD1889" s="166"/>
      <c r="FF1889" s="307"/>
      <c r="FH1889" s="306"/>
      <c r="FJ1889" s="307"/>
      <c r="FK1889" s="307"/>
      <c r="FL1889" s="306"/>
      <c r="FM1889" s="307"/>
      <c r="FN1889" s="306"/>
      <c r="FO1889" s="307"/>
      <c r="FP1889" s="306"/>
    </row>
    <row r="1890" spans="159:172">
      <c r="FC1890" s="307"/>
      <c r="FD1890" s="166"/>
      <c r="FF1890" s="307"/>
      <c r="FH1890" s="306"/>
      <c r="FJ1890" s="307"/>
      <c r="FK1890" s="307"/>
      <c r="FL1890" s="306"/>
      <c r="FM1890" s="307"/>
      <c r="FN1890" s="306"/>
      <c r="FO1890" s="307"/>
      <c r="FP1890" s="306"/>
    </row>
    <row r="1891" spans="159:172">
      <c r="FC1891" s="307"/>
      <c r="FD1891" s="166"/>
      <c r="FF1891" s="307"/>
      <c r="FH1891" s="306"/>
      <c r="FJ1891" s="307"/>
      <c r="FK1891" s="307"/>
      <c r="FL1891" s="306"/>
      <c r="FM1891" s="307"/>
      <c r="FN1891" s="306"/>
      <c r="FO1891" s="307"/>
      <c r="FP1891" s="306"/>
    </row>
    <row r="1892" spans="159:172">
      <c r="FC1892" s="307"/>
      <c r="FD1892" s="166"/>
      <c r="FF1892" s="307"/>
      <c r="FH1892" s="306"/>
      <c r="FJ1892" s="307"/>
      <c r="FK1892" s="307"/>
      <c r="FL1892" s="306"/>
      <c r="FM1892" s="307"/>
      <c r="FN1892" s="306"/>
      <c r="FO1892" s="307"/>
      <c r="FP1892" s="306"/>
    </row>
    <row r="1893" spans="159:172">
      <c r="FC1893" s="307"/>
      <c r="FD1893" s="166"/>
      <c r="FF1893" s="307"/>
      <c r="FH1893" s="306"/>
      <c r="FJ1893" s="307"/>
      <c r="FK1893" s="307"/>
      <c r="FL1893" s="306"/>
      <c r="FM1893" s="307"/>
      <c r="FN1893" s="306"/>
      <c r="FO1893" s="307"/>
      <c r="FP1893" s="306"/>
    </row>
    <row r="1894" spans="159:172">
      <c r="FC1894" s="307"/>
      <c r="FD1894" s="166"/>
      <c r="FF1894" s="307"/>
      <c r="FH1894" s="306"/>
      <c r="FJ1894" s="307"/>
      <c r="FK1894" s="307"/>
      <c r="FL1894" s="306"/>
      <c r="FM1894" s="307"/>
      <c r="FN1894" s="306"/>
      <c r="FO1894" s="307"/>
      <c r="FP1894" s="306"/>
    </row>
    <row r="1895" spans="159:172">
      <c r="FC1895" s="307"/>
      <c r="FD1895" s="166"/>
      <c r="FF1895" s="307"/>
      <c r="FH1895" s="306"/>
      <c r="FJ1895" s="307"/>
      <c r="FK1895" s="307"/>
      <c r="FL1895" s="306"/>
      <c r="FM1895" s="307"/>
      <c r="FN1895" s="306"/>
      <c r="FO1895" s="307"/>
      <c r="FP1895" s="306"/>
    </row>
    <row r="1896" spans="159:172">
      <c r="FC1896" s="307"/>
      <c r="FD1896" s="166"/>
      <c r="FF1896" s="307"/>
      <c r="FH1896" s="306"/>
      <c r="FJ1896" s="307"/>
      <c r="FK1896" s="307"/>
      <c r="FL1896" s="306"/>
      <c r="FM1896" s="307"/>
      <c r="FN1896" s="306"/>
      <c r="FO1896" s="307"/>
      <c r="FP1896" s="306"/>
    </row>
    <row r="1897" spans="159:172">
      <c r="FC1897" s="307"/>
      <c r="FD1897" s="166"/>
      <c r="FF1897" s="307"/>
      <c r="FH1897" s="306"/>
      <c r="FJ1897" s="307"/>
      <c r="FK1897" s="307"/>
      <c r="FL1897" s="306"/>
      <c r="FM1897" s="307"/>
      <c r="FN1897" s="306"/>
      <c r="FO1897" s="307"/>
      <c r="FP1897" s="306"/>
    </row>
    <row r="1898" spans="159:172">
      <c r="FC1898" s="307"/>
      <c r="FD1898" s="166"/>
      <c r="FF1898" s="307"/>
      <c r="FH1898" s="306"/>
      <c r="FJ1898" s="307"/>
      <c r="FK1898" s="307"/>
      <c r="FL1898" s="306"/>
      <c r="FM1898" s="307"/>
      <c r="FN1898" s="306"/>
      <c r="FO1898" s="307"/>
      <c r="FP1898" s="306"/>
    </row>
    <row r="1899" spans="159:172">
      <c r="FC1899" s="307"/>
      <c r="FD1899" s="166"/>
      <c r="FF1899" s="307"/>
      <c r="FH1899" s="306"/>
      <c r="FJ1899" s="307"/>
      <c r="FK1899" s="307"/>
      <c r="FL1899" s="306"/>
      <c r="FM1899" s="307"/>
      <c r="FN1899" s="306"/>
      <c r="FO1899" s="307"/>
      <c r="FP1899" s="306"/>
    </row>
    <row r="1900" spans="159:172">
      <c r="FC1900" s="307"/>
      <c r="FD1900" s="166"/>
      <c r="FF1900" s="307"/>
      <c r="FH1900" s="306"/>
      <c r="FJ1900" s="307"/>
      <c r="FK1900" s="307"/>
      <c r="FL1900" s="306"/>
      <c r="FM1900" s="307"/>
      <c r="FN1900" s="306"/>
      <c r="FO1900" s="307"/>
      <c r="FP1900" s="306"/>
    </row>
    <row r="1901" spans="159:172">
      <c r="FC1901" s="307"/>
      <c r="FD1901" s="166"/>
      <c r="FF1901" s="307"/>
      <c r="FH1901" s="306"/>
      <c r="FJ1901" s="307"/>
      <c r="FK1901" s="307"/>
      <c r="FL1901" s="306"/>
      <c r="FM1901" s="307"/>
      <c r="FN1901" s="306"/>
      <c r="FO1901" s="307"/>
      <c r="FP1901" s="306"/>
    </row>
    <row r="1902" spans="159:172">
      <c r="FC1902" s="307"/>
      <c r="FD1902" s="166"/>
      <c r="FF1902" s="307"/>
      <c r="FH1902" s="306"/>
      <c r="FJ1902" s="307"/>
      <c r="FK1902" s="307"/>
      <c r="FL1902" s="306"/>
      <c r="FM1902" s="307"/>
      <c r="FN1902" s="306"/>
      <c r="FO1902" s="307"/>
      <c r="FP1902" s="306"/>
    </row>
    <row r="1903" spans="159:172">
      <c r="FC1903" s="307"/>
      <c r="FD1903" s="166"/>
      <c r="FF1903" s="307"/>
      <c r="FH1903" s="306"/>
      <c r="FJ1903" s="307"/>
      <c r="FK1903" s="307"/>
      <c r="FL1903" s="306"/>
      <c r="FM1903" s="307"/>
      <c r="FN1903" s="306"/>
      <c r="FO1903" s="307"/>
      <c r="FP1903" s="306"/>
    </row>
    <row r="1904" spans="159:172">
      <c r="FC1904" s="307"/>
      <c r="FD1904" s="166"/>
      <c r="FF1904" s="307"/>
      <c r="FH1904" s="306"/>
      <c r="FJ1904" s="307"/>
      <c r="FK1904" s="307"/>
      <c r="FL1904" s="306"/>
      <c r="FM1904" s="307"/>
      <c r="FN1904" s="306"/>
      <c r="FO1904" s="307"/>
      <c r="FP1904" s="306"/>
    </row>
    <row r="1905" spans="159:172">
      <c r="FC1905" s="307"/>
      <c r="FD1905" s="166"/>
      <c r="FF1905" s="307"/>
      <c r="FH1905" s="306"/>
      <c r="FJ1905" s="307"/>
      <c r="FK1905" s="307"/>
      <c r="FL1905" s="306"/>
      <c r="FM1905" s="307"/>
      <c r="FN1905" s="306"/>
      <c r="FO1905" s="307"/>
      <c r="FP1905" s="306"/>
    </row>
    <row r="1906" spans="159:172">
      <c r="FC1906" s="307"/>
      <c r="FD1906" s="166"/>
      <c r="FF1906" s="307"/>
      <c r="FH1906" s="306"/>
      <c r="FJ1906" s="307"/>
      <c r="FK1906" s="307"/>
      <c r="FL1906" s="306"/>
      <c r="FM1906" s="307"/>
      <c r="FN1906" s="306"/>
      <c r="FO1906" s="307"/>
      <c r="FP1906" s="306"/>
    </row>
    <row r="1907" spans="159:172">
      <c r="FC1907" s="307"/>
      <c r="FD1907" s="166"/>
      <c r="FF1907" s="307"/>
      <c r="FH1907" s="306"/>
      <c r="FJ1907" s="307"/>
      <c r="FK1907" s="307"/>
      <c r="FL1907" s="306"/>
      <c r="FM1907" s="307"/>
      <c r="FN1907" s="306"/>
      <c r="FO1907" s="307"/>
      <c r="FP1907" s="306"/>
    </row>
    <row r="1908" spans="159:172">
      <c r="FC1908" s="307"/>
      <c r="FD1908" s="166"/>
      <c r="FF1908" s="307"/>
      <c r="FH1908" s="306"/>
      <c r="FJ1908" s="307"/>
      <c r="FK1908" s="307"/>
      <c r="FL1908" s="306"/>
      <c r="FM1908" s="307"/>
      <c r="FN1908" s="306"/>
      <c r="FO1908" s="307"/>
      <c r="FP1908" s="306"/>
    </row>
    <row r="1909" spans="159:172">
      <c r="FC1909" s="307"/>
      <c r="FD1909" s="166"/>
      <c r="FF1909" s="307"/>
      <c r="FH1909" s="306"/>
      <c r="FJ1909" s="307"/>
      <c r="FK1909" s="307"/>
      <c r="FL1909" s="306"/>
      <c r="FM1909" s="307"/>
      <c r="FN1909" s="306"/>
      <c r="FO1909" s="307"/>
      <c r="FP1909" s="306"/>
    </row>
    <row r="1910" spans="159:172">
      <c r="FC1910" s="307"/>
      <c r="FD1910" s="166"/>
      <c r="FF1910" s="307"/>
      <c r="FH1910" s="306"/>
      <c r="FJ1910" s="307"/>
      <c r="FK1910" s="307"/>
      <c r="FL1910" s="306"/>
      <c r="FM1910" s="307"/>
      <c r="FN1910" s="306"/>
      <c r="FO1910" s="307"/>
      <c r="FP1910" s="306"/>
    </row>
    <row r="1911" spans="159:172">
      <c r="FC1911" s="307"/>
      <c r="FD1911" s="166"/>
      <c r="FF1911" s="307"/>
      <c r="FH1911" s="306"/>
      <c r="FJ1911" s="307"/>
      <c r="FK1911" s="307"/>
      <c r="FL1911" s="306"/>
      <c r="FM1911" s="307"/>
      <c r="FN1911" s="306"/>
      <c r="FO1911" s="307"/>
      <c r="FP1911" s="306"/>
    </row>
    <row r="1912" spans="159:172">
      <c r="FC1912" s="307"/>
      <c r="FD1912" s="166"/>
      <c r="FF1912" s="307"/>
      <c r="FH1912" s="306"/>
      <c r="FJ1912" s="307"/>
      <c r="FK1912" s="307"/>
      <c r="FL1912" s="306"/>
      <c r="FM1912" s="307"/>
      <c r="FN1912" s="306"/>
      <c r="FO1912" s="307"/>
      <c r="FP1912" s="306"/>
    </row>
    <row r="1913" spans="159:172">
      <c r="FC1913" s="307"/>
      <c r="FD1913" s="166"/>
      <c r="FF1913" s="307"/>
      <c r="FH1913" s="306"/>
      <c r="FJ1913" s="307"/>
      <c r="FK1913" s="307"/>
      <c r="FL1913" s="306"/>
      <c r="FM1913" s="307"/>
      <c r="FN1913" s="306"/>
      <c r="FO1913" s="307"/>
      <c r="FP1913" s="306"/>
    </row>
    <row r="1914" spans="159:172">
      <c r="FC1914" s="307"/>
      <c r="FD1914" s="166"/>
      <c r="FF1914" s="307"/>
      <c r="FH1914" s="306"/>
      <c r="FJ1914" s="307"/>
      <c r="FK1914" s="307"/>
      <c r="FL1914" s="306"/>
      <c r="FM1914" s="307"/>
      <c r="FN1914" s="306"/>
      <c r="FO1914" s="307"/>
      <c r="FP1914" s="306"/>
    </row>
    <row r="1915" spans="159:172">
      <c r="FC1915" s="307"/>
      <c r="FD1915" s="166"/>
      <c r="FF1915" s="307"/>
      <c r="FH1915" s="306"/>
      <c r="FJ1915" s="307"/>
      <c r="FK1915" s="307"/>
      <c r="FL1915" s="306"/>
      <c r="FM1915" s="307"/>
      <c r="FN1915" s="306"/>
      <c r="FO1915" s="307"/>
      <c r="FP1915" s="306"/>
    </row>
    <row r="1916" spans="159:172">
      <c r="FC1916" s="307"/>
      <c r="FD1916" s="166"/>
      <c r="FF1916" s="307"/>
      <c r="FH1916" s="306"/>
      <c r="FJ1916" s="307"/>
      <c r="FK1916" s="307"/>
      <c r="FL1916" s="306"/>
      <c r="FM1916" s="307"/>
      <c r="FN1916" s="306"/>
      <c r="FO1916" s="307"/>
      <c r="FP1916" s="306"/>
    </row>
    <row r="1917" spans="159:172">
      <c r="FC1917" s="307"/>
      <c r="FD1917" s="166"/>
      <c r="FF1917" s="307"/>
      <c r="FH1917" s="306"/>
      <c r="FJ1917" s="307"/>
      <c r="FK1917" s="307"/>
      <c r="FL1917" s="306"/>
      <c r="FM1917" s="307"/>
      <c r="FN1917" s="306"/>
      <c r="FO1917" s="307"/>
      <c r="FP1917" s="306"/>
    </row>
    <row r="1918" spans="159:172">
      <c r="FC1918" s="307"/>
      <c r="FD1918" s="166"/>
      <c r="FF1918" s="307"/>
      <c r="FH1918" s="306"/>
      <c r="FJ1918" s="307"/>
      <c r="FK1918" s="307"/>
      <c r="FL1918" s="306"/>
      <c r="FM1918" s="307"/>
      <c r="FN1918" s="306"/>
      <c r="FO1918" s="307"/>
      <c r="FP1918" s="306"/>
    </row>
    <row r="1919" spans="159:172">
      <c r="FC1919" s="307"/>
      <c r="FD1919" s="166"/>
      <c r="FF1919" s="307"/>
      <c r="FH1919" s="306"/>
      <c r="FJ1919" s="307"/>
      <c r="FK1919" s="307"/>
      <c r="FL1919" s="306"/>
      <c r="FM1919" s="307"/>
      <c r="FN1919" s="306"/>
      <c r="FO1919" s="307"/>
      <c r="FP1919" s="306"/>
    </row>
    <row r="1920" spans="159:172">
      <c r="FC1920" s="307"/>
      <c r="FD1920" s="166"/>
      <c r="FF1920" s="307"/>
      <c r="FH1920" s="306"/>
      <c r="FJ1920" s="307"/>
      <c r="FK1920" s="307"/>
      <c r="FL1920" s="306"/>
      <c r="FM1920" s="307"/>
      <c r="FN1920" s="306"/>
      <c r="FO1920" s="307"/>
      <c r="FP1920" s="306"/>
    </row>
    <row r="1921" spans="159:172">
      <c r="FC1921" s="307"/>
      <c r="FD1921" s="166"/>
      <c r="FF1921" s="307"/>
      <c r="FH1921" s="306"/>
      <c r="FJ1921" s="307"/>
      <c r="FK1921" s="307"/>
      <c r="FL1921" s="306"/>
      <c r="FM1921" s="307"/>
      <c r="FN1921" s="306"/>
      <c r="FO1921" s="307"/>
      <c r="FP1921" s="306"/>
    </row>
    <row r="1922" spans="159:172">
      <c r="FC1922" s="307"/>
      <c r="FD1922" s="166"/>
      <c r="FF1922" s="307"/>
      <c r="FH1922" s="306"/>
      <c r="FJ1922" s="307"/>
      <c r="FK1922" s="307"/>
      <c r="FL1922" s="306"/>
      <c r="FM1922" s="307"/>
      <c r="FN1922" s="306"/>
      <c r="FO1922" s="307"/>
      <c r="FP1922" s="306"/>
    </row>
    <row r="1923" spans="159:172">
      <c r="FC1923" s="307"/>
      <c r="FD1923" s="166"/>
      <c r="FF1923" s="307"/>
      <c r="FH1923" s="306"/>
      <c r="FJ1923" s="307"/>
      <c r="FK1923" s="307"/>
      <c r="FL1923" s="306"/>
      <c r="FM1923" s="307"/>
      <c r="FN1923" s="306"/>
      <c r="FO1923" s="307"/>
      <c r="FP1923" s="306"/>
    </row>
    <row r="1924" spans="159:172">
      <c r="FC1924" s="307"/>
      <c r="FD1924" s="166"/>
      <c r="FF1924" s="307"/>
      <c r="FH1924" s="306"/>
      <c r="FJ1924" s="307"/>
      <c r="FK1924" s="307"/>
      <c r="FL1924" s="306"/>
      <c r="FM1924" s="307"/>
      <c r="FN1924" s="306"/>
      <c r="FO1924" s="307"/>
      <c r="FP1924" s="306"/>
    </row>
    <row r="1925" spans="159:172">
      <c r="FC1925" s="307"/>
      <c r="FD1925" s="166"/>
      <c r="FF1925" s="307"/>
      <c r="FH1925" s="306"/>
      <c r="FJ1925" s="307"/>
      <c r="FK1925" s="307"/>
      <c r="FL1925" s="306"/>
      <c r="FM1925" s="307"/>
      <c r="FN1925" s="306"/>
      <c r="FO1925" s="307"/>
      <c r="FP1925" s="306"/>
    </row>
    <row r="1926" spans="159:172">
      <c r="FC1926" s="307"/>
      <c r="FD1926" s="166"/>
      <c r="FF1926" s="307"/>
      <c r="FH1926" s="306"/>
      <c r="FJ1926" s="307"/>
      <c r="FK1926" s="307"/>
      <c r="FL1926" s="306"/>
      <c r="FM1926" s="307"/>
      <c r="FN1926" s="306"/>
      <c r="FO1926" s="307"/>
      <c r="FP1926" s="306"/>
    </row>
    <row r="1927" spans="159:172">
      <c r="FC1927" s="307"/>
      <c r="FD1927" s="166"/>
      <c r="FF1927" s="307"/>
      <c r="FH1927" s="306"/>
      <c r="FJ1927" s="307"/>
      <c r="FK1927" s="307"/>
      <c r="FL1927" s="306"/>
      <c r="FM1927" s="307"/>
      <c r="FN1927" s="306"/>
      <c r="FO1927" s="307"/>
      <c r="FP1927" s="306"/>
    </row>
    <row r="1928" spans="159:172">
      <c r="FC1928" s="307"/>
      <c r="FD1928" s="166"/>
      <c r="FF1928" s="307"/>
      <c r="FH1928" s="306"/>
      <c r="FJ1928" s="307"/>
      <c r="FK1928" s="307"/>
      <c r="FL1928" s="306"/>
      <c r="FM1928" s="307"/>
      <c r="FN1928" s="306"/>
      <c r="FO1928" s="307"/>
      <c r="FP1928" s="306"/>
    </row>
    <row r="1929" spans="159:172">
      <c r="FC1929" s="307"/>
      <c r="FD1929" s="166"/>
      <c r="FF1929" s="307"/>
      <c r="FH1929" s="306"/>
      <c r="FJ1929" s="307"/>
      <c r="FK1929" s="307"/>
      <c r="FL1929" s="306"/>
      <c r="FM1929" s="307"/>
      <c r="FN1929" s="306"/>
      <c r="FO1929" s="307"/>
      <c r="FP1929" s="306"/>
    </row>
    <row r="1930" spans="159:172">
      <c r="FC1930" s="307"/>
      <c r="FD1930" s="166"/>
      <c r="FF1930" s="307"/>
      <c r="FH1930" s="306"/>
      <c r="FJ1930" s="307"/>
      <c r="FK1930" s="307"/>
      <c r="FL1930" s="306"/>
      <c r="FM1930" s="307"/>
      <c r="FN1930" s="306"/>
      <c r="FO1930" s="307"/>
      <c r="FP1930" s="306"/>
    </row>
    <row r="1931" spans="159:172">
      <c r="FC1931" s="307"/>
      <c r="FD1931" s="166"/>
      <c r="FF1931" s="307"/>
      <c r="FH1931" s="306"/>
      <c r="FJ1931" s="307"/>
      <c r="FK1931" s="307"/>
      <c r="FL1931" s="306"/>
      <c r="FM1931" s="307"/>
      <c r="FN1931" s="306"/>
      <c r="FO1931" s="307"/>
      <c r="FP1931" s="306"/>
    </row>
    <row r="1932" spans="159:172">
      <c r="FC1932" s="307"/>
      <c r="FD1932" s="166"/>
      <c r="FF1932" s="307"/>
      <c r="FH1932" s="306"/>
      <c r="FJ1932" s="307"/>
      <c r="FK1932" s="307"/>
      <c r="FL1932" s="306"/>
      <c r="FM1932" s="307"/>
      <c r="FN1932" s="306"/>
      <c r="FO1932" s="307"/>
      <c r="FP1932" s="306"/>
    </row>
    <row r="1933" spans="159:172">
      <c r="FC1933" s="307"/>
      <c r="FD1933" s="166"/>
      <c r="FF1933" s="307"/>
      <c r="FH1933" s="306"/>
      <c r="FJ1933" s="307"/>
      <c r="FK1933" s="307"/>
      <c r="FL1933" s="306"/>
      <c r="FM1933" s="307"/>
      <c r="FN1933" s="306"/>
      <c r="FO1933" s="307"/>
      <c r="FP1933" s="306"/>
    </row>
    <row r="1934" spans="159:172">
      <c r="FC1934" s="307"/>
      <c r="FD1934" s="166"/>
      <c r="FF1934" s="307"/>
      <c r="FH1934" s="306"/>
      <c r="FJ1934" s="307"/>
      <c r="FK1934" s="307"/>
      <c r="FL1934" s="306"/>
      <c r="FM1934" s="307"/>
      <c r="FN1934" s="306"/>
      <c r="FO1934" s="307"/>
      <c r="FP1934" s="306"/>
    </row>
    <row r="1935" spans="159:172">
      <c r="FC1935" s="307"/>
      <c r="FD1935" s="166"/>
      <c r="FF1935" s="307"/>
      <c r="FH1935" s="306"/>
      <c r="FJ1935" s="307"/>
      <c r="FK1935" s="307"/>
      <c r="FL1935" s="306"/>
      <c r="FM1935" s="307"/>
      <c r="FN1935" s="306"/>
      <c r="FO1935" s="307"/>
      <c r="FP1935" s="306"/>
    </row>
    <row r="1936" spans="159:172">
      <c r="FC1936" s="307"/>
      <c r="FD1936" s="166"/>
      <c r="FF1936" s="307"/>
      <c r="FH1936" s="306"/>
      <c r="FJ1936" s="307"/>
      <c r="FK1936" s="307"/>
      <c r="FL1936" s="306"/>
      <c r="FM1936" s="307"/>
      <c r="FN1936" s="306"/>
      <c r="FO1936" s="307"/>
      <c r="FP1936" s="306"/>
    </row>
    <row r="1937" spans="159:172">
      <c r="FC1937" s="307"/>
      <c r="FD1937" s="166"/>
      <c r="FF1937" s="307"/>
      <c r="FH1937" s="306"/>
      <c r="FJ1937" s="307"/>
      <c r="FK1937" s="307"/>
      <c r="FL1937" s="306"/>
      <c r="FM1937" s="307"/>
      <c r="FN1937" s="306"/>
      <c r="FO1937" s="307"/>
      <c r="FP1937" s="306"/>
    </row>
    <row r="1938" spans="159:172">
      <c r="FC1938" s="307"/>
      <c r="FD1938" s="166"/>
      <c r="FF1938" s="307"/>
      <c r="FH1938" s="306"/>
      <c r="FJ1938" s="307"/>
      <c r="FK1938" s="307"/>
      <c r="FL1938" s="306"/>
      <c r="FM1938" s="307"/>
      <c r="FN1938" s="306"/>
      <c r="FO1938" s="307"/>
      <c r="FP1938" s="306"/>
    </row>
    <row r="1939" spans="159:172">
      <c r="FC1939" s="307"/>
      <c r="FD1939" s="166"/>
      <c r="FF1939" s="307"/>
      <c r="FH1939" s="306"/>
      <c r="FJ1939" s="307"/>
      <c r="FK1939" s="307"/>
      <c r="FL1939" s="306"/>
      <c r="FM1939" s="307"/>
      <c r="FN1939" s="306"/>
      <c r="FO1939" s="307"/>
      <c r="FP1939" s="306"/>
    </row>
    <row r="1940" spans="159:172">
      <c r="FC1940" s="307"/>
      <c r="FD1940" s="166"/>
      <c r="FF1940" s="307"/>
      <c r="FH1940" s="306"/>
      <c r="FJ1940" s="307"/>
      <c r="FK1940" s="307"/>
      <c r="FL1940" s="306"/>
      <c r="FM1940" s="307"/>
      <c r="FN1940" s="306"/>
      <c r="FO1940" s="307"/>
      <c r="FP1940" s="306"/>
    </row>
    <row r="1941" spans="159:172">
      <c r="FC1941" s="307"/>
      <c r="FD1941" s="166"/>
      <c r="FF1941" s="307"/>
      <c r="FH1941" s="306"/>
      <c r="FJ1941" s="307"/>
      <c r="FK1941" s="307"/>
      <c r="FL1941" s="306"/>
      <c r="FM1941" s="307"/>
      <c r="FN1941" s="306"/>
      <c r="FO1941" s="307"/>
      <c r="FP1941" s="306"/>
    </row>
    <row r="1942" spans="159:172">
      <c r="FC1942" s="307"/>
      <c r="FD1942" s="166"/>
      <c r="FF1942" s="307"/>
      <c r="FH1942" s="306"/>
      <c r="FJ1942" s="307"/>
      <c r="FK1942" s="307"/>
      <c r="FL1942" s="306"/>
      <c r="FM1942" s="307"/>
      <c r="FN1942" s="306"/>
      <c r="FO1942" s="307"/>
      <c r="FP1942" s="306"/>
    </row>
    <row r="1943" spans="159:172">
      <c r="FC1943" s="307"/>
      <c r="FD1943" s="166"/>
      <c r="FF1943" s="307"/>
      <c r="FH1943" s="306"/>
      <c r="FJ1943" s="307"/>
      <c r="FK1943" s="307"/>
      <c r="FL1943" s="306"/>
      <c r="FM1943" s="307"/>
      <c r="FN1943" s="306"/>
      <c r="FO1943" s="307"/>
      <c r="FP1943" s="306"/>
    </row>
    <row r="1944" spans="159:172">
      <c r="FC1944" s="307"/>
      <c r="FD1944" s="166"/>
      <c r="FF1944" s="307"/>
      <c r="FH1944" s="306"/>
      <c r="FJ1944" s="307"/>
      <c r="FK1944" s="307"/>
      <c r="FL1944" s="306"/>
      <c r="FM1944" s="307"/>
      <c r="FN1944" s="306"/>
      <c r="FO1944" s="307"/>
      <c r="FP1944" s="306"/>
    </row>
    <row r="1945" spans="159:172">
      <c r="FC1945" s="307"/>
      <c r="FD1945" s="166"/>
      <c r="FF1945" s="307"/>
      <c r="FH1945" s="306"/>
      <c r="FJ1945" s="307"/>
      <c r="FK1945" s="307"/>
      <c r="FL1945" s="306"/>
      <c r="FM1945" s="307"/>
      <c r="FN1945" s="306"/>
      <c r="FO1945" s="307"/>
      <c r="FP1945" s="306"/>
    </row>
    <row r="1946" spans="159:172">
      <c r="FC1946" s="307"/>
      <c r="FD1946" s="166"/>
      <c r="FF1946" s="307"/>
      <c r="FH1946" s="306"/>
      <c r="FJ1946" s="307"/>
      <c r="FK1946" s="307"/>
      <c r="FL1946" s="306"/>
      <c r="FM1946" s="307"/>
      <c r="FN1946" s="306"/>
      <c r="FO1946" s="307"/>
      <c r="FP1946" s="306"/>
    </row>
    <row r="1947" spans="159:172">
      <c r="FC1947" s="307"/>
      <c r="FD1947" s="166"/>
      <c r="FF1947" s="307"/>
      <c r="FH1947" s="306"/>
      <c r="FJ1947" s="307"/>
      <c r="FK1947" s="307"/>
      <c r="FL1947" s="306"/>
      <c r="FM1947" s="307"/>
      <c r="FN1947" s="306"/>
      <c r="FO1947" s="307"/>
      <c r="FP1947" s="306"/>
    </row>
    <row r="1948" spans="159:172">
      <c r="FC1948" s="307"/>
      <c r="FD1948" s="166"/>
      <c r="FF1948" s="307"/>
      <c r="FH1948" s="306"/>
      <c r="FJ1948" s="307"/>
      <c r="FK1948" s="307"/>
      <c r="FL1948" s="306"/>
      <c r="FM1948" s="307"/>
      <c r="FN1948" s="306"/>
      <c r="FO1948" s="307"/>
      <c r="FP1948" s="306"/>
    </row>
    <row r="1949" spans="159:172">
      <c r="FC1949" s="307"/>
      <c r="FD1949" s="166"/>
      <c r="FF1949" s="307"/>
      <c r="FH1949" s="306"/>
      <c r="FJ1949" s="307"/>
      <c r="FK1949" s="307"/>
      <c r="FL1949" s="306"/>
      <c r="FM1949" s="307"/>
      <c r="FN1949" s="306"/>
      <c r="FO1949" s="307"/>
      <c r="FP1949" s="306"/>
    </row>
    <row r="1950" spans="159:172">
      <c r="FC1950" s="307"/>
      <c r="FD1950" s="166"/>
      <c r="FF1950" s="307"/>
      <c r="FH1950" s="306"/>
      <c r="FJ1950" s="307"/>
      <c r="FK1950" s="307"/>
      <c r="FL1950" s="306"/>
      <c r="FM1950" s="307"/>
      <c r="FN1950" s="306"/>
      <c r="FO1950" s="307"/>
      <c r="FP1950" s="306"/>
    </row>
    <row r="1951" spans="159:172">
      <c r="FC1951" s="307"/>
      <c r="FD1951" s="166"/>
      <c r="FF1951" s="307"/>
      <c r="FH1951" s="306"/>
      <c r="FJ1951" s="307"/>
      <c r="FK1951" s="307"/>
      <c r="FL1951" s="306"/>
      <c r="FM1951" s="307"/>
      <c r="FN1951" s="306"/>
      <c r="FO1951" s="307"/>
      <c r="FP1951" s="306"/>
    </row>
    <row r="1952" spans="159:172">
      <c r="FC1952" s="307"/>
      <c r="FD1952" s="166"/>
      <c r="FF1952" s="307"/>
      <c r="FH1952" s="306"/>
      <c r="FJ1952" s="307"/>
      <c r="FK1952" s="307"/>
      <c r="FL1952" s="306"/>
      <c r="FM1952" s="307"/>
      <c r="FN1952" s="306"/>
      <c r="FO1952" s="307"/>
      <c r="FP1952" s="306"/>
    </row>
    <row r="1953" spans="159:172">
      <c r="FC1953" s="307"/>
      <c r="FD1953" s="166"/>
      <c r="FF1953" s="307"/>
      <c r="FH1953" s="306"/>
      <c r="FJ1953" s="307"/>
      <c r="FK1953" s="307"/>
      <c r="FL1953" s="306"/>
      <c r="FM1953" s="307"/>
      <c r="FN1953" s="306"/>
      <c r="FO1953" s="307"/>
      <c r="FP1953" s="306"/>
    </row>
    <row r="1954" spans="159:172">
      <c r="FC1954" s="307"/>
      <c r="FD1954" s="166"/>
      <c r="FF1954" s="307"/>
      <c r="FH1954" s="306"/>
      <c r="FJ1954" s="307"/>
      <c r="FK1954" s="307"/>
      <c r="FL1954" s="306"/>
      <c r="FM1954" s="307"/>
      <c r="FN1954" s="306"/>
      <c r="FO1954" s="307"/>
      <c r="FP1954" s="306"/>
    </row>
    <row r="1955" spans="159:172">
      <c r="FC1955" s="307"/>
      <c r="FD1955" s="166"/>
      <c r="FF1955" s="307"/>
      <c r="FH1955" s="306"/>
      <c r="FJ1955" s="307"/>
      <c r="FK1955" s="307"/>
      <c r="FL1955" s="306"/>
      <c r="FM1955" s="307"/>
      <c r="FN1955" s="306"/>
      <c r="FO1955" s="307"/>
      <c r="FP1955" s="306"/>
    </row>
    <row r="1956" spans="159:172">
      <c r="FC1956" s="307"/>
      <c r="FD1956" s="166"/>
      <c r="FF1956" s="307"/>
      <c r="FH1956" s="306"/>
      <c r="FJ1956" s="307"/>
      <c r="FK1956" s="307"/>
      <c r="FL1956" s="306"/>
      <c r="FM1956" s="307"/>
      <c r="FN1956" s="306"/>
      <c r="FO1956" s="307"/>
      <c r="FP1956" s="306"/>
    </row>
    <row r="1957" spans="159:172">
      <c r="FC1957" s="307"/>
      <c r="FD1957" s="166"/>
      <c r="FF1957" s="307"/>
      <c r="FH1957" s="306"/>
      <c r="FJ1957" s="307"/>
      <c r="FK1957" s="307"/>
      <c r="FL1957" s="306"/>
      <c r="FM1957" s="307"/>
      <c r="FN1957" s="306"/>
      <c r="FO1957" s="307"/>
      <c r="FP1957" s="306"/>
    </row>
    <row r="1958" spans="159:172">
      <c r="FC1958" s="307"/>
      <c r="FD1958" s="166"/>
      <c r="FF1958" s="307"/>
      <c r="FH1958" s="306"/>
      <c r="FJ1958" s="307"/>
      <c r="FK1958" s="307"/>
      <c r="FL1958" s="306"/>
      <c r="FM1958" s="307"/>
      <c r="FN1958" s="306"/>
      <c r="FO1958" s="307"/>
      <c r="FP1958" s="306"/>
    </row>
    <row r="1959" spans="159:172">
      <c r="FC1959" s="307"/>
      <c r="FD1959" s="166"/>
      <c r="FF1959" s="307"/>
      <c r="FH1959" s="306"/>
      <c r="FJ1959" s="307"/>
      <c r="FK1959" s="307"/>
      <c r="FL1959" s="306"/>
      <c r="FM1959" s="307"/>
      <c r="FN1959" s="306"/>
      <c r="FO1959" s="307"/>
      <c r="FP1959" s="306"/>
    </row>
    <row r="1960" spans="159:172">
      <c r="FC1960" s="307"/>
      <c r="FD1960" s="166"/>
      <c r="FF1960" s="307"/>
      <c r="FH1960" s="306"/>
      <c r="FJ1960" s="307"/>
      <c r="FK1960" s="307"/>
      <c r="FL1960" s="306"/>
      <c r="FM1960" s="307"/>
      <c r="FN1960" s="306"/>
      <c r="FO1960" s="307"/>
      <c r="FP1960" s="306"/>
    </row>
    <row r="1961" spans="159:172">
      <c r="FC1961" s="307"/>
      <c r="FD1961" s="166"/>
      <c r="FF1961" s="307"/>
      <c r="FH1961" s="306"/>
      <c r="FJ1961" s="307"/>
      <c r="FK1961" s="307"/>
      <c r="FL1961" s="306"/>
      <c r="FM1961" s="307"/>
      <c r="FN1961" s="306"/>
      <c r="FO1961" s="307"/>
      <c r="FP1961" s="306"/>
    </row>
    <row r="1962" spans="159:172">
      <c r="FC1962" s="307"/>
      <c r="FD1962" s="166"/>
      <c r="FF1962" s="307"/>
      <c r="FH1962" s="306"/>
      <c r="FJ1962" s="307"/>
      <c r="FK1962" s="307"/>
      <c r="FL1962" s="306"/>
      <c r="FM1962" s="307"/>
      <c r="FN1962" s="306"/>
      <c r="FO1962" s="307"/>
      <c r="FP1962" s="306"/>
    </row>
    <row r="1963" spans="159:172">
      <c r="FC1963" s="307"/>
      <c r="FD1963" s="166"/>
      <c r="FF1963" s="307"/>
      <c r="FH1963" s="306"/>
      <c r="FJ1963" s="307"/>
      <c r="FK1963" s="307"/>
      <c r="FL1963" s="306"/>
      <c r="FM1963" s="307"/>
      <c r="FN1963" s="306"/>
      <c r="FO1963" s="307"/>
      <c r="FP1963" s="306"/>
    </row>
    <row r="1964" spans="159:172">
      <c r="FC1964" s="307"/>
      <c r="FD1964" s="166"/>
      <c r="FF1964" s="307"/>
      <c r="FH1964" s="306"/>
      <c r="FJ1964" s="307"/>
      <c r="FK1964" s="307"/>
      <c r="FL1964" s="306"/>
      <c r="FM1964" s="307"/>
      <c r="FN1964" s="306"/>
      <c r="FO1964" s="307"/>
      <c r="FP1964" s="306"/>
    </row>
    <row r="1965" spans="159:172">
      <c r="FC1965" s="307"/>
      <c r="FD1965" s="166"/>
      <c r="FF1965" s="307"/>
      <c r="FH1965" s="306"/>
      <c r="FJ1965" s="307"/>
      <c r="FK1965" s="307"/>
      <c r="FL1965" s="306"/>
      <c r="FM1965" s="307"/>
      <c r="FN1965" s="306"/>
      <c r="FO1965" s="307"/>
      <c r="FP1965" s="306"/>
    </row>
    <row r="1966" spans="159:172">
      <c r="FC1966" s="307"/>
      <c r="FD1966" s="166"/>
      <c r="FF1966" s="307"/>
      <c r="FH1966" s="306"/>
      <c r="FJ1966" s="307"/>
      <c r="FK1966" s="307"/>
      <c r="FL1966" s="306"/>
      <c r="FM1966" s="307"/>
      <c r="FN1966" s="306"/>
      <c r="FO1966" s="307"/>
      <c r="FP1966" s="306"/>
    </row>
    <row r="1967" spans="159:172">
      <c r="FC1967" s="307"/>
      <c r="FD1967" s="166"/>
      <c r="FF1967" s="307"/>
      <c r="FH1967" s="306"/>
      <c r="FJ1967" s="307"/>
      <c r="FK1967" s="307"/>
      <c r="FL1967" s="306"/>
      <c r="FM1967" s="307"/>
      <c r="FN1967" s="306"/>
      <c r="FO1967" s="307"/>
      <c r="FP1967" s="306"/>
    </row>
    <row r="1968" spans="159:172">
      <c r="FC1968" s="307"/>
      <c r="FD1968" s="166"/>
      <c r="FF1968" s="307"/>
      <c r="FH1968" s="306"/>
      <c r="FJ1968" s="307"/>
      <c r="FK1968" s="307"/>
      <c r="FL1968" s="306"/>
      <c r="FM1968" s="307"/>
      <c r="FN1968" s="306"/>
      <c r="FO1968" s="307"/>
      <c r="FP1968" s="306"/>
    </row>
    <row r="1969" spans="159:172">
      <c r="FC1969" s="307"/>
      <c r="FD1969" s="166"/>
      <c r="FF1969" s="307"/>
      <c r="FH1969" s="306"/>
      <c r="FJ1969" s="307"/>
      <c r="FK1969" s="307"/>
      <c r="FL1969" s="306"/>
      <c r="FM1969" s="307"/>
      <c r="FN1969" s="306"/>
      <c r="FO1969" s="307"/>
      <c r="FP1969" s="306"/>
    </row>
    <row r="1970" spans="159:172">
      <c r="FC1970" s="307"/>
      <c r="FD1970" s="166"/>
      <c r="FF1970" s="307"/>
      <c r="FH1970" s="306"/>
      <c r="FJ1970" s="307"/>
      <c r="FK1970" s="307"/>
      <c r="FL1970" s="306"/>
      <c r="FM1970" s="307"/>
      <c r="FN1970" s="306"/>
      <c r="FO1970" s="307"/>
      <c r="FP1970" s="306"/>
    </row>
    <row r="1971" spans="159:172">
      <c r="FC1971" s="307"/>
      <c r="FD1971" s="166"/>
      <c r="FF1971" s="307"/>
      <c r="FH1971" s="306"/>
      <c r="FJ1971" s="307"/>
      <c r="FK1971" s="307"/>
      <c r="FL1971" s="306"/>
      <c r="FM1971" s="307"/>
      <c r="FN1971" s="306"/>
      <c r="FO1971" s="307"/>
      <c r="FP1971" s="306"/>
    </row>
    <row r="1972" spans="159:172">
      <c r="FC1972" s="307"/>
      <c r="FD1972" s="166"/>
      <c r="FF1972" s="307"/>
      <c r="FH1972" s="306"/>
      <c r="FJ1972" s="307"/>
      <c r="FK1972" s="307"/>
      <c r="FL1972" s="306"/>
      <c r="FM1972" s="307"/>
      <c r="FN1972" s="306"/>
      <c r="FO1972" s="307"/>
      <c r="FP1972" s="306"/>
    </row>
    <row r="1973" spans="159:172">
      <c r="FC1973" s="307"/>
      <c r="FD1973" s="166"/>
      <c r="FF1973" s="307"/>
      <c r="FH1973" s="306"/>
      <c r="FJ1973" s="307"/>
      <c r="FK1973" s="307"/>
      <c r="FL1973" s="306"/>
      <c r="FM1973" s="307"/>
      <c r="FN1973" s="306"/>
      <c r="FO1973" s="307"/>
      <c r="FP1973" s="306"/>
    </row>
    <row r="1974" spans="159:172">
      <c r="FC1974" s="307"/>
      <c r="FD1974" s="166"/>
      <c r="FF1974" s="307"/>
      <c r="FH1974" s="306"/>
      <c r="FJ1974" s="307"/>
      <c r="FK1974" s="307"/>
      <c r="FL1974" s="306"/>
      <c r="FM1974" s="307"/>
      <c r="FN1974" s="306"/>
      <c r="FO1974" s="307"/>
      <c r="FP1974" s="306"/>
    </row>
    <row r="1975" spans="159:172">
      <c r="FC1975" s="307"/>
      <c r="FD1975" s="166"/>
      <c r="FF1975" s="307"/>
      <c r="FH1975" s="306"/>
      <c r="FJ1975" s="307"/>
      <c r="FK1975" s="307"/>
      <c r="FL1975" s="306"/>
      <c r="FM1975" s="307"/>
      <c r="FN1975" s="306"/>
      <c r="FO1975" s="307"/>
      <c r="FP1975" s="306"/>
    </row>
    <row r="1976" spans="159:172">
      <c r="FC1976" s="307"/>
      <c r="FD1976" s="166"/>
      <c r="FF1976" s="307"/>
      <c r="FH1976" s="306"/>
      <c r="FJ1976" s="307"/>
      <c r="FK1976" s="307"/>
      <c r="FL1976" s="306"/>
      <c r="FM1976" s="307"/>
      <c r="FN1976" s="306"/>
      <c r="FO1976" s="307"/>
      <c r="FP1976" s="306"/>
    </row>
    <row r="1977" spans="159:172">
      <c r="FC1977" s="307"/>
      <c r="FD1977" s="166"/>
      <c r="FF1977" s="307"/>
      <c r="FH1977" s="306"/>
      <c r="FJ1977" s="307"/>
      <c r="FK1977" s="307"/>
      <c r="FL1977" s="306"/>
      <c r="FM1977" s="307"/>
      <c r="FN1977" s="306"/>
      <c r="FO1977" s="307"/>
      <c r="FP1977" s="306"/>
    </row>
    <row r="1978" spans="159:172">
      <c r="FC1978" s="307"/>
      <c r="FD1978" s="166"/>
      <c r="FF1978" s="307"/>
      <c r="FH1978" s="306"/>
      <c r="FJ1978" s="307"/>
      <c r="FK1978" s="307"/>
      <c r="FL1978" s="306"/>
      <c r="FM1978" s="307"/>
      <c r="FN1978" s="306"/>
      <c r="FO1978" s="307"/>
      <c r="FP1978" s="306"/>
    </row>
    <row r="1979" spans="159:172">
      <c r="FC1979" s="307"/>
      <c r="FD1979" s="166"/>
      <c r="FF1979" s="307"/>
      <c r="FH1979" s="306"/>
      <c r="FJ1979" s="307"/>
      <c r="FK1979" s="307"/>
      <c r="FL1979" s="306"/>
      <c r="FM1979" s="307"/>
      <c r="FN1979" s="306"/>
      <c r="FO1979" s="307"/>
      <c r="FP1979" s="306"/>
    </row>
    <row r="1980" spans="159:172">
      <c r="FC1980" s="307"/>
      <c r="FD1980" s="166"/>
      <c r="FF1980" s="307"/>
      <c r="FH1980" s="306"/>
      <c r="FJ1980" s="307"/>
      <c r="FK1980" s="307"/>
      <c r="FL1980" s="306"/>
      <c r="FM1980" s="307"/>
      <c r="FN1980" s="306"/>
      <c r="FO1980" s="307"/>
      <c r="FP1980" s="306"/>
    </row>
    <row r="1981" spans="159:172">
      <c r="FC1981" s="307"/>
      <c r="FD1981" s="166"/>
      <c r="FF1981" s="307"/>
      <c r="FH1981" s="306"/>
      <c r="FJ1981" s="307"/>
      <c r="FK1981" s="307"/>
      <c r="FL1981" s="306"/>
      <c r="FM1981" s="307"/>
      <c r="FN1981" s="306"/>
      <c r="FO1981" s="307"/>
      <c r="FP1981" s="306"/>
    </row>
    <row r="1982" spans="159:172">
      <c r="FC1982" s="307"/>
      <c r="FD1982" s="166"/>
      <c r="FF1982" s="307"/>
      <c r="FH1982" s="306"/>
      <c r="FJ1982" s="307"/>
      <c r="FK1982" s="307"/>
      <c r="FL1982" s="306"/>
      <c r="FM1982" s="307"/>
      <c r="FN1982" s="306"/>
      <c r="FO1982" s="307"/>
      <c r="FP1982" s="306"/>
    </row>
    <row r="1983" spans="159:172">
      <c r="FC1983" s="307"/>
      <c r="FD1983" s="166"/>
      <c r="FF1983" s="307"/>
      <c r="FH1983" s="306"/>
      <c r="FJ1983" s="307"/>
      <c r="FK1983" s="307"/>
      <c r="FL1983" s="306"/>
      <c r="FM1983" s="307"/>
      <c r="FN1983" s="306"/>
      <c r="FO1983" s="307"/>
      <c r="FP1983" s="306"/>
    </row>
    <row r="1984" spans="159:172">
      <c r="FC1984" s="307"/>
      <c r="FD1984" s="166"/>
      <c r="FF1984" s="307"/>
      <c r="FH1984" s="306"/>
      <c r="FJ1984" s="307"/>
      <c r="FK1984" s="307"/>
      <c r="FL1984" s="306"/>
      <c r="FM1984" s="307"/>
      <c r="FN1984" s="306"/>
      <c r="FO1984" s="307"/>
      <c r="FP1984" s="306"/>
    </row>
    <row r="1985" spans="159:172">
      <c r="FC1985" s="307"/>
      <c r="FD1985" s="166"/>
      <c r="FF1985" s="307"/>
      <c r="FH1985" s="306"/>
      <c r="FJ1985" s="307"/>
      <c r="FK1985" s="307"/>
      <c r="FL1985" s="306"/>
      <c r="FM1985" s="307"/>
      <c r="FN1985" s="306"/>
      <c r="FO1985" s="307"/>
      <c r="FP1985" s="306"/>
    </row>
    <row r="1986" spans="159:172">
      <c r="FC1986" s="307"/>
      <c r="FD1986" s="166"/>
      <c r="FF1986" s="307"/>
      <c r="FH1986" s="306"/>
      <c r="FJ1986" s="307"/>
      <c r="FK1986" s="307"/>
      <c r="FL1986" s="306"/>
      <c r="FM1986" s="307"/>
      <c r="FN1986" s="306"/>
      <c r="FO1986" s="307"/>
      <c r="FP1986" s="306"/>
    </row>
    <row r="1987" spans="159:172">
      <c r="FC1987" s="307"/>
      <c r="FD1987" s="166"/>
      <c r="FF1987" s="307"/>
      <c r="FH1987" s="306"/>
      <c r="FJ1987" s="307"/>
      <c r="FK1987" s="307"/>
      <c r="FL1987" s="306"/>
      <c r="FM1987" s="307"/>
      <c r="FN1987" s="306"/>
      <c r="FO1987" s="307"/>
      <c r="FP1987" s="306"/>
    </row>
    <row r="1988" spans="159:172">
      <c r="FC1988" s="307"/>
      <c r="FD1988" s="166"/>
      <c r="FF1988" s="307"/>
      <c r="FH1988" s="306"/>
      <c r="FJ1988" s="307"/>
      <c r="FK1988" s="307"/>
      <c r="FL1988" s="306"/>
      <c r="FM1988" s="307"/>
      <c r="FN1988" s="306"/>
      <c r="FO1988" s="307"/>
      <c r="FP1988" s="306"/>
    </row>
    <row r="1989" spans="159:172">
      <c r="FC1989" s="307"/>
      <c r="FD1989" s="166"/>
      <c r="FF1989" s="307"/>
      <c r="FH1989" s="306"/>
      <c r="FJ1989" s="307"/>
      <c r="FK1989" s="307"/>
      <c r="FL1989" s="306"/>
      <c r="FM1989" s="307"/>
      <c r="FN1989" s="306"/>
      <c r="FO1989" s="307"/>
      <c r="FP1989" s="306"/>
    </row>
    <row r="1990" spans="159:172">
      <c r="FC1990" s="307"/>
      <c r="FD1990" s="166"/>
      <c r="FF1990" s="307"/>
      <c r="FH1990" s="306"/>
      <c r="FJ1990" s="307"/>
      <c r="FK1990" s="307"/>
      <c r="FL1990" s="306"/>
      <c r="FM1990" s="307"/>
      <c r="FN1990" s="306"/>
      <c r="FO1990" s="307"/>
      <c r="FP1990" s="306"/>
    </row>
    <row r="1991" spans="159:172">
      <c r="FC1991" s="307"/>
      <c r="FD1991" s="166"/>
      <c r="FF1991" s="307"/>
      <c r="FH1991" s="306"/>
      <c r="FJ1991" s="307"/>
      <c r="FK1991" s="307"/>
      <c r="FL1991" s="306"/>
      <c r="FM1991" s="307"/>
      <c r="FN1991" s="306"/>
      <c r="FO1991" s="307"/>
      <c r="FP1991" s="306"/>
    </row>
    <row r="1992" spans="159:172">
      <c r="FC1992" s="307"/>
      <c r="FD1992" s="166"/>
      <c r="FF1992" s="307"/>
      <c r="FH1992" s="306"/>
      <c r="FJ1992" s="307"/>
      <c r="FK1992" s="307"/>
      <c r="FL1992" s="306"/>
      <c r="FM1992" s="307"/>
      <c r="FN1992" s="306"/>
      <c r="FO1992" s="307"/>
      <c r="FP1992" s="306"/>
    </row>
    <row r="1993" spans="159:172">
      <c r="FC1993" s="307"/>
      <c r="FD1993" s="166"/>
      <c r="FF1993" s="307"/>
      <c r="FH1993" s="306"/>
      <c r="FJ1993" s="307"/>
      <c r="FK1993" s="307"/>
      <c r="FL1993" s="306"/>
      <c r="FM1993" s="307"/>
      <c r="FN1993" s="306"/>
      <c r="FO1993" s="307"/>
      <c r="FP1993" s="306"/>
    </row>
    <row r="1994" spans="159:172">
      <c r="FC1994" s="307"/>
      <c r="FD1994" s="166"/>
      <c r="FF1994" s="307"/>
      <c r="FH1994" s="306"/>
      <c r="FJ1994" s="307"/>
      <c r="FK1994" s="307"/>
      <c r="FL1994" s="306"/>
      <c r="FM1994" s="307"/>
      <c r="FN1994" s="306"/>
      <c r="FO1994" s="307"/>
      <c r="FP1994" s="306"/>
    </row>
    <row r="1995" spans="159:172">
      <c r="FC1995" s="307"/>
      <c r="FD1995" s="166"/>
      <c r="FF1995" s="307"/>
      <c r="FH1995" s="306"/>
      <c r="FJ1995" s="307"/>
      <c r="FK1995" s="307"/>
      <c r="FL1995" s="306"/>
      <c r="FM1995" s="307"/>
      <c r="FN1995" s="306"/>
      <c r="FO1995" s="307"/>
      <c r="FP1995" s="306"/>
    </row>
    <row r="1996" spans="159:172">
      <c r="FC1996" s="307"/>
      <c r="FD1996" s="166"/>
      <c r="FF1996" s="307"/>
      <c r="FH1996" s="306"/>
      <c r="FJ1996" s="307"/>
      <c r="FK1996" s="307"/>
      <c r="FL1996" s="306"/>
      <c r="FM1996" s="307"/>
      <c r="FN1996" s="306"/>
      <c r="FO1996" s="307"/>
      <c r="FP1996" s="306"/>
    </row>
    <row r="1997" spans="159:172">
      <c r="FC1997" s="307"/>
      <c r="FD1997" s="166"/>
      <c r="FF1997" s="307"/>
      <c r="FH1997" s="306"/>
      <c r="FJ1997" s="307"/>
      <c r="FK1997" s="307"/>
      <c r="FL1997" s="306"/>
      <c r="FM1997" s="307"/>
      <c r="FN1997" s="306"/>
      <c r="FO1997" s="307"/>
      <c r="FP1997" s="306"/>
    </row>
    <row r="1998" spans="159:172">
      <c r="FC1998" s="307"/>
      <c r="FD1998" s="166"/>
      <c r="FF1998" s="307"/>
      <c r="FH1998" s="306"/>
      <c r="FJ1998" s="307"/>
      <c r="FK1998" s="307"/>
      <c r="FL1998" s="306"/>
      <c r="FM1998" s="307"/>
      <c r="FN1998" s="306"/>
      <c r="FO1998" s="307"/>
      <c r="FP1998" s="306"/>
    </row>
    <row r="1999" spans="159:172">
      <c r="FC1999" s="307"/>
      <c r="FD1999" s="166"/>
      <c r="FF1999" s="307"/>
      <c r="FH1999" s="306"/>
      <c r="FJ1999" s="307"/>
      <c r="FK1999" s="307"/>
      <c r="FL1999" s="306"/>
      <c r="FM1999" s="307"/>
      <c r="FN1999" s="306"/>
      <c r="FO1999" s="307"/>
      <c r="FP1999" s="306"/>
    </row>
    <row r="2000" spans="159:172">
      <c r="FC2000" s="307"/>
      <c r="FD2000" s="166"/>
      <c r="FF2000" s="307"/>
      <c r="FH2000" s="306"/>
      <c r="FJ2000" s="307"/>
      <c r="FK2000" s="307"/>
      <c r="FL2000" s="306"/>
      <c r="FM2000" s="307"/>
      <c r="FN2000" s="306"/>
      <c r="FO2000" s="307"/>
      <c r="FP2000" s="306"/>
    </row>
    <row r="2001" spans="159:172">
      <c r="FC2001" s="307"/>
      <c r="FD2001" s="166"/>
      <c r="FF2001" s="307"/>
      <c r="FH2001" s="306"/>
      <c r="FJ2001" s="307"/>
      <c r="FK2001" s="307"/>
      <c r="FL2001" s="306"/>
      <c r="FM2001" s="307"/>
      <c r="FN2001" s="306"/>
      <c r="FO2001" s="307"/>
      <c r="FP2001" s="306"/>
    </row>
    <row r="2002" spans="159:172">
      <c r="FC2002" s="307"/>
      <c r="FD2002" s="166"/>
      <c r="FF2002" s="307"/>
      <c r="FH2002" s="306"/>
      <c r="FJ2002" s="307"/>
      <c r="FK2002" s="307"/>
      <c r="FL2002" s="306"/>
      <c r="FM2002" s="307"/>
      <c r="FN2002" s="306"/>
      <c r="FO2002" s="307"/>
      <c r="FP2002" s="306"/>
    </row>
    <row r="2003" spans="159:172">
      <c r="FC2003" s="307"/>
      <c r="FD2003" s="166"/>
      <c r="FF2003" s="307"/>
      <c r="FH2003" s="306"/>
      <c r="FJ2003" s="307"/>
      <c r="FK2003" s="307"/>
      <c r="FL2003" s="306"/>
      <c r="FM2003" s="307"/>
      <c r="FN2003" s="306"/>
      <c r="FO2003" s="307"/>
      <c r="FP2003" s="306"/>
    </row>
    <row r="2004" spans="159:172">
      <c r="FC2004" s="307"/>
      <c r="FD2004" s="166"/>
      <c r="FF2004" s="307"/>
      <c r="FH2004" s="306"/>
      <c r="FJ2004" s="307"/>
      <c r="FK2004" s="307"/>
      <c r="FL2004" s="306"/>
      <c r="FM2004" s="307"/>
      <c r="FN2004" s="306"/>
      <c r="FO2004" s="307"/>
      <c r="FP2004" s="306"/>
    </row>
    <row r="2005" spans="159:172">
      <c r="FC2005" s="307"/>
      <c r="FD2005" s="166"/>
      <c r="FF2005" s="307"/>
      <c r="FH2005" s="306"/>
      <c r="FJ2005" s="307"/>
      <c r="FK2005" s="307"/>
      <c r="FL2005" s="306"/>
      <c r="FM2005" s="307"/>
      <c r="FN2005" s="306"/>
      <c r="FO2005" s="307"/>
      <c r="FP2005" s="306"/>
    </row>
    <row r="2006" spans="159:172">
      <c r="FC2006" s="307"/>
      <c r="FD2006" s="166"/>
      <c r="FF2006" s="307"/>
      <c r="FH2006" s="306"/>
      <c r="FJ2006" s="307"/>
      <c r="FK2006" s="307"/>
      <c r="FL2006" s="306"/>
      <c r="FM2006" s="307"/>
      <c r="FN2006" s="306"/>
      <c r="FO2006" s="307"/>
      <c r="FP2006" s="306"/>
    </row>
    <row r="2007" spans="159:172">
      <c r="FC2007" s="307"/>
      <c r="FD2007" s="166"/>
      <c r="FF2007" s="307"/>
      <c r="FH2007" s="306"/>
      <c r="FJ2007" s="307"/>
      <c r="FK2007" s="307"/>
      <c r="FL2007" s="306"/>
      <c r="FM2007" s="307"/>
      <c r="FN2007" s="306"/>
      <c r="FO2007" s="307"/>
      <c r="FP2007" s="306"/>
    </row>
    <row r="2008" spans="159:172">
      <c r="FC2008" s="307"/>
      <c r="FD2008" s="166"/>
      <c r="FF2008" s="307"/>
      <c r="FH2008" s="306"/>
      <c r="FJ2008" s="307"/>
      <c r="FK2008" s="307"/>
      <c r="FL2008" s="306"/>
      <c r="FM2008" s="307"/>
      <c r="FN2008" s="306"/>
      <c r="FO2008" s="307"/>
      <c r="FP2008" s="306"/>
    </row>
    <row r="2009" spans="159:172">
      <c r="FC2009" s="307"/>
      <c r="FD2009" s="166"/>
      <c r="FF2009" s="307"/>
      <c r="FH2009" s="306"/>
      <c r="FJ2009" s="307"/>
      <c r="FK2009" s="307"/>
      <c r="FL2009" s="306"/>
      <c r="FM2009" s="307"/>
      <c r="FN2009" s="306"/>
      <c r="FO2009" s="307"/>
      <c r="FP2009" s="306"/>
    </row>
    <row r="2010" spans="159:172">
      <c r="FC2010" s="307"/>
      <c r="FD2010" s="166"/>
      <c r="FF2010" s="307"/>
      <c r="FH2010" s="306"/>
      <c r="FJ2010" s="307"/>
      <c r="FK2010" s="307"/>
      <c r="FL2010" s="306"/>
      <c r="FM2010" s="307"/>
      <c r="FN2010" s="306"/>
      <c r="FO2010" s="307"/>
      <c r="FP2010" s="306"/>
    </row>
    <row r="2011" spans="159:172">
      <c r="FC2011" s="307"/>
      <c r="FD2011" s="166"/>
      <c r="FF2011" s="307"/>
      <c r="FH2011" s="306"/>
      <c r="FJ2011" s="307"/>
      <c r="FK2011" s="307"/>
      <c r="FL2011" s="306"/>
      <c r="FM2011" s="307"/>
      <c r="FN2011" s="306"/>
      <c r="FO2011" s="307"/>
      <c r="FP2011" s="306"/>
    </row>
    <row r="2012" spans="159:172">
      <c r="FC2012" s="307"/>
      <c r="FD2012" s="166"/>
      <c r="FF2012" s="307"/>
      <c r="FH2012" s="306"/>
      <c r="FJ2012" s="307"/>
      <c r="FK2012" s="307"/>
      <c r="FL2012" s="306"/>
      <c r="FM2012" s="307"/>
      <c r="FN2012" s="306"/>
      <c r="FO2012" s="307"/>
      <c r="FP2012" s="306"/>
    </row>
    <row r="2013" spans="159:172">
      <c r="FC2013" s="307"/>
      <c r="FD2013" s="166"/>
      <c r="FF2013" s="307"/>
      <c r="FH2013" s="306"/>
      <c r="FJ2013" s="307"/>
      <c r="FK2013" s="307"/>
      <c r="FL2013" s="306"/>
      <c r="FM2013" s="307"/>
      <c r="FN2013" s="306"/>
      <c r="FO2013" s="307"/>
      <c r="FP2013" s="306"/>
    </row>
    <row r="2014" spans="159:172">
      <c r="FC2014" s="307"/>
      <c r="FD2014" s="166"/>
      <c r="FF2014" s="307"/>
      <c r="FH2014" s="306"/>
      <c r="FJ2014" s="307"/>
      <c r="FK2014" s="307"/>
      <c r="FL2014" s="306"/>
      <c r="FM2014" s="307"/>
      <c r="FN2014" s="306"/>
      <c r="FO2014" s="307"/>
      <c r="FP2014" s="306"/>
    </row>
    <row r="2015" spans="159:172">
      <c r="FC2015" s="307"/>
      <c r="FD2015" s="166"/>
      <c r="FF2015" s="307"/>
      <c r="FH2015" s="306"/>
      <c r="FJ2015" s="307"/>
      <c r="FK2015" s="307"/>
      <c r="FL2015" s="306"/>
      <c r="FM2015" s="307"/>
      <c r="FN2015" s="306"/>
      <c r="FO2015" s="307"/>
      <c r="FP2015" s="306"/>
    </row>
    <row r="2016" spans="159:172">
      <c r="FC2016" s="307"/>
      <c r="FD2016" s="166"/>
      <c r="FF2016" s="307"/>
      <c r="FH2016" s="306"/>
      <c r="FJ2016" s="307"/>
      <c r="FK2016" s="307"/>
      <c r="FL2016" s="306"/>
      <c r="FM2016" s="307"/>
      <c r="FN2016" s="306"/>
      <c r="FO2016" s="307"/>
      <c r="FP2016" s="306"/>
    </row>
    <row r="2017" spans="159:172">
      <c r="FC2017" s="307"/>
      <c r="FD2017" s="166"/>
      <c r="FF2017" s="307"/>
      <c r="FH2017" s="306"/>
      <c r="FJ2017" s="307"/>
      <c r="FK2017" s="307"/>
      <c r="FL2017" s="306"/>
      <c r="FM2017" s="307"/>
      <c r="FN2017" s="306"/>
      <c r="FO2017" s="307"/>
      <c r="FP2017" s="306"/>
    </row>
    <row r="2018" spans="159:172">
      <c r="FC2018" s="307"/>
      <c r="FD2018" s="166"/>
      <c r="FF2018" s="307"/>
      <c r="FH2018" s="306"/>
      <c r="FJ2018" s="307"/>
      <c r="FK2018" s="307"/>
      <c r="FL2018" s="306"/>
      <c r="FM2018" s="307"/>
      <c r="FN2018" s="306"/>
      <c r="FO2018" s="307"/>
      <c r="FP2018" s="306"/>
    </row>
    <row r="2019" spans="159:172">
      <c r="FC2019" s="307"/>
      <c r="FD2019" s="166"/>
      <c r="FF2019" s="307"/>
      <c r="FH2019" s="306"/>
      <c r="FJ2019" s="307"/>
      <c r="FK2019" s="307"/>
      <c r="FL2019" s="306"/>
      <c r="FM2019" s="307"/>
      <c r="FN2019" s="306"/>
      <c r="FO2019" s="307"/>
      <c r="FP2019" s="306"/>
    </row>
    <row r="2020" spans="159:172">
      <c r="FC2020" s="307"/>
      <c r="FD2020" s="166"/>
      <c r="FF2020" s="307"/>
      <c r="FH2020" s="306"/>
      <c r="FJ2020" s="307"/>
      <c r="FK2020" s="307"/>
      <c r="FL2020" s="306"/>
      <c r="FM2020" s="307"/>
      <c r="FN2020" s="306"/>
      <c r="FO2020" s="307"/>
      <c r="FP2020" s="306"/>
    </row>
    <row r="2021" spans="159:172">
      <c r="FC2021" s="307"/>
      <c r="FD2021" s="166"/>
      <c r="FF2021" s="307"/>
      <c r="FH2021" s="306"/>
      <c r="FJ2021" s="307"/>
      <c r="FK2021" s="307"/>
      <c r="FL2021" s="306"/>
      <c r="FM2021" s="307"/>
      <c r="FN2021" s="306"/>
      <c r="FO2021" s="307"/>
      <c r="FP2021" s="306"/>
    </row>
    <row r="2022" spans="159:172">
      <c r="FC2022" s="307"/>
      <c r="FD2022" s="166"/>
      <c r="FF2022" s="307"/>
      <c r="FH2022" s="306"/>
      <c r="FJ2022" s="307"/>
      <c r="FK2022" s="307"/>
      <c r="FL2022" s="306"/>
      <c r="FM2022" s="307"/>
      <c r="FN2022" s="306"/>
      <c r="FO2022" s="307"/>
      <c r="FP2022" s="306"/>
    </row>
    <row r="2023" spans="159:172">
      <c r="FC2023" s="307"/>
      <c r="FD2023" s="166"/>
      <c r="FF2023" s="307"/>
      <c r="FH2023" s="306"/>
      <c r="FJ2023" s="307"/>
      <c r="FK2023" s="307"/>
      <c r="FL2023" s="306"/>
      <c r="FM2023" s="307"/>
      <c r="FN2023" s="306"/>
      <c r="FO2023" s="307"/>
      <c r="FP2023" s="306"/>
    </row>
    <row r="2024" spans="159:172">
      <c r="FC2024" s="307"/>
      <c r="FD2024" s="166"/>
      <c r="FF2024" s="307"/>
      <c r="FH2024" s="306"/>
      <c r="FJ2024" s="307"/>
      <c r="FK2024" s="307"/>
      <c r="FL2024" s="306"/>
      <c r="FM2024" s="307"/>
      <c r="FN2024" s="306"/>
      <c r="FO2024" s="307"/>
      <c r="FP2024" s="306"/>
    </row>
    <row r="2025" spans="159:172">
      <c r="FC2025" s="307"/>
      <c r="FD2025" s="166"/>
      <c r="FF2025" s="307"/>
      <c r="FH2025" s="306"/>
      <c r="FJ2025" s="307"/>
      <c r="FK2025" s="307"/>
      <c r="FL2025" s="306"/>
      <c r="FM2025" s="307"/>
      <c r="FN2025" s="306"/>
      <c r="FO2025" s="307"/>
      <c r="FP2025" s="306"/>
    </row>
    <row r="2026" spans="159:172">
      <c r="FC2026" s="307"/>
      <c r="FD2026" s="166"/>
      <c r="FF2026" s="307"/>
      <c r="FH2026" s="306"/>
      <c r="FJ2026" s="307"/>
      <c r="FK2026" s="307"/>
      <c r="FL2026" s="306"/>
      <c r="FM2026" s="307"/>
      <c r="FN2026" s="306"/>
      <c r="FO2026" s="307"/>
      <c r="FP2026" s="306"/>
    </row>
    <row r="2027" spans="159:172">
      <c r="FC2027" s="307"/>
      <c r="FD2027" s="166"/>
      <c r="FF2027" s="307"/>
      <c r="FH2027" s="306"/>
      <c r="FJ2027" s="307"/>
      <c r="FK2027" s="307"/>
      <c r="FL2027" s="306"/>
      <c r="FM2027" s="307"/>
      <c r="FN2027" s="306"/>
      <c r="FO2027" s="307"/>
      <c r="FP2027" s="306"/>
    </row>
    <row r="2028" spans="159:172">
      <c r="FC2028" s="307"/>
      <c r="FD2028" s="166"/>
      <c r="FF2028" s="307"/>
      <c r="FH2028" s="306"/>
      <c r="FJ2028" s="307"/>
      <c r="FK2028" s="307"/>
      <c r="FL2028" s="306"/>
      <c r="FM2028" s="307"/>
      <c r="FN2028" s="306"/>
      <c r="FO2028" s="307"/>
      <c r="FP2028" s="306"/>
    </row>
    <row r="2029" spans="159:172">
      <c r="FC2029" s="307"/>
      <c r="FD2029" s="166"/>
      <c r="FF2029" s="307"/>
      <c r="FH2029" s="306"/>
      <c r="FJ2029" s="307"/>
      <c r="FK2029" s="307"/>
      <c r="FL2029" s="306"/>
      <c r="FM2029" s="307"/>
      <c r="FN2029" s="306"/>
      <c r="FO2029" s="307"/>
      <c r="FP2029" s="306"/>
    </row>
    <row r="2030" spans="159:172">
      <c r="FC2030" s="307"/>
      <c r="FD2030" s="166"/>
      <c r="FF2030" s="307"/>
      <c r="FH2030" s="306"/>
      <c r="FJ2030" s="307"/>
      <c r="FK2030" s="307"/>
      <c r="FL2030" s="306"/>
      <c r="FM2030" s="307"/>
      <c r="FN2030" s="306"/>
      <c r="FO2030" s="307"/>
      <c r="FP2030" s="306"/>
    </row>
    <row r="2031" spans="159:172">
      <c r="FC2031" s="307"/>
      <c r="FD2031" s="166"/>
      <c r="FF2031" s="307"/>
      <c r="FH2031" s="306"/>
      <c r="FJ2031" s="307"/>
      <c r="FK2031" s="307"/>
      <c r="FL2031" s="306"/>
      <c r="FM2031" s="307"/>
      <c r="FN2031" s="306"/>
      <c r="FO2031" s="307"/>
      <c r="FP2031" s="306"/>
    </row>
    <row r="2032" spans="159:172">
      <c r="FC2032" s="307"/>
      <c r="FD2032" s="166"/>
      <c r="FF2032" s="307"/>
      <c r="FH2032" s="306"/>
      <c r="FJ2032" s="307"/>
      <c r="FK2032" s="307"/>
      <c r="FL2032" s="306"/>
      <c r="FM2032" s="307"/>
      <c r="FN2032" s="306"/>
      <c r="FO2032" s="307"/>
      <c r="FP2032" s="306"/>
    </row>
    <row r="2033" spans="159:172">
      <c r="FC2033" s="307"/>
      <c r="FD2033" s="166"/>
      <c r="FF2033" s="307"/>
      <c r="FH2033" s="306"/>
      <c r="FJ2033" s="307"/>
      <c r="FK2033" s="307"/>
      <c r="FL2033" s="306"/>
      <c r="FM2033" s="307"/>
      <c r="FN2033" s="306"/>
      <c r="FO2033" s="307"/>
      <c r="FP2033" s="306"/>
    </row>
    <row r="2034" spans="159:172">
      <c r="FC2034" s="307"/>
      <c r="FD2034" s="166"/>
      <c r="FF2034" s="307"/>
      <c r="FH2034" s="306"/>
      <c r="FJ2034" s="307"/>
      <c r="FK2034" s="307"/>
      <c r="FL2034" s="306"/>
      <c r="FM2034" s="307"/>
      <c r="FN2034" s="306"/>
      <c r="FO2034" s="307"/>
      <c r="FP2034" s="306"/>
    </row>
    <row r="2035" spans="159:172">
      <c r="FC2035" s="307"/>
      <c r="FD2035" s="166"/>
      <c r="FF2035" s="307"/>
      <c r="FH2035" s="306"/>
      <c r="FJ2035" s="307"/>
      <c r="FK2035" s="307"/>
      <c r="FL2035" s="306"/>
      <c r="FM2035" s="307"/>
      <c r="FN2035" s="306"/>
      <c r="FO2035" s="307"/>
      <c r="FP2035" s="306"/>
    </row>
    <row r="2036" spans="159:172">
      <c r="FC2036" s="307"/>
      <c r="FD2036" s="166"/>
      <c r="FF2036" s="307"/>
      <c r="FH2036" s="306"/>
      <c r="FJ2036" s="307"/>
      <c r="FK2036" s="307"/>
      <c r="FL2036" s="306"/>
      <c r="FM2036" s="307"/>
      <c r="FN2036" s="306"/>
      <c r="FO2036" s="307"/>
      <c r="FP2036" s="306"/>
    </row>
    <row r="2037" spans="159:172">
      <c r="FC2037" s="307"/>
      <c r="FD2037" s="166"/>
      <c r="FF2037" s="307"/>
      <c r="FH2037" s="306"/>
      <c r="FJ2037" s="307"/>
      <c r="FK2037" s="307"/>
      <c r="FL2037" s="306"/>
      <c r="FM2037" s="307"/>
      <c r="FN2037" s="306"/>
      <c r="FO2037" s="307"/>
      <c r="FP2037" s="306"/>
    </row>
    <row r="2038" spans="159:172">
      <c r="FC2038" s="307"/>
      <c r="FD2038" s="166"/>
      <c r="FF2038" s="307"/>
      <c r="FH2038" s="306"/>
      <c r="FJ2038" s="307"/>
      <c r="FK2038" s="307"/>
      <c r="FL2038" s="306"/>
      <c r="FM2038" s="307"/>
      <c r="FN2038" s="306"/>
      <c r="FO2038" s="307"/>
      <c r="FP2038" s="306"/>
    </row>
    <row r="2039" spans="159:172">
      <c r="FC2039" s="307"/>
      <c r="FD2039" s="166"/>
      <c r="FF2039" s="307"/>
      <c r="FH2039" s="306"/>
      <c r="FJ2039" s="307"/>
      <c r="FK2039" s="307"/>
      <c r="FL2039" s="306"/>
      <c r="FM2039" s="307"/>
      <c r="FN2039" s="306"/>
      <c r="FO2039" s="307"/>
      <c r="FP2039" s="306"/>
    </row>
    <row r="2040" spans="159:172">
      <c r="FC2040" s="307"/>
      <c r="FD2040" s="166"/>
      <c r="FF2040" s="307"/>
      <c r="FH2040" s="306"/>
      <c r="FJ2040" s="307"/>
      <c r="FK2040" s="307"/>
      <c r="FL2040" s="306"/>
      <c r="FM2040" s="307"/>
      <c r="FN2040" s="306"/>
      <c r="FO2040" s="307"/>
      <c r="FP2040" s="306"/>
    </row>
    <row r="2041" spans="159:172">
      <c r="FC2041" s="307"/>
      <c r="FD2041" s="166"/>
      <c r="FF2041" s="307"/>
      <c r="FH2041" s="306"/>
      <c r="FJ2041" s="307"/>
      <c r="FK2041" s="307"/>
      <c r="FL2041" s="306"/>
      <c r="FM2041" s="307"/>
      <c r="FN2041" s="306"/>
      <c r="FO2041" s="307"/>
      <c r="FP2041" s="306"/>
    </row>
    <row r="2042" spans="159:172">
      <c r="FC2042" s="307"/>
      <c r="FD2042" s="166"/>
      <c r="FF2042" s="307"/>
      <c r="FH2042" s="306"/>
      <c r="FJ2042" s="307"/>
      <c r="FK2042" s="307"/>
      <c r="FL2042" s="306"/>
      <c r="FM2042" s="307"/>
      <c r="FN2042" s="306"/>
      <c r="FO2042" s="307"/>
      <c r="FP2042" s="306"/>
    </row>
    <row r="2043" spans="159:172">
      <c r="FC2043" s="307"/>
      <c r="FD2043" s="166"/>
      <c r="FF2043" s="307"/>
      <c r="FH2043" s="306"/>
      <c r="FJ2043" s="307"/>
      <c r="FK2043" s="307"/>
      <c r="FL2043" s="306"/>
      <c r="FM2043" s="307"/>
      <c r="FN2043" s="306"/>
      <c r="FO2043" s="307"/>
      <c r="FP2043" s="306"/>
    </row>
    <row r="2044" spans="159:172">
      <c r="FC2044" s="307"/>
      <c r="FD2044" s="166"/>
      <c r="FF2044" s="307"/>
      <c r="FH2044" s="306"/>
      <c r="FJ2044" s="307"/>
      <c r="FK2044" s="307"/>
      <c r="FL2044" s="306"/>
      <c r="FM2044" s="307"/>
      <c r="FN2044" s="306"/>
      <c r="FO2044" s="307"/>
      <c r="FP2044" s="306"/>
    </row>
    <row r="2045" spans="159:172">
      <c r="FC2045" s="307"/>
      <c r="FD2045" s="166"/>
      <c r="FF2045" s="307"/>
      <c r="FH2045" s="306"/>
      <c r="FJ2045" s="307"/>
      <c r="FK2045" s="307"/>
      <c r="FL2045" s="306"/>
      <c r="FM2045" s="307"/>
      <c r="FN2045" s="306"/>
      <c r="FO2045" s="307"/>
      <c r="FP2045" s="306"/>
    </row>
    <row r="2046" spans="159:172">
      <c r="FC2046" s="307"/>
      <c r="FD2046" s="166"/>
      <c r="FF2046" s="307"/>
      <c r="FH2046" s="306"/>
      <c r="FJ2046" s="307"/>
      <c r="FK2046" s="307"/>
      <c r="FL2046" s="306"/>
      <c r="FM2046" s="307"/>
      <c r="FN2046" s="306"/>
      <c r="FO2046" s="307"/>
      <c r="FP2046" s="306"/>
    </row>
    <row r="2047" spans="159:172">
      <c r="FC2047" s="307"/>
      <c r="FD2047" s="166"/>
      <c r="FF2047" s="307"/>
      <c r="FH2047" s="306"/>
      <c r="FJ2047" s="307"/>
      <c r="FK2047" s="307"/>
      <c r="FL2047" s="306"/>
      <c r="FM2047" s="307"/>
      <c r="FN2047" s="306"/>
      <c r="FO2047" s="307"/>
      <c r="FP2047" s="306"/>
    </row>
    <row r="2048" spans="159:172">
      <c r="FC2048" s="307"/>
      <c r="FD2048" s="166"/>
      <c r="FF2048" s="307"/>
      <c r="FH2048" s="306"/>
      <c r="FJ2048" s="307"/>
      <c r="FK2048" s="307"/>
      <c r="FL2048" s="306"/>
      <c r="FM2048" s="307"/>
      <c r="FN2048" s="306"/>
      <c r="FO2048" s="307"/>
      <c r="FP2048" s="306"/>
    </row>
    <row r="2049" spans="159:172">
      <c r="FC2049" s="307"/>
      <c r="FD2049" s="166"/>
      <c r="FF2049" s="307"/>
      <c r="FH2049" s="306"/>
      <c r="FJ2049" s="307"/>
      <c r="FK2049" s="307"/>
      <c r="FL2049" s="306"/>
      <c r="FM2049" s="307"/>
      <c r="FN2049" s="306"/>
      <c r="FO2049" s="307"/>
      <c r="FP2049" s="306"/>
    </row>
    <row r="2050" spans="159:172">
      <c r="FC2050" s="307"/>
      <c r="FD2050" s="166"/>
      <c r="FF2050" s="307"/>
      <c r="FH2050" s="306"/>
      <c r="FJ2050" s="307"/>
      <c r="FK2050" s="307"/>
      <c r="FL2050" s="306"/>
      <c r="FM2050" s="307"/>
      <c r="FN2050" s="306"/>
      <c r="FO2050" s="307"/>
      <c r="FP2050" s="306"/>
    </row>
    <row r="2051" spans="159:172">
      <c r="FC2051" s="307"/>
      <c r="FD2051" s="166"/>
      <c r="FF2051" s="307"/>
      <c r="FH2051" s="306"/>
      <c r="FJ2051" s="307"/>
      <c r="FK2051" s="307"/>
      <c r="FL2051" s="306"/>
      <c r="FM2051" s="307"/>
      <c r="FN2051" s="306"/>
      <c r="FO2051" s="307"/>
      <c r="FP2051" s="306"/>
    </row>
    <row r="2052" spans="159:172">
      <c r="FC2052" s="307"/>
      <c r="FD2052" s="166"/>
      <c r="FF2052" s="307"/>
      <c r="FH2052" s="306"/>
      <c r="FJ2052" s="307"/>
      <c r="FK2052" s="307"/>
      <c r="FL2052" s="306"/>
      <c r="FM2052" s="307"/>
      <c r="FN2052" s="306"/>
      <c r="FO2052" s="307"/>
      <c r="FP2052" s="306"/>
    </row>
    <row r="2053" spans="159:172">
      <c r="FC2053" s="307"/>
      <c r="FD2053" s="166"/>
      <c r="FF2053" s="307"/>
      <c r="FH2053" s="306"/>
      <c r="FJ2053" s="307"/>
      <c r="FK2053" s="307"/>
      <c r="FL2053" s="306"/>
      <c r="FM2053" s="307"/>
      <c r="FN2053" s="306"/>
      <c r="FO2053" s="307"/>
      <c r="FP2053" s="306"/>
    </row>
    <row r="2054" spans="159:172">
      <c r="FC2054" s="307"/>
      <c r="FD2054" s="166"/>
      <c r="FF2054" s="307"/>
      <c r="FH2054" s="306"/>
      <c r="FJ2054" s="307"/>
      <c r="FK2054" s="307"/>
      <c r="FL2054" s="306"/>
      <c r="FM2054" s="307"/>
      <c r="FN2054" s="306"/>
      <c r="FO2054" s="307"/>
      <c r="FP2054" s="306"/>
    </row>
    <row r="2055" spans="159:172">
      <c r="FC2055" s="307"/>
      <c r="FD2055" s="166"/>
      <c r="FF2055" s="307"/>
      <c r="FH2055" s="306"/>
      <c r="FJ2055" s="307"/>
      <c r="FK2055" s="307"/>
      <c r="FL2055" s="306"/>
      <c r="FM2055" s="307"/>
      <c r="FN2055" s="306"/>
      <c r="FO2055" s="307"/>
      <c r="FP2055" s="306"/>
    </row>
    <row r="2056" spans="159:172">
      <c r="FC2056" s="307"/>
      <c r="FD2056" s="166"/>
      <c r="FF2056" s="307"/>
      <c r="FH2056" s="306"/>
      <c r="FJ2056" s="307"/>
      <c r="FK2056" s="307"/>
      <c r="FL2056" s="306"/>
      <c r="FM2056" s="307"/>
      <c r="FN2056" s="306"/>
      <c r="FO2056" s="307"/>
      <c r="FP2056" s="306"/>
    </row>
    <row r="2057" spans="159:172">
      <c r="FC2057" s="307"/>
      <c r="FD2057" s="166"/>
      <c r="FF2057" s="307"/>
      <c r="FH2057" s="306"/>
      <c r="FJ2057" s="307"/>
      <c r="FK2057" s="307"/>
      <c r="FL2057" s="306"/>
      <c r="FM2057" s="307"/>
      <c r="FN2057" s="306"/>
      <c r="FO2057" s="307"/>
      <c r="FP2057" s="306"/>
    </row>
    <row r="2058" spans="159:172">
      <c r="FC2058" s="307"/>
      <c r="FD2058" s="166"/>
      <c r="FF2058" s="307"/>
      <c r="FH2058" s="306"/>
      <c r="FJ2058" s="307"/>
      <c r="FK2058" s="307"/>
      <c r="FL2058" s="306"/>
      <c r="FM2058" s="307"/>
      <c r="FN2058" s="306"/>
      <c r="FO2058" s="307"/>
      <c r="FP2058" s="306"/>
    </row>
    <row r="2059" spans="159:172">
      <c r="FC2059" s="307"/>
      <c r="FD2059" s="166"/>
      <c r="FF2059" s="307"/>
      <c r="FH2059" s="306"/>
      <c r="FJ2059" s="307"/>
      <c r="FK2059" s="307"/>
      <c r="FL2059" s="306"/>
      <c r="FM2059" s="307"/>
      <c r="FN2059" s="306"/>
      <c r="FO2059" s="307"/>
      <c r="FP2059" s="306"/>
    </row>
    <row r="2060" spans="159:172">
      <c r="FC2060" s="307"/>
      <c r="FD2060" s="166"/>
      <c r="FF2060" s="307"/>
      <c r="FH2060" s="306"/>
      <c r="FJ2060" s="307"/>
      <c r="FK2060" s="307"/>
      <c r="FL2060" s="306"/>
      <c r="FM2060" s="307"/>
      <c r="FN2060" s="306"/>
      <c r="FO2060" s="307"/>
      <c r="FP2060" s="306"/>
    </row>
    <row r="2061" spans="159:172">
      <c r="FC2061" s="307"/>
      <c r="FD2061" s="166"/>
      <c r="FF2061" s="307"/>
      <c r="FH2061" s="306"/>
      <c r="FJ2061" s="307"/>
      <c r="FK2061" s="307"/>
      <c r="FL2061" s="306"/>
      <c r="FM2061" s="307"/>
      <c r="FN2061" s="306"/>
      <c r="FO2061" s="307"/>
      <c r="FP2061" s="306"/>
    </row>
    <row r="2062" spans="159:172">
      <c r="FC2062" s="307"/>
      <c r="FD2062" s="166"/>
      <c r="FF2062" s="307"/>
      <c r="FH2062" s="306"/>
      <c r="FJ2062" s="307"/>
      <c r="FK2062" s="307"/>
      <c r="FL2062" s="306"/>
      <c r="FM2062" s="307"/>
      <c r="FN2062" s="306"/>
      <c r="FO2062" s="307"/>
      <c r="FP2062" s="306"/>
    </row>
    <row r="2063" spans="159:172">
      <c r="FC2063" s="307"/>
      <c r="FD2063" s="166"/>
      <c r="FF2063" s="307"/>
      <c r="FH2063" s="306"/>
      <c r="FJ2063" s="307"/>
      <c r="FK2063" s="307"/>
      <c r="FL2063" s="306"/>
      <c r="FM2063" s="307"/>
      <c r="FN2063" s="306"/>
      <c r="FO2063" s="307"/>
      <c r="FP2063" s="306"/>
    </row>
    <row r="2064" spans="159:172">
      <c r="FC2064" s="307"/>
      <c r="FD2064" s="166"/>
      <c r="FF2064" s="307"/>
      <c r="FH2064" s="306"/>
      <c r="FJ2064" s="307"/>
      <c r="FK2064" s="307"/>
      <c r="FL2064" s="306"/>
      <c r="FM2064" s="307"/>
      <c r="FN2064" s="306"/>
      <c r="FO2064" s="307"/>
      <c r="FP2064" s="306"/>
    </row>
    <row r="2065" spans="159:172">
      <c r="FC2065" s="307"/>
      <c r="FD2065" s="166"/>
      <c r="FF2065" s="307"/>
      <c r="FH2065" s="306"/>
      <c r="FJ2065" s="307"/>
      <c r="FK2065" s="307"/>
      <c r="FL2065" s="306"/>
      <c r="FM2065" s="307"/>
      <c r="FN2065" s="306"/>
      <c r="FO2065" s="307"/>
      <c r="FP2065" s="306"/>
    </row>
    <row r="2066" spans="159:172">
      <c r="FC2066" s="307"/>
      <c r="FD2066" s="166"/>
      <c r="FF2066" s="307"/>
      <c r="FH2066" s="306"/>
      <c r="FJ2066" s="307"/>
      <c r="FK2066" s="307"/>
      <c r="FL2066" s="306"/>
      <c r="FM2066" s="307"/>
      <c r="FN2066" s="306"/>
      <c r="FO2066" s="307"/>
      <c r="FP2066" s="306"/>
    </row>
    <row r="2067" spans="159:172">
      <c r="FC2067" s="307"/>
      <c r="FD2067" s="166"/>
      <c r="FF2067" s="307"/>
      <c r="FH2067" s="306"/>
      <c r="FJ2067" s="307"/>
      <c r="FK2067" s="307"/>
      <c r="FL2067" s="306"/>
      <c r="FM2067" s="307"/>
      <c r="FN2067" s="306"/>
      <c r="FO2067" s="307"/>
      <c r="FP2067" s="306"/>
    </row>
    <row r="2068" spans="159:172">
      <c r="FC2068" s="307"/>
      <c r="FD2068" s="166"/>
      <c r="FF2068" s="307"/>
      <c r="FH2068" s="306"/>
      <c r="FJ2068" s="307"/>
      <c r="FK2068" s="307"/>
      <c r="FL2068" s="306"/>
      <c r="FM2068" s="307"/>
      <c r="FN2068" s="306"/>
      <c r="FO2068" s="307"/>
      <c r="FP2068" s="306"/>
    </row>
    <row r="2069" spans="159:172">
      <c r="FC2069" s="307"/>
      <c r="FD2069" s="166"/>
      <c r="FF2069" s="307"/>
      <c r="FH2069" s="306"/>
      <c r="FJ2069" s="307"/>
      <c r="FK2069" s="307"/>
      <c r="FL2069" s="306"/>
      <c r="FM2069" s="307"/>
      <c r="FN2069" s="306"/>
      <c r="FO2069" s="307"/>
      <c r="FP2069" s="306"/>
    </row>
    <row r="2070" spans="159:172">
      <c r="FC2070" s="307"/>
      <c r="FD2070" s="166"/>
      <c r="FF2070" s="307"/>
      <c r="FH2070" s="306"/>
      <c r="FJ2070" s="307"/>
      <c r="FK2070" s="307"/>
      <c r="FL2070" s="306"/>
      <c r="FM2070" s="307"/>
      <c r="FN2070" s="306"/>
      <c r="FO2070" s="307"/>
      <c r="FP2070" s="306"/>
    </row>
    <row r="2071" spans="159:172">
      <c r="FC2071" s="307"/>
      <c r="FD2071" s="166"/>
      <c r="FF2071" s="307"/>
      <c r="FH2071" s="306"/>
      <c r="FJ2071" s="307"/>
      <c r="FK2071" s="307"/>
      <c r="FL2071" s="306"/>
      <c r="FM2071" s="307"/>
      <c r="FN2071" s="306"/>
      <c r="FO2071" s="307"/>
      <c r="FP2071" s="306"/>
    </row>
    <row r="2072" spans="159:172">
      <c r="FC2072" s="307"/>
      <c r="FD2072" s="166"/>
      <c r="FF2072" s="307"/>
      <c r="FH2072" s="306"/>
      <c r="FJ2072" s="307"/>
      <c r="FK2072" s="307"/>
      <c r="FL2072" s="306"/>
      <c r="FM2072" s="307"/>
      <c r="FN2072" s="306"/>
      <c r="FO2072" s="307"/>
      <c r="FP2072" s="306"/>
    </row>
    <row r="2073" spans="159:172">
      <c r="FC2073" s="307"/>
      <c r="FD2073" s="166"/>
      <c r="FF2073" s="307"/>
      <c r="FH2073" s="306"/>
      <c r="FJ2073" s="307"/>
      <c r="FK2073" s="307"/>
      <c r="FL2073" s="306"/>
      <c r="FM2073" s="307"/>
      <c r="FN2073" s="306"/>
      <c r="FO2073" s="307"/>
      <c r="FP2073" s="306"/>
    </row>
    <row r="2074" spans="159:172">
      <c r="FC2074" s="307"/>
      <c r="FD2074" s="166"/>
      <c r="FF2074" s="307"/>
      <c r="FH2074" s="306"/>
      <c r="FJ2074" s="307"/>
      <c r="FK2074" s="307"/>
      <c r="FL2074" s="306"/>
      <c r="FM2074" s="307"/>
      <c r="FN2074" s="306"/>
      <c r="FO2074" s="307"/>
      <c r="FP2074" s="306"/>
    </row>
    <row r="2075" spans="159:172">
      <c r="FC2075" s="307"/>
      <c r="FD2075" s="166"/>
      <c r="FF2075" s="307"/>
      <c r="FH2075" s="306"/>
      <c r="FJ2075" s="307"/>
      <c r="FK2075" s="307"/>
      <c r="FL2075" s="306"/>
      <c r="FM2075" s="307"/>
      <c r="FN2075" s="306"/>
      <c r="FO2075" s="307"/>
      <c r="FP2075" s="306"/>
    </row>
    <row r="2076" spans="159:172">
      <c r="FC2076" s="307"/>
      <c r="FD2076" s="166"/>
      <c r="FF2076" s="307"/>
      <c r="FH2076" s="306"/>
      <c r="FJ2076" s="307"/>
      <c r="FK2076" s="307"/>
      <c r="FL2076" s="306"/>
      <c r="FM2076" s="307"/>
      <c r="FN2076" s="306"/>
      <c r="FO2076" s="307"/>
      <c r="FP2076" s="306"/>
    </row>
    <row r="2077" spans="159:172">
      <c r="FC2077" s="307"/>
      <c r="FD2077" s="166"/>
      <c r="FF2077" s="307"/>
      <c r="FH2077" s="306"/>
      <c r="FJ2077" s="307"/>
      <c r="FK2077" s="307"/>
      <c r="FL2077" s="306"/>
      <c r="FM2077" s="307"/>
      <c r="FN2077" s="306"/>
      <c r="FO2077" s="307"/>
      <c r="FP2077" s="306"/>
    </row>
    <row r="2078" spans="159:172">
      <c r="FC2078" s="307"/>
      <c r="FD2078" s="166"/>
      <c r="FF2078" s="307"/>
      <c r="FH2078" s="306"/>
      <c r="FJ2078" s="307"/>
      <c r="FK2078" s="307"/>
      <c r="FL2078" s="306"/>
      <c r="FM2078" s="307"/>
      <c r="FN2078" s="306"/>
      <c r="FO2078" s="307"/>
      <c r="FP2078" s="306"/>
    </row>
    <row r="2079" spans="159:172">
      <c r="FC2079" s="307"/>
      <c r="FD2079" s="166"/>
      <c r="FF2079" s="307"/>
      <c r="FH2079" s="306"/>
      <c r="FJ2079" s="307"/>
      <c r="FK2079" s="307"/>
      <c r="FL2079" s="306"/>
      <c r="FM2079" s="307"/>
      <c r="FN2079" s="306"/>
      <c r="FO2079" s="307"/>
      <c r="FP2079" s="306"/>
    </row>
    <row r="2080" spans="159:172">
      <c r="FC2080" s="307"/>
      <c r="FD2080" s="166"/>
      <c r="FF2080" s="307"/>
      <c r="FH2080" s="306"/>
      <c r="FJ2080" s="307"/>
      <c r="FK2080" s="307"/>
      <c r="FL2080" s="306"/>
      <c r="FM2080" s="307"/>
      <c r="FN2080" s="306"/>
      <c r="FO2080" s="307"/>
      <c r="FP2080" s="306"/>
    </row>
    <row r="2081" spans="159:172">
      <c r="FC2081" s="307"/>
      <c r="FD2081" s="166"/>
      <c r="FF2081" s="307"/>
      <c r="FH2081" s="306"/>
      <c r="FJ2081" s="307"/>
      <c r="FK2081" s="307"/>
      <c r="FL2081" s="306"/>
      <c r="FM2081" s="307"/>
      <c r="FN2081" s="306"/>
      <c r="FO2081" s="307"/>
      <c r="FP2081" s="306"/>
    </row>
    <row r="2082" spans="159:172">
      <c r="FC2082" s="307"/>
      <c r="FD2082" s="166"/>
      <c r="FF2082" s="307"/>
      <c r="FH2082" s="306"/>
      <c r="FJ2082" s="307"/>
      <c r="FK2082" s="307"/>
      <c r="FL2082" s="306"/>
      <c r="FM2082" s="307"/>
      <c r="FN2082" s="306"/>
      <c r="FO2082" s="307"/>
      <c r="FP2082" s="306"/>
    </row>
    <row r="2083" spans="159:172">
      <c r="FC2083" s="307"/>
      <c r="FD2083" s="166"/>
      <c r="FF2083" s="307"/>
      <c r="FH2083" s="306"/>
      <c r="FJ2083" s="307"/>
      <c r="FK2083" s="307"/>
      <c r="FL2083" s="306"/>
      <c r="FM2083" s="307"/>
      <c r="FN2083" s="306"/>
      <c r="FO2083" s="307"/>
      <c r="FP2083" s="306"/>
    </row>
    <row r="2084" spans="159:172">
      <c r="FC2084" s="307"/>
      <c r="FD2084" s="166"/>
      <c r="FF2084" s="307"/>
      <c r="FH2084" s="306"/>
      <c r="FJ2084" s="307"/>
      <c r="FK2084" s="307"/>
      <c r="FL2084" s="306"/>
      <c r="FM2084" s="307"/>
      <c r="FN2084" s="306"/>
      <c r="FO2084" s="307"/>
      <c r="FP2084" s="306"/>
    </row>
    <row r="2085" spans="159:172">
      <c r="FC2085" s="307"/>
      <c r="FD2085" s="166"/>
      <c r="FF2085" s="307"/>
      <c r="FH2085" s="306"/>
      <c r="FJ2085" s="307"/>
      <c r="FK2085" s="307"/>
      <c r="FL2085" s="306"/>
      <c r="FM2085" s="307"/>
      <c r="FN2085" s="306"/>
      <c r="FO2085" s="307"/>
      <c r="FP2085" s="306"/>
    </row>
    <row r="2086" spans="159:172">
      <c r="FC2086" s="307"/>
      <c r="FD2086" s="166"/>
      <c r="FF2086" s="307"/>
      <c r="FH2086" s="306"/>
      <c r="FJ2086" s="307"/>
      <c r="FK2086" s="307"/>
      <c r="FL2086" s="306"/>
      <c r="FM2086" s="307"/>
      <c r="FN2086" s="306"/>
      <c r="FO2086" s="307"/>
      <c r="FP2086" s="306"/>
    </row>
    <row r="2087" spans="159:172">
      <c r="FC2087" s="307"/>
      <c r="FD2087" s="166"/>
      <c r="FF2087" s="307"/>
      <c r="FH2087" s="306"/>
      <c r="FJ2087" s="307"/>
      <c r="FK2087" s="307"/>
      <c r="FL2087" s="306"/>
      <c r="FM2087" s="307"/>
      <c r="FN2087" s="306"/>
      <c r="FO2087" s="307"/>
      <c r="FP2087" s="306"/>
    </row>
    <row r="2088" spans="159:172">
      <c r="FC2088" s="307"/>
      <c r="FD2088" s="166"/>
      <c r="FF2088" s="307"/>
      <c r="FH2088" s="306"/>
      <c r="FJ2088" s="307"/>
      <c r="FK2088" s="307"/>
      <c r="FL2088" s="306"/>
      <c r="FM2088" s="307"/>
      <c r="FN2088" s="306"/>
      <c r="FO2088" s="307"/>
      <c r="FP2088" s="306"/>
    </row>
    <row r="2089" spans="159:172">
      <c r="FC2089" s="307"/>
      <c r="FD2089" s="166"/>
      <c r="FF2089" s="307"/>
      <c r="FH2089" s="306"/>
      <c r="FJ2089" s="307"/>
      <c r="FK2089" s="307"/>
      <c r="FL2089" s="306"/>
      <c r="FM2089" s="307"/>
      <c r="FN2089" s="306"/>
      <c r="FO2089" s="307"/>
      <c r="FP2089" s="306"/>
    </row>
    <row r="2090" spans="159:172">
      <c r="FC2090" s="307"/>
      <c r="FD2090" s="166"/>
      <c r="FF2090" s="307"/>
      <c r="FH2090" s="306"/>
      <c r="FJ2090" s="307"/>
      <c r="FK2090" s="307"/>
      <c r="FL2090" s="306"/>
      <c r="FM2090" s="307"/>
      <c r="FN2090" s="306"/>
      <c r="FO2090" s="307"/>
      <c r="FP2090" s="306"/>
    </row>
    <row r="2091" spans="159:172">
      <c r="FC2091" s="307"/>
      <c r="FD2091" s="166"/>
      <c r="FF2091" s="307"/>
      <c r="FH2091" s="306"/>
      <c r="FJ2091" s="307"/>
      <c r="FK2091" s="307"/>
      <c r="FL2091" s="306"/>
      <c r="FM2091" s="307"/>
      <c r="FN2091" s="306"/>
      <c r="FO2091" s="307"/>
      <c r="FP2091" s="306"/>
    </row>
    <row r="2092" spans="159:172">
      <c r="FC2092" s="307"/>
      <c r="FD2092" s="166"/>
      <c r="FF2092" s="307"/>
      <c r="FH2092" s="306"/>
      <c r="FJ2092" s="307"/>
      <c r="FK2092" s="307"/>
      <c r="FL2092" s="306"/>
      <c r="FM2092" s="307"/>
      <c r="FN2092" s="306"/>
      <c r="FO2092" s="307"/>
      <c r="FP2092" s="306"/>
    </row>
    <row r="2093" spans="159:172">
      <c r="FC2093" s="307"/>
      <c r="FD2093" s="166"/>
      <c r="FF2093" s="307"/>
      <c r="FH2093" s="306"/>
      <c r="FJ2093" s="307"/>
      <c r="FK2093" s="307"/>
      <c r="FL2093" s="306"/>
      <c r="FM2093" s="307"/>
      <c r="FN2093" s="306"/>
      <c r="FO2093" s="307"/>
      <c r="FP2093" s="306"/>
    </row>
    <row r="2094" spans="159:172">
      <c r="FC2094" s="307"/>
      <c r="FD2094" s="166"/>
      <c r="FF2094" s="307"/>
      <c r="FH2094" s="306"/>
      <c r="FJ2094" s="307"/>
      <c r="FK2094" s="307"/>
      <c r="FL2094" s="306"/>
      <c r="FM2094" s="307"/>
      <c r="FN2094" s="306"/>
      <c r="FO2094" s="307"/>
      <c r="FP2094" s="306"/>
    </row>
    <row r="2095" spans="159:172">
      <c r="FC2095" s="307"/>
      <c r="FD2095" s="166"/>
      <c r="FF2095" s="307"/>
      <c r="FH2095" s="306"/>
      <c r="FJ2095" s="307"/>
      <c r="FK2095" s="307"/>
      <c r="FL2095" s="306"/>
      <c r="FM2095" s="307"/>
      <c r="FN2095" s="306"/>
      <c r="FO2095" s="307"/>
      <c r="FP2095" s="306"/>
    </row>
    <row r="2096" spans="159:172">
      <c r="FC2096" s="307"/>
      <c r="FD2096" s="166"/>
      <c r="FF2096" s="307"/>
      <c r="FH2096" s="306"/>
      <c r="FJ2096" s="307"/>
      <c r="FK2096" s="307"/>
      <c r="FL2096" s="306"/>
      <c r="FM2096" s="307"/>
      <c r="FN2096" s="306"/>
      <c r="FO2096" s="307"/>
      <c r="FP2096" s="306"/>
    </row>
    <row r="2097" spans="159:172">
      <c r="FC2097" s="307"/>
      <c r="FD2097" s="166"/>
      <c r="FF2097" s="307"/>
      <c r="FH2097" s="306"/>
      <c r="FJ2097" s="307"/>
      <c r="FK2097" s="307"/>
      <c r="FL2097" s="306"/>
      <c r="FM2097" s="307"/>
      <c r="FN2097" s="306"/>
      <c r="FO2097" s="307"/>
      <c r="FP2097" s="306"/>
    </row>
    <row r="2098" spans="159:172">
      <c r="FC2098" s="307"/>
      <c r="FD2098" s="166"/>
      <c r="FF2098" s="307"/>
      <c r="FH2098" s="306"/>
      <c r="FJ2098" s="307"/>
      <c r="FK2098" s="307"/>
      <c r="FL2098" s="306"/>
      <c r="FM2098" s="307"/>
      <c r="FN2098" s="306"/>
      <c r="FO2098" s="307"/>
      <c r="FP2098" s="306"/>
    </row>
    <row r="2099" spans="159:172">
      <c r="FC2099" s="307"/>
      <c r="FD2099" s="166"/>
      <c r="FF2099" s="307"/>
      <c r="FH2099" s="306"/>
      <c r="FJ2099" s="307"/>
      <c r="FK2099" s="307"/>
      <c r="FL2099" s="306"/>
      <c r="FM2099" s="307"/>
      <c r="FN2099" s="306"/>
      <c r="FO2099" s="307"/>
      <c r="FP2099" s="306"/>
    </row>
    <row r="2100" spans="159:172">
      <c r="FC2100" s="307"/>
      <c r="FD2100" s="166"/>
      <c r="FF2100" s="307"/>
      <c r="FH2100" s="306"/>
      <c r="FJ2100" s="307"/>
      <c r="FK2100" s="307"/>
      <c r="FL2100" s="306"/>
      <c r="FM2100" s="307"/>
      <c r="FN2100" s="306"/>
      <c r="FO2100" s="307"/>
      <c r="FP2100" s="306"/>
    </row>
    <row r="2101" spans="159:172">
      <c r="FC2101" s="307"/>
      <c r="FD2101" s="166"/>
      <c r="FF2101" s="307"/>
      <c r="FH2101" s="306"/>
      <c r="FJ2101" s="307"/>
      <c r="FK2101" s="307"/>
      <c r="FL2101" s="306"/>
      <c r="FM2101" s="307"/>
      <c r="FN2101" s="306"/>
      <c r="FO2101" s="307"/>
      <c r="FP2101" s="306"/>
    </row>
    <row r="2102" spans="159:172">
      <c r="FC2102" s="307"/>
      <c r="FD2102" s="166"/>
      <c r="FF2102" s="307"/>
      <c r="FH2102" s="306"/>
      <c r="FJ2102" s="307"/>
      <c r="FK2102" s="307"/>
      <c r="FL2102" s="306"/>
      <c r="FM2102" s="307"/>
      <c r="FN2102" s="306"/>
      <c r="FO2102" s="307"/>
      <c r="FP2102" s="306"/>
    </row>
    <row r="2103" spans="159:172">
      <c r="FC2103" s="307"/>
      <c r="FD2103" s="166"/>
      <c r="FF2103" s="307"/>
      <c r="FH2103" s="306"/>
      <c r="FJ2103" s="307"/>
      <c r="FK2103" s="307"/>
      <c r="FL2103" s="306"/>
      <c r="FM2103" s="307"/>
      <c r="FN2103" s="306"/>
      <c r="FO2103" s="307"/>
      <c r="FP2103" s="306"/>
    </row>
    <row r="2104" spans="159:172">
      <c r="FC2104" s="307"/>
      <c r="FD2104" s="166"/>
      <c r="FF2104" s="307"/>
      <c r="FH2104" s="306"/>
      <c r="FJ2104" s="307"/>
      <c r="FK2104" s="307"/>
      <c r="FL2104" s="306"/>
      <c r="FM2104" s="307"/>
      <c r="FN2104" s="306"/>
      <c r="FO2104" s="307"/>
      <c r="FP2104" s="306"/>
    </row>
    <row r="2105" spans="159:172">
      <c r="FC2105" s="307"/>
      <c r="FD2105" s="166"/>
      <c r="FF2105" s="307"/>
      <c r="FH2105" s="306"/>
      <c r="FJ2105" s="307"/>
      <c r="FK2105" s="307"/>
      <c r="FL2105" s="306"/>
      <c r="FM2105" s="307"/>
      <c r="FN2105" s="306"/>
      <c r="FO2105" s="307"/>
      <c r="FP2105" s="306"/>
    </row>
    <row r="2106" spans="159:172">
      <c r="FC2106" s="307"/>
      <c r="FD2106" s="166"/>
      <c r="FF2106" s="307"/>
      <c r="FH2106" s="306"/>
      <c r="FJ2106" s="307"/>
      <c r="FK2106" s="307"/>
      <c r="FL2106" s="306"/>
      <c r="FM2106" s="307"/>
      <c r="FN2106" s="306"/>
      <c r="FO2106" s="307"/>
      <c r="FP2106" s="306"/>
    </row>
    <row r="2107" spans="159:172">
      <c r="FC2107" s="307"/>
      <c r="FD2107" s="166"/>
      <c r="FF2107" s="307"/>
      <c r="FH2107" s="306"/>
      <c r="FJ2107" s="307"/>
      <c r="FK2107" s="307"/>
      <c r="FL2107" s="306"/>
      <c r="FM2107" s="307"/>
      <c r="FN2107" s="306"/>
      <c r="FO2107" s="307"/>
      <c r="FP2107" s="306"/>
    </row>
    <row r="2108" spans="159:172">
      <c r="FC2108" s="307"/>
      <c r="FD2108" s="166"/>
      <c r="FF2108" s="307"/>
      <c r="FH2108" s="306"/>
      <c r="FJ2108" s="307"/>
      <c r="FK2108" s="307"/>
      <c r="FL2108" s="306"/>
      <c r="FM2108" s="307"/>
      <c r="FN2108" s="306"/>
      <c r="FO2108" s="307"/>
      <c r="FP2108" s="306"/>
    </row>
    <row r="2109" spans="159:172">
      <c r="FC2109" s="307"/>
      <c r="FD2109" s="166"/>
      <c r="FF2109" s="307"/>
      <c r="FH2109" s="306"/>
      <c r="FJ2109" s="307"/>
      <c r="FK2109" s="307"/>
      <c r="FL2109" s="306"/>
      <c r="FM2109" s="307"/>
      <c r="FN2109" s="306"/>
      <c r="FO2109" s="307"/>
      <c r="FP2109" s="306"/>
    </row>
    <row r="2110" spans="159:172">
      <c r="FC2110" s="307"/>
      <c r="FD2110" s="166"/>
      <c r="FF2110" s="307"/>
      <c r="FH2110" s="306"/>
      <c r="FJ2110" s="307"/>
      <c r="FK2110" s="307"/>
      <c r="FL2110" s="306"/>
      <c r="FM2110" s="307"/>
      <c r="FN2110" s="306"/>
      <c r="FO2110" s="307"/>
      <c r="FP2110" s="306"/>
    </row>
    <row r="2111" spans="159:172">
      <c r="FC2111" s="307"/>
      <c r="FD2111" s="166"/>
      <c r="FF2111" s="307"/>
      <c r="FH2111" s="306"/>
      <c r="FJ2111" s="307"/>
      <c r="FK2111" s="307"/>
      <c r="FL2111" s="306"/>
      <c r="FM2111" s="307"/>
      <c r="FN2111" s="306"/>
      <c r="FO2111" s="307"/>
      <c r="FP2111" s="306"/>
    </row>
    <row r="2112" spans="159:172">
      <c r="FC2112" s="307"/>
      <c r="FD2112" s="166"/>
      <c r="FF2112" s="307"/>
      <c r="FH2112" s="306"/>
      <c r="FJ2112" s="307"/>
      <c r="FK2112" s="307"/>
      <c r="FL2112" s="306"/>
      <c r="FM2112" s="307"/>
      <c r="FN2112" s="306"/>
      <c r="FO2112" s="307"/>
      <c r="FP2112" s="306"/>
    </row>
    <row r="2113" spans="159:172">
      <c r="FC2113" s="307"/>
      <c r="FD2113" s="166"/>
      <c r="FF2113" s="307"/>
      <c r="FH2113" s="306"/>
      <c r="FJ2113" s="307"/>
      <c r="FK2113" s="307"/>
      <c r="FL2113" s="306"/>
      <c r="FM2113" s="307"/>
      <c r="FN2113" s="306"/>
      <c r="FO2113" s="307"/>
      <c r="FP2113" s="306"/>
    </row>
    <row r="2114" spans="159:172">
      <c r="FC2114" s="307"/>
      <c r="FD2114" s="166"/>
      <c r="FF2114" s="307"/>
      <c r="FH2114" s="306"/>
      <c r="FJ2114" s="307"/>
      <c r="FK2114" s="307"/>
      <c r="FL2114" s="306"/>
      <c r="FM2114" s="307"/>
      <c r="FN2114" s="306"/>
      <c r="FO2114" s="307"/>
      <c r="FP2114" s="306"/>
    </row>
    <row r="2115" spans="159:172">
      <c r="FC2115" s="307"/>
      <c r="FD2115" s="166"/>
      <c r="FF2115" s="307"/>
      <c r="FH2115" s="306"/>
      <c r="FJ2115" s="307"/>
      <c r="FK2115" s="307"/>
      <c r="FL2115" s="306"/>
      <c r="FM2115" s="307"/>
      <c r="FN2115" s="306"/>
      <c r="FO2115" s="307"/>
      <c r="FP2115" s="306"/>
    </row>
    <row r="2116" spans="159:172">
      <c r="FC2116" s="307"/>
      <c r="FD2116" s="166"/>
      <c r="FF2116" s="307"/>
      <c r="FH2116" s="306"/>
      <c r="FJ2116" s="307"/>
      <c r="FK2116" s="307"/>
      <c r="FL2116" s="306"/>
      <c r="FM2116" s="307"/>
      <c r="FN2116" s="306"/>
      <c r="FO2116" s="307"/>
      <c r="FP2116" s="306"/>
    </row>
    <row r="2117" spans="159:172">
      <c r="FC2117" s="307"/>
      <c r="FD2117" s="166"/>
      <c r="FF2117" s="307"/>
      <c r="FH2117" s="306"/>
      <c r="FJ2117" s="307"/>
      <c r="FK2117" s="307"/>
      <c r="FL2117" s="306"/>
      <c r="FM2117" s="307"/>
      <c r="FN2117" s="306"/>
      <c r="FO2117" s="307"/>
      <c r="FP2117" s="306"/>
    </row>
    <row r="2118" spans="159:172">
      <c r="FC2118" s="307"/>
      <c r="FD2118" s="166"/>
      <c r="FF2118" s="307"/>
      <c r="FH2118" s="306"/>
      <c r="FJ2118" s="307"/>
      <c r="FK2118" s="307"/>
      <c r="FL2118" s="306"/>
      <c r="FM2118" s="307"/>
      <c r="FN2118" s="306"/>
      <c r="FO2118" s="307"/>
      <c r="FP2118" s="306"/>
    </row>
    <row r="2119" spans="159:172">
      <c r="FC2119" s="307"/>
      <c r="FD2119" s="166"/>
      <c r="FF2119" s="307"/>
      <c r="FH2119" s="306"/>
      <c r="FJ2119" s="307"/>
      <c r="FK2119" s="307"/>
      <c r="FL2119" s="306"/>
      <c r="FM2119" s="307"/>
      <c r="FN2119" s="306"/>
      <c r="FO2119" s="307"/>
      <c r="FP2119" s="306"/>
    </row>
    <row r="2120" spans="159:172">
      <c r="FC2120" s="307"/>
      <c r="FD2120" s="166"/>
      <c r="FF2120" s="307"/>
      <c r="FH2120" s="306"/>
      <c r="FJ2120" s="307"/>
      <c r="FK2120" s="307"/>
      <c r="FL2120" s="306"/>
      <c r="FM2120" s="307"/>
      <c r="FN2120" s="306"/>
      <c r="FO2120" s="307"/>
      <c r="FP2120" s="306"/>
    </row>
    <row r="2121" spans="159:172">
      <c r="FC2121" s="307"/>
      <c r="FD2121" s="166"/>
      <c r="FF2121" s="307"/>
      <c r="FH2121" s="306"/>
      <c r="FJ2121" s="307"/>
      <c r="FK2121" s="307"/>
      <c r="FL2121" s="306"/>
      <c r="FM2121" s="307"/>
      <c r="FN2121" s="306"/>
      <c r="FO2121" s="307"/>
      <c r="FP2121" s="306"/>
    </row>
    <row r="2122" spans="159:172">
      <c r="FC2122" s="307"/>
      <c r="FD2122" s="166"/>
      <c r="FF2122" s="307"/>
      <c r="FH2122" s="306"/>
      <c r="FJ2122" s="307"/>
      <c r="FK2122" s="307"/>
      <c r="FL2122" s="306"/>
      <c r="FM2122" s="307"/>
      <c r="FN2122" s="306"/>
      <c r="FO2122" s="307"/>
      <c r="FP2122" s="306"/>
    </row>
    <row r="2123" spans="159:172">
      <c r="FC2123" s="307"/>
      <c r="FD2123" s="166"/>
      <c r="FF2123" s="307"/>
      <c r="FH2123" s="306"/>
      <c r="FJ2123" s="307"/>
      <c r="FK2123" s="307"/>
      <c r="FL2123" s="306"/>
      <c r="FM2123" s="307"/>
      <c r="FN2123" s="306"/>
      <c r="FO2123" s="307"/>
      <c r="FP2123" s="306"/>
    </row>
    <row r="2124" spans="159:172">
      <c r="FC2124" s="307"/>
      <c r="FD2124" s="166"/>
      <c r="FF2124" s="307"/>
      <c r="FH2124" s="306"/>
      <c r="FJ2124" s="307"/>
      <c r="FK2124" s="307"/>
      <c r="FL2124" s="306"/>
      <c r="FM2124" s="307"/>
      <c r="FN2124" s="306"/>
      <c r="FO2124" s="307"/>
      <c r="FP2124" s="306"/>
    </row>
    <row r="2125" spans="159:172">
      <c r="FC2125" s="307"/>
      <c r="FD2125" s="166"/>
      <c r="FF2125" s="307"/>
      <c r="FH2125" s="306"/>
      <c r="FJ2125" s="307"/>
      <c r="FK2125" s="307"/>
      <c r="FL2125" s="306"/>
      <c r="FM2125" s="307"/>
      <c r="FN2125" s="306"/>
      <c r="FO2125" s="307"/>
      <c r="FP2125" s="306"/>
    </row>
    <row r="2126" spans="159:172">
      <c r="FC2126" s="307"/>
      <c r="FD2126" s="166"/>
      <c r="FF2126" s="307"/>
      <c r="FH2126" s="306"/>
      <c r="FJ2126" s="307"/>
      <c r="FK2126" s="307"/>
      <c r="FL2126" s="306"/>
      <c r="FM2126" s="307"/>
      <c r="FN2126" s="306"/>
      <c r="FO2126" s="307"/>
      <c r="FP2126" s="306"/>
    </row>
    <row r="2127" spans="159:172">
      <c r="FC2127" s="307"/>
      <c r="FD2127" s="166"/>
      <c r="FF2127" s="307"/>
      <c r="FH2127" s="306"/>
      <c r="FJ2127" s="307"/>
      <c r="FK2127" s="307"/>
      <c r="FL2127" s="306"/>
      <c r="FM2127" s="307"/>
      <c r="FN2127" s="306"/>
      <c r="FO2127" s="307"/>
      <c r="FP2127" s="306"/>
    </row>
    <row r="2128" spans="159:172">
      <c r="FC2128" s="307"/>
      <c r="FD2128" s="166"/>
      <c r="FF2128" s="307"/>
      <c r="FH2128" s="306"/>
      <c r="FJ2128" s="307"/>
      <c r="FK2128" s="307"/>
      <c r="FL2128" s="306"/>
      <c r="FM2128" s="307"/>
      <c r="FN2128" s="306"/>
      <c r="FO2128" s="307"/>
      <c r="FP2128" s="306"/>
    </row>
    <row r="2129" spans="159:172">
      <c r="FC2129" s="307"/>
      <c r="FD2129" s="166"/>
      <c r="FF2129" s="307"/>
      <c r="FH2129" s="306"/>
      <c r="FJ2129" s="307"/>
      <c r="FK2129" s="307"/>
      <c r="FL2129" s="306"/>
      <c r="FM2129" s="307"/>
      <c r="FN2129" s="306"/>
      <c r="FO2129" s="307"/>
      <c r="FP2129" s="306"/>
    </row>
    <row r="2130" spans="159:172">
      <c r="FC2130" s="307"/>
      <c r="FD2130" s="166"/>
      <c r="FF2130" s="307"/>
      <c r="FH2130" s="306"/>
      <c r="FJ2130" s="307"/>
      <c r="FK2130" s="307"/>
      <c r="FL2130" s="306"/>
      <c r="FM2130" s="307"/>
      <c r="FN2130" s="306"/>
      <c r="FO2130" s="307"/>
      <c r="FP2130" s="306"/>
    </row>
    <row r="2131" spans="159:172">
      <c r="FC2131" s="307"/>
      <c r="FD2131" s="166"/>
      <c r="FF2131" s="307"/>
      <c r="FH2131" s="306"/>
      <c r="FJ2131" s="307"/>
      <c r="FK2131" s="307"/>
      <c r="FL2131" s="306"/>
      <c r="FM2131" s="307"/>
      <c r="FN2131" s="306"/>
      <c r="FO2131" s="307"/>
      <c r="FP2131" s="306"/>
    </row>
    <row r="2132" spans="159:172">
      <c r="FC2132" s="307"/>
      <c r="FD2132" s="166"/>
      <c r="FF2132" s="307"/>
      <c r="FH2132" s="306"/>
      <c r="FJ2132" s="307"/>
      <c r="FK2132" s="307"/>
      <c r="FL2132" s="306"/>
      <c r="FM2132" s="307"/>
      <c r="FN2132" s="306"/>
      <c r="FO2132" s="307"/>
      <c r="FP2132" s="306"/>
    </row>
    <row r="2133" spans="159:172">
      <c r="FC2133" s="307"/>
      <c r="FD2133" s="166"/>
      <c r="FF2133" s="307"/>
      <c r="FH2133" s="306"/>
      <c r="FJ2133" s="307"/>
      <c r="FK2133" s="307"/>
      <c r="FL2133" s="306"/>
      <c r="FM2133" s="307"/>
      <c r="FN2133" s="306"/>
      <c r="FO2133" s="307"/>
      <c r="FP2133" s="306"/>
    </row>
    <row r="2134" spans="159:172">
      <c r="FC2134" s="307"/>
      <c r="FD2134" s="166"/>
      <c r="FF2134" s="307"/>
      <c r="FH2134" s="306"/>
      <c r="FJ2134" s="307"/>
      <c r="FK2134" s="307"/>
      <c r="FL2134" s="306"/>
      <c r="FM2134" s="307"/>
      <c r="FN2134" s="306"/>
      <c r="FO2134" s="307"/>
      <c r="FP2134" s="306"/>
    </row>
    <row r="2135" spans="159:172">
      <c r="FC2135" s="307"/>
      <c r="FD2135" s="166"/>
      <c r="FF2135" s="307"/>
      <c r="FH2135" s="306"/>
      <c r="FJ2135" s="307"/>
      <c r="FK2135" s="307"/>
      <c r="FL2135" s="306"/>
      <c r="FM2135" s="307"/>
      <c r="FN2135" s="306"/>
      <c r="FO2135" s="307"/>
      <c r="FP2135" s="306"/>
    </row>
    <row r="2136" spans="159:172">
      <c r="FC2136" s="307"/>
      <c r="FD2136" s="166"/>
      <c r="FF2136" s="307"/>
      <c r="FH2136" s="306"/>
      <c r="FJ2136" s="307"/>
      <c r="FK2136" s="307"/>
      <c r="FL2136" s="306"/>
      <c r="FM2136" s="307"/>
      <c r="FN2136" s="306"/>
      <c r="FO2136" s="307"/>
      <c r="FP2136" s="306"/>
    </row>
    <row r="2137" spans="159:172">
      <c r="FC2137" s="307"/>
      <c r="FD2137" s="166"/>
      <c r="FF2137" s="307"/>
      <c r="FH2137" s="306"/>
      <c r="FJ2137" s="307"/>
      <c r="FK2137" s="307"/>
      <c r="FL2137" s="306"/>
      <c r="FM2137" s="307"/>
      <c r="FN2137" s="306"/>
      <c r="FO2137" s="307"/>
      <c r="FP2137" s="306"/>
    </row>
    <row r="2138" spans="159:172">
      <c r="FC2138" s="307"/>
      <c r="FD2138" s="166"/>
      <c r="FF2138" s="307"/>
      <c r="FH2138" s="306"/>
      <c r="FJ2138" s="307"/>
      <c r="FK2138" s="307"/>
      <c r="FL2138" s="306"/>
      <c r="FM2138" s="307"/>
      <c r="FN2138" s="306"/>
      <c r="FO2138" s="307"/>
      <c r="FP2138" s="306"/>
    </row>
    <row r="2139" spans="159:172">
      <c r="FC2139" s="307"/>
      <c r="FD2139" s="166"/>
      <c r="FF2139" s="307"/>
      <c r="FH2139" s="306"/>
      <c r="FJ2139" s="307"/>
      <c r="FK2139" s="307"/>
      <c r="FL2139" s="306"/>
      <c r="FM2139" s="307"/>
      <c r="FN2139" s="306"/>
      <c r="FO2139" s="307"/>
      <c r="FP2139" s="306"/>
    </row>
    <row r="2140" spans="159:172">
      <c r="FC2140" s="307"/>
      <c r="FD2140" s="166"/>
      <c r="FF2140" s="307"/>
      <c r="FH2140" s="306"/>
      <c r="FJ2140" s="307"/>
      <c r="FK2140" s="307"/>
      <c r="FL2140" s="306"/>
      <c r="FM2140" s="307"/>
      <c r="FN2140" s="306"/>
      <c r="FO2140" s="307"/>
      <c r="FP2140" s="306"/>
    </row>
    <row r="2141" spans="159:172">
      <c r="FC2141" s="307"/>
      <c r="FD2141" s="166"/>
      <c r="FF2141" s="307"/>
      <c r="FH2141" s="306"/>
      <c r="FJ2141" s="307"/>
      <c r="FK2141" s="307"/>
      <c r="FL2141" s="306"/>
      <c r="FM2141" s="307"/>
      <c r="FN2141" s="306"/>
      <c r="FO2141" s="307"/>
      <c r="FP2141" s="306"/>
    </row>
    <row r="2142" spans="159:172">
      <c r="FC2142" s="307"/>
      <c r="FD2142" s="166"/>
      <c r="FF2142" s="307"/>
      <c r="FH2142" s="306"/>
      <c r="FJ2142" s="307"/>
      <c r="FK2142" s="307"/>
      <c r="FL2142" s="306"/>
      <c r="FM2142" s="307"/>
      <c r="FN2142" s="306"/>
      <c r="FO2142" s="307"/>
      <c r="FP2142" s="306"/>
    </row>
    <row r="2143" spans="159:172">
      <c r="FC2143" s="307"/>
      <c r="FD2143" s="166"/>
      <c r="FF2143" s="307"/>
      <c r="FH2143" s="306"/>
      <c r="FJ2143" s="307"/>
      <c r="FK2143" s="307"/>
      <c r="FL2143" s="306"/>
      <c r="FM2143" s="307"/>
      <c r="FN2143" s="306"/>
      <c r="FO2143" s="307"/>
      <c r="FP2143" s="306"/>
    </row>
    <row r="2144" spans="159:172">
      <c r="FC2144" s="307"/>
      <c r="FD2144" s="166"/>
      <c r="FF2144" s="307"/>
      <c r="FH2144" s="306"/>
      <c r="FJ2144" s="307"/>
      <c r="FK2144" s="307"/>
      <c r="FL2144" s="306"/>
      <c r="FM2144" s="307"/>
      <c r="FN2144" s="306"/>
      <c r="FO2144" s="307"/>
      <c r="FP2144" s="306"/>
    </row>
    <row r="2145" spans="159:172">
      <c r="FC2145" s="307"/>
      <c r="FD2145" s="166"/>
      <c r="FF2145" s="307"/>
      <c r="FH2145" s="306"/>
      <c r="FJ2145" s="307"/>
      <c r="FK2145" s="307"/>
      <c r="FL2145" s="306"/>
      <c r="FM2145" s="307"/>
      <c r="FN2145" s="306"/>
      <c r="FO2145" s="307"/>
      <c r="FP2145" s="306"/>
    </row>
    <row r="2146" spans="159:172">
      <c r="FC2146" s="307"/>
      <c r="FD2146" s="166"/>
      <c r="FF2146" s="307"/>
      <c r="FH2146" s="306"/>
      <c r="FJ2146" s="307"/>
      <c r="FK2146" s="307"/>
      <c r="FL2146" s="306"/>
      <c r="FM2146" s="307"/>
      <c r="FN2146" s="306"/>
      <c r="FO2146" s="307"/>
      <c r="FP2146" s="306"/>
    </row>
    <row r="2147" spans="159:172">
      <c r="FC2147" s="307"/>
      <c r="FD2147" s="166"/>
      <c r="FF2147" s="307"/>
      <c r="FH2147" s="306"/>
      <c r="FJ2147" s="307"/>
      <c r="FK2147" s="307"/>
      <c r="FL2147" s="306"/>
      <c r="FM2147" s="307"/>
      <c r="FN2147" s="306"/>
      <c r="FO2147" s="307"/>
      <c r="FP2147" s="306"/>
    </row>
    <row r="2148" spans="159:172">
      <c r="FC2148" s="307"/>
      <c r="FD2148" s="166"/>
      <c r="FF2148" s="307"/>
      <c r="FH2148" s="306"/>
      <c r="FJ2148" s="307"/>
      <c r="FK2148" s="307"/>
      <c r="FL2148" s="306"/>
      <c r="FM2148" s="307"/>
      <c r="FN2148" s="306"/>
      <c r="FO2148" s="307"/>
      <c r="FP2148" s="306"/>
    </row>
    <row r="2149" spans="159:172">
      <c r="FC2149" s="307"/>
      <c r="FD2149" s="166"/>
      <c r="FF2149" s="307"/>
      <c r="FH2149" s="306"/>
      <c r="FJ2149" s="307"/>
      <c r="FK2149" s="307"/>
      <c r="FL2149" s="306"/>
      <c r="FM2149" s="307"/>
      <c r="FN2149" s="306"/>
      <c r="FO2149" s="307"/>
      <c r="FP2149" s="306"/>
    </row>
    <row r="2150" spans="159:172">
      <c r="FC2150" s="307"/>
      <c r="FD2150" s="166"/>
      <c r="FF2150" s="307"/>
      <c r="FH2150" s="306"/>
      <c r="FJ2150" s="307"/>
      <c r="FK2150" s="307"/>
      <c r="FL2150" s="306"/>
      <c r="FM2150" s="307"/>
      <c r="FN2150" s="306"/>
      <c r="FO2150" s="307"/>
      <c r="FP2150" s="306"/>
    </row>
    <row r="2151" spans="159:172">
      <c r="FC2151" s="307"/>
      <c r="FD2151" s="166"/>
      <c r="FF2151" s="307"/>
      <c r="FH2151" s="306"/>
      <c r="FJ2151" s="307"/>
      <c r="FK2151" s="307"/>
      <c r="FL2151" s="306"/>
      <c r="FM2151" s="307"/>
      <c r="FN2151" s="306"/>
      <c r="FO2151" s="307"/>
      <c r="FP2151" s="306"/>
    </row>
    <row r="2152" spans="159:172">
      <c r="FC2152" s="307"/>
      <c r="FD2152" s="166"/>
      <c r="FF2152" s="307"/>
      <c r="FH2152" s="306"/>
      <c r="FJ2152" s="307"/>
      <c r="FK2152" s="307"/>
      <c r="FL2152" s="306"/>
      <c r="FM2152" s="307"/>
      <c r="FN2152" s="306"/>
      <c r="FO2152" s="307"/>
      <c r="FP2152" s="306"/>
    </row>
    <row r="2153" spans="159:172">
      <c r="FC2153" s="307"/>
      <c r="FD2153" s="166"/>
      <c r="FF2153" s="307"/>
      <c r="FH2153" s="306"/>
      <c r="FJ2153" s="307"/>
      <c r="FK2153" s="307"/>
      <c r="FL2153" s="306"/>
      <c r="FM2153" s="307"/>
      <c r="FN2153" s="306"/>
      <c r="FO2153" s="307"/>
      <c r="FP2153" s="306"/>
    </row>
    <row r="2154" spans="159:172">
      <c r="FC2154" s="307"/>
      <c r="FD2154" s="166"/>
      <c r="FF2154" s="307"/>
      <c r="FH2154" s="306"/>
      <c r="FJ2154" s="307"/>
      <c r="FK2154" s="307"/>
      <c r="FL2154" s="306"/>
      <c r="FM2154" s="307"/>
      <c r="FN2154" s="306"/>
      <c r="FO2154" s="307"/>
      <c r="FP2154" s="306"/>
    </row>
    <row r="2155" spans="159:172">
      <c r="FC2155" s="307"/>
      <c r="FD2155" s="166"/>
      <c r="FF2155" s="307"/>
      <c r="FH2155" s="306"/>
      <c r="FJ2155" s="307"/>
      <c r="FK2155" s="307"/>
      <c r="FL2155" s="306"/>
      <c r="FM2155" s="307"/>
      <c r="FN2155" s="306"/>
      <c r="FO2155" s="307"/>
      <c r="FP2155" s="306"/>
    </row>
    <row r="2156" spans="159:172">
      <c r="FC2156" s="307"/>
      <c r="FD2156" s="166"/>
      <c r="FF2156" s="307"/>
      <c r="FH2156" s="306"/>
      <c r="FJ2156" s="307"/>
      <c r="FK2156" s="307"/>
      <c r="FL2156" s="306"/>
      <c r="FM2156" s="307"/>
      <c r="FN2156" s="306"/>
      <c r="FO2156" s="307"/>
      <c r="FP2156" s="306"/>
    </row>
    <row r="2157" spans="159:172">
      <c r="FC2157" s="307"/>
      <c r="FD2157" s="166"/>
      <c r="FF2157" s="307"/>
      <c r="FH2157" s="306"/>
      <c r="FJ2157" s="307"/>
      <c r="FK2157" s="307"/>
      <c r="FL2157" s="306"/>
      <c r="FM2157" s="307"/>
      <c r="FN2157" s="306"/>
      <c r="FO2157" s="307"/>
      <c r="FP2157" s="306"/>
    </row>
    <row r="2158" spans="159:172">
      <c r="FC2158" s="307"/>
      <c r="FD2158" s="166"/>
      <c r="FF2158" s="307"/>
      <c r="FH2158" s="306"/>
      <c r="FJ2158" s="307"/>
      <c r="FK2158" s="307"/>
      <c r="FL2158" s="306"/>
      <c r="FM2158" s="307"/>
      <c r="FN2158" s="306"/>
      <c r="FO2158" s="307"/>
      <c r="FP2158" s="306"/>
    </row>
    <row r="2159" spans="159:172">
      <c r="FC2159" s="307"/>
      <c r="FD2159" s="166"/>
      <c r="FF2159" s="307"/>
      <c r="FH2159" s="306"/>
      <c r="FJ2159" s="307"/>
      <c r="FK2159" s="307"/>
      <c r="FL2159" s="306"/>
      <c r="FM2159" s="307"/>
      <c r="FN2159" s="306"/>
      <c r="FO2159" s="307"/>
      <c r="FP2159" s="306"/>
    </row>
    <row r="2160" spans="159:172">
      <c r="FC2160" s="307"/>
      <c r="FD2160" s="166"/>
      <c r="FF2160" s="307"/>
      <c r="FH2160" s="306"/>
      <c r="FJ2160" s="307"/>
      <c r="FK2160" s="307"/>
      <c r="FL2160" s="306"/>
      <c r="FM2160" s="307"/>
      <c r="FN2160" s="306"/>
      <c r="FO2160" s="307"/>
      <c r="FP2160" s="306"/>
    </row>
    <row r="2161" spans="159:172">
      <c r="FC2161" s="307"/>
      <c r="FD2161" s="166"/>
      <c r="FF2161" s="307"/>
      <c r="FH2161" s="306"/>
      <c r="FJ2161" s="307"/>
      <c r="FK2161" s="307"/>
      <c r="FL2161" s="306"/>
      <c r="FM2161" s="307"/>
      <c r="FN2161" s="306"/>
      <c r="FO2161" s="307"/>
      <c r="FP2161" s="306"/>
    </row>
    <row r="2162" spans="159:172">
      <c r="FC2162" s="307"/>
      <c r="FD2162" s="166"/>
      <c r="FF2162" s="307"/>
      <c r="FH2162" s="306"/>
      <c r="FJ2162" s="307"/>
      <c r="FK2162" s="307"/>
      <c r="FL2162" s="306"/>
      <c r="FM2162" s="307"/>
      <c r="FN2162" s="306"/>
      <c r="FO2162" s="307"/>
      <c r="FP2162" s="306"/>
    </row>
    <row r="2163" spans="159:172">
      <c r="FC2163" s="307"/>
      <c r="FD2163" s="166"/>
      <c r="FF2163" s="307"/>
      <c r="FH2163" s="306"/>
      <c r="FJ2163" s="307"/>
      <c r="FK2163" s="307"/>
      <c r="FL2163" s="306"/>
      <c r="FM2163" s="307"/>
      <c r="FN2163" s="306"/>
      <c r="FO2163" s="307"/>
      <c r="FP2163" s="306"/>
    </row>
    <row r="2164" spans="159:172">
      <c r="FC2164" s="307"/>
      <c r="FD2164" s="166"/>
      <c r="FF2164" s="307"/>
      <c r="FH2164" s="306"/>
      <c r="FJ2164" s="307"/>
      <c r="FK2164" s="307"/>
      <c r="FL2164" s="306"/>
      <c r="FM2164" s="307"/>
      <c r="FN2164" s="306"/>
      <c r="FO2164" s="307"/>
      <c r="FP2164" s="306"/>
    </row>
    <row r="2165" spans="159:172">
      <c r="FC2165" s="307"/>
      <c r="FD2165" s="166"/>
      <c r="FF2165" s="307"/>
      <c r="FH2165" s="306"/>
      <c r="FJ2165" s="307"/>
      <c r="FK2165" s="307"/>
      <c r="FL2165" s="306"/>
      <c r="FM2165" s="307"/>
      <c r="FN2165" s="306"/>
      <c r="FO2165" s="307"/>
      <c r="FP2165" s="306"/>
    </row>
    <row r="2166" spans="159:172">
      <c r="FC2166" s="307"/>
      <c r="FD2166" s="166"/>
      <c r="FF2166" s="307"/>
      <c r="FH2166" s="306"/>
      <c r="FJ2166" s="307"/>
      <c r="FK2166" s="307"/>
      <c r="FL2166" s="306"/>
      <c r="FM2166" s="307"/>
      <c r="FN2166" s="306"/>
      <c r="FO2166" s="307"/>
      <c r="FP2166" s="306"/>
    </row>
    <row r="2167" spans="159:172">
      <c r="FC2167" s="307"/>
      <c r="FD2167" s="166"/>
      <c r="FF2167" s="307"/>
      <c r="FH2167" s="306"/>
      <c r="FJ2167" s="307"/>
      <c r="FK2167" s="307"/>
      <c r="FL2167" s="306"/>
      <c r="FM2167" s="307"/>
      <c r="FN2167" s="306"/>
      <c r="FO2167" s="307"/>
      <c r="FP2167" s="306"/>
    </row>
    <row r="2168" spans="159:172">
      <c r="FC2168" s="307"/>
      <c r="FD2168" s="166"/>
      <c r="FF2168" s="307"/>
      <c r="FH2168" s="306"/>
      <c r="FJ2168" s="307"/>
      <c r="FK2168" s="307"/>
      <c r="FL2168" s="306"/>
      <c r="FM2168" s="307"/>
      <c r="FN2168" s="306"/>
      <c r="FO2168" s="307"/>
      <c r="FP2168" s="306"/>
    </row>
    <row r="2169" spans="159:172">
      <c r="FC2169" s="307"/>
      <c r="FD2169" s="166"/>
      <c r="FF2169" s="307"/>
      <c r="FH2169" s="306"/>
      <c r="FJ2169" s="307"/>
      <c r="FK2169" s="307"/>
      <c r="FL2169" s="306"/>
      <c r="FM2169" s="307"/>
      <c r="FN2169" s="306"/>
      <c r="FO2169" s="307"/>
      <c r="FP2169" s="306"/>
    </row>
    <row r="2170" spans="159:172">
      <c r="FC2170" s="307"/>
      <c r="FD2170" s="166"/>
      <c r="FF2170" s="307"/>
      <c r="FH2170" s="306"/>
      <c r="FJ2170" s="307"/>
      <c r="FK2170" s="307"/>
      <c r="FL2170" s="306"/>
      <c r="FM2170" s="307"/>
      <c r="FN2170" s="306"/>
      <c r="FO2170" s="307"/>
      <c r="FP2170" s="306"/>
    </row>
    <row r="2171" spans="159:172">
      <c r="FC2171" s="307"/>
      <c r="FD2171" s="166"/>
      <c r="FF2171" s="307"/>
      <c r="FH2171" s="306"/>
      <c r="FJ2171" s="307"/>
      <c r="FK2171" s="307"/>
      <c r="FL2171" s="306"/>
      <c r="FM2171" s="307"/>
      <c r="FN2171" s="306"/>
      <c r="FO2171" s="307"/>
      <c r="FP2171" s="306"/>
    </row>
    <row r="2172" spans="159:172">
      <c r="FC2172" s="307"/>
      <c r="FD2172" s="166"/>
      <c r="FF2172" s="307"/>
      <c r="FH2172" s="306"/>
      <c r="FJ2172" s="307"/>
      <c r="FK2172" s="307"/>
      <c r="FL2172" s="306"/>
      <c r="FM2172" s="307"/>
      <c r="FN2172" s="306"/>
      <c r="FO2172" s="307"/>
      <c r="FP2172" s="306"/>
    </row>
    <row r="2173" spans="159:172">
      <c r="FC2173" s="307"/>
      <c r="FD2173" s="166"/>
      <c r="FF2173" s="307"/>
      <c r="FH2173" s="306"/>
      <c r="FJ2173" s="307"/>
      <c r="FK2173" s="307"/>
      <c r="FL2173" s="306"/>
      <c r="FM2173" s="307"/>
      <c r="FN2173" s="306"/>
      <c r="FO2173" s="307"/>
      <c r="FP2173" s="306"/>
    </row>
    <row r="2174" spans="159:172">
      <c r="FC2174" s="307"/>
      <c r="FD2174" s="166"/>
      <c r="FF2174" s="307"/>
      <c r="FH2174" s="306"/>
      <c r="FJ2174" s="307"/>
      <c r="FK2174" s="307"/>
      <c r="FL2174" s="306"/>
      <c r="FM2174" s="307"/>
      <c r="FN2174" s="306"/>
      <c r="FO2174" s="307"/>
      <c r="FP2174" s="306"/>
    </row>
    <row r="2175" spans="159:172">
      <c r="FC2175" s="307"/>
      <c r="FD2175" s="166"/>
      <c r="FF2175" s="307"/>
      <c r="FH2175" s="306"/>
      <c r="FJ2175" s="307"/>
      <c r="FK2175" s="307"/>
      <c r="FL2175" s="306"/>
      <c r="FM2175" s="307"/>
      <c r="FN2175" s="306"/>
      <c r="FO2175" s="307"/>
      <c r="FP2175" s="306"/>
    </row>
    <row r="2176" spans="159:172">
      <c r="FC2176" s="307"/>
      <c r="FD2176" s="166"/>
      <c r="FF2176" s="307"/>
      <c r="FH2176" s="306"/>
      <c r="FJ2176" s="307"/>
      <c r="FK2176" s="307"/>
      <c r="FL2176" s="306"/>
      <c r="FM2176" s="307"/>
      <c r="FN2176" s="306"/>
      <c r="FO2176" s="307"/>
      <c r="FP2176" s="306"/>
    </row>
    <row r="2177" spans="159:172">
      <c r="FC2177" s="307"/>
      <c r="FD2177" s="166"/>
      <c r="FF2177" s="307"/>
      <c r="FH2177" s="306"/>
      <c r="FJ2177" s="307"/>
      <c r="FK2177" s="307"/>
      <c r="FL2177" s="306"/>
      <c r="FM2177" s="307"/>
      <c r="FN2177" s="306"/>
      <c r="FO2177" s="307"/>
      <c r="FP2177" s="306"/>
    </row>
    <row r="2178" spans="159:172">
      <c r="FC2178" s="307"/>
      <c r="FD2178" s="166"/>
      <c r="FF2178" s="307"/>
      <c r="FH2178" s="306"/>
      <c r="FJ2178" s="307"/>
      <c r="FK2178" s="307"/>
      <c r="FL2178" s="306"/>
      <c r="FM2178" s="307"/>
      <c r="FN2178" s="306"/>
      <c r="FO2178" s="307"/>
      <c r="FP2178" s="306"/>
    </row>
    <row r="2179" spans="159:172">
      <c r="FC2179" s="307"/>
      <c r="FD2179" s="166"/>
      <c r="FF2179" s="307"/>
      <c r="FH2179" s="306"/>
      <c r="FJ2179" s="307"/>
      <c r="FK2179" s="307"/>
      <c r="FL2179" s="306"/>
      <c r="FM2179" s="307"/>
      <c r="FN2179" s="306"/>
      <c r="FO2179" s="307"/>
      <c r="FP2179" s="306"/>
    </row>
    <row r="2180" spans="159:172">
      <c r="FC2180" s="307"/>
      <c r="FD2180" s="166"/>
      <c r="FF2180" s="307"/>
      <c r="FH2180" s="306"/>
      <c r="FJ2180" s="307"/>
      <c r="FK2180" s="307"/>
      <c r="FL2180" s="306"/>
      <c r="FM2180" s="307"/>
      <c r="FN2180" s="306"/>
      <c r="FO2180" s="307"/>
      <c r="FP2180" s="306"/>
    </row>
    <row r="2181" spans="159:172">
      <c r="FC2181" s="307"/>
      <c r="FD2181" s="166"/>
      <c r="FF2181" s="307"/>
      <c r="FH2181" s="306"/>
      <c r="FJ2181" s="307"/>
      <c r="FK2181" s="307"/>
      <c r="FL2181" s="306"/>
      <c r="FM2181" s="307"/>
      <c r="FN2181" s="306"/>
      <c r="FO2181" s="307"/>
      <c r="FP2181" s="306"/>
    </row>
    <row r="2182" spans="159:172">
      <c r="FC2182" s="307"/>
      <c r="FD2182" s="166"/>
      <c r="FF2182" s="307"/>
      <c r="FH2182" s="306"/>
      <c r="FJ2182" s="307"/>
      <c r="FK2182" s="307"/>
      <c r="FL2182" s="306"/>
      <c r="FM2182" s="307"/>
      <c r="FN2182" s="306"/>
      <c r="FO2182" s="307"/>
      <c r="FP2182" s="306"/>
    </row>
    <row r="2183" spans="159:172">
      <c r="FC2183" s="307"/>
      <c r="FD2183" s="166"/>
      <c r="FF2183" s="307"/>
      <c r="FH2183" s="306"/>
      <c r="FJ2183" s="307"/>
      <c r="FK2183" s="307"/>
      <c r="FL2183" s="306"/>
      <c r="FM2183" s="307"/>
      <c r="FN2183" s="306"/>
      <c r="FO2183" s="307"/>
      <c r="FP2183" s="306"/>
    </row>
    <row r="2184" spans="159:172">
      <c r="FC2184" s="307"/>
      <c r="FD2184" s="166"/>
      <c r="FF2184" s="307"/>
      <c r="FH2184" s="306"/>
      <c r="FJ2184" s="307"/>
      <c r="FK2184" s="307"/>
      <c r="FL2184" s="306"/>
      <c r="FM2184" s="307"/>
      <c r="FN2184" s="306"/>
      <c r="FO2184" s="307"/>
      <c r="FP2184" s="306"/>
    </row>
    <row r="2185" spans="159:172">
      <c r="FC2185" s="307"/>
      <c r="FD2185" s="166"/>
      <c r="FF2185" s="307"/>
      <c r="FH2185" s="306"/>
      <c r="FJ2185" s="307"/>
      <c r="FK2185" s="307"/>
      <c r="FL2185" s="306"/>
      <c r="FM2185" s="307"/>
      <c r="FN2185" s="306"/>
      <c r="FO2185" s="307"/>
      <c r="FP2185" s="306"/>
    </row>
    <row r="2186" spans="159:172">
      <c r="FC2186" s="307"/>
      <c r="FD2186" s="166"/>
      <c r="FF2186" s="307"/>
      <c r="FH2186" s="306"/>
      <c r="FJ2186" s="307"/>
      <c r="FK2186" s="307"/>
      <c r="FL2186" s="306"/>
      <c r="FM2186" s="307"/>
      <c r="FN2186" s="306"/>
      <c r="FO2186" s="307"/>
      <c r="FP2186" s="306"/>
    </row>
    <row r="2187" spans="159:172">
      <c r="FC2187" s="307"/>
      <c r="FD2187" s="166"/>
      <c r="FF2187" s="307"/>
      <c r="FH2187" s="306"/>
      <c r="FJ2187" s="307"/>
      <c r="FK2187" s="307"/>
      <c r="FL2187" s="306"/>
      <c r="FM2187" s="307"/>
      <c r="FN2187" s="306"/>
      <c r="FO2187" s="307"/>
      <c r="FP2187" s="306"/>
    </row>
    <row r="2188" spans="159:172">
      <c r="FC2188" s="307"/>
      <c r="FD2188" s="166"/>
      <c r="FF2188" s="307"/>
      <c r="FH2188" s="306"/>
      <c r="FJ2188" s="307"/>
      <c r="FK2188" s="307"/>
      <c r="FL2188" s="306"/>
      <c r="FM2188" s="307"/>
      <c r="FN2188" s="306"/>
      <c r="FO2188" s="307"/>
      <c r="FP2188" s="306"/>
    </row>
    <row r="2189" spans="159:172">
      <c r="FC2189" s="307"/>
      <c r="FD2189" s="166"/>
      <c r="FF2189" s="307"/>
      <c r="FH2189" s="306"/>
      <c r="FJ2189" s="307"/>
      <c r="FK2189" s="307"/>
      <c r="FL2189" s="306"/>
      <c r="FM2189" s="307"/>
      <c r="FN2189" s="306"/>
      <c r="FO2189" s="307"/>
      <c r="FP2189" s="306"/>
    </row>
    <row r="2190" spans="159:172">
      <c r="FC2190" s="307"/>
      <c r="FD2190" s="166"/>
      <c r="FF2190" s="307"/>
      <c r="FH2190" s="306"/>
      <c r="FJ2190" s="307"/>
      <c r="FK2190" s="307"/>
      <c r="FL2190" s="306"/>
      <c r="FM2190" s="307"/>
      <c r="FN2190" s="306"/>
      <c r="FO2190" s="307"/>
      <c r="FP2190" s="306"/>
    </row>
    <row r="2191" spans="159:172">
      <c r="FC2191" s="307"/>
      <c r="FD2191" s="166"/>
      <c r="FF2191" s="307"/>
      <c r="FH2191" s="306"/>
      <c r="FJ2191" s="307"/>
      <c r="FK2191" s="307"/>
      <c r="FL2191" s="306"/>
      <c r="FM2191" s="307"/>
      <c r="FN2191" s="306"/>
      <c r="FO2191" s="307"/>
      <c r="FP2191" s="306"/>
    </row>
    <row r="2192" spans="159:172">
      <c r="FC2192" s="307"/>
      <c r="FD2192" s="166"/>
      <c r="FF2192" s="307"/>
      <c r="FH2192" s="306"/>
      <c r="FJ2192" s="307"/>
      <c r="FK2192" s="307"/>
      <c r="FL2192" s="306"/>
      <c r="FM2192" s="307"/>
      <c r="FN2192" s="306"/>
      <c r="FO2192" s="307"/>
      <c r="FP2192" s="306"/>
    </row>
    <row r="2193" spans="159:172">
      <c r="FC2193" s="307"/>
      <c r="FD2193" s="166"/>
      <c r="FF2193" s="307"/>
      <c r="FH2193" s="306"/>
      <c r="FJ2193" s="307"/>
      <c r="FK2193" s="307"/>
      <c r="FL2193" s="306"/>
      <c r="FM2193" s="307"/>
      <c r="FN2193" s="306"/>
      <c r="FO2193" s="307"/>
      <c r="FP2193" s="306"/>
    </row>
    <row r="2194" spans="159:172">
      <c r="FC2194" s="307"/>
      <c r="FD2194" s="166"/>
      <c r="FF2194" s="307"/>
      <c r="FH2194" s="306"/>
      <c r="FJ2194" s="307"/>
      <c r="FK2194" s="307"/>
      <c r="FL2194" s="306"/>
      <c r="FM2194" s="307"/>
      <c r="FN2194" s="306"/>
      <c r="FO2194" s="307"/>
      <c r="FP2194" s="306"/>
    </row>
    <row r="2195" spans="159:172">
      <c r="FC2195" s="307"/>
      <c r="FD2195" s="166"/>
      <c r="FF2195" s="307"/>
      <c r="FH2195" s="306"/>
      <c r="FJ2195" s="307"/>
      <c r="FK2195" s="307"/>
      <c r="FL2195" s="306"/>
      <c r="FM2195" s="307"/>
      <c r="FN2195" s="306"/>
      <c r="FO2195" s="307"/>
      <c r="FP2195" s="306"/>
    </row>
    <row r="2196" spans="159:172">
      <c r="FC2196" s="307"/>
      <c r="FD2196" s="166"/>
      <c r="FF2196" s="307"/>
      <c r="FH2196" s="306"/>
      <c r="FJ2196" s="307"/>
      <c r="FK2196" s="307"/>
      <c r="FL2196" s="306"/>
      <c r="FM2196" s="307"/>
      <c r="FN2196" s="306"/>
      <c r="FO2196" s="307"/>
      <c r="FP2196" s="306"/>
    </row>
    <row r="2197" spans="159:172">
      <c r="FC2197" s="307"/>
      <c r="FD2197" s="166"/>
      <c r="FF2197" s="307"/>
      <c r="FH2197" s="306"/>
      <c r="FJ2197" s="307"/>
      <c r="FK2197" s="307"/>
      <c r="FL2197" s="306"/>
      <c r="FM2197" s="307"/>
      <c r="FN2197" s="306"/>
      <c r="FO2197" s="307"/>
      <c r="FP2197" s="306"/>
    </row>
    <row r="2198" spans="159:172">
      <c r="FC2198" s="307"/>
      <c r="FD2198" s="166"/>
      <c r="FF2198" s="307"/>
      <c r="FH2198" s="306"/>
      <c r="FJ2198" s="307"/>
      <c r="FK2198" s="307"/>
      <c r="FL2198" s="306"/>
      <c r="FM2198" s="307"/>
      <c r="FN2198" s="306"/>
      <c r="FO2198" s="307"/>
      <c r="FP2198" s="306"/>
    </row>
    <row r="2199" spans="159:172">
      <c r="FC2199" s="307"/>
      <c r="FD2199" s="166"/>
      <c r="FF2199" s="307"/>
      <c r="FH2199" s="306"/>
      <c r="FJ2199" s="307"/>
      <c r="FK2199" s="307"/>
      <c r="FL2199" s="306"/>
      <c r="FM2199" s="307"/>
      <c r="FN2199" s="306"/>
      <c r="FO2199" s="307"/>
      <c r="FP2199" s="306"/>
    </row>
    <row r="2200" spans="159:172">
      <c r="FC2200" s="307"/>
      <c r="FD2200" s="166"/>
      <c r="FF2200" s="307"/>
      <c r="FH2200" s="306"/>
      <c r="FJ2200" s="307"/>
      <c r="FK2200" s="307"/>
      <c r="FL2200" s="306"/>
      <c r="FM2200" s="307"/>
      <c r="FN2200" s="306"/>
      <c r="FO2200" s="307"/>
      <c r="FP2200" s="306"/>
    </row>
    <row r="2201" spans="159:172">
      <c r="FC2201" s="307"/>
      <c r="FD2201" s="166"/>
      <c r="FF2201" s="307"/>
      <c r="FH2201" s="306"/>
      <c r="FJ2201" s="307"/>
      <c r="FK2201" s="307"/>
      <c r="FL2201" s="306"/>
      <c r="FM2201" s="307"/>
      <c r="FN2201" s="306"/>
      <c r="FO2201" s="307"/>
      <c r="FP2201" s="306"/>
    </row>
    <row r="2202" spans="159:172">
      <c r="FC2202" s="307"/>
      <c r="FD2202" s="166"/>
      <c r="FF2202" s="307"/>
      <c r="FH2202" s="306"/>
      <c r="FJ2202" s="307"/>
      <c r="FK2202" s="307"/>
      <c r="FL2202" s="306"/>
      <c r="FM2202" s="307"/>
      <c r="FN2202" s="306"/>
      <c r="FO2202" s="307"/>
      <c r="FP2202" s="306"/>
    </row>
    <row r="2203" spans="159:172">
      <c r="FC2203" s="307"/>
      <c r="FD2203" s="166"/>
      <c r="FF2203" s="307"/>
      <c r="FH2203" s="306"/>
      <c r="FJ2203" s="307"/>
      <c r="FK2203" s="307"/>
      <c r="FL2203" s="306"/>
      <c r="FM2203" s="307"/>
      <c r="FN2203" s="306"/>
      <c r="FO2203" s="307"/>
      <c r="FP2203" s="306"/>
    </row>
    <row r="2204" spans="159:172">
      <c r="FC2204" s="307"/>
      <c r="FD2204" s="166"/>
      <c r="FF2204" s="307"/>
      <c r="FH2204" s="306"/>
      <c r="FJ2204" s="307"/>
      <c r="FK2204" s="307"/>
      <c r="FL2204" s="306"/>
      <c r="FM2204" s="307"/>
      <c r="FN2204" s="306"/>
      <c r="FO2204" s="307"/>
      <c r="FP2204" s="306"/>
    </row>
    <row r="2205" spans="159:172">
      <c r="FC2205" s="307"/>
      <c r="FD2205" s="166"/>
      <c r="FF2205" s="307"/>
      <c r="FH2205" s="306"/>
      <c r="FJ2205" s="307"/>
      <c r="FK2205" s="307"/>
      <c r="FL2205" s="306"/>
      <c r="FM2205" s="307"/>
      <c r="FN2205" s="306"/>
      <c r="FO2205" s="307"/>
      <c r="FP2205" s="306"/>
    </row>
    <row r="2206" spans="159:172">
      <c r="FC2206" s="307"/>
      <c r="FD2206" s="166"/>
      <c r="FF2206" s="307"/>
      <c r="FH2206" s="306"/>
      <c r="FJ2206" s="307"/>
      <c r="FK2206" s="307"/>
      <c r="FL2206" s="306"/>
      <c r="FM2206" s="307"/>
      <c r="FN2206" s="306"/>
      <c r="FO2206" s="307"/>
      <c r="FP2206" s="306"/>
    </row>
    <row r="2207" spans="159:172">
      <c r="FC2207" s="307"/>
      <c r="FD2207" s="166"/>
      <c r="FF2207" s="307"/>
      <c r="FH2207" s="306"/>
      <c r="FJ2207" s="307"/>
      <c r="FK2207" s="307"/>
      <c r="FL2207" s="306"/>
      <c r="FM2207" s="307"/>
      <c r="FN2207" s="306"/>
      <c r="FO2207" s="307"/>
      <c r="FP2207" s="306"/>
    </row>
    <row r="2208" spans="159:172">
      <c r="FC2208" s="307"/>
      <c r="FD2208" s="166"/>
      <c r="FF2208" s="307"/>
      <c r="FH2208" s="306"/>
      <c r="FJ2208" s="307"/>
      <c r="FK2208" s="307"/>
      <c r="FL2208" s="306"/>
      <c r="FM2208" s="307"/>
      <c r="FN2208" s="306"/>
      <c r="FO2208" s="307"/>
      <c r="FP2208" s="306"/>
    </row>
    <row r="2209" spans="159:172">
      <c r="FC2209" s="307"/>
      <c r="FD2209" s="166"/>
      <c r="FF2209" s="307"/>
      <c r="FH2209" s="306"/>
      <c r="FJ2209" s="307"/>
      <c r="FK2209" s="307"/>
      <c r="FL2209" s="306"/>
      <c r="FM2209" s="307"/>
      <c r="FN2209" s="306"/>
      <c r="FO2209" s="307"/>
      <c r="FP2209" s="306"/>
    </row>
    <row r="2210" spans="159:172">
      <c r="FC2210" s="307"/>
      <c r="FD2210" s="166"/>
      <c r="FF2210" s="307"/>
      <c r="FH2210" s="306"/>
      <c r="FJ2210" s="307"/>
      <c r="FK2210" s="307"/>
      <c r="FL2210" s="306"/>
      <c r="FM2210" s="307"/>
      <c r="FN2210" s="306"/>
      <c r="FO2210" s="307"/>
      <c r="FP2210" s="306"/>
    </row>
    <row r="2211" spans="159:172">
      <c r="FC2211" s="307"/>
      <c r="FD2211" s="166"/>
      <c r="FF2211" s="307"/>
      <c r="FH2211" s="306"/>
      <c r="FJ2211" s="307"/>
      <c r="FK2211" s="307"/>
      <c r="FL2211" s="306"/>
      <c r="FM2211" s="307"/>
      <c r="FN2211" s="306"/>
      <c r="FO2211" s="307"/>
      <c r="FP2211" s="306"/>
    </row>
    <row r="2212" spans="159:172">
      <c r="FC2212" s="307"/>
      <c r="FD2212" s="166"/>
      <c r="FF2212" s="307"/>
      <c r="FH2212" s="306"/>
      <c r="FJ2212" s="307"/>
      <c r="FK2212" s="307"/>
      <c r="FL2212" s="306"/>
      <c r="FM2212" s="307"/>
      <c r="FN2212" s="306"/>
      <c r="FO2212" s="307"/>
      <c r="FP2212" s="306"/>
    </row>
    <row r="2213" spans="159:172">
      <c r="FC2213" s="307"/>
      <c r="FD2213" s="166"/>
      <c r="FF2213" s="307"/>
      <c r="FH2213" s="306"/>
      <c r="FJ2213" s="307"/>
      <c r="FK2213" s="307"/>
      <c r="FL2213" s="306"/>
      <c r="FM2213" s="307"/>
      <c r="FN2213" s="306"/>
      <c r="FO2213" s="307"/>
      <c r="FP2213" s="306"/>
    </row>
    <row r="2214" spans="159:172">
      <c r="FC2214" s="307"/>
      <c r="FD2214" s="166"/>
      <c r="FF2214" s="307"/>
      <c r="FH2214" s="306"/>
      <c r="FJ2214" s="307"/>
      <c r="FK2214" s="307"/>
      <c r="FL2214" s="306"/>
      <c r="FM2214" s="307"/>
      <c r="FN2214" s="306"/>
      <c r="FO2214" s="307"/>
      <c r="FP2214" s="306"/>
    </row>
    <row r="2215" spans="159:172">
      <c r="FC2215" s="307"/>
      <c r="FD2215" s="166"/>
      <c r="FF2215" s="307"/>
      <c r="FH2215" s="306"/>
      <c r="FJ2215" s="307"/>
      <c r="FK2215" s="307"/>
      <c r="FL2215" s="306"/>
      <c r="FM2215" s="307"/>
      <c r="FN2215" s="306"/>
      <c r="FO2215" s="307"/>
      <c r="FP2215" s="306"/>
    </row>
    <row r="2216" spans="159:172">
      <c r="FC2216" s="307"/>
      <c r="FD2216" s="166"/>
      <c r="FF2216" s="307"/>
      <c r="FH2216" s="306"/>
      <c r="FJ2216" s="307"/>
      <c r="FK2216" s="307"/>
      <c r="FL2216" s="306"/>
      <c r="FM2216" s="307"/>
      <c r="FN2216" s="306"/>
      <c r="FO2216" s="307"/>
      <c r="FP2216" s="306"/>
    </row>
    <row r="2217" spans="159:172">
      <c r="FC2217" s="307"/>
      <c r="FD2217" s="166"/>
      <c r="FF2217" s="307"/>
      <c r="FH2217" s="306"/>
      <c r="FJ2217" s="307"/>
      <c r="FK2217" s="307"/>
      <c r="FL2217" s="306"/>
      <c r="FM2217" s="307"/>
      <c r="FN2217" s="306"/>
      <c r="FO2217" s="307"/>
      <c r="FP2217" s="306"/>
    </row>
    <row r="2218" spans="159:172">
      <c r="FC2218" s="307"/>
      <c r="FD2218" s="166"/>
      <c r="FF2218" s="307"/>
      <c r="FH2218" s="306"/>
      <c r="FJ2218" s="307"/>
      <c r="FK2218" s="307"/>
      <c r="FL2218" s="306"/>
      <c r="FM2218" s="307"/>
      <c r="FN2218" s="306"/>
      <c r="FO2218" s="307"/>
      <c r="FP2218" s="306"/>
    </row>
    <row r="2219" spans="159:172">
      <c r="FC2219" s="307"/>
      <c r="FD2219" s="166"/>
      <c r="FF2219" s="307"/>
      <c r="FH2219" s="306"/>
      <c r="FJ2219" s="307"/>
      <c r="FK2219" s="307"/>
      <c r="FL2219" s="306"/>
      <c r="FM2219" s="307"/>
      <c r="FN2219" s="306"/>
      <c r="FO2219" s="307"/>
      <c r="FP2219" s="306"/>
    </row>
    <row r="2220" spans="159:172">
      <c r="FC2220" s="307"/>
      <c r="FD2220" s="166"/>
      <c r="FF2220" s="307"/>
      <c r="FH2220" s="306"/>
      <c r="FJ2220" s="307"/>
      <c r="FK2220" s="307"/>
      <c r="FL2220" s="306"/>
      <c r="FM2220" s="307"/>
      <c r="FN2220" s="306"/>
      <c r="FO2220" s="307"/>
      <c r="FP2220" s="306"/>
    </row>
    <row r="2221" spans="159:172">
      <c r="FC2221" s="307"/>
      <c r="FD2221" s="166"/>
      <c r="FF2221" s="307"/>
      <c r="FH2221" s="306"/>
      <c r="FJ2221" s="307"/>
      <c r="FK2221" s="307"/>
      <c r="FL2221" s="306"/>
      <c r="FM2221" s="307"/>
      <c r="FN2221" s="306"/>
      <c r="FO2221" s="307"/>
      <c r="FP2221" s="306"/>
    </row>
    <row r="2222" spans="159:172">
      <c r="FC2222" s="307"/>
      <c r="FD2222" s="166"/>
      <c r="FF2222" s="307"/>
      <c r="FH2222" s="306"/>
      <c r="FJ2222" s="307"/>
      <c r="FK2222" s="307"/>
      <c r="FL2222" s="306"/>
      <c r="FM2222" s="307"/>
      <c r="FN2222" s="306"/>
      <c r="FO2222" s="307"/>
      <c r="FP2222" s="306"/>
    </row>
    <row r="2223" spans="159:172">
      <c r="FC2223" s="307"/>
      <c r="FD2223" s="166"/>
      <c r="FF2223" s="307"/>
      <c r="FH2223" s="306"/>
      <c r="FJ2223" s="307"/>
      <c r="FK2223" s="307"/>
      <c r="FL2223" s="306"/>
      <c r="FM2223" s="307"/>
      <c r="FN2223" s="306"/>
      <c r="FO2223" s="307"/>
      <c r="FP2223" s="306"/>
    </row>
    <row r="2224" spans="159:172">
      <c r="FC2224" s="307"/>
      <c r="FD2224" s="166"/>
      <c r="FF2224" s="307"/>
      <c r="FH2224" s="306"/>
      <c r="FJ2224" s="307"/>
      <c r="FK2224" s="307"/>
      <c r="FL2224" s="306"/>
      <c r="FM2224" s="307"/>
      <c r="FN2224" s="306"/>
      <c r="FO2224" s="307"/>
      <c r="FP2224" s="306"/>
    </row>
    <row r="2225" spans="159:172">
      <c r="FC2225" s="307"/>
      <c r="FD2225" s="166"/>
      <c r="FF2225" s="307"/>
      <c r="FH2225" s="306"/>
      <c r="FJ2225" s="307"/>
      <c r="FK2225" s="307"/>
      <c r="FL2225" s="306"/>
      <c r="FM2225" s="307"/>
      <c r="FN2225" s="306"/>
      <c r="FO2225" s="307"/>
      <c r="FP2225" s="306"/>
    </row>
    <row r="2226" spans="159:172">
      <c r="FC2226" s="307"/>
      <c r="FD2226" s="166"/>
      <c r="FF2226" s="307"/>
      <c r="FH2226" s="306"/>
      <c r="FJ2226" s="307"/>
      <c r="FK2226" s="307"/>
      <c r="FL2226" s="306"/>
      <c r="FM2226" s="307"/>
      <c r="FN2226" s="306"/>
      <c r="FO2226" s="307"/>
      <c r="FP2226" s="306"/>
    </row>
    <row r="2227" spans="159:172">
      <c r="FC2227" s="307"/>
      <c r="FD2227" s="166"/>
      <c r="FF2227" s="307"/>
      <c r="FH2227" s="306"/>
      <c r="FJ2227" s="307"/>
      <c r="FK2227" s="307"/>
      <c r="FL2227" s="306"/>
      <c r="FM2227" s="307"/>
      <c r="FN2227" s="306"/>
      <c r="FO2227" s="307"/>
      <c r="FP2227" s="306"/>
    </row>
    <row r="2228" spans="159:172">
      <c r="FC2228" s="307"/>
      <c r="FD2228" s="166"/>
      <c r="FF2228" s="307"/>
      <c r="FH2228" s="306"/>
      <c r="FJ2228" s="307"/>
      <c r="FK2228" s="307"/>
      <c r="FL2228" s="306"/>
      <c r="FM2228" s="307"/>
      <c r="FN2228" s="306"/>
      <c r="FO2228" s="307"/>
      <c r="FP2228" s="306"/>
    </row>
    <row r="2229" spans="159:172">
      <c r="FC2229" s="307"/>
      <c r="FD2229" s="166"/>
      <c r="FF2229" s="307"/>
      <c r="FH2229" s="306"/>
      <c r="FJ2229" s="307"/>
      <c r="FK2229" s="307"/>
      <c r="FL2229" s="306"/>
      <c r="FM2229" s="307"/>
      <c r="FN2229" s="306"/>
      <c r="FO2229" s="307"/>
      <c r="FP2229" s="306"/>
    </row>
    <row r="2230" spans="159:172">
      <c r="FC2230" s="307"/>
      <c r="FD2230" s="166"/>
      <c r="FF2230" s="307"/>
      <c r="FH2230" s="306"/>
      <c r="FJ2230" s="307"/>
      <c r="FK2230" s="307"/>
      <c r="FL2230" s="306"/>
      <c r="FM2230" s="307"/>
      <c r="FN2230" s="306"/>
      <c r="FO2230" s="307"/>
      <c r="FP2230" s="306"/>
    </row>
    <row r="2231" spans="159:172">
      <c r="FC2231" s="307"/>
      <c r="FD2231" s="166"/>
      <c r="FF2231" s="307"/>
      <c r="FH2231" s="306"/>
      <c r="FJ2231" s="307"/>
      <c r="FK2231" s="307"/>
      <c r="FL2231" s="306"/>
      <c r="FM2231" s="307"/>
      <c r="FN2231" s="306"/>
      <c r="FO2231" s="307"/>
      <c r="FP2231" s="306"/>
    </row>
    <row r="2232" spans="159:172">
      <c r="FC2232" s="307"/>
      <c r="FD2232" s="166"/>
      <c r="FF2232" s="307"/>
      <c r="FH2232" s="306"/>
      <c r="FJ2232" s="307"/>
      <c r="FK2232" s="307"/>
      <c r="FL2232" s="306"/>
      <c r="FM2232" s="307"/>
      <c r="FN2232" s="306"/>
      <c r="FO2232" s="307"/>
      <c r="FP2232" s="306"/>
    </row>
    <row r="2233" spans="159:172">
      <c r="FC2233" s="307"/>
      <c r="FD2233" s="166"/>
      <c r="FF2233" s="307"/>
      <c r="FH2233" s="306"/>
      <c r="FJ2233" s="307"/>
      <c r="FK2233" s="307"/>
      <c r="FL2233" s="306"/>
      <c r="FM2233" s="307"/>
      <c r="FN2233" s="306"/>
      <c r="FO2233" s="307"/>
      <c r="FP2233" s="306"/>
    </row>
  </sheetData>
  <sheetProtection algorithmName="SHA-512" hashValue="OaLrFu855oGnXz21rKYg/rJxz68gk4PkUJng9MFXdhOKIguDzgbq9W3zGQemQuT1MbbDRYWp/BB34ipHLKI6SA==" saltValue="NWkEtplu0gehKzisnwoSlA==" spinCount="100000" sheet="1" objects="1" scenarios="1"/>
  <mergeCells count="40">
    <mergeCell ref="BP1:BQ1"/>
    <mergeCell ref="CK1:CN1"/>
    <mergeCell ref="CS1:CT1"/>
    <mergeCell ref="CU1:CV1"/>
    <mergeCell ref="BO2:BO3"/>
    <mergeCell ref="BP2:BZ3"/>
    <mergeCell ref="CT4:CT5"/>
    <mergeCell ref="CB7:CC8"/>
    <mergeCell ref="CD7:CD8"/>
    <mergeCell ref="CE7:CF8"/>
    <mergeCell ref="CG7:CG8"/>
    <mergeCell ref="CI7:CJ8"/>
    <mergeCell ref="CK7:CK8"/>
    <mergeCell ref="CL7:CM8"/>
    <mergeCell ref="CN7:CN8"/>
    <mergeCell ref="CP7:CQ8"/>
    <mergeCell ref="CF4:CF5"/>
    <mergeCell ref="CG4:CG5"/>
    <mergeCell ref="CJ4:CJ5"/>
    <mergeCell ref="CL4:CL5"/>
    <mergeCell ref="CM4:CM5"/>
    <mergeCell ref="CS4:CS5"/>
    <mergeCell ref="CR7:CR8"/>
    <mergeCell ref="CS7:CT8"/>
    <mergeCell ref="CU7:CU8"/>
    <mergeCell ref="BV9:BZ13"/>
    <mergeCell ref="CB10:CE11"/>
    <mergeCell ref="CF10:CF11"/>
    <mergeCell ref="CG10:CG11"/>
    <mergeCell ref="CH10:CH11"/>
    <mergeCell ref="CI10:CK11"/>
    <mergeCell ref="CL10:CL11"/>
    <mergeCell ref="BP42:CV44"/>
    <mergeCell ref="BP45:CB55"/>
    <mergeCell ref="BT16:BU16"/>
    <mergeCell ref="BV18:BW18"/>
    <mergeCell ref="BT25:BU25"/>
    <mergeCell ref="BV27:BW27"/>
    <mergeCell ref="BT34:BU34"/>
    <mergeCell ref="BV36:BW36"/>
  </mergeCells>
  <conditionalFormatting sqref="BP45 CB10 CF10:CH10 BP42">
    <cfRule type="expression" dxfId="137" priority="11" stopIfTrue="1">
      <formula>$CF$10&lt;=3.3</formula>
    </cfRule>
  </conditionalFormatting>
  <conditionalFormatting sqref="BP45">
    <cfRule type="expression" dxfId="136" priority="10">
      <formula>$CF$10&lt;=3.3</formula>
    </cfRule>
  </conditionalFormatting>
  <conditionalFormatting sqref="BS16">
    <cfRule type="expression" dxfId="135" priority="4">
      <formula>$BN$16</formula>
    </cfRule>
  </conditionalFormatting>
  <conditionalFormatting sqref="BT10">
    <cfRule type="expression" dxfId="134" priority="6">
      <formula>$BN$10</formula>
    </cfRule>
  </conditionalFormatting>
  <conditionalFormatting sqref="BT12">
    <cfRule type="expression" dxfId="133" priority="5">
      <formula>$BN$12</formula>
    </cfRule>
  </conditionalFormatting>
  <conditionalFormatting sqref="BT18">
    <cfRule type="expression" dxfId="132" priority="2">
      <formula>$BN$18</formula>
    </cfRule>
  </conditionalFormatting>
  <conditionalFormatting sqref="BT20">
    <cfRule type="expression" dxfId="131" priority="1">
      <formula>$BN$20</formula>
    </cfRule>
  </conditionalFormatting>
  <conditionalFormatting sqref="BV22:BZ22">
    <cfRule type="expression" dxfId="130" priority="14">
      <formula>$BY$22&lt;=3.3</formula>
    </cfRule>
  </conditionalFormatting>
  <conditionalFormatting sqref="BV31:BZ31">
    <cfRule type="expression" dxfId="129" priority="13">
      <formula>$BY$31&lt;=3.3</formula>
    </cfRule>
  </conditionalFormatting>
  <conditionalFormatting sqref="BV40:BZ40">
    <cfRule type="expression" dxfId="128" priority="12">
      <formula>$BY$40&lt;=3.3</formula>
    </cfRule>
  </conditionalFormatting>
  <conditionalFormatting sqref="BW4:BZ5 BX6:BZ7 BW7 BW8:BZ8">
    <cfRule type="expression" dxfId="127" priority="24">
      <formula>$Z$35&gt;0</formula>
    </cfRule>
  </conditionalFormatting>
  <conditionalFormatting sqref="BX16">
    <cfRule type="expression" dxfId="126" priority="3">
      <formula>$BN$17</formula>
    </cfRule>
  </conditionalFormatting>
  <conditionalFormatting sqref="BY20">
    <cfRule type="expression" dxfId="125" priority="26">
      <formula>BZ$20&gt;=0.5</formula>
    </cfRule>
  </conditionalFormatting>
  <conditionalFormatting sqref="BY29">
    <cfRule type="expression" dxfId="124" priority="25">
      <formula>$BZ$29&gt;=0.5</formula>
    </cfRule>
  </conditionalFormatting>
  <conditionalFormatting sqref="BY38">
    <cfRule type="expression" dxfId="123" priority="21">
      <formula>$BZ$38&gt;=0.5</formula>
    </cfRule>
  </conditionalFormatting>
  <conditionalFormatting sqref="BY20:BZ20">
    <cfRule type="expression" dxfId="122" priority="20" stopIfTrue="1">
      <formula>$AP$19</formula>
    </cfRule>
  </conditionalFormatting>
  <conditionalFormatting sqref="BY29:BZ29">
    <cfRule type="expression" dxfId="121" priority="19" stopIfTrue="1">
      <formula>$AY$19</formula>
    </cfRule>
  </conditionalFormatting>
  <conditionalFormatting sqref="BY38:BZ38">
    <cfRule type="expression" dxfId="120" priority="9" stopIfTrue="1">
      <formula>$BH$19</formula>
    </cfRule>
  </conditionalFormatting>
  <conditionalFormatting sqref="BZ20">
    <cfRule type="cellIs" dxfId="119" priority="23" operator="greaterThanOrEqual">
      <formula>0.5</formula>
    </cfRule>
  </conditionalFormatting>
  <conditionalFormatting sqref="BZ29">
    <cfRule type="cellIs" dxfId="118" priority="22" operator="greaterThanOrEqual">
      <formula>0.5</formula>
    </cfRule>
  </conditionalFormatting>
  <conditionalFormatting sqref="BZ38">
    <cfRule type="cellIs" dxfId="117" priority="18" operator="greaterThanOrEqual">
      <formula>0.5</formula>
    </cfRule>
  </conditionalFormatting>
  <conditionalFormatting sqref="CB10 CF10:CH10 BP42 BP45">
    <cfRule type="expression" dxfId="116" priority="15">
      <formula>$CF$10&lt;=3.3</formula>
    </cfRule>
  </conditionalFormatting>
  <conditionalFormatting sqref="CC4">
    <cfRule type="expression" dxfId="115" priority="7">
      <formula>$BN$4</formula>
    </cfRule>
  </conditionalFormatting>
  <conditionalFormatting sqref="CI10">
    <cfRule type="expression" dxfId="114" priority="17">
      <formula>$CL$10&gt;=0.5</formula>
    </cfRule>
  </conditionalFormatting>
  <conditionalFormatting sqref="CI10:CL11">
    <cfRule type="expression" dxfId="113" priority="8" stopIfTrue="1">
      <formula>$BM$19</formula>
    </cfRule>
  </conditionalFormatting>
  <conditionalFormatting sqref="CL10">
    <cfRule type="cellIs" dxfId="112" priority="16" operator="greaterThanOrEqual">
      <formula>0.5</formula>
    </cfRule>
  </conditionalFormatting>
  <pageMargins left="0.7" right="0.7" top="0.75" bottom="0.75" header="0.3" footer="0.3"/>
  <pageSetup paperSize="9" orientation="portrait" r:id="rId1"/>
  <drawing r:id="rId2"/>
  <legacyDrawing r:id="rId3"/>
  <controls>
    <mc:AlternateContent xmlns:mc="http://schemas.openxmlformats.org/markup-compatibility/2006">
      <mc:Choice Requires="x14">
        <control shapeId="125953" r:id="rId4" name="ComboBox_4">
          <controlPr defaultSize="0" autoLine="0" linkedCell="$AP$25" listFillRange="$AP$26:$AQ$477" r:id="rId5">
            <anchor moveWithCells="1">
              <from>
                <xdr:col>75</xdr:col>
                <xdr:colOff>0</xdr:colOff>
                <xdr:row>14</xdr:row>
                <xdr:rowOff>161925</xdr:rowOff>
              </from>
              <to>
                <xdr:col>77</xdr:col>
                <xdr:colOff>9525</xdr:colOff>
                <xdr:row>16</xdr:row>
                <xdr:rowOff>9525</xdr:rowOff>
              </to>
            </anchor>
          </controlPr>
        </control>
      </mc:Choice>
      <mc:Fallback>
        <control shapeId="125953" r:id="rId4" name="ComboBox_4"/>
      </mc:Fallback>
    </mc:AlternateContent>
    <mc:AlternateContent xmlns:mc="http://schemas.openxmlformats.org/markup-compatibility/2006">
      <mc:Choice Requires="x14">
        <control shapeId="125954" r:id="rId6" name="ComboBox_7">
          <controlPr defaultSize="0" autoLine="0" linkedCell="$AY$25" listFillRange="$AY$26:$AZ$477" r:id="rId7">
            <anchor moveWithCells="1">
              <from>
                <xdr:col>75</xdr:col>
                <xdr:colOff>0</xdr:colOff>
                <xdr:row>23</xdr:row>
                <xdr:rowOff>161925</xdr:rowOff>
              </from>
              <to>
                <xdr:col>77</xdr:col>
                <xdr:colOff>9525</xdr:colOff>
                <xdr:row>25</xdr:row>
                <xdr:rowOff>9525</xdr:rowOff>
              </to>
            </anchor>
          </controlPr>
        </control>
      </mc:Choice>
      <mc:Fallback>
        <control shapeId="125954" r:id="rId6" name="ComboBox_7"/>
      </mc:Fallback>
    </mc:AlternateContent>
    <mc:AlternateContent xmlns:mc="http://schemas.openxmlformats.org/markup-compatibility/2006">
      <mc:Choice Requires="x14">
        <control shapeId="125955" r:id="rId8" name="ComboBox_10">
          <controlPr defaultSize="0" autoLine="0" linkedCell="$BH$25" listFillRange="$BH$26:$BI$477" r:id="rId7">
            <anchor moveWithCells="1">
              <from>
                <xdr:col>75</xdr:col>
                <xdr:colOff>0</xdr:colOff>
                <xdr:row>32</xdr:row>
                <xdr:rowOff>171450</xdr:rowOff>
              </from>
              <to>
                <xdr:col>77</xdr:col>
                <xdr:colOff>9525</xdr:colOff>
                <xdr:row>34</xdr:row>
                <xdr:rowOff>28575</xdr:rowOff>
              </to>
            </anchor>
          </controlPr>
        </control>
      </mc:Choice>
      <mc:Fallback>
        <control shapeId="125955" r:id="rId8" name="ComboBox_10"/>
      </mc:Fallback>
    </mc:AlternateContent>
    <mc:AlternateContent xmlns:mc="http://schemas.openxmlformats.org/markup-compatibility/2006">
      <mc:Choice Requires="x14">
        <control shapeId="125956" r:id="rId9" name="ComboBox_1">
          <controlPr defaultSize="0" autoLine="0" linkedCell="$AG$25" listFillRange="$AG$26:$AH$125" r:id="rId10">
            <anchor moveWithCells="1">
              <from>
                <xdr:col>70</xdr:col>
                <xdr:colOff>590550</xdr:colOff>
                <xdr:row>10</xdr:row>
                <xdr:rowOff>161925</xdr:rowOff>
              </from>
              <to>
                <xdr:col>72</xdr:col>
                <xdr:colOff>600075</xdr:colOff>
                <xdr:row>12</xdr:row>
                <xdr:rowOff>9525</xdr:rowOff>
              </to>
            </anchor>
          </controlPr>
        </control>
      </mc:Choice>
      <mc:Fallback>
        <control shapeId="125956" r:id="rId9" name="ComboBox_1"/>
      </mc:Fallback>
    </mc:AlternateContent>
    <mc:AlternateContent xmlns:mc="http://schemas.openxmlformats.org/markup-compatibility/2006">
      <mc:Choice Requires="x14">
        <control shapeId="125957" r:id="rId11" name="ComboBox_2">
          <controlPr defaultSize="0" autoLine="0" linkedCell="$AM$25" listFillRange="$AM$26:$AN$146" r:id="rId12">
            <anchor moveWithCells="1">
              <from>
                <xdr:col>70</xdr:col>
                <xdr:colOff>590550</xdr:colOff>
                <xdr:row>18</xdr:row>
                <xdr:rowOff>161925</xdr:rowOff>
              </from>
              <to>
                <xdr:col>72</xdr:col>
                <xdr:colOff>600075</xdr:colOff>
                <xdr:row>20</xdr:row>
                <xdr:rowOff>19050</xdr:rowOff>
              </to>
            </anchor>
          </controlPr>
        </control>
      </mc:Choice>
      <mc:Fallback>
        <control shapeId="125957" r:id="rId11" name="ComboBox_2"/>
      </mc:Fallback>
    </mc:AlternateContent>
    <mc:AlternateContent xmlns:mc="http://schemas.openxmlformats.org/markup-compatibility/2006">
      <mc:Choice Requires="x14">
        <control shapeId="125958" r:id="rId13" name="ComboBox_3">
          <controlPr defaultSize="0" autoLine="0" linkedCell="$AJ$25" listFillRange="$AJ$26:$AK$477" r:id="rId14">
            <anchor moveWithCells="1">
              <from>
                <xdr:col>70</xdr:col>
                <xdr:colOff>590550</xdr:colOff>
                <xdr:row>16</xdr:row>
                <xdr:rowOff>180975</xdr:rowOff>
              </from>
              <to>
                <xdr:col>72</xdr:col>
                <xdr:colOff>600075</xdr:colOff>
                <xdr:row>18</xdr:row>
                <xdr:rowOff>38100</xdr:rowOff>
              </to>
            </anchor>
          </controlPr>
        </control>
      </mc:Choice>
      <mc:Fallback>
        <control shapeId="125958" r:id="rId13" name="ComboBox_3"/>
      </mc:Fallback>
    </mc:AlternateContent>
    <mc:AlternateContent xmlns:mc="http://schemas.openxmlformats.org/markup-compatibility/2006">
      <mc:Choice Requires="x14">
        <control shapeId="125959" r:id="rId15" name="ComboBox_5">
          <controlPr defaultSize="0" autoLine="0" linkedCell="$AS$25" listFillRange="$AS$26:$AT$477" r:id="rId7">
            <anchor moveWithCells="1">
              <from>
                <xdr:col>70</xdr:col>
                <xdr:colOff>590550</xdr:colOff>
                <xdr:row>25</xdr:row>
                <xdr:rowOff>180975</xdr:rowOff>
              </from>
              <to>
                <xdr:col>72</xdr:col>
                <xdr:colOff>600075</xdr:colOff>
                <xdr:row>27</xdr:row>
                <xdr:rowOff>28575</xdr:rowOff>
              </to>
            </anchor>
          </controlPr>
        </control>
      </mc:Choice>
      <mc:Fallback>
        <control shapeId="125959" r:id="rId15" name="ComboBox_5"/>
      </mc:Fallback>
    </mc:AlternateContent>
    <mc:AlternateContent xmlns:mc="http://schemas.openxmlformats.org/markup-compatibility/2006">
      <mc:Choice Requires="x14">
        <control shapeId="125960" r:id="rId16" name="ComboBox_6">
          <controlPr defaultSize="0" autoLine="0" linkedCell="$AD$25" listFillRange="$AD$26:$AE$87" r:id="rId17">
            <anchor moveWithCells="1">
              <from>
                <xdr:col>70</xdr:col>
                <xdr:colOff>590550</xdr:colOff>
                <xdr:row>8</xdr:row>
                <xdr:rowOff>180975</xdr:rowOff>
              </from>
              <to>
                <xdr:col>72</xdr:col>
                <xdr:colOff>600075</xdr:colOff>
                <xdr:row>10</xdr:row>
                <xdr:rowOff>9525</xdr:rowOff>
              </to>
            </anchor>
          </controlPr>
        </control>
      </mc:Choice>
      <mc:Fallback>
        <control shapeId="125960" r:id="rId16" name="ComboBox_6"/>
      </mc:Fallback>
    </mc:AlternateContent>
    <mc:AlternateContent xmlns:mc="http://schemas.openxmlformats.org/markup-compatibility/2006">
      <mc:Choice Requires="x14">
        <control shapeId="125961" r:id="rId18" name="ComboBox_8">
          <controlPr defaultSize="0" autoLine="0" linkedCell="$AV$25" listFillRange="$AV$26:$AW$146" r:id="rId7">
            <anchor moveWithCells="1">
              <from>
                <xdr:col>70</xdr:col>
                <xdr:colOff>590550</xdr:colOff>
                <xdr:row>27</xdr:row>
                <xdr:rowOff>180975</xdr:rowOff>
              </from>
              <to>
                <xdr:col>72</xdr:col>
                <xdr:colOff>600075</xdr:colOff>
                <xdr:row>29</xdr:row>
                <xdr:rowOff>38100</xdr:rowOff>
              </to>
            </anchor>
          </controlPr>
        </control>
      </mc:Choice>
      <mc:Fallback>
        <control shapeId="125961" r:id="rId18" name="ComboBox_8"/>
      </mc:Fallback>
    </mc:AlternateContent>
    <mc:AlternateContent xmlns:mc="http://schemas.openxmlformats.org/markup-compatibility/2006">
      <mc:Choice Requires="x14">
        <control shapeId="125962" r:id="rId19" name="ComboBox_9">
          <controlPr defaultSize="0" autoLine="0" linkedCell="$BB$25" listFillRange="$BB$26:$BC$477" r:id="rId7">
            <anchor moveWithCells="1">
              <from>
                <xdr:col>70</xdr:col>
                <xdr:colOff>590550</xdr:colOff>
                <xdr:row>35</xdr:row>
                <xdr:rowOff>0</xdr:rowOff>
              </from>
              <to>
                <xdr:col>72</xdr:col>
                <xdr:colOff>600075</xdr:colOff>
                <xdr:row>36</xdr:row>
                <xdr:rowOff>38100</xdr:rowOff>
              </to>
            </anchor>
          </controlPr>
        </control>
      </mc:Choice>
      <mc:Fallback>
        <control shapeId="125962" r:id="rId19" name="ComboBox_9"/>
      </mc:Fallback>
    </mc:AlternateContent>
    <mc:AlternateContent xmlns:mc="http://schemas.openxmlformats.org/markup-compatibility/2006">
      <mc:Choice Requires="x14">
        <control shapeId="125963" r:id="rId20" name="ComboBox_11">
          <controlPr defaultSize="0" autoLine="0" linkedCell="$BE$25" listFillRange="$BE$26:$BF$146" r:id="rId7">
            <anchor moveWithCells="1">
              <from>
                <xdr:col>70</xdr:col>
                <xdr:colOff>590550</xdr:colOff>
                <xdr:row>36</xdr:row>
                <xdr:rowOff>180975</xdr:rowOff>
              </from>
              <to>
                <xdr:col>72</xdr:col>
                <xdr:colOff>600075</xdr:colOff>
                <xdr:row>38</xdr:row>
                <xdr:rowOff>19050</xdr:rowOff>
              </to>
            </anchor>
          </controlPr>
        </control>
      </mc:Choice>
      <mc:Fallback>
        <control shapeId="125963" r:id="rId20" name="ComboBox_11"/>
      </mc:Fallback>
    </mc:AlternateContent>
    <mc:AlternateContent xmlns:mc="http://schemas.openxmlformats.org/markup-compatibility/2006">
      <mc:Choice Requires="x14">
        <control shapeId="125964" r:id="rId21" name="ComboBox_12">
          <controlPr defaultSize="0" autoLine="0" linkedCell="$BK$25" listFillRange="$BK$26:$BL$146" r:id="rId22">
            <anchor moveWithCells="1">
              <from>
                <xdr:col>80</xdr:col>
                <xdr:colOff>0</xdr:colOff>
                <xdr:row>3</xdr:row>
                <xdr:rowOff>0</xdr:rowOff>
              </from>
              <to>
                <xdr:col>82</xdr:col>
                <xdr:colOff>9525</xdr:colOff>
                <xdr:row>4</xdr:row>
                <xdr:rowOff>19050</xdr:rowOff>
              </to>
            </anchor>
          </controlPr>
        </control>
      </mc:Choice>
      <mc:Fallback>
        <control shapeId="125964" r:id="rId21" name="ComboBox_12"/>
      </mc:Fallback>
    </mc:AlternateContent>
    <mc:AlternateContent xmlns:mc="http://schemas.openxmlformats.org/markup-compatibility/2006">
      <mc:Choice Requires="x14">
        <control shapeId="125965" r:id="rId23" name="ComboBox_15">
          <controlPr defaultSize="0" autoLine="0" linkedCell="$U$25" listFillRange="$U$26:$V$29" r:id="rId24">
            <anchor moveWithCells="1">
              <from>
                <xdr:col>69</xdr:col>
                <xdr:colOff>581025</xdr:colOff>
                <xdr:row>14</xdr:row>
                <xdr:rowOff>190500</xdr:rowOff>
              </from>
              <to>
                <xdr:col>72</xdr:col>
                <xdr:colOff>600075</xdr:colOff>
                <xdr:row>16</xdr:row>
                <xdr:rowOff>38100</xdr:rowOff>
              </to>
            </anchor>
          </controlPr>
        </control>
      </mc:Choice>
      <mc:Fallback>
        <control shapeId="125965" r:id="rId23" name="ComboBox_15"/>
      </mc:Fallback>
    </mc:AlternateContent>
    <mc:AlternateContent xmlns:mc="http://schemas.openxmlformats.org/markup-compatibility/2006">
      <mc:Choice Requires="x14">
        <control shapeId="125966" r:id="rId25" name="ComboBox_13">
          <controlPr defaultSize="0" autoLine="0" linkedCell="$X$25" listFillRange="$X$26:$Y$29" r:id="rId26">
            <anchor moveWithCells="1">
              <from>
                <xdr:col>69</xdr:col>
                <xdr:colOff>552450</xdr:colOff>
                <xdr:row>23</xdr:row>
                <xdr:rowOff>180975</xdr:rowOff>
              </from>
              <to>
                <xdr:col>72</xdr:col>
                <xdr:colOff>600075</xdr:colOff>
                <xdr:row>25</xdr:row>
                <xdr:rowOff>28575</xdr:rowOff>
              </to>
            </anchor>
          </controlPr>
        </control>
      </mc:Choice>
      <mc:Fallback>
        <control shapeId="125966" r:id="rId25" name="ComboBox_13"/>
      </mc:Fallback>
    </mc:AlternateContent>
    <mc:AlternateContent xmlns:mc="http://schemas.openxmlformats.org/markup-compatibility/2006">
      <mc:Choice Requires="x14">
        <control shapeId="125967" r:id="rId27" name="ComboBox_14">
          <controlPr defaultSize="0" autoLine="0" linkedCell="$AA$25" listFillRange="$AA$26:$AB$29" r:id="rId28">
            <anchor moveWithCells="1">
              <from>
                <xdr:col>69</xdr:col>
                <xdr:colOff>561975</xdr:colOff>
                <xdr:row>32</xdr:row>
                <xdr:rowOff>152400</xdr:rowOff>
              </from>
              <to>
                <xdr:col>72</xdr:col>
                <xdr:colOff>600075</xdr:colOff>
                <xdr:row>34</xdr:row>
                <xdr:rowOff>9525</xdr:rowOff>
              </to>
            </anchor>
          </controlPr>
        </control>
      </mc:Choice>
      <mc:Fallback>
        <control shapeId="125967" r:id="rId27" name="ComboBox_14"/>
      </mc:Fallback>
    </mc:AlternateContent>
  </controls>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593DB86-C177-444C-96B5-4530A7365D38}">
  <sheetPr codeName="Sheet8"/>
  <dimension ref="A1:CU473"/>
  <sheetViews>
    <sheetView showGridLines="0" showRowColHeaders="0" topLeftCell="BY1" zoomScale="85" zoomScaleNormal="85" workbookViewId="0">
      <selection activeCell="BY1" sqref="BY1"/>
    </sheetView>
  </sheetViews>
  <sheetFormatPr defaultColWidth="9.140625" defaultRowHeight="15.75"/>
  <cols>
    <col min="1" max="2" width="9.140625" hidden="1" customWidth="1"/>
    <col min="3" max="3" width="9.140625" style="2" hidden="1" customWidth="1"/>
    <col min="4" max="4" width="12.85546875" style="2" hidden="1" customWidth="1"/>
    <col min="5" max="5" width="16.85546875" hidden="1" customWidth="1"/>
    <col min="6" max="6" width="110.7109375" hidden="1" customWidth="1"/>
    <col min="7" max="8" width="9.140625" hidden="1" customWidth="1"/>
    <col min="9" max="9" width="24.85546875" hidden="1" customWidth="1"/>
    <col min="10" max="10" width="26.28515625" style="2" hidden="1" customWidth="1"/>
    <col min="11" max="11" width="6.42578125" hidden="1" customWidth="1"/>
    <col min="12" max="12" width="9.140625" style="2" hidden="1" customWidth="1"/>
    <col min="13" max="13" width="9.140625" hidden="1" customWidth="1"/>
    <col min="14" max="14" width="9.140625" style="2" hidden="1" customWidth="1"/>
    <col min="15" max="15" width="10" hidden="1" customWidth="1"/>
    <col min="16" max="16" width="10.140625" hidden="1" customWidth="1"/>
    <col min="17" max="17" width="12.42578125" hidden="1" customWidth="1"/>
    <col min="18" max="18" width="9.140625" style="2" hidden="1" customWidth="1"/>
    <col min="19" max="19" width="9.140625" style="10" hidden="1" customWidth="1"/>
    <col min="20" max="66" width="9.140625" style="7" hidden="1" customWidth="1"/>
    <col min="67" max="68" width="9.140625" style="263" hidden="1" customWidth="1"/>
    <col min="69" max="76" width="9.140625" style="7" hidden="1" customWidth="1"/>
    <col min="77" max="77" width="5.140625" style="359" customWidth="1"/>
    <col min="78" max="79" width="9.140625" style="359"/>
    <col min="80" max="89" width="9.140625" style="359" customWidth="1"/>
    <col min="90" max="96" width="9.140625" style="359"/>
    <col min="97" max="98" width="9.140625" style="359" customWidth="1"/>
    <col min="99" max="101" width="9.140625" style="10"/>
    <col min="102" max="116" width="9.140625" style="10" customWidth="1"/>
    <col min="117" max="16384" width="9.140625" style="10"/>
  </cols>
  <sheetData>
    <row r="1" spans="1:99" ht="37.5" customHeight="1">
      <c r="A1" s="122"/>
      <c r="B1" s="123"/>
      <c r="C1" s="644">
        <f>SUM(C2:C27)</f>
        <v>98</v>
      </c>
      <c r="D1" s="644">
        <f>SUM(D2:D27)</f>
        <v>56</v>
      </c>
      <c r="E1" s="123"/>
      <c r="F1" s="645" t="str">
        <f>_xlfn.CONCAT(E2:E27)</f>
        <v>10100010000000010000000000000000000000000100101100100100</v>
      </c>
      <c r="G1" s="123" t="s">
        <v>0</v>
      </c>
      <c r="H1" s="123"/>
      <c r="I1" s="646" t="str">
        <f>_xlfn.CONCAT(I2:I27)</f>
        <v>ogEAAABLJA</v>
      </c>
      <c r="J1" s="646" t="str">
        <f>radix64</f>
        <v>ogEAAABLJA</v>
      </c>
      <c r="K1" s="123" t="str">
        <f>J1</f>
        <v>ogEAAABLJA</v>
      </c>
      <c r="L1" s="644" t="s">
        <v>0</v>
      </c>
      <c r="M1" s="123"/>
      <c r="N1" s="644"/>
      <c r="O1" s="123" t="str">
        <f>_xlfn.CONCAT((O2:O27))</f>
        <v>101000100000000100000000000000000000000001001011001001000000</v>
      </c>
      <c r="P1" s="645" t="str">
        <f>O1</f>
        <v>101000100000000100000000000000000000000001001011001001000000</v>
      </c>
      <c r="Q1" s="123" t="s">
        <v>0</v>
      </c>
      <c r="R1" s="644">
        <f>SUM(R2:R27)</f>
        <v>98</v>
      </c>
      <c r="S1" s="647"/>
      <c r="T1" s="111"/>
      <c r="U1" s="648"/>
      <c r="V1" s="648"/>
      <c r="W1" s="648"/>
      <c r="X1" s="648"/>
      <c r="Y1" s="648"/>
      <c r="Z1" s="648"/>
      <c r="AA1" s="648"/>
      <c r="AB1" s="648"/>
      <c r="AC1" s="648"/>
      <c r="AD1" s="111"/>
      <c r="AE1" s="648"/>
      <c r="AF1" s="649" t="str">
        <f>IF(AT20,AA57,Y57)</f>
        <v>P_RS_S_B_SR</v>
      </c>
      <c r="AG1" s="650">
        <f>AF57</f>
        <v>8</v>
      </c>
      <c r="AH1" s="649" t="str">
        <f>W57</f>
        <v>P_blank2</v>
      </c>
      <c r="AI1" s="650">
        <f>AC57</f>
        <v>2</v>
      </c>
      <c r="AJ1" s="648"/>
      <c r="AK1" s="111"/>
      <c r="AL1" s="111">
        <f>Cntrl2-1</f>
        <v>4</v>
      </c>
      <c r="AM1" s="111"/>
      <c r="AN1" s="111"/>
      <c r="AO1" s="111">
        <f>Cntrl4-1</f>
        <v>4</v>
      </c>
      <c r="AP1" s="111"/>
      <c r="AQ1" s="111"/>
      <c r="AR1" s="111">
        <f>Cntrl6-1</f>
        <v>4</v>
      </c>
      <c r="AS1" s="111"/>
      <c r="AT1" s="111"/>
      <c r="AU1" s="111">
        <f>Cntrl3-1</f>
        <v>1</v>
      </c>
      <c r="AV1" s="111"/>
      <c r="AW1" s="111"/>
      <c r="AX1" s="111">
        <f>Cntrl5-1</f>
        <v>1</v>
      </c>
      <c r="AY1" s="111"/>
      <c r="AZ1" s="111"/>
      <c r="BA1" s="111">
        <f>Cntrl1-1</f>
        <v>2</v>
      </c>
      <c r="BB1" s="111"/>
      <c r="BC1" s="111"/>
      <c r="BD1" s="111">
        <f>Cntrl12-1</f>
        <v>0</v>
      </c>
      <c r="BE1" s="111"/>
      <c r="BF1" s="111"/>
      <c r="BG1" s="111">
        <f>Cntrl7-1</f>
        <v>0</v>
      </c>
      <c r="BH1" s="111"/>
      <c r="BI1" s="111"/>
      <c r="BJ1" s="111">
        <f>Cntrl11-1</f>
        <v>0</v>
      </c>
      <c r="BK1" s="111"/>
      <c r="BL1" s="111"/>
      <c r="BM1" s="111">
        <f>Cntrl10-1</f>
        <v>1</v>
      </c>
      <c r="BN1" s="111"/>
      <c r="BO1" s="651"/>
      <c r="BP1" s="651"/>
      <c r="BQ1" s="111"/>
      <c r="BR1" s="111"/>
      <c r="BS1" s="111">
        <f>Cntrl8-1</f>
        <v>81</v>
      </c>
      <c r="BT1" s="111"/>
      <c r="BU1" s="111"/>
      <c r="BV1" s="111"/>
      <c r="BW1" s="111"/>
      <c r="BX1" s="111" t="b">
        <f>NOT(AND(NOT(AY17),Cntrl1-1,Cntrl2-1,Cntrl3-1,Cntrl4-1,Cntrl5-1,Cntrl6-1,Cntrl8-1,Cntrl10-1))</f>
        <v>0</v>
      </c>
      <c r="BY1" s="652"/>
      <c r="BZ1" s="1096" t="e" vm="1">
        <v>#VALUE!</v>
      </c>
      <c r="CA1" s="1096"/>
      <c r="CB1" s="1104" t="s">
        <v>589</v>
      </c>
      <c r="CC1" s="1104"/>
      <c r="CD1" s="1104"/>
      <c r="CE1" s="1104"/>
      <c r="CF1" s="1104"/>
      <c r="CG1" s="1104"/>
      <c r="CH1" s="1091" t="str">
        <f>IF(BX1,"",I1)</f>
        <v>ogEAAABLJA</v>
      </c>
      <c r="CI1" s="1091"/>
      <c r="CJ1" s="1091"/>
      <c r="CK1" s="1091"/>
      <c r="CL1" s="1108" t="s">
        <v>2</v>
      </c>
      <c r="CM1" s="1109"/>
      <c r="CN1" s="1109"/>
      <c r="CO1" s="1109"/>
      <c r="CP1" s="905" t="s">
        <v>2261</v>
      </c>
      <c r="CQ1" s="1041" t="s">
        <v>3</v>
      </c>
      <c r="CR1" s="1041"/>
      <c r="CS1" s="1092">
        <v>45988.700578703705</v>
      </c>
      <c r="CT1" s="1093"/>
    </row>
    <row r="2" spans="1:99" ht="15.75" customHeight="1">
      <c r="A2" s="125">
        <v>1</v>
      </c>
      <c r="B2" t="s">
        <v>4</v>
      </c>
      <c r="C2" s="142">
        <f>Cntrl8-1</f>
        <v>81</v>
      </c>
      <c r="D2" s="559">
        <f>BS2</f>
        <v>7</v>
      </c>
      <c r="E2" s="172" t="str">
        <f>IF(C2&lt;&gt;"",RIGHT("0000000000"&amp;TEXT(DEC2BIN(C2,D2),"0"),D2),"")</f>
        <v>1010001</v>
      </c>
      <c r="F2" s="555" t="str">
        <f>F1</f>
        <v>10100010000000010000000000000000000000000100101100100100</v>
      </c>
      <c r="G2" s="172" t="str">
        <f>IF(F2&lt;&gt;"",IF(LEN(F2)&gt;=6,LEFT(F2,6),LEFT(F2&amp;"000000",6)),"")</f>
        <v>101000</v>
      </c>
      <c r="H2">
        <f>IF(G2&lt;&gt;"",BIN2DEC(G2),"")</f>
        <v>40</v>
      </c>
      <c r="I2" s="552" t="str" cm="1">
        <f t="array" ref="I2">IF(H2&lt;&gt;"",INDEX($B$2:$B$66,H2+1),"")</f>
        <v>o</v>
      </c>
      <c r="J2" s="554">
        <f t="shared" ref="J2:J27" si="0">IF(D2&lt;&gt;"",D2,"")</f>
        <v>7</v>
      </c>
      <c r="K2" t="str">
        <f>J1</f>
        <v>ogEAAABLJA</v>
      </c>
      <c r="L2" s="2" t="str">
        <f>LEFT(K2,1)</f>
        <v>o</v>
      </c>
      <c r="M2" t="b">
        <f>IF(L2&lt;&gt;"",EXACT(L2,UPPER(L2)),"")</f>
        <v>0</v>
      </c>
      <c r="N2" s="2">
        <f>IF(M2&lt;&gt;"",IF(M2,MATCH(L2,$B$2:$B$66,0)-1,MATCH(L2,$B$28:$B$66,0)+25),"")</f>
        <v>40</v>
      </c>
      <c r="O2" s="172" t="str">
        <f t="shared" ref="O2:O27" si="1">IF(N2&lt;&gt;"",DEC2BIN(N2,6),"")</f>
        <v>101000</v>
      </c>
      <c r="P2" s="177" t="str">
        <f>P1</f>
        <v>101000100000000100000000000000000000000001001011001001000000</v>
      </c>
      <c r="Q2" s="172" t="str">
        <f t="shared" ref="Q2:Q27" si="2">IF(J2&lt;&gt;"",LEFT(P2,J2),"")</f>
        <v>1010001</v>
      </c>
      <c r="R2" s="553">
        <f>IF(Q2&lt;&gt;"",BIN2DEC(Q2),"")</f>
        <v>81</v>
      </c>
      <c r="S2" s="142" t="s">
        <v>5</v>
      </c>
      <c r="U2" s="8"/>
      <c r="V2" s="8"/>
      <c r="W2" s="8"/>
      <c r="X2" s="8"/>
      <c r="Y2" s="8"/>
      <c r="Z2" s="8"/>
      <c r="AA2" s="8"/>
      <c r="AB2" s="8"/>
      <c r="AC2" s="8"/>
      <c r="AE2" s="8"/>
      <c r="AF2" s="8"/>
      <c r="AG2" s="8"/>
      <c r="AH2" s="8"/>
      <c r="AI2" s="8"/>
      <c r="AJ2" s="8"/>
      <c r="AK2" s="57"/>
      <c r="AL2" s="7">
        <f>IF(AL3=1,1,INT(LOG(AL3-1,2))+1)</f>
        <v>3</v>
      </c>
      <c r="AM2" s="57"/>
      <c r="AN2" s="57"/>
      <c r="AO2" s="7">
        <f>IF(AO3=1,1,INT(LOG(AO3-1,2))+1)</f>
        <v>3</v>
      </c>
      <c r="AP2" s="57"/>
      <c r="AQ2" s="57"/>
      <c r="AR2" s="7">
        <f>IF(AR3=1,1,INT(LOG(AR3-1,2))+1)</f>
        <v>3</v>
      </c>
      <c r="AS2" s="57"/>
      <c r="AU2" s="7">
        <f>IF(AU3=1,1,INT(LOG(AU3-1,2))+1)</f>
        <v>2</v>
      </c>
      <c r="AX2" s="7">
        <f>IF(AX3=1,1,INT(LOG(AX3-1,2))+1)</f>
        <v>2</v>
      </c>
      <c r="BA2" s="7">
        <f>IF(BA3=1,1,INT(LOG(BA3-1,2))+1)</f>
        <v>3</v>
      </c>
      <c r="BD2" s="7">
        <f>IF(BD3=1,1,INT(LOG(BD3-1,2))+1)</f>
        <v>7</v>
      </c>
      <c r="BG2" s="7">
        <f>IF(BG3=1,1,INT(LOG(BG3-1,2))+1)</f>
        <v>8</v>
      </c>
      <c r="BJ2" s="7">
        <f>IF(BJ3=1,1,INT(LOG(BJ3-1,2))+1)</f>
        <v>9</v>
      </c>
      <c r="BM2" s="7">
        <f>IF(BM3=1,1,INT(LOG(BM3-1,2))+1)</f>
        <v>9</v>
      </c>
      <c r="BS2" s="7">
        <f>IF(BS3=1,1,INT(LOG(BS3-1,2))+1)</f>
        <v>7</v>
      </c>
      <c r="BX2" s="7" t="b">
        <f>OR(AZ17,NOT(WebCntrl1),NOT(WebCntrl2),NOT(WebCntrl3),NOT(WebCntrl4),NOT(WebCntrl5),NOT(WebCntrl6),NOT(WebCntrl7),NOT(WebCntrl8))</f>
        <v>1</v>
      </c>
      <c r="BY2" s="193"/>
      <c r="BZ2" s="193"/>
      <c r="CA2" s="193"/>
      <c r="CB2" s="193"/>
      <c r="CC2" s="193"/>
      <c r="CD2" s="193"/>
      <c r="CE2" s="193"/>
      <c r="CF2" s="193"/>
      <c r="CG2" s="329"/>
      <c r="CH2" s="193"/>
      <c r="CI2" s="193"/>
      <c r="CJ2" s="199"/>
      <c r="CK2" s="193"/>
      <c r="CL2" s="193"/>
      <c r="CM2" s="193"/>
      <c r="CN2" s="193"/>
      <c r="CO2" s="193"/>
      <c r="CP2" s="193"/>
      <c r="CQ2" s="193"/>
      <c r="CR2" s="193"/>
      <c r="CS2" s="193"/>
      <c r="CT2" s="160"/>
    </row>
    <row r="3" spans="1:99" ht="15.75" customHeight="1">
      <c r="A3" s="125">
        <v>2</v>
      </c>
      <c r="B3" t="s">
        <v>7</v>
      </c>
      <c r="C3" s="142">
        <f>Cntrl10-1</f>
        <v>1</v>
      </c>
      <c r="D3" s="559">
        <f>BM2</f>
        <v>9</v>
      </c>
      <c r="E3" s="172" t="str">
        <f t="shared" ref="E3:E27" si="3">IF(C3&lt;&gt;"",RIGHT("0000000000"&amp;TEXT(DEC2BIN(C3,D3),"0"),D3),"")</f>
        <v>000000001</v>
      </c>
      <c r="F3" s="555" t="str">
        <f t="shared" ref="F3:F14" si="4">IF(LEN(F2)&gt;=6,RIGHT(F2,LEN(F2)-6),"")</f>
        <v>10000000010000000000000000000000000100101100100100</v>
      </c>
      <c r="G3" s="172" t="str">
        <f t="shared" ref="G3:G27" si="5">IF(F3&lt;&gt;"",IF(LEN(F3)&gt;=6,LEFT(F3,6),LEFT(F3&amp;"000000",6)),"")</f>
        <v>100000</v>
      </c>
      <c r="H3">
        <f t="shared" ref="H3:H27" si="6">IF(G3&lt;&gt;"",BIN2DEC(G3),"")</f>
        <v>32</v>
      </c>
      <c r="I3" s="552" t="str" cm="1">
        <f t="array" ref="I3">IF(H3&lt;&gt;"",INDEX($B$2:$B$66,H3+1),"")</f>
        <v>g</v>
      </c>
      <c r="J3" s="554">
        <f t="shared" si="0"/>
        <v>9</v>
      </c>
      <c r="K3" t="str">
        <f t="shared" ref="K3:K11" si="7">IF(LEN(K2)&gt;1,RIGHT(K2,LEN(K2)-1),"")</f>
        <v>gEAAABLJA</v>
      </c>
      <c r="L3" s="2" t="str">
        <f t="shared" ref="L3:L27" si="8">LEFT(K3,1)</f>
        <v>g</v>
      </c>
      <c r="M3" t="b">
        <f t="shared" ref="M3:M27" si="9">IF(L3&lt;&gt;"",EXACT(L3,UPPER(L3)),"")</f>
        <v>0</v>
      </c>
      <c r="N3" s="2">
        <f t="shared" ref="N3:N27" si="10">IF(M3&lt;&gt;"",IF(M3,MATCH(L3,$B$2:$B$66,0)-1,MATCH(L3,$B$28:$B$66,0)+25),"")</f>
        <v>32</v>
      </c>
      <c r="O3" s="172" t="str">
        <f t="shared" si="1"/>
        <v>100000</v>
      </c>
      <c r="P3" s="177" t="str">
        <f t="shared" ref="P3:P26" si="11">IF(J3&lt;&gt;"",RIGHT(P2,LEN(P2)-J2),"")</f>
        <v>00000000100000000000000000000000001001011001001000000</v>
      </c>
      <c r="Q3" s="172" t="str">
        <f t="shared" si="2"/>
        <v>000000001</v>
      </c>
      <c r="R3" s="553">
        <f t="shared" ref="R3:S27" si="12">IF(Q3&lt;&gt;"",BIN2DEC(Q3),"")</f>
        <v>1</v>
      </c>
      <c r="S3" s="142" t="s">
        <v>51</v>
      </c>
      <c r="U3" s="9">
        <v>9</v>
      </c>
      <c r="V3" s="9">
        <v>10</v>
      </c>
      <c r="W3" s="9">
        <v>11</v>
      </c>
      <c r="X3" s="9">
        <v>12</v>
      </c>
      <c r="Y3" s="9">
        <v>13</v>
      </c>
      <c r="Z3" s="9">
        <v>14</v>
      </c>
      <c r="AA3" s="9">
        <v>15</v>
      </c>
      <c r="AB3" s="9">
        <v>16</v>
      </c>
      <c r="AC3" s="9">
        <v>17</v>
      </c>
      <c r="AD3" s="8"/>
      <c r="AG3" s="155"/>
      <c r="AH3" s="155">
        <f>AH4-1</f>
        <v>1</v>
      </c>
      <c r="AI3" s="155"/>
      <c r="AL3" s="7">
        <v>6</v>
      </c>
      <c r="AO3" s="7">
        <v>5</v>
      </c>
      <c r="AR3" s="7">
        <v>5</v>
      </c>
      <c r="AU3" s="7">
        <v>3</v>
      </c>
      <c r="AX3" s="7">
        <v>4</v>
      </c>
      <c r="BA3" s="7">
        <v>5</v>
      </c>
      <c r="BD3" s="7">
        <v>96</v>
      </c>
      <c r="BG3" s="7">
        <v>242</v>
      </c>
      <c r="BJ3" s="7">
        <v>301</v>
      </c>
      <c r="BM3" s="7">
        <v>452</v>
      </c>
      <c r="BS3" s="7">
        <v>82</v>
      </c>
      <c r="BY3" s="193" t="s">
        <v>9</v>
      </c>
      <c r="BZ3" s="207"/>
      <c r="CA3" s="193"/>
      <c r="CB3" s="193"/>
      <c r="CC3" s="200" t="s">
        <v>10</v>
      </c>
      <c r="CD3" s="193"/>
      <c r="CE3" s="250">
        <v>65</v>
      </c>
      <c r="CF3" s="193"/>
      <c r="CG3" s="260"/>
      <c r="CH3" s="193"/>
      <c r="CI3" s="193"/>
      <c r="CJ3" s="199"/>
      <c r="CK3" s="193"/>
      <c r="CL3" s="193"/>
      <c r="CM3" s="193"/>
      <c r="CN3" s="193"/>
      <c r="CO3" s="193"/>
      <c r="CP3" s="193"/>
      <c r="CQ3" s="193"/>
      <c r="CR3" s="193"/>
      <c r="CS3" s="334"/>
      <c r="CT3" s="367"/>
      <c r="CU3" s="319"/>
    </row>
    <row r="4" spans="1:99" ht="18.75">
      <c r="A4" s="125">
        <v>3</v>
      </c>
      <c r="B4" t="s">
        <v>11</v>
      </c>
      <c r="C4" s="142">
        <f>Cntrl11-1</f>
        <v>0</v>
      </c>
      <c r="D4" s="559">
        <f>BJ2</f>
        <v>9</v>
      </c>
      <c r="E4" s="172" t="str">
        <f t="shared" si="3"/>
        <v>000000000</v>
      </c>
      <c r="F4" s="555" t="str">
        <f t="shared" si="4"/>
        <v>00010000000000000000000000000100101100100100</v>
      </c>
      <c r="G4" s="172" t="str">
        <f t="shared" si="5"/>
        <v>000100</v>
      </c>
      <c r="H4">
        <f t="shared" si="6"/>
        <v>4</v>
      </c>
      <c r="I4" s="552" t="str" cm="1">
        <f t="array" ref="I4">IF(H4&lt;&gt;"",INDEX($B$2:$B$66,H4+1),"")</f>
        <v>E</v>
      </c>
      <c r="J4" s="554">
        <f t="shared" si="0"/>
        <v>9</v>
      </c>
      <c r="K4" t="str">
        <f t="shared" si="7"/>
        <v>EAAABLJA</v>
      </c>
      <c r="L4" s="2" t="str">
        <f t="shared" si="8"/>
        <v>E</v>
      </c>
      <c r="M4" t="b">
        <f t="shared" si="9"/>
        <v>1</v>
      </c>
      <c r="N4" s="2">
        <f t="shared" si="10"/>
        <v>4</v>
      </c>
      <c r="O4" s="172" t="str">
        <f t="shared" si="1"/>
        <v>000100</v>
      </c>
      <c r="P4" s="177" t="str">
        <f t="shared" si="11"/>
        <v>00000000000000000000000001001011001001000000</v>
      </c>
      <c r="Q4" s="172" t="str">
        <f t="shared" si="2"/>
        <v>000000000</v>
      </c>
      <c r="R4" s="553">
        <f t="shared" si="12"/>
        <v>0</v>
      </c>
      <c r="S4" s="142" t="s">
        <v>37</v>
      </c>
      <c r="U4" s="653">
        <v>140</v>
      </c>
      <c r="V4" s="653">
        <v>190</v>
      </c>
      <c r="W4" s="653">
        <v>240</v>
      </c>
      <c r="X4" s="653">
        <v>290</v>
      </c>
      <c r="Y4" s="653">
        <v>140</v>
      </c>
      <c r="Z4" s="653">
        <v>190</v>
      </c>
      <c r="AA4" s="653">
        <v>240</v>
      </c>
      <c r="AB4" s="653">
        <v>290</v>
      </c>
      <c r="AC4" s="653">
        <v>140</v>
      </c>
      <c r="AE4" s="60" cm="1">
        <f t="array" ref="AE4">INDEX(U4:AC4,1,$AU$19)</f>
        <v>140</v>
      </c>
      <c r="AF4" s="9"/>
      <c r="AG4" s="155">
        <f>_xlfn.SINGLE(WebCntrl10)+1</f>
        <v>1</v>
      </c>
      <c r="AH4" s="155">
        <v>2</v>
      </c>
      <c r="AI4" s="155" t="str" cm="1">
        <f t="array" ref="AI4">INDEX(AI5:AI6,AH4)</f>
        <v>set</v>
      </c>
      <c r="AJ4" s="9"/>
      <c r="BY4" s="193" t="s">
        <v>13</v>
      </c>
      <c r="BZ4" s="207"/>
      <c r="CA4" s="193"/>
      <c r="CB4" s="193"/>
      <c r="CC4" s="193"/>
      <c r="CD4" s="193"/>
      <c r="CE4" s="241" t="s">
        <v>14</v>
      </c>
      <c r="CF4" s="242" t="s">
        <v>15</v>
      </c>
      <c r="CG4" s="327">
        <f>INT(CE3/CE5*10+0.5)/10000</f>
        <v>6.5000000000000002E-2</v>
      </c>
      <c r="CH4" s="198" t="s">
        <v>16</v>
      </c>
      <c r="CI4" s="199"/>
      <c r="CJ4" s="199"/>
      <c r="CK4" s="193"/>
      <c r="CL4" s="193"/>
      <c r="CM4" s="193"/>
      <c r="CN4" s="193"/>
      <c r="CO4" s="193"/>
      <c r="CP4" s="193"/>
      <c r="CQ4" s="193"/>
      <c r="CR4" s="193"/>
      <c r="CS4" s="334"/>
      <c r="CT4" s="367"/>
      <c r="CU4" s="319"/>
    </row>
    <row r="5" spans="1:99" ht="15" customHeight="1">
      <c r="A5" s="125">
        <v>4</v>
      </c>
      <c r="B5" t="s">
        <v>17</v>
      </c>
      <c r="C5" s="142">
        <f>Cntrl7-1</f>
        <v>0</v>
      </c>
      <c r="D5" s="559">
        <f>BG2</f>
        <v>8</v>
      </c>
      <c r="E5" s="172" t="str">
        <f t="shared" si="3"/>
        <v>00000000</v>
      </c>
      <c r="F5" s="555" t="str">
        <f t="shared" si="4"/>
        <v>00000000000000000000000100101100100100</v>
      </c>
      <c r="G5" s="172" t="str">
        <f t="shared" si="5"/>
        <v>000000</v>
      </c>
      <c r="H5">
        <f t="shared" si="6"/>
        <v>0</v>
      </c>
      <c r="I5" s="552" t="str" cm="1">
        <f t="array" ref="I5">IF(H5&lt;&gt;"",INDEX($B$2:$B$66,H5+1),"")</f>
        <v>A</v>
      </c>
      <c r="J5" s="554">
        <f t="shared" si="0"/>
        <v>8</v>
      </c>
      <c r="K5" t="str">
        <f t="shared" si="7"/>
        <v>AAABLJA</v>
      </c>
      <c r="L5" s="2" t="str">
        <f t="shared" si="8"/>
        <v>A</v>
      </c>
      <c r="M5" t="b">
        <f t="shared" si="9"/>
        <v>1</v>
      </c>
      <c r="N5" s="2">
        <f t="shared" si="10"/>
        <v>0</v>
      </c>
      <c r="O5" s="172" t="str">
        <f t="shared" si="1"/>
        <v>000000</v>
      </c>
      <c r="P5" s="177" t="str">
        <f t="shared" si="11"/>
        <v>00000000000000001001011001001000000</v>
      </c>
      <c r="Q5" s="172" t="str">
        <f t="shared" si="2"/>
        <v>00000000</v>
      </c>
      <c r="R5" s="553">
        <f t="shared" si="12"/>
        <v>0</v>
      </c>
      <c r="S5" s="142" t="s">
        <v>541</v>
      </c>
      <c r="U5" s="653">
        <v>1</v>
      </c>
      <c r="V5" s="653">
        <v>1</v>
      </c>
      <c r="W5" s="653">
        <v>1</v>
      </c>
      <c r="X5" s="653">
        <v>1</v>
      </c>
      <c r="Y5" s="653">
        <v>1</v>
      </c>
      <c r="Z5" s="653">
        <v>1</v>
      </c>
      <c r="AA5" s="653">
        <v>1</v>
      </c>
      <c r="AB5" s="653">
        <v>1</v>
      </c>
      <c r="AC5" s="653">
        <v>1</v>
      </c>
      <c r="AD5" s="8"/>
      <c r="AG5" s="155"/>
      <c r="AH5" s="155">
        <v>1</v>
      </c>
      <c r="AI5" s="155" t="s">
        <v>578</v>
      </c>
      <c r="AK5" s="8"/>
      <c r="AL5" s="8"/>
      <c r="AM5" s="8"/>
      <c r="AN5" s="8"/>
      <c r="AO5" s="8"/>
      <c r="AP5" s="8"/>
      <c r="AQ5" s="8"/>
      <c r="AR5" s="8"/>
      <c r="AS5" s="8"/>
      <c r="BY5" s="193" t="s">
        <v>29</v>
      </c>
      <c r="BZ5" s="207"/>
      <c r="CA5" s="193"/>
      <c r="CB5" s="193"/>
      <c r="CC5" s="200" t="s">
        <v>30</v>
      </c>
      <c r="CD5" s="193"/>
      <c r="CE5" s="368">
        <v>1</v>
      </c>
      <c r="CF5" s="193"/>
      <c r="CG5" s="199"/>
      <c r="CH5" s="201"/>
      <c r="CI5" s="199"/>
      <c r="CJ5" s="199"/>
      <c r="CK5" s="193"/>
      <c r="CL5" s="193"/>
      <c r="CM5" s="193"/>
      <c r="CN5" s="334"/>
      <c r="CO5" s="334"/>
      <c r="CP5" s="334"/>
      <c r="CQ5" s="334"/>
      <c r="CR5" s="334"/>
      <c r="CS5" s="334"/>
      <c r="CT5" s="367"/>
      <c r="CU5" s="319"/>
    </row>
    <row r="6" spans="1:99" ht="15.75" customHeight="1">
      <c r="A6" s="125">
        <v>5</v>
      </c>
      <c r="B6" t="s">
        <v>31</v>
      </c>
      <c r="C6" s="142">
        <f>Cntrl12-1</f>
        <v>0</v>
      </c>
      <c r="D6" s="559">
        <f>BD2</f>
        <v>7</v>
      </c>
      <c r="E6" s="172" t="str">
        <f t="shared" si="3"/>
        <v>0000000</v>
      </c>
      <c r="F6" s="555" t="str">
        <f t="shared" si="4"/>
        <v>00000000000000000100101100100100</v>
      </c>
      <c r="G6" s="172" t="str">
        <f t="shared" si="5"/>
        <v>000000</v>
      </c>
      <c r="H6">
        <f t="shared" si="6"/>
        <v>0</v>
      </c>
      <c r="I6" s="552" t="str" cm="1">
        <f t="array" ref="I6">IF(H6&lt;&gt;"",INDEX($B$2:$B$66,H6+1),"")</f>
        <v>A</v>
      </c>
      <c r="J6" s="554">
        <f t="shared" si="0"/>
        <v>7</v>
      </c>
      <c r="K6" t="str">
        <f t="shared" si="7"/>
        <v>AABLJA</v>
      </c>
      <c r="L6" s="2" t="str">
        <f t="shared" si="8"/>
        <v>A</v>
      </c>
      <c r="M6" t="b">
        <f t="shared" si="9"/>
        <v>1</v>
      </c>
      <c r="N6" s="2">
        <f t="shared" si="10"/>
        <v>0</v>
      </c>
      <c r="O6" s="172" t="str">
        <f t="shared" si="1"/>
        <v>000000</v>
      </c>
      <c r="P6" s="177" t="str">
        <f t="shared" si="11"/>
        <v>000000001001011001001000000</v>
      </c>
      <c r="Q6" s="172" t="str">
        <f t="shared" si="2"/>
        <v>0000000</v>
      </c>
      <c r="R6" s="553">
        <f t="shared" si="12"/>
        <v>0</v>
      </c>
      <c r="S6" s="142" t="s">
        <v>12</v>
      </c>
      <c r="T6" s="7" t="s">
        <v>102</v>
      </c>
      <c r="U6" s="653">
        <v>165</v>
      </c>
      <c r="V6" s="653">
        <v>215</v>
      </c>
      <c r="W6" s="653">
        <v>265</v>
      </c>
      <c r="X6" s="653">
        <v>315</v>
      </c>
      <c r="Y6" s="653">
        <v>165</v>
      </c>
      <c r="Z6" s="653">
        <v>215</v>
      </c>
      <c r="AA6" s="653">
        <v>265</v>
      </c>
      <c r="AB6" s="653">
        <v>315</v>
      </c>
      <c r="AC6" s="653">
        <v>115</v>
      </c>
      <c r="AE6" s="28" cm="1">
        <f t="array" ref="AE6">IF($AZ$20&lt;3,INDEX(U6:AC6,1,$AU$19),INDEX(U6:AC6,1,$AU$19)-50)</f>
        <v>165</v>
      </c>
      <c r="AF6" s="9"/>
      <c r="AG6" s="155"/>
      <c r="AH6" s="155">
        <v>2</v>
      </c>
      <c r="AI6" s="155" t="s">
        <v>580</v>
      </c>
      <c r="AJ6" s="9"/>
      <c r="AL6" s="9"/>
      <c r="AM6" s="9"/>
      <c r="AN6" s="9"/>
      <c r="AO6" s="9"/>
      <c r="AP6" s="9"/>
      <c r="AQ6" s="9"/>
      <c r="AR6" s="9"/>
      <c r="AS6" s="9"/>
      <c r="BY6" s="193"/>
      <c r="BZ6" s="193"/>
      <c r="CA6" s="193"/>
      <c r="CB6" s="193"/>
      <c r="CC6" s="193"/>
      <c r="CD6" s="193"/>
      <c r="CE6" s="193"/>
      <c r="CF6" s="193"/>
      <c r="CG6" s="199"/>
      <c r="CH6" s="199"/>
      <c r="CI6" s="199"/>
      <c r="CJ6" s="199"/>
      <c r="CK6" s="193"/>
      <c r="CL6" s="193"/>
      <c r="CM6" s="334"/>
      <c r="CN6" s="334"/>
      <c r="CO6" s="334"/>
      <c r="CP6" s="334"/>
      <c r="CQ6" s="334"/>
      <c r="CR6" s="334"/>
      <c r="CS6" s="334"/>
      <c r="CT6" s="367"/>
      <c r="CU6" s="319"/>
    </row>
    <row r="7" spans="1:99" ht="15.75" customHeight="1">
      <c r="A7" s="125">
        <v>6</v>
      </c>
      <c r="B7" t="s">
        <v>36</v>
      </c>
      <c r="C7" s="142">
        <f>Cntrl1-1</f>
        <v>2</v>
      </c>
      <c r="D7" s="559">
        <f>BA2</f>
        <v>3</v>
      </c>
      <c r="E7" s="172" t="str">
        <f t="shared" si="3"/>
        <v>010</v>
      </c>
      <c r="F7" s="555" t="str">
        <f t="shared" si="4"/>
        <v>00000000000100101100100100</v>
      </c>
      <c r="G7" s="172" t="str">
        <f t="shared" si="5"/>
        <v>000000</v>
      </c>
      <c r="H7">
        <f t="shared" si="6"/>
        <v>0</v>
      </c>
      <c r="I7" s="552" t="str" cm="1">
        <f t="array" ref="I7">IF(H7&lt;&gt;"",INDEX($B$2:$B$66,H7+1),"")</f>
        <v>A</v>
      </c>
      <c r="J7" s="554">
        <f t="shared" si="0"/>
        <v>3</v>
      </c>
      <c r="K7" t="str">
        <f t="shared" si="7"/>
        <v>ABLJA</v>
      </c>
      <c r="L7" s="2" t="str">
        <f t="shared" si="8"/>
        <v>A</v>
      </c>
      <c r="M7" t="b">
        <f t="shared" si="9"/>
        <v>1</v>
      </c>
      <c r="N7" s="2">
        <f t="shared" si="10"/>
        <v>0</v>
      </c>
      <c r="O7" s="172" t="str">
        <f t="shared" si="1"/>
        <v>000000</v>
      </c>
      <c r="P7" s="177" t="str">
        <f t="shared" si="11"/>
        <v>01001011001001000000</v>
      </c>
      <c r="Q7" s="172" t="str">
        <f t="shared" si="2"/>
        <v>010</v>
      </c>
      <c r="R7" s="553">
        <f t="shared" si="12"/>
        <v>2</v>
      </c>
      <c r="S7" s="142" t="s">
        <v>76</v>
      </c>
      <c r="T7" s="7" t="s">
        <v>590</v>
      </c>
      <c r="U7" s="653">
        <v>115</v>
      </c>
      <c r="V7" s="653">
        <v>165</v>
      </c>
      <c r="W7" s="653">
        <v>215</v>
      </c>
      <c r="X7" s="653">
        <v>265</v>
      </c>
      <c r="Y7" s="653">
        <v>115</v>
      </c>
      <c r="Z7" s="653">
        <v>165</v>
      </c>
      <c r="AA7" s="653">
        <v>215</v>
      </c>
      <c r="AB7" s="653">
        <v>265</v>
      </c>
      <c r="AC7" s="654"/>
      <c r="AK7" s="8"/>
      <c r="AL7" s="8"/>
      <c r="AM7" s="8"/>
      <c r="AN7" s="8"/>
      <c r="AO7" s="8"/>
      <c r="AP7" s="8"/>
      <c r="AQ7" s="8"/>
      <c r="AR7" s="8"/>
      <c r="AS7" s="8"/>
      <c r="BY7" s="193"/>
      <c r="BZ7" s="333"/>
      <c r="CA7" s="333"/>
      <c r="CB7" s="333"/>
      <c r="CC7" s="333"/>
      <c r="CD7" s="333"/>
      <c r="CE7" s="333"/>
      <c r="CF7" s="333"/>
      <c r="CG7" s="333"/>
      <c r="CH7" s="333"/>
      <c r="CI7" s="333"/>
      <c r="CJ7" s="199"/>
      <c r="CK7" s="193"/>
      <c r="CL7" s="333"/>
      <c r="CM7" s="334"/>
      <c r="CN7" s="1005" t="e" cm="1" vm="6">
        <f t="array" ref="CN7">IF(NOT(AND(Cntrl1-1,Cntrl3-1)),"",PIC_Roofs)</f>
        <v>#VALUE!</v>
      </c>
      <c r="CO7" s="1005"/>
      <c r="CP7" s="1005"/>
      <c r="CQ7" s="1005"/>
      <c r="CR7" s="1005"/>
      <c r="CS7" s="334"/>
      <c r="CT7" s="367"/>
      <c r="CU7" s="319"/>
    </row>
    <row r="8" spans="1:99" ht="15.75" customHeight="1">
      <c r="A8" s="125">
        <v>7</v>
      </c>
      <c r="B8" t="s">
        <v>43</v>
      </c>
      <c r="C8" s="142">
        <f>Cntrl5-1</f>
        <v>1</v>
      </c>
      <c r="D8" s="559">
        <f>AX2</f>
        <v>2</v>
      </c>
      <c r="E8" s="172" t="str">
        <f t="shared" si="3"/>
        <v>01</v>
      </c>
      <c r="F8" s="555" t="str">
        <f t="shared" si="4"/>
        <v>00000100101100100100</v>
      </c>
      <c r="G8" s="172" t="str">
        <f t="shared" si="5"/>
        <v>000001</v>
      </c>
      <c r="H8">
        <f t="shared" si="6"/>
        <v>1</v>
      </c>
      <c r="I8" s="552" t="str" cm="1">
        <f t="array" ref="I8">IF(H8&lt;&gt;"",INDEX($B$2:$B$66,H8+1),"")</f>
        <v>B</v>
      </c>
      <c r="J8" s="554">
        <f t="shared" si="0"/>
        <v>2</v>
      </c>
      <c r="K8" t="str">
        <f t="shared" si="7"/>
        <v>BLJA</v>
      </c>
      <c r="L8" s="2" t="str">
        <f t="shared" si="8"/>
        <v>B</v>
      </c>
      <c r="M8" t="b">
        <f t="shared" si="9"/>
        <v>1</v>
      </c>
      <c r="N8" s="2">
        <f t="shared" si="10"/>
        <v>1</v>
      </c>
      <c r="O8" s="172" t="str">
        <f t="shared" si="1"/>
        <v>000001</v>
      </c>
      <c r="P8" s="177" t="str">
        <f t="shared" si="11"/>
        <v>01011001001000000</v>
      </c>
      <c r="Q8" s="172" t="str">
        <f t="shared" si="2"/>
        <v>01</v>
      </c>
      <c r="R8" s="553">
        <f t="shared" si="12"/>
        <v>1</v>
      </c>
      <c r="S8" s="142" t="s">
        <v>57</v>
      </c>
      <c r="T8" s="7" t="s">
        <v>212</v>
      </c>
      <c r="U8" s="653">
        <v>3.2000000000000001E-2</v>
      </c>
      <c r="V8" s="653">
        <v>3.2000000000000001E-2</v>
      </c>
      <c r="W8" s="653">
        <v>3.2000000000000001E-2</v>
      </c>
      <c r="X8" s="653">
        <v>3.2000000000000001E-2</v>
      </c>
      <c r="Y8" s="653">
        <v>3.2000000000000001E-2</v>
      </c>
      <c r="Z8" s="653">
        <v>3.2000000000000001E-2</v>
      </c>
      <c r="AA8" s="653">
        <v>3.2000000000000001E-2</v>
      </c>
      <c r="AB8" s="653">
        <v>3.2000000000000001E-2</v>
      </c>
      <c r="AC8" s="653">
        <v>3.2000000000000001E-2</v>
      </c>
      <c r="BX8" s="7" t="b">
        <f>ISBLANK(WebCntrl1)</f>
        <v>0</v>
      </c>
      <c r="BY8" s="193"/>
      <c r="BZ8" s="1098" t="s">
        <v>34</v>
      </c>
      <c r="CA8" s="1099"/>
      <c r="CB8" s="1020" t="s">
        <v>35</v>
      </c>
      <c r="CC8" s="1020"/>
      <c r="CD8" s="1044"/>
      <c r="CE8" s="331">
        <v>2</v>
      </c>
      <c r="CF8" s="1110" t="str">
        <f>IF(ISBLANK(WebCntrl1),"",BB21)</f>
        <v>Metal tiles / profiled metal</v>
      </c>
      <c r="CG8" s="1110"/>
      <c r="CH8" s="333"/>
      <c r="CI8" s="333"/>
      <c r="CJ8" s="333"/>
      <c r="CK8" s="199"/>
      <c r="CL8" s="193"/>
      <c r="CM8" s="334"/>
      <c r="CN8" s="1005"/>
      <c r="CO8" s="1005"/>
      <c r="CP8" s="1005"/>
      <c r="CQ8" s="1005"/>
      <c r="CR8" s="1005"/>
      <c r="CS8" s="334"/>
      <c r="CT8" s="367"/>
      <c r="CU8" s="319"/>
    </row>
    <row r="9" spans="1:99">
      <c r="A9" s="125">
        <v>8</v>
      </c>
      <c r="B9" t="s">
        <v>47</v>
      </c>
      <c r="C9" s="142">
        <f>Cntrl3-1</f>
        <v>1</v>
      </c>
      <c r="D9" s="559">
        <f>AU2</f>
        <v>2</v>
      </c>
      <c r="E9" s="172" t="str">
        <f t="shared" si="3"/>
        <v>01</v>
      </c>
      <c r="F9" s="555" t="str">
        <f t="shared" si="4"/>
        <v>00101100100100</v>
      </c>
      <c r="G9" s="172" t="str">
        <f t="shared" si="5"/>
        <v>001011</v>
      </c>
      <c r="H9">
        <f t="shared" si="6"/>
        <v>11</v>
      </c>
      <c r="I9" s="552" t="str" cm="1">
        <f t="array" ref="I9">IF(H9&lt;&gt;"",INDEX($B$2:$B$66,H9+1),"")</f>
        <v>L</v>
      </c>
      <c r="J9" s="554">
        <f t="shared" si="0"/>
        <v>2</v>
      </c>
      <c r="K9" t="str">
        <f t="shared" si="7"/>
        <v>LJA</v>
      </c>
      <c r="L9" s="2" t="str">
        <f t="shared" si="8"/>
        <v>L</v>
      </c>
      <c r="M9" t="b">
        <f t="shared" si="9"/>
        <v>1</v>
      </c>
      <c r="N9" s="2">
        <f t="shared" si="10"/>
        <v>11</v>
      </c>
      <c r="O9" s="172" t="str">
        <f t="shared" si="1"/>
        <v>001011</v>
      </c>
      <c r="P9" s="177" t="str">
        <f t="shared" si="11"/>
        <v>011001001000000</v>
      </c>
      <c r="Q9" s="172" t="str">
        <f t="shared" si="2"/>
        <v>01</v>
      </c>
      <c r="R9" s="553">
        <f t="shared" si="12"/>
        <v>1</v>
      </c>
      <c r="S9" s="142" t="s">
        <v>67</v>
      </c>
      <c r="T9" s="7" t="s">
        <v>219</v>
      </c>
      <c r="U9" s="653">
        <v>0.04</v>
      </c>
      <c r="V9" s="653">
        <v>0.04</v>
      </c>
      <c r="W9" s="653">
        <v>0.04</v>
      </c>
      <c r="X9" s="653">
        <v>0.04</v>
      </c>
      <c r="Y9" s="653">
        <v>0.04</v>
      </c>
      <c r="Z9" s="653">
        <v>0.04</v>
      </c>
      <c r="AA9" s="653">
        <v>0.04</v>
      </c>
      <c r="AB9" s="653">
        <v>0.04</v>
      </c>
      <c r="AC9" s="653">
        <v>0.04</v>
      </c>
      <c r="AF9" s="8">
        <f>BN21</f>
        <v>6.5000000000000002E-2</v>
      </c>
      <c r="BX9" s="7" t="b">
        <f>ISBLANK(WebCntrl6)</f>
        <v>0</v>
      </c>
      <c r="BY9" s="193"/>
      <c r="BZ9" s="1098"/>
      <c r="CA9" s="1099"/>
      <c r="CB9" s="369"/>
      <c r="CC9" s="369"/>
      <c r="CD9" s="333"/>
      <c r="CE9" s="333"/>
      <c r="CF9" s="333"/>
      <c r="CG9" s="333"/>
      <c r="CH9" s="334"/>
      <c r="CI9" s="1101" t="s">
        <v>591</v>
      </c>
      <c r="CJ9" s="1101"/>
      <c r="CK9" s="337">
        <v>1</v>
      </c>
      <c r="CL9" s="462">
        <f>IF(ISBLANK(WebCntrl6),"",AS21)</f>
        <v>400</v>
      </c>
      <c r="CM9" s="334"/>
      <c r="CN9" s="1005"/>
      <c r="CO9" s="1005"/>
      <c r="CP9" s="1005"/>
      <c r="CQ9" s="1005"/>
      <c r="CR9" s="1005"/>
      <c r="CS9" s="334"/>
      <c r="CT9" s="367"/>
      <c r="CU9" s="319"/>
    </row>
    <row r="10" spans="1:99">
      <c r="A10" s="125">
        <v>9</v>
      </c>
      <c r="B10" t="s">
        <v>50</v>
      </c>
      <c r="C10" s="142">
        <f>Cntrl6-1</f>
        <v>4</v>
      </c>
      <c r="D10" s="559">
        <f>AR2</f>
        <v>3</v>
      </c>
      <c r="E10" s="172" t="str">
        <f t="shared" si="3"/>
        <v>100</v>
      </c>
      <c r="F10" s="555" t="str">
        <f t="shared" si="4"/>
        <v>00100100</v>
      </c>
      <c r="G10" s="172" t="str">
        <f t="shared" si="5"/>
        <v>001001</v>
      </c>
      <c r="H10">
        <f t="shared" si="6"/>
        <v>9</v>
      </c>
      <c r="I10" s="552" t="str" cm="1">
        <f t="array" ref="I10">IF(H10&lt;&gt;"",INDEX($B$2:$B$66,H10+1),"")</f>
        <v>J</v>
      </c>
      <c r="J10" s="554">
        <f t="shared" si="0"/>
        <v>3</v>
      </c>
      <c r="K10" t="str">
        <f t="shared" si="7"/>
        <v>JA</v>
      </c>
      <c r="L10" s="2" t="str">
        <f t="shared" si="8"/>
        <v>J</v>
      </c>
      <c r="M10" t="b">
        <f t="shared" si="9"/>
        <v>1</v>
      </c>
      <c r="N10" s="2">
        <f t="shared" si="10"/>
        <v>9</v>
      </c>
      <c r="O10" s="172" t="str">
        <f t="shared" si="1"/>
        <v>001001</v>
      </c>
      <c r="P10" s="177" t="str">
        <f t="shared" si="11"/>
        <v>1001001000000</v>
      </c>
      <c r="Q10" s="172" t="str">
        <f t="shared" si="2"/>
        <v>100</v>
      </c>
      <c r="R10" s="553">
        <f t="shared" si="12"/>
        <v>4</v>
      </c>
      <c r="S10" s="142" t="s">
        <v>8</v>
      </c>
      <c r="T10" s="7" t="s">
        <v>226</v>
      </c>
      <c r="U10" s="653">
        <v>0.05</v>
      </c>
      <c r="V10" s="653">
        <v>0.05</v>
      </c>
      <c r="W10" s="653">
        <v>0.05</v>
      </c>
      <c r="X10" s="653">
        <v>0.05</v>
      </c>
      <c r="Y10" s="653">
        <v>0.05</v>
      </c>
      <c r="Z10" s="653">
        <v>0.05</v>
      </c>
      <c r="AA10" s="653">
        <v>0.05</v>
      </c>
      <c r="AB10" s="653">
        <v>0.05</v>
      </c>
      <c r="AC10" s="653">
        <v>0.05</v>
      </c>
      <c r="AF10" s="12" cm="1">
        <f t="array" ref="AF10">INDEX(U8:AC8,1,$AU$19)</f>
        <v>3.2000000000000001E-2</v>
      </c>
      <c r="AG10" s="12">
        <v>1</v>
      </c>
      <c r="AH10" s="12">
        <f>AF12</f>
        <v>0.05</v>
      </c>
      <c r="AL10" s="12"/>
      <c r="AM10" s="12"/>
      <c r="AN10" s="12"/>
      <c r="AO10" s="12"/>
      <c r="AP10" s="12"/>
      <c r="AQ10" s="12"/>
      <c r="AR10" s="12"/>
      <c r="AS10" s="12"/>
      <c r="BX10" s="7" t="b">
        <f>ISBLANK(WebCntrl4)</f>
        <v>0</v>
      </c>
      <c r="BY10" s="193"/>
      <c r="BZ10" s="1098"/>
      <c r="CA10" s="1099"/>
      <c r="CB10" s="1045" t="s">
        <v>592</v>
      </c>
      <c r="CC10" s="1045"/>
      <c r="CD10" s="1046"/>
      <c r="CE10" s="331">
        <v>2</v>
      </c>
      <c r="CF10" s="999">
        <f>IF(ISBLANK(WebCntrl4),"",AP21)</f>
        <v>140</v>
      </c>
      <c r="CG10" s="999"/>
      <c r="CH10" s="334"/>
      <c r="CI10" s="334"/>
      <c r="CJ10" s="334"/>
      <c r="CK10" s="370"/>
      <c r="CL10" s="333"/>
      <c r="CM10" s="334"/>
      <c r="CN10" s="1005"/>
      <c r="CO10" s="1005"/>
      <c r="CP10" s="1005"/>
      <c r="CQ10" s="1005"/>
      <c r="CR10" s="1005"/>
      <c r="CS10" s="334"/>
      <c r="CT10" s="367"/>
      <c r="CU10" s="319"/>
    </row>
    <row r="11" spans="1:99">
      <c r="A11" s="125">
        <v>10</v>
      </c>
      <c r="B11" t="s">
        <v>56</v>
      </c>
      <c r="C11" s="142">
        <f>Cntrl4-1</f>
        <v>4</v>
      </c>
      <c r="D11" s="559">
        <f>AO2</f>
        <v>3</v>
      </c>
      <c r="E11" s="172" t="str">
        <f t="shared" si="3"/>
        <v>100</v>
      </c>
      <c r="F11" s="555" t="str">
        <f t="shared" si="4"/>
        <v>00</v>
      </c>
      <c r="G11" s="172" t="str">
        <f t="shared" si="5"/>
        <v>000000</v>
      </c>
      <c r="H11">
        <f t="shared" si="6"/>
        <v>0</v>
      </c>
      <c r="I11" s="552" t="str" cm="1">
        <f t="array" ref="I11">IF(H11&lt;&gt;"",INDEX($B$2:$B$66,H11+1),"")</f>
        <v>A</v>
      </c>
      <c r="J11" s="554">
        <f t="shared" si="0"/>
        <v>3</v>
      </c>
      <c r="K11" t="str">
        <f t="shared" si="7"/>
        <v>A</v>
      </c>
      <c r="L11" s="2" t="str">
        <f t="shared" si="8"/>
        <v>A</v>
      </c>
      <c r="M11" t="b">
        <f t="shared" si="9"/>
        <v>1</v>
      </c>
      <c r="N11" s="2">
        <f t="shared" si="10"/>
        <v>0</v>
      </c>
      <c r="O11" s="172" t="str">
        <f t="shared" si="1"/>
        <v>000000</v>
      </c>
      <c r="P11" s="177" t="str">
        <f t="shared" si="11"/>
        <v>1001000000</v>
      </c>
      <c r="Q11" s="172" t="str">
        <f t="shared" si="2"/>
        <v>100</v>
      </c>
      <c r="R11" s="553">
        <f t="shared" si="12"/>
        <v>4</v>
      </c>
      <c r="S11" s="142" t="s">
        <v>89</v>
      </c>
      <c r="U11" s="654"/>
      <c r="V11" s="654"/>
      <c r="W11" s="654"/>
      <c r="X11" s="654"/>
      <c r="Y11" s="654"/>
      <c r="Z11" s="654"/>
      <c r="AA11" s="654"/>
      <c r="AB11" s="654"/>
      <c r="AC11" s="654"/>
      <c r="AF11" s="12" cm="1">
        <f t="array" ref="AF11">INDEX(U9:AC9,1,$AU$19)</f>
        <v>0.04</v>
      </c>
      <c r="AG11" s="12">
        <v>2</v>
      </c>
      <c r="AH11" s="12">
        <f>AF11</f>
        <v>0.04</v>
      </c>
      <c r="BY11" s="193"/>
      <c r="BZ11" s="1098"/>
      <c r="CA11" s="1099"/>
      <c r="CB11" s="369"/>
      <c r="CC11" s="369"/>
      <c r="CD11" s="333"/>
      <c r="CE11" s="333"/>
      <c r="CF11" s="333"/>
      <c r="CG11" s="333"/>
      <c r="CH11" s="334"/>
      <c r="CI11" s="334"/>
      <c r="CJ11" s="334"/>
      <c r="CK11" s="334"/>
      <c r="CL11" s="334"/>
      <c r="CM11" s="334"/>
      <c r="CN11" s="1005"/>
      <c r="CO11" s="1005"/>
      <c r="CP11" s="1005"/>
      <c r="CQ11" s="1005"/>
      <c r="CR11" s="1005"/>
      <c r="CS11" s="334"/>
      <c r="CT11" s="367"/>
      <c r="CU11" s="319"/>
    </row>
    <row r="12" spans="1:99">
      <c r="A12" s="125">
        <v>11</v>
      </c>
      <c r="B12" t="s">
        <v>66</v>
      </c>
      <c r="C12" s="142">
        <f>Cntrl2-1</f>
        <v>4</v>
      </c>
      <c r="D12" s="559">
        <f>AL2</f>
        <v>3</v>
      </c>
      <c r="E12" s="172" t="str">
        <f t="shared" si="3"/>
        <v>100</v>
      </c>
      <c r="F12" s="555" t="str">
        <f t="shared" si="4"/>
        <v/>
      </c>
      <c r="G12" s="172" t="str">
        <f t="shared" si="5"/>
        <v/>
      </c>
      <c r="H12" t="str">
        <f t="shared" si="6"/>
        <v/>
      </c>
      <c r="I12" s="552" t="str" cm="1">
        <f t="array" ref="I12">IF(H12&lt;&gt;"",INDEX($B$2:$B$66,H12+1),"")</f>
        <v/>
      </c>
      <c r="J12" s="554">
        <f t="shared" si="0"/>
        <v>3</v>
      </c>
      <c r="K12" t="str">
        <f>IF(LEN(K11)&gt;1,RIGHT(K11,LEN(K11)-1),"")</f>
        <v/>
      </c>
      <c r="L12" s="2" t="str">
        <f t="shared" si="8"/>
        <v/>
      </c>
      <c r="M12" t="str">
        <f t="shared" si="9"/>
        <v/>
      </c>
      <c r="N12" s="2" t="str">
        <f t="shared" si="10"/>
        <v/>
      </c>
      <c r="O12" s="172" t="str">
        <f t="shared" si="1"/>
        <v/>
      </c>
      <c r="P12" s="177" t="str">
        <f t="shared" si="11"/>
        <v>1000000</v>
      </c>
      <c r="Q12" s="172" t="str">
        <f t="shared" si="2"/>
        <v>100</v>
      </c>
      <c r="R12" s="553">
        <f t="shared" si="12"/>
        <v>4</v>
      </c>
      <c r="S12" s="142" t="s">
        <v>83</v>
      </c>
      <c r="U12" s="655">
        <v>400</v>
      </c>
      <c r="V12" s="655">
        <v>400</v>
      </c>
      <c r="W12" s="655">
        <v>400</v>
      </c>
      <c r="X12" s="655">
        <v>400</v>
      </c>
      <c r="Y12" s="655">
        <v>400</v>
      </c>
      <c r="Z12" s="655">
        <v>400</v>
      </c>
      <c r="AA12" s="655">
        <v>400</v>
      </c>
      <c r="AB12" s="655">
        <v>400</v>
      </c>
      <c r="AC12" s="655">
        <v>400</v>
      </c>
      <c r="AF12" s="12" cm="1">
        <f t="array" ref="AF12">INDEX(U10:AC10,1,$AU$19)</f>
        <v>0.05</v>
      </c>
      <c r="AG12" s="12">
        <v>3</v>
      </c>
      <c r="AH12" s="12">
        <f>AF10</f>
        <v>3.2000000000000001E-2</v>
      </c>
      <c r="BX12" s="7" t="b">
        <f>ISBLANK(WebCntrl3)</f>
        <v>0</v>
      </c>
      <c r="BY12" s="193"/>
      <c r="BZ12" s="1098"/>
      <c r="CA12" s="1099"/>
      <c r="CB12" s="1045" t="s">
        <v>593</v>
      </c>
      <c r="CC12" s="1045"/>
      <c r="CD12" s="1046"/>
      <c r="CE12" s="331">
        <v>1</v>
      </c>
      <c r="CF12" s="995" t="str">
        <f>IF(ISBLANK(WebCntrl3),"",AV21)</f>
        <v>battens</v>
      </c>
      <c r="CG12" s="999"/>
      <c r="CH12" s="334"/>
      <c r="CI12" s="334"/>
      <c r="CJ12" s="334"/>
      <c r="CK12" s="334"/>
      <c r="CL12" s="333"/>
      <c r="CM12" s="334"/>
      <c r="CN12" s="1005"/>
      <c r="CO12" s="1005"/>
      <c r="CP12" s="1005"/>
      <c r="CQ12" s="1005"/>
      <c r="CR12" s="1005"/>
      <c r="CS12" s="334"/>
      <c r="CT12" s="367"/>
      <c r="CU12" s="319"/>
    </row>
    <row r="13" spans="1:99">
      <c r="A13" s="125">
        <v>12</v>
      </c>
      <c r="B13" t="s">
        <v>75</v>
      </c>
      <c r="C13" s="142"/>
      <c r="D13" s="559"/>
      <c r="E13" s="172" t="str">
        <f t="shared" si="3"/>
        <v/>
      </c>
      <c r="F13" s="555" t="str">
        <f t="shared" si="4"/>
        <v/>
      </c>
      <c r="G13" s="172" t="str">
        <f t="shared" si="5"/>
        <v/>
      </c>
      <c r="H13" t="str">
        <f t="shared" si="6"/>
        <v/>
      </c>
      <c r="I13" s="552" t="str" cm="1">
        <f t="array" ref="I13">IF(H13&lt;&gt;"",INDEX($B$2:$B$66,H13+1),"")</f>
        <v/>
      </c>
      <c r="J13" s="554" t="str">
        <f t="shared" si="0"/>
        <v/>
      </c>
      <c r="K13" t="str">
        <f t="shared" ref="K13:K27" si="13">IF(LEN(K12)&gt;1,RIGHT(K12,LEN(K12)-1),"")</f>
        <v/>
      </c>
      <c r="L13" s="2" t="str">
        <f t="shared" si="8"/>
        <v/>
      </c>
      <c r="M13" t="str">
        <f t="shared" si="9"/>
        <v/>
      </c>
      <c r="N13" s="2" t="str">
        <f t="shared" si="10"/>
        <v/>
      </c>
      <c r="O13" s="172" t="str">
        <f t="shared" si="1"/>
        <v/>
      </c>
      <c r="P13" s="177" t="str">
        <f t="shared" si="11"/>
        <v/>
      </c>
      <c r="Q13" s="172" t="str">
        <f t="shared" si="2"/>
        <v/>
      </c>
      <c r="R13" s="553" t="str">
        <f t="shared" si="12"/>
        <v/>
      </c>
      <c r="S13" s="553" t="str">
        <f t="shared" si="12"/>
        <v/>
      </c>
      <c r="U13" s="655">
        <v>600</v>
      </c>
      <c r="V13" s="655">
        <v>600</v>
      </c>
      <c r="W13" s="655">
        <v>600</v>
      </c>
      <c r="X13" s="655">
        <v>600</v>
      </c>
      <c r="Y13" s="655">
        <v>600</v>
      </c>
      <c r="Z13" s="655">
        <v>600</v>
      </c>
      <c r="AA13" s="655">
        <v>600</v>
      </c>
      <c r="AB13" s="655">
        <v>600</v>
      </c>
      <c r="AC13" s="655">
        <v>600</v>
      </c>
      <c r="BX13" s="7" t="b">
        <f>ISBLANK(WebCntrl8)</f>
        <v>0</v>
      </c>
      <c r="BY13" s="193"/>
      <c r="BZ13" s="1098"/>
      <c r="CA13" s="1099"/>
      <c r="CB13" s="369"/>
      <c r="CC13" s="369"/>
      <c r="CD13" s="333"/>
      <c r="CE13" s="333"/>
      <c r="CF13" s="333"/>
      <c r="CG13" s="333"/>
      <c r="CH13" s="334"/>
      <c r="CI13" s="1102" t="s">
        <v>594</v>
      </c>
      <c r="CJ13" s="1102"/>
      <c r="CK13" s="337">
        <v>6</v>
      </c>
      <c r="CL13" s="461" t="str">
        <f>IF(ISBLANK(WebCntrl8),"",BT21)</f>
        <v>2.0</v>
      </c>
      <c r="CM13" s="334"/>
      <c r="CN13" s="1005"/>
      <c r="CO13" s="1005"/>
      <c r="CP13" s="1005"/>
      <c r="CQ13" s="1005"/>
      <c r="CR13" s="1005"/>
      <c r="CS13" s="334"/>
      <c r="CT13" s="367"/>
      <c r="CU13" s="319"/>
    </row>
    <row r="14" spans="1:99">
      <c r="A14" s="125">
        <v>13</v>
      </c>
      <c r="B14" t="s">
        <v>82</v>
      </c>
      <c r="C14" s="142"/>
      <c r="D14" s="559"/>
      <c r="E14" s="172" t="str">
        <f t="shared" si="3"/>
        <v/>
      </c>
      <c r="F14" s="555" t="str">
        <f t="shared" si="4"/>
        <v/>
      </c>
      <c r="G14" s="172" t="str">
        <f t="shared" si="5"/>
        <v/>
      </c>
      <c r="H14" t="str">
        <f t="shared" si="6"/>
        <v/>
      </c>
      <c r="I14" s="552" t="str" cm="1">
        <f t="array" ref="I14">IF(H14&lt;&gt;"",INDEX($B$2:$B$66,H14+1),"")</f>
        <v/>
      </c>
      <c r="J14" s="554" t="str">
        <f t="shared" si="0"/>
        <v/>
      </c>
      <c r="K14" t="str">
        <f t="shared" si="13"/>
        <v/>
      </c>
      <c r="L14" s="2" t="str">
        <f t="shared" si="8"/>
        <v/>
      </c>
      <c r="M14" t="str">
        <f t="shared" si="9"/>
        <v/>
      </c>
      <c r="N14" s="2" t="str">
        <f t="shared" si="10"/>
        <v/>
      </c>
      <c r="O14" s="172" t="str">
        <f t="shared" si="1"/>
        <v/>
      </c>
      <c r="P14" s="177" t="str">
        <f t="shared" si="11"/>
        <v/>
      </c>
      <c r="Q14" s="172" t="str">
        <f t="shared" si="2"/>
        <v/>
      </c>
      <c r="R14" s="553" t="str">
        <f t="shared" si="12"/>
        <v/>
      </c>
      <c r="S14" s="553" t="str">
        <f t="shared" si="12"/>
        <v/>
      </c>
      <c r="U14" s="655">
        <v>900</v>
      </c>
      <c r="V14" s="655">
        <v>900</v>
      </c>
      <c r="W14" s="655">
        <v>900</v>
      </c>
      <c r="X14" s="655">
        <v>900</v>
      </c>
      <c r="Y14" s="655">
        <v>900</v>
      </c>
      <c r="Z14" s="655">
        <v>900</v>
      </c>
      <c r="AA14" s="655">
        <v>900</v>
      </c>
      <c r="AB14" s="655">
        <v>900</v>
      </c>
      <c r="AC14" s="655">
        <v>900</v>
      </c>
      <c r="BX14" s="7" t="b">
        <f>ISBLANK(WebCntrl7)</f>
        <v>0</v>
      </c>
      <c r="BY14" s="193"/>
      <c r="BZ14" s="337">
        <v>6.6</v>
      </c>
      <c r="CA14" s="470" t="str">
        <f>BW21</f>
        <v>2.5</v>
      </c>
      <c r="CB14" s="1100" t="s">
        <v>595</v>
      </c>
      <c r="CC14" s="1100"/>
      <c r="CD14" s="1100"/>
      <c r="CE14" s="335">
        <v>4.4999999999999998E-2</v>
      </c>
      <c r="CF14" s="995">
        <f>IF(ISBLANK(WebCntrl7),"",BN21)</f>
        <v>6.5000000000000002E-2</v>
      </c>
      <c r="CG14" s="999"/>
      <c r="CH14" s="334"/>
      <c r="CI14" s="334"/>
      <c r="CJ14" s="334"/>
      <c r="CK14" s="656" t="s">
        <v>102</v>
      </c>
      <c r="CL14" s="1112">
        <f>BT21*BN21*1000</f>
        <v>130</v>
      </c>
      <c r="CM14" s="334"/>
      <c r="CN14" s="1005"/>
      <c r="CO14" s="1005"/>
      <c r="CP14" s="1005"/>
      <c r="CQ14" s="1005"/>
      <c r="CR14" s="1005"/>
      <c r="CS14" s="334"/>
      <c r="CT14" s="367"/>
      <c r="CU14" s="319"/>
    </row>
    <row r="15" spans="1:99">
      <c r="A15" s="125">
        <v>14</v>
      </c>
      <c r="B15" t="s">
        <v>88</v>
      </c>
      <c r="C15" s="142"/>
      <c r="D15" s="559"/>
      <c r="E15" s="172" t="str">
        <f t="shared" si="3"/>
        <v/>
      </c>
      <c r="F15" s="555" t="str">
        <f>IF(LEN(F14)&gt;=6,RIGHT(F14,LEN(F14)-6),"")</f>
        <v/>
      </c>
      <c r="G15" s="172" t="str">
        <f t="shared" si="5"/>
        <v/>
      </c>
      <c r="H15" t="str">
        <f t="shared" si="6"/>
        <v/>
      </c>
      <c r="I15" s="552" t="str" cm="1">
        <f t="array" ref="I15">IF(H15&lt;&gt;"",INDEX($B$2:$B$66,H15+1),"")</f>
        <v/>
      </c>
      <c r="J15" s="554" t="str">
        <f t="shared" si="0"/>
        <v/>
      </c>
      <c r="K15" t="str">
        <f t="shared" si="13"/>
        <v/>
      </c>
      <c r="L15" s="2" t="str">
        <f t="shared" si="8"/>
        <v/>
      </c>
      <c r="M15" t="str">
        <f t="shared" si="9"/>
        <v/>
      </c>
      <c r="N15" s="2" t="str">
        <f t="shared" si="10"/>
        <v/>
      </c>
      <c r="O15" s="172" t="str">
        <f t="shared" si="1"/>
        <v/>
      </c>
      <c r="P15" s="177" t="str">
        <f t="shared" si="11"/>
        <v/>
      </c>
      <c r="Q15" s="172" t="str">
        <f t="shared" si="2"/>
        <v/>
      </c>
      <c r="R15" s="553" t="str">
        <f t="shared" si="12"/>
        <v/>
      </c>
      <c r="S15" s="553" t="str">
        <f t="shared" si="12"/>
        <v/>
      </c>
      <c r="U15" s="655">
        <f t="shared" ref="U15:AC15" si="14">IF($AZ$20,1200,900)</f>
        <v>1200</v>
      </c>
      <c r="V15" s="655">
        <f t="shared" si="14"/>
        <v>1200</v>
      </c>
      <c r="W15" s="655">
        <f t="shared" si="14"/>
        <v>1200</v>
      </c>
      <c r="X15" s="655">
        <v>1200</v>
      </c>
      <c r="Y15" s="655">
        <f t="shared" si="14"/>
        <v>1200</v>
      </c>
      <c r="Z15" s="655">
        <f t="shared" si="14"/>
        <v>1200</v>
      </c>
      <c r="AA15" s="655">
        <f t="shared" si="14"/>
        <v>1200</v>
      </c>
      <c r="AB15" s="655">
        <f t="shared" si="14"/>
        <v>1200</v>
      </c>
      <c r="AC15" s="655">
        <f t="shared" si="14"/>
        <v>1200</v>
      </c>
      <c r="AG15" s="12">
        <v>400</v>
      </c>
      <c r="AH15" s="12">
        <v>600</v>
      </c>
      <c r="AI15" s="12">
        <v>900</v>
      </c>
      <c r="AJ15" s="9">
        <f>AC15</f>
        <v>1200</v>
      </c>
      <c r="BY15" s="193"/>
      <c r="BZ15" s="1037"/>
      <c r="CA15" s="1038"/>
      <c r="CB15" s="333"/>
      <c r="CC15" s="333"/>
      <c r="CD15" s="333"/>
      <c r="CE15" s="333"/>
      <c r="CF15" s="333"/>
      <c r="CG15" s="333"/>
      <c r="CH15" s="333"/>
      <c r="CI15" s="334"/>
      <c r="CJ15" s="334"/>
      <c r="CK15" s="657" t="s">
        <v>538</v>
      </c>
      <c r="CL15" s="1112"/>
      <c r="CM15" s="334"/>
      <c r="CN15" s="1005"/>
      <c r="CO15" s="1005"/>
      <c r="CP15" s="1005"/>
      <c r="CQ15" s="1005"/>
      <c r="CR15" s="1005"/>
      <c r="CS15" s="334"/>
      <c r="CT15" s="367"/>
      <c r="CU15" s="319"/>
    </row>
    <row r="16" spans="1:99" ht="15.75" customHeight="1">
      <c r="A16" s="125">
        <v>15</v>
      </c>
      <c r="B16" t="s">
        <v>96</v>
      </c>
      <c r="C16" s="142"/>
      <c r="D16" s="559"/>
      <c r="E16" s="172" t="str">
        <f t="shared" si="3"/>
        <v/>
      </c>
      <c r="F16" s="555" t="str">
        <f t="shared" ref="F16:F27" si="15">IF(LEN(F15)&gt;=6,RIGHT(F15,LEN(F15)-6),"")</f>
        <v/>
      </c>
      <c r="G16" s="172" t="str">
        <f t="shared" si="5"/>
        <v/>
      </c>
      <c r="H16" t="str">
        <f t="shared" si="6"/>
        <v/>
      </c>
      <c r="I16" s="552" t="str" cm="1">
        <f t="array" ref="I16">IF(H16&lt;&gt;"",INDEX($B$2:$B$66,H16+1),"")</f>
        <v/>
      </c>
      <c r="J16" s="554" t="str">
        <f t="shared" si="0"/>
        <v/>
      </c>
      <c r="K16" t="str">
        <f t="shared" si="13"/>
        <v/>
      </c>
      <c r="L16" s="2" t="str">
        <f t="shared" si="8"/>
        <v/>
      </c>
      <c r="M16" t="str">
        <f t="shared" si="9"/>
        <v/>
      </c>
      <c r="N16" s="2" t="str">
        <f t="shared" si="10"/>
        <v/>
      </c>
      <c r="O16" s="172" t="str">
        <f t="shared" si="1"/>
        <v/>
      </c>
      <c r="P16" s="177" t="str">
        <f t="shared" si="11"/>
        <v/>
      </c>
      <c r="Q16" s="172" t="str">
        <f t="shared" si="2"/>
        <v/>
      </c>
      <c r="R16" s="553" t="str">
        <f t="shared" si="12"/>
        <v/>
      </c>
      <c r="S16" s="553" t="str">
        <f t="shared" si="12"/>
        <v/>
      </c>
      <c r="T16" s="7" t="s">
        <v>212</v>
      </c>
      <c r="U16" s="658">
        <v>-4.1647395390784882E-3</v>
      </c>
      <c r="V16" s="658">
        <v>-1.7952849159010554E-3</v>
      </c>
      <c r="W16" s="658">
        <v>-1.1753182782512019E-3</v>
      </c>
      <c r="X16" s="658">
        <v>-1.0323241332605797E-3</v>
      </c>
      <c r="Y16" s="658">
        <v>-6.865272864477201E-2</v>
      </c>
      <c r="Z16" s="658">
        <v>-3.572188074984034E-2</v>
      </c>
      <c r="AA16" s="658">
        <v>-2.1603944594988097E-2</v>
      </c>
      <c r="AB16" s="658">
        <v>-1.4414818604892783E-2</v>
      </c>
      <c r="AC16" s="658">
        <v>-8.6835835677811406E-4</v>
      </c>
      <c r="AD16" s="8"/>
      <c r="AE16" s="62" cm="1">
        <f t="array" ref="AE16">INDEX(U16:AC16,1,$AU$19)</f>
        <v>-4.1647395390784882E-3</v>
      </c>
      <c r="AF16" s="18" t="s">
        <v>212</v>
      </c>
      <c r="AG16" s="18">
        <f>AE16</f>
        <v>-4.1647395390784882E-3</v>
      </c>
      <c r="AH16" s="18">
        <f>AE19</f>
        <v>-2.6010612813121255E-3</v>
      </c>
      <c r="AI16" s="18">
        <f>AE22</f>
        <v>-5.7078632300943657E-4</v>
      </c>
      <c r="AJ16" s="18">
        <f>AE25</f>
        <v>-5.259201892798775E-4</v>
      </c>
      <c r="BX16" s="7" t="b">
        <f>ISBLANK(WebCntrl5)</f>
        <v>0</v>
      </c>
      <c r="BY16" s="193"/>
      <c r="BZ16" s="1037"/>
      <c r="CA16" s="1038"/>
      <c r="CB16" s="1040" t="s">
        <v>596</v>
      </c>
      <c r="CC16" s="1040"/>
      <c r="CD16" s="445"/>
      <c r="CE16" s="331">
        <v>0</v>
      </c>
      <c r="CF16" s="998" t="str">
        <f>IF(ISBLANK(WebCntrl5),"",AY21)</f>
        <v>none</v>
      </c>
      <c r="CG16" s="999"/>
      <c r="CH16" s="333"/>
      <c r="CI16" s="334"/>
      <c r="CJ16" s="334"/>
      <c r="CK16" s="334"/>
      <c r="CL16" s="334"/>
      <c r="CM16" s="334"/>
      <c r="CN16" s="1005"/>
      <c r="CO16" s="1005"/>
      <c r="CP16" s="1005"/>
      <c r="CQ16" s="1005"/>
      <c r="CR16" s="1005"/>
      <c r="CS16" s="334"/>
      <c r="CT16" s="367"/>
      <c r="CU16" s="319"/>
    </row>
    <row r="17" spans="1:99">
      <c r="A17" s="125">
        <v>16</v>
      </c>
      <c r="B17" t="s">
        <v>103</v>
      </c>
      <c r="C17" s="142"/>
      <c r="D17" s="559"/>
      <c r="E17" s="172" t="str">
        <f t="shared" si="3"/>
        <v/>
      </c>
      <c r="F17" s="555" t="str">
        <f t="shared" si="15"/>
        <v/>
      </c>
      <c r="G17" s="172" t="str">
        <f t="shared" si="5"/>
        <v/>
      </c>
      <c r="H17" t="str">
        <f t="shared" si="6"/>
        <v/>
      </c>
      <c r="I17" s="552" t="str" cm="1">
        <f t="array" ref="I17">IF(H17&lt;&gt;"",INDEX($B$2:$B$66,H17+1),"")</f>
        <v/>
      </c>
      <c r="J17" s="554" t="str">
        <f t="shared" si="0"/>
        <v/>
      </c>
      <c r="K17" t="str">
        <f t="shared" si="13"/>
        <v/>
      </c>
      <c r="L17" s="2" t="str">
        <f t="shared" si="8"/>
        <v/>
      </c>
      <c r="M17" t="str">
        <f t="shared" si="9"/>
        <v/>
      </c>
      <c r="N17" s="2" t="str">
        <f t="shared" si="10"/>
        <v/>
      </c>
      <c r="O17" s="172" t="str">
        <f t="shared" si="1"/>
        <v/>
      </c>
      <c r="P17" s="177" t="str">
        <f t="shared" si="11"/>
        <v/>
      </c>
      <c r="Q17" s="172" t="str">
        <f t="shared" si="2"/>
        <v/>
      </c>
      <c r="R17" s="553" t="str">
        <f t="shared" si="12"/>
        <v/>
      </c>
      <c r="S17" s="553" t="str">
        <f t="shared" si="12"/>
        <v/>
      </c>
      <c r="U17" s="658">
        <v>0.88656454871269397</v>
      </c>
      <c r="V17" s="658">
        <v>0.87341446731979333</v>
      </c>
      <c r="W17" s="658">
        <v>0.87046237339455579</v>
      </c>
      <c r="X17" s="658">
        <v>0.8712377979287439</v>
      </c>
      <c r="Y17" s="658">
        <v>1.2804972122223923</v>
      </c>
      <c r="Z17" s="658">
        <v>1.1113107519406513</v>
      </c>
      <c r="AA17" s="658">
        <v>1.0261015053214568</v>
      </c>
      <c r="AB17" s="658">
        <v>0.97759877776979121</v>
      </c>
      <c r="AC17" s="658">
        <v>0.83388620194004048</v>
      </c>
      <c r="AD17" s="8"/>
      <c r="AE17" s="62" cm="1">
        <f t="array" ref="AE17">INDEX(U17:AC17,1,$AU$19)</f>
        <v>0.88656454871269397</v>
      </c>
      <c r="AF17" s="18"/>
      <c r="AG17" s="18">
        <f>AE17</f>
        <v>0.88656454871269397</v>
      </c>
      <c r="AH17" s="18">
        <f>AE20</f>
        <v>0.92766083203972904</v>
      </c>
      <c r="AI17" s="18">
        <f>AE23</f>
        <v>0.94774402489817611</v>
      </c>
      <c r="AJ17" s="18">
        <f>AE26</f>
        <v>0.96497941541363375</v>
      </c>
      <c r="AY17" s="7" t="b">
        <f>OR(AY18,AY19)</f>
        <v>0</v>
      </c>
      <c r="AZ17" s="7" t="b">
        <f>OR(AZ18,AZ19)</f>
        <v>0</v>
      </c>
      <c r="BW17" s="7" t="b">
        <f>AND(Cntrl5&gt;=3,BX17)</f>
        <v>0</v>
      </c>
      <c r="BX17" s="7" t="b">
        <f>ISBLANK(CF17)</f>
        <v>0</v>
      </c>
      <c r="BY17" s="193"/>
      <c r="BZ17" s="1037"/>
      <c r="CA17" s="1038"/>
      <c r="CB17" s="1040"/>
      <c r="CC17" s="1040"/>
      <c r="CD17" s="445"/>
      <c r="CE17" s="443" t="str">
        <f>IF(Cntrl5&lt;=2,"","insul. R-value")</f>
        <v/>
      </c>
      <c r="CF17" s="339">
        <v>0</v>
      </c>
      <c r="CG17" s="659">
        <f>IF(ISBLANK(WebCntrl10),"",BK21)</f>
        <v>0</v>
      </c>
      <c r="CH17" s="333"/>
      <c r="CI17" s="334"/>
      <c r="CJ17" s="334"/>
      <c r="CK17" s="334"/>
      <c r="CL17" s="334"/>
      <c r="CM17" s="334"/>
      <c r="CN17" s="1005"/>
      <c r="CO17" s="1005"/>
      <c r="CP17" s="1005"/>
      <c r="CQ17" s="1005"/>
      <c r="CR17" s="1005"/>
      <c r="CS17" s="334"/>
      <c r="CT17" s="367"/>
      <c r="CU17" s="319"/>
    </row>
    <row r="18" spans="1:99" ht="16.5" customHeight="1" thickBot="1">
      <c r="A18" s="125">
        <v>17</v>
      </c>
      <c r="B18" t="s">
        <v>108</v>
      </c>
      <c r="C18" s="553"/>
      <c r="D18" s="554"/>
      <c r="E18" s="172" t="str">
        <f t="shared" si="3"/>
        <v/>
      </c>
      <c r="F18" s="555" t="str">
        <f t="shared" si="15"/>
        <v/>
      </c>
      <c r="G18" s="172" t="str">
        <f t="shared" si="5"/>
        <v/>
      </c>
      <c r="H18" t="str">
        <f t="shared" si="6"/>
        <v/>
      </c>
      <c r="I18" s="552" t="str" cm="1">
        <f t="array" ref="I18">IF(H18&lt;&gt;"",INDEX($B$2:$B$66,H18+1),"")</f>
        <v/>
      </c>
      <c r="J18" s="554" t="str">
        <f t="shared" si="0"/>
        <v/>
      </c>
      <c r="K18" t="str">
        <f t="shared" si="13"/>
        <v/>
      </c>
      <c r="L18" s="2" t="str">
        <f t="shared" si="8"/>
        <v/>
      </c>
      <c r="M18" t="str">
        <f t="shared" si="9"/>
        <v/>
      </c>
      <c r="N18" s="2" t="str">
        <f t="shared" si="10"/>
        <v/>
      </c>
      <c r="O18" s="172" t="str">
        <f t="shared" si="1"/>
        <v/>
      </c>
      <c r="P18" s="177" t="str">
        <f t="shared" si="11"/>
        <v/>
      </c>
      <c r="Q18" s="172" t="str">
        <f t="shared" si="2"/>
        <v/>
      </c>
      <c r="R18" s="553" t="str">
        <f t="shared" si="12"/>
        <v/>
      </c>
      <c r="S18" s="553" t="str">
        <f t="shared" si="12"/>
        <v/>
      </c>
      <c r="U18" s="136">
        <v>4.6778914005948108E-2</v>
      </c>
      <c r="V18" s="136">
        <v>6.4860405262371579E-2</v>
      </c>
      <c r="W18" s="136">
        <v>6.7595630491635764E-2</v>
      </c>
      <c r="X18" s="136">
        <v>6.1832614835739964E-2</v>
      </c>
      <c r="Y18" s="136">
        <v>-0.55263018992773283</v>
      </c>
      <c r="Z18" s="136">
        <v>-0.34437348582419658</v>
      </c>
      <c r="AA18" s="136">
        <v>-0.22433713569840785</v>
      </c>
      <c r="AB18" s="136">
        <v>-0.15069134762034664</v>
      </c>
      <c r="AC18" s="136">
        <v>0.30323679065610276</v>
      </c>
      <c r="AD18" s="8"/>
      <c r="AE18" s="110" cm="1">
        <f t="array" ref="AE18">INDEX(U18:AC18,1,$AU$19)</f>
        <v>4.6778914005948108E-2</v>
      </c>
      <c r="AF18" s="18"/>
      <c r="AG18" s="140">
        <f>AE18+$AL$30</f>
        <v>4.6778914005948108E-2</v>
      </c>
      <c r="AH18" s="140">
        <f>AE21+$AL$30</f>
        <v>6.2646000613480635E-2</v>
      </c>
      <c r="AI18" s="140">
        <f>AE24+$AL$30</f>
        <v>8.5000027504749623E-2</v>
      </c>
      <c r="AJ18" s="140">
        <f>AE27+$AL$30</f>
        <v>8.4339268204122728E-2</v>
      </c>
      <c r="AY18" s="7" t="b">
        <f>AND(Cntrl5=3,Cntrl11=1)</f>
        <v>0</v>
      </c>
      <c r="AZ18" s="7" t="b">
        <f>AND(Cntrl5=3,NOT(WebCntrl10))</f>
        <v>0</v>
      </c>
      <c r="BW18" s="7" t="b">
        <f>AND(Cntrl5=4,OR(BX18,BX19))</f>
        <v>0</v>
      </c>
      <c r="BX18" s="7" t="b">
        <f>ISBLANK(WebCntrl11)</f>
        <v>0</v>
      </c>
      <c r="BY18" s="193"/>
      <c r="BZ18" s="1037"/>
      <c r="CA18" s="1038"/>
      <c r="CB18" s="1040"/>
      <c r="CC18" s="1040"/>
      <c r="CD18" s="445"/>
      <c r="CE18" s="448" t="str">
        <f>IF(Cntrl5&lt;4,"","depth (mm)")</f>
        <v/>
      </c>
      <c r="CF18" s="331">
        <v>0</v>
      </c>
      <c r="CG18" s="466">
        <f>IF(ISBLANK(WebCntrl11),"",BE21)</f>
        <v>0</v>
      </c>
      <c r="CH18" s="333"/>
      <c r="CI18" s="1103" t="s">
        <v>597</v>
      </c>
      <c r="CJ18" s="1103"/>
      <c r="CK18" s="1111" cm="1">
        <f t="array" ref="CK18">IF(BX1,"",IF((BT21&lt;&gt;""),INDEX(BP23:BP103,MAX(1,Cntrl8-1)),0))</f>
        <v>2.0622327639062124</v>
      </c>
      <c r="CL18" s="1111"/>
      <c r="CM18" s="334"/>
      <c r="CN18" s="1005"/>
      <c r="CO18" s="1005"/>
      <c r="CP18" s="1005"/>
      <c r="CQ18" s="1005"/>
      <c r="CR18" s="1005"/>
      <c r="CS18" s="334"/>
      <c r="CT18" s="367"/>
      <c r="CU18" s="319"/>
    </row>
    <row r="19" spans="1:99">
      <c r="A19" s="125">
        <v>18</v>
      </c>
      <c r="B19" t="s">
        <v>112</v>
      </c>
      <c r="C19" s="553"/>
      <c r="D19" s="554"/>
      <c r="E19" s="172" t="str">
        <f t="shared" si="3"/>
        <v/>
      </c>
      <c r="F19" s="555" t="str">
        <f t="shared" si="15"/>
        <v/>
      </c>
      <c r="G19" s="172" t="str">
        <f t="shared" si="5"/>
        <v/>
      </c>
      <c r="H19" t="str">
        <f t="shared" si="6"/>
        <v/>
      </c>
      <c r="I19" s="552" t="str" cm="1">
        <f t="array" ref="I19">IF(H19&lt;&gt;"",INDEX($B$2:$B$66,H19+1),"")</f>
        <v/>
      </c>
      <c r="J19" s="554" t="str">
        <f t="shared" si="0"/>
        <v/>
      </c>
      <c r="K19" t="str">
        <f t="shared" si="13"/>
        <v/>
      </c>
      <c r="L19" s="2" t="str">
        <f t="shared" si="8"/>
        <v/>
      </c>
      <c r="M19" t="str">
        <f t="shared" si="9"/>
        <v/>
      </c>
      <c r="N19" s="2" t="str">
        <f t="shared" si="10"/>
        <v/>
      </c>
      <c r="O19" s="172" t="str">
        <f t="shared" si="1"/>
        <v/>
      </c>
      <c r="P19" s="177" t="str">
        <f t="shared" si="11"/>
        <v/>
      </c>
      <c r="Q19" s="172" t="str">
        <f t="shared" si="2"/>
        <v/>
      </c>
      <c r="R19" s="553" t="str">
        <f t="shared" si="12"/>
        <v/>
      </c>
      <c r="S19" s="553" t="str">
        <f t="shared" si="12"/>
        <v/>
      </c>
      <c r="U19" s="137">
        <v>-2.6010612813121255E-3</v>
      </c>
      <c r="V19" s="137">
        <v>-1.0600146431771799E-3</v>
      </c>
      <c r="W19" s="137">
        <v>-6.106696882832958E-4</v>
      </c>
      <c r="X19" s="137">
        <v>-4.1292965330415175E-4</v>
      </c>
      <c r="Y19" s="137">
        <v>-4.6871765679537762E-2</v>
      </c>
      <c r="Z19" s="137">
        <v>-2.472346292034398E-2</v>
      </c>
      <c r="AA19" s="137">
        <v>-1.5191244260349642E-2</v>
      </c>
      <c r="AB19" s="137">
        <v>-1.0366163836122749E-2</v>
      </c>
      <c r="AC19" s="137">
        <v>-6.3234872397717522E-4</v>
      </c>
      <c r="AD19" s="8"/>
      <c r="AE19" s="62" cm="1">
        <f t="array" ref="AE19">INDEX(U19:AC19,1,$AU$19)</f>
        <v>-2.6010612813121255E-3</v>
      </c>
      <c r="AF19" s="18" t="s">
        <v>219</v>
      </c>
      <c r="AG19" s="18">
        <f>AE28</f>
        <v>-8.0316039570496496E-3</v>
      </c>
      <c r="AH19" s="18">
        <f>AE31</f>
        <v>-4.7269857819398986E-3</v>
      </c>
      <c r="AI19" s="18">
        <f>AE34</f>
        <v>-2.1141389119672723E-3</v>
      </c>
      <c r="AJ19" s="18">
        <f>AE37</f>
        <v>-1.6142981086621131E-3</v>
      </c>
      <c r="AL19" s="45" t="s">
        <v>45</v>
      </c>
      <c r="AN19" s="9">
        <f>6-AO21</f>
        <v>1</v>
      </c>
      <c r="AO19" s="7" t="s">
        <v>598</v>
      </c>
      <c r="AR19" s="7" t="s">
        <v>599</v>
      </c>
      <c r="AU19" s="9">
        <f>AN19+(AU21-2)*4</f>
        <v>1</v>
      </c>
      <c r="AX19" s="7" t="s">
        <v>600</v>
      </c>
      <c r="AY19" s="7" t="b">
        <f>AND(Cntrl5=4,NOT(AND(Cntrl11-1,Cntrl7-1,Cntrl12-1)))</f>
        <v>0</v>
      </c>
      <c r="AZ19" s="7" t="b">
        <f>AND(Cntrl5=4,OR(NOT(WebCntrl10),NOT(WebCntrl11),NOT(WebCntrl12)))</f>
        <v>0</v>
      </c>
      <c r="BA19" s="7" t="s">
        <v>601</v>
      </c>
      <c r="BD19" s="660" t="s">
        <v>602</v>
      </c>
      <c r="BG19" s="661" t="s">
        <v>603</v>
      </c>
      <c r="BJ19" s="662" t="s">
        <v>604</v>
      </c>
      <c r="BX19" s="7" t="b">
        <f>ISBLANK(WebCntrl12)</f>
        <v>0</v>
      </c>
      <c r="BY19" s="193"/>
      <c r="BZ19" s="1037"/>
      <c r="CA19" s="1038"/>
      <c r="CB19" s="1040"/>
      <c r="CC19" s="1040"/>
      <c r="CD19" s="445"/>
      <c r="CE19" s="448" t="str">
        <f>IF(Cntrl5&lt;4,"","frame %")</f>
        <v/>
      </c>
      <c r="CF19" s="340">
        <v>0</v>
      </c>
      <c r="CG19" s="461">
        <f>IF(ISBLANK(WebCntrl12),"",BH21)</f>
        <v>0</v>
      </c>
      <c r="CH19" s="333"/>
      <c r="CI19" s="1103"/>
      <c r="CJ19" s="1103"/>
      <c r="CK19" s="1111"/>
      <c r="CL19" s="1111"/>
      <c r="CM19" s="334"/>
      <c r="CN19" s="1005"/>
      <c r="CO19" s="1005"/>
      <c r="CP19" s="1005"/>
      <c r="CQ19" s="1005"/>
      <c r="CR19" s="1005"/>
      <c r="CS19" s="334"/>
      <c r="CT19" s="367"/>
      <c r="CU19" s="319"/>
    </row>
    <row r="20" spans="1:99" ht="16.5" customHeight="1">
      <c r="A20" s="125">
        <v>19</v>
      </c>
      <c r="B20" t="s">
        <v>117</v>
      </c>
      <c r="C20" s="553"/>
      <c r="D20" s="554"/>
      <c r="E20" s="172" t="str">
        <f t="shared" si="3"/>
        <v/>
      </c>
      <c r="F20" s="555" t="str">
        <f t="shared" si="15"/>
        <v/>
      </c>
      <c r="G20" s="172" t="str">
        <f t="shared" si="5"/>
        <v/>
      </c>
      <c r="H20" t="str">
        <f t="shared" si="6"/>
        <v/>
      </c>
      <c r="I20" s="552" t="str" cm="1">
        <f t="array" ref="I20">IF(H20&lt;&gt;"",INDEX($B$2:$B$66,H20+1),"")</f>
        <v/>
      </c>
      <c r="J20" s="554" t="str">
        <f t="shared" si="0"/>
        <v/>
      </c>
      <c r="K20" t="str">
        <f t="shared" si="13"/>
        <v/>
      </c>
      <c r="L20" s="2" t="str">
        <f t="shared" si="8"/>
        <v/>
      </c>
      <c r="M20" t="str">
        <f t="shared" si="9"/>
        <v/>
      </c>
      <c r="N20" s="2" t="str">
        <f t="shared" si="10"/>
        <v/>
      </c>
      <c r="O20" s="172" t="str">
        <f t="shared" si="1"/>
        <v/>
      </c>
      <c r="P20" s="177" t="str">
        <f t="shared" si="11"/>
        <v/>
      </c>
      <c r="Q20" s="172" t="str">
        <f t="shared" si="2"/>
        <v/>
      </c>
      <c r="R20" s="553" t="str">
        <f t="shared" si="12"/>
        <v/>
      </c>
      <c r="S20" s="553" t="str">
        <f t="shared" si="12"/>
        <v/>
      </c>
      <c r="U20" s="658">
        <v>0.92766083203972904</v>
      </c>
      <c r="V20" s="658">
        <v>0.91927984313420552</v>
      </c>
      <c r="W20" s="658">
        <v>0.91691638077570903</v>
      </c>
      <c r="X20" s="658">
        <v>0.91580694712848609</v>
      </c>
      <c r="Y20" s="658">
        <v>1.203539152653847</v>
      </c>
      <c r="Z20" s="658">
        <v>1.0900495918108473</v>
      </c>
      <c r="AA20" s="658">
        <v>1.0328478265671075</v>
      </c>
      <c r="AB20" s="658">
        <v>1.0009208309474706</v>
      </c>
      <c r="AC20" s="658">
        <v>0.88913107151948545</v>
      </c>
      <c r="AD20" s="8"/>
      <c r="AE20" s="62" cm="1">
        <f t="array" ref="AE20">INDEX(U20:AC20,1,$AU$19)</f>
        <v>0.92766083203972904</v>
      </c>
      <c r="AF20" s="18"/>
      <c r="AG20" s="18">
        <f>AE29</f>
        <v>0.92902089609117666</v>
      </c>
      <c r="AH20" s="18">
        <f>AE32</f>
        <v>0.95184078968326724</v>
      </c>
      <c r="AI20" s="18">
        <f>AE35</f>
        <v>0.96512234880301417</v>
      </c>
      <c r="AJ20" s="18">
        <f>AE38</f>
        <v>0.97663188896643416</v>
      </c>
      <c r="AL20" s="635">
        <v>2</v>
      </c>
      <c r="AN20" s="12">
        <f>IF(AN19&gt;2,1,0)</f>
        <v>0</v>
      </c>
      <c r="AO20" s="663">
        <v>4</v>
      </c>
      <c r="AQ20" s="9">
        <f>6-AR21</f>
        <v>1</v>
      </c>
      <c r="AR20" s="663">
        <v>6</v>
      </c>
      <c r="AT20" s="9">
        <f>AU21-2</f>
        <v>0</v>
      </c>
      <c r="AU20" s="663">
        <v>3</v>
      </c>
      <c r="AW20" s="12">
        <f>AX21-2</f>
        <v>0</v>
      </c>
      <c r="AX20" s="663">
        <v>5</v>
      </c>
      <c r="AY20" s="63">
        <f>AX35</f>
        <v>0</v>
      </c>
      <c r="AZ20" s="9">
        <f>BA21-2</f>
        <v>1</v>
      </c>
      <c r="BA20" s="663">
        <v>1</v>
      </c>
      <c r="BB20" s="63">
        <f>IF($BA$21=5,0.17,0)+$AY$20</f>
        <v>0</v>
      </c>
      <c r="BD20" s="664">
        <v>12</v>
      </c>
      <c r="BE20" s="9">
        <f>IF(BE21="---------",0,VALUE(BE21))</f>
        <v>0</v>
      </c>
      <c r="BG20" s="664">
        <v>7</v>
      </c>
      <c r="BH20" s="13">
        <f>IF(BH21="---------",0,VALUE(BH21))</f>
        <v>0</v>
      </c>
      <c r="BJ20" s="665">
        <v>11</v>
      </c>
      <c r="BK20" s="63">
        <f>IF(BK21="---------",0,VALUE(BK21))</f>
        <v>0</v>
      </c>
      <c r="BM20" s="663">
        <v>10</v>
      </c>
      <c r="BO20" s="263">
        <f>AS21</f>
        <v>400</v>
      </c>
      <c r="BQ20" s="13"/>
      <c r="BS20" s="663">
        <v>8</v>
      </c>
      <c r="BV20" s="663">
        <v>9</v>
      </c>
      <c r="BY20" s="193"/>
      <c r="BZ20" s="1037"/>
      <c r="CA20" s="1038"/>
      <c r="CB20" s="333"/>
      <c r="CC20" s="333"/>
      <c r="CD20" s="333"/>
      <c r="CE20" s="333"/>
      <c r="CF20" s="333"/>
      <c r="CG20" s="333"/>
      <c r="CH20" s="333"/>
      <c r="CI20" s="1103"/>
      <c r="CJ20" s="1103"/>
      <c r="CK20" s="1111"/>
      <c r="CL20" s="1111"/>
      <c r="CM20" s="334"/>
      <c r="CN20" s="1005"/>
      <c r="CO20" s="1005"/>
      <c r="CP20" s="1005"/>
      <c r="CQ20" s="1005"/>
      <c r="CR20" s="1005"/>
      <c r="CS20" s="334"/>
      <c r="CT20" s="367"/>
      <c r="CU20" s="319"/>
    </row>
    <row r="21" spans="1:99" ht="16.5" thickBot="1">
      <c r="A21" s="125">
        <v>20</v>
      </c>
      <c r="B21" t="s">
        <v>121</v>
      </c>
      <c r="C21" s="553"/>
      <c r="D21" s="554"/>
      <c r="E21" s="172" t="str">
        <f t="shared" si="3"/>
        <v/>
      </c>
      <c r="F21" s="555" t="str">
        <f t="shared" si="15"/>
        <v/>
      </c>
      <c r="G21" s="172" t="str">
        <f t="shared" si="5"/>
        <v/>
      </c>
      <c r="H21" t="str">
        <f t="shared" si="6"/>
        <v/>
      </c>
      <c r="I21" s="552" t="str" cm="1">
        <f t="array" ref="I21">IF(H21&lt;&gt;"",INDEX($B$2:$B$66,H21+1),"")</f>
        <v/>
      </c>
      <c r="J21" s="554" t="str">
        <f t="shared" si="0"/>
        <v/>
      </c>
      <c r="K21" t="str">
        <f t="shared" si="13"/>
        <v/>
      </c>
      <c r="L21" s="2" t="str">
        <f t="shared" si="8"/>
        <v/>
      </c>
      <c r="M21" t="str">
        <f t="shared" si="9"/>
        <v/>
      </c>
      <c r="N21" s="2" t="str">
        <f t="shared" si="10"/>
        <v/>
      </c>
      <c r="O21" s="172" t="str">
        <f t="shared" si="1"/>
        <v/>
      </c>
      <c r="P21" s="177" t="str">
        <f t="shared" si="11"/>
        <v/>
      </c>
      <c r="Q21" s="172" t="str">
        <f t="shared" si="2"/>
        <v/>
      </c>
      <c r="R21" s="553" t="str">
        <f t="shared" si="12"/>
        <v/>
      </c>
      <c r="S21" s="553" t="str">
        <f t="shared" si="12"/>
        <v/>
      </c>
      <c r="U21" s="136">
        <v>6.2646000613480635E-2</v>
      </c>
      <c r="V21" s="136">
        <v>7.37826322511798E-2</v>
      </c>
      <c r="W21" s="136">
        <v>7.6456036330456029E-2</v>
      </c>
      <c r="X21" s="136">
        <v>8.1584658837522445E-2</v>
      </c>
      <c r="Y21" s="136">
        <v>-0.39258474139600441</v>
      </c>
      <c r="Z21" s="136">
        <v>-0.25345473106770833</v>
      </c>
      <c r="AA21" s="136">
        <v>-0.17349761209499098</v>
      </c>
      <c r="AB21" s="136">
        <v>-0.12626134769155101</v>
      </c>
      <c r="AC21" s="136">
        <v>0.28065283112840644</v>
      </c>
      <c r="AD21" s="8"/>
      <c r="AE21" s="110" cm="1">
        <f t="array" ref="AE21">INDEX(U21:AC21,1,$AU$19)</f>
        <v>6.2646000613480635E-2</v>
      </c>
      <c r="AF21" s="18"/>
      <c r="AG21" s="140">
        <f>AE30+$AL$30</f>
        <v>5.4506813963514963E-2</v>
      </c>
      <c r="AH21" s="140">
        <f>AE33+$AL$30</f>
        <v>8.6952814360392552E-2</v>
      </c>
      <c r="AI21" s="140">
        <f>AE36+$AL$30</f>
        <v>0.10987836743387969</v>
      </c>
      <c r="AJ21" s="140">
        <f>AE39+$AL$30</f>
        <v>0.11462202123109735</v>
      </c>
      <c r="AK21" s="56">
        <f>IF(ISBLANK(WebCntrl2),1,MIN(6,MAX(2,WebCntrl2+2)))</f>
        <v>4</v>
      </c>
      <c r="AL21" s="51">
        <v>5</v>
      </c>
      <c r="AM21" s="52" t="str" cm="1">
        <f t="array" ref="AM21">INDEX(AM22:AM27,AL21)</f>
        <v>10 mm plasterboard</v>
      </c>
      <c r="AN21" s="56">
        <f>IF(WebCntrl4="",1,MIN(5,MAX(2,WebCntrl4+1)))</f>
        <v>3</v>
      </c>
      <c r="AO21" s="39">
        <v>5</v>
      </c>
      <c r="AP21" s="33" cm="1">
        <f t="array" ref="AP21">INDEX(AP22:AP26,AO21)</f>
        <v>140</v>
      </c>
      <c r="AQ21" s="56">
        <f>IF(WebCntrl6="",1,MIN(5,MAX(2,WebCntrl6+1)))</f>
        <v>2</v>
      </c>
      <c r="AR21" s="31">
        <v>5</v>
      </c>
      <c r="AS21" s="33" cm="1">
        <f t="array" ref="AS21">INDEX(AS22:AS26,AR21)</f>
        <v>400</v>
      </c>
      <c r="AT21" s="56">
        <f>IF(WebCntrl3="",1,MIN(3,MAX(2,WebCntrl3+1)))</f>
        <v>2</v>
      </c>
      <c r="AU21" s="39">
        <v>2</v>
      </c>
      <c r="AV21" s="22" t="str" cm="1">
        <f t="array" ref="AV21">INDEX(AV22:AV24,AU21)</f>
        <v>battens</v>
      </c>
      <c r="AW21" s="56">
        <f>IF(WebCntrl5="",1,MIN(4,MAX(2,WebCntrl5+2)))</f>
        <v>2</v>
      </c>
      <c r="AX21" s="14">
        <v>2</v>
      </c>
      <c r="AY21" s="65" t="str" cm="1">
        <f t="array" ref="AY21">INDEX(AY22:AY25,AX21)</f>
        <v>none</v>
      </c>
      <c r="AZ21" s="56">
        <f>IF(WebCntrl1="",1,MIN(5,MAX(2,WebCntrl1+1)))</f>
        <v>3</v>
      </c>
      <c r="BA21" s="39">
        <v>3</v>
      </c>
      <c r="BB21" s="65" t="str" cm="1">
        <f t="array" ref="BB21">INDEX(BB22:BB26,BA21)</f>
        <v>Metal tiles / profiled metal</v>
      </c>
      <c r="BC21" s="274">
        <f>IF(WebCntrl11="",1,97-MIN(95,MAX(1,INT(WebCntrl11))))</f>
        <v>96</v>
      </c>
      <c r="BD21" s="14">
        <v>1</v>
      </c>
      <c r="BE21" s="33" cm="1">
        <f t="array" ref="BE21">INDEX(BE22:BE117,BD21)</f>
        <v>0</v>
      </c>
      <c r="BF21" s="274">
        <f>IF(WebCntrl12="",1,242-10*(MIN(25,MAX(1,INT(10*WebCntrl12)/10))-1))</f>
        <v>242</v>
      </c>
      <c r="BG21" s="71" t="s">
        <v>49</v>
      </c>
      <c r="BH21" s="33" cm="1">
        <f t="array" ref="BH21">INDEX(BH22:BH263,BG21)</f>
        <v>0</v>
      </c>
      <c r="BI21" s="192">
        <f>IF(WebCntrl10="",1,302-100*(INT(100*MIN(3,MAX(0.01,WebCntrl10)))/100))</f>
        <v>301</v>
      </c>
      <c r="BJ21" s="14">
        <v>1</v>
      </c>
      <c r="BK21" s="33" cm="1">
        <f t="array" ref="BK21">INDEX(BK22:BK322,BJ21)</f>
        <v>0</v>
      </c>
      <c r="BL21" s="275">
        <f>IF(WebCntrl7="",1,MAX(2,MIN(452,652-10000*WebCntrl7)))</f>
        <v>202</v>
      </c>
      <c r="BM21" s="143">
        <v>2</v>
      </c>
      <c r="BN21" s="666" cm="1">
        <f t="array" ref="BN21">INDEX(BN22:BN473,Cntrl10)</f>
        <v>6.5000000000000002E-2</v>
      </c>
      <c r="BO21" s="264">
        <f>BN21</f>
        <v>6.5000000000000002E-2</v>
      </c>
      <c r="BP21" s="264"/>
      <c r="BR21" s="56">
        <f>IF(WebCntrl8="",1,MIN(82,MAX(2,82-(WebCntrl8-2)*10)))</f>
        <v>42</v>
      </c>
      <c r="BS21" s="14" t="s">
        <v>371</v>
      </c>
      <c r="BT21" s="15" t="str" cm="1">
        <f t="array" ref="BT21">INDEX(BT22:BT103,BS21)</f>
        <v>2.0</v>
      </c>
      <c r="BU21" s="56">
        <f>MIN(81,MAX(1,81-(WebCntrl9-2)*10))</f>
        <v>35</v>
      </c>
      <c r="BV21" s="14" t="s">
        <v>243</v>
      </c>
      <c r="BW21" s="44" t="str" cm="1">
        <f t="array" ref="BW21">INDEX(BW22:BW102,BV21)</f>
        <v>2.5</v>
      </c>
      <c r="BY21" s="193"/>
      <c r="BZ21" s="1037"/>
      <c r="CA21" s="1038"/>
      <c r="CB21" s="1033"/>
      <c r="CC21" s="1007"/>
      <c r="CD21" s="333"/>
      <c r="CE21" s="333"/>
      <c r="CF21" s="333"/>
      <c r="CG21" s="333"/>
      <c r="CH21" s="333"/>
      <c r="CI21" s="333"/>
      <c r="CJ21" s="333"/>
      <c r="CK21" s="333"/>
      <c r="CL21" s="333"/>
      <c r="CM21" s="334"/>
      <c r="CN21" s="1005"/>
      <c r="CO21" s="1005"/>
      <c r="CP21" s="1005"/>
      <c r="CQ21" s="1005"/>
      <c r="CR21" s="1005"/>
      <c r="CS21" s="334"/>
      <c r="CT21" s="367"/>
      <c r="CU21" s="319"/>
    </row>
    <row r="22" spans="1:99">
      <c r="A22" s="125">
        <v>21</v>
      </c>
      <c r="B22" t="s">
        <v>125</v>
      </c>
      <c r="C22" s="553"/>
      <c r="D22" s="554"/>
      <c r="E22" s="172" t="str">
        <f t="shared" si="3"/>
        <v/>
      </c>
      <c r="F22" s="555" t="str">
        <f t="shared" si="15"/>
        <v/>
      </c>
      <c r="G22" s="172" t="str">
        <f t="shared" si="5"/>
        <v/>
      </c>
      <c r="H22" t="str">
        <f t="shared" si="6"/>
        <v/>
      </c>
      <c r="I22" s="552" t="str" cm="1">
        <f t="array" ref="I22">IF(H22&lt;&gt;"",INDEX($B$2:$B$66,H22+1),"")</f>
        <v/>
      </c>
      <c r="J22" s="554" t="str">
        <f t="shared" si="0"/>
        <v/>
      </c>
      <c r="K22" t="str">
        <f t="shared" si="13"/>
        <v/>
      </c>
      <c r="L22" s="2" t="str">
        <f t="shared" si="8"/>
        <v/>
      </c>
      <c r="M22" t="str">
        <f t="shared" si="9"/>
        <v/>
      </c>
      <c r="N22" s="2" t="str">
        <f t="shared" si="10"/>
        <v/>
      </c>
      <c r="O22" s="172" t="str">
        <f t="shared" si="1"/>
        <v/>
      </c>
      <c r="P22" s="177" t="str">
        <f t="shared" si="11"/>
        <v/>
      </c>
      <c r="Q22" s="172" t="str">
        <f t="shared" si="2"/>
        <v/>
      </c>
      <c r="R22" s="553" t="str">
        <f t="shared" si="12"/>
        <v/>
      </c>
      <c r="S22" s="553" t="str">
        <f t="shared" si="12"/>
        <v/>
      </c>
      <c r="U22" s="658">
        <v>-5.7078632300943657E-4</v>
      </c>
      <c r="V22" s="658">
        <v>-1.7769031590835692E-4</v>
      </c>
      <c r="W22" s="658">
        <v>-3.5988828421368066E-5</v>
      </c>
      <c r="X22" s="658">
        <v>2.0646482665222766E-4</v>
      </c>
      <c r="Y22" s="658">
        <v>-3.1603999530558917E-2</v>
      </c>
      <c r="Z22" s="658">
        <v>-1.6494563118108218E-2</v>
      </c>
      <c r="AA22" s="658">
        <v>-1.0053767916975227E-2</v>
      </c>
      <c r="AB22" s="658">
        <v>-6.8166031399284665E-3</v>
      </c>
      <c r="AC22" s="658">
        <v>7.277188091065125E-4</v>
      </c>
      <c r="AD22" s="8"/>
      <c r="AE22" s="62" cm="1">
        <f t="array" ref="AE22">INDEX(U22:AC22,1,$AU$19)</f>
        <v>-5.7078632300943657E-4</v>
      </c>
      <c r="AF22" s="18" t="s">
        <v>226</v>
      </c>
      <c r="AG22" s="18">
        <f>AE40</f>
        <v>-1.7495590828923609E-2</v>
      </c>
      <c r="AH22" s="18">
        <f>AE43</f>
        <v>-1.2134038800703746E-2</v>
      </c>
      <c r="AI22" s="18">
        <f>AE46</f>
        <v>-8.3245149911815655E-3</v>
      </c>
      <c r="AJ22" s="18">
        <f>AE49</f>
        <v>-5.0793650793634721E-3</v>
      </c>
      <c r="AL22" s="12">
        <v>1</v>
      </c>
      <c r="AM22" s="633"/>
      <c r="AO22" s="12">
        <v>1</v>
      </c>
      <c r="AP22" s="633"/>
      <c r="AR22" s="12">
        <v>1</v>
      </c>
      <c r="AS22" s="633"/>
      <c r="AU22" s="12">
        <v>1</v>
      </c>
      <c r="AV22" s="633"/>
      <c r="AX22" s="12">
        <v>1</v>
      </c>
      <c r="AY22" s="633"/>
      <c r="BA22" s="12">
        <v>1</v>
      </c>
      <c r="BB22" s="633"/>
      <c r="BC22" s="633"/>
      <c r="BD22" s="59">
        <v>1</v>
      </c>
      <c r="BE22" s="633"/>
      <c r="BF22" s="633"/>
      <c r="BG22" s="12" t="s">
        <v>49</v>
      </c>
      <c r="BH22" s="633"/>
      <c r="BI22" s="633"/>
      <c r="BJ22" s="59">
        <v>1</v>
      </c>
      <c r="BK22" s="633"/>
      <c r="BL22" s="633"/>
      <c r="BM22" s="185">
        <v>1</v>
      </c>
      <c r="BN22" s="633"/>
      <c r="BO22" s="667"/>
      <c r="BP22" s="667"/>
      <c r="BQ22" s="633"/>
      <c r="BR22" s="633"/>
      <c r="BS22" s="12" t="s">
        <v>49</v>
      </c>
      <c r="BT22" s="633"/>
      <c r="BU22" s="20" t="str">
        <f t="shared" ref="BU22:BU53" si="16">IF($BQ23*$BN$21*1000&lt;=$AE$6,$BQ23*$BN$21*1000,"")</f>
        <v/>
      </c>
      <c r="BV22" s="12" t="s">
        <v>49</v>
      </c>
      <c r="BW22" s="61" t="str">
        <f t="shared" ref="BW22:BW53" si="17">IF($BR23&lt;&gt;"",$BQ23,BW23)</f>
        <v>2.5</v>
      </c>
      <c r="BX22" s="7" t="b">
        <f>ISBLANK(WebCntrl2)</f>
        <v>0</v>
      </c>
      <c r="BY22" s="193"/>
      <c r="BZ22" s="668"/>
      <c r="CA22" s="476"/>
      <c r="CB22" s="1020" t="s">
        <v>33</v>
      </c>
      <c r="CC22" s="1020"/>
      <c r="CD22" s="331">
        <v>2</v>
      </c>
      <c r="CE22" s="1097" t="str">
        <f>IF(ISBLANK(WebCntrl2),"",AM21)</f>
        <v>10 mm plasterboard</v>
      </c>
      <c r="CF22" s="1097"/>
      <c r="CG22" s="1097"/>
      <c r="CH22" s="193"/>
      <c r="CI22" s="193"/>
      <c r="CJ22" s="193"/>
      <c r="CK22" s="193"/>
      <c r="CL22" s="333"/>
      <c r="CM22" s="334"/>
      <c r="CN22" s="1005"/>
      <c r="CO22" s="1005"/>
      <c r="CP22" s="1005"/>
      <c r="CQ22" s="1005"/>
      <c r="CR22" s="1005"/>
      <c r="CS22" s="334"/>
      <c r="CT22" s="367"/>
      <c r="CU22" s="319"/>
    </row>
    <row r="23" spans="1:99">
      <c r="A23" s="125">
        <v>22</v>
      </c>
      <c r="B23" t="s">
        <v>129</v>
      </c>
      <c r="C23" s="553"/>
      <c r="D23" s="554"/>
      <c r="E23" s="172" t="str">
        <f t="shared" si="3"/>
        <v/>
      </c>
      <c r="F23" s="555" t="str">
        <f t="shared" si="15"/>
        <v/>
      </c>
      <c r="G23" s="172" t="str">
        <f t="shared" si="5"/>
        <v/>
      </c>
      <c r="H23" t="str">
        <f t="shared" si="6"/>
        <v/>
      </c>
      <c r="I23" s="552" t="str" cm="1">
        <f t="array" ref="I23">IF(H23&lt;&gt;"",INDEX($B$2:$B$66,H23+1),"")</f>
        <v/>
      </c>
      <c r="J23" s="554" t="str">
        <f t="shared" si="0"/>
        <v/>
      </c>
      <c r="K23" t="str">
        <f t="shared" si="13"/>
        <v/>
      </c>
      <c r="L23" s="2" t="str">
        <f t="shared" si="8"/>
        <v/>
      </c>
      <c r="M23" t="str">
        <f t="shared" si="9"/>
        <v/>
      </c>
      <c r="N23" s="2" t="str">
        <f t="shared" si="10"/>
        <v/>
      </c>
      <c r="O23" s="172" t="str">
        <f t="shared" si="1"/>
        <v/>
      </c>
      <c r="P23" s="177" t="str">
        <f t="shared" si="11"/>
        <v/>
      </c>
      <c r="Q23" s="172" t="str">
        <f t="shared" si="2"/>
        <v/>
      </c>
      <c r="R23" s="553" t="str">
        <f t="shared" si="12"/>
        <v/>
      </c>
      <c r="S23" s="553" t="str">
        <f t="shared" si="12"/>
        <v/>
      </c>
      <c r="U23" s="658">
        <v>0.94774402489817611</v>
      </c>
      <c r="V23" s="658">
        <v>0.94620678165433514</v>
      </c>
      <c r="W23" s="658">
        <v>0.94545078296525542</v>
      </c>
      <c r="X23" s="658">
        <v>0.9431717952529598</v>
      </c>
      <c r="Y23" s="658">
        <v>1.1474541870711623</v>
      </c>
      <c r="Z23" s="658">
        <v>1.0690546899580153</v>
      </c>
      <c r="AA23" s="658">
        <v>1.0297916867239021</v>
      </c>
      <c r="AB23" s="658">
        <v>1.0079027808420395</v>
      </c>
      <c r="AC23" s="658">
        <v>0.91927701935494788</v>
      </c>
      <c r="AD23" s="8"/>
      <c r="AE23" s="62" cm="1">
        <f t="array" ref="AE23">INDEX(U23:AC23,1,$AU$19)</f>
        <v>0.94774402489817611</v>
      </c>
      <c r="AF23" s="18"/>
      <c r="AG23" s="18">
        <f>AE41</f>
        <v>0.99563597883597565</v>
      </c>
      <c r="AH23" s="18">
        <f>AE44</f>
        <v>1.002319576719567</v>
      </c>
      <c r="AI23" s="18">
        <f>AE47</f>
        <v>1.0066052910052905</v>
      </c>
      <c r="AJ23" s="18">
        <f>AE50</f>
        <v>0.99961904761903797</v>
      </c>
      <c r="AL23" s="12">
        <v>2</v>
      </c>
      <c r="AM23" s="43" t="s">
        <v>61</v>
      </c>
      <c r="AN23" s="34">
        <v>140</v>
      </c>
      <c r="AO23" s="12">
        <v>2</v>
      </c>
      <c r="AP23" s="12">
        <f>AN26</f>
        <v>290</v>
      </c>
      <c r="AQ23" s="12" cm="1">
        <f t="array" ref="AQ23">INDEX(U12:AC12,1,$AU$19)</f>
        <v>400</v>
      </c>
      <c r="AR23" s="12">
        <v>2</v>
      </c>
      <c r="AS23" s="12">
        <f>AQ26</f>
        <v>1200</v>
      </c>
      <c r="AU23" s="12">
        <v>2</v>
      </c>
      <c r="AV23" s="12" t="s">
        <v>605</v>
      </c>
      <c r="AX23" s="12">
        <v>2</v>
      </c>
      <c r="AY23" s="43" t="s">
        <v>61</v>
      </c>
      <c r="BA23" s="12">
        <v>2</v>
      </c>
      <c r="BB23" s="43" t="s">
        <v>70</v>
      </c>
      <c r="BC23" s="10">
        <v>95</v>
      </c>
      <c r="BD23" s="59">
        <v>2</v>
      </c>
      <c r="BE23" s="7" t="str">
        <f t="shared" ref="BE23:BE54" si="18">IF(Cntrl5=4,TEXT(BC23,"0.0"),"---------")</f>
        <v>---------</v>
      </c>
      <c r="BF23" s="277">
        <v>25</v>
      </c>
      <c r="BG23" s="12" t="s">
        <v>63</v>
      </c>
      <c r="BH23" s="7" t="str">
        <f t="shared" ref="BH23:BH86" si="19">IF(Cntrl5=4,TEXT(BF23,"0.0"),"---------")</f>
        <v>---------</v>
      </c>
      <c r="BI23" s="273">
        <v>3</v>
      </c>
      <c r="BJ23" s="59">
        <v>2</v>
      </c>
      <c r="BK23" s="168" t="str">
        <f t="shared" ref="BK23:BK86" si="20">IF(Cntrl5=2,"---------",TEXT(BI23,"0.00"))</f>
        <v>---------</v>
      </c>
      <c r="BL23" s="182">
        <v>6.5000000000000002E-2</v>
      </c>
      <c r="BM23" s="185">
        <v>2</v>
      </c>
      <c r="BN23" s="182">
        <f t="shared" ref="BN23:BN86" si="21">BL23</f>
        <v>6.5000000000000002E-2</v>
      </c>
      <c r="BO23" s="265" cm="1">
        <f t="array" ref="BO23">INDEX(AF85:AI85,$AQ$20)</f>
        <v>7.7843107584050903</v>
      </c>
      <c r="BP23" s="13">
        <f t="shared" ref="BP23:BP54" si="22">IF(BR23&lt;&gt;"",BO23,BP24)</f>
        <v>2.5387060303251472</v>
      </c>
      <c r="BQ23" s="12">
        <v>10</v>
      </c>
      <c r="BR23" s="20" t="str">
        <f t="shared" ref="BR23:BR54" si="23">IF($BQ23*$BN$21*1000&lt;=$AE$6,$BQ23*$BN$21*1000,"")</f>
        <v/>
      </c>
      <c r="BS23" s="12" t="s">
        <v>63</v>
      </c>
      <c r="BT23" s="61" t="str">
        <f t="shared" ref="BT23:BT54" si="24">IF($BR23&lt;&gt;"",$BQ23,BT24)</f>
        <v>2.5</v>
      </c>
      <c r="BU23" s="20" t="str">
        <f t="shared" si="16"/>
        <v/>
      </c>
      <c r="BV23" s="12" t="s">
        <v>63</v>
      </c>
      <c r="BW23" s="61" t="str">
        <f t="shared" si="17"/>
        <v>2.5</v>
      </c>
      <c r="BY23" s="193"/>
      <c r="BZ23" s="333"/>
      <c r="CA23" s="333"/>
      <c r="CB23" s="333"/>
      <c r="CC23" s="333"/>
      <c r="CD23" s="333"/>
      <c r="CE23" s="333"/>
      <c r="CF23" s="333"/>
      <c r="CG23" s="333"/>
      <c r="CH23" s="333"/>
      <c r="CI23" s="333"/>
      <c r="CJ23" s="333"/>
      <c r="CK23" s="333"/>
      <c r="CL23" s="333"/>
      <c r="CM23" s="333"/>
      <c r="CN23" s="333"/>
      <c r="CO23" s="333"/>
      <c r="CP23" s="333"/>
      <c r="CQ23" s="333"/>
      <c r="CR23" s="333"/>
      <c r="CS23" s="334"/>
      <c r="CT23" s="367"/>
      <c r="CU23" s="319"/>
    </row>
    <row r="24" spans="1:99">
      <c r="A24" s="125">
        <v>23</v>
      </c>
      <c r="B24" t="s">
        <v>133</v>
      </c>
      <c r="C24" s="553"/>
      <c r="D24" s="554"/>
      <c r="E24" s="172" t="str">
        <f t="shared" si="3"/>
        <v/>
      </c>
      <c r="F24" s="555" t="str">
        <f t="shared" si="15"/>
        <v/>
      </c>
      <c r="G24" s="172" t="str">
        <f t="shared" si="5"/>
        <v/>
      </c>
      <c r="H24" t="str">
        <f t="shared" si="6"/>
        <v/>
      </c>
      <c r="I24" s="552" t="str" cm="1">
        <f t="array" ref="I24">IF(H24&lt;&gt;"",INDEX($B$2:$B$66,H24+1),"")</f>
        <v/>
      </c>
      <c r="J24" s="554" t="str">
        <f t="shared" si="0"/>
        <v/>
      </c>
      <c r="K24" t="str">
        <f t="shared" si="13"/>
        <v/>
      </c>
      <c r="L24" s="2" t="str">
        <f t="shared" si="8"/>
        <v/>
      </c>
      <c r="M24" t="str">
        <f t="shared" si="9"/>
        <v/>
      </c>
      <c r="N24" s="2" t="str">
        <f t="shared" si="10"/>
        <v/>
      </c>
      <c r="O24" s="172" t="str">
        <f t="shared" si="1"/>
        <v/>
      </c>
      <c r="P24" s="177" t="str">
        <f t="shared" si="11"/>
        <v/>
      </c>
      <c r="Q24" s="172" t="str">
        <f t="shared" si="2"/>
        <v/>
      </c>
      <c r="R24" s="553" t="str">
        <f t="shared" si="12"/>
        <v/>
      </c>
      <c r="S24" s="553" t="str">
        <f t="shared" si="12"/>
        <v/>
      </c>
      <c r="U24" s="136">
        <v>8.5000027504749623E-2</v>
      </c>
      <c r="V24" s="136">
        <v>8.6112934534942842E-2</v>
      </c>
      <c r="W24" s="136">
        <v>8.6848725075941963E-2</v>
      </c>
      <c r="X24" s="136">
        <v>9.2627025419951284E-2</v>
      </c>
      <c r="Y24" s="136">
        <v>-0.27906400701664147</v>
      </c>
      <c r="Z24" s="136">
        <v>-0.1820797151960753</v>
      </c>
      <c r="AA24" s="136">
        <v>-0.12638098422344818</v>
      </c>
      <c r="AB24" s="136">
        <v>-9.34575805215071E-2</v>
      </c>
      <c r="AC24" s="136">
        <v>0.27411159344000624</v>
      </c>
      <c r="AD24" s="8"/>
      <c r="AE24" s="110" cm="1">
        <f t="array" ref="AE24">INDEX(U24:AC24,1,$AU$19)</f>
        <v>8.5000027504749623E-2</v>
      </c>
      <c r="AF24" s="18"/>
      <c r="AG24" s="18">
        <f>AE42+$AL$30</f>
        <v>3.1856825396829769E-2</v>
      </c>
      <c r="AH24" s="18">
        <f>AE45+$AL$30</f>
        <v>7.1736507936521962E-2</v>
      </c>
      <c r="AI24" s="18">
        <f>AE48+$AL$30</f>
        <v>9.6393650793650698E-2</v>
      </c>
      <c r="AJ24" s="18">
        <f>AE51+$AL$30</f>
        <v>0.12397714285715711</v>
      </c>
      <c r="AL24" s="12">
        <v>3</v>
      </c>
      <c r="AM24" s="43" t="s">
        <v>69</v>
      </c>
      <c r="AN24" s="34">
        <v>190</v>
      </c>
      <c r="AO24" s="12">
        <v>3</v>
      </c>
      <c r="AP24" s="12">
        <f>AN25</f>
        <v>240</v>
      </c>
      <c r="AQ24" s="12" cm="1">
        <f t="array" ref="AQ24">INDEX(U13:AC13,1,$AU$19)</f>
        <v>600</v>
      </c>
      <c r="AR24" s="12">
        <v>3</v>
      </c>
      <c r="AS24" s="12">
        <f>AQ25</f>
        <v>900</v>
      </c>
      <c r="AT24" s="8"/>
      <c r="AU24" s="12">
        <v>3</v>
      </c>
      <c r="AV24" s="12" t="s">
        <v>606</v>
      </c>
      <c r="AX24" s="12">
        <v>3</v>
      </c>
      <c r="AY24" s="43" t="s">
        <v>71</v>
      </c>
      <c r="BA24" s="12">
        <v>3</v>
      </c>
      <c r="BB24" s="43" t="s">
        <v>607</v>
      </c>
      <c r="BC24" s="10">
        <v>94</v>
      </c>
      <c r="BD24" s="59">
        <v>3</v>
      </c>
      <c r="BE24" s="7" t="str">
        <f t="shared" si="18"/>
        <v>---------</v>
      </c>
      <c r="BF24" s="277">
        <v>24.9</v>
      </c>
      <c r="BG24" s="12" t="s">
        <v>73</v>
      </c>
      <c r="BH24" s="7" t="str">
        <f t="shared" si="19"/>
        <v>---------</v>
      </c>
      <c r="BI24" s="273">
        <v>2.99</v>
      </c>
      <c r="BJ24" s="59">
        <v>3</v>
      </c>
      <c r="BK24" s="168" t="str">
        <f t="shared" si="20"/>
        <v>---------</v>
      </c>
      <c r="BL24" s="182">
        <v>6.4899999999999999E-2</v>
      </c>
      <c r="BM24" s="185">
        <v>3</v>
      </c>
      <c r="BN24" s="182">
        <f t="shared" si="21"/>
        <v>6.4899999999999999E-2</v>
      </c>
      <c r="BO24" s="265" cm="1">
        <f t="array" ref="BO24">INDEX(AF86:AI86,$AQ$20)</f>
        <v>7.7378211246718731</v>
      </c>
      <c r="BP24" s="13">
        <f t="shared" si="22"/>
        <v>2.5387060303251472</v>
      </c>
      <c r="BQ24" s="12" t="s">
        <v>608</v>
      </c>
      <c r="BR24" s="20" t="str">
        <f t="shared" si="23"/>
        <v/>
      </c>
      <c r="BS24" s="12" t="s">
        <v>73</v>
      </c>
      <c r="BT24" s="61" t="str">
        <f t="shared" si="24"/>
        <v>2.5</v>
      </c>
      <c r="BU24" s="20" t="str">
        <f t="shared" si="16"/>
        <v/>
      </c>
      <c r="BV24" s="12" t="s">
        <v>73</v>
      </c>
      <c r="BW24" s="61" t="str">
        <f t="shared" si="17"/>
        <v>2.5</v>
      </c>
      <c r="BY24" s="193"/>
      <c r="BZ24" s="1105" t="s">
        <v>148</v>
      </c>
      <c r="CA24" s="1106"/>
      <c r="CB24" s="1107" t="s">
        <v>591</v>
      </c>
      <c r="CC24" s="1107"/>
      <c r="CD24" s="1107"/>
      <c r="CE24" s="371"/>
      <c r="CF24" s="1106" t="s">
        <v>148</v>
      </c>
      <c r="CG24" s="1106"/>
      <c r="CH24" s="1107" t="s">
        <v>591</v>
      </c>
      <c r="CI24" s="1107"/>
      <c r="CJ24" s="1107"/>
      <c r="CK24" s="371"/>
      <c r="CL24" s="333"/>
      <c r="CM24" s="333"/>
      <c r="CN24" s="993" cm="1">
        <f t="array" ref="CN24">IF(BX1,"",PIC_Roofs2)</f>
        <v>0</v>
      </c>
      <c r="CO24" s="993"/>
      <c r="CP24" s="993"/>
      <c r="CQ24" s="993"/>
      <c r="CR24" s="333"/>
      <c r="CS24" s="334"/>
      <c r="CT24" s="367"/>
      <c r="CU24" s="319"/>
    </row>
    <row r="25" spans="1:99">
      <c r="A25" s="125">
        <v>24</v>
      </c>
      <c r="B25" t="s">
        <v>139</v>
      </c>
      <c r="C25" s="553"/>
      <c r="D25" s="554"/>
      <c r="E25" s="172" t="str">
        <f t="shared" si="3"/>
        <v/>
      </c>
      <c r="F25" s="555" t="str">
        <f t="shared" si="15"/>
        <v/>
      </c>
      <c r="G25" s="172" t="str">
        <f t="shared" si="5"/>
        <v/>
      </c>
      <c r="H25" t="str">
        <f t="shared" si="6"/>
        <v/>
      </c>
      <c r="I25" s="552" t="str" cm="1">
        <f t="array" ref="I25">IF(H25&lt;&gt;"",INDEX($B$2:$B$66,H25+1),"")</f>
        <v/>
      </c>
      <c r="J25" s="554" t="str">
        <f t="shared" si="0"/>
        <v/>
      </c>
      <c r="K25" t="str">
        <f t="shared" si="13"/>
        <v/>
      </c>
      <c r="L25" s="2" t="str">
        <f t="shared" si="8"/>
        <v/>
      </c>
      <c r="M25" t="str">
        <f t="shared" si="9"/>
        <v/>
      </c>
      <c r="N25" s="2" t="str">
        <f t="shared" si="10"/>
        <v/>
      </c>
      <c r="O25" s="172" t="str">
        <f t="shared" si="1"/>
        <v/>
      </c>
      <c r="P25" s="177" t="str">
        <f t="shared" si="11"/>
        <v/>
      </c>
      <c r="Q25" s="172" t="str">
        <f t="shared" si="2"/>
        <v/>
      </c>
      <c r="R25" s="553" t="str">
        <f t="shared" si="12"/>
        <v/>
      </c>
      <c r="S25" s="553" t="str">
        <f t="shared" si="12"/>
        <v/>
      </c>
      <c r="U25" s="658">
        <v>-5.259201892798775E-4</v>
      </c>
      <c r="V25" s="658">
        <v>-5.514527045428113E-5</v>
      </c>
      <c r="W25" s="658">
        <v>3.6589545327823518E-5</v>
      </c>
      <c r="X25" s="658">
        <v>8.4995287938472124E-17</v>
      </c>
      <c r="Y25" s="658">
        <v>-2.4459014149778562E-2</v>
      </c>
      <c r="Z25" s="658">
        <v>-1.2548612654489422E-2</v>
      </c>
      <c r="AA25" s="658">
        <v>-7.6419657892312582E-3</v>
      </c>
      <c r="AB25" s="658">
        <v>-5.1336070613685007E-3</v>
      </c>
      <c r="AC25" s="658">
        <v>-1.3586972018534279E-3</v>
      </c>
      <c r="AD25" s="8"/>
      <c r="AE25" s="62" cm="1">
        <f t="array" ref="AE25">INDEX(U25:AC25,1,$AU$19)</f>
        <v>-5.259201892798775E-4</v>
      </c>
      <c r="AF25" s="18"/>
      <c r="AH25" s="18"/>
      <c r="AI25" s="18"/>
      <c r="AJ25" s="18"/>
      <c r="AL25" s="12">
        <v>4</v>
      </c>
      <c r="AM25" s="43" t="s">
        <v>77</v>
      </c>
      <c r="AN25" s="34">
        <v>240</v>
      </c>
      <c r="AO25" s="12">
        <v>4</v>
      </c>
      <c r="AP25" s="12">
        <f>AN24</f>
        <v>190</v>
      </c>
      <c r="AQ25" s="12" cm="1">
        <f t="array" ref="AQ25">INDEX(U14:AC14,1,$AU$19)</f>
        <v>900</v>
      </c>
      <c r="AR25" s="12">
        <v>4</v>
      </c>
      <c r="AS25" s="12">
        <f>AQ24</f>
        <v>600</v>
      </c>
      <c r="AT25" s="9"/>
      <c r="AU25" s="9"/>
      <c r="AV25" s="9"/>
      <c r="AW25" s="9"/>
      <c r="AX25" s="12">
        <v>4</v>
      </c>
      <c r="AY25" s="43" t="s">
        <v>78</v>
      </c>
      <c r="BA25" s="12">
        <v>4</v>
      </c>
      <c r="BB25" s="43" t="s">
        <v>609</v>
      </c>
      <c r="BC25" s="10">
        <v>93</v>
      </c>
      <c r="BD25" s="59">
        <v>4</v>
      </c>
      <c r="BE25" s="7" t="str">
        <f t="shared" si="18"/>
        <v>---------</v>
      </c>
      <c r="BF25" s="277">
        <v>24.8</v>
      </c>
      <c r="BG25" s="12" t="s">
        <v>80</v>
      </c>
      <c r="BH25" s="7" t="str">
        <f t="shared" si="19"/>
        <v>---------</v>
      </c>
      <c r="BI25" s="273">
        <v>2.98</v>
      </c>
      <c r="BJ25" s="59">
        <v>4</v>
      </c>
      <c r="BK25" s="168" t="str">
        <f t="shared" si="20"/>
        <v>---------</v>
      </c>
      <c r="BL25" s="182">
        <v>6.4799999999999996E-2</v>
      </c>
      <c r="BM25" s="185">
        <v>4</v>
      </c>
      <c r="BN25" s="182">
        <f t="shared" si="21"/>
        <v>6.4799999999999996E-2</v>
      </c>
      <c r="BO25" s="265" cm="1">
        <f t="array" ref="BO25">INDEX(AF87:AI87,$AQ$20)</f>
        <v>7.690697659515922</v>
      </c>
      <c r="BP25" s="13">
        <f t="shared" si="22"/>
        <v>2.5387060303251472</v>
      </c>
      <c r="BQ25" s="12" t="s">
        <v>610</v>
      </c>
      <c r="BR25" s="20" t="str">
        <f t="shared" si="23"/>
        <v/>
      </c>
      <c r="BS25" s="12" t="s">
        <v>80</v>
      </c>
      <c r="BT25" s="61" t="str">
        <f t="shared" si="24"/>
        <v>2.5</v>
      </c>
      <c r="BU25" s="20" t="str">
        <f t="shared" si="16"/>
        <v/>
      </c>
      <c r="BV25" s="12" t="s">
        <v>80</v>
      </c>
      <c r="BW25" s="61" t="str">
        <f t="shared" si="17"/>
        <v>2.5</v>
      </c>
      <c r="BY25" s="193"/>
      <c r="BZ25" s="1000"/>
      <c r="CA25" s="1001"/>
      <c r="CB25" s="1002"/>
      <c r="CC25" s="1002"/>
      <c r="CD25" s="1002"/>
      <c r="CE25" s="372"/>
      <c r="CF25" s="1001"/>
      <c r="CG25" s="1001"/>
      <c r="CH25" s="1002"/>
      <c r="CI25" s="1002"/>
      <c r="CJ25" s="1002"/>
      <c r="CK25" s="372"/>
      <c r="CL25" s="333"/>
      <c r="CM25" s="333"/>
      <c r="CN25" s="993"/>
      <c r="CO25" s="993"/>
      <c r="CP25" s="993"/>
      <c r="CQ25" s="993"/>
      <c r="CR25" s="333"/>
      <c r="CS25" s="334"/>
      <c r="CT25" s="367"/>
      <c r="CU25" s="319"/>
    </row>
    <row r="26" spans="1:99">
      <c r="A26" s="125">
        <v>25</v>
      </c>
      <c r="B26" t="s">
        <v>144</v>
      </c>
      <c r="C26" s="553"/>
      <c r="D26" s="554"/>
      <c r="E26" s="172" t="str">
        <f t="shared" si="3"/>
        <v/>
      </c>
      <c r="F26" s="555" t="str">
        <f t="shared" si="15"/>
        <v/>
      </c>
      <c r="G26" s="172" t="str">
        <f t="shared" si="5"/>
        <v/>
      </c>
      <c r="H26" t="str">
        <f t="shared" si="6"/>
        <v/>
      </c>
      <c r="I26" s="552" t="str" cm="1">
        <f t="array" ref="I26">IF(H26&lt;&gt;"",INDEX($B$2:$B$66,H26+1),"")</f>
        <v/>
      </c>
      <c r="J26" s="554" t="str">
        <f t="shared" si="0"/>
        <v/>
      </c>
      <c r="K26" t="str">
        <f t="shared" si="13"/>
        <v/>
      </c>
      <c r="L26" s="2" t="str">
        <f t="shared" si="8"/>
        <v/>
      </c>
      <c r="M26" t="str">
        <f t="shared" si="9"/>
        <v/>
      </c>
      <c r="N26" s="2" t="str">
        <f t="shared" si="10"/>
        <v/>
      </c>
      <c r="O26" s="172" t="str">
        <f t="shared" si="1"/>
        <v/>
      </c>
      <c r="P26" s="177" t="str">
        <f t="shared" si="11"/>
        <v/>
      </c>
      <c r="Q26" s="172" t="str">
        <f t="shared" si="2"/>
        <v/>
      </c>
      <c r="R26" s="553" t="str">
        <f t="shared" si="12"/>
        <v/>
      </c>
      <c r="S26" s="553" t="str">
        <f t="shared" si="12"/>
        <v/>
      </c>
      <c r="U26" s="658">
        <v>0.96497941541363375</v>
      </c>
      <c r="V26" s="658">
        <v>0.96231632539593237</v>
      </c>
      <c r="W26" s="658">
        <v>0.96186909091745343</v>
      </c>
      <c r="X26" s="658">
        <v>0.96236559139784839</v>
      </c>
      <c r="Y26" s="658">
        <v>1.1232002946393735</v>
      </c>
      <c r="Z26" s="658">
        <v>1.0599501933064153</v>
      </c>
      <c r="AA26" s="658">
        <v>1.0300113105167799</v>
      </c>
      <c r="AB26" s="658">
        <v>1.0127674153867665</v>
      </c>
      <c r="AC26" s="658">
        <v>0.95141730921650292</v>
      </c>
      <c r="AD26" s="8"/>
      <c r="AE26" s="62" cm="1">
        <f t="array" ref="AE26">INDEX(U26:AC26,1,$AU$19)</f>
        <v>0.96497941541363375</v>
      </c>
      <c r="AF26" s="18"/>
      <c r="AH26" s="18"/>
      <c r="AI26" s="18"/>
      <c r="AJ26" s="18"/>
      <c r="AL26" s="12">
        <v>5</v>
      </c>
      <c r="AM26" s="43" t="s">
        <v>84</v>
      </c>
      <c r="AN26" s="34">
        <v>290</v>
      </c>
      <c r="AO26" s="12">
        <v>5</v>
      </c>
      <c r="AP26" s="12">
        <f>AN23</f>
        <v>140</v>
      </c>
      <c r="AQ26" s="12" cm="1">
        <f t="array" ref="AQ26">INDEX(U15:AC15,1,$AU$19)</f>
        <v>1200</v>
      </c>
      <c r="AR26" s="12">
        <v>5</v>
      </c>
      <c r="AS26" s="12">
        <f>AQ23</f>
        <v>400</v>
      </c>
      <c r="AT26" s="8"/>
      <c r="AU26" s="8"/>
      <c r="AV26" s="8"/>
      <c r="AW26" s="8"/>
      <c r="AX26" s="8"/>
      <c r="AY26" s="8"/>
      <c r="AZ26" s="8"/>
      <c r="BA26" s="12">
        <v>5</v>
      </c>
      <c r="BB26" s="43" t="s">
        <v>611</v>
      </c>
      <c r="BC26" s="10">
        <v>92</v>
      </c>
      <c r="BD26" s="59">
        <v>5</v>
      </c>
      <c r="BE26" s="7" t="str">
        <f t="shared" si="18"/>
        <v>---------</v>
      </c>
      <c r="BF26" s="277">
        <v>24.7</v>
      </c>
      <c r="BG26" s="12" t="s">
        <v>86</v>
      </c>
      <c r="BH26" s="7" t="str">
        <f t="shared" si="19"/>
        <v>---------</v>
      </c>
      <c r="BI26" s="273">
        <v>2.97</v>
      </c>
      <c r="BJ26" s="59">
        <v>5</v>
      </c>
      <c r="BK26" s="168" t="str">
        <f t="shared" si="20"/>
        <v>---------</v>
      </c>
      <c r="BL26" s="182">
        <v>6.4699999999999994E-2</v>
      </c>
      <c r="BM26" s="185">
        <v>5</v>
      </c>
      <c r="BN26" s="182">
        <f t="shared" si="21"/>
        <v>6.4699999999999994E-2</v>
      </c>
      <c r="BO26" s="265" cm="1">
        <f t="array" ref="BO26">INDEX(AF88:AI88,$AQ$20)</f>
        <v>7.6429403629372379</v>
      </c>
      <c r="BP26" s="13">
        <f t="shared" si="22"/>
        <v>2.5387060303251472</v>
      </c>
      <c r="BQ26" s="12" t="s">
        <v>612</v>
      </c>
      <c r="BR26" s="20" t="str">
        <f t="shared" si="23"/>
        <v/>
      </c>
      <c r="BS26" s="12" t="s">
        <v>86</v>
      </c>
      <c r="BT26" s="61" t="str">
        <f t="shared" si="24"/>
        <v>2.5</v>
      </c>
      <c r="BU26" s="20" t="str">
        <f t="shared" si="16"/>
        <v/>
      </c>
      <c r="BV26" s="12" t="s">
        <v>86</v>
      </c>
      <c r="BW26" s="61" t="str">
        <f t="shared" si="17"/>
        <v>2.5</v>
      </c>
      <c r="BY26" s="193"/>
      <c r="BZ26" s="373" t="s">
        <v>102</v>
      </c>
      <c r="CA26" s="344" t="s">
        <v>158</v>
      </c>
      <c r="CB26" s="346">
        <f>$AQ$23</f>
        <v>400</v>
      </c>
      <c r="CC26" s="346">
        <f>$AQ$24</f>
        <v>600</v>
      </c>
      <c r="CD26" s="346">
        <f>$AQ$25</f>
        <v>900</v>
      </c>
      <c r="CE26" s="347">
        <f>IF($AZ$20,$AQ$26,"")</f>
        <v>1200</v>
      </c>
      <c r="CF26" s="669" t="s">
        <v>102</v>
      </c>
      <c r="CG26" s="344" t="s">
        <v>158</v>
      </c>
      <c r="CH26" s="374">
        <f>$AQ$23</f>
        <v>400</v>
      </c>
      <c r="CI26" s="346">
        <f>$AQ$24</f>
        <v>600</v>
      </c>
      <c r="CJ26" s="346">
        <f>$AQ$25</f>
        <v>900</v>
      </c>
      <c r="CK26" s="347">
        <f>IF($AZ$20,$AQ$26,"")</f>
        <v>1200</v>
      </c>
      <c r="CL26" s="333"/>
      <c r="CM26" s="333"/>
      <c r="CN26" s="993"/>
      <c r="CO26" s="993"/>
      <c r="CP26" s="993"/>
      <c r="CQ26" s="993"/>
      <c r="CR26" s="333"/>
      <c r="CS26" s="333"/>
      <c r="CT26" s="336"/>
    </row>
    <row r="27" spans="1:99" ht="16.5" thickBot="1">
      <c r="A27" s="125">
        <v>26</v>
      </c>
      <c r="B27" t="s">
        <v>150</v>
      </c>
      <c r="C27" s="553"/>
      <c r="D27" s="554"/>
      <c r="E27" s="172" t="str">
        <f t="shared" si="3"/>
        <v/>
      </c>
      <c r="F27" s="555" t="str">
        <f t="shared" si="15"/>
        <v/>
      </c>
      <c r="G27" s="172" t="str">
        <f t="shared" si="5"/>
        <v/>
      </c>
      <c r="H27" t="str">
        <f t="shared" si="6"/>
        <v/>
      </c>
      <c r="I27" s="552" t="str" cm="1">
        <f t="array" ref="I27">IF(H27&lt;&gt;"",INDEX($B$2:$B$66,H27+1),"")</f>
        <v/>
      </c>
      <c r="J27" s="554" t="str">
        <f t="shared" si="0"/>
        <v/>
      </c>
      <c r="K27" t="str">
        <f t="shared" si="13"/>
        <v/>
      </c>
      <c r="L27" s="2" t="str">
        <f t="shared" si="8"/>
        <v/>
      </c>
      <c r="M27" t="str">
        <f t="shared" si="9"/>
        <v/>
      </c>
      <c r="N27" s="2" t="str">
        <f t="shared" si="10"/>
        <v/>
      </c>
      <c r="O27" s="172" t="str">
        <f t="shared" si="1"/>
        <v/>
      </c>
      <c r="P27" s="177" t="str">
        <f>IF(J27&lt;&gt;"",RIGHT(P26,LEN(P26)-J26),"")</f>
        <v/>
      </c>
      <c r="Q27" s="172" t="str">
        <f t="shared" si="2"/>
        <v/>
      </c>
      <c r="R27" s="553" t="str">
        <f t="shared" si="12"/>
        <v/>
      </c>
      <c r="S27" s="553" t="str">
        <f t="shared" si="12"/>
        <v/>
      </c>
      <c r="U27" s="138">
        <v>8.4339268204122728E-2</v>
      </c>
      <c r="V27" s="138">
        <v>8.7909884379008055E-2</v>
      </c>
      <c r="W27" s="138">
        <v>8.8220878978872416E-2</v>
      </c>
      <c r="X27" s="138">
        <v>9.0322580645163297E-2</v>
      </c>
      <c r="Y27" s="138">
        <v>-0.2292244974662927</v>
      </c>
      <c r="Z27" s="138">
        <v>-0.14851759790267954</v>
      </c>
      <c r="AA27" s="138">
        <v>-0.10615173209256384</v>
      </c>
      <c r="AB27" s="138">
        <v>-8.0149516402615251E-2</v>
      </c>
      <c r="AC27" s="138">
        <v>0.24544139243530458</v>
      </c>
      <c r="AD27" s="8"/>
      <c r="AE27" s="139" cm="1">
        <f t="array" ref="AE27">INDEX(U27:AC27,1,$AU$19)</f>
        <v>8.4339268204122728E-2</v>
      </c>
      <c r="AF27" s="18"/>
      <c r="AH27" s="18"/>
      <c r="AI27" s="18"/>
      <c r="AL27" s="12">
        <v>6</v>
      </c>
      <c r="AM27" s="43" t="s">
        <v>90</v>
      </c>
      <c r="AN27" s="16"/>
      <c r="AO27" s="16"/>
      <c r="AP27" s="16"/>
      <c r="AQ27" s="16"/>
      <c r="AR27" s="16"/>
      <c r="AS27" s="16"/>
      <c r="BC27" s="10">
        <v>91</v>
      </c>
      <c r="BD27" s="59">
        <v>6</v>
      </c>
      <c r="BE27" s="7" t="str">
        <f t="shared" si="18"/>
        <v>---------</v>
      </c>
      <c r="BF27" s="277">
        <v>24.6</v>
      </c>
      <c r="BG27" s="12" t="s">
        <v>93</v>
      </c>
      <c r="BH27" s="7" t="str">
        <f t="shared" si="19"/>
        <v>---------</v>
      </c>
      <c r="BI27" s="273">
        <v>2.96</v>
      </c>
      <c r="BJ27" s="59">
        <v>6</v>
      </c>
      <c r="BK27" s="168" t="str">
        <f t="shared" si="20"/>
        <v>---------</v>
      </c>
      <c r="BL27" s="182">
        <v>6.4600000000000005E-2</v>
      </c>
      <c r="BM27" s="185">
        <v>6</v>
      </c>
      <c r="BN27" s="182">
        <f t="shared" si="21"/>
        <v>6.4600000000000005E-2</v>
      </c>
      <c r="BO27" s="265" cm="1">
        <f t="array" ref="BO27">INDEX(AF89:AI89,$AQ$20)</f>
        <v>7.5945492349358172</v>
      </c>
      <c r="BP27" s="13">
        <f t="shared" si="22"/>
        <v>2.5387060303251472</v>
      </c>
      <c r="BQ27" s="12" t="s">
        <v>613</v>
      </c>
      <c r="BR27" s="20" t="str">
        <f t="shared" si="23"/>
        <v/>
      </c>
      <c r="BS27" s="12" t="s">
        <v>93</v>
      </c>
      <c r="BT27" s="61" t="str">
        <f t="shared" si="24"/>
        <v>2.5</v>
      </c>
      <c r="BU27" s="20" t="str">
        <f t="shared" si="16"/>
        <v/>
      </c>
      <c r="BV27" s="12" t="s">
        <v>93</v>
      </c>
      <c r="BW27" s="61" t="str">
        <f t="shared" si="17"/>
        <v>2.5</v>
      </c>
      <c r="BY27" s="193"/>
      <c r="BZ27" s="348" t="str">
        <f t="shared" ref="BZ27:BZ67" si="25">IF($BX$1,"",BR63)</f>
        <v/>
      </c>
      <c r="CA27" s="349" t="str">
        <f t="shared" ref="CA27:CA67" si="26">IF($BX$1,"",IF(BR63&lt;&gt;"",VALUE(BT63),""))</f>
        <v/>
      </c>
      <c r="CB27" s="350" t="str">
        <f t="shared" ref="CB27:CB67" si="27">IF($BZ27&lt;&gt;"",AF125,"")</f>
        <v/>
      </c>
      <c r="CC27" s="350" t="str">
        <f t="shared" ref="CC27:CC67" si="28">IF($BZ27&lt;&gt;"",AG125,"")</f>
        <v/>
      </c>
      <c r="CD27" s="350" t="str">
        <f t="shared" ref="CD27:CD67" si="29">IF($BZ27&lt;&gt;"",AH125,"")</f>
        <v/>
      </c>
      <c r="CE27" s="351" t="str">
        <f t="shared" ref="CE27:CE67" si="30">IF(($BZ27&lt;&gt;"")*AND($AZ$20),AI125,"")</f>
        <v/>
      </c>
      <c r="CF27" s="670" t="str">
        <f t="shared" ref="CF27:CF67" si="31">IF($BX$1,"",BR23)</f>
        <v/>
      </c>
      <c r="CG27" s="349" t="str">
        <f t="shared" ref="CG27:CG67" si="32">IF($BX$1,"",IF(BR23&lt;&gt;"",VALUE(BT23),""))</f>
        <v/>
      </c>
      <c r="CH27" s="350" t="str">
        <f t="shared" ref="CH27:CH67" si="33">IF($CF27&lt;&gt;"",AF85,"")</f>
        <v/>
      </c>
      <c r="CI27" s="350" t="str">
        <f t="shared" ref="CI27:CI67" si="34">IF($CF27&lt;&gt;"",AG85,"")</f>
        <v/>
      </c>
      <c r="CJ27" s="350" t="str">
        <f t="shared" ref="CJ27:CJ67" si="35">IF($CF27&lt;&gt;"",AH85,"")</f>
        <v/>
      </c>
      <c r="CK27" s="351" t="str">
        <f t="shared" ref="CK27:CK67" si="36">IF(($CF27&lt;&gt;"")*AND($AZ$20),AI85,"")</f>
        <v/>
      </c>
      <c r="CL27" s="334"/>
      <c r="CM27" s="333"/>
      <c r="CN27" s="993"/>
      <c r="CO27" s="993"/>
      <c r="CP27" s="993"/>
      <c r="CQ27" s="993"/>
      <c r="CR27" s="333"/>
      <c r="CS27" s="333"/>
      <c r="CT27" s="336"/>
    </row>
    <row r="28" spans="1:99">
      <c r="A28" s="125">
        <v>27</v>
      </c>
      <c r="B28" t="s">
        <v>154</v>
      </c>
      <c r="C28" s="556"/>
      <c r="D28" s="556"/>
      <c r="E28" s="557"/>
      <c r="F28" s="557"/>
      <c r="G28" s="557"/>
      <c r="H28" s="557"/>
      <c r="I28" s="557"/>
      <c r="J28" s="556"/>
      <c r="K28" s="557"/>
      <c r="L28" s="556"/>
      <c r="M28" s="557"/>
      <c r="N28" s="556"/>
      <c r="O28" s="557"/>
      <c r="P28" s="557"/>
      <c r="Q28" s="557"/>
      <c r="R28" s="556"/>
      <c r="S28" s="556"/>
      <c r="T28" s="7" t="s">
        <v>219</v>
      </c>
      <c r="U28" s="658">
        <v>-8.0316039570496496E-3</v>
      </c>
      <c r="V28" s="658">
        <v>-3.1650831854707737E-3</v>
      </c>
      <c r="W28" s="658">
        <v>-1.7549664498435359E-3</v>
      </c>
      <c r="X28" s="658">
        <v>-1.5222669599568167E-3</v>
      </c>
      <c r="Y28" s="658">
        <v>-0.11784074647915824</v>
      </c>
      <c r="Z28" s="658">
        <v>-5.4454379099612732E-2</v>
      </c>
      <c r="AA28" s="658">
        <v>-3.0360537049231195E-2</v>
      </c>
      <c r="AB28" s="658">
        <v>-1.9082587655226642E-2</v>
      </c>
      <c r="AC28" s="658">
        <v>-1.0711466382535917E-2</v>
      </c>
      <c r="AD28" s="8"/>
      <c r="AE28" s="62" cm="1">
        <f t="array" ref="AE28">INDEX(U28:AC28,1,$AU$19)</f>
        <v>-8.0316039570496496E-3</v>
      </c>
      <c r="AF28" s="18"/>
      <c r="AH28" s="18"/>
      <c r="AI28" s="18"/>
      <c r="AJ28" s="18"/>
      <c r="AL28" s="12"/>
      <c r="AN28" s="12"/>
      <c r="AO28" s="12"/>
      <c r="AP28" s="12"/>
      <c r="AQ28" s="12"/>
      <c r="AR28" s="12"/>
      <c r="AS28" s="12"/>
      <c r="BC28" s="10">
        <v>90</v>
      </c>
      <c r="BD28" s="59">
        <v>7</v>
      </c>
      <c r="BE28" s="7" t="str">
        <f t="shared" si="18"/>
        <v>---------</v>
      </c>
      <c r="BF28" s="277">
        <v>24.5</v>
      </c>
      <c r="BG28" s="12" t="s">
        <v>99</v>
      </c>
      <c r="BH28" s="7" t="str">
        <f t="shared" si="19"/>
        <v>---------</v>
      </c>
      <c r="BI28" s="273">
        <v>2.95</v>
      </c>
      <c r="BJ28" s="59">
        <v>7</v>
      </c>
      <c r="BK28" s="168" t="str">
        <f t="shared" si="20"/>
        <v>---------</v>
      </c>
      <c r="BL28" s="182">
        <v>6.4500000000000002E-2</v>
      </c>
      <c r="BM28" s="185">
        <v>7</v>
      </c>
      <c r="BN28" s="182">
        <f t="shared" si="21"/>
        <v>6.4500000000000002E-2</v>
      </c>
      <c r="BO28" s="265" cm="1">
        <f t="array" ref="BO28">INDEX(AF90:AI90,$AQ$20)</f>
        <v>7.5455242755116583</v>
      </c>
      <c r="BP28" s="13">
        <f t="shared" si="22"/>
        <v>2.5387060303251472</v>
      </c>
      <c r="BQ28" s="12" t="s">
        <v>614</v>
      </c>
      <c r="BR28" s="20" t="str">
        <f t="shared" si="23"/>
        <v/>
      </c>
      <c r="BS28" s="12" t="s">
        <v>99</v>
      </c>
      <c r="BT28" s="61" t="str">
        <f t="shared" si="24"/>
        <v>2.5</v>
      </c>
      <c r="BU28" s="20" t="str">
        <f t="shared" si="16"/>
        <v/>
      </c>
      <c r="BV28" s="12" t="s">
        <v>99</v>
      </c>
      <c r="BW28" s="61" t="str">
        <f t="shared" si="17"/>
        <v>2.5</v>
      </c>
      <c r="BY28" s="193"/>
      <c r="BZ28" s="348" t="str">
        <f t="shared" si="25"/>
        <v/>
      </c>
      <c r="CA28" s="349" t="str">
        <f t="shared" si="26"/>
        <v/>
      </c>
      <c r="CB28" s="350" t="str">
        <f t="shared" si="27"/>
        <v/>
      </c>
      <c r="CC28" s="350" t="str">
        <f t="shared" si="28"/>
        <v/>
      </c>
      <c r="CD28" s="350" t="str">
        <f t="shared" si="29"/>
        <v/>
      </c>
      <c r="CE28" s="351" t="str">
        <f t="shared" si="30"/>
        <v/>
      </c>
      <c r="CF28" s="670" t="str">
        <f t="shared" si="31"/>
        <v/>
      </c>
      <c r="CG28" s="349" t="str">
        <f t="shared" si="32"/>
        <v/>
      </c>
      <c r="CH28" s="350" t="str">
        <f t="shared" si="33"/>
        <v/>
      </c>
      <c r="CI28" s="350" t="str">
        <f t="shared" si="34"/>
        <v/>
      </c>
      <c r="CJ28" s="350" t="str">
        <f t="shared" si="35"/>
        <v/>
      </c>
      <c r="CK28" s="351" t="str">
        <f t="shared" si="36"/>
        <v/>
      </c>
      <c r="CL28" s="333"/>
      <c r="CM28" s="333"/>
      <c r="CN28" s="993"/>
      <c r="CO28" s="993"/>
      <c r="CP28" s="993"/>
      <c r="CQ28" s="993"/>
      <c r="CR28" s="333"/>
      <c r="CS28" s="333"/>
      <c r="CT28" s="336"/>
    </row>
    <row r="29" spans="1:99">
      <c r="A29" s="125">
        <v>28</v>
      </c>
      <c r="B29" t="s">
        <v>159</v>
      </c>
      <c r="U29" s="658">
        <v>0.92902089609117666</v>
      </c>
      <c r="V29" s="658">
        <v>0.90423211959288907</v>
      </c>
      <c r="W29" s="658">
        <v>0.89635932548575847</v>
      </c>
      <c r="X29" s="658">
        <v>0.89594087515127574</v>
      </c>
      <c r="Y29" s="658">
        <v>1.5263160557924944</v>
      </c>
      <c r="Z29" s="658">
        <v>1.2238680610950623</v>
      </c>
      <c r="AA29" s="658">
        <v>1.0903169861810904</v>
      </c>
      <c r="AB29" s="658">
        <v>1.0203735832424028</v>
      </c>
      <c r="AC29" s="658">
        <v>0.91107156606901474</v>
      </c>
      <c r="AD29" s="8"/>
      <c r="AE29" s="62" cm="1">
        <f t="array" ref="AE29">INDEX(U29:AC29,1,$AU$19)</f>
        <v>0.92902089609117666</v>
      </c>
      <c r="AF29" s="18"/>
      <c r="AI29" s="16"/>
      <c r="AK29" s="18"/>
      <c r="AL29" s="18"/>
      <c r="AM29" s="18"/>
      <c r="AN29" s="18"/>
      <c r="AO29" s="18"/>
      <c r="AP29" s="18"/>
      <c r="AQ29" s="18"/>
      <c r="AR29" s="18"/>
      <c r="AS29" s="18"/>
      <c r="AT29" s="12"/>
      <c r="AU29" s="12"/>
      <c r="AV29" s="12"/>
      <c r="AW29" s="12"/>
      <c r="AX29" s="12"/>
      <c r="AY29" s="12"/>
      <c r="AZ29" s="12"/>
      <c r="BA29" s="12"/>
      <c r="BB29" s="12"/>
      <c r="BC29" s="10">
        <v>89</v>
      </c>
      <c r="BD29" s="59">
        <v>8</v>
      </c>
      <c r="BE29" s="7" t="str">
        <f t="shared" si="18"/>
        <v>---------</v>
      </c>
      <c r="BF29" s="277">
        <v>24.4</v>
      </c>
      <c r="BG29" s="12" t="s">
        <v>106</v>
      </c>
      <c r="BH29" s="7" t="str">
        <f t="shared" si="19"/>
        <v>---------</v>
      </c>
      <c r="BI29" s="273">
        <v>2.94</v>
      </c>
      <c r="BJ29" s="59">
        <v>8</v>
      </c>
      <c r="BK29" s="168" t="str">
        <f t="shared" si="20"/>
        <v>---------</v>
      </c>
      <c r="BL29" s="182">
        <v>6.4399999999999999E-2</v>
      </c>
      <c r="BM29" s="185">
        <v>8</v>
      </c>
      <c r="BN29" s="182">
        <f t="shared" si="21"/>
        <v>6.4399999999999999E-2</v>
      </c>
      <c r="BO29" s="265" cm="1">
        <f t="array" ref="BO29">INDEX(AF91:AI91,$AQ$20)</f>
        <v>7.4958654846647734</v>
      </c>
      <c r="BP29" s="13">
        <f t="shared" si="22"/>
        <v>2.5387060303251472</v>
      </c>
      <c r="BQ29" s="12" t="s">
        <v>615</v>
      </c>
      <c r="BR29" s="20" t="str">
        <f t="shared" si="23"/>
        <v/>
      </c>
      <c r="BS29" s="12" t="s">
        <v>106</v>
      </c>
      <c r="BT29" s="61" t="str">
        <f t="shared" si="24"/>
        <v>2.5</v>
      </c>
      <c r="BU29" s="20" t="str">
        <f t="shared" si="16"/>
        <v/>
      </c>
      <c r="BV29" s="12" t="s">
        <v>106</v>
      </c>
      <c r="BW29" s="61" t="str">
        <f t="shared" si="17"/>
        <v>2.5</v>
      </c>
      <c r="BY29" s="193"/>
      <c r="BZ29" s="348" t="str">
        <f t="shared" si="25"/>
        <v/>
      </c>
      <c r="CA29" s="349" t="str">
        <f t="shared" si="26"/>
        <v/>
      </c>
      <c r="CB29" s="350" t="str">
        <f t="shared" si="27"/>
        <v/>
      </c>
      <c r="CC29" s="350" t="str">
        <f t="shared" si="28"/>
        <v/>
      </c>
      <c r="CD29" s="350" t="str">
        <f t="shared" si="29"/>
        <v/>
      </c>
      <c r="CE29" s="351" t="str">
        <f t="shared" si="30"/>
        <v/>
      </c>
      <c r="CF29" s="670" t="str">
        <f t="shared" si="31"/>
        <v/>
      </c>
      <c r="CG29" s="349" t="str">
        <f t="shared" si="32"/>
        <v/>
      </c>
      <c r="CH29" s="350" t="str">
        <f t="shared" si="33"/>
        <v/>
      </c>
      <c r="CI29" s="350" t="str">
        <f t="shared" si="34"/>
        <v/>
      </c>
      <c r="CJ29" s="350" t="str">
        <f t="shared" si="35"/>
        <v/>
      </c>
      <c r="CK29" s="351" t="str">
        <f t="shared" si="36"/>
        <v/>
      </c>
      <c r="CL29" s="333"/>
      <c r="CM29" s="333"/>
      <c r="CN29" s="993"/>
      <c r="CO29" s="993"/>
      <c r="CP29" s="993"/>
      <c r="CQ29" s="993"/>
      <c r="CR29" s="333"/>
      <c r="CS29" s="333"/>
      <c r="CT29" s="336"/>
    </row>
    <row r="30" spans="1:99">
      <c r="A30" s="125">
        <v>29</v>
      </c>
      <c r="B30" t="s">
        <v>163</v>
      </c>
      <c r="U30" s="136">
        <v>5.4506813963514963E-2</v>
      </c>
      <c r="V30" s="136">
        <v>8.5254477344578222E-2</v>
      </c>
      <c r="W30" s="136">
        <v>9.6072617878618122E-2</v>
      </c>
      <c r="X30" s="136">
        <v>9.6795871612004938E-2</v>
      </c>
      <c r="Y30" s="136">
        <v>-0.75618418814943866</v>
      </c>
      <c r="Z30" s="136">
        <v>-0.40304837339092747</v>
      </c>
      <c r="AA30" s="136">
        <v>-0.22478622666765791</v>
      </c>
      <c r="AB30" s="136">
        <v>-0.1227201788613671</v>
      </c>
      <c r="AC30" s="136">
        <v>0.21594706164752517</v>
      </c>
      <c r="AD30" s="8"/>
      <c r="AE30" s="110" cm="1">
        <f t="array" ref="AE30">INDEX(U30:AC30,1,$AU$19)</f>
        <v>5.4506813963514963E-2</v>
      </c>
      <c r="AF30" s="18"/>
      <c r="AJ30" s="8"/>
      <c r="AK30" s="8"/>
      <c r="AL30" s="7" cm="1">
        <f t="array" ref="AL30">INDEX(AL31:AL35,MAX(1,AL21-1))</f>
        <v>0</v>
      </c>
      <c r="AM30" s="8" cm="1">
        <f t="array" ref="AM30">INDEX(AM31:AM35,MAX(1,AL21-1))</f>
        <v>4.4999999999999998E-2</v>
      </c>
      <c r="AN30" s="12"/>
      <c r="AO30" s="12"/>
      <c r="AP30" s="12"/>
      <c r="AQ30" s="12"/>
      <c r="AR30" s="12"/>
      <c r="AS30" s="12"/>
      <c r="BC30" s="10">
        <v>88</v>
      </c>
      <c r="BD30" s="59">
        <v>9</v>
      </c>
      <c r="BE30" s="7" t="str">
        <f t="shared" si="18"/>
        <v>---------</v>
      </c>
      <c r="BF30" s="277">
        <v>24.3</v>
      </c>
      <c r="BG30" s="12" t="s">
        <v>110</v>
      </c>
      <c r="BH30" s="7" t="str">
        <f t="shared" si="19"/>
        <v>---------</v>
      </c>
      <c r="BI30" s="273">
        <v>2.93</v>
      </c>
      <c r="BJ30" s="59">
        <v>9</v>
      </c>
      <c r="BK30" s="168" t="str">
        <f t="shared" si="20"/>
        <v>---------</v>
      </c>
      <c r="BL30" s="182">
        <v>6.4299999999999996E-2</v>
      </c>
      <c r="BM30" s="185">
        <v>9</v>
      </c>
      <c r="BN30" s="182">
        <f t="shared" si="21"/>
        <v>6.4299999999999996E-2</v>
      </c>
      <c r="BO30" s="265" cm="1">
        <f t="array" ref="BO30">INDEX(AF92:AI92,$AQ$20)</f>
        <v>7.445572862395152</v>
      </c>
      <c r="BP30" s="13">
        <f t="shared" si="22"/>
        <v>2.5387060303251472</v>
      </c>
      <c r="BQ30" s="12" t="s">
        <v>616</v>
      </c>
      <c r="BR30" s="20" t="str">
        <f t="shared" si="23"/>
        <v/>
      </c>
      <c r="BS30" s="12" t="s">
        <v>110</v>
      </c>
      <c r="BT30" s="61" t="str">
        <f t="shared" si="24"/>
        <v>2.5</v>
      </c>
      <c r="BU30" s="20" t="str">
        <f t="shared" si="16"/>
        <v/>
      </c>
      <c r="BV30" s="12" t="s">
        <v>110</v>
      </c>
      <c r="BW30" s="61" t="str">
        <f t="shared" si="17"/>
        <v>2.5</v>
      </c>
      <c r="BY30" s="193"/>
      <c r="BZ30" s="348" t="str">
        <f t="shared" si="25"/>
        <v/>
      </c>
      <c r="CA30" s="349" t="str">
        <f t="shared" si="26"/>
        <v/>
      </c>
      <c r="CB30" s="350" t="str">
        <f t="shared" si="27"/>
        <v/>
      </c>
      <c r="CC30" s="350" t="str">
        <f t="shared" si="28"/>
        <v/>
      </c>
      <c r="CD30" s="350" t="str">
        <f t="shared" si="29"/>
        <v/>
      </c>
      <c r="CE30" s="351" t="str">
        <f t="shared" si="30"/>
        <v/>
      </c>
      <c r="CF30" s="670" t="str">
        <f t="shared" si="31"/>
        <v/>
      </c>
      <c r="CG30" s="349" t="str">
        <f t="shared" si="32"/>
        <v/>
      </c>
      <c r="CH30" s="350" t="str">
        <f t="shared" si="33"/>
        <v/>
      </c>
      <c r="CI30" s="350" t="str">
        <f t="shared" si="34"/>
        <v/>
      </c>
      <c r="CJ30" s="350" t="str">
        <f t="shared" si="35"/>
        <v/>
      </c>
      <c r="CK30" s="351" t="str">
        <f t="shared" si="36"/>
        <v/>
      </c>
      <c r="CL30" s="333"/>
      <c r="CM30" s="333"/>
      <c r="CN30" s="993"/>
      <c r="CO30" s="993"/>
      <c r="CP30" s="993"/>
      <c r="CQ30" s="993"/>
      <c r="CR30" s="333"/>
      <c r="CS30" s="333"/>
      <c r="CT30" s="336"/>
    </row>
    <row r="31" spans="1:99">
      <c r="A31" s="125">
        <v>30</v>
      </c>
      <c r="B31" t="s">
        <v>167</v>
      </c>
      <c r="U31" s="658">
        <v>-4.7269857819398986E-3</v>
      </c>
      <c r="V31" s="658">
        <v>-2.0282273325848451E-3</v>
      </c>
      <c r="W31" s="658">
        <v>-1.0504453627997647E-3</v>
      </c>
      <c r="X31" s="658">
        <v>-1.5222669599568662E-3</v>
      </c>
      <c r="Y31" s="658">
        <v>-7.9584447626094984E-2</v>
      </c>
      <c r="Z31" s="658">
        <v>-3.7163682519854614E-2</v>
      </c>
      <c r="AA31" s="658">
        <v>-2.1019267737850966E-2</v>
      </c>
      <c r="AB31" s="658">
        <v>-1.3485495694064348E-2</v>
      </c>
      <c r="AC31" s="658">
        <v>-8.6611204467951456E-3</v>
      </c>
      <c r="AD31" s="8"/>
      <c r="AE31" s="62" cm="1">
        <f t="array" ref="AE31">INDEX(U31:AC31,1,$AU$19)</f>
        <v>-4.7269857819398986E-3</v>
      </c>
      <c r="AF31" s="18"/>
      <c r="AJ31" s="8"/>
      <c r="AK31" s="8"/>
      <c r="AL31" s="12">
        <v>-4.4999999999999998E-2</v>
      </c>
      <c r="AM31" s="8">
        <f>AL31+0.045</f>
        <v>0</v>
      </c>
      <c r="AN31" s="12"/>
      <c r="AO31" s="12"/>
      <c r="AP31" s="12"/>
      <c r="AQ31" s="12"/>
      <c r="AR31" s="12"/>
      <c r="AS31" s="12"/>
      <c r="BC31" s="10">
        <v>87</v>
      </c>
      <c r="BD31" s="59">
        <v>10</v>
      </c>
      <c r="BE31" s="7" t="str">
        <f t="shared" si="18"/>
        <v>---------</v>
      </c>
      <c r="BF31" s="277">
        <v>24.2</v>
      </c>
      <c r="BG31" s="12" t="s">
        <v>114</v>
      </c>
      <c r="BH31" s="7" t="str">
        <f t="shared" si="19"/>
        <v>---------</v>
      </c>
      <c r="BI31" s="273">
        <v>2.92</v>
      </c>
      <c r="BJ31" s="59">
        <v>10</v>
      </c>
      <c r="BK31" s="168" t="str">
        <f t="shared" si="20"/>
        <v>---------</v>
      </c>
      <c r="BL31" s="182">
        <v>6.4199999999999993E-2</v>
      </c>
      <c r="BM31" s="185">
        <v>10</v>
      </c>
      <c r="BN31" s="182">
        <f t="shared" si="21"/>
        <v>6.4199999999999993E-2</v>
      </c>
      <c r="BO31" s="265" cm="1">
        <f t="array" ref="BO31">INDEX(AF93:AI93,$AQ$20)</f>
        <v>7.3946464087027888</v>
      </c>
      <c r="BP31" s="13">
        <f t="shared" si="22"/>
        <v>2.5387060303251472</v>
      </c>
      <c r="BQ31" s="12" t="s">
        <v>617</v>
      </c>
      <c r="BR31" s="20" t="str">
        <f t="shared" si="23"/>
        <v/>
      </c>
      <c r="BS31" s="12" t="s">
        <v>114</v>
      </c>
      <c r="BT31" s="61" t="str">
        <f t="shared" si="24"/>
        <v>2.5</v>
      </c>
      <c r="BU31" s="20" t="str">
        <f t="shared" si="16"/>
        <v/>
      </c>
      <c r="BV31" s="12" t="s">
        <v>114</v>
      </c>
      <c r="BW31" s="61" t="str">
        <f t="shared" si="17"/>
        <v>2.5</v>
      </c>
      <c r="BY31" s="193"/>
      <c r="BZ31" s="348" t="str">
        <f t="shared" si="25"/>
        <v/>
      </c>
      <c r="CA31" s="349" t="str">
        <f t="shared" si="26"/>
        <v/>
      </c>
      <c r="CB31" s="350" t="str">
        <f t="shared" si="27"/>
        <v/>
      </c>
      <c r="CC31" s="350" t="str">
        <f t="shared" si="28"/>
        <v/>
      </c>
      <c r="CD31" s="350" t="str">
        <f t="shared" si="29"/>
        <v/>
      </c>
      <c r="CE31" s="351" t="str">
        <f t="shared" si="30"/>
        <v/>
      </c>
      <c r="CF31" s="670" t="str">
        <f t="shared" si="31"/>
        <v/>
      </c>
      <c r="CG31" s="349" t="str">
        <f t="shared" si="32"/>
        <v/>
      </c>
      <c r="CH31" s="350" t="str">
        <f t="shared" si="33"/>
        <v/>
      </c>
      <c r="CI31" s="350" t="str">
        <f t="shared" si="34"/>
        <v/>
      </c>
      <c r="CJ31" s="350" t="str">
        <f t="shared" si="35"/>
        <v/>
      </c>
      <c r="CK31" s="351" t="str">
        <f t="shared" si="36"/>
        <v/>
      </c>
      <c r="CL31" s="333"/>
      <c r="CM31" s="333"/>
      <c r="CN31" s="993"/>
      <c r="CO31" s="993"/>
      <c r="CP31" s="993"/>
      <c r="CQ31" s="993"/>
      <c r="CR31" s="333"/>
      <c r="CS31" s="333"/>
      <c r="CT31" s="336"/>
    </row>
    <row r="32" spans="1:99">
      <c r="A32" s="125">
        <v>31</v>
      </c>
      <c r="B32" t="s">
        <v>173</v>
      </c>
      <c r="U32" s="658">
        <v>0.95184078968326724</v>
      </c>
      <c r="V32" s="658">
        <v>0.93914430287881201</v>
      </c>
      <c r="W32" s="658">
        <v>0.93358917108060024</v>
      </c>
      <c r="X32" s="658">
        <v>0.93973649558923245</v>
      </c>
      <c r="Y32" s="658">
        <v>1.3626291914720376</v>
      </c>
      <c r="Z32" s="658">
        <v>1.1607064561532698</v>
      </c>
      <c r="AA32" s="658">
        <v>1.0715550065478723</v>
      </c>
      <c r="AB32" s="658">
        <v>1.0254752030711962</v>
      </c>
      <c r="AC32" s="658">
        <v>0.94842439078240692</v>
      </c>
      <c r="AD32" s="8"/>
      <c r="AE32" s="62" cm="1">
        <f t="array" ref="AE32">INDEX(U32:AC32,1,$AU$19)</f>
        <v>0.95184078968326724</v>
      </c>
      <c r="AF32" s="18"/>
      <c r="AJ32" s="8"/>
      <c r="AK32" s="8"/>
      <c r="AL32" s="12">
        <v>5.0000000000000001E-3</v>
      </c>
      <c r="AM32" s="8">
        <f>AL32+0.045</f>
        <v>4.9999999999999996E-2</v>
      </c>
      <c r="BC32" s="10">
        <v>86</v>
      </c>
      <c r="BD32" s="59">
        <v>11</v>
      </c>
      <c r="BE32" s="7" t="str">
        <f t="shared" si="18"/>
        <v>---------</v>
      </c>
      <c r="BF32" s="277">
        <v>24.1</v>
      </c>
      <c r="BG32" s="12" t="s">
        <v>119</v>
      </c>
      <c r="BH32" s="7" t="str">
        <f t="shared" si="19"/>
        <v>---------</v>
      </c>
      <c r="BI32" s="273">
        <v>2.91</v>
      </c>
      <c r="BJ32" s="59">
        <v>11</v>
      </c>
      <c r="BK32" s="168" t="str">
        <f t="shared" si="20"/>
        <v>---------</v>
      </c>
      <c r="BL32" s="182">
        <v>6.4100000000000004E-2</v>
      </c>
      <c r="BM32" s="185">
        <v>11</v>
      </c>
      <c r="BN32" s="182">
        <f t="shared" si="21"/>
        <v>6.4100000000000004E-2</v>
      </c>
      <c r="BO32" s="265" cm="1">
        <f t="array" ref="BO32">INDEX(AF94:AI94,$AQ$20)</f>
        <v>7.343086123587697</v>
      </c>
      <c r="BP32" s="13">
        <f t="shared" si="22"/>
        <v>2.5387060303251472</v>
      </c>
      <c r="BQ32" s="12" t="s">
        <v>618</v>
      </c>
      <c r="BR32" s="20" t="str">
        <f t="shared" si="23"/>
        <v/>
      </c>
      <c r="BS32" s="12" t="s">
        <v>119</v>
      </c>
      <c r="BT32" s="61" t="str">
        <f t="shared" si="24"/>
        <v>2.5</v>
      </c>
      <c r="BU32" s="20" t="str">
        <f t="shared" si="16"/>
        <v/>
      </c>
      <c r="BV32" s="12" t="s">
        <v>119</v>
      </c>
      <c r="BW32" s="61" t="str">
        <f t="shared" si="17"/>
        <v>2.5</v>
      </c>
      <c r="BY32" s="193"/>
      <c r="BZ32" s="348" t="str">
        <f t="shared" si="25"/>
        <v/>
      </c>
      <c r="CA32" s="349" t="str">
        <f t="shared" si="26"/>
        <v/>
      </c>
      <c r="CB32" s="350" t="str">
        <f t="shared" si="27"/>
        <v/>
      </c>
      <c r="CC32" s="350" t="str">
        <f t="shared" si="28"/>
        <v/>
      </c>
      <c r="CD32" s="350" t="str">
        <f t="shared" si="29"/>
        <v/>
      </c>
      <c r="CE32" s="351" t="str">
        <f t="shared" si="30"/>
        <v/>
      </c>
      <c r="CF32" s="670" t="str">
        <f t="shared" si="31"/>
        <v/>
      </c>
      <c r="CG32" s="349" t="str">
        <f t="shared" si="32"/>
        <v/>
      </c>
      <c r="CH32" s="350" t="str">
        <f t="shared" si="33"/>
        <v/>
      </c>
      <c r="CI32" s="350" t="str">
        <f t="shared" si="34"/>
        <v/>
      </c>
      <c r="CJ32" s="350" t="str">
        <f t="shared" si="35"/>
        <v/>
      </c>
      <c r="CK32" s="351" t="str">
        <f t="shared" si="36"/>
        <v/>
      </c>
      <c r="CL32" s="333"/>
      <c r="CM32" s="333"/>
      <c r="CN32" s="993"/>
      <c r="CO32" s="993"/>
      <c r="CP32" s="993"/>
      <c r="CQ32" s="993"/>
      <c r="CR32" s="333"/>
      <c r="CS32" s="333"/>
      <c r="CT32" s="336"/>
    </row>
    <row r="33" spans="1:98">
      <c r="A33" s="125">
        <v>32</v>
      </c>
      <c r="B33" t="s">
        <v>180</v>
      </c>
      <c r="U33" s="136">
        <v>8.6952814360392552E-2</v>
      </c>
      <c r="V33" s="136">
        <v>0.1012338424800806</v>
      </c>
      <c r="W33" s="136">
        <v>0.10889412943569672</v>
      </c>
      <c r="X33" s="136">
        <v>9.168638256090722E-2</v>
      </c>
      <c r="Y33" s="136">
        <v>-0.49272352042523782</v>
      </c>
      <c r="Z33" s="136">
        <v>-0.25786659732818196</v>
      </c>
      <c r="AA33" s="136">
        <v>-0.13908059730561234</v>
      </c>
      <c r="AB33" s="136">
        <v>-7.2912164682520875E-2</v>
      </c>
      <c r="AC33" s="136">
        <v>0.2118071576511443</v>
      </c>
      <c r="AD33" s="8"/>
      <c r="AE33" s="62" cm="1">
        <f t="array" ref="AE33">INDEX(U33:AC33,1,$AU$19)</f>
        <v>8.6952814360392552E-2</v>
      </c>
      <c r="AF33" s="18"/>
      <c r="AJ33" s="8"/>
      <c r="AK33" s="8"/>
      <c r="AL33" s="18">
        <v>5.5E-2</v>
      </c>
      <c r="AM33" s="8">
        <f>AL33+0.045</f>
        <v>0.1</v>
      </c>
      <c r="BC33" s="10">
        <v>85</v>
      </c>
      <c r="BD33" s="59">
        <v>12</v>
      </c>
      <c r="BE33" s="7" t="str">
        <f t="shared" si="18"/>
        <v>---------</v>
      </c>
      <c r="BF33" s="277">
        <v>24</v>
      </c>
      <c r="BG33" s="12" t="s">
        <v>123</v>
      </c>
      <c r="BH33" s="7" t="str">
        <f t="shared" si="19"/>
        <v>---------</v>
      </c>
      <c r="BI33" s="273">
        <v>2.9</v>
      </c>
      <c r="BJ33" s="59">
        <v>12</v>
      </c>
      <c r="BK33" s="168" t="str">
        <f t="shared" si="20"/>
        <v>---------</v>
      </c>
      <c r="BL33" s="182">
        <v>6.4000000000000001E-2</v>
      </c>
      <c r="BM33" s="185">
        <v>12</v>
      </c>
      <c r="BN33" s="182">
        <f t="shared" si="21"/>
        <v>6.4000000000000001E-2</v>
      </c>
      <c r="BO33" s="265" cm="1">
        <f t="array" ref="BO33">INDEX(AF95:AI95,$AQ$20)</f>
        <v>7.2908920070498713</v>
      </c>
      <c r="BP33" s="13">
        <f t="shared" si="22"/>
        <v>2.5387060303251472</v>
      </c>
      <c r="BQ33" s="12" t="s">
        <v>54</v>
      </c>
      <c r="BR33" s="20" t="str">
        <f t="shared" si="23"/>
        <v/>
      </c>
      <c r="BS33" s="12" t="s">
        <v>123</v>
      </c>
      <c r="BT33" s="61" t="str">
        <f t="shared" si="24"/>
        <v>2.5</v>
      </c>
      <c r="BU33" s="20" t="str">
        <f t="shared" si="16"/>
        <v/>
      </c>
      <c r="BV33" s="12" t="s">
        <v>123</v>
      </c>
      <c r="BW33" s="61" t="str">
        <f t="shared" si="17"/>
        <v>2.5</v>
      </c>
      <c r="BY33" s="193"/>
      <c r="BZ33" s="348" t="str">
        <f t="shared" si="25"/>
        <v/>
      </c>
      <c r="CA33" s="349" t="str">
        <f t="shared" si="26"/>
        <v/>
      </c>
      <c r="CB33" s="350" t="str">
        <f t="shared" si="27"/>
        <v/>
      </c>
      <c r="CC33" s="350" t="str">
        <f t="shared" si="28"/>
        <v/>
      </c>
      <c r="CD33" s="350" t="str">
        <f t="shared" si="29"/>
        <v/>
      </c>
      <c r="CE33" s="351" t="str">
        <f t="shared" si="30"/>
        <v/>
      </c>
      <c r="CF33" s="670" t="str">
        <f t="shared" si="31"/>
        <v/>
      </c>
      <c r="CG33" s="349" t="str">
        <f t="shared" si="32"/>
        <v/>
      </c>
      <c r="CH33" s="350" t="str">
        <f t="shared" si="33"/>
        <v/>
      </c>
      <c r="CI33" s="350" t="str">
        <f t="shared" si="34"/>
        <v/>
      </c>
      <c r="CJ33" s="350" t="str">
        <f t="shared" si="35"/>
        <v/>
      </c>
      <c r="CK33" s="351" t="str">
        <f t="shared" si="36"/>
        <v/>
      </c>
      <c r="CL33" s="333"/>
      <c r="CM33" s="333"/>
      <c r="CN33" s="993"/>
      <c r="CO33" s="993"/>
      <c r="CP33" s="993"/>
      <c r="CQ33" s="993"/>
      <c r="CR33" s="333"/>
      <c r="CS33" s="334"/>
      <c r="CT33" s="367"/>
    </row>
    <row r="34" spans="1:98">
      <c r="A34" s="125">
        <v>33</v>
      </c>
      <c r="B34" t="s">
        <v>186</v>
      </c>
      <c r="U34" s="658">
        <v>-2.1141389119672723E-3</v>
      </c>
      <c r="V34" s="658">
        <v>-6.8494943298469759E-4</v>
      </c>
      <c r="W34" s="658">
        <v>-3.9723146677465686E-4</v>
      </c>
      <c r="X34" s="658">
        <v>-3.8056673998920174E-4</v>
      </c>
      <c r="Y34" s="658">
        <v>-5.3158502943869784E-2</v>
      </c>
      <c r="Z34" s="658">
        <v>-2.4431353788906672E-2</v>
      </c>
      <c r="AA34" s="658">
        <v>-1.3816461125669527E-2</v>
      </c>
      <c r="AB34" s="658">
        <v>-8.8644887797225159E-3</v>
      </c>
      <c r="AC34" s="658">
        <v>-2.0576827293089964E-3</v>
      </c>
      <c r="AD34" s="8"/>
      <c r="AE34" s="62" cm="1">
        <f t="array" ref="AE34">INDEX(U34:AC34,1,$AU$19)</f>
        <v>-2.1141389119672723E-3</v>
      </c>
      <c r="AF34" s="18"/>
      <c r="AJ34" s="8"/>
      <c r="AK34" s="8"/>
      <c r="AL34" s="12">
        <v>0</v>
      </c>
      <c r="AM34" s="8">
        <f>AL34+0.045</f>
        <v>4.4999999999999998E-2</v>
      </c>
      <c r="AN34" s="9"/>
      <c r="AO34" s="9"/>
      <c r="AP34" s="9"/>
      <c r="AQ34" s="9"/>
      <c r="AR34" s="9"/>
      <c r="AS34" s="77"/>
      <c r="AT34" s="77"/>
      <c r="AU34" s="77"/>
      <c r="AV34" s="19">
        <v>0</v>
      </c>
      <c r="AW34" s="18">
        <f>IF(AW35&lt;0.07,0,0.106+0.0377*LN(AW35))</f>
        <v>0</v>
      </c>
      <c r="BC34" s="10">
        <v>84</v>
      </c>
      <c r="BD34" s="59">
        <v>13</v>
      </c>
      <c r="BE34" s="7" t="str">
        <f t="shared" si="18"/>
        <v>---------</v>
      </c>
      <c r="BF34" s="277">
        <v>23.9</v>
      </c>
      <c r="BG34" s="12" t="s">
        <v>127</v>
      </c>
      <c r="BH34" s="7" t="str">
        <f t="shared" si="19"/>
        <v>---------</v>
      </c>
      <c r="BI34" s="273">
        <v>2.89</v>
      </c>
      <c r="BJ34" s="59">
        <v>13</v>
      </c>
      <c r="BK34" s="168" t="str">
        <f t="shared" si="20"/>
        <v>---------</v>
      </c>
      <c r="BL34" s="182">
        <v>6.3899999999999998E-2</v>
      </c>
      <c r="BM34" s="185">
        <v>13</v>
      </c>
      <c r="BN34" s="182">
        <f t="shared" si="21"/>
        <v>6.3899999999999998E-2</v>
      </c>
      <c r="BO34" s="265" cm="1">
        <f t="array" ref="BO34">INDEX(AF96:AI96,$AQ$20)</f>
        <v>7.2380640590893073</v>
      </c>
      <c r="BP34" s="13">
        <f t="shared" si="22"/>
        <v>2.5387060303251472</v>
      </c>
      <c r="BQ34" s="12" t="s">
        <v>64</v>
      </c>
      <c r="BR34" s="20" t="str">
        <f t="shared" si="23"/>
        <v/>
      </c>
      <c r="BS34" s="12" t="s">
        <v>127</v>
      </c>
      <c r="BT34" s="61" t="str">
        <f t="shared" si="24"/>
        <v>2.5</v>
      </c>
      <c r="BU34" s="20" t="str">
        <f t="shared" si="16"/>
        <v/>
      </c>
      <c r="BV34" s="12" t="s">
        <v>127</v>
      </c>
      <c r="BW34" s="61" t="str">
        <f t="shared" si="17"/>
        <v>2.5</v>
      </c>
      <c r="BY34" s="193"/>
      <c r="BZ34" s="348" t="str">
        <f t="shared" si="25"/>
        <v/>
      </c>
      <c r="CA34" s="349" t="str">
        <f t="shared" si="26"/>
        <v/>
      </c>
      <c r="CB34" s="350" t="str">
        <f t="shared" si="27"/>
        <v/>
      </c>
      <c r="CC34" s="350" t="str">
        <f t="shared" si="28"/>
        <v/>
      </c>
      <c r="CD34" s="350" t="str">
        <f t="shared" si="29"/>
        <v/>
      </c>
      <c r="CE34" s="351" t="str">
        <f t="shared" si="30"/>
        <v/>
      </c>
      <c r="CF34" s="670" t="str">
        <f t="shared" si="31"/>
        <v/>
      </c>
      <c r="CG34" s="349" t="str">
        <f t="shared" si="32"/>
        <v/>
      </c>
      <c r="CH34" s="350" t="str">
        <f t="shared" si="33"/>
        <v/>
      </c>
      <c r="CI34" s="350" t="str">
        <f t="shared" si="34"/>
        <v/>
      </c>
      <c r="CJ34" s="350" t="str">
        <f t="shared" si="35"/>
        <v/>
      </c>
      <c r="CK34" s="351" t="str">
        <f t="shared" si="36"/>
        <v/>
      </c>
      <c r="CL34" s="333"/>
      <c r="CM34" s="333"/>
      <c r="CN34" s="993"/>
      <c r="CO34" s="993"/>
      <c r="CP34" s="993"/>
      <c r="CQ34" s="993"/>
      <c r="CR34" s="333"/>
      <c r="CS34" s="334"/>
      <c r="CT34" s="367"/>
    </row>
    <row r="35" spans="1:98">
      <c r="A35" s="125">
        <v>34</v>
      </c>
      <c r="B35" t="s">
        <v>191</v>
      </c>
      <c r="F35" s="53" t="s">
        <v>619</v>
      </c>
      <c r="G35" s="53"/>
      <c r="U35" s="658">
        <v>0.96512234880301417</v>
      </c>
      <c r="V35" s="658">
        <v>0.95801121583757654</v>
      </c>
      <c r="W35" s="658">
        <v>0.9567021822175118</v>
      </c>
      <c r="X35" s="658">
        <v>0.95646697061263619</v>
      </c>
      <c r="Y35" s="658">
        <v>1.2482631609911625</v>
      </c>
      <c r="Z35" s="658">
        <v>1.1103576901791483</v>
      </c>
      <c r="AA35" s="658">
        <v>1.0517944814014499</v>
      </c>
      <c r="AB35" s="658">
        <v>1.0214353435017045</v>
      </c>
      <c r="AC35" s="658">
        <v>0.94685424160418397</v>
      </c>
      <c r="AD35" s="8"/>
      <c r="AE35" s="62" cm="1">
        <f t="array" ref="AE35">INDEX(U35:AC35,1,$AU$19)</f>
        <v>0.96512234880301417</v>
      </c>
      <c r="AF35" s="18"/>
      <c r="AJ35" s="8"/>
      <c r="AK35" s="8"/>
      <c r="AL35" s="12">
        <v>1.4E-2</v>
      </c>
      <c r="AM35" s="8">
        <f>AL35+0.045</f>
        <v>5.8999999999999997E-2</v>
      </c>
      <c r="AS35" s="7" t="s">
        <v>193</v>
      </c>
      <c r="AT35" s="63">
        <f>VALUE(BE20)/1000/0.13</f>
        <v>0</v>
      </c>
      <c r="AU35" s="13">
        <f>VALUE(BH20)</f>
        <v>0</v>
      </c>
      <c r="AV35" s="671">
        <f>IF((AT35+AV34)=0,0,AU35/100/(AT35+AV34))</f>
        <v>0</v>
      </c>
      <c r="AW35" s="671">
        <f>IF((AV36+AV35)=0,0,1/(AV36+AV35)-AV34)</f>
        <v>0</v>
      </c>
      <c r="AX35" s="290">
        <f>AW35+AW34</f>
        <v>0</v>
      </c>
      <c r="BC35" s="10">
        <v>83</v>
      </c>
      <c r="BD35" s="59">
        <v>14</v>
      </c>
      <c r="BE35" s="7" t="str">
        <f t="shared" si="18"/>
        <v>---------</v>
      </c>
      <c r="BF35" s="277">
        <v>23.8</v>
      </c>
      <c r="BG35" s="12" t="s">
        <v>131</v>
      </c>
      <c r="BH35" s="7" t="str">
        <f t="shared" si="19"/>
        <v>---------</v>
      </c>
      <c r="BI35" s="273">
        <v>2.88</v>
      </c>
      <c r="BJ35" s="59">
        <v>14</v>
      </c>
      <c r="BK35" s="168" t="str">
        <f t="shared" si="20"/>
        <v>---------</v>
      </c>
      <c r="BL35" s="182">
        <v>6.3799999999999996E-2</v>
      </c>
      <c r="BM35" s="185">
        <v>14</v>
      </c>
      <c r="BN35" s="182">
        <f t="shared" si="21"/>
        <v>6.3799999999999996E-2</v>
      </c>
      <c r="BO35" s="265" cm="1">
        <f t="array" ref="BO35">INDEX(AF97:AI97,$AQ$20)</f>
        <v>7.1846022797060076</v>
      </c>
      <c r="BP35" s="13">
        <f t="shared" si="22"/>
        <v>2.5387060303251472</v>
      </c>
      <c r="BQ35" s="12" t="s">
        <v>74</v>
      </c>
      <c r="BR35" s="20" t="str">
        <f t="shared" si="23"/>
        <v/>
      </c>
      <c r="BS35" s="12" t="s">
        <v>131</v>
      </c>
      <c r="BT35" s="61" t="str">
        <f t="shared" si="24"/>
        <v>2.5</v>
      </c>
      <c r="BU35" s="20" t="str">
        <f t="shared" si="16"/>
        <v/>
      </c>
      <c r="BV35" s="12" t="s">
        <v>131</v>
      </c>
      <c r="BW35" s="61" t="str">
        <f t="shared" si="17"/>
        <v>2.5</v>
      </c>
      <c r="BY35" s="193"/>
      <c r="BZ35" s="348" t="str">
        <f t="shared" si="25"/>
        <v/>
      </c>
      <c r="CA35" s="349" t="str">
        <f t="shared" si="26"/>
        <v/>
      </c>
      <c r="CB35" s="350" t="str">
        <f t="shared" si="27"/>
        <v/>
      </c>
      <c r="CC35" s="350" t="str">
        <f t="shared" si="28"/>
        <v/>
      </c>
      <c r="CD35" s="350" t="str">
        <f t="shared" si="29"/>
        <v/>
      </c>
      <c r="CE35" s="351" t="str">
        <f t="shared" si="30"/>
        <v/>
      </c>
      <c r="CF35" s="670" t="str">
        <f t="shared" si="31"/>
        <v/>
      </c>
      <c r="CG35" s="349" t="str">
        <f t="shared" si="32"/>
        <v/>
      </c>
      <c r="CH35" s="350" t="str">
        <f t="shared" si="33"/>
        <v/>
      </c>
      <c r="CI35" s="350" t="str">
        <f t="shared" si="34"/>
        <v/>
      </c>
      <c r="CJ35" s="350" t="str">
        <f t="shared" si="35"/>
        <v/>
      </c>
      <c r="CK35" s="351" t="str">
        <f t="shared" si="36"/>
        <v/>
      </c>
      <c r="CL35" s="333"/>
      <c r="CM35" s="333"/>
      <c r="CN35" s="333"/>
      <c r="CO35" s="333"/>
      <c r="CP35" s="333"/>
      <c r="CQ35" s="333"/>
      <c r="CR35" s="333"/>
      <c r="CS35" s="334"/>
      <c r="CT35" s="367"/>
    </row>
    <row r="36" spans="1:98">
      <c r="A36" s="125">
        <v>35</v>
      </c>
      <c r="B36" t="s">
        <v>197</v>
      </c>
      <c r="F36" s="850" t="s">
        <v>198</v>
      </c>
      <c r="G36" s="850" t="str">
        <f>J1</f>
        <v>ogEAAABLJA</v>
      </c>
      <c r="U36" s="136">
        <v>0.10987836743387969</v>
      </c>
      <c r="V36" s="136">
        <v>0.11828152886867023</v>
      </c>
      <c r="W36" s="136">
        <v>0.11965738195407469</v>
      </c>
      <c r="X36" s="136">
        <v>0.11724276352344068</v>
      </c>
      <c r="Y36" s="136">
        <v>-0.30994999774390131</v>
      </c>
      <c r="Z36" s="136">
        <v>-0.14834218326292231</v>
      </c>
      <c r="AA36" s="136">
        <v>-7.0732232537449646E-2</v>
      </c>
      <c r="AB36" s="136">
        <v>-2.7099374544687083E-2</v>
      </c>
      <c r="AC36" s="136">
        <v>0.24192532785362592</v>
      </c>
      <c r="AD36" s="8"/>
      <c r="AE36" s="110" cm="1">
        <f t="array" ref="AE36">INDEX(U36:AC36,1,$AU$19)</f>
        <v>0.10987836743387969</v>
      </c>
      <c r="AF36" s="18"/>
      <c r="AJ36" s="8"/>
      <c r="AL36" s="12"/>
      <c r="AS36" s="562" t="s">
        <v>199</v>
      </c>
      <c r="AT36" s="563">
        <f>VALUE(BK20)</f>
        <v>0</v>
      </c>
      <c r="AU36" s="13">
        <f>100-AU35</f>
        <v>100</v>
      </c>
      <c r="AV36" s="63">
        <f>IF((AT36+AV34)=0,0,AU36/100/(AT36+AV34))</f>
        <v>0</v>
      </c>
      <c r="AW36" s="18"/>
      <c r="BC36" s="10">
        <v>82</v>
      </c>
      <c r="BD36" s="59">
        <v>15</v>
      </c>
      <c r="BE36" s="7" t="str">
        <f t="shared" si="18"/>
        <v>---------</v>
      </c>
      <c r="BF36" s="277">
        <v>23.7</v>
      </c>
      <c r="BG36" s="12" t="s">
        <v>135</v>
      </c>
      <c r="BH36" s="7" t="str">
        <f t="shared" si="19"/>
        <v>---------</v>
      </c>
      <c r="BI36" s="273">
        <v>2.87</v>
      </c>
      <c r="BJ36" s="59">
        <v>15</v>
      </c>
      <c r="BK36" s="168" t="str">
        <f t="shared" si="20"/>
        <v>---------</v>
      </c>
      <c r="BL36" s="182">
        <v>6.3700000000000007E-2</v>
      </c>
      <c r="BM36" s="185">
        <v>15</v>
      </c>
      <c r="BN36" s="182">
        <f t="shared" si="21"/>
        <v>6.3700000000000007E-2</v>
      </c>
      <c r="BO36" s="265" cm="1">
        <f t="array" ref="BO36">INDEX(AF98:AI98,$AQ$20)</f>
        <v>7.1305066688999776</v>
      </c>
      <c r="BP36" s="13">
        <f t="shared" si="22"/>
        <v>2.5387060303251472</v>
      </c>
      <c r="BQ36" s="12" t="s">
        <v>81</v>
      </c>
      <c r="BR36" s="20" t="str">
        <f t="shared" si="23"/>
        <v/>
      </c>
      <c r="BS36" s="12" t="s">
        <v>135</v>
      </c>
      <c r="BT36" s="61" t="str">
        <f t="shared" si="24"/>
        <v>2.5</v>
      </c>
      <c r="BU36" s="20" t="str">
        <f t="shared" si="16"/>
        <v/>
      </c>
      <c r="BV36" s="12" t="s">
        <v>135</v>
      </c>
      <c r="BW36" s="61" t="str">
        <f t="shared" si="17"/>
        <v>2.5</v>
      </c>
      <c r="BY36" s="193"/>
      <c r="BZ36" s="348" t="str">
        <f t="shared" si="25"/>
        <v/>
      </c>
      <c r="CA36" s="349" t="str">
        <f t="shared" si="26"/>
        <v/>
      </c>
      <c r="CB36" s="350" t="str">
        <f t="shared" si="27"/>
        <v/>
      </c>
      <c r="CC36" s="350" t="str">
        <f t="shared" si="28"/>
        <v/>
      </c>
      <c r="CD36" s="350" t="str">
        <f t="shared" si="29"/>
        <v/>
      </c>
      <c r="CE36" s="351" t="str">
        <f t="shared" si="30"/>
        <v/>
      </c>
      <c r="CF36" s="670" t="str">
        <f t="shared" si="31"/>
        <v/>
      </c>
      <c r="CG36" s="349" t="str">
        <f t="shared" si="32"/>
        <v/>
      </c>
      <c r="CH36" s="350" t="str">
        <f t="shared" si="33"/>
        <v/>
      </c>
      <c r="CI36" s="350" t="str">
        <f t="shared" si="34"/>
        <v/>
      </c>
      <c r="CJ36" s="350" t="str">
        <f t="shared" si="35"/>
        <v/>
      </c>
      <c r="CK36" s="351" t="str">
        <f t="shared" si="36"/>
        <v/>
      </c>
      <c r="CL36" s="333"/>
      <c r="CM36" s="333"/>
      <c r="CN36" s="333"/>
      <c r="CO36" s="333"/>
      <c r="CP36" s="333"/>
      <c r="CQ36" s="333"/>
      <c r="CR36" s="333"/>
      <c r="CS36" s="334"/>
      <c r="CT36" s="367"/>
    </row>
    <row r="37" spans="1:98">
      <c r="A37" s="125">
        <v>36</v>
      </c>
      <c r="B37" t="s">
        <v>203</v>
      </c>
      <c r="F37" s="855" t="str">
        <f>CB8</f>
        <v>Roof cladding</v>
      </c>
      <c r="G37" s="53" t="str">
        <f>BB21</f>
        <v>Metal tiles / profiled metal</v>
      </c>
      <c r="U37" s="658">
        <v>-1.6142981086621131E-3</v>
      </c>
      <c r="V37" s="658">
        <v>-3.8778498026636961E-4</v>
      </c>
      <c r="W37" s="658">
        <v>-1.6025753765189433E-4</v>
      </c>
      <c r="X37" s="658">
        <v>3.8056673998912292E-4</v>
      </c>
      <c r="Y37" s="658">
        <v>-3.9830297134548741E-2</v>
      </c>
      <c r="Z37" s="658">
        <v>-1.8375118856703249E-2</v>
      </c>
      <c r="AA37" s="658">
        <v>-1.0359120672679183E-2</v>
      </c>
      <c r="AB37" s="658">
        <v>-6.6035504056022078E-3</v>
      </c>
      <c r="AC37" s="658">
        <v>-1.5433472566209643E-3</v>
      </c>
      <c r="AD37" s="8"/>
      <c r="AE37" s="62" cm="1">
        <f t="array" ref="AE37">INDEX(U37:AC37,1,$AU$19)</f>
        <v>-1.6142981086621131E-3</v>
      </c>
      <c r="AF37" s="18"/>
      <c r="AJ37" s="8"/>
      <c r="BC37" s="10">
        <v>81</v>
      </c>
      <c r="BD37" s="59">
        <v>16</v>
      </c>
      <c r="BE37" s="7" t="str">
        <f t="shared" si="18"/>
        <v>---------</v>
      </c>
      <c r="BF37" s="277">
        <v>23.6</v>
      </c>
      <c r="BG37" s="12" t="s">
        <v>141</v>
      </c>
      <c r="BH37" s="7" t="str">
        <f t="shared" si="19"/>
        <v>---------</v>
      </c>
      <c r="BI37" s="273">
        <v>2.86</v>
      </c>
      <c r="BJ37" s="59">
        <v>16</v>
      </c>
      <c r="BK37" s="168" t="str">
        <f t="shared" si="20"/>
        <v>---------</v>
      </c>
      <c r="BL37" s="182">
        <v>6.3600000000000004E-2</v>
      </c>
      <c r="BM37" s="185">
        <v>16</v>
      </c>
      <c r="BN37" s="182">
        <f t="shared" si="21"/>
        <v>6.3600000000000004E-2</v>
      </c>
      <c r="BO37" s="265" cm="1">
        <f t="array" ref="BO37">INDEX(AF99:AI99,$AQ$20)</f>
        <v>7.075777226671212</v>
      </c>
      <c r="BP37" s="13">
        <f t="shared" si="22"/>
        <v>2.5387060303251472</v>
      </c>
      <c r="BQ37" s="12" t="s">
        <v>87</v>
      </c>
      <c r="BR37" s="20" t="str">
        <f t="shared" si="23"/>
        <v/>
      </c>
      <c r="BS37" s="12" t="s">
        <v>141</v>
      </c>
      <c r="BT37" s="61" t="str">
        <f t="shared" si="24"/>
        <v>2.5</v>
      </c>
      <c r="BU37" s="20" t="str">
        <f t="shared" si="16"/>
        <v/>
      </c>
      <c r="BV37" s="12" t="s">
        <v>141</v>
      </c>
      <c r="BW37" s="61" t="str">
        <f t="shared" si="17"/>
        <v>2.5</v>
      </c>
      <c r="BY37" s="193"/>
      <c r="BZ37" s="348" t="str">
        <f t="shared" si="25"/>
        <v/>
      </c>
      <c r="CA37" s="349" t="str">
        <f t="shared" si="26"/>
        <v/>
      </c>
      <c r="CB37" s="350" t="str">
        <f t="shared" si="27"/>
        <v/>
      </c>
      <c r="CC37" s="350" t="str">
        <f t="shared" si="28"/>
        <v/>
      </c>
      <c r="CD37" s="350" t="str">
        <f t="shared" si="29"/>
        <v/>
      </c>
      <c r="CE37" s="351" t="str">
        <f t="shared" si="30"/>
        <v/>
      </c>
      <c r="CF37" s="670" t="str">
        <f t="shared" si="31"/>
        <v/>
      </c>
      <c r="CG37" s="349" t="str">
        <f t="shared" si="32"/>
        <v/>
      </c>
      <c r="CH37" s="350" t="str">
        <f t="shared" si="33"/>
        <v/>
      </c>
      <c r="CI37" s="350" t="str">
        <f t="shared" si="34"/>
        <v/>
      </c>
      <c r="CJ37" s="350" t="str">
        <f t="shared" si="35"/>
        <v/>
      </c>
      <c r="CK37" s="351" t="str">
        <f t="shared" si="36"/>
        <v/>
      </c>
      <c r="CL37" s="333"/>
      <c r="CM37" s="333"/>
      <c r="CN37" s="333"/>
      <c r="CO37" s="333"/>
      <c r="CP37" s="333"/>
      <c r="CQ37" s="333"/>
      <c r="CR37" s="333"/>
      <c r="CS37" s="334"/>
      <c r="CT37" s="367"/>
    </row>
    <row r="38" spans="1:98">
      <c r="A38" s="125">
        <v>37</v>
      </c>
      <c r="B38" t="s">
        <v>207</v>
      </c>
      <c r="F38" s="855" t="str">
        <f>CB10</f>
        <v>Rafter height (mm)</v>
      </c>
      <c r="G38" s="177">
        <f>AP21</f>
        <v>140</v>
      </c>
      <c r="U38" s="658">
        <v>0.97663188896643416</v>
      </c>
      <c r="V38" s="658">
        <v>0.96996629876800444</v>
      </c>
      <c r="W38" s="658">
        <v>0.96883094297629102</v>
      </c>
      <c r="X38" s="658">
        <v>0.96324105858444431</v>
      </c>
      <c r="Y38" s="658">
        <v>1.1902586718601145</v>
      </c>
      <c r="Z38" s="658">
        <v>1.0874316717975654</v>
      </c>
      <c r="AA38" s="658">
        <v>1.0431623186185639</v>
      </c>
      <c r="AB38" s="658">
        <v>1.0199685338863509</v>
      </c>
      <c r="AC38" s="658">
        <v>0.95988854875115248</v>
      </c>
      <c r="AD38" s="8"/>
      <c r="AE38" s="62" cm="1">
        <f t="array" ref="AE38">INDEX(U38:AC38,1,$AU$19)</f>
        <v>0.97663188896643416</v>
      </c>
      <c r="AF38" s="18"/>
      <c r="AJ38" s="8"/>
      <c r="AK38" s="18"/>
      <c r="AL38" s="18"/>
      <c r="AM38" s="18"/>
      <c r="AN38" s="18"/>
      <c r="AO38" s="18"/>
      <c r="AP38" s="18"/>
      <c r="AQ38" s="18"/>
      <c r="AR38" s="18"/>
      <c r="AS38" s="18"/>
      <c r="BC38" s="10">
        <v>80</v>
      </c>
      <c r="BD38" s="59">
        <v>17</v>
      </c>
      <c r="BE38" s="7" t="str">
        <f t="shared" si="18"/>
        <v>---------</v>
      </c>
      <c r="BF38" s="277">
        <v>23.5</v>
      </c>
      <c r="BG38" s="12" t="s">
        <v>146</v>
      </c>
      <c r="BH38" s="7" t="str">
        <f t="shared" si="19"/>
        <v>---------</v>
      </c>
      <c r="BI38" s="273">
        <v>2.85</v>
      </c>
      <c r="BJ38" s="59">
        <v>17</v>
      </c>
      <c r="BK38" s="168" t="str">
        <f t="shared" si="20"/>
        <v>---------</v>
      </c>
      <c r="BL38" s="182">
        <v>6.3500000000000001E-2</v>
      </c>
      <c r="BM38" s="185">
        <v>17</v>
      </c>
      <c r="BN38" s="182">
        <f t="shared" si="21"/>
        <v>6.3500000000000001E-2</v>
      </c>
      <c r="BO38" s="265" cm="1">
        <f t="array" ref="BO38">INDEX(AF100:AI100,$AQ$20)</f>
        <v>7.0204139530197081</v>
      </c>
      <c r="BP38" s="13">
        <f t="shared" si="22"/>
        <v>2.5387060303251472</v>
      </c>
      <c r="BQ38" s="12" t="s">
        <v>94</v>
      </c>
      <c r="BR38" s="20" t="str">
        <f t="shared" si="23"/>
        <v/>
      </c>
      <c r="BS38" s="12" t="s">
        <v>146</v>
      </c>
      <c r="BT38" s="61" t="str">
        <f t="shared" si="24"/>
        <v>2.5</v>
      </c>
      <c r="BU38" s="20" t="str">
        <f t="shared" si="16"/>
        <v/>
      </c>
      <c r="BV38" s="12" t="s">
        <v>146</v>
      </c>
      <c r="BW38" s="61" t="str">
        <f t="shared" si="17"/>
        <v>2.5</v>
      </c>
      <c r="BY38" s="193"/>
      <c r="BZ38" s="348" t="str">
        <f t="shared" si="25"/>
        <v/>
      </c>
      <c r="CA38" s="349" t="str">
        <f t="shared" si="26"/>
        <v/>
      </c>
      <c r="CB38" s="350" t="str">
        <f t="shared" si="27"/>
        <v/>
      </c>
      <c r="CC38" s="350" t="str">
        <f t="shared" si="28"/>
        <v/>
      </c>
      <c r="CD38" s="350" t="str">
        <f t="shared" si="29"/>
        <v/>
      </c>
      <c r="CE38" s="351" t="str">
        <f t="shared" si="30"/>
        <v/>
      </c>
      <c r="CF38" s="670" t="str">
        <f t="shared" si="31"/>
        <v/>
      </c>
      <c r="CG38" s="349" t="str">
        <f t="shared" si="32"/>
        <v/>
      </c>
      <c r="CH38" s="350" t="str">
        <f t="shared" si="33"/>
        <v/>
      </c>
      <c r="CI38" s="350" t="str">
        <f t="shared" si="34"/>
        <v/>
      </c>
      <c r="CJ38" s="350" t="str">
        <f t="shared" si="35"/>
        <v/>
      </c>
      <c r="CK38" s="351" t="str">
        <f t="shared" si="36"/>
        <v/>
      </c>
      <c r="CL38" s="333"/>
      <c r="CM38" s="333"/>
      <c r="CN38" s="333"/>
      <c r="CO38" s="333"/>
      <c r="CP38" s="333"/>
      <c r="CQ38" s="333"/>
      <c r="CR38" s="333"/>
      <c r="CS38" s="193"/>
      <c r="CT38" s="160"/>
    </row>
    <row r="39" spans="1:98" ht="16.5" thickBot="1">
      <c r="A39" s="125">
        <v>38</v>
      </c>
      <c r="B39" t="s">
        <v>211</v>
      </c>
      <c r="F39" s="855" t="str">
        <f>CB12</f>
        <v>Battens / Dwangs</v>
      </c>
      <c r="G39" s="856" t="str">
        <f>AV21</f>
        <v>battens</v>
      </c>
      <c r="U39" s="138">
        <v>0.11462202123109735</v>
      </c>
      <c r="V39" s="138">
        <v>0.12350615305015983</v>
      </c>
      <c r="W39" s="138">
        <v>0.12473187842895603</v>
      </c>
      <c r="X39" s="138">
        <v>0.13545796640356936</v>
      </c>
      <c r="Y39" s="138">
        <v>-0.21723257212479913</v>
      </c>
      <c r="Z39" s="138">
        <v>-9.6903749771476477E-2</v>
      </c>
      <c r="AA39" s="138">
        <v>-3.8195145563749339E-2</v>
      </c>
      <c r="AB39" s="138">
        <v>-4.6707010246141989E-3</v>
      </c>
      <c r="AC39" s="138">
        <v>0.24041459544001437</v>
      </c>
      <c r="AE39" s="139" cm="1">
        <f t="array" ref="AE39">INDEX(U39:AC39,1,$AU$19)</f>
        <v>0.11462202123109735</v>
      </c>
      <c r="AF39" s="18"/>
      <c r="AJ39" s="8"/>
      <c r="BC39" s="10">
        <v>79</v>
      </c>
      <c r="BD39" s="59">
        <v>18</v>
      </c>
      <c r="BE39" s="7" t="str">
        <f t="shared" si="18"/>
        <v>---------</v>
      </c>
      <c r="BF39" s="277">
        <v>23.4</v>
      </c>
      <c r="BG39" s="12" t="s">
        <v>152</v>
      </c>
      <c r="BH39" s="7" t="str">
        <f t="shared" si="19"/>
        <v>---------</v>
      </c>
      <c r="BI39" s="273">
        <v>2.84</v>
      </c>
      <c r="BJ39" s="59">
        <v>18</v>
      </c>
      <c r="BK39" s="168" t="str">
        <f t="shared" si="20"/>
        <v>---------</v>
      </c>
      <c r="BL39" s="182">
        <v>6.3399999999999998E-2</v>
      </c>
      <c r="BM39" s="185">
        <v>18</v>
      </c>
      <c r="BN39" s="182">
        <f t="shared" si="21"/>
        <v>6.3399999999999998E-2</v>
      </c>
      <c r="BO39" s="265" cm="1">
        <f t="array" ref="BO39">INDEX(AF101:AI101,$AQ$20)</f>
        <v>6.9644168479454756</v>
      </c>
      <c r="BP39" s="13">
        <f t="shared" si="22"/>
        <v>2.5387060303251472</v>
      </c>
      <c r="BQ39" s="12" t="s">
        <v>100</v>
      </c>
      <c r="BR39" s="20" t="str">
        <f t="shared" si="23"/>
        <v/>
      </c>
      <c r="BS39" s="12" t="s">
        <v>152</v>
      </c>
      <c r="BT39" s="61" t="str">
        <f t="shared" si="24"/>
        <v>2.5</v>
      </c>
      <c r="BU39" s="20" t="str">
        <f t="shared" si="16"/>
        <v/>
      </c>
      <c r="BV39" s="12" t="s">
        <v>152</v>
      </c>
      <c r="BW39" s="61" t="str">
        <f t="shared" si="17"/>
        <v>2.5</v>
      </c>
      <c r="BY39" s="193"/>
      <c r="BZ39" s="348" t="str">
        <f t="shared" si="25"/>
        <v/>
      </c>
      <c r="CA39" s="349" t="str">
        <f t="shared" si="26"/>
        <v/>
      </c>
      <c r="CB39" s="350" t="str">
        <f t="shared" si="27"/>
        <v/>
      </c>
      <c r="CC39" s="350" t="str">
        <f t="shared" si="28"/>
        <v/>
      </c>
      <c r="CD39" s="350" t="str">
        <f t="shared" si="29"/>
        <v/>
      </c>
      <c r="CE39" s="351" t="str">
        <f t="shared" si="30"/>
        <v/>
      </c>
      <c r="CF39" s="670" t="str">
        <f t="shared" si="31"/>
        <v/>
      </c>
      <c r="CG39" s="349" t="str">
        <f t="shared" si="32"/>
        <v/>
      </c>
      <c r="CH39" s="350" t="str">
        <f t="shared" si="33"/>
        <v/>
      </c>
      <c r="CI39" s="350" t="str">
        <f t="shared" si="34"/>
        <v/>
      </c>
      <c r="CJ39" s="350" t="str">
        <f t="shared" si="35"/>
        <v/>
      </c>
      <c r="CK39" s="351" t="str">
        <f t="shared" si="36"/>
        <v/>
      </c>
      <c r="CL39" s="333"/>
      <c r="CM39" s="333"/>
      <c r="CN39" s="333"/>
      <c r="CO39" s="333"/>
      <c r="CP39" s="333"/>
      <c r="CQ39" s="333"/>
      <c r="CR39" s="333"/>
      <c r="CS39" s="193"/>
      <c r="CT39" s="160"/>
    </row>
    <row r="40" spans="1:98">
      <c r="A40" s="125">
        <v>39</v>
      </c>
      <c r="B40" t="s">
        <v>218</v>
      </c>
      <c r="F40" s="855" t="str">
        <f>CB14</f>
        <v>Insulation conductivity</v>
      </c>
      <c r="G40" s="857">
        <f>BN21</f>
        <v>6.5000000000000002E-2</v>
      </c>
      <c r="T40" s="7" t="s">
        <v>226</v>
      </c>
      <c r="U40" s="658">
        <v>-1.7495590828923609E-2</v>
      </c>
      <c r="V40" s="658">
        <v>-6.26830233478379E-3</v>
      </c>
      <c r="W40" s="658">
        <v>-2.9216918634278025E-3</v>
      </c>
      <c r="X40" s="658">
        <v>-2.2490994080527618E-3</v>
      </c>
      <c r="Y40" s="658">
        <v>-0.22179894179894161</v>
      </c>
      <c r="Z40" s="658">
        <v>-9.4404432132963789E-2</v>
      </c>
      <c r="AA40" s="658">
        <v>-4.6923730253099857E-2</v>
      </c>
      <c r="AB40" s="658">
        <v>-2.7320371935756659E-2</v>
      </c>
      <c r="AC40" s="658">
        <v>1.1428571428636481E-2</v>
      </c>
      <c r="AE40" s="62" cm="1">
        <f t="array" ref="AE40">INDEX(U40:AC40,1,$AU$19)</f>
        <v>-1.7495590828923609E-2</v>
      </c>
      <c r="AF40" s="18"/>
      <c r="AJ40" s="8"/>
      <c r="BC40" s="10">
        <v>78</v>
      </c>
      <c r="BD40" s="59">
        <v>19</v>
      </c>
      <c r="BE40" s="7" t="str">
        <f t="shared" si="18"/>
        <v>---------</v>
      </c>
      <c r="BF40" s="277">
        <v>23.3</v>
      </c>
      <c r="BG40" s="12" t="s">
        <v>156</v>
      </c>
      <c r="BH40" s="7" t="str">
        <f t="shared" si="19"/>
        <v>---------</v>
      </c>
      <c r="BI40" s="273">
        <v>2.83</v>
      </c>
      <c r="BJ40" s="59">
        <v>19</v>
      </c>
      <c r="BK40" s="168" t="str">
        <f t="shared" si="20"/>
        <v>---------</v>
      </c>
      <c r="BL40" s="182">
        <v>6.3299999999999995E-2</v>
      </c>
      <c r="BM40" s="185">
        <v>19</v>
      </c>
      <c r="BN40" s="182">
        <f t="shared" si="21"/>
        <v>6.3299999999999995E-2</v>
      </c>
      <c r="BO40" s="265" cm="1">
        <f t="array" ref="BO40">INDEX(AF102:AI102,$AQ$20)</f>
        <v>6.907785911448503</v>
      </c>
      <c r="BP40" s="13">
        <f t="shared" si="22"/>
        <v>2.5387060303251472</v>
      </c>
      <c r="BQ40" s="12" t="s">
        <v>107</v>
      </c>
      <c r="BR40" s="20" t="str">
        <f t="shared" si="23"/>
        <v/>
      </c>
      <c r="BS40" s="12" t="s">
        <v>156</v>
      </c>
      <c r="BT40" s="61" t="str">
        <f t="shared" si="24"/>
        <v>2.5</v>
      </c>
      <c r="BU40" s="20" t="str">
        <f t="shared" si="16"/>
        <v/>
      </c>
      <c r="BV40" s="12" t="s">
        <v>156</v>
      </c>
      <c r="BW40" s="61" t="str">
        <f t="shared" si="17"/>
        <v>2.5</v>
      </c>
      <c r="BY40" s="193"/>
      <c r="BZ40" s="348" t="str">
        <f t="shared" si="25"/>
        <v/>
      </c>
      <c r="CA40" s="349" t="str">
        <f t="shared" si="26"/>
        <v/>
      </c>
      <c r="CB40" s="350" t="str">
        <f t="shared" si="27"/>
        <v/>
      </c>
      <c r="CC40" s="350" t="str">
        <f t="shared" si="28"/>
        <v/>
      </c>
      <c r="CD40" s="350" t="str">
        <f t="shared" si="29"/>
        <v/>
      </c>
      <c r="CE40" s="351" t="str">
        <f t="shared" si="30"/>
        <v/>
      </c>
      <c r="CF40" s="670" t="str">
        <f t="shared" si="31"/>
        <v/>
      </c>
      <c r="CG40" s="349" t="str">
        <f t="shared" si="32"/>
        <v/>
      </c>
      <c r="CH40" s="350" t="str">
        <f t="shared" si="33"/>
        <v/>
      </c>
      <c r="CI40" s="350" t="str">
        <f t="shared" si="34"/>
        <v/>
      </c>
      <c r="CJ40" s="350" t="str">
        <f t="shared" si="35"/>
        <v/>
      </c>
      <c r="CK40" s="351" t="str">
        <f t="shared" si="36"/>
        <v/>
      </c>
      <c r="CL40" s="333"/>
      <c r="CM40" s="333"/>
      <c r="CN40" s="333"/>
      <c r="CO40" s="333"/>
      <c r="CP40" s="333"/>
      <c r="CQ40" s="333"/>
      <c r="CR40" s="333"/>
      <c r="CS40" s="193"/>
      <c r="CT40" s="160"/>
    </row>
    <row r="41" spans="1:98">
      <c r="A41" s="125">
        <v>40</v>
      </c>
      <c r="B41" t="s">
        <v>225</v>
      </c>
      <c r="F41" s="855" t="str">
        <f>CB16</f>
        <v>Interior secondary insulating layer (ISIL)</v>
      </c>
      <c r="G41" s="177" t="str">
        <f>AY21</f>
        <v>none</v>
      </c>
      <c r="U41" s="658">
        <v>0.99563597883597565</v>
      </c>
      <c r="V41" s="658">
        <v>0.94372394143252547</v>
      </c>
      <c r="W41" s="658">
        <v>0.92560047562425596</v>
      </c>
      <c r="X41" s="658">
        <v>0.9240765884702471</v>
      </c>
      <c r="Y41" s="658">
        <v>1.9852317460317448</v>
      </c>
      <c r="Z41" s="658">
        <v>1.4421518005540157</v>
      </c>
      <c r="AA41" s="658">
        <v>1.197823067776455</v>
      </c>
      <c r="AB41" s="658">
        <v>1.0857692871231341</v>
      </c>
      <c r="AC41" s="658">
        <v>0.81708571428540755</v>
      </c>
      <c r="AE41" s="62" cm="1">
        <f t="array" ref="AE41">INDEX(U41:AC41,1,$AU$19)</f>
        <v>0.99563597883597565</v>
      </c>
      <c r="AF41" s="18"/>
      <c r="AJ41" s="8"/>
      <c r="BC41" s="10">
        <v>77</v>
      </c>
      <c r="BD41" s="59">
        <v>20</v>
      </c>
      <c r="BE41" s="7" t="str">
        <f t="shared" si="18"/>
        <v>---------</v>
      </c>
      <c r="BF41" s="277">
        <v>23.2</v>
      </c>
      <c r="BG41" s="12" t="s">
        <v>161</v>
      </c>
      <c r="BH41" s="7" t="str">
        <f t="shared" si="19"/>
        <v>---------</v>
      </c>
      <c r="BI41" s="273">
        <v>2.82</v>
      </c>
      <c r="BJ41" s="59">
        <v>20</v>
      </c>
      <c r="BK41" s="168" t="str">
        <f t="shared" si="20"/>
        <v>---------</v>
      </c>
      <c r="BL41" s="182">
        <v>6.3200000000000006E-2</v>
      </c>
      <c r="BM41" s="185">
        <v>20</v>
      </c>
      <c r="BN41" s="182">
        <f t="shared" si="21"/>
        <v>6.3200000000000006E-2</v>
      </c>
      <c r="BO41" s="265" cm="1">
        <f t="array" ref="BO41">INDEX(AF103:AI103,$AQ$20)</f>
        <v>6.8505211435287983</v>
      </c>
      <c r="BP41" s="13">
        <f t="shared" si="22"/>
        <v>2.5387060303251472</v>
      </c>
      <c r="BQ41" s="12" t="s">
        <v>111</v>
      </c>
      <c r="BR41" s="20" t="str">
        <f t="shared" si="23"/>
        <v/>
      </c>
      <c r="BS41" s="12" t="s">
        <v>161</v>
      </c>
      <c r="BT41" s="61" t="str">
        <f t="shared" si="24"/>
        <v>2.5</v>
      </c>
      <c r="BU41" s="20" t="str">
        <f t="shared" si="16"/>
        <v/>
      </c>
      <c r="BV41" s="12" t="s">
        <v>161</v>
      </c>
      <c r="BW41" s="61" t="str">
        <f t="shared" si="17"/>
        <v>2.5</v>
      </c>
      <c r="BY41" s="193"/>
      <c r="BZ41" s="348" t="str">
        <f t="shared" si="25"/>
        <v/>
      </c>
      <c r="CA41" s="349" t="str">
        <f t="shared" si="26"/>
        <v/>
      </c>
      <c r="CB41" s="350" t="str">
        <f t="shared" si="27"/>
        <v/>
      </c>
      <c r="CC41" s="350" t="str">
        <f t="shared" si="28"/>
        <v/>
      </c>
      <c r="CD41" s="350" t="str">
        <f t="shared" si="29"/>
        <v/>
      </c>
      <c r="CE41" s="351" t="str">
        <f t="shared" si="30"/>
        <v/>
      </c>
      <c r="CF41" s="670" t="str">
        <f t="shared" si="31"/>
        <v/>
      </c>
      <c r="CG41" s="349" t="str">
        <f t="shared" si="32"/>
        <v/>
      </c>
      <c r="CH41" s="350" t="str">
        <f t="shared" si="33"/>
        <v/>
      </c>
      <c r="CI41" s="350" t="str">
        <f t="shared" si="34"/>
        <v/>
      </c>
      <c r="CJ41" s="350" t="str">
        <f t="shared" si="35"/>
        <v/>
      </c>
      <c r="CK41" s="351" t="str">
        <f t="shared" si="36"/>
        <v/>
      </c>
      <c r="CL41" s="333"/>
      <c r="CM41" s="333"/>
      <c r="CN41" s="333"/>
      <c r="CO41" s="333"/>
      <c r="CP41" s="333"/>
      <c r="CQ41" s="333"/>
      <c r="CR41" s="333"/>
      <c r="CS41" s="333"/>
      <c r="CT41" s="336"/>
    </row>
    <row r="42" spans="1:98">
      <c r="A42" s="125">
        <v>41</v>
      </c>
      <c r="B42" t="s">
        <v>231</v>
      </c>
      <c r="F42" s="855" t="str">
        <f>IF(CE17&lt;&gt;"",CE17,"----------")</f>
        <v>----------</v>
      </c>
      <c r="G42" s="177">
        <f>BK21</f>
        <v>0</v>
      </c>
      <c r="U42" s="136">
        <v>3.1856825396829769E-2</v>
      </c>
      <c r="V42" s="136">
        <v>9.1059390581721619E-2</v>
      </c>
      <c r="W42" s="136">
        <v>0.11541637506370148</v>
      </c>
      <c r="X42" s="136">
        <v>0.11109277495616644</v>
      </c>
      <c r="Y42" s="136">
        <v>-1.1697314285714269</v>
      </c>
      <c r="Z42" s="136">
        <v>-0.6051147922437663</v>
      </c>
      <c r="AA42" s="136">
        <v>-0.29662324783420835</v>
      </c>
      <c r="AB42" s="136">
        <v>-0.14160380388842053</v>
      </c>
      <c r="AC42" s="136">
        <v>0.36126000000036135</v>
      </c>
      <c r="AE42" s="110" cm="1">
        <f t="array" ref="AE42">INDEX(U42:AC42,1,$AU$19)</f>
        <v>3.1856825396829769E-2</v>
      </c>
      <c r="AF42" s="18"/>
      <c r="AG42" s="64"/>
      <c r="AJ42" s="8"/>
      <c r="BC42" s="10">
        <v>76</v>
      </c>
      <c r="BD42" s="59">
        <v>21</v>
      </c>
      <c r="BE42" s="7" t="str">
        <f t="shared" si="18"/>
        <v>---------</v>
      </c>
      <c r="BF42" s="277">
        <v>23.1</v>
      </c>
      <c r="BG42" s="12" t="s">
        <v>165</v>
      </c>
      <c r="BH42" s="7" t="str">
        <f t="shared" si="19"/>
        <v>---------</v>
      </c>
      <c r="BI42" s="273">
        <v>2.81</v>
      </c>
      <c r="BJ42" s="59">
        <v>21</v>
      </c>
      <c r="BK42" s="168" t="str">
        <f t="shared" si="20"/>
        <v>---------</v>
      </c>
      <c r="BL42" s="182">
        <v>6.3100000000000003E-2</v>
      </c>
      <c r="BM42" s="185">
        <v>21</v>
      </c>
      <c r="BN42" s="182">
        <f t="shared" si="21"/>
        <v>6.3100000000000003E-2</v>
      </c>
      <c r="BO42" s="265" cm="1">
        <f t="array" ref="BO42">INDEX(AF104:AI104,$AQ$20)</f>
        <v>6.7926225441863561</v>
      </c>
      <c r="BP42" s="13">
        <f t="shared" si="22"/>
        <v>2.5387060303251472</v>
      </c>
      <c r="BQ42" s="12" t="s">
        <v>115</v>
      </c>
      <c r="BR42" s="20" t="str">
        <f t="shared" si="23"/>
        <v/>
      </c>
      <c r="BS42" s="12" t="s">
        <v>165</v>
      </c>
      <c r="BT42" s="61" t="str">
        <f t="shared" si="24"/>
        <v>2.5</v>
      </c>
      <c r="BU42" s="20" t="str">
        <f t="shared" si="16"/>
        <v/>
      </c>
      <c r="BV42" s="12" t="s">
        <v>165</v>
      </c>
      <c r="BW42" s="61" t="str">
        <f t="shared" si="17"/>
        <v>2.5</v>
      </c>
      <c r="BY42" s="193"/>
      <c r="BZ42" s="348" t="str">
        <f t="shared" si="25"/>
        <v/>
      </c>
      <c r="CA42" s="349" t="str">
        <f t="shared" si="26"/>
        <v/>
      </c>
      <c r="CB42" s="350" t="str">
        <f t="shared" si="27"/>
        <v/>
      </c>
      <c r="CC42" s="350" t="str">
        <f t="shared" si="28"/>
        <v/>
      </c>
      <c r="CD42" s="350" t="str">
        <f t="shared" si="29"/>
        <v/>
      </c>
      <c r="CE42" s="351" t="str">
        <f t="shared" si="30"/>
        <v/>
      </c>
      <c r="CF42" s="670" t="str">
        <f t="shared" si="31"/>
        <v/>
      </c>
      <c r="CG42" s="349" t="str">
        <f t="shared" si="32"/>
        <v/>
      </c>
      <c r="CH42" s="350" t="str">
        <f t="shared" si="33"/>
        <v/>
      </c>
      <c r="CI42" s="350" t="str">
        <f t="shared" si="34"/>
        <v/>
      </c>
      <c r="CJ42" s="350" t="str">
        <f t="shared" si="35"/>
        <v/>
      </c>
      <c r="CK42" s="351" t="str">
        <f t="shared" si="36"/>
        <v/>
      </c>
      <c r="CL42" s="333"/>
      <c r="CM42" s="333"/>
      <c r="CN42" s="333"/>
      <c r="CO42" s="333"/>
      <c r="CP42" s="333"/>
      <c r="CQ42" s="333"/>
      <c r="CR42" s="333"/>
      <c r="CS42" s="333"/>
      <c r="CT42" s="336"/>
    </row>
    <row r="43" spans="1:98">
      <c r="A43" s="125">
        <v>42</v>
      </c>
      <c r="B43" t="s">
        <v>236</v>
      </c>
      <c r="F43" s="855" t="str">
        <f t="shared" ref="F43:F44" si="37">IF(CE18&lt;&gt;"",CE18,"----------")</f>
        <v>----------</v>
      </c>
      <c r="G43" s="177">
        <f>BE21</f>
        <v>0</v>
      </c>
      <c r="U43" s="658">
        <v>-1.2134038800703746E-2</v>
      </c>
      <c r="V43" s="658">
        <v>-3.8306292045903198E-3</v>
      </c>
      <c r="W43" s="658">
        <v>-1.8753184983862294E-3</v>
      </c>
      <c r="X43" s="658">
        <v>-6.5712410809297096E-17</v>
      </c>
      <c r="Y43" s="658">
        <v>-0.14899470899470896</v>
      </c>
      <c r="Z43" s="658">
        <v>-6.4075979422239165E-2</v>
      </c>
      <c r="AA43" s="658">
        <v>-3.2260913878036486E-2</v>
      </c>
      <c r="AB43" s="658">
        <v>-1.9077674462290029E-2</v>
      </c>
      <c r="AC43" s="658">
        <v>3.42857142857717E-2</v>
      </c>
      <c r="AE43" s="62" cm="1">
        <f t="array" ref="AE43">INDEX(U43:AC43,1,$AU$19)</f>
        <v>-1.2134038800703746E-2</v>
      </c>
      <c r="AF43" s="18"/>
      <c r="AJ43" s="8"/>
      <c r="BC43" s="10">
        <v>75</v>
      </c>
      <c r="BD43" s="59">
        <v>22</v>
      </c>
      <c r="BE43" s="7" t="str">
        <f t="shared" si="18"/>
        <v>---------</v>
      </c>
      <c r="BF43" s="277">
        <v>23</v>
      </c>
      <c r="BG43" s="12" t="s">
        <v>171</v>
      </c>
      <c r="BH43" s="7" t="str">
        <f t="shared" si="19"/>
        <v>---------</v>
      </c>
      <c r="BI43" s="273">
        <v>2.8</v>
      </c>
      <c r="BJ43" s="59">
        <v>22</v>
      </c>
      <c r="BK43" s="168" t="str">
        <f t="shared" si="20"/>
        <v>---------</v>
      </c>
      <c r="BL43" s="182">
        <v>6.3E-2</v>
      </c>
      <c r="BM43" s="185">
        <v>22</v>
      </c>
      <c r="BN43" s="182">
        <f t="shared" si="21"/>
        <v>6.3E-2</v>
      </c>
      <c r="BO43" s="265" cm="1">
        <f t="array" ref="BO43">INDEX(AF105:AI105,$AQ$20)</f>
        <v>6.7340901134211837</v>
      </c>
      <c r="BP43" s="13">
        <f t="shared" si="22"/>
        <v>2.5387060303251472</v>
      </c>
      <c r="BQ43" s="12" t="s">
        <v>120</v>
      </c>
      <c r="BR43" s="20" t="str">
        <f t="shared" si="23"/>
        <v/>
      </c>
      <c r="BS43" s="12" t="s">
        <v>171</v>
      </c>
      <c r="BT43" s="61" t="str">
        <f t="shared" si="24"/>
        <v>2.5</v>
      </c>
      <c r="BU43" s="20" t="str">
        <f t="shared" si="16"/>
        <v/>
      </c>
      <c r="BV43" s="12" t="s">
        <v>171</v>
      </c>
      <c r="BW43" s="61" t="str">
        <f t="shared" si="17"/>
        <v>2.5</v>
      </c>
      <c r="BY43" s="193"/>
      <c r="BZ43" s="348" t="str">
        <f t="shared" si="25"/>
        <v/>
      </c>
      <c r="CA43" s="349" t="str">
        <f t="shared" si="26"/>
        <v/>
      </c>
      <c r="CB43" s="350" t="str">
        <f t="shared" si="27"/>
        <v/>
      </c>
      <c r="CC43" s="350" t="str">
        <f t="shared" si="28"/>
        <v/>
      </c>
      <c r="CD43" s="350" t="str">
        <f t="shared" si="29"/>
        <v/>
      </c>
      <c r="CE43" s="351" t="str">
        <f t="shared" si="30"/>
        <v/>
      </c>
      <c r="CF43" s="670" t="str">
        <f t="shared" si="31"/>
        <v/>
      </c>
      <c r="CG43" s="349" t="str">
        <f t="shared" si="32"/>
        <v/>
      </c>
      <c r="CH43" s="350" t="str">
        <f t="shared" si="33"/>
        <v/>
      </c>
      <c r="CI43" s="350" t="str">
        <f t="shared" si="34"/>
        <v/>
      </c>
      <c r="CJ43" s="350" t="str">
        <f t="shared" si="35"/>
        <v/>
      </c>
      <c r="CK43" s="351" t="str">
        <f t="shared" si="36"/>
        <v/>
      </c>
      <c r="CL43" s="333"/>
      <c r="CM43" s="333"/>
      <c r="CN43" s="333"/>
      <c r="CO43" s="333"/>
      <c r="CP43" s="333"/>
      <c r="CQ43" s="333"/>
      <c r="CR43" s="333"/>
      <c r="CS43" s="333"/>
      <c r="CT43" s="336"/>
    </row>
    <row r="44" spans="1:98">
      <c r="A44" s="125">
        <v>43</v>
      </c>
      <c r="B44" t="s">
        <v>240</v>
      </c>
      <c r="F44" s="855" t="str">
        <f t="shared" si="37"/>
        <v>----------</v>
      </c>
      <c r="G44" s="177">
        <f>BH21</f>
        <v>0</v>
      </c>
      <c r="U44" s="658">
        <v>1.002319576719567</v>
      </c>
      <c r="V44" s="658">
        <v>0.96252837356549215</v>
      </c>
      <c r="W44" s="658">
        <v>0.95250891795481518</v>
      </c>
      <c r="X44" s="658">
        <v>0.94044356368849402</v>
      </c>
      <c r="Y44" s="658">
        <v>1.6656253968253967</v>
      </c>
      <c r="Z44" s="658">
        <v>1.3050143252868973</v>
      </c>
      <c r="AA44" s="658">
        <v>1.1417331747919153</v>
      </c>
      <c r="AB44" s="658">
        <v>1.0668270498732051</v>
      </c>
      <c r="AC44" s="658">
        <v>0.75605714285687209</v>
      </c>
      <c r="AE44" s="62" cm="1">
        <f t="array" ref="AE44">INDEX(U44:AC44,1,$AU$19)</f>
        <v>1.002319576719567</v>
      </c>
      <c r="AF44" s="18"/>
      <c r="AJ44" s="8"/>
      <c r="BC44" s="10">
        <v>74</v>
      </c>
      <c r="BD44" s="59">
        <v>23</v>
      </c>
      <c r="BE44" s="7" t="str">
        <f t="shared" si="18"/>
        <v>---------</v>
      </c>
      <c r="BF44" s="277">
        <v>22.9</v>
      </c>
      <c r="BG44" s="12" t="s">
        <v>177</v>
      </c>
      <c r="BH44" s="7" t="str">
        <f t="shared" si="19"/>
        <v>---------</v>
      </c>
      <c r="BI44" s="273">
        <v>2.79</v>
      </c>
      <c r="BJ44" s="59">
        <v>23</v>
      </c>
      <c r="BK44" s="168" t="str">
        <f t="shared" si="20"/>
        <v>---------</v>
      </c>
      <c r="BL44" s="182">
        <v>6.2899999999999998E-2</v>
      </c>
      <c r="BM44" s="185">
        <v>23</v>
      </c>
      <c r="BN44" s="182">
        <f t="shared" si="21"/>
        <v>6.2899999999999998E-2</v>
      </c>
      <c r="BO44" s="265" cm="1">
        <f t="array" ref="BO44">INDEX(AF106:AI106,$AQ$20)</f>
        <v>6.674923851233272</v>
      </c>
      <c r="BP44" s="13">
        <f t="shared" si="22"/>
        <v>2.5387060303251472</v>
      </c>
      <c r="BQ44" s="12" t="s">
        <v>124</v>
      </c>
      <c r="BR44" s="20" t="str">
        <f t="shared" si="23"/>
        <v/>
      </c>
      <c r="BS44" s="12" t="s">
        <v>177</v>
      </c>
      <c r="BT44" s="61" t="str">
        <f t="shared" si="24"/>
        <v>2.5</v>
      </c>
      <c r="BU44" s="20" t="str">
        <f t="shared" si="16"/>
        <v/>
      </c>
      <c r="BV44" s="12" t="s">
        <v>177</v>
      </c>
      <c r="BW44" s="61" t="str">
        <f t="shared" si="17"/>
        <v>2.5</v>
      </c>
      <c r="BY44" s="193"/>
      <c r="BZ44" s="348" t="str">
        <f t="shared" si="25"/>
        <v/>
      </c>
      <c r="CA44" s="349" t="str">
        <f t="shared" si="26"/>
        <v/>
      </c>
      <c r="CB44" s="350" t="str">
        <f t="shared" si="27"/>
        <v/>
      </c>
      <c r="CC44" s="350" t="str">
        <f t="shared" si="28"/>
        <v/>
      </c>
      <c r="CD44" s="350" t="str">
        <f t="shared" si="29"/>
        <v/>
      </c>
      <c r="CE44" s="351" t="str">
        <f t="shared" si="30"/>
        <v/>
      </c>
      <c r="CF44" s="670" t="str">
        <f t="shared" si="31"/>
        <v/>
      </c>
      <c r="CG44" s="349" t="str">
        <f t="shared" si="32"/>
        <v/>
      </c>
      <c r="CH44" s="350" t="str">
        <f t="shared" si="33"/>
        <v/>
      </c>
      <c r="CI44" s="350" t="str">
        <f t="shared" si="34"/>
        <v/>
      </c>
      <c r="CJ44" s="350" t="str">
        <f t="shared" si="35"/>
        <v/>
      </c>
      <c r="CK44" s="351" t="str">
        <f t="shared" si="36"/>
        <v/>
      </c>
      <c r="CL44" s="333"/>
      <c r="CM44" s="333"/>
      <c r="CN44" s="333"/>
      <c r="CO44" s="333"/>
      <c r="CP44" s="333"/>
      <c r="CQ44" s="333"/>
      <c r="CR44" s="333"/>
      <c r="CS44" s="333"/>
      <c r="CT44" s="336"/>
    </row>
    <row r="45" spans="1:98">
      <c r="A45" s="125">
        <v>44</v>
      </c>
      <c r="B45" t="s">
        <v>245</v>
      </c>
      <c r="F45" t="str">
        <f>CB22</f>
        <v>Lining</v>
      </c>
      <c r="G45" s="177" t="str">
        <f>AM21</f>
        <v>10 mm plasterboard</v>
      </c>
      <c r="U45" s="136">
        <v>7.1736507936521962E-2</v>
      </c>
      <c r="V45" s="136">
        <v>0.1193477562326877</v>
      </c>
      <c r="W45" s="136">
        <v>0.13176900288771914</v>
      </c>
      <c r="X45" s="136">
        <v>0.14907049795505281</v>
      </c>
      <c r="Y45" s="136">
        <v>-0.74461714285714309</v>
      </c>
      <c r="Z45" s="136">
        <v>-0.37201102493074123</v>
      </c>
      <c r="AA45" s="136">
        <v>-0.16633104127739318</v>
      </c>
      <c r="AB45" s="136">
        <v>-6.3248943364329735E-2</v>
      </c>
      <c r="AC45" s="136">
        <v>0.45790000000031877</v>
      </c>
      <c r="AE45" s="110" cm="1">
        <f t="array" ref="AE45">INDEX(U45:AC45,1,$AU$19)</f>
        <v>7.1736507936521962E-2</v>
      </c>
      <c r="AF45" s="18"/>
      <c r="AJ45" s="8"/>
      <c r="BC45" s="10">
        <v>73</v>
      </c>
      <c r="BD45" s="59">
        <v>24</v>
      </c>
      <c r="BE45" s="7" t="str">
        <f t="shared" si="18"/>
        <v>---------</v>
      </c>
      <c r="BF45" s="277">
        <v>22.8</v>
      </c>
      <c r="BG45" s="12" t="s">
        <v>184</v>
      </c>
      <c r="BH45" s="7" t="str">
        <f t="shared" si="19"/>
        <v>---------</v>
      </c>
      <c r="BI45" s="273">
        <v>2.78000000000001</v>
      </c>
      <c r="BJ45" s="59">
        <v>24</v>
      </c>
      <c r="BK45" s="168" t="str">
        <f t="shared" si="20"/>
        <v>---------</v>
      </c>
      <c r="BL45" s="182">
        <v>6.2799999999999995E-2</v>
      </c>
      <c r="BM45" s="185">
        <v>24</v>
      </c>
      <c r="BN45" s="182">
        <f t="shared" si="21"/>
        <v>6.2799999999999995E-2</v>
      </c>
      <c r="BO45" s="265" cm="1">
        <f t="array" ref="BO45">INDEX(AF107:AI107,$AQ$20)</f>
        <v>6.6151237576226318</v>
      </c>
      <c r="BP45" s="13">
        <f t="shared" si="22"/>
        <v>2.5387060303251472</v>
      </c>
      <c r="BQ45" s="12" t="s">
        <v>128</v>
      </c>
      <c r="BR45" s="20" t="str">
        <f t="shared" si="23"/>
        <v/>
      </c>
      <c r="BS45" s="12" t="s">
        <v>184</v>
      </c>
      <c r="BT45" s="61" t="str">
        <f t="shared" si="24"/>
        <v>2.5</v>
      </c>
      <c r="BU45" s="20" t="str">
        <f t="shared" si="16"/>
        <v/>
      </c>
      <c r="BV45" s="12" t="s">
        <v>184</v>
      </c>
      <c r="BW45" s="61" t="str">
        <f t="shared" si="17"/>
        <v>2.5</v>
      </c>
      <c r="BY45" s="193"/>
      <c r="BZ45" s="348" t="str">
        <f t="shared" si="25"/>
        <v/>
      </c>
      <c r="CA45" s="349" t="str">
        <f t="shared" si="26"/>
        <v/>
      </c>
      <c r="CB45" s="350" t="str">
        <f t="shared" si="27"/>
        <v/>
      </c>
      <c r="CC45" s="350" t="str">
        <f t="shared" si="28"/>
        <v/>
      </c>
      <c r="CD45" s="350" t="str">
        <f t="shared" si="29"/>
        <v/>
      </c>
      <c r="CE45" s="351" t="str">
        <f t="shared" si="30"/>
        <v/>
      </c>
      <c r="CF45" s="670" t="str">
        <f t="shared" si="31"/>
        <v/>
      </c>
      <c r="CG45" s="349" t="str">
        <f t="shared" si="32"/>
        <v/>
      </c>
      <c r="CH45" s="350" t="str">
        <f t="shared" si="33"/>
        <v/>
      </c>
      <c r="CI45" s="350" t="str">
        <f t="shared" si="34"/>
        <v/>
      </c>
      <c r="CJ45" s="350" t="str">
        <f t="shared" si="35"/>
        <v/>
      </c>
      <c r="CK45" s="351" t="str">
        <f t="shared" si="36"/>
        <v/>
      </c>
      <c r="CL45" s="333"/>
      <c r="CM45" s="333"/>
      <c r="CN45" s="333"/>
      <c r="CO45" s="333"/>
      <c r="CP45" s="333"/>
      <c r="CQ45" s="333"/>
      <c r="CR45" s="333"/>
      <c r="CS45" s="333"/>
      <c r="CT45" s="336"/>
    </row>
    <row r="46" spans="1:98">
      <c r="A46" s="125">
        <v>45</v>
      </c>
      <c r="B46" t="s">
        <v>250</v>
      </c>
      <c r="F46" t="str">
        <f>CI9</f>
        <v>Rafter spacing (mm)</v>
      </c>
      <c r="G46" s="177">
        <f>AS21</f>
        <v>400</v>
      </c>
      <c r="U46" s="658">
        <v>-8.3245149911815655E-3</v>
      </c>
      <c r="V46" s="658">
        <v>-1.5829046299953937E-3</v>
      </c>
      <c r="W46" s="658">
        <v>-8.0176660438233225E-4</v>
      </c>
      <c r="X46" s="658">
        <v>-1.501443414881818E-3</v>
      </c>
      <c r="Y46" s="658">
        <v>-9.9894179894179605E-2</v>
      </c>
      <c r="Z46" s="658">
        <v>-4.3118322121091873E-2</v>
      </c>
      <c r="AA46" s="658">
        <v>-2.1430270086631429E-2</v>
      </c>
      <c r="AB46" s="658">
        <v>-1.2653329576406604E-2</v>
      </c>
      <c r="AC46" s="658">
        <v>-0.10285714285699286</v>
      </c>
      <c r="AE46" s="62" cm="1">
        <f t="array" ref="AE46">INDEX(U46:AC46,1,$AU$19)</f>
        <v>-8.3245149911815655E-3</v>
      </c>
      <c r="AF46" s="18"/>
      <c r="AJ46" s="8"/>
      <c r="AT46" s="16"/>
      <c r="AU46" s="16"/>
      <c r="AV46" s="16"/>
      <c r="AW46" s="16"/>
      <c r="AX46" s="16"/>
      <c r="AY46" s="16"/>
      <c r="AZ46" s="16"/>
      <c r="BA46" s="16"/>
      <c r="BB46" s="16"/>
      <c r="BC46" s="10">
        <v>72</v>
      </c>
      <c r="BD46" s="59">
        <v>25</v>
      </c>
      <c r="BE46" s="7" t="str">
        <f t="shared" si="18"/>
        <v>---------</v>
      </c>
      <c r="BF46" s="277">
        <v>22.7</v>
      </c>
      <c r="BG46" s="12" t="s">
        <v>188</v>
      </c>
      <c r="BH46" s="7" t="str">
        <f t="shared" si="19"/>
        <v>---------</v>
      </c>
      <c r="BI46" s="273">
        <v>2.77</v>
      </c>
      <c r="BJ46" s="59">
        <v>25</v>
      </c>
      <c r="BK46" s="168" t="str">
        <f t="shared" si="20"/>
        <v>---------</v>
      </c>
      <c r="BL46" s="182">
        <v>6.2700000000000006E-2</v>
      </c>
      <c r="BM46" s="185">
        <v>25</v>
      </c>
      <c r="BN46" s="182">
        <f t="shared" si="21"/>
        <v>6.2700000000000006E-2</v>
      </c>
      <c r="BO46" s="265" cm="1">
        <f t="array" ref="BO46">INDEX(AF108:AI108,$AQ$20)</f>
        <v>6.5546898325892489</v>
      </c>
      <c r="BP46" s="13">
        <f t="shared" si="22"/>
        <v>2.5387060303251472</v>
      </c>
      <c r="BQ46" s="12" t="s">
        <v>132</v>
      </c>
      <c r="BR46" s="20" t="str">
        <f t="shared" si="23"/>
        <v/>
      </c>
      <c r="BS46" s="12" t="s">
        <v>188</v>
      </c>
      <c r="BT46" s="61" t="str">
        <f t="shared" si="24"/>
        <v>2.5</v>
      </c>
      <c r="BU46" s="20" t="str">
        <f t="shared" si="16"/>
        <v/>
      </c>
      <c r="BV46" s="12" t="s">
        <v>188</v>
      </c>
      <c r="BW46" s="61" t="str">
        <f t="shared" si="17"/>
        <v>2.5</v>
      </c>
      <c r="BY46" s="193"/>
      <c r="BZ46" s="348" t="str">
        <f t="shared" si="25"/>
        <v/>
      </c>
      <c r="CA46" s="349" t="str">
        <f t="shared" si="26"/>
        <v/>
      </c>
      <c r="CB46" s="350" t="str">
        <f t="shared" si="27"/>
        <v/>
      </c>
      <c r="CC46" s="350" t="str">
        <f t="shared" si="28"/>
        <v/>
      </c>
      <c r="CD46" s="350" t="str">
        <f t="shared" si="29"/>
        <v/>
      </c>
      <c r="CE46" s="351" t="str">
        <f t="shared" si="30"/>
        <v/>
      </c>
      <c r="CF46" s="670" t="str">
        <f t="shared" si="31"/>
        <v/>
      </c>
      <c r="CG46" s="349" t="str">
        <f t="shared" si="32"/>
        <v/>
      </c>
      <c r="CH46" s="350" t="str">
        <f t="shared" si="33"/>
        <v/>
      </c>
      <c r="CI46" s="350" t="str">
        <f t="shared" si="34"/>
        <v/>
      </c>
      <c r="CJ46" s="350" t="str">
        <f t="shared" si="35"/>
        <v/>
      </c>
      <c r="CK46" s="351" t="str">
        <f t="shared" si="36"/>
        <v/>
      </c>
      <c r="CL46" s="333"/>
      <c r="CM46" s="333"/>
      <c r="CN46" s="333"/>
      <c r="CO46" s="333"/>
      <c r="CP46" s="333"/>
      <c r="CQ46" s="333"/>
      <c r="CR46" s="333"/>
      <c r="CS46" s="333"/>
      <c r="CT46" s="336"/>
    </row>
    <row r="47" spans="1:98">
      <c r="A47" s="125">
        <v>46</v>
      </c>
      <c r="B47" t="s">
        <v>255</v>
      </c>
      <c r="F47" t="str">
        <f>CI13</f>
        <v>Insulation R-value</v>
      </c>
      <c r="G47" s="858" t="str">
        <f>BT21</f>
        <v>2.0</v>
      </c>
      <c r="U47" s="658">
        <v>1.0066052910052905</v>
      </c>
      <c r="V47" s="658">
        <v>0.97119493470517992</v>
      </c>
      <c r="W47" s="658">
        <v>0.96751153388822664</v>
      </c>
      <c r="X47" s="658">
        <v>0.97609540334762146</v>
      </c>
      <c r="Y47" s="658">
        <v>1.4506412698412683</v>
      </c>
      <c r="Z47" s="658">
        <v>1.2100717055797365</v>
      </c>
      <c r="AA47" s="658">
        <v>1.0976889417360276</v>
      </c>
      <c r="AB47" s="658">
        <v>1.0477044801352502</v>
      </c>
      <c r="AC47" s="658">
        <v>1.4278285714278682</v>
      </c>
      <c r="AE47" s="62" cm="1">
        <f t="array" ref="AE47">INDEX(U47:AC47,1,$AU$19)</f>
        <v>1.0066052910052905</v>
      </c>
      <c r="AF47" s="18"/>
      <c r="AT47" s="12"/>
      <c r="AU47" s="12"/>
      <c r="AV47" s="12"/>
      <c r="AW47" s="12"/>
      <c r="AX47" s="12"/>
      <c r="AY47" s="12"/>
      <c r="AZ47" s="12"/>
      <c r="BA47" s="12"/>
      <c r="BB47" s="12"/>
      <c r="BC47" s="10">
        <v>71</v>
      </c>
      <c r="BD47" s="59">
        <v>26</v>
      </c>
      <c r="BE47" s="7" t="str">
        <f t="shared" si="18"/>
        <v>---------</v>
      </c>
      <c r="BF47" s="277">
        <v>22.6</v>
      </c>
      <c r="BG47" s="12" t="s">
        <v>195</v>
      </c>
      <c r="BH47" s="7" t="str">
        <f t="shared" si="19"/>
        <v>---------</v>
      </c>
      <c r="BI47" s="273">
        <v>2.76000000000001</v>
      </c>
      <c r="BJ47" s="59">
        <v>26</v>
      </c>
      <c r="BK47" s="168" t="str">
        <f t="shared" si="20"/>
        <v>---------</v>
      </c>
      <c r="BL47" s="182">
        <v>6.2600000000000003E-2</v>
      </c>
      <c r="BM47" s="185">
        <v>26</v>
      </c>
      <c r="BN47" s="182">
        <f t="shared" si="21"/>
        <v>6.2600000000000003E-2</v>
      </c>
      <c r="BO47" s="265" cm="1">
        <f t="array" ref="BO47">INDEX(AF109:AI109,$AQ$20)</f>
        <v>6.4936220761331374</v>
      </c>
      <c r="BP47" s="13">
        <f t="shared" si="22"/>
        <v>2.5387060303251472</v>
      </c>
      <c r="BQ47" s="12" t="s">
        <v>136</v>
      </c>
      <c r="BR47" s="20" t="str">
        <f t="shared" si="23"/>
        <v/>
      </c>
      <c r="BS47" s="12" t="s">
        <v>195</v>
      </c>
      <c r="BT47" s="61" t="str">
        <f t="shared" si="24"/>
        <v>2.5</v>
      </c>
      <c r="BU47" s="20" t="str">
        <f t="shared" si="16"/>
        <v/>
      </c>
      <c r="BV47" s="12" t="s">
        <v>195</v>
      </c>
      <c r="BW47" s="61" t="str">
        <f t="shared" si="17"/>
        <v>2.5</v>
      </c>
      <c r="BY47" s="193"/>
      <c r="BZ47" s="348" t="str">
        <f t="shared" si="25"/>
        <v/>
      </c>
      <c r="CA47" s="349" t="str">
        <f t="shared" si="26"/>
        <v/>
      </c>
      <c r="CB47" s="350" t="str">
        <f t="shared" si="27"/>
        <v/>
      </c>
      <c r="CC47" s="350" t="str">
        <f t="shared" si="28"/>
        <v/>
      </c>
      <c r="CD47" s="350" t="str">
        <f t="shared" si="29"/>
        <v/>
      </c>
      <c r="CE47" s="351" t="str">
        <f t="shared" si="30"/>
        <v/>
      </c>
      <c r="CF47" s="670" t="str">
        <f t="shared" si="31"/>
        <v/>
      </c>
      <c r="CG47" s="349" t="str">
        <f t="shared" si="32"/>
        <v/>
      </c>
      <c r="CH47" s="350" t="str">
        <f t="shared" si="33"/>
        <v/>
      </c>
      <c r="CI47" s="350" t="str">
        <f t="shared" si="34"/>
        <v/>
      </c>
      <c r="CJ47" s="350" t="str">
        <f t="shared" si="35"/>
        <v/>
      </c>
      <c r="CK47" s="351" t="str">
        <f t="shared" si="36"/>
        <v/>
      </c>
      <c r="CL47" s="333"/>
      <c r="CM47" s="333"/>
      <c r="CN47" s="333"/>
      <c r="CO47" s="333"/>
      <c r="CP47" s="333"/>
      <c r="CQ47" s="333"/>
      <c r="CR47" s="333"/>
      <c r="CS47" s="333"/>
      <c r="CT47" s="336"/>
    </row>
    <row r="48" spans="1:98">
      <c r="A48" s="125">
        <v>47</v>
      </c>
      <c r="B48" t="s">
        <v>260</v>
      </c>
      <c r="F48" t="str">
        <f>CK14</f>
        <v>thickness</v>
      </c>
      <c r="G48" s="859">
        <f>CL14</f>
        <v>130</v>
      </c>
      <c r="U48" s="136">
        <v>9.6393650793650698E-2</v>
      </c>
      <c r="V48" s="136">
        <v>0.14291540166205594</v>
      </c>
      <c r="W48" s="136">
        <v>0.14696763716664138</v>
      </c>
      <c r="X48" s="136">
        <v>0.12324483713360826</v>
      </c>
      <c r="Y48" s="136">
        <v>-0.46032285714285537</v>
      </c>
      <c r="Z48" s="136">
        <v>-0.21334770083102184</v>
      </c>
      <c r="AA48" s="136">
        <v>-7.0363675896040367E-2</v>
      </c>
      <c r="AB48" s="136">
        <v>-1.6047168216412055E-3</v>
      </c>
      <c r="AC48" s="136">
        <v>-0.3102799999991761</v>
      </c>
      <c r="AE48" s="110" cm="1">
        <f t="array" ref="AE48">INDEX(U48:AC48,1,$AU$19)</f>
        <v>9.6393650793650698E-2</v>
      </c>
      <c r="AF48" s="18"/>
      <c r="AT48" s="18"/>
      <c r="AU48" s="18"/>
      <c r="AV48" s="18"/>
      <c r="AW48" s="18"/>
      <c r="AX48" s="18"/>
      <c r="AY48" s="18"/>
      <c r="AZ48" s="18"/>
      <c r="BA48" s="18"/>
      <c r="BB48" s="18"/>
      <c r="BC48" s="10">
        <v>70</v>
      </c>
      <c r="BD48" s="59">
        <v>27</v>
      </c>
      <c r="BE48" s="7" t="str">
        <f t="shared" si="18"/>
        <v>---------</v>
      </c>
      <c r="BF48" s="277">
        <v>22.5</v>
      </c>
      <c r="BG48" s="12" t="s">
        <v>201</v>
      </c>
      <c r="BH48" s="7" t="str">
        <f t="shared" si="19"/>
        <v>---------</v>
      </c>
      <c r="BI48" s="273">
        <v>2.75</v>
      </c>
      <c r="BJ48" s="59">
        <v>27</v>
      </c>
      <c r="BK48" s="168" t="str">
        <f t="shared" si="20"/>
        <v>---------</v>
      </c>
      <c r="BL48" s="182">
        <v>6.25E-2</v>
      </c>
      <c r="BM48" s="185">
        <v>27</v>
      </c>
      <c r="BN48" s="182">
        <f t="shared" si="21"/>
        <v>6.25E-2</v>
      </c>
      <c r="BO48" s="265" cm="1">
        <f t="array" ref="BO48">INDEX(AF110:AI110,$AQ$20)</f>
        <v>6.4319204882542884</v>
      </c>
      <c r="BP48" s="13">
        <f t="shared" si="22"/>
        <v>2.5387060303251472</v>
      </c>
      <c r="BQ48" s="12" t="s">
        <v>142</v>
      </c>
      <c r="BR48" s="20" t="str">
        <f t="shared" si="23"/>
        <v/>
      </c>
      <c r="BS48" s="12" t="s">
        <v>201</v>
      </c>
      <c r="BT48" s="61" t="str">
        <f t="shared" si="24"/>
        <v>2.5</v>
      </c>
      <c r="BU48" s="20" t="str">
        <f t="shared" si="16"/>
        <v/>
      </c>
      <c r="BV48" s="12" t="s">
        <v>201</v>
      </c>
      <c r="BW48" s="61" t="str">
        <f t="shared" si="17"/>
        <v>2.5</v>
      </c>
      <c r="BY48" s="193"/>
      <c r="BZ48" s="348" t="str">
        <f t="shared" si="25"/>
        <v/>
      </c>
      <c r="CA48" s="349" t="str">
        <f t="shared" si="26"/>
        <v/>
      </c>
      <c r="CB48" s="350" t="str">
        <f t="shared" si="27"/>
        <v/>
      </c>
      <c r="CC48" s="350" t="str">
        <f t="shared" si="28"/>
        <v/>
      </c>
      <c r="CD48" s="350" t="str">
        <f t="shared" si="29"/>
        <v/>
      </c>
      <c r="CE48" s="351" t="str">
        <f t="shared" si="30"/>
        <v/>
      </c>
      <c r="CF48" s="670" t="str">
        <f t="shared" si="31"/>
        <v/>
      </c>
      <c r="CG48" s="349" t="str">
        <f t="shared" si="32"/>
        <v/>
      </c>
      <c r="CH48" s="350" t="str">
        <f t="shared" si="33"/>
        <v/>
      </c>
      <c r="CI48" s="350" t="str">
        <f t="shared" si="34"/>
        <v/>
      </c>
      <c r="CJ48" s="350" t="str">
        <f t="shared" si="35"/>
        <v/>
      </c>
      <c r="CK48" s="351" t="str">
        <f t="shared" si="36"/>
        <v/>
      </c>
      <c r="CL48" s="333"/>
      <c r="CM48" s="333"/>
      <c r="CN48" s="333"/>
      <c r="CO48" s="333"/>
      <c r="CP48" s="333"/>
      <c r="CQ48" s="333"/>
      <c r="CR48" s="333"/>
      <c r="CS48" s="333"/>
      <c r="CT48" s="336"/>
    </row>
    <row r="49" spans="1:98">
      <c r="A49" s="125">
        <v>48</v>
      </c>
      <c r="B49" t="s">
        <v>266</v>
      </c>
      <c r="F49" t="str">
        <f>CI18</f>
        <v>Roof thermal resistance</v>
      </c>
      <c r="G49" s="854">
        <f>CK18</f>
        <v>2.0622327639062124</v>
      </c>
      <c r="U49" s="658">
        <v>-5.0793650793634721E-3</v>
      </c>
      <c r="V49" s="658">
        <v>-1.0447170557970381E-3</v>
      </c>
      <c r="W49" s="658">
        <v>-4.2126719891277163E-4</v>
      </c>
      <c r="X49" s="658">
        <v>0</v>
      </c>
      <c r="Y49" s="658">
        <v>-7.4356261022925793E-2</v>
      </c>
      <c r="Z49" s="658">
        <v>-3.2069647803719278E-2</v>
      </c>
      <c r="AA49" s="658">
        <v>-1.5980975029726324E-2</v>
      </c>
      <c r="AB49" s="658">
        <v>-9.4374002066308308E-3</v>
      </c>
      <c r="AC49" s="658">
        <v>-1.1428571428442679E-2</v>
      </c>
      <c r="AE49" s="62" cm="1">
        <f t="array" ref="AE49">INDEX(U49:AC49,1,$AU$19)</f>
        <v>-5.0793650793634721E-3</v>
      </c>
      <c r="AF49" s="18"/>
      <c r="AT49" s="12"/>
      <c r="AU49" s="12"/>
      <c r="AV49" s="12"/>
      <c r="AW49" s="12"/>
      <c r="AX49" s="12"/>
      <c r="AY49" s="12"/>
      <c r="AZ49" s="12"/>
      <c r="BA49" s="12"/>
      <c r="BB49" s="12"/>
      <c r="BC49" s="10">
        <v>69</v>
      </c>
      <c r="BD49" s="59">
        <v>28</v>
      </c>
      <c r="BE49" s="7" t="str">
        <f t="shared" si="18"/>
        <v>---------</v>
      </c>
      <c r="BF49" s="277">
        <v>22.4</v>
      </c>
      <c r="BG49" s="12" t="s">
        <v>205</v>
      </c>
      <c r="BH49" s="7" t="str">
        <f t="shared" si="19"/>
        <v>---------</v>
      </c>
      <c r="BI49" s="273">
        <v>2.74000000000001</v>
      </c>
      <c r="BJ49" s="59">
        <v>28</v>
      </c>
      <c r="BK49" s="168" t="str">
        <f t="shared" si="20"/>
        <v>---------</v>
      </c>
      <c r="BL49" s="182">
        <v>6.2399999999999997E-2</v>
      </c>
      <c r="BM49" s="185">
        <v>28</v>
      </c>
      <c r="BN49" s="182">
        <f t="shared" si="21"/>
        <v>6.2399999999999997E-2</v>
      </c>
      <c r="BO49" s="265" cm="1">
        <f t="array" ref="BO49">INDEX(AF111:AI111,$AQ$20)</f>
        <v>6.3695850689527056</v>
      </c>
      <c r="BP49" s="13">
        <f t="shared" si="22"/>
        <v>2.5387060303251472</v>
      </c>
      <c r="BQ49" s="12" t="s">
        <v>147</v>
      </c>
      <c r="BR49" s="20" t="str">
        <f t="shared" si="23"/>
        <v/>
      </c>
      <c r="BS49" s="12" t="s">
        <v>205</v>
      </c>
      <c r="BT49" s="61" t="str">
        <f t="shared" si="24"/>
        <v>2.5</v>
      </c>
      <c r="BU49" s="20" t="str">
        <f t="shared" si="16"/>
        <v/>
      </c>
      <c r="BV49" s="12" t="s">
        <v>205</v>
      </c>
      <c r="BW49" s="61" t="str">
        <f t="shared" si="17"/>
        <v>2.5</v>
      </c>
      <c r="BY49" s="193"/>
      <c r="BZ49" s="348" t="str">
        <f t="shared" si="25"/>
        <v/>
      </c>
      <c r="CA49" s="349" t="str">
        <f t="shared" si="26"/>
        <v/>
      </c>
      <c r="CB49" s="350" t="str">
        <f t="shared" si="27"/>
        <v/>
      </c>
      <c r="CC49" s="350" t="str">
        <f t="shared" si="28"/>
        <v/>
      </c>
      <c r="CD49" s="350" t="str">
        <f t="shared" si="29"/>
        <v/>
      </c>
      <c r="CE49" s="351" t="str">
        <f t="shared" si="30"/>
        <v/>
      </c>
      <c r="CF49" s="670" t="str">
        <f t="shared" si="31"/>
        <v/>
      </c>
      <c r="CG49" s="349" t="str">
        <f t="shared" si="32"/>
        <v/>
      </c>
      <c r="CH49" s="350" t="str">
        <f t="shared" si="33"/>
        <v/>
      </c>
      <c r="CI49" s="350" t="str">
        <f t="shared" si="34"/>
        <v/>
      </c>
      <c r="CJ49" s="350" t="str">
        <f t="shared" si="35"/>
        <v/>
      </c>
      <c r="CK49" s="351" t="str">
        <f t="shared" si="36"/>
        <v/>
      </c>
      <c r="CL49" s="333"/>
      <c r="CM49" s="333"/>
      <c r="CN49" s="333"/>
      <c r="CO49" s="333"/>
      <c r="CP49" s="333"/>
      <c r="CQ49" s="333"/>
      <c r="CR49" s="333"/>
      <c r="CS49" s="333"/>
      <c r="CT49" s="336"/>
    </row>
    <row r="50" spans="1:98">
      <c r="A50" s="125">
        <v>49</v>
      </c>
      <c r="B50" t="s">
        <v>251</v>
      </c>
      <c r="U50" s="658">
        <v>0.99961904761903797</v>
      </c>
      <c r="V50" s="658">
        <v>0.97918907795805077</v>
      </c>
      <c r="W50" s="658">
        <v>0.97591961950059392</v>
      </c>
      <c r="X50" s="658">
        <v>0.97535523042543315</v>
      </c>
      <c r="Y50" s="658">
        <v>1.3373862433862325</v>
      </c>
      <c r="Z50" s="658">
        <v>1.1582982192322875</v>
      </c>
      <c r="AA50" s="658">
        <v>1.0752190249702718</v>
      </c>
      <c r="AB50" s="658">
        <v>1.0379617920540982</v>
      </c>
      <c r="AC50" s="658">
        <v>1.012514285713684</v>
      </c>
      <c r="AE50" s="62" cm="1">
        <f t="array" ref="AE50">INDEX(U50:AC50,1,$AU$19)</f>
        <v>0.99961904761903797</v>
      </c>
      <c r="AF50" s="18"/>
      <c r="AT50" s="12"/>
      <c r="AU50" s="12"/>
      <c r="AV50" s="12"/>
      <c r="AW50" s="12"/>
      <c r="AX50" s="12"/>
      <c r="AY50" s="12"/>
      <c r="AZ50" s="12"/>
      <c r="BA50" s="12"/>
      <c r="BB50" s="12"/>
      <c r="BC50" s="10">
        <v>68</v>
      </c>
      <c r="BD50" s="59">
        <v>29</v>
      </c>
      <c r="BE50" s="7" t="str">
        <f t="shared" si="18"/>
        <v>---------</v>
      </c>
      <c r="BF50" s="277">
        <v>22.3</v>
      </c>
      <c r="BG50" s="12" t="s">
        <v>209</v>
      </c>
      <c r="BH50" s="7" t="str">
        <f t="shared" si="19"/>
        <v>---------</v>
      </c>
      <c r="BI50" s="273">
        <v>2.7300000000000102</v>
      </c>
      <c r="BJ50" s="59">
        <v>29</v>
      </c>
      <c r="BK50" s="168" t="str">
        <f t="shared" si="20"/>
        <v>---------</v>
      </c>
      <c r="BL50" s="182">
        <v>6.2300000000000001E-2</v>
      </c>
      <c r="BM50" s="185">
        <v>29</v>
      </c>
      <c r="BN50" s="182">
        <f t="shared" si="21"/>
        <v>6.2300000000000001E-2</v>
      </c>
      <c r="BO50" s="265" cm="1">
        <f t="array" ref="BO50">INDEX(AF112:AI112,$AQ$20)</f>
        <v>6.3066158182283889</v>
      </c>
      <c r="BP50" s="13">
        <f t="shared" si="22"/>
        <v>2.5387060303251472</v>
      </c>
      <c r="BQ50" s="12" t="s">
        <v>153</v>
      </c>
      <c r="BR50" s="20" t="str">
        <f t="shared" si="23"/>
        <v/>
      </c>
      <c r="BS50" s="12" t="s">
        <v>209</v>
      </c>
      <c r="BT50" s="61" t="str">
        <f t="shared" si="24"/>
        <v>2.5</v>
      </c>
      <c r="BU50" s="20" t="str">
        <f t="shared" si="16"/>
        <v/>
      </c>
      <c r="BV50" s="12" t="s">
        <v>209</v>
      </c>
      <c r="BW50" s="61" t="str">
        <f t="shared" si="17"/>
        <v>2.5</v>
      </c>
      <c r="BY50" s="193"/>
      <c r="BZ50" s="348" t="str">
        <f t="shared" si="25"/>
        <v/>
      </c>
      <c r="CA50" s="349" t="str">
        <f t="shared" si="26"/>
        <v/>
      </c>
      <c r="CB50" s="350" t="str">
        <f t="shared" si="27"/>
        <v/>
      </c>
      <c r="CC50" s="350" t="str">
        <f t="shared" si="28"/>
        <v/>
      </c>
      <c r="CD50" s="350" t="str">
        <f t="shared" si="29"/>
        <v/>
      </c>
      <c r="CE50" s="351" t="str">
        <f t="shared" si="30"/>
        <v/>
      </c>
      <c r="CF50" s="670" t="str">
        <f t="shared" si="31"/>
        <v/>
      </c>
      <c r="CG50" s="349" t="str">
        <f t="shared" si="32"/>
        <v/>
      </c>
      <c r="CH50" s="350" t="str">
        <f t="shared" si="33"/>
        <v/>
      </c>
      <c r="CI50" s="350" t="str">
        <f t="shared" si="34"/>
        <v/>
      </c>
      <c r="CJ50" s="350" t="str">
        <f t="shared" si="35"/>
        <v/>
      </c>
      <c r="CK50" s="351" t="str">
        <f t="shared" si="36"/>
        <v/>
      </c>
      <c r="CL50" s="333"/>
      <c r="CM50" s="333"/>
      <c r="CN50" s="333"/>
      <c r="CO50" s="333"/>
      <c r="CP50" s="333"/>
      <c r="CQ50" s="333"/>
      <c r="CR50" s="333"/>
      <c r="CS50" s="333"/>
      <c r="CT50" s="336"/>
    </row>
    <row r="51" spans="1:98">
      <c r="A51" s="125">
        <v>50</v>
      </c>
      <c r="B51" t="s">
        <v>276</v>
      </c>
      <c r="U51" s="658">
        <v>0.12397714285715711</v>
      </c>
      <c r="V51" s="658">
        <v>0.14967235457064026</v>
      </c>
      <c r="W51" s="658">
        <v>0.15383655512145458</v>
      </c>
      <c r="X51" s="658">
        <v>0.14720474764936586</v>
      </c>
      <c r="Y51" s="658">
        <v>-0.30976349206347664</v>
      </c>
      <c r="Z51" s="658">
        <v>-0.12590598337949493</v>
      </c>
      <c r="AA51" s="658">
        <v>-2.0575243757428197E-2</v>
      </c>
      <c r="AB51" s="658">
        <v>3.0628267117501717E-2</v>
      </c>
      <c r="AC51" s="658">
        <v>0.18718000000070248</v>
      </c>
      <c r="AE51" s="62" cm="1">
        <f t="array" ref="AE51">INDEX(U51:AC51,1,$AU$19)</f>
        <v>0.12397714285715711</v>
      </c>
      <c r="AF51" s="18"/>
      <c r="AK51" s="16"/>
      <c r="AL51" s="16"/>
      <c r="AM51" s="16"/>
      <c r="AN51" s="16"/>
      <c r="AO51" s="16"/>
      <c r="AP51" s="16"/>
      <c r="AQ51" s="16"/>
      <c r="AR51" s="16"/>
      <c r="AS51" s="16"/>
      <c r="BC51" s="10">
        <v>67</v>
      </c>
      <c r="BD51" s="59">
        <v>30</v>
      </c>
      <c r="BE51" s="7" t="str">
        <f t="shared" si="18"/>
        <v>---------</v>
      </c>
      <c r="BF51" s="277">
        <v>22.2</v>
      </c>
      <c r="BG51" s="12" t="s">
        <v>216</v>
      </c>
      <c r="BH51" s="7" t="str">
        <f t="shared" si="19"/>
        <v>---------</v>
      </c>
      <c r="BI51" s="273">
        <v>2.72000000000001</v>
      </c>
      <c r="BJ51" s="59">
        <v>30</v>
      </c>
      <c r="BK51" s="168" t="str">
        <f t="shared" si="20"/>
        <v>---------</v>
      </c>
      <c r="BL51" s="182">
        <v>6.2199999999999998E-2</v>
      </c>
      <c r="BM51" s="185">
        <v>30</v>
      </c>
      <c r="BN51" s="182">
        <f t="shared" si="21"/>
        <v>6.2199999999999998E-2</v>
      </c>
      <c r="BO51" s="265" cm="1">
        <f t="array" ref="BO51">INDEX(AF113:AI113,$AQ$20)</f>
        <v>6.243012736081333</v>
      </c>
      <c r="BP51" s="13">
        <f t="shared" si="22"/>
        <v>2.5387060303251472</v>
      </c>
      <c r="BQ51" s="12" t="s">
        <v>157</v>
      </c>
      <c r="BR51" s="20" t="str">
        <f t="shared" si="23"/>
        <v/>
      </c>
      <c r="BS51" s="12" t="s">
        <v>216</v>
      </c>
      <c r="BT51" s="61" t="str">
        <f t="shared" si="24"/>
        <v>2.5</v>
      </c>
      <c r="BU51" s="20" t="str">
        <f t="shared" si="16"/>
        <v/>
      </c>
      <c r="BV51" s="12" t="s">
        <v>216</v>
      </c>
      <c r="BW51" s="61" t="str">
        <f t="shared" si="17"/>
        <v>2.5</v>
      </c>
      <c r="BY51" s="193"/>
      <c r="BZ51" s="348" t="str">
        <f t="shared" si="25"/>
        <v/>
      </c>
      <c r="CA51" s="349" t="str">
        <f t="shared" si="26"/>
        <v/>
      </c>
      <c r="CB51" s="350" t="str">
        <f t="shared" si="27"/>
        <v/>
      </c>
      <c r="CC51" s="350" t="str">
        <f t="shared" si="28"/>
        <v/>
      </c>
      <c r="CD51" s="350" t="str">
        <f t="shared" si="29"/>
        <v/>
      </c>
      <c r="CE51" s="351" t="str">
        <f t="shared" si="30"/>
        <v/>
      </c>
      <c r="CF51" s="670" t="str">
        <f t="shared" si="31"/>
        <v/>
      </c>
      <c r="CG51" s="349" t="str">
        <f t="shared" si="32"/>
        <v/>
      </c>
      <c r="CH51" s="350" t="str">
        <f t="shared" si="33"/>
        <v/>
      </c>
      <c r="CI51" s="350" t="str">
        <f t="shared" si="34"/>
        <v/>
      </c>
      <c r="CJ51" s="350" t="str">
        <f t="shared" si="35"/>
        <v/>
      </c>
      <c r="CK51" s="351" t="str">
        <f t="shared" si="36"/>
        <v/>
      </c>
      <c r="CL51" s="333"/>
      <c r="CM51" s="333"/>
      <c r="CN51" s="333"/>
      <c r="CO51" s="333"/>
      <c r="CP51" s="333"/>
      <c r="CQ51" s="333"/>
      <c r="CR51" s="333"/>
      <c r="CS51" s="333"/>
      <c r="CT51" s="336"/>
    </row>
    <row r="52" spans="1:98">
      <c r="A52" s="125">
        <v>51</v>
      </c>
      <c r="B52" t="s">
        <v>281</v>
      </c>
      <c r="AK52" s="13"/>
      <c r="AL52" s="13"/>
      <c r="AM52" s="13"/>
      <c r="AN52" s="13"/>
      <c r="AO52" s="13"/>
      <c r="AP52" s="13"/>
      <c r="AQ52" s="13"/>
      <c r="AR52" s="13"/>
      <c r="AS52" s="13"/>
      <c r="BC52" s="10">
        <v>66</v>
      </c>
      <c r="BD52" s="59">
        <v>31</v>
      </c>
      <c r="BE52" s="7" t="str">
        <f t="shared" si="18"/>
        <v>---------</v>
      </c>
      <c r="BF52" s="277">
        <v>22.1</v>
      </c>
      <c r="BG52" s="12" t="s">
        <v>223</v>
      </c>
      <c r="BH52" s="7" t="str">
        <f t="shared" si="19"/>
        <v>---------</v>
      </c>
      <c r="BI52" s="273">
        <v>2.7100000000000102</v>
      </c>
      <c r="BJ52" s="59">
        <v>31</v>
      </c>
      <c r="BK52" s="168" t="str">
        <f t="shared" si="20"/>
        <v>---------</v>
      </c>
      <c r="BL52" s="182">
        <v>6.2100000000000002E-2</v>
      </c>
      <c r="BM52" s="185">
        <v>31</v>
      </c>
      <c r="BN52" s="182">
        <f t="shared" si="21"/>
        <v>6.2100000000000002E-2</v>
      </c>
      <c r="BO52" s="265" cm="1">
        <f t="array" ref="BO52">INDEX(AF114:AI114,$AQ$20)</f>
        <v>6.1787758225115486</v>
      </c>
      <c r="BP52" s="13">
        <f t="shared" si="22"/>
        <v>2.5387060303251472</v>
      </c>
      <c r="BQ52" s="12" t="s">
        <v>162</v>
      </c>
      <c r="BR52" s="20" t="str">
        <f t="shared" si="23"/>
        <v/>
      </c>
      <c r="BS52" s="12" t="s">
        <v>223</v>
      </c>
      <c r="BT52" s="61" t="str">
        <f t="shared" si="24"/>
        <v>2.5</v>
      </c>
      <c r="BU52" s="20" t="str">
        <f t="shared" si="16"/>
        <v/>
      </c>
      <c r="BV52" s="12" t="s">
        <v>223</v>
      </c>
      <c r="BW52" s="61" t="str">
        <f t="shared" si="17"/>
        <v>2.5</v>
      </c>
      <c r="BY52" s="193"/>
      <c r="BZ52" s="348" t="str">
        <f t="shared" si="25"/>
        <v/>
      </c>
      <c r="CA52" s="349" t="str">
        <f t="shared" si="26"/>
        <v/>
      </c>
      <c r="CB52" s="350" t="str">
        <f t="shared" si="27"/>
        <v/>
      </c>
      <c r="CC52" s="350" t="str">
        <f t="shared" si="28"/>
        <v/>
      </c>
      <c r="CD52" s="350" t="str">
        <f t="shared" si="29"/>
        <v/>
      </c>
      <c r="CE52" s="351" t="str">
        <f t="shared" si="30"/>
        <v/>
      </c>
      <c r="CF52" s="670" t="str">
        <f t="shared" si="31"/>
        <v/>
      </c>
      <c r="CG52" s="349" t="str">
        <f t="shared" si="32"/>
        <v/>
      </c>
      <c r="CH52" s="350" t="str">
        <f t="shared" si="33"/>
        <v/>
      </c>
      <c r="CI52" s="350" t="str">
        <f t="shared" si="34"/>
        <v/>
      </c>
      <c r="CJ52" s="350" t="str">
        <f t="shared" si="35"/>
        <v/>
      </c>
      <c r="CK52" s="351" t="str">
        <f t="shared" si="36"/>
        <v/>
      </c>
      <c r="CL52" s="333"/>
      <c r="CM52" s="333"/>
      <c r="CN52" s="333"/>
      <c r="CO52" s="333"/>
      <c r="CP52" s="333"/>
      <c r="CQ52" s="333"/>
      <c r="CR52" s="333"/>
      <c r="CS52" s="333"/>
      <c r="CT52" s="336"/>
    </row>
    <row r="53" spans="1:98">
      <c r="A53" s="125">
        <v>52</v>
      </c>
      <c r="B53" t="s">
        <v>286</v>
      </c>
      <c r="AT53" s="9"/>
      <c r="AU53" s="9"/>
      <c r="AV53" s="9"/>
      <c r="AW53" s="9"/>
      <c r="AX53" s="9"/>
      <c r="AY53" s="9"/>
      <c r="AZ53" s="9"/>
      <c r="BA53" s="9"/>
      <c r="BB53" s="9"/>
      <c r="BC53" s="10">
        <v>65</v>
      </c>
      <c r="BD53" s="59">
        <v>32</v>
      </c>
      <c r="BE53" s="7" t="str">
        <f t="shared" si="18"/>
        <v>---------</v>
      </c>
      <c r="BF53" s="277">
        <v>22</v>
      </c>
      <c r="BG53" s="12" t="s">
        <v>229</v>
      </c>
      <c r="BH53" s="7" t="str">
        <f t="shared" si="19"/>
        <v>---------</v>
      </c>
      <c r="BI53" s="273">
        <v>2.7000000000000099</v>
      </c>
      <c r="BJ53" s="59">
        <v>32</v>
      </c>
      <c r="BK53" s="168" t="str">
        <f t="shared" si="20"/>
        <v>---------</v>
      </c>
      <c r="BL53" s="182">
        <v>6.2E-2</v>
      </c>
      <c r="BM53" s="185">
        <v>32</v>
      </c>
      <c r="BN53" s="182">
        <f t="shared" si="21"/>
        <v>6.2E-2</v>
      </c>
      <c r="BO53" s="265" cm="1">
        <f t="array" ref="BO53">INDEX(AF115:AI115,$AQ$20)</f>
        <v>6.1139050775190276</v>
      </c>
      <c r="BP53" s="13">
        <f t="shared" si="22"/>
        <v>2.5387060303251472</v>
      </c>
      <c r="BQ53" s="12" t="s">
        <v>166</v>
      </c>
      <c r="BR53" s="20" t="str">
        <f t="shared" si="23"/>
        <v/>
      </c>
      <c r="BS53" s="12" t="s">
        <v>229</v>
      </c>
      <c r="BT53" s="61" t="str">
        <f t="shared" si="24"/>
        <v>2.5</v>
      </c>
      <c r="BU53" s="20" t="str">
        <f t="shared" si="16"/>
        <v/>
      </c>
      <c r="BV53" s="12" t="s">
        <v>229</v>
      </c>
      <c r="BW53" s="61" t="str">
        <f t="shared" si="17"/>
        <v>2.5</v>
      </c>
      <c r="BY53" s="193"/>
      <c r="BZ53" s="348" t="str">
        <f t="shared" si="25"/>
        <v/>
      </c>
      <c r="CA53" s="349" t="str">
        <f t="shared" si="26"/>
        <v/>
      </c>
      <c r="CB53" s="350" t="str">
        <f t="shared" si="27"/>
        <v/>
      </c>
      <c r="CC53" s="350" t="str">
        <f t="shared" si="28"/>
        <v/>
      </c>
      <c r="CD53" s="350" t="str">
        <f t="shared" si="29"/>
        <v/>
      </c>
      <c r="CE53" s="351" t="str">
        <f t="shared" si="30"/>
        <v/>
      </c>
      <c r="CF53" s="670" t="str">
        <f t="shared" si="31"/>
        <v/>
      </c>
      <c r="CG53" s="349" t="str">
        <f t="shared" si="32"/>
        <v/>
      </c>
      <c r="CH53" s="350" t="str">
        <f t="shared" si="33"/>
        <v/>
      </c>
      <c r="CI53" s="350" t="str">
        <f t="shared" si="34"/>
        <v/>
      </c>
      <c r="CJ53" s="350" t="str">
        <f t="shared" si="35"/>
        <v/>
      </c>
      <c r="CK53" s="351" t="str">
        <f t="shared" si="36"/>
        <v/>
      </c>
      <c r="CL53" s="333"/>
      <c r="CM53" s="333"/>
      <c r="CN53" s="333"/>
      <c r="CO53" s="333"/>
      <c r="CP53" s="333"/>
      <c r="CQ53" s="333"/>
      <c r="CR53" s="333"/>
      <c r="CS53" s="333"/>
      <c r="CT53" s="336"/>
    </row>
    <row r="54" spans="1:98">
      <c r="A54" s="125">
        <v>53</v>
      </c>
      <c r="B54" s="558" t="s">
        <v>291</v>
      </c>
      <c r="BC54" s="10">
        <v>64</v>
      </c>
      <c r="BD54" s="59">
        <v>33</v>
      </c>
      <c r="BE54" s="7" t="str">
        <f t="shared" si="18"/>
        <v>---------</v>
      </c>
      <c r="BF54" s="277">
        <v>21.9</v>
      </c>
      <c r="BG54" s="12" t="s">
        <v>234</v>
      </c>
      <c r="BH54" s="7" t="str">
        <f t="shared" si="19"/>
        <v>---------</v>
      </c>
      <c r="BI54" s="273">
        <v>2.6900000000000102</v>
      </c>
      <c r="BJ54" s="59">
        <v>33</v>
      </c>
      <c r="BK54" s="168" t="str">
        <f t="shared" si="20"/>
        <v>---------</v>
      </c>
      <c r="BL54" s="182">
        <v>6.1899999999999997E-2</v>
      </c>
      <c r="BM54" s="185">
        <v>33</v>
      </c>
      <c r="BN54" s="182">
        <f t="shared" si="21"/>
        <v>6.1899999999999997E-2</v>
      </c>
      <c r="BO54" s="265" cm="1">
        <f t="array" ref="BO54">INDEX(AF116:AI116,$AQ$20)</f>
        <v>6.0484005011037709</v>
      </c>
      <c r="BP54" s="13">
        <f t="shared" si="22"/>
        <v>2.5387060303251472</v>
      </c>
      <c r="BQ54" s="12" t="s">
        <v>172</v>
      </c>
      <c r="BR54" s="20" t="str">
        <f t="shared" si="23"/>
        <v/>
      </c>
      <c r="BS54" s="12" t="s">
        <v>234</v>
      </c>
      <c r="BT54" s="61" t="str">
        <f t="shared" si="24"/>
        <v>2.5</v>
      </c>
      <c r="BU54" s="20" t="str">
        <f t="shared" ref="BU54:BU85" si="38">IF($BQ55*$BN$21*1000&lt;=$AE$6,$BQ55*$BN$21*1000,"")</f>
        <v/>
      </c>
      <c r="BV54" s="12" t="s">
        <v>234</v>
      </c>
      <c r="BW54" s="61" t="str">
        <f t="shared" ref="BW54:BW85" si="39">IF($BR55&lt;&gt;"",$BQ55,BW55)</f>
        <v>2.5</v>
      </c>
      <c r="BY54" s="193"/>
      <c r="BZ54" s="348" t="str">
        <f t="shared" si="25"/>
        <v/>
      </c>
      <c r="CA54" s="349" t="str">
        <f t="shared" si="26"/>
        <v/>
      </c>
      <c r="CB54" s="350" t="str">
        <f t="shared" si="27"/>
        <v/>
      </c>
      <c r="CC54" s="350" t="str">
        <f t="shared" si="28"/>
        <v/>
      </c>
      <c r="CD54" s="350" t="str">
        <f t="shared" si="29"/>
        <v/>
      </c>
      <c r="CE54" s="351" t="str">
        <f t="shared" si="30"/>
        <v/>
      </c>
      <c r="CF54" s="670" t="str">
        <f t="shared" si="31"/>
        <v/>
      </c>
      <c r="CG54" s="349" t="str">
        <f t="shared" si="32"/>
        <v/>
      </c>
      <c r="CH54" s="350" t="str">
        <f t="shared" si="33"/>
        <v/>
      </c>
      <c r="CI54" s="350" t="str">
        <f t="shared" si="34"/>
        <v/>
      </c>
      <c r="CJ54" s="350" t="str">
        <f t="shared" si="35"/>
        <v/>
      </c>
      <c r="CK54" s="351" t="str">
        <f t="shared" si="36"/>
        <v/>
      </c>
      <c r="CL54" s="333"/>
      <c r="CM54" s="333"/>
      <c r="CN54" s="333"/>
      <c r="CO54" s="333"/>
      <c r="CP54" s="333"/>
      <c r="CQ54" s="333"/>
      <c r="CR54" s="333"/>
      <c r="CS54" s="333"/>
      <c r="CT54" s="336"/>
    </row>
    <row r="55" spans="1:98">
      <c r="A55" s="125">
        <v>54</v>
      </c>
      <c r="B55" s="558" t="s">
        <v>49</v>
      </c>
      <c r="U55" s="35"/>
      <c r="V55" s="35"/>
      <c r="W55" s="35"/>
      <c r="X55" s="35"/>
      <c r="Y55" s="35"/>
      <c r="Z55" s="35"/>
      <c r="AA55" s="36"/>
      <c r="AB55" s="36"/>
      <c r="AC55" s="36"/>
      <c r="AE55" s="18"/>
      <c r="AF55" s="18"/>
      <c r="AG55" s="18"/>
      <c r="AH55" s="18"/>
      <c r="AI55" s="18"/>
      <c r="AJ55" s="18"/>
      <c r="BC55" s="10">
        <v>63</v>
      </c>
      <c r="BD55" s="59">
        <v>34</v>
      </c>
      <c r="BE55" s="7" t="str">
        <f t="shared" ref="BE55:BE86" si="40">IF(Cntrl5=4,TEXT(BC55,"0.0"),"---------")</f>
        <v>---------</v>
      </c>
      <c r="BF55" s="277">
        <v>21.8</v>
      </c>
      <c r="BG55" s="12" t="s">
        <v>238</v>
      </c>
      <c r="BH55" s="7" t="str">
        <f t="shared" si="19"/>
        <v>---------</v>
      </c>
      <c r="BI55" s="273">
        <v>2.6800000000000099</v>
      </c>
      <c r="BJ55" s="59">
        <v>34</v>
      </c>
      <c r="BK55" s="168" t="str">
        <f t="shared" si="20"/>
        <v>---------</v>
      </c>
      <c r="BL55" s="182">
        <v>6.1800000000000001E-2</v>
      </c>
      <c r="BM55" s="185">
        <v>34</v>
      </c>
      <c r="BN55" s="182">
        <f t="shared" si="21"/>
        <v>6.1800000000000001E-2</v>
      </c>
      <c r="BO55" s="265" cm="1">
        <f t="array" ref="BO55">INDEX(AF117:AI117,$AQ$20)</f>
        <v>5.9822620932657786</v>
      </c>
      <c r="BP55" s="13">
        <f t="shared" ref="BP55:BP86" si="41">IF(BR55&lt;&gt;"",BO55,BP56)</f>
        <v>2.5387060303251472</v>
      </c>
      <c r="BQ55" s="12" t="s">
        <v>178</v>
      </c>
      <c r="BR55" s="20" t="str">
        <f t="shared" ref="BR55:BR86" si="42">IF($BQ55*$BN$21*1000&lt;=$AE$6,$BQ55*$BN$21*1000,"")</f>
        <v/>
      </c>
      <c r="BS55" s="12" t="s">
        <v>238</v>
      </c>
      <c r="BT55" s="61" t="str">
        <f t="shared" ref="BT55:BT86" si="43">IF($BR55&lt;&gt;"",$BQ55,BT56)</f>
        <v>2.5</v>
      </c>
      <c r="BU55" s="20" t="str">
        <f t="shared" si="38"/>
        <v/>
      </c>
      <c r="BV55" s="12" t="s">
        <v>238</v>
      </c>
      <c r="BW55" s="61" t="str">
        <f t="shared" si="39"/>
        <v>2.5</v>
      </c>
      <c r="BY55" s="193"/>
      <c r="BZ55" s="348" t="str">
        <f t="shared" si="25"/>
        <v/>
      </c>
      <c r="CA55" s="349" t="str">
        <f t="shared" si="26"/>
        <v/>
      </c>
      <c r="CB55" s="350" t="str">
        <f t="shared" si="27"/>
        <v/>
      </c>
      <c r="CC55" s="350" t="str">
        <f t="shared" si="28"/>
        <v/>
      </c>
      <c r="CD55" s="350" t="str">
        <f t="shared" si="29"/>
        <v/>
      </c>
      <c r="CE55" s="351" t="str">
        <f t="shared" si="30"/>
        <v/>
      </c>
      <c r="CF55" s="670" t="str">
        <f t="shared" si="31"/>
        <v/>
      </c>
      <c r="CG55" s="349" t="str">
        <f t="shared" si="32"/>
        <v/>
      </c>
      <c r="CH55" s="350" t="str">
        <f t="shared" si="33"/>
        <v/>
      </c>
      <c r="CI55" s="350" t="str">
        <f t="shared" si="34"/>
        <v/>
      </c>
      <c r="CJ55" s="350" t="str">
        <f t="shared" si="35"/>
        <v/>
      </c>
      <c r="CK55" s="351" t="str">
        <f t="shared" si="36"/>
        <v/>
      </c>
      <c r="CL55" s="333"/>
      <c r="CM55" s="333"/>
      <c r="CN55" s="333"/>
      <c r="CO55" s="333"/>
      <c r="CP55" s="333"/>
      <c r="CQ55" s="333"/>
      <c r="CR55" s="333"/>
      <c r="CS55" s="333"/>
      <c r="CT55" s="336"/>
    </row>
    <row r="56" spans="1:98">
      <c r="A56" s="125">
        <v>55</v>
      </c>
      <c r="B56" s="558" t="s">
        <v>63</v>
      </c>
      <c r="U56" s="35"/>
      <c r="V56" s="35"/>
      <c r="W56" s="35"/>
      <c r="X56" s="35"/>
      <c r="Y56" s="35"/>
      <c r="Z56" s="35"/>
      <c r="AA56" s="36"/>
      <c r="AB56" s="36"/>
      <c r="AC56" s="36"/>
      <c r="AE56" s="18"/>
      <c r="AF56" s="18"/>
      <c r="AG56" s="18"/>
      <c r="AH56" s="18"/>
      <c r="AI56" s="18"/>
      <c r="AJ56" s="18"/>
      <c r="BC56" s="10">
        <v>62</v>
      </c>
      <c r="BD56" s="59">
        <v>35</v>
      </c>
      <c r="BE56" s="7" t="str">
        <f t="shared" si="40"/>
        <v>---------</v>
      </c>
      <c r="BF56" s="277">
        <v>21.7</v>
      </c>
      <c r="BG56" s="12" t="s">
        <v>243</v>
      </c>
      <c r="BH56" s="7" t="str">
        <f t="shared" si="19"/>
        <v>---------</v>
      </c>
      <c r="BI56" s="273">
        <v>2.6700000000000101</v>
      </c>
      <c r="BJ56" s="59">
        <v>35</v>
      </c>
      <c r="BK56" s="168" t="str">
        <f t="shared" si="20"/>
        <v>---------</v>
      </c>
      <c r="BL56" s="182">
        <v>6.1699999999999998E-2</v>
      </c>
      <c r="BM56" s="185">
        <v>35</v>
      </c>
      <c r="BN56" s="182">
        <f t="shared" si="21"/>
        <v>6.1699999999999998E-2</v>
      </c>
      <c r="BO56" s="265" cm="1">
        <f t="array" ref="BO56">INDEX(AF118:AI118,$AQ$20)</f>
        <v>5.915489854005056</v>
      </c>
      <c r="BP56" s="13">
        <f t="shared" si="41"/>
        <v>2.5387060303251472</v>
      </c>
      <c r="BQ56" s="12" t="s">
        <v>185</v>
      </c>
      <c r="BR56" s="20" t="str">
        <f t="shared" si="42"/>
        <v/>
      </c>
      <c r="BS56" s="12" t="s">
        <v>243</v>
      </c>
      <c r="BT56" s="61" t="str">
        <f t="shared" si="43"/>
        <v>2.5</v>
      </c>
      <c r="BU56" s="20" t="str">
        <f t="shared" si="38"/>
        <v/>
      </c>
      <c r="BV56" s="12" t="s">
        <v>243</v>
      </c>
      <c r="BW56" s="61" t="str">
        <f t="shared" si="39"/>
        <v>2.5</v>
      </c>
      <c r="BY56" s="193"/>
      <c r="BZ56" s="348" t="str">
        <f t="shared" si="25"/>
        <v/>
      </c>
      <c r="CA56" s="349" t="str">
        <f t="shared" si="26"/>
        <v/>
      </c>
      <c r="CB56" s="350" t="str">
        <f t="shared" si="27"/>
        <v/>
      </c>
      <c r="CC56" s="350" t="str">
        <f t="shared" si="28"/>
        <v/>
      </c>
      <c r="CD56" s="350" t="str">
        <f t="shared" si="29"/>
        <v/>
      </c>
      <c r="CE56" s="351" t="str">
        <f t="shared" si="30"/>
        <v/>
      </c>
      <c r="CF56" s="670" t="str">
        <f t="shared" si="31"/>
        <v/>
      </c>
      <c r="CG56" s="349" t="str">
        <f t="shared" si="32"/>
        <v/>
      </c>
      <c r="CH56" s="350" t="str">
        <f t="shared" si="33"/>
        <v/>
      </c>
      <c r="CI56" s="350" t="str">
        <f t="shared" si="34"/>
        <v/>
      </c>
      <c r="CJ56" s="350" t="str">
        <f t="shared" si="35"/>
        <v/>
      </c>
      <c r="CK56" s="351" t="str">
        <f t="shared" si="36"/>
        <v/>
      </c>
      <c r="CL56" s="333"/>
      <c r="CM56" s="333"/>
      <c r="CN56" s="333"/>
      <c r="CO56" s="333"/>
      <c r="CP56" s="333"/>
      <c r="CQ56" s="333"/>
      <c r="CR56" s="333"/>
      <c r="CS56" s="333"/>
      <c r="CT56" s="336"/>
    </row>
    <row r="57" spans="1:98">
      <c r="A57" s="125">
        <v>56</v>
      </c>
      <c r="B57" s="558" t="s">
        <v>73</v>
      </c>
      <c r="U57" s="12">
        <f>MATCH(AF1,U58:U67,0)</f>
        <v>6</v>
      </c>
      <c r="V57" s="35"/>
      <c r="W57" s="672" t="str">
        <f>IF(AW20,W59,W58)</f>
        <v>P_blank2</v>
      </c>
      <c r="X57" s="66">
        <f>Z57</f>
        <v>2</v>
      </c>
      <c r="Y57" s="65" t="str" cm="1">
        <f t="array" ref="Y57">INDEX(Y58:Y61,X57)</f>
        <v>P_RS_S_B_SR</v>
      </c>
      <c r="Z57" s="64">
        <f>BA21-1</f>
        <v>2</v>
      </c>
      <c r="AA57" s="67" t="str" cm="1">
        <f t="array" ref="AA57">INDEX(AA58:AA61,Z57)</f>
        <v>P_RS_S_D</v>
      </c>
      <c r="AB57" s="36"/>
      <c r="AC57" s="54">
        <f>MATCH(AD57,AD58:AD72,0)</f>
        <v>2</v>
      </c>
      <c r="AD57" s="55" t="str">
        <f>AH1</f>
        <v>P_blank2</v>
      </c>
      <c r="AF57" s="54">
        <f>MATCH(AG57,AG58:AG71,0)</f>
        <v>8</v>
      </c>
      <c r="AG57" s="55" t="str">
        <f>AF1</f>
        <v>P_RS_S_B_SR</v>
      </c>
      <c r="AK57" s="59"/>
      <c r="AL57" s="59"/>
      <c r="AM57" s="59"/>
      <c r="AN57" s="59"/>
      <c r="AO57" s="59"/>
      <c r="AP57" s="59"/>
      <c r="AQ57" s="59"/>
      <c r="AR57" s="59"/>
      <c r="AS57" s="59"/>
      <c r="AT57" s="18"/>
      <c r="AU57" s="18"/>
      <c r="AV57" s="18"/>
      <c r="AW57" s="18"/>
      <c r="AX57" s="18"/>
      <c r="AY57" s="18"/>
      <c r="AZ57" s="18"/>
      <c r="BA57" s="18"/>
      <c r="BB57" s="18"/>
      <c r="BC57" s="10">
        <v>61</v>
      </c>
      <c r="BD57" s="59">
        <v>36</v>
      </c>
      <c r="BE57" s="7" t="str">
        <f t="shared" si="40"/>
        <v>---------</v>
      </c>
      <c r="BF57" s="277">
        <v>21.6</v>
      </c>
      <c r="BG57" s="12" t="s">
        <v>247</v>
      </c>
      <c r="BH57" s="7" t="str">
        <f t="shared" si="19"/>
        <v>---------</v>
      </c>
      <c r="BI57" s="273">
        <v>2.6600000000000099</v>
      </c>
      <c r="BJ57" s="59">
        <v>36</v>
      </c>
      <c r="BK57" s="168" t="str">
        <f t="shared" si="20"/>
        <v>---------</v>
      </c>
      <c r="BL57" s="182">
        <v>6.1600000000000002E-2</v>
      </c>
      <c r="BM57" s="185">
        <v>36</v>
      </c>
      <c r="BN57" s="182">
        <f t="shared" si="21"/>
        <v>6.1600000000000002E-2</v>
      </c>
      <c r="BO57" s="265" cm="1">
        <f t="array" ref="BO57">INDEX(AF119:AI119,$AQ$20)</f>
        <v>5.8480837833215933</v>
      </c>
      <c r="BP57" s="13">
        <f t="shared" si="41"/>
        <v>2.5387060303251472</v>
      </c>
      <c r="BQ57" s="12" t="s">
        <v>189</v>
      </c>
      <c r="BR57" s="20" t="str">
        <f t="shared" si="42"/>
        <v/>
      </c>
      <c r="BS57" s="12" t="s">
        <v>247</v>
      </c>
      <c r="BT57" s="61" t="str">
        <f t="shared" si="43"/>
        <v>2.5</v>
      </c>
      <c r="BU57" s="20" t="str">
        <f t="shared" si="38"/>
        <v/>
      </c>
      <c r="BV57" s="12" t="s">
        <v>247</v>
      </c>
      <c r="BW57" s="61" t="str">
        <f t="shared" si="39"/>
        <v>2.5</v>
      </c>
      <c r="BY57" s="193"/>
      <c r="BZ57" s="348" t="str">
        <f t="shared" si="25"/>
        <v/>
      </c>
      <c r="CA57" s="349" t="str">
        <f t="shared" si="26"/>
        <v/>
      </c>
      <c r="CB57" s="350" t="str">
        <f t="shared" si="27"/>
        <v/>
      </c>
      <c r="CC57" s="350" t="str">
        <f t="shared" si="28"/>
        <v/>
      </c>
      <c r="CD57" s="350" t="str">
        <f t="shared" si="29"/>
        <v/>
      </c>
      <c r="CE57" s="351" t="str">
        <f t="shared" si="30"/>
        <v/>
      </c>
      <c r="CF57" s="670" t="str">
        <f t="shared" si="31"/>
        <v/>
      </c>
      <c r="CG57" s="349" t="str">
        <f t="shared" si="32"/>
        <v/>
      </c>
      <c r="CH57" s="350" t="str">
        <f t="shared" si="33"/>
        <v/>
      </c>
      <c r="CI57" s="350" t="str">
        <f t="shared" si="34"/>
        <v/>
      </c>
      <c r="CJ57" s="350" t="str">
        <f t="shared" si="35"/>
        <v/>
      </c>
      <c r="CK57" s="351" t="str">
        <f t="shared" si="36"/>
        <v/>
      </c>
      <c r="CL57" s="333"/>
      <c r="CM57" s="333"/>
      <c r="CN57" s="333"/>
      <c r="CO57" s="333"/>
      <c r="CP57" s="333"/>
      <c r="CQ57" s="333"/>
      <c r="CR57" s="333"/>
      <c r="CS57" s="333"/>
      <c r="CT57" s="336"/>
    </row>
    <row r="58" spans="1:98">
      <c r="A58" s="125">
        <v>57</v>
      </c>
      <c r="B58" s="558" t="s">
        <v>80</v>
      </c>
      <c r="U58" s="7" t="s">
        <v>620</v>
      </c>
      <c r="V58" s="35"/>
      <c r="W58" s="7" t="s">
        <v>278</v>
      </c>
      <c r="X58" s="35"/>
      <c r="Y58" s="8" t="s">
        <v>621</v>
      </c>
      <c r="AA58" s="8" t="s">
        <v>622</v>
      </c>
      <c r="AB58" s="36"/>
      <c r="AC58" s="7">
        <v>1</v>
      </c>
      <c r="AD58" s="7" t="s">
        <v>272</v>
      </c>
      <c r="AF58" s="7">
        <v>1</v>
      </c>
      <c r="AG58" s="7" t="s">
        <v>623</v>
      </c>
      <c r="AK58" s="24"/>
      <c r="AL58" s="24"/>
      <c r="AM58" s="24"/>
      <c r="AN58" s="24"/>
      <c r="AO58" s="24"/>
      <c r="AP58" s="24"/>
      <c r="AQ58" s="24"/>
      <c r="AR58" s="24"/>
      <c r="AS58" s="24"/>
      <c r="BC58" s="10">
        <v>60</v>
      </c>
      <c r="BD58" s="59">
        <v>37</v>
      </c>
      <c r="BE58" s="7" t="str">
        <f t="shared" si="40"/>
        <v>---------</v>
      </c>
      <c r="BF58" s="277">
        <v>21.5</v>
      </c>
      <c r="BG58" s="12" t="s">
        <v>253</v>
      </c>
      <c r="BH58" s="7" t="str">
        <f t="shared" si="19"/>
        <v>---------</v>
      </c>
      <c r="BI58" s="273">
        <v>2.6500000000000101</v>
      </c>
      <c r="BJ58" s="59">
        <v>37</v>
      </c>
      <c r="BK58" s="168" t="str">
        <f t="shared" si="20"/>
        <v>---------</v>
      </c>
      <c r="BL58" s="182">
        <v>6.1499999999999999E-2</v>
      </c>
      <c r="BM58" s="185">
        <v>37</v>
      </c>
      <c r="BN58" s="182">
        <f t="shared" si="21"/>
        <v>6.1499999999999999E-2</v>
      </c>
      <c r="BO58" s="265" cm="1">
        <f t="array" ref="BO58">INDEX(AF120:AI120,$AQ$20)</f>
        <v>5.7800438812153976</v>
      </c>
      <c r="BP58" s="13">
        <f t="shared" si="41"/>
        <v>2.5387060303251472</v>
      </c>
      <c r="BQ58" s="12" t="s">
        <v>196</v>
      </c>
      <c r="BR58" s="20" t="str">
        <f t="shared" si="42"/>
        <v/>
      </c>
      <c r="BS58" s="12" t="s">
        <v>253</v>
      </c>
      <c r="BT58" s="61" t="str">
        <f t="shared" si="43"/>
        <v>2.5</v>
      </c>
      <c r="BU58" s="20" t="str">
        <f t="shared" si="38"/>
        <v/>
      </c>
      <c r="BV58" s="12" t="s">
        <v>253</v>
      </c>
      <c r="BW58" s="61" t="str">
        <f t="shared" si="39"/>
        <v>2.5</v>
      </c>
      <c r="BY58" s="193"/>
      <c r="BZ58" s="348" t="str">
        <f t="shared" si="25"/>
        <v/>
      </c>
      <c r="CA58" s="349" t="str">
        <f t="shared" si="26"/>
        <v/>
      </c>
      <c r="CB58" s="350" t="str">
        <f t="shared" si="27"/>
        <v/>
      </c>
      <c r="CC58" s="350" t="str">
        <f t="shared" si="28"/>
        <v/>
      </c>
      <c r="CD58" s="350" t="str">
        <f t="shared" si="29"/>
        <v/>
      </c>
      <c r="CE58" s="351" t="str">
        <f t="shared" si="30"/>
        <v/>
      </c>
      <c r="CF58" s="670" t="str">
        <f t="shared" si="31"/>
        <v/>
      </c>
      <c r="CG58" s="349" t="str">
        <f t="shared" si="32"/>
        <v/>
      </c>
      <c r="CH58" s="350" t="str">
        <f t="shared" si="33"/>
        <v/>
      </c>
      <c r="CI58" s="350" t="str">
        <f t="shared" si="34"/>
        <v/>
      </c>
      <c r="CJ58" s="350" t="str">
        <f t="shared" si="35"/>
        <v/>
      </c>
      <c r="CK58" s="351" t="str">
        <f t="shared" si="36"/>
        <v/>
      </c>
      <c r="CL58" s="333"/>
      <c r="CM58" s="333"/>
      <c r="CN58" s="333"/>
      <c r="CO58" s="333"/>
      <c r="CP58" s="333"/>
      <c r="CQ58" s="333"/>
      <c r="CR58" s="333"/>
      <c r="CS58" s="333"/>
      <c r="CT58" s="336"/>
    </row>
    <row r="59" spans="1:98">
      <c r="A59" s="125">
        <v>58</v>
      </c>
      <c r="B59" s="558" t="s">
        <v>86</v>
      </c>
      <c r="U59" s="7" t="s">
        <v>624</v>
      </c>
      <c r="V59" s="35"/>
      <c r="W59" s="8" t="s">
        <v>293</v>
      </c>
      <c r="X59" s="35"/>
      <c r="Y59" s="672" t="str">
        <f>Y63</f>
        <v>P_RS_S_B_SR</v>
      </c>
      <c r="AA59" s="8" t="s">
        <v>625</v>
      </c>
      <c r="AB59" s="36"/>
      <c r="AC59" s="7">
        <v>2</v>
      </c>
      <c r="AD59" s="7" t="s">
        <v>278</v>
      </c>
      <c r="AF59" s="7">
        <v>2</v>
      </c>
      <c r="AG59" s="7" t="s">
        <v>626</v>
      </c>
      <c r="AK59" s="24"/>
      <c r="AL59" s="24"/>
      <c r="AM59" s="24"/>
      <c r="AN59" s="24"/>
      <c r="AO59" s="24"/>
      <c r="AP59" s="24"/>
      <c r="AQ59" s="24"/>
      <c r="AR59" s="24"/>
      <c r="AS59" s="24"/>
      <c r="BC59" s="10">
        <v>59</v>
      </c>
      <c r="BD59" s="59">
        <v>38</v>
      </c>
      <c r="BE59" s="7" t="str">
        <f t="shared" si="40"/>
        <v>---------</v>
      </c>
      <c r="BF59" s="277">
        <v>21.4</v>
      </c>
      <c r="BG59" s="12" t="s">
        <v>258</v>
      </c>
      <c r="BH59" s="7" t="str">
        <f t="shared" si="19"/>
        <v>---------</v>
      </c>
      <c r="BI59" s="273">
        <v>2.6400000000000099</v>
      </c>
      <c r="BJ59" s="59">
        <v>38</v>
      </c>
      <c r="BK59" s="168" t="str">
        <f t="shared" si="20"/>
        <v>---------</v>
      </c>
      <c r="BL59" s="182">
        <v>6.1400000000000003E-2</v>
      </c>
      <c r="BM59" s="185">
        <v>38</v>
      </c>
      <c r="BN59" s="182">
        <f t="shared" si="21"/>
        <v>6.1400000000000003E-2</v>
      </c>
      <c r="BO59" s="265" cm="1">
        <f t="array" ref="BO59">INDEX(AF121:AI121,$AQ$20)</f>
        <v>5.7113701476864689</v>
      </c>
      <c r="BP59" s="13">
        <f t="shared" si="41"/>
        <v>2.5387060303251472</v>
      </c>
      <c r="BQ59" s="12" t="s">
        <v>202</v>
      </c>
      <c r="BR59" s="20" t="str">
        <f t="shared" si="42"/>
        <v/>
      </c>
      <c r="BS59" s="12" t="s">
        <v>258</v>
      </c>
      <c r="BT59" s="61" t="str">
        <f t="shared" si="43"/>
        <v>2.5</v>
      </c>
      <c r="BU59" s="20" t="str">
        <f t="shared" si="38"/>
        <v/>
      </c>
      <c r="BV59" s="12" t="s">
        <v>258</v>
      </c>
      <c r="BW59" s="61" t="str">
        <f t="shared" si="39"/>
        <v>2.5</v>
      </c>
      <c r="BY59" s="193"/>
      <c r="BZ59" s="348" t="str">
        <f t="shared" si="25"/>
        <v/>
      </c>
      <c r="CA59" s="349" t="str">
        <f t="shared" si="26"/>
        <v/>
      </c>
      <c r="CB59" s="350" t="str">
        <f t="shared" si="27"/>
        <v/>
      </c>
      <c r="CC59" s="350" t="str">
        <f t="shared" si="28"/>
        <v/>
      </c>
      <c r="CD59" s="350" t="str">
        <f t="shared" si="29"/>
        <v/>
      </c>
      <c r="CE59" s="351" t="str">
        <f t="shared" si="30"/>
        <v/>
      </c>
      <c r="CF59" s="670" t="str">
        <f t="shared" si="31"/>
        <v/>
      </c>
      <c r="CG59" s="349" t="str">
        <f t="shared" si="32"/>
        <v/>
      </c>
      <c r="CH59" s="350" t="str">
        <f t="shared" si="33"/>
        <v/>
      </c>
      <c r="CI59" s="350" t="str">
        <f t="shared" si="34"/>
        <v/>
      </c>
      <c r="CJ59" s="350" t="str">
        <f t="shared" si="35"/>
        <v/>
      </c>
      <c r="CK59" s="351" t="str">
        <f t="shared" si="36"/>
        <v/>
      </c>
      <c r="CL59" s="333"/>
      <c r="CM59" s="333"/>
      <c r="CN59" s="333"/>
      <c r="CO59" s="333"/>
      <c r="CP59" s="333"/>
      <c r="CQ59" s="333"/>
      <c r="CR59" s="333"/>
      <c r="CS59" s="333"/>
      <c r="CT59" s="336"/>
    </row>
    <row r="60" spans="1:98">
      <c r="A60" s="125">
        <v>59</v>
      </c>
      <c r="B60" s="558" t="s">
        <v>93</v>
      </c>
      <c r="U60" s="7" t="s">
        <v>293</v>
      </c>
      <c r="V60" s="35"/>
      <c r="W60" s="35"/>
      <c r="X60" s="35"/>
      <c r="Y60" s="8" t="s">
        <v>620</v>
      </c>
      <c r="AA60" s="8" t="s">
        <v>624</v>
      </c>
      <c r="AB60" s="36"/>
      <c r="AC60" s="7">
        <v>3</v>
      </c>
      <c r="AD60" s="7" t="s">
        <v>283</v>
      </c>
      <c r="AF60" s="7">
        <v>3</v>
      </c>
      <c r="AG60" s="7" t="s">
        <v>620</v>
      </c>
      <c r="AK60" s="24"/>
      <c r="AL60" s="24"/>
      <c r="AM60" s="24"/>
      <c r="AN60" s="24"/>
      <c r="AO60" s="24"/>
      <c r="AP60" s="24"/>
      <c r="AQ60" s="24"/>
      <c r="AR60" s="24"/>
      <c r="AS60" s="24"/>
      <c r="BC60" s="10">
        <v>58</v>
      </c>
      <c r="BD60" s="59">
        <v>39</v>
      </c>
      <c r="BE60" s="7" t="str">
        <f t="shared" si="40"/>
        <v>---------</v>
      </c>
      <c r="BF60" s="277">
        <v>21.3</v>
      </c>
      <c r="BG60" s="12" t="s">
        <v>263</v>
      </c>
      <c r="BH60" s="7" t="str">
        <f t="shared" si="19"/>
        <v>---------</v>
      </c>
      <c r="BI60" s="273">
        <v>2.6300000000000101</v>
      </c>
      <c r="BJ60" s="59">
        <v>39</v>
      </c>
      <c r="BK60" s="168" t="str">
        <f t="shared" si="20"/>
        <v>---------</v>
      </c>
      <c r="BL60" s="182">
        <v>6.13E-2</v>
      </c>
      <c r="BM60" s="185">
        <v>39</v>
      </c>
      <c r="BN60" s="182">
        <f t="shared" si="21"/>
        <v>6.13E-2</v>
      </c>
      <c r="BO60" s="265" cm="1">
        <f t="array" ref="BO60">INDEX(AF122:AI122,$AQ$20)</f>
        <v>5.6420625827348037</v>
      </c>
      <c r="BP60" s="13">
        <f t="shared" si="41"/>
        <v>2.5387060303251472</v>
      </c>
      <c r="BQ60" s="12" t="s">
        <v>206</v>
      </c>
      <c r="BR60" s="20" t="str">
        <f t="shared" si="42"/>
        <v/>
      </c>
      <c r="BS60" s="12" t="s">
        <v>263</v>
      </c>
      <c r="BT60" s="61" t="str">
        <f t="shared" si="43"/>
        <v>2.5</v>
      </c>
      <c r="BU60" s="20" t="str">
        <f t="shared" si="38"/>
        <v/>
      </c>
      <c r="BV60" s="12" t="s">
        <v>263</v>
      </c>
      <c r="BW60" s="61" t="str">
        <f t="shared" si="39"/>
        <v>2.5</v>
      </c>
      <c r="BY60" s="333"/>
      <c r="BZ60" s="348" t="str">
        <f t="shared" si="25"/>
        <v/>
      </c>
      <c r="CA60" s="349" t="str">
        <f t="shared" si="26"/>
        <v/>
      </c>
      <c r="CB60" s="350" t="str">
        <f t="shared" si="27"/>
        <v/>
      </c>
      <c r="CC60" s="350" t="str">
        <f t="shared" si="28"/>
        <v/>
      </c>
      <c r="CD60" s="350" t="str">
        <f t="shared" si="29"/>
        <v/>
      </c>
      <c r="CE60" s="351" t="str">
        <f t="shared" si="30"/>
        <v/>
      </c>
      <c r="CF60" s="670" t="str">
        <f t="shared" si="31"/>
        <v/>
      </c>
      <c r="CG60" s="349" t="str">
        <f t="shared" si="32"/>
        <v/>
      </c>
      <c r="CH60" s="350" t="str">
        <f t="shared" si="33"/>
        <v/>
      </c>
      <c r="CI60" s="350" t="str">
        <f t="shared" si="34"/>
        <v/>
      </c>
      <c r="CJ60" s="350" t="str">
        <f t="shared" si="35"/>
        <v/>
      </c>
      <c r="CK60" s="351" t="str">
        <f t="shared" si="36"/>
        <v/>
      </c>
      <c r="CL60" s="333"/>
      <c r="CM60" s="333"/>
      <c r="CN60" s="333"/>
      <c r="CO60" s="333"/>
      <c r="CP60" s="333"/>
      <c r="CQ60" s="333"/>
      <c r="CR60" s="333"/>
      <c r="CS60" s="333"/>
      <c r="CT60" s="336"/>
    </row>
    <row r="61" spans="1:98">
      <c r="A61" s="125">
        <v>60</v>
      </c>
      <c r="B61" s="558" t="s">
        <v>99</v>
      </c>
      <c r="U61" s="7" t="s">
        <v>627</v>
      </c>
      <c r="V61" s="35"/>
      <c r="W61" s="8" t="s">
        <v>628</v>
      </c>
      <c r="X61" s="35"/>
      <c r="Y61" s="8" t="s">
        <v>623</v>
      </c>
      <c r="AA61" s="8" t="s">
        <v>626</v>
      </c>
      <c r="AB61" s="36"/>
      <c r="AC61" s="7">
        <v>4</v>
      </c>
      <c r="AD61" s="7" t="s">
        <v>288</v>
      </c>
      <c r="AF61" s="7">
        <v>4</v>
      </c>
      <c r="AG61" s="7" t="s">
        <v>624</v>
      </c>
      <c r="AK61" s="24"/>
      <c r="AL61" s="24"/>
      <c r="AM61" s="24"/>
      <c r="AN61" s="24"/>
      <c r="AO61" s="24"/>
      <c r="AP61" s="24"/>
      <c r="AQ61" s="24"/>
      <c r="AR61" s="24"/>
      <c r="AS61" s="24"/>
      <c r="BC61" s="10">
        <v>57</v>
      </c>
      <c r="BD61" s="59">
        <v>40</v>
      </c>
      <c r="BE61" s="7" t="str">
        <f t="shared" si="40"/>
        <v>---------</v>
      </c>
      <c r="BF61" s="277">
        <v>21.2</v>
      </c>
      <c r="BG61" s="12" t="s">
        <v>269</v>
      </c>
      <c r="BH61" s="7" t="str">
        <f t="shared" si="19"/>
        <v>---------</v>
      </c>
      <c r="BI61" s="273">
        <v>2.6200000000000099</v>
      </c>
      <c r="BJ61" s="59">
        <v>40</v>
      </c>
      <c r="BK61" s="168" t="str">
        <f t="shared" si="20"/>
        <v>---------</v>
      </c>
      <c r="BL61" s="182">
        <v>6.1199999999999997E-2</v>
      </c>
      <c r="BM61" s="185">
        <v>40</v>
      </c>
      <c r="BN61" s="182">
        <f t="shared" si="21"/>
        <v>6.1199999999999997E-2</v>
      </c>
      <c r="BO61" s="265" cm="1">
        <f t="array" ref="BO61">INDEX(AF123:AI123,$AQ$20)</f>
        <v>5.5721211863604054</v>
      </c>
      <c r="BP61" s="13">
        <f t="shared" si="41"/>
        <v>2.5387060303251472</v>
      </c>
      <c r="BQ61" s="12" t="s">
        <v>210</v>
      </c>
      <c r="BR61" s="20" t="str">
        <f t="shared" si="42"/>
        <v/>
      </c>
      <c r="BS61" s="12" t="s">
        <v>269</v>
      </c>
      <c r="BT61" s="61" t="str">
        <f t="shared" si="43"/>
        <v>2.5</v>
      </c>
      <c r="BU61" s="20" t="str">
        <f t="shared" si="38"/>
        <v/>
      </c>
      <c r="BV61" s="12" t="s">
        <v>269</v>
      </c>
      <c r="BW61" s="61" t="str">
        <f t="shared" si="39"/>
        <v>2.5</v>
      </c>
      <c r="BY61" s="333"/>
      <c r="BZ61" s="348" t="str">
        <f t="shared" si="25"/>
        <v/>
      </c>
      <c r="CA61" s="349" t="str">
        <f t="shared" si="26"/>
        <v/>
      </c>
      <c r="CB61" s="350" t="str">
        <f t="shared" si="27"/>
        <v/>
      </c>
      <c r="CC61" s="350" t="str">
        <f t="shared" si="28"/>
        <v/>
      </c>
      <c r="CD61" s="350" t="str">
        <f t="shared" si="29"/>
        <v/>
      </c>
      <c r="CE61" s="351" t="str">
        <f t="shared" si="30"/>
        <v/>
      </c>
      <c r="CF61" s="670" t="str">
        <f t="shared" si="31"/>
        <v/>
      </c>
      <c r="CG61" s="349" t="str">
        <f t="shared" si="32"/>
        <v/>
      </c>
      <c r="CH61" s="350" t="str">
        <f t="shared" si="33"/>
        <v/>
      </c>
      <c r="CI61" s="350" t="str">
        <f t="shared" si="34"/>
        <v/>
      </c>
      <c r="CJ61" s="350" t="str">
        <f t="shared" si="35"/>
        <v/>
      </c>
      <c r="CK61" s="351" t="str">
        <f t="shared" si="36"/>
        <v/>
      </c>
      <c r="CL61" s="333"/>
      <c r="CM61" s="333"/>
      <c r="CN61" s="333"/>
      <c r="CO61" s="333"/>
      <c r="CP61" s="333"/>
      <c r="CQ61" s="333"/>
      <c r="CR61" s="333"/>
      <c r="CS61" s="333"/>
      <c r="CT61" s="336"/>
    </row>
    <row r="62" spans="1:98">
      <c r="A62" s="125">
        <v>61</v>
      </c>
      <c r="B62" s="558" t="s">
        <v>106</v>
      </c>
      <c r="U62" s="7" t="s">
        <v>629</v>
      </c>
      <c r="V62" s="35"/>
      <c r="W62" s="35"/>
      <c r="X62" s="35"/>
      <c r="AB62" s="36"/>
      <c r="AC62" s="7">
        <v>5</v>
      </c>
      <c r="AD62" s="7" t="s">
        <v>293</v>
      </c>
      <c r="AF62" s="7">
        <v>5</v>
      </c>
      <c r="AG62" s="7" t="s">
        <v>293</v>
      </c>
      <c r="AK62" s="24"/>
      <c r="AL62" s="24"/>
      <c r="AM62" s="24"/>
      <c r="AN62" s="24"/>
      <c r="AO62" s="24"/>
      <c r="AP62" s="24"/>
      <c r="AQ62" s="24"/>
      <c r="AR62" s="24"/>
      <c r="AS62" s="24"/>
      <c r="BC62" s="10">
        <v>56</v>
      </c>
      <c r="BD62" s="59">
        <v>41</v>
      </c>
      <c r="BE62" s="7" t="str">
        <f t="shared" si="40"/>
        <v>---------</v>
      </c>
      <c r="BF62" s="277">
        <v>21.1</v>
      </c>
      <c r="BG62" s="12" t="s">
        <v>275</v>
      </c>
      <c r="BH62" s="7" t="str">
        <f t="shared" si="19"/>
        <v>---------</v>
      </c>
      <c r="BI62" s="273">
        <v>2.6100000000000101</v>
      </c>
      <c r="BJ62" s="59">
        <v>41</v>
      </c>
      <c r="BK62" s="168" t="str">
        <f t="shared" si="20"/>
        <v>---------</v>
      </c>
      <c r="BL62" s="182">
        <v>6.1100000000000002E-2</v>
      </c>
      <c r="BM62" s="185">
        <v>41</v>
      </c>
      <c r="BN62" s="182">
        <f t="shared" si="21"/>
        <v>6.1100000000000002E-2</v>
      </c>
      <c r="BO62" s="265" cm="1">
        <f t="array" ref="BO62">INDEX(AF124:AI124,$AQ$20)</f>
        <v>5.5015459585632689</v>
      </c>
      <c r="BP62" s="13">
        <f t="shared" si="41"/>
        <v>2.5387060303251472</v>
      </c>
      <c r="BQ62" s="12" t="s">
        <v>217</v>
      </c>
      <c r="BR62" s="20" t="str">
        <f t="shared" si="42"/>
        <v/>
      </c>
      <c r="BS62" s="12" t="s">
        <v>275</v>
      </c>
      <c r="BT62" s="61" t="str">
        <f t="shared" si="43"/>
        <v>2.5</v>
      </c>
      <c r="BU62" s="20" t="str">
        <f t="shared" si="38"/>
        <v/>
      </c>
      <c r="BV62" s="12" t="s">
        <v>275</v>
      </c>
      <c r="BW62" s="61" t="str">
        <f t="shared" si="39"/>
        <v>2.5</v>
      </c>
      <c r="BY62" s="333"/>
      <c r="BZ62" s="348">
        <f t="shared" si="25"/>
        <v>162.5</v>
      </c>
      <c r="CA62" s="349">
        <f t="shared" si="26"/>
        <v>2.5</v>
      </c>
      <c r="CB62" s="350">
        <f t="shared" si="27"/>
        <v>2.5387060303251472</v>
      </c>
      <c r="CC62" s="350">
        <f t="shared" si="28"/>
        <v>2.5987275769304481</v>
      </c>
      <c r="CD62" s="350">
        <f t="shared" si="29"/>
        <v>2.6379903421675515</v>
      </c>
      <c r="CE62" s="351">
        <f t="shared" si="30"/>
        <v>2.6590282546947583</v>
      </c>
      <c r="CF62" s="670" t="str">
        <f t="shared" si="31"/>
        <v/>
      </c>
      <c r="CG62" s="349" t="str">
        <f t="shared" si="32"/>
        <v/>
      </c>
      <c r="CH62" s="350" t="str">
        <f t="shared" si="33"/>
        <v/>
      </c>
      <c r="CI62" s="350" t="str">
        <f t="shared" si="34"/>
        <v/>
      </c>
      <c r="CJ62" s="350" t="str">
        <f t="shared" si="35"/>
        <v/>
      </c>
      <c r="CK62" s="351" t="str">
        <f t="shared" si="36"/>
        <v/>
      </c>
      <c r="CL62" s="333"/>
      <c r="CM62" s="333"/>
      <c r="CN62" s="333"/>
      <c r="CO62" s="333"/>
      <c r="CP62" s="333"/>
      <c r="CQ62" s="333"/>
      <c r="CR62" s="333"/>
      <c r="CS62" s="333"/>
      <c r="CT62" s="336"/>
    </row>
    <row r="63" spans="1:98">
      <c r="A63" s="125">
        <v>62</v>
      </c>
      <c r="B63" s="558" t="s">
        <v>110</v>
      </c>
      <c r="U63" s="7" t="s">
        <v>630</v>
      </c>
      <c r="V63" s="35"/>
      <c r="W63" s="35"/>
      <c r="X63" s="35"/>
      <c r="Y63" s="65" t="str">
        <f>IF(AN20,Y64,Y65)</f>
        <v>P_RS_S_B_SR</v>
      </c>
      <c r="AA63" s="673" t="s">
        <v>629</v>
      </c>
      <c r="AB63" s="36"/>
      <c r="AC63" s="7">
        <v>6</v>
      </c>
      <c r="AD63" s="7" t="s">
        <v>297</v>
      </c>
      <c r="AF63" s="7">
        <v>6</v>
      </c>
      <c r="AG63" s="7" t="s">
        <v>627</v>
      </c>
      <c r="AK63" s="24"/>
      <c r="AL63" s="24"/>
      <c r="AM63" s="24"/>
      <c r="AN63" s="24"/>
      <c r="AO63" s="24"/>
      <c r="AP63" s="24"/>
      <c r="AQ63" s="24"/>
      <c r="AR63" s="24"/>
      <c r="AS63" s="24"/>
      <c r="BC63" s="10">
        <v>55</v>
      </c>
      <c r="BD63" s="59">
        <v>42</v>
      </c>
      <c r="BE63" s="7" t="str">
        <f t="shared" si="40"/>
        <v>---------</v>
      </c>
      <c r="BF63" s="277">
        <v>21</v>
      </c>
      <c r="BG63" s="12" t="s">
        <v>280</v>
      </c>
      <c r="BH63" s="7" t="str">
        <f t="shared" si="19"/>
        <v>---------</v>
      </c>
      <c r="BI63" s="273">
        <v>2.6000000000000099</v>
      </c>
      <c r="BJ63" s="59">
        <v>42</v>
      </c>
      <c r="BK63" s="168" t="str">
        <f t="shared" si="20"/>
        <v>---------</v>
      </c>
      <c r="BL63" s="182">
        <v>6.0999999999999999E-2</v>
      </c>
      <c r="BM63" s="185">
        <v>42</v>
      </c>
      <c r="BN63" s="182">
        <f t="shared" si="21"/>
        <v>6.0999999999999999E-2</v>
      </c>
      <c r="BO63" s="265" cm="1">
        <f t="array" ref="BO63">INDEX(AF125:AI125,$AQ$20)</f>
        <v>5.430336899343402</v>
      </c>
      <c r="BP63" s="13">
        <f t="shared" si="41"/>
        <v>2.5387060303251472</v>
      </c>
      <c r="BQ63" s="12" t="s">
        <v>224</v>
      </c>
      <c r="BR63" s="20" t="str">
        <f t="shared" si="42"/>
        <v/>
      </c>
      <c r="BS63" s="12" t="s">
        <v>280</v>
      </c>
      <c r="BT63" s="61" t="str">
        <f t="shared" si="43"/>
        <v>2.5</v>
      </c>
      <c r="BU63" s="20" t="str">
        <f t="shared" si="38"/>
        <v/>
      </c>
      <c r="BV63" s="12" t="s">
        <v>280</v>
      </c>
      <c r="BW63" s="61" t="str">
        <f t="shared" si="39"/>
        <v>2.5</v>
      </c>
      <c r="BY63" s="333"/>
      <c r="BZ63" s="348">
        <f t="shared" si="25"/>
        <v>156</v>
      </c>
      <c r="CA63" s="349">
        <f t="shared" si="26"/>
        <v>2.4</v>
      </c>
      <c r="CB63" s="350">
        <f t="shared" si="27"/>
        <v>2.4446790398868297</v>
      </c>
      <c r="CC63" s="350">
        <f t="shared" si="28"/>
        <v>2.5023136641841819</v>
      </c>
      <c r="CD63" s="350">
        <f t="shared" si="29"/>
        <v>2.5397510105005825</v>
      </c>
      <c r="CE63" s="351">
        <f t="shared" si="30"/>
        <v>2.5606539892473172</v>
      </c>
      <c r="CF63" s="670" t="str">
        <f t="shared" si="31"/>
        <v/>
      </c>
      <c r="CG63" s="349" t="str">
        <f t="shared" si="32"/>
        <v/>
      </c>
      <c r="CH63" s="350" t="str">
        <f t="shared" si="33"/>
        <v/>
      </c>
      <c r="CI63" s="350" t="str">
        <f t="shared" si="34"/>
        <v/>
      </c>
      <c r="CJ63" s="350" t="str">
        <f t="shared" si="35"/>
        <v/>
      </c>
      <c r="CK63" s="351" t="str">
        <f t="shared" si="36"/>
        <v/>
      </c>
      <c r="CL63" s="333"/>
      <c r="CM63" s="333"/>
      <c r="CN63" s="333"/>
      <c r="CO63" s="333"/>
      <c r="CP63" s="333"/>
      <c r="CQ63" s="333"/>
      <c r="CR63" s="333"/>
      <c r="CS63" s="333"/>
      <c r="CT63" s="336"/>
    </row>
    <row r="64" spans="1:98">
      <c r="A64" s="125">
        <v>63</v>
      </c>
      <c r="B64" s="558" t="s">
        <v>317</v>
      </c>
      <c r="U64" s="7" t="s">
        <v>625</v>
      </c>
      <c r="V64" s="35"/>
      <c r="W64" s="35"/>
      <c r="X64" s="35"/>
      <c r="Y64" s="8" t="s">
        <v>627</v>
      </c>
      <c r="AA64" s="673" t="s">
        <v>631</v>
      </c>
      <c r="AB64" s="36"/>
      <c r="AC64" s="7">
        <v>7</v>
      </c>
      <c r="AD64" s="7" t="s">
        <v>300</v>
      </c>
      <c r="AF64" s="7">
        <v>7</v>
      </c>
      <c r="AG64" s="7" t="s">
        <v>629</v>
      </c>
      <c r="AK64" s="24"/>
      <c r="AL64" s="24"/>
      <c r="AM64" s="24"/>
      <c r="AN64" s="24"/>
      <c r="AO64" s="24"/>
      <c r="AP64" s="24"/>
      <c r="AQ64" s="24"/>
      <c r="AR64" s="24"/>
      <c r="AS64" s="24"/>
      <c r="BC64" s="10">
        <v>54</v>
      </c>
      <c r="BD64" s="59">
        <v>43</v>
      </c>
      <c r="BE64" s="7" t="str">
        <f t="shared" si="40"/>
        <v>---------</v>
      </c>
      <c r="BF64" s="277">
        <v>20.9</v>
      </c>
      <c r="BG64" s="12" t="s">
        <v>285</v>
      </c>
      <c r="BH64" s="7" t="str">
        <f t="shared" si="19"/>
        <v>---------</v>
      </c>
      <c r="BI64" s="273">
        <v>2.5900000000000101</v>
      </c>
      <c r="BJ64" s="59">
        <v>43</v>
      </c>
      <c r="BK64" s="168" t="str">
        <f t="shared" si="20"/>
        <v>---------</v>
      </c>
      <c r="BL64" s="182">
        <v>6.0900000000000003E-2</v>
      </c>
      <c r="BM64" s="185">
        <v>43</v>
      </c>
      <c r="BN64" s="182">
        <f t="shared" si="21"/>
        <v>6.0900000000000003E-2</v>
      </c>
      <c r="BO64" s="265" cm="1">
        <f t="array" ref="BO64">INDEX(AF126:AI126,$AQ$20)</f>
        <v>5.3584940087007977</v>
      </c>
      <c r="BP64" s="13">
        <f t="shared" si="41"/>
        <v>2.5387060303251472</v>
      </c>
      <c r="BQ64" s="12" t="s">
        <v>230</v>
      </c>
      <c r="BR64" s="20" t="str">
        <f t="shared" si="42"/>
        <v/>
      </c>
      <c r="BS64" s="12" t="s">
        <v>285</v>
      </c>
      <c r="BT64" s="61" t="str">
        <f t="shared" si="43"/>
        <v>2.5</v>
      </c>
      <c r="BU64" s="20" t="str">
        <f t="shared" si="38"/>
        <v/>
      </c>
      <c r="BV64" s="12" t="s">
        <v>285</v>
      </c>
      <c r="BW64" s="61" t="str">
        <f t="shared" si="39"/>
        <v>2.5</v>
      </c>
      <c r="BY64" s="333"/>
      <c r="BZ64" s="348">
        <f t="shared" si="25"/>
        <v>149.5</v>
      </c>
      <c r="CA64" s="349">
        <f t="shared" si="26"/>
        <v>2.2999999999999998</v>
      </c>
      <c r="CB64" s="350">
        <f t="shared" si="27"/>
        <v>2.3500182180257765</v>
      </c>
      <c r="CC64" s="350">
        <f t="shared" si="28"/>
        <v>2.405434859071339</v>
      </c>
      <c r="CD64" s="350">
        <f t="shared" si="29"/>
        <v>2.441158877251413</v>
      </c>
      <c r="CE64" s="351">
        <f t="shared" si="30"/>
        <v>2.4620741844891687</v>
      </c>
      <c r="CF64" s="670" t="str">
        <f t="shared" si="31"/>
        <v/>
      </c>
      <c r="CG64" s="349" t="str">
        <f t="shared" si="32"/>
        <v/>
      </c>
      <c r="CH64" s="350" t="str">
        <f t="shared" si="33"/>
        <v/>
      </c>
      <c r="CI64" s="350" t="str">
        <f t="shared" si="34"/>
        <v/>
      </c>
      <c r="CJ64" s="350" t="str">
        <f t="shared" si="35"/>
        <v/>
      </c>
      <c r="CK64" s="351" t="str">
        <f t="shared" si="36"/>
        <v/>
      </c>
      <c r="CL64" s="333"/>
      <c r="CM64" s="333"/>
      <c r="CN64" s="333"/>
      <c r="CO64" s="333"/>
      <c r="CP64" s="333"/>
      <c r="CQ64" s="333"/>
      <c r="CR64" s="333"/>
      <c r="CS64" s="333"/>
      <c r="CT64" s="336"/>
    </row>
    <row r="65" spans="1:98">
      <c r="A65" s="125">
        <v>64</v>
      </c>
      <c r="B65" s="558" t="s">
        <v>320</v>
      </c>
      <c r="U65" s="7" t="s">
        <v>631</v>
      </c>
      <c r="V65" s="35"/>
      <c r="W65" s="35"/>
      <c r="X65" s="35"/>
      <c r="Y65" s="8" t="s">
        <v>630</v>
      </c>
      <c r="Z65" s="35"/>
      <c r="AA65" s="36"/>
      <c r="AB65" s="36"/>
      <c r="AC65" s="7">
        <v>8</v>
      </c>
      <c r="AD65" s="7" t="s">
        <v>303</v>
      </c>
      <c r="AF65" s="7">
        <v>8</v>
      </c>
      <c r="AG65" s="7" t="s">
        <v>630</v>
      </c>
      <c r="AK65" s="24"/>
      <c r="AL65" s="24"/>
      <c r="AM65" s="24"/>
      <c r="AN65" s="24"/>
      <c r="AO65" s="24"/>
      <c r="AP65" s="24"/>
      <c r="AQ65" s="24"/>
      <c r="AR65" s="24"/>
      <c r="AS65" s="24"/>
      <c r="BC65" s="10">
        <v>53</v>
      </c>
      <c r="BD65" s="59">
        <v>44</v>
      </c>
      <c r="BE65" s="7" t="str">
        <f t="shared" si="40"/>
        <v>---------</v>
      </c>
      <c r="BF65" s="277">
        <v>20.8</v>
      </c>
      <c r="BG65" s="12" t="s">
        <v>290</v>
      </c>
      <c r="BH65" s="7" t="str">
        <f t="shared" si="19"/>
        <v>---------</v>
      </c>
      <c r="BI65" s="273">
        <v>2.5800000000000098</v>
      </c>
      <c r="BJ65" s="59">
        <v>44</v>
      </c>
      <c r="BK65" s="168" t="str">
        <f t="shared" si="20"/>
        <v>---------</v>
      </c>
      <c r="BL65" s="182">
        <v>6.08E-2</v>
      </c>
      <c r="BM65" s="185">
        <v>44</v>
      </c>
      <c r="BN65" s="182">
        <f t="shared" si="21"/>
        <v>6.08E-2</v>
      </c>
      <c r="BO65" s="265" cm="1">
        <f t="array" ref="BO65">INDEX(AF127:AI127,$AQ$20)</f>
        <v>5.2860172866354596</v>
      </c>
      <c r="BP65" s="13">
        <f t="shared" si="41"/>
        <v>2.5387060303251472</v>
      </c>
      <c r="BQ65" s="12" t="s">
        <v>235</v>
      </c>
      <c r="BR65" s="20" t="str">
        <f t="shared" si="42"/>
        <v/>
      </c>
      <c r="BS65" s="12" t="s">
        <v>290</v>
      </c>
      <c r="BT65" s="61" t="str">
        <f t="shared" si="43"/>
        <v>2.5</v>
      </c>
      <c r="BU65" s="20" t="str">
        <f t="shared" si="38"/>
        <v/>
      </c>
      <c r="BV65" s="12" t="s">
        <v>290</v>
      </c>
      <c r="BW65" s="61" t="str">
        <f t="shared" si="39"/>
        <v>2.5</v>
      </c>
      <c r="BY65" s="333"/>
      <c r="BZ65" s="348">
        <f t="shared" si="25"/>
        <v>143.00000000000003</v>
      </c>
      <c r="CA65" s="349">
        <f t="shared" si="26"/>
        <v>2.2000000000000002</v>
      </c>
      <c r="CB65" s="350">
        <f t="shared" si="27"/>
        <v>2.2547235647419903</v>
      </c>
      <c r="CC65" s="350">
        <f t="shared" si="28"/>
        <v>2.3080911615919213</v>
      </c>
      <c r="CD65" s="350">
        <f t="shared" si="29"/>
        <v>2.3422139424200439</v>
      </c>
      <c r="CE65" s="351">
        <f t="shared" si="30"/>
        <v>2.3632888404203118</v>
      </c>
      <c r="CF65" s="670" t="str">
        <f t="shared" si="31"/>
        <v/>
      </c>
      <c r="CG65" s="349" t="str">
        <f t="shared" si="32"/>
        <v/>
      </c>
      <c r="CH65" s="350" t="str">
        <f t="shared" si="33"/>
        <v/>
      </c>
      <c r="CI65" s="350" t="str">
        <f t="shared" si="34"/>
        <v/>
      </c>
      <c r="CJ65" s="350" t="str">
        <f t="shared" si="35"/>
        <v/>
      </c>
      <c r="CK65" s="351" t="str">
        <f t="shared" si="36"/>
        <v/>
      </c>
      <c r="CL65" s="333"/>
      <c r="CM65" s="333"/>
      <c r="CN65" s="333"/>
      <c r="CO65" s="333"/>
      <c r="CP65" s="333"/>
      <c r="CQ65" s="333"/>
      <c r="CR65" s="333"/>
      <c r="CS65" s="333"/>
      <c r="CT65" s="336"/>
    </row>
    <row r="66" spans="1:98">
      <c r="A66" s="125">
        <v>65</v>
      </c>
      <c r="B66" s="558" t="s">
        <v>15</v>
      </c>
      <c r="U66" s="7" t="s">
        <v>622</v>
      </c>
      <c r="V66" s="35"/>
      <c r="W66" s="35"/>
      <c r="X66" s="35"/>
      <c r="Y66" s="35"/>
      <c r="Z66" s="35"/>
      <c r="AA66" s="36"/>
      <c r="AB66" s="36"/>
      <c r="AC66" s="7">
        <v>9</v>
      </c>
      <c r="AD66" s="7" t="s">
        <v>305</v>
      </c>
      <c r="AF66" s="7">
        <v>9</v>
      </c>
      <c r="AG66" s="7" t="s">
        <v>625</v>
      </c>
      <c r="AK66" s="24"/>
      <c r="AL66" s="24"/>
      <c r="AM66" s="24"/>
      <c r="AN66" s="24"/>
      <c r="AO66" s="24"/>
      <c r="AP66" s="24"/>
      <c r="AQ66" s="24"/>
      <c r="AR66" s="24"/>
      <c r="AS66" s="24"/>
      <c r="BC66" s="10">
        <v>52</v>
      </c>
      <c r="BD66" s="59">
        <v>45</v>
      </c>
      <c r="BE66" s="7" t="str">
        <f t="shared" si="40"/>
        <v>---------</v>
      </c>
      <c r="BF66" s="277">
        <v>20.7</v>
      </c>
      <c r="BG66" s="12" t="s">
        <v>295</v>
      </c>
      <c r="BH66" s="7" t="str">
        <f t="shared" si="19"/>
        <v>---------</v>
      </c>
      <c r="BI66" s="273">
        <v>2.5700000000000101</v>
      </c>
      <c r="BJ66" s="59">
        <v>45</v>
      </c>
      <c r="BK66" s="168" t="str">
        <f t="shared" si="20"/>
        <v>---------</v>
      </c>
      <c r="BL66" s="182">
        <v>6.0699999999999997E-2</v>
      </c>
      <c r="BM66" s="185">
        <v>45</v>
      </c>
      <c r="BN66" s="182">
        <f t="shared" si="21"/>
        <v>6.0699999999999997E-2</v>
      </c>
      <c r="BO66" s="265" cm="1">
        <f t="array" ref="BO66">INDEX(AF128:AI128,$AQ$20)</f>
        <v>5.2129067331473884</v>
      </c>
      <c r="BP66" s="13">
        <f t="shared" si="41"/>
        <v>2.5387060303251472</v>
      </c>
      <c r="BQ66" s="12" t="s">
        <v>239</v>
      </c>
      <c r="BR66" s="20" t="str">
        <f t="shared" si="42"/>
        <v/>
      </c>
      <c r="BS66" s="12" t="s">
        <v>295</v>
      </c>
      <c r="BT66" s="61" t="str">
        <f t="shared" si="43"/>
        <v>2.5</v>
      </c>
      <c r="BU66" s="20" t="str">
        <f t="shared" si="38"/>
        <v/>
      </c>
      <c r="BV66" s="12" t="s">
        <v>295</v>
      </c>
      <c r="BW66" s="61" t="str">
        <f t="shared" si="39"/>
        <v>2.5</v>
      </c>
      <c r="BY66" s="333"/>
      <c r="BZ66" s="348">
        <f t="shared" si="25"/>
        <v>136.5</v>
      </c>
      <c r="CA66" s="349">
        <f t="shared" si="26"/>
        <v>2.1</v>
      </c>
      <c r="CB66" s="350">
        <f t="shared" si="27"/>
        <v>2.1587950800354689</v>
      </c>
      <c r="CC66" s="350">
        <f t="shared" si="28"/>
        <v>2.2102825717459238</v>
      </c>
      <c r="CD66" s="350">
        <f t="shared" si="29"/>
        <v>2.2429162060064742</v>
      </c>
      <c r="CE66" s="351">
        <f t="shared" si="30"/>
        <v>2.2642979570407449</v>
      </c>
      <c r="CF66" s="670" t="str">
        <f t="shared" si="31"/>
        <v/>
      </c>
      <c r="CG66" s="349" t="str">
        <f t="shared" si="32"/>
        <v/>
      </c>
      <c r="CH66" s="350" t="str">
        <f t="shared" si="33"/>
        <v/>
      </c>
      <c r="CI66" s="350" t="str">
        <f t="shared" si="34"/>
        <v/>
      </c>
      <c r="CJ66" s="350" t="str">
        <f t="shared" si="35"/>
        <v/>
      </c>
      <c r="CK66" s="351" t="str">
        <f t="shared" si="36"/>
        <v/>
      </c>
      <c r="CL66" s="333"/>
      <c r="CM66" s="333"/>
      <c r="CN66" s="333"/>
      <c r="CO66" s="333"/>
      <c r="CP66" s="333"/>
      <c r="CQ66" s="333"/>
      <c r="CR66" s="333"/>
      <c r="CS66" s="333"/>
      <c r="CT66" s="336"/>
    </row>
    <row r="67" spans="1:98">
      <c r="A67" s="125"/>
      <c r="U67" s="7" t="s">
        <v>621</v>
      </c>
      <c r="V67" s="35"/>
      <c r="AB67" s="36"/>
      <c r="AC67" s="7">
        <v>10</v>
      </c>
      <c r="AD67" s="7" t="s">
        <v>307</v>
      </c>
      <c r="AF67" s="7">
        <v>10</v>
      </c>
      <c r="AG67" s="7" t="s">
        <v>631</v>
      </c>
      <c r="AK67" s="24"/>
      <c r="AL67" s="24"/>
      <c r="AM67" s="24"/>
      <c r="AN67" s="24"/>
      <c r="AO67" s="24"/>
      <c r="AP67" s="24"/>
      <c r="AQ67" s="24"/>
      <c r="AR67" s="24"/>
      <c r="AS67" s="24"/>
      <c r="BC67" s="10">
        <v>51</v>
      </c>
      <c r="BD67" s="59">
        <v>46</v>
      </c>
      <c r="BE67" s="7" t="str">
        <f t="shared" si="40"/>
        <v>---------</v>
      </c>
      <c r="BF67" s="277">
        <v>20.6</v>
      </c>
      <c r="BG67" s="12" t="s">
        <v>299</v>
      </c>
      <c r="BH67" s="7" t="str">
        <f t="shared" si="19"/>
        <v>---------</v>
      </c>
      <c r="BI67" s="273">
        <v>2.5600000000000098</v>
      </c>
      <c r="BJ67" s="59">
        <v>46</v>
      </c>
      <c r="BK67" s="168" t="str">
        <f t="shared" si="20"/>
        <v>---------</v>
      </c>
      <c r="BL67" s="182">
        <v>6.0600000000000001E-2</v>
      </c>
      <c r="BM67" s="185">
        <v>46</v>
      </c>
      <c r="BN67" s="182">
        <f t="shared" si="21"/>
        <v>6.0600000000000001E-2</v>
      </c>
      <c r="BO67" s="265" cm="1">
        <f t="array" ref="BO67">INDEX(AF129:AI129,$AQ$20)</f>
        <v>5.1391623482365798</v>
      </c>
      <c r="BP67" s="13">
        <f t="shared" si="41"/>
        <v>2.5387060303251472</v>
      </c>
      <c r="BQ67" s="12" t="s">
        <v>244</v>
      </c>
      <c r="BR67" s="20" t="str">
        <f t="shared" si="42"/>
        <v/>
      </c>
      <c r="BS67" s="12" t="s">
        <v>299</v>
      </c>
      <c r="BT67" s="61" t="str">
        <f t="shared" si="43"/>
        <v>2.5</v>
      </c>
      <c r="BU67" s="20" t="str">
        <f t="shared" si="38"/>
        <v/>
      </c>
      <c r="BV67" s="12" t="s">
        <v>299</v>
      </c>
      <c r="BW67" s="61" t="str">
        <f t="shared" si="39"/>
        <v>2.5</v>
      </c>
      <c r="BY67" s="333"/>
      <c r="BZ67" s="352">
        <f t="shared" si="25"/>
        <v>130</v>
      </c>
      <c r="CA67" s="353">
        <f t="shared" si="26"/>
        <v>2</v>
      </c>
      <c r="CB67" s="375">
        <f t="shared" si="27"/>
        <v>2.0622327639062124</v>
      </c>
      <c r="CC67" s="375">
        <f t="shared" si="28"/>
        <v>2.1120090895333505</v>
      </c>
      <c r="CD67" s="375">
        <f t="shared" si="29"/>
        <v>2.1432656680107041</v>
      </c>
      <c r="CE67" s="376">
        <f t="shared" si="30"/>
        <v>2.1651015343504718</v>
      </c>
      <c r="CF67" s="377" t="str">
        <f t="shared" si="31"/>
        <v/>
      </c>
      <c r="CG67" s="353" t="str">
        <f t="shared" si="32"/>
        <v/>
      </c>
      <c r="CH67" s="375" t="str">
        <f t="shared" si="33"/>
        <v/>
      </c>
      <c r="CI67" s="375" t="str">
        <f t="shared" si="34"/>
        <v/>
      </c>
      <c r="CJ67" s="375" t="str">
        <f t="shared" si="35"/>
        <v/>
      </c>
      <c r="CK67" s="376" t="str">
        <f t="shared" si="36"/>
        <v/>
      </c>
      <c r="CL67" s="333"/>
      <c r="CM67" s="333"/>
      <c r="CN67" s="333"/>
      <c r="CO67" s="333"/>
      <c r="CP67" s="333"/>
      <c r="CQ67" s="333"/>
      <c r="CR67" s="333"/>
      <c r="CS67" s="333"/>
      <c r="CT67" s="336"/>
    </row>
    <row r="68" spans="1:98" ht="16.5" thickBot="1">
      <c r="A68" s="127"/>
      <c r="B68" s="128"/>
      <c r="C68" s="674"/>
      <c r="D68" s="674"/>
      <c r="E68" s="128"/>
      <c r="F68" s="128"/>
      <c r="G68" s="128"/>
      <c r="H68" s="128"/>
      <c r="I68" s="128"/>
      <c r="J68" s="674"/>
      <c r="K68" s="128"/>
      <c r="L68" s="674"/>
      <c r="M68" s="128"/>
      <c r="N68" s="674"/>
      <c r="O68" s="128"/>
      <c r="P68" s="128"/>
      <c r="Q68" s="128"/>
      <c r="R68" s="674"/>
      <c r="S68" s="675"/>
      <c r="T68" s="113"/>
      <c r="U68" s="676"/>
      <c r="V68" s="676"/>
      <c r="W68" s="113"/>
      <c r="X68" s="113"/>
      <c r="Y68" s="113"/>
      <c r="Z68" s="113"/>
      <c r="AA68" s="113"/>
      <c r="AB68" s="677"/>
      <c r="AC68" s="113">
        <v>11</v>
      </c>
      <c r="AD68" s="113" t="s">
        <v>309</v>
      </c>
      <c r="AE68" s="113"/>
      <c r="AF68" s="113">
        <v>11</v>
      </c>
      <c r="AG68" s="113" t="s">
        <v>622</v>
      </c>
      <c r="AH68" s="113"/>
      <c r="AI68" s="113"/>
      <c r="AJ68" s="113"/>
      <c r="AK68" s="678"/>
      <c r="AL68" s="678"/>
      <c r="AM68" s="678"/>
      <c r="AN68" s="678"/>
      <c r="AO68" s="678"/>
      <c r="AP68" s="678"/>
      <c r="AQ68" s="678"/>
      <c r="AR68" s="678"/>
      <c r="AS68" s="678"/>
      <c r="AT68" s="113"/>
      <c r="AU68" s="113"/>
      <c r="AV68" s="113"/>
      <c r="AW68" s="113"/>
      <c r="AX68" s="113"/>
      <c r="AY68" s="113"/>
      <c r="AZ68" s="113"/>
      <c r="BA68" s="113"/>
      <c r="BB68" s="113"/>
      <c r="BC68" s="675">
        <v>50</v>
      </c>
      <c r="BD68" s="679">
        <v>47</v>
      </c>
      <c r="BE68" s="113" t="str">
        <f t="shared" si="40"/>
        <v>---------</v>
      </c>
      <c r="BF68" s="680">
        <v>20.5</v>
      </c>
      <c r="BG68" s="681" t="s">
        <v>302</v>
      </c>
      <c r="BH68" s="113" t="str">
        <f t="shared" si="19"/>
        <v>---------</v>
      </c>
      <c r="BI68" s="682">
        <v>2.55000000000001</v>
      </c>
      <c r="BJ68" s="679">
        <v>47</v>
      </c>
      <c r="BK68" s="683" t="str">
        <f t="shared" si="20"/>
        <v>---------</v>
      </c>
      <c r="BL68" s="684">
        <v>6.0499999999999998E-2</v>
      </c>
      <c r="BM68" s="685">
        <v>47</v>
      </c>
      <c r="BN68" s="684">
        <f t="shared" si="21"/>
        <v>6.0499999999999998E-2</v>
      </c>
      <c r="BO68" s="686" cm="1">
        <f t="array" ref="BO68">INDEX(AF130:AI130,$AQ$20)</f>
        <v>5.0647841319030391</v>
      </c>
      <c r="BP68" s="687">
        <f t="shared" si="41"/>
        <v>2.5387060303251472</v>
      </c>
      <c r="BQ68" s="681" t="s">
        <v>248</v>
      </c>
      <c r="BR68" s="688" t="str">
        <f t="shared" si="42"/>
        <v/>
      </c>
      <c r="BS68" s="681" t="s">
        <v>302</v>
      </c>
      <c r="BT68" s="689" t="str">
        <f t="shared" si="43"/>
        <v>2.5</v>
      </c>
      <c r="BU68" s="688" t="str">
        <f t="shared" si="38"/>
        <v/>
      </c>
      <c r="BV68" s="681" t="s">
        <v>302</v>
      </c>
      <c r="BW68" s="689" t="str">
        <f t="shared" si="39"/>
        <v>2.5</v>
      </c>
      <c r="BX68" s="113"/>
      <c r="BY68" s="354"/>
      <c r="BZ68" s="354"/>
      <c r="CA68" s="354"/>
      <c r="CB68" s="354"/>
      <c r="CC68" s="354"/>
      <c r="CD68" s="354"/>
      <c r="CE68" s="354"/>
      <c r="CF68" s="354"/>
      <c r="CG68" s="354"/>
      <c r="CH68" s="354"/>
      <c r="CI68" s="354"/>
      <c r="CJ68" s="354"/>
      <c r="CK68" s="354"/>
      <c r="CL68" s="354"/>
      <c r="CM68" s="354"/>
      <c r="CN68" s="354"/>
      <c r="CO68" s="354"/>
      <c r="CP68" s="354"/>
      <c r="CQ68" s="354"/>
      <c r="CR68" s="354"/>
      <c r="CS68" s="354"/>
      <c r="CT68" s="355"/>
    </row>
    <row r="69" spans="1:98">
      <c r="U69" s="35"/>
      <c r="V69" s="35"/>
      <c r="AB69" s="36"/>
      <c r="AC69" s="7">
        <v>12</v>
      </c>
      <c r="AD69" s="7" t="s">
        <v>311</v>
      </c>
      <c r="AF69" s="7">
        <v>12</v>
      </c>
      <c r="AG69" s="7" t="s">
        <v>621</v>
      </c>
      <c r="AK69" s="24"/>
      <c r="AL69" s="24"/>
      <c r="AM69" s="24"/>
      <c r="AN69" s="24"/>
      <c r="AO69" s="24"/>
      <c r="AP69" s="24"/>
      <c r="AQ69" s="24"/>
      <c r="AR69" s="24"/>
      <c r="AS69" s="24"/>
      <c r="BC69" s="10">
        <v>49</v>
      </c>
      <c r="BD69" s="59">
        <v>48</v>
      </c>
      <c r="BE69" s="7" t="str">
        <f t="shared" si="40"/>
        <v>---------</v>
      </c>
      <c r="BF69" s="277">
        <v>20.399999999999999</v>
      </c>
      <c r="BG69" s="12" t="s">
        <v>304</v>
      </c>
      <c r="BH69" s="7" t="str">
        <f t="shared" si="19"/>
        <v>---------</v>
      </c>
      <c r="BI69" s="273">
        <v>2.5400000000000098</v>
      </c>
      <c r="BJ69" s="59">
        <v>48</v>
      </c>
      <c r="BK69" s="168" t="str">
        <f t="shared" si="20"/>
        <v>---------</v>
      </c>
      <c r="BL69" s="182">
        <v>6.0400000000000002E-2</v>
      </c>
      <c r="BM69" s="185">
        <v>48</v>
      </c>
      <c r="BN69" s="182">
        <f t="shared" si="21"/>
        <v>6.0400000000000002E-2</v>
      </c>
      <c r="BO69" s="265" cm="1">
        <f t="array" ref="BO69">INDEX(AF131:AI131,$AQ$20)</f>
        <v>4.9897720841467628</v>
      </c>
      <c r="BP69" s="13">
        <f t="shared" si="41"/>
        <v>2.5387060303251472</v>
      </c>
      <c r="BQ69" s="12" t="s">
        <v>254</v>
      </c>
      <c r="BR69" s="20" t="str">
        <f t="shared" si="42"/>
        <v/>
      </c>
      <c r="BS69" s="12" t="s">
        <v>304</v>
      </c>
      <c r="BT69" s="61" t="str">
        <f t="shared" si="43"/>
        <v>2.5</v>
      </c>
      <c r="BU69" s="20" t="str">
        <f t="shared" si="38"/>
        <v/>
      </c>
      <c r="BV69" s="12" t="s">
        <v>304</v>
      </c>
      <c r="BW69" s="61" t="str">
        <f t="shared" si="39"/>
        <v>2.5</v>
      </c>
      <c r="BY69" s="356"/>
      <c r="BZ69" s="356"/>
      <c r="CA69" s="356"/>
      <c r="CB69" s="356"/>
      <c r="CC69" s="356"/>
      <c r="CD69" s="356"/>
      <c r="CE69" s="356"/>
      <c r="CF69" s="356"/>
      <c r="CG69" s="356"/>
      <c r="CH69" s="356"/>
      <c r="CI69" s="356"/>
      <c r="CJ69" s="356"/>
      <c r="CK69" s="356"/>
      <c r="CL69" s="356"/>
      <c r="CM69" s="356"/>
      <c r="CN69" s="356"/>
      <c r="CO69" s="356"/>
      <c r="CP69" s="356"/>
      <c r="CQ69" s="356"/>
      <c r="CR69" s="356"/>
      <c r="CS69" s="356"/>
      <c r="CT69" s="356"/>
    </row>
    <row r="70" spans="1:98">
      <c r="U70" s="35"/>
      <c r="V70" s="35"/>
      <c r="AB70" s="36"/>
      <c r="AC70" s="7">
        <v>13</v>
      </c>
      <c r="AD70" s="7" t="s">
        <v>313</v>
      </c>
      <c r="AF70" s="7">
        <v>13</v>
      </c>
      <c r="AG70" s="7" t="s">
        <v>628</v>
      </c>
      <c r="AK70" s="24"/>
      <c r="AL70" s="24"/>
      <c r="AM70" s="24"/>
      <c r="AN70" s="24"/>
      <c r="AO70" s="24"/>
      <c r="AP70" s="24"/>
      <c r="AQ70" s="24"/>
      <c r="AR70" s="24"/>
      <c r="AS70" s="24"/>
      <c r="AT70" s="16"/>
      <c r="AU70" s="16"/>
      <c r="AV70" s="16"/>
      <c r="AW70" s="16"/>
      <c r="AX70" s="16"/>
      <c r="AY70" s="16"/>
      <c r="AZ70" s="16"/>
      <c r="BA70" s="16"/>
      <c r="BB70" s="16"/>
      <c r="BC70" s="10">
        <v>48</v>
      </c>
      <c r="BD70" s="59">
        <v>49</v>
      </c>
      <c r="BE70" s="7" t="str">
        <f t="shared" si="40"/>
        <v>---------</v>
      </c>
      <c r="BF70" s="277">
        <v>20.3</v>
      </c>
      <c r="BG70" s="12" t="s">
        <v>306</v>
      </c>
      <c r="BH70" s="7" t="str">
        <f t="shared" si="19"/>
        <v>---------</v>
      </c>
      <c r="BI70" s="273">
        <v>2.53000000000001</v>
      </c>
      <c r="BJ70" s="59">
        <v>49</v>
      </c>
      <c r="BK70" s="168" t="str">
        <f t="shared" si="20"/>
        <v>---------</v>
      </c>
      <c r="BL70" s="182">
        <v>6.0299999999999999E-2</v>
      </c>
      <c r="BM70" s="185">
        <v>49</v>
      </c>
      <c r="BN70" s="182">
        <f t="shared" si="21"/>
        <v>6.0299999999999999E-2</v>
      </c>
      <c r="BO70" s="265" cm="1">
        <f t="array" ref="BO70">INDEX(AF132:AI132,$AQ$20)</f>
        <v>4.914126204967749</v>
      </c>
      <c r="BP70" s="13">
        <f t="shared" si="41"/>
        <v>2.5387060303251472</v>
      </c>
      <c r="BQ70" s="12" t="s">
        <v>259</v>
      </c>
      <c r="BR70" s="20" t="str">
        <f t="shared" si="42"/>
        <v/>
      </c>
      <c r="BS70" s="12" t="s">
        <v>306</v>
      </c>
      <c r="BT70" s="61" t="str">
        <f t="shared" si="43"/>
        <v>2.5</v>
      </c>
      <c r="BU70" s="20" t="str">
        <f t="shared" si="38"/>
        <v/>
      </c>
      <c r="BV70" s="12" t="s">
        <v>306</v>
      </c>
      <c r="BW70" s="61" t="str">
        <f t="shared" si="39"/>
        <v>2.5</v>
      </c>
      <c r="BY70" s="356"/>
      <c r="BZ70" s="357" t="s">
        <v>326</v>
      </c>
      <c r="CA70" s="356"/>
      <c r="CB70" s="356"/>
      <c r="CC70" s="356"/>
      <c r="CD70" s="356"/>
      <c r="CE70" s="356"/>
      <c r="CF70" s="356"/>
      <c r="CG70" s="356"/>
      <c r="CH70" s="356"/>
      <c r="CI70" s="356"/>
      <c r="CJ70" s="356"/>
      <c r="CK70" s="356"/>
      <c r="CL70" s="356"/>
      <c r="CM70" s="356"/>
      <c r="CN70" s="356"/>
      <c r="CO70" s="356"/>
      <c r="CP70" s="356"/>
      <c r="CQ70" s="356"/>
      <c r="CR70" s="356"/>
      <c r="CS70" s="356"/>
      <c r="CT70" s="356"/>
    </row>
    <row r="71" spans="1:98">
      <c r="U71" s="35"/>
      <c r="V71" s="35"/>
      <c r="AB71" s="36"/>
      <c r="AC71" s="7">
        <v>14</v>
      </c>
      <c r="AD71" s="7" t="s">
        <v>315</v>
      </c>
      <c r="AF71" s="7">
        <v>14</v>
      </c>
      <c r="AG71" s="7" t="s">
        <v>632</v>
      </c>
      <c r="AK71" s="24"/>
      <c r="AL71" s="24"/>
      <c r="AM71" s="24"/>
      <c r="AN71" s="24"/>
      <c r="AO71" s="24"/>
      <c r="AP71" s="24"/>
      <c r="AQ71" s="24"/>
      <c r="AR71" s="24"/>
      <c r="AS71" s="24"/>
      <c r="AT71" s="13"/>
      <c r="AU71" s="13"/>
      <c r="AV71" s="13"/>
      <c r="AW71" s="13"/>
      <c r="AX71" s="13"/>
      <c r="AY71" s="13"/>
      <c r="AZ71" s="13"/>
      <c r="BA71" s="13"/>
      <c r="BB71" s="13"/>
      <c r="BC71" s="10">
        <v>47</v>
      </c>
      <c r="BD71" s="59">
        <v>50</v>
      </c>
      <c r="BE71" s="7" t="str">
        <f t="shared" si="40"/>
        <v>---------</v>
      </c>
      <c r="BF71" s="277">
        <v>20.2</v>
      </c>
      <c r="BG71" s="12" t="s">
        <v>308</v>
      </c>
      <c r="BH71" s="7" t="str">
        <f t="shared" si="19"/>
        <v>---------</v>
      </c>
      <c r="BI71" s="273">
        <v>2.5200000000000098</v>
      </c>
      <c r="BJ71" s="59">
        <v>50</v>
      </c>
      <c r="BK71" s="168" t="str">
        <f t="shared" si="20"/>
        <v>---------</v>
      </c>
      <c r="BL71" s="182">
        <v>6.0199999999999997E-2</v>
      </c>
      <c r="BM71" s="185">
        <v>50</v>
      </c>
      <c r="BN71" s="182">
        <f t="shared" si="21"/>
        <v>6.0199999999999997E-2</v>
      </c>
      <c r="BO71" s="265" cm="1">
        <f t="array" ref="BO71">INDEX(AF133:AI133,$AQ$20)</f>
        <v>4.8378464943660049</v>
      </c>
      <c r="BP71" s="13">
        <f t="shared" si="41"/>
        <v>2.5387060303251472</v>
      </c>
      <c r="BQ71" s="12" t="s">
        <v>264</v>
      </c>
      <c r="BR71" s="20" t="str">
        <f t="shared" si="42"/>
        <v/>
      </c>
      <c r="BS71" s="12" t="s">
        <v>308</v>
      </c>
      <c r="BT71" s="61" t="str">
        <f t="shared" si="43"/>
        <v>2.5</v>
      </c>
      <c r="BU71" s="20" t="str">
        <f t="shared" si="38"/>
        <v/>
      </c>
      <c r="BV71" s="12" t="s">
        <v>308</v>
      </c>
      <c r="BW71" s="61" t="str">
        <f t="shared" si="39"/>
        <v>2.5</v>
      </c>
      <c r="BY71" s="356"/>
      <c r="BZ71" s="357" t="s">
        <v>328</v>
      </c>
      <c r="CA71" s="356"/>
      <c r="CB71" s="356"/>
      <c r="CC71" s="356"/>
      <c r="CD71" s="356"/>
      <c r="CE71" s="356"/>
      <c r="CF71" s="356"/>
      <c r="CG71" s="356"/>
      <c r="CH71" s="356"/>
      <c r="CI71" s="356"/>
      <c r="CJ71" s="356"/>
      <c r="CK71" s="356"/>
      <c r="CL71" s="356"/>
      <c r="CM71" s="356"/>
      <c r="CN71" s="356"/>
      <c r="CO71" s="356"/>
      <c r="CP71" s="356"/>
      <c r="CQ71" s="356"/>
      <c r="CR71" s="356"/>
      <c r="CS71" s="356"/>
      <c r="CT71" s="356"/>
    </row>
    <row r="72" spans="1:98">
      <c r="U72" s="35"/>
      <c r="V72" s="35"/>
      <c r="AB72" s="36"/>
      <c r="AC72" s="7">
        <v>15</v>
      </c>
      <c r="AD72" s="7" t="s">
        <v>318</v>
      </c>
      <c r="AK72" s="24"/>
      <c r="AL72" s="24"/>
      <c r="AM72" s="24"/>
      <c r="AN72" s="24"/>
      <c r="AO72" s="24"/>
      <c r="AP72" s="24"/>
      <c r="AQ72" s="24"/>
      <c r="AR72" s="24"/>
      <c r="AS72" s="24"/>
      <c r="BC72" s="10">
        <v>46</v>
      </c>
      <c r="BD72" s="59">
        <v>51</v>
      </c>
      <c r="BE72" s="7" t="str">
        <f t="shared" si="40"/>
        <v>---------</v>
      </c>
      <c r="BF72" s="277">
        <v>20.100000000000001</v>
      </c>
      <c r="BG72" s="12" t="s">
        <v>310</v>
      </c>
      <c r="BH72" s="7" t="str">
        <f t="shared" si="19"/>
        <v>---------</v>
      </c>
      <c r="BI72" s="273">
        <v>2.51000000000001</v>
      </c>
      <c r="BJ72" s="59">
        <v>51</v>
      </c>
      <c r="BK72" s="168" t="str">
        <f t="shared" si="20"/>
        <v>---------</v>
      </c>
      <c r="BL72" s="182">
        <v>6.0100000000000001E-2</v>
      </c>
      <c r="BM72" s="185">
        <v>51</v>
      </c>
      <c r="BN72" s="182">
        <f t="shared" si="21"/>
        <v>6.0100000000000001E-2</v>
      </c>
      <c r="BO72" s="265" cm="1">
        <f t="array" ref="BO72">INDEX(AF134:AI134,$AQ$20)</f>
        <v>4.7609329523415225</v>
      </c>
      <c r="BP72" s="13">
        <f t="shared" si="41"/>
        <v>2.5387060303251472</v>
      </c>
      <c r="BQ72" s="12" t="s">
        <v>270</v>
      </c>
      <c r="BR72" s="20" t="str">
        <f t="shared" si="42"/>
        <v/>
      </c>
      <c r="BS72" s="12" t="s">
        <v>310</v>
      </c>
      <c r="BT72" s="61" t="str">
        <f t="shared" si="43"/>
        <v>2.5</v>
      </c>
      <c r="BU72" s="20" t="str">
        <f t="shared" si="38"/>
        <v/>
      </c>
      <c r="BV72" s="12" t="s">
        <v>310</v>
      </c>
      <c r="BW72" s="61" t="str">
        <f t="shared" si="39"/>
        <v>2.5</v>
      </c>
      <c r="BY72" s="356"/>
      <c r="BZ72" s="356"/>
      <c r="CA72" s="356"/>
      <c r="CB72" s="356"/>
      <c r="CC72" s="356"/>
      <c r="CD72" s="356"/>
      <c r="CE72" s="356"/>
      <c r="CF72" s="356"/>
      <c r="CG72" s="356"/>
      <c r="CH72" s="356"/>
      <c r="CI72" s="356"/>
      <c r="CJ72" s="356"/>
      <c r="CK72" s="356"/>
      <c r="CL72" s="356"/>
      <c r="CM72" s="356"/>
      <c r="CN72" s="356"/>
      <c r="CO72" s="356"/>
      <c r="CP72" s="356"/>
      <c r="CQ72" s="356"/>
      <c r="CR72" s="356"/>
      <c r="CS72" s="356"/>
      <c r="CT72" s="356"/>
    </row>
    <row r="73" spans="1:98">
      <c r="U73" s="8"/>
      <c r="V73" s="8"/>
      <c r="AB73" s="8"/>
      <c r="AC73" s="8"/>
      <c r="AK73" s="24"/>
      <c r="AL73" s="24"/>
      <c r="AM73" s="24"/>
      <c r="AN73" s="24"/>
      <c r="AO73" s="24"/>
      <c r="AP73" s="24"/>
      <c r="AQ73" s="24"/>
      <c r="AR73" s="24"/>
      <c r="AS73" s="24"/>
      <c r="BC73" s="10">
        <v>45</v>
      </c>
      <c r="BD73" s="59">
        <v>52</v>
      </c>
      <c r="BE73" s="7" t="str">
        <f t="shared" si="40"/>
        <v>---------</v>
      </c>
      <c r="BF73" s="277">
        <v>20</v>
      </c>
      <c r="BG73" s="12" t="s">
        <v>312</v>
      </c>
      <c r="BH73" s="7" t="str">
        <f t="shared" si="19"/>
        <v>---------</v>
      </c>
      <c r="BI73" s="273">
        <v>2.5000000000000102</v>
      </c>
      <c r="BJ73" s="59">
        <v>52</v>
      </c>
      <c r="BK73" s="168" t="str">
        <f t="shared" si="20"/>
        <v>---------</v>
      </c>
      <c r="BL73" s="182">
        <v>0.06</v>
      </c>
      <c r="BM73" s="185">
        <v>52</v>
      </c>
      <c r="BN73" s="182">
        <f t="shared" si="21"/>
        <v>0.06</v>
      </c>
      <c r="BO73" s="265" cm="1">
        <f t="array" ref="BO73">INDEX(AF135:AI135,$AQ$20)</f>
        <v>4.683385578894308</v>
      </c>
      <c r="BP73" s="13">
        <f t="shared" si="41"/>
        <v>2.5387060303251472</v>
      </c>
      <c r="BQ73" s="12" t="s">
        <v>53</v>
      </c>
      <c r="BR73" s="20" t="str">
        <f t="shared" si="42"/>
        <v/>
      </c>
      <c r="BS73" s="12" t="s">
        <v>312</v>
      </c>
      <c r="BT73" s="61" t="str">
        <f t="shared" si="43"/>
        <v>2.5</v>
      </c>
      <c r="BU73" s="20" t="str">
        <f t="shared" si="38"/>
        <v/>
      </c>
      <c r="BV73" s="12" t="s">
        <v>312</v>
      </c>
      <c r="BW73" s="61" t="str">
        <f t="shared" si="39"/>
        <v>2.5</v>
      </c>
      <c r="BY73" s="356"/>
      <c r="BZ73" s="356"/>
      <c r="CA73" s="356"/>
      <c r="CB73" s="356"/>
      <c r="CC73" s="356"/>
      <c r="CD73" s="356"/>
      <c r="CE73" s="356"/>
      <c r="CF73" s="356"/>
      <c r="CG73" s="356"/>
      <c r="CH73" s="356"/>
      <c r="CI73" s="356"/>
      <c r="CJ73" s="356"/>
      <c r="CK73" s="356"/>
      <c r="CL73" s="356"/>
      <c r="CM73" s="356"/>
      <c r="CN73" s="356"/>
      <c r="CO73" s="356"/>
      <c r="CP73" s="356"/>
      <c r="CQ73" s="356"/>
      <c r="CR73" s="356"/>
      <c r="CS73" s="356"/>
      <c r="CT73" s="356"/>
    </row>
    <row r="74" spans="1:98">
      <c r="AB74" s="8"/>
      <c r="AC74" s="8"/>
      <c r="BC74" s="10">
        <v>44</v>
      </c>
      <c r="BD74" s="59">
        <v>53</v>
      </c>
      <c r="BE74" s="7" t="str">
        <f t="shared" si="40"/>
        <v>---------</v>
      </c>
      <c r="BF74" s="277">
        <v>19.899999999999999</v>
      </c>
      <c r="BG74" s="12" t="s">
        <v>314</v>
      </c>
      <c r="BH74" s="7" t="str">
        <f t="shared" si="19"/>
        <v>---------</v>
      </c>
      <c r="BI74" s="273">
        <v>2.49000000000001</v>
      </c>
      <c r="BJ74" s="59">
        <v>53</v>
      </c>
      <c r="BK74" s="168" t="str">
        <f t="shared" si="20"/>
        <v>---------</v>
      </c>
      <c r="BL74" s="182">
        <v>5.9900000000000002E-2</v>
      </c>
      <c r="BM74" s="185">
        <v>53</v>
      </c>
      <c r="BN74" s="182">
        <f t="shared" si="21"/>
        <v>5.9900000000000002E-2</v>
      </c>
      <c r="BO74" s="265" cm="1">
        <f t="array" ref="BO74">INDEX(AF136:AI136,$AQ$20)</f>
        <v>4.6052043740243569</v>
      </c>
      <c r="BP74" s="13">
        <f t="shared" si="41"/>
        <v>2.5387060303251472</v>
      </c>
      <c r="BQ74" s="12" t="s">
        <v>62</v>
      </c>
      <c r="BR74" s="20" t="str">
        <f t="shared" si="42"/>
        <v/>
      </c>
      <c r="BS74" s="12" t="s">
        <v>314</v>
      </c>
      <c r="BT74" s="61" t="str">
        <f t="shared" si="43"/>
        <v>2.5</v>
      </c>
      <c r="BU74" s="20" t="str">
        <f t="shared" si="38"/>
        <v/>
      </c>
      <c r="BV74" s="12" t="s">
        <v>314</v>
      </c>
      <c r="BW74" s="61" t="str">
        <f t="shared" si="39"/>
        <v>2.5</v>
      </c>
      <c r="BY74" s="356"/>
      <c r="BZ74" s="358" t="s">
        <v>332</v>
      </c>
      <c r="CA74" s="358"/>
      <c r="CB74" s="358"/>
      <c r="CC74" s="358"/>
      <c r="CD74" s="358"/>
      <c r="CE74" s="358"/>
      <c r="CF74" s="358"/>
      <c r="CG74" s="358"/>
      <c r="CH74" s="358"/>
      <c r="CI74" s="358"/>
      <c r="CJ74" s="358"/>
      <c r="CK74" s="358"/>
      <c r="CL74" s="356"/>
      <c r="CM74" s="356"/>
      <c r="CN74" s="356"/>
      <c r="CO74" s="356"/>
      <c r="CP74" s="356"/>
      <c r="CQ74" s="356"/>
      <c r="CR74" s="356"/>
      <c r="CS74" s="356"/>
      <c r="CT74" s="356"/>
    </row>
    <row r="75" spans="1:98">
      <c r="AB75" s="8"/>
      <c r="AC75" s="8"/>
      <c r="AK75" s="8"/>
      <c r="AL75" s="8"/>
      <c r="AM75" s="8"/>
      <c r="AN75" s="8"/>
      <c r="AO75" s="8"/>
      <c r="AP75" s="8"/>
      <c r="AQ75" s="8"/>
      <c r="AR75" s="8"/>
      <c r="AS75" s="8"/>
      <c r="BC75" s="10">
        <v>43</v>
      </c>
      <c r="BD75" s="59">
        <v>54</v>
      </c>
      <c r="BE75" s="7" t="str">
        <f t="shared" si="40"/>
        <v>---------</v>
      </c>
      <c r="BF75" s="277">
        <v>19.8</v>
      </c>
      <c r="BG75" s="12" t="s">
        <v>316</v>
      </c>
      <c r="BH75" s="7" t="str">
        <f t="shared" si="19"/>
        <v>---------</v>
      </c>
      <c r="BI75" s="273">
        <v>2.4800000000000102</v>
      </c>
      <c r="BJ75" s="59">
        <v>54</v>
      </c>
      <c r="BK75" s="168" t="str">
        <f t="shared" si="20"/>
        <v>---------</v>
      </c>
      <c r="BL75" s="182">
        <v>5.9799999999999999E-2</v>
      </c>
      <c r="BM75" s="185">
        <v>54</v>
      </c>
      <c r="BN75" s="182">
        <f t="shared" si="21"/>
        <v>5.9799999999999999E-2</v>
      </c>
      <c r="BO75" s="265" cm="1">
        <f t="array" ref="BO75">INDEX(AF137:AI137,$AQ$20)</f>
        <v>4.5263893377316737</v>
      </c>
      <c r="BP75" s="13">
        <f t="shared" si="41"/>
        <v>2.5387060303251472</v>
      </c>
      <c r="BQ75" s="12" t="s">
        <v>72</v>
      </c>
      <c r="BR75" s="20" t="str">
        <f t="shared" si="42"/>
        <v/>
      </c>
      <c r="BS75" s="12" t="s">
        <v>316</v>
      </c>
      <c r="BT75" s="61" t="str">
        <f t="shared" si="43"/>
        <v>2.5</v>
      </c>
      <c r="BU75" s="20" t="str">
        <f t="shared" si="38"/>
        <v/>
      </c>
      <c r="BV75" s="12" t="s">
        <v>316</v>
      </c>
      <c r="BW75" s="61" t="str">
        <f t="shared" si="39"/>
        <v>2.5</v>
      </c>
      <c r="BY75" s="356"/>
      <c r="BZ75" s="358"/>
      <c r="CA75" s="358"/>
      <c r="CB75" s="358"/>
      <c r="CC75" s="358"/>
      <c r="CD75" s="358"/>
      <c r="CE75" s="358"/>
      <c r="CF75" s="358"/>
      <c r="CG75" s="358"/>
      <c r="CH75" s="358"/>
      <c r="CI75" s="358"/>
      <c r="CJ75" s="358"/>
      <c r="CK75" s="358"/>
      <c r="CL75" s="356"/>
      <c r="CM75" s="356"/>
      <c r="CN75" s="356"/>
      <c r="CO75" s="356"/>
      <c r="CP75" s="356"/>
      <c r="CQ75" s="356"/>
      <c r="CR75" s="356"/>
      <c r="CS75" s="356"/>
      <c r="CT75" s="356"/>
    </row>
    <row r="76" spans="1:98">
      <c r="AB76" s="8"/>
      <c r="AC76" s="8"/>
      <c r="AK76" s="8"/>
      <c r="AL76" s="8"/>
      <c r="AM76" s="8"/>
      <c r="AN76" s="8"/>
      <c r="AO76" s="8"/>
      <c r="AP76" s="8"/>
      <c r="AQ76" s="8"/>
      <c r="AR76" s="8"/>
      <c r="AS76" s="8"/>
      <c r="AT76" s="59"/>
      <c r="AU76" s="59"/>
      <c r="AV76" s="59"/>
      <c r="AW76" s="59"/>
      <c r="AX76" s="59"/>
      <c r="AY76" s="59"/>
      <c r="AZ76" s="59"/>
      <c r="BA76" s="59"/>
      <c r="BB76" s="59"/>
      <c r="BC76" s="10">
        <v>42</v>
      </c>
      <c r="BD76" s="59">
        <v>55</v>
      </c>
      <c r="BE76" s="7" t="str">
        <f t="shared" si="40"/>
        <v>---------</v>
      </c>
      <c r="BF76" s="277">
        <v>19.7</v>
      </c>
      <c r="BG76" s="12" t="s">
        <v>319</v>
      </c>
      <c r="BH76" s="7" t="str">
        <f t="shared" si="19"/>
        <v>---------</v>
      </c>
      <c r="BI76" s="273">
        <v>2.47000000000001</v>
      </c>
      <c r="BJ76" s="59">
        <v>55</v>
      </c>
      <c r="BK76" s="168" t="str">
        <f t="shared" si="20"/>
        <v>---------</v>
      </c>
      <c r="BL76" s="182">
        <v>5.9700000000000003E-2</v>
      </c>
      <c r="BM76" s="185">
        <v>55</v>
      </c>
      <c r="BN76" s="182">
        <f t="shared" si="21"/>
        <v>5.9700000000000003E-2</v>
      </c>
      <c r="BO76" s="265" cm="1">
        <f t="array" ref="BO76">INDEX(AF138:AI138,$AQ$20)</f>
        <v>4.4469404700162549</v>
      </c>
      <c r="BP76" s="13">
        <f t="shared" si="41"/>
        <v>2.5387060303251472</v>
      </c>
      <c r="BQ76" s="12" t="s">
        <v>79</v>
      </c>
      <c r="BR76" s="20" t="str">
        <f t="shared" si="42"/>
        <v/>
      </c>
      <c r="BS76" s="12" t="s">
        <v>319</v>
      </c>
      <c r="BT76" s="61" t="str">
        <f t="shared" si="43"/>
        <v>2.5</v>
      </c>
      <c r="BU76" s="20" t="str">
        <f t="shared" si="38"/>
        <v/>
      </c>
      <c r="BV76" s="12" t="s">
        <v>319</v>
      </c>
      <c r="BW76" s="61" t="str">
        <f t="shared" si="39"/>
        <v>2.5</v>
      </c>
      <c r="BY76" s="356"/>
      <c r="BZ76" s="358" t="s">
        <v>337</v>
      </c>
      <c r="CA76" s="358"/>
      <c r="CB76" s="358"/>
      <c r="CC76" s="358"/>
      <c r="CD76" s="358"/>
      <c r="CE76" s="358"/>
      <c r="CF76" s="358"/>
      <c r="CG76" s="358"/>
      <c r="CH76" s="358"/>
      <c r="CI76" s="358"/>
      <c r="CJ76" s="358"/>
      <c r="CK76" s="358"/>
      <c r="CL76" s="356"/>
      <c r="CM76" s="356"/>
      <c r="CN76" s="356"/>
      <c r="CO76" s="356"/>
      <c r="CP76" s="356"/>
      <c r="CQ76" s="356"/>
      <c r="CR76" s="356"/>
      <c r="CS76" s="356"/>
      <c r="CT76" s="356"/>
    </row>
    <row r="77" spans="1:98">
      <c r="AB77" s="8"/>
      <c r="AC77" s="8"/>
      <c r="AK77" s="8"/>
      <c r="AL77" s="8"/>
      <c r="AM77" s="8"/>
      <c r="AN77" s="8"/>
      <c r="AO77" s="8"/>
      <c r="AP77" s="8"/>
      <c r="AQ77" s="8"/>
      <c r="AR77" s="8"/>
      <c r="AS77" s="8"/>
      <c r="AT77" s="24"/>
      <c r="AU77" s="24"/>
      <c r="AV77" s="24"/>
      <c r="AW77" s="24"/>
      <c r="AX77" s="24"/>
      <c r="AY77" s="24"/>
      <c r="AZ77" s="24"/>
      <c r="BA77" s="24"/>
      <c r="BB77" s="24"/>
      <c r="BC77" s="10">
        <v>41</v>
      </c>
      <c r="BD77" s="59">
        <v>56</v>
      </c>
      <c r="BE77" s="7" t="str">
        <f t="shared" si="40"/>
        <v>---------</v>
      </c>
      <c r="BF77" s="277">
        <v>19.600000000000001</v>
      </c>
      <c r="BG77" s="12" t="s">
        <v>321</v>
      </c>
      <c r="BH77" s="7" t="str">
        <f t="shared" si="19"/>
        <v>---------</v>
      </c>
      <c r="BI77" s="273">
        <v>2.4600000000000102</v>
      </c>
      <c r="BJ77" s="59">
        <v>56</v>
      </c>
      <c r="BK77" s="168" t="str">
        <f t="shared" si="20"/>
        <v>---------</v>
      </c>
      <c r="BL77" s="182">
        <v>5.96E-2</v>
      </c>
      <c r="BM77" s="185">
        <v>56</v>
      </c>
      <c r="BN77" s="182">
        <f t="shared" si="21"/>
        <v>5.96E-2</v>
      </c>
      <c r="BO77" s="265" cm="1">
        <f t="array" ref="BO77">INDEX(AF139:AI139,$AQ$20)</f>
        <v>4.3668577708780969</v>
      </c>
      <c r="BP77" s="13">
        <f t="shared" si="41"/>
        <v>2.5387060303251472</v>
      </c>
      <c r="BQ77" s="12" t="s">
        <v>85</v>
      </c>
      <c r="BR77" s="20" t="str">
        <f t="shared" si="42"/>
        <v/>
      </c>
      <c r="BS77" s="12" t="s">
        <v>321</v>
      </c>
      <c r="BT77" s="61" t="str">
        <f t="shared" si="43"/>
        <v>2.5</v>
      </c>
      <c r="BU77" s="20" t="str">
        <f t="shared" si="38"/>
        <v/>
      </c>
      <c r="BV77" s="12" t="s">
        <v>321</v>
      </c>
      <c r="BW77" s="61" t="str">
        <f t="shared" si="39"/>
        <v>2.5</v>
      </c>
      <c r="BY77" s="356"/>
      <c r="BZ77" s="358" t="s">
        <v>341</v>
      </c>
      <c r="CA77" s="358"/>
      <c r="CB77" s="358"/>
      <c r="CC77" s="358"/>
      <c r="CD77" s="358"/>
      <c r="CE77" s="358"/>
      <c r="CF77" s="358"/>
      <c r="CG77" s="358"/>
      <c r="CH77" s="358"/>
      <c r="CI77" s="358"/>
      <c r="CJ77" s="358"/>
      <c r="CK77" s="358"/>
      <c r="CL77" s="356"/>
      <c r="CM77" s="356"/>
      <c r="CN77" s="356"/>
      <c r="CO77" s="356"/>
      <c r="CP77" s="356"/>
      <c r="CQ77" s="356"/>
      <c r="CR77" s="356"/>
      <c r="CS77" s="356"/>
      <c r="CT77" s="356"/>
    </row>
    <row r="78" spans="1:98" ht="18">
      <c r="AB78" s="8"/>
      <c r="AC78" s="8"/>
      <c r="AK78" s="8"/>
      <c r="AL78" s="8"/>
      <c r="AM78" s="8"/>
      <c r="AN78" s="8"/>
      <c r="AO78" s="8"/>
      <c r="AP78" s="8"/>
      <c r="AQ78" s="8"/>
      <c r="AR78" s="8"/>
      <c r="AS78" s="8"/>
      <c r="AT78" s="24"/>
      <c r="AU78" s="24"/>
      <c r="AV78" s="24"/>
      <c r="AW78" s="24"/>
      <c r="AX78" s="24"/>
      <c r="AY78" s="24"/>
      <c r="AZ78" s="24"/>
      <c r="BA78" s="24"/>
      <c r="BB78" s="24"/>
      <c r="BC78" s="10">
        <v>40</v>
      </c>
      <c r="BD78" s="59">
        <v>57</v>
      </c>
      <c r="BE78" s="7" t="str">
        <f t="shared" si="40"/>
        <v>---------</v>
      </c>
      <c r="BF78" s="277">
        <v>19.5</v>
      </c>
      <c r="BG78" s="12" t="s">
        <v>322</v>
      </c>
      <c r="BH78" s="7" t="str">
        <f t="shared" si="19"/>
        <v>---------</v>
      </c>
      <c r="BI78" s="273">
        <v>2.4500000000000099</v>
      </c>
      <c r="BJ78" s="59">
        <v>57</v>
      </c>
      <c r="BK78" s="168" t="str">
        <f t="shared" si="20"/>
        <v>---------</v>
      </c>
      <c r="BL78" s="182">
        <v>5.9499999999999997E-2</v>
      </c>
      <c r="BM78" s="185">
        <v>57</v>
      </c>
      <c r="BN78" s="182">
        <f t="shared" si="21"/>
        <v>5.9499999999999997E-2</v>
      </c>
      <c r="BO78" s="265" cm="1">
        <f t="array" ref="BO78">INDEX(AF140:AI140,$AQ$20)</f>
        <v>4.2861412403172094</v>
      </c>
      <c r="BP78" s="13">
        <f t="shared" si="41"/>
        <v>2.5387060303251472</v>
      </c>
      <c r="BQ78" s="12" t="s">
        <v>92</v>
      </c>
      <c r="BR78" s="20" t="str">
        <f t="shared" si="42"/>
        <v/>
      </c>
      <c r="BS78" s="12" t="s">
        <v>322</v>
      </c>
      <c r="BT78" s="61" t="str">
        <f t="shared" si="43"/>
        <v>2.5</v>
      </c>
      <c r="BU78" s="20" t="str">
        <f t="shared" si="38"/>
        <v/>
      </c>
      <c r="BV78" s="12" t="s">
        <v>322</v>
      </c>
      <c r="BW78" s="61" t="str">
        <f t="shared" si="39"/>
        <v>2.5</v>
      </c>
      <c r="BY78" s="356"/>
      <c r="BZ78" s="358" t="s">
        <v>344</v>
      </c>
      <c r="CA78" s="358"/>
      <c r="CB78" s="358"/>
      <c r="CC78" s="358"/>
      <c r="CD78" s="358"/>
      <c r="CE78" s="358"/>
      <c r="CF78" s="358"/>
      <c r="CG78" s="358"/>
      <c r="CH78" s="358"/>
      <c r="CI78" s="358"/>
      <c r="CJ78" s="358"/>
      <c r="CK78" s="358"/>
      <c r="CL78" s="356"/>
      <c r="CM78" s="356"/>
      <c r="CN78" s="356"/>
      <c r="CO78" s="356"/>
      <c r="CP78" s="356"/>
      <c r="CQ78" s="356"/>
      <c r="CR78" s="356"/>
      <c r="CS78" s="356"/>
      <c r="CT78" s="356"/>
    </row>
    <row r="79" spans="1:98">
      <c r="AB79" s="8"/>
      <c r="AC79" s="8"/>
      <c r="AK79" s="8"/>
      <c r="AL79" s="8"/>
      <c r="AM79" s="8"/>
      <c r="AN79" s="8"/>
      <c r="AO79" s="8"/>
      <c r="AP79" s="8"/>
      <c r="AQ79" s="8"/>
      <c r="AR79" s="8"/>
      <c r="AS79" s="8"/>
      <c r="AT79" s="24"/>
      <c r="AU79" s="24"/>
      <c r="AV79" s="24"/>
      <c r="AW79" s="24"/>
      <c r="AX79" s="24"/>
      <c r="AY79" s="24"/>
      <c r="AZ79" s="24"/>
      <c r="BA79" s="24"/>
      <c r="BB79" s="24"/>
      <c r="BC79" s="10">
        <v>39</v>
      </c>
      <c r="BD79" s="59">
        <v>58</v>
      </c>
      <c r="BE79" s="7" t="str">
        <f t="shared" si="40"/>
        <v>---------</v>
      </c>
      <c r="BF79" s="277">
        <v>19.399999999999999</v>
      </c>
      <c r="BG79" s="12" t="s">
        <v>323</v>
      </c>
      <c r="BH79" s="7" t="str">
        <f t="shared" si="19"/>
        <v>---------</v>
      </c>
      <c r="BI79" s="273">
        <v>2.4400000000000102</v>
      </c>
      <c r="BJ79" s="59">
        <v>58</v>
      </c>
      <c r="BK79" s="168" t="str">
        <f t="shared" si="20"/>
        <v>---------</v>
      </c>
      <c r="BL79" s="182">
        <v>5.9400000000000001E-2</v>
      </c>
      <c r="BM79" s="185">
        <v>58</v>
      </c>
      <c r="BN79" s="182">
        <f t="shared" si="21"/>
        <v>5.9400000000000001E-2</v>
      </c>
      <c r="BO79" s="265" cm="1">
        <f t="array" ref="BO79">INDEX(AF141:AI141,$AQ$20)</f>
        <v>4.2047908783335846</v>
      </c>
      <c r="BP79" s="13">
        <f t="shared" si="41"/>
        <v>2.5387060303251472</v>
      </c>
      <c r="BQ79" s="12" t="s">
        <v>98</v>
      </c>
      <c r="BR79" s="20" t="str">
        <f t="shared" si="42"/>
        <v/>
      </c>
      <c r="BS79" s="12" t="s">
        <v>323</v>
      </c>
      <c r="BT79" s="61" t="str">
        <f t="shared" si="43"/>
        <v>2.5</v>
      </c>
      <c r="BU79" s="20" t="str">
        <f t="shared" si="38"/>
        <v/>
      </c>
      <c r="BV79" s="12" t="s">
        <v>323</v>
      </c>
      <c r="BW79" s="61" t="str">
        <f t="shared" si="39"/>
        <v>2.5</v>
      </c>
      <c r="BY79" s="356"/>
      <c r="BZ79" s="358"/>
      <c r="CA79" s="358"/>
      <c r="CB79" s="358"/>
      <c r="CC79" s="358"/>
      <c r="CD79" s="358"/>
      <c r="CE79" s="358"/>
      <c r="CF79" s="358"/>
      <c r="CG79" s="358"/>
      <c r="CH79" s="358"/>
      <c r="CI79" s="358"/>
      <c r="CJ79" s="358"/>
      <c r="CK79" s="358"/>
      <c r="CL79" s="356"/>
      <c r="CM79" s="356"/>
      <c r="CN79" s="356"/>
      <c r="CO79" s="356"/>
      <c r="CP79" s="356"/>
      <c r="CQ79" s="356"/>
      <c r="CR79" s="356"/>
      <c r="CS79" s="356"/>
      <c r="CT79" s="356"/>
    </row>
    <row r="80" spans="1:98">
      <c r="AB80" s="8"/>
      <c r="AC80" s="8"/>
      <c r="AK80" s="8"/>
      <c r="AL80" s="8"/>
      <c r="AM80" s="8"/>
      <c r="AN80" s="8"/>
      <c r="AO80" s="8"/>
      <c r="AP80" s="8"/>
      <c r="AQ80" s="8"/>
      <c r="AR80" s="8"/>
      <c r="AS80" s="8"/>
      <c r="AT80" s="24"/>
      <c r="AU80" s="24"/>
      <c r="AV80" s="24"/>
      <c r="AW80" s="24"/>
      <c r="AX80" s="24"/>
      <c r="AY80" s="24"/>
      <c r="AZ80" s="24"/>
      <c r="BA80" s="24"/>
      <c r="BB80" s="24"/>
      <c r="BC80" s="10">
        <v>38</v>
      </c>
      <c r="BD80" s="59">
        <v>59</v>
      </c>
      <c r="BE80" s="7" t="str">
        <f t="shared" si="40"/>
        <v>---------</v>
      </c>
      <c r="BF80" s="277">
        <v>19.3</v>
      </c>
      <c r="BG80" s="12" t="s">
        <v>324</v>
      </c>
      <c r="BH80" s="7" t="str">
        <f t="shared" si="19"/>
        <v>---------</v>
      </c>
      <c r="BI80" s="273">
        <v>2.4300000000000099</v>
      </c>
      <c r="BJ80" s="59">
        <v>59</v>
      </c>
      <c r="BK80" s="168" t="str">
        <f t="shared" si="20"/>
        <v>---------</v>
      </c>
      <c r="BL80" s="182">
        <v>5.9299999999999999E-2</v>
      </c>
      <c r="BM80" s="185">
        <v>59</v>
      </c>
      <c r="BN80" s="182">
        <f t="shared" si="21"/>
        <v>5.9299999999999999E-2</v>
      </c>
      <c r="BO80" s="265" cm="1">
        <f t="array" ref="BO80">INDEX(AF142:AI142,$AQ$20)</f>
        <v>4.1228066849272302</v>
      </c>
      <c r="BP80" s="13">
        <f t="shared" si="41"/>
        <v>2.5387060303251472</v>
      </c>
      <c r="BQ80" s="12" t="s">
        <v>105</v>
      </c>
      <c r="BR80" s="20" t="str">
        <f t="shared" si="42"/>
        <v/>
      </c>
      <c r="BS80" s="12" t="s">
        <v>324</v>
      </c>
      <c r="BT80" s="61" t="str">
        <f t="shared" si="43"/>
        <v>2.5</v>
      </c>
      <c r="BU80" s="20" t="str">
        <f t="shared" si="38"/>
        <v/>
      </c>
      <c r="BV80" s="12" t="s">
        <v>324</v>
      </c>
      <c r="BW80" s="61" t="str">
        <f t="shared" si="39"/>
        <v>2.5</v>
      </c>
      <c r="BY80" s="356"/>
      <c r="BZ80" s="358" t="s">
        <v>350</v>
      </c>
      <c r="CA80" s="358"/>
      <c r="CB80" s="358"/>
      <c r="CC80" s="358"/>
      <c r="CD80" s="358"/>
      <c r="CE80" s="358"/>
      <c r="CF80" s="358"/>
      <c r="CG80" s="358"/>
      <c r="CH80" s="358"/>
      <c r="CI80" s="358"/>
      <c r="CJ80" s="358"/>
      <c r="CK80" s="358"/>
      <c r="CL80" s="356"/>
      <c r="CM80" s="356"/>
      <c r="CN80" s="356"/>
      <c r="CO80" s="356"/>
      <c r="CP80" s="356"/>
      <c r="CQ80" s="356"/>
      <c r="CR80" s="356"/>
      <c r="CS80" s="356"/>
      <c r="CT80" s="356"/>
    </row>
    <row r="81" spans="20:98">
      <c r="U81" s="8"/>
      <c r="V81" s="8"/>
      <c r="AB81" s="8"/>
      <c r="AC81" s="8"/>
      <c r="AK81" s="24"/>
      <c r="AL81" s="24"/>
      <c r="AM81" s="24"/>
      <c r="AN81" s="24"/>
      <c r="AO81" s="24"/>
      <c r="AP81" s="24"/>
      <c r="AQ81" s="24"/>
      <c r="AR81" s="24"/>
      <c r="AS81" s="24"/>
      <c r="AT81" s="24"/>
      <c r="AU81" s="24"/>
      <c r="AV81" s="24"/>
      <c r="AW81" s="24"/>
      <c r="AX81" s="24"/>
      <c r="AY81" s="24"/>
      <c r="AZ81" s="24"/>
      <c r="BA81" s="24"/>
      <c r="BB81" s="24"/>
      <c r="BC81" s="10">
        <v>37</v>
      </c>
      <c r="BD81" s="59">
        <v>60</v>
      </c>
      <c r="BE81" s="7" t="str">
        <f t="shared" si="40"/>
        <v>---------</v>
      </c>
      <c r="BF81" s="277">
        <v>19.2</v>
      </c>
      <c r="BG81" s="12" t="s">
        <v>325</v>
      </c>
      <c r="BH81" s="7" t="str">
        <f t="shared" si="19"/>
        <v>---------</v>
      </c>
      <c r="BI81" s="273">
        <v>2.4200000000000101</v>
      </c>
      <c r="BJ81" s="59">
        <v>60</v>
      </c>
      <c r="BK81" s="168" t="str">
        <f t="shared" si="20"/>
        <v>---------</v>
      </c>
      <c r="BL81" s="182">
        <v>5.9200000000000003E-2</v>
      </c>
      <c r="BM81" s="185">
        <v>60</v>
      </c>
      <c r="BN81" s="182">
        <f t="shared" si="21"/>
        <v>5.9200000000000003E-2</v>
      </c>
      <c r="BO81" s="265" cm="1">
        <f t="array" ref="BO81">INDEX(AF143:AI143,$AQ$20)</f>
        <v>4.0401886600981367</v>
      </c>
      <c r="BP81" s="13">
        <f t="shared" si="41"/>
        <v>2.5387060303251472</v>
      </c>
      <c r="BQ81" s="12" t="s">
        <v>109</v>
      </c>
      <c r="BR81" s="20" t="str">
        <f t="shared" si="42"/>
        <v/>
      </c>
      <c r="BS81" s="12" t="s">
        <v>325</v>
      </c>
      <c r="BT81" s="61" t="str">
        <f t="shared" si="43"/>
        <v>2.5</v>
      </c>
      <c r="BU81" s="20" t="str">
        <f t="shared" si="38"/>
        <v/>
      </c>
      <c r="BV81" s="12" t="s">
        <v>325</v>
      </c>
      <c r="BW81" s="61" t="str">
        <f t="shared" si="39"/>
        <v>2.5</v>
      </c>
      <c r="BY81" s="356"/>
      <c r="BZ81" s="358"/>
      <c r="CA81" s="358"/>
      <c r="CB81" s="358"/>
      <c r="CC81" s="358"/>
      <c r="CD81" s="358"/>
      <c r="CE81" s="358"/>
      <c r="CF81" s="358"/>
      <c r="CG81" s="358"/>
      <c r="CH81" s="358"/>
      <c r="CI81" s="358"/>
      <c r="CJ81" s="358"/>
      <c r="CK81" s="358"/>
      <c r="CL81" s="356"/>
      <c r="CM81" s="356"/>
      <c r="CN81" s="356"/>
      <c r="CO81" s="356"/>
      <c r="CP81" s="356"/>
      <c r="CQ81" s="356"/>
      <c r="CR81" s="356"/>
      <c r="CS81" s="356"/>
      <c r="CT81" s="356"/>
    </row>
    <row r="82" spans="20:98">
      <c r="U82" s="8"/>
      <c r="V82" s="8"/>
      <c r="AB82" s="8"/>
      <c r="AC82" s="8"/>
      <c r="AK82" s="24"/>
      <c r="AL82" s="24"/>
      <c r="AM82" s="24"/>
      <c r="AN82" s="24"/>
      <c r="AO82" s="24"/>
      <c r="AP82" s="24"/>
      <c r="AQ82" s="24"/>
      <c r="AR82" s="24"/>
      <c r="AS82" s="24"/>
      <c r="AT82" s="24"/>
      <c r="AU82" s="24"/>
      <c r="AV82" s="24"/>
      <c r="AW82" s="24"/>
      <c r="AX82" s="24"/>
      <c r="AY82" s="24"/>
      <c r="AZ82" s="24"/>
      <c r="BA82" s="24"/>
      <c r="BB82" s="24"/>
      <c r="BC82" s="10">
        <v>36</v>
      </c>
      <c r="BD82" s="59">
        <v>61</v>
      </c>
      <c r="BE82" s="7" t="str">
        <f t="shared" si="40"/>
        <v>---------</v>
      </c>
      <c r="BF82" s="277">
        <v>19.100000000000001</v>
      </c>
      <c r="BG82" s="12" t="s">
        <v>327</v>
      </c>
      <c r="BH82" s="7" t="str">
        <f t="shared" si="19"/>
        <v>---------</v>
      </c>
      <c r="BI82" s="273">
        <v>2.4100000000000099</v>
      </c>
      <c r="BJ82" s="59">
        <v>61</v>
      </c>
      <c r="BK82" s="168" t="str">
        <f t="shared" si="20"/>
        <v>---------</v>
      </c>
      <c r="BL82" s="182">
        <v>5.91E-2</v>
      </c>
      <c r="BM82" s="185">
        <v>61</v>
      </c>
      <c r="BN82" s="182">
        <f t="shared" si="21"/>
        <v>5.91E-2</v>
      </c>
      <c r="BO82" s="265" cm="1">
        <f t="array" ref="BO82">INDEX(AF144:AI144,$AQ$20)</f>
        <v>3.9569368038463093</v>
      </c>
      <c r="BP82" s="13">
        <f t="shared" si="41"/>
        <v>2.5387060303251472</v>
      </c>
      <c r="BQ82" s="12" t="s">
        <v>113</v>
      </c>
      <c r="BR82" s="20" t="str">
        <f t="shared" si="42"/>
        <v/>
      </c>
      <c r="BS82" s="12" t="s">
        <v>327</v>
      </c>
      <c r="BT82" s="61" t="str">
        <f t="shared" si="43"/>
        <v>2.5</v>
      </c>
      <c r="BU82" s="20" t="str">
        <f t="shared" si="38"/>
        <v/>
      </c>
      <c r="BV82" s="12" t="s">
        <v>327</v>
      </c>
      <c r="BW82" s="61" t="str">
        <f t="shared" si="39"/>
        <v>2.5</v>
      </c>
      <c r="BY82" s="356"/>
      <c r="BZ82" s="358" t="s">
        <v>356</v>
      </c>
      <c r="CA82" s="358"/>
      <c r="CB82" s="358"/>
      <c r="CC82" s="358"/>
      <c r="CD82" s="358"/>
      <c r="CE82" s="358"/>
      <c r="CF82" s="358"/>
      <c r="CG82" s="358"/>
      <c r="CH82" s="358"/>
      <c r="CI82" s="358"/>
      <c r="CJ82" s="358"/>
      <c r="CK82" s="358"/>
      <c r="CL82" s="356"/>
      <c r="CM82" s="356"/>
      <c r="CN82" s="356"/>
      <c r="CO82" s="356"/>
      <c r="CP82" s="356"/>
      <c r="CQ82" s="356"/>
      <c r="CR82" s="356"/>
      <c r="CS82" s="356"/>
      <c r="CT82" s="356"/>
    </row>
    <row r="83" spans="20:98">
      <c r="U83" s="64">
        <f>AF83</f>
        <v>400</v>
      </c>
      <c r="X83" s="64">
        <f>AG83</f>
        <v>600</v>
      </c>
      <c r="AA83" s="64">
        <f>AH83</f>
        <v>900</v>
      </c>
      <c r="AD83" s="64">
        <f>AI83</f>
        <v>1200</v>
      </c>
      <c r="AF83" s="64">
        <f>$AG$15</f>
        <v>400</v>
      </c>
      <c r="AG83" s="64">
        <f>$AH$15</f>
        <v>600</v>
      </c>
      <c r="AH83" s="64">
        <f>$AI$15</f>
        <v>900</v>
      </c>
      <c r="AI83" s="64">
        <f>$AJ$15</f>
        <v>1200</v>
      </c>
      <c r="AK83" s="24"/>
      <c r="AL83" s="24"/>
      <c r="AM83" s="24"/>
      <c r="AN83" s="24"/>
      <c r="AO83" s="24"/>
      <c r="AP83" s="24"/>
      <c r="AQ83" s="24"/>
      <c r="AR83" s="24"/>
      <c r="AS83" s="24"/>
      <c r="AT83" s="24"/>
      <c r="AU83" s="24"/>
      <c r="AV83" s="24"/>
      <c r="AW83" s="24"/>
      <c r="AX83" s="24"/>
      <c r="AY83" s="24"/>
      <c r="AZ83" s="24"/>
      <c r="BA83" s="24"/>
      <c r="BB83" s="24"/>
      <c r="BC83" s="10">
        <v>35</v>
      </c>
      <c r="BD83" s="59">
        <v>62</v>
      </c>
      <c r="BE83" s="7" t="str">
        <f t="shared" si="40"/>
        <v>---------</v>
      </c>
      <c r="BF83" s="277">
        <v>19</v>
      </c>
      <c r="BG83" s="12" t="s">
        <v>330</v>
      </c>
      <c r="BH83" s="7" t="str">
        <f t="shared" si="19"/>
        <v>---------</v>
      </c>
      <c r="BI83" s="273">
        <v>2.4000000000000101</v>
      </c>
      <c r="BJ83" s="59">
        <v>62</v>
      </c>
      <c r="BK83" s="168" t="str">
        <f t="shared" si="20"/>
        <v>---------</v>
      </c>
      <c r="BL83" s="182">
        <v>5.8999999999999997E-2</v>
      </c>
      <c r="BM83" s="185">
        <v>62</v>
      </c>
      <c r="BN83" s="182">
        <f t="shared" si="21"/>
        <v>5.8999999999999997E-2</v>
      </c>
      <c r="BO83" s="265" cm="1">
        <f t="array" ref="BO83">INDEX(AF145:AI145,$AQ$20)</f>
        <v>3.8730511161717471</v>
      </c>
      <c r="BP83" s="13">
        <f t="shared" si="41"/>
        <v>2.5387060303251472</v>
      </c>
      <c r="BQ83" s="12" t="s">
        <v>118</v>
      </c>
      <c r="BR83" s="20" t="str">
        <f t="shared" si="42"/>
        <v/>
      </c>
      <c r="BS83" s="12" t="s">
        <v>330</v>
      </c>
      <c r="BT83" s="61" t="str">
        <f t="shared" si="43"/>
        <v>2.5</v>
      </c>
      <c r="BU83" s="20" t="str">
        <f t="shared" si="38"/>
        <v/>
      </c>
      <c r="BV83" s="12" t="s">
        <v>330</v>
      </c>
      <c r="BW83" s="61" t="str">
        <f t="shared" si="39"/>
        <v>2.5</v>
      </c>
      <c r="BY83" s="356"/>
      <c r="BZ83" s="358"/>
      <c r="CA83" s="358"/>
      <c r="CB83" s="358"/>
      <c r="CC83" s="358"/>
      <c r="CD83" s="358"/>
      <c r="CE83" s="358"/>
      <c r="CF83" s="358"/>
      <c r="CG83" s="358"/>
      <c r="CH83" s="358"/>
      <c r="CI83" s="358"/>
      <c r="CJ83" s="358"/>
      <c r="CK83" s="358"/>
      <c r="CL83" s="356"/>
      <c r="CM83" s="356"/>
      <c r="CN83" s="356"/>
      <c r="CO83" s="356"/>
      <c r="CP83" s="356"/>
      <c r="CQ83" s="356"/>
      <c r="CR83" s="356"/>
      <c r="CS83" s="356"/>
      <c r="CT83" s="356"/>
    </row>
    <row r="84" spans="20:98">
      <c r="T84" s="7">
        <v>3.2000000000000001E-2</v>
      </c>
      <c r="U84" s="7">
        <v>0.04</v>
      </c>
      <c r="V84" s="7">
        <v>0.05</v>
      </c>
      <c r="W84" s="7">
        <v>3.2000000000000001E-2</v>
      </c>
      <c r="X84" s="7">
        <v>0.04</v>
      </c>
      <c r="Y84" s="7">
        <v>0.05</v>
      </c>
      <c r="Z84" s="7">
        <v>3.2000000000000001E-2</v>
      </c>
      <c r="AA84" s="7">
        <v>0.04</v>
      </c>
      <c r="AB84" s="7">
        <v>0.05</v>
      </c>
      <c r="AC84" s="7">
        <v>3.2000000000000001E-2</v>
      </c>
      <c r="AD84" s="7">
        <v>0.04</v>
      </c>
      <c r="AE84" s="7">
        <v>0.05</v>
      </c>
      <c r="AF84" s="8">
        <f>$BN$21</f>
        <v>6.5000000000000002E-2</v>
      </c>
      <c r="AG84" s="8">
        <f>$BN$21</f>
        <v>6.5000000000000002E-2</v>
      </c>
      <c r="AH84" s="8">
        <f>$BN$21</f>
        <v>6.5000000000000002E-2</v>
      </c>
      <c r="AI84" s="8">
        <f>$BN$21</f>
        <v>6.5000000000000002E-2</v>
      </c>
      <c r="AK84" s="24"/>
      <c r="AL84" s="24"/>
      <c r="AM84" s="24"/>
      <c r="AN84" s="24"/>
      <c r="AO84" s="24"/>
      <c r="AP84" s="24"/>
      <c r="AQ84" s="24"/>
      <c r="AR84" s="24"/>
      <c r="AS84" s="24"/>
      <c r="AT84" s="24"/>
      <c r="AU84" s="24"/>
      <c r="AV84" s="24"/>
      <c r="AW84" s="24"/>
      <c r="AX84" s="24"/>
      <c r="AY84" s="24"/>
      <c r="AZ84" s="24"/>
      <c r="BA84" s="24"/>
      <c r="BB84" s="24"/>
      <c r="BC84" s="10">
        <v>34</v>
      </c>
      <c r="BD84" s="59">
        <v>63</v>
      </c>
      <c r="BE84" s="7" t="str">
        <f t="shared" si="40"/>
        <v>---------</v>
      </c>
      <c r="BF84" s="277">
        <v>18.899999999999999</v>
      </c>
      <c r="BG84" s="12" t="s">
        <v>331</v>
      </c>
      <c r="BH84" s="7" t="str">
        <f t="shared" si="19"/>
        <v>---------</v>
      </c>
      <c r="BI84" s="273">
        <v>2.3900000000000099</v>
      </c>
      <c r="BJ84" s="59">
        <v>63</v>
      </c>
      <c r="BK84" s="168" t="str">
        <f t="shared" si="20"/>
        <v>---------</v>
      </c>
      <c r="BL84" s="182">
        <v>5.8900000000000001E-2</v>
      </c>
      <c r="BM84" s="185">
        <v>63</v>
      </c>
      <c r="BN84" s="182">
        <f t="shared" si="21"/>
        <v>5.8900000000000001E-2</v>
      </c>
      <c r="BO84" s="265" cm="1">
        <f t="array" ref="BO84">INDEX(AF146:AI146,$AQ$20)</f>
        <v>3.7885315970744502</v>
      </c>
      <c r="BP84" s="13">
        <f t="shared" si="41"/>
        <v>2.5387060303251472</v>
      </c>
      <c r="BQ84" s="12">
        <v>3.9</v>
      </c>
      <c r="BR84" s="20" t="str">
        <f t="shared" si="42"/>
        <v/>
      </c>
      <c r="BS84" s="12" t="s">
        <v>331</v>
      </c>
      <c r="BT84" s="61" t="str">
        <f t="shared" si="43"/>
        <v>2.5</v>
      </c>
      <c r="BU84" s="20" t="str">
        <f t="shared" si="38"/>
        <v/>
      </c>
      <c r="BV84" s="12" t="s">
        <v>331</v>
      </c>
      <c r="BW84" s="61" t="str">
        <f t="shared" si="39"/>
        <v>2.5</v>
      </c>
      <c r="BY84" s="356"/>
      <c r="BZ84" s="358"/>
      <c r="CA84" s="358"/>
      <c r="CB84" s="358"/>
      <c r="CC84" s="358"/>
      <c r="CD84" s="358"/>
      <c r="CE84" s="358"/>
      <c r="CF84" s="358"/>
      <c r="CG84" s="358"/>
      <c r="CH84" s="358"/>
      <c r="CI84" s="358"/>
      <c r="CJ84" s="358"/>
      <c r="CK84" s="358"/>
      <c r="CL84" s="356"/>
      <c r="CM84" s="356"/>
      <c r="CN84" s="356"/>
      <c r="CO84" s="356"/>
      <c r="CP84" s="356"/>
      <c r="CQ84" s="356"/>
      <c r="CR84" s="356"/>
      <c r="CS84" s="356"/>
      <c r="CT84" s="356"/>
    </row>
    <row r="85" spans="20:98">
      <c r="T85" s="106">
        <f t="shared" ref="T85:T116" si="44">$AG$16*$BQ23^2+$AG$17*$BQ23+$AG$18+$BB$20</f>
        <v>8.4959504472250398</v>
      </c>
      <c r="U85" s="106">
        <f t="shared" ref="U85:U116" si="45">$AG$19*$BQ23^2+$AG$20*$BQ23+$AG$21+$BB$20</f>
        <v>8.5415553791703154</v>
      </c>
      <c r="V85" s="106">
        <f t="shared" ref="V85:V116" si="46">$AG$22*$BQ23^2+$AG$23*$BQ23+$AG$24+$BB$20</f>
        <v>8.2386575308642254</v>
      </c>
      <c r="W85" s="106">
        <f t="shared" ref="W85:W116" si="47">$AH$16*$BQ23^2+$AH$17*$BQ23+$AH$18+$BB$20</f>
        <v>9.0791481928795577</v>
      </c>
      <c r="X85" s="106">
        <f t="shared" ref="X85:X116" si="48">$AH$19*$BQ23^2+$AH$20*$BQ23+$AH$21+$BB$20</f>
        <v>9.1326621329990747</v>
      </c>
      <c r="Y85" s="106">
        <f t="shared" ref="Y85:Y116" si="49">$AH$22*$BQ23^2+$AH$23*$BQ23+$AH$24+$BB$20</f>
        <v>8.8815283950618173</v>
      </c>
      <c r="Z85" s="106">
        <f t="shared" ref="Z85:Z116" si="50">$AI$16*$BQ23^2+$AI$17*$BQ23+$AI$18+$BB$20</f>
        <v>9.5053616441855677</v>
      </c>
      <c r="AA85" s="106">
        <f t="shared" ref="AA85:AA116" si="51">$AI$19*$BQ23^2+$AI$20*$BQ23+$AI$21+$BB$20</f>
        <v>9.549687964267294</v>
      </c>
      <c r="AB85" s="106">
        <f t="shared" ref="AB85:AB116" si="52">$AI$22*$BQ23^2+$AI$23*$BQ23+$AI$24+$BB$20</f>
        <v>9.3299950617283987</v>
      </c>
      <c r="AC85" s="106">
        <f t="shared" ref="AC85:AC116" si="53">$AJ$16*$BQ23^2+$AJ$17*$BQ23+$AJ$18+$BB$20</f>
        <v>9.6815414034124725</v>
      </c>
      <c r="AD85" s="106">
        <f t="shared" ref="AD85:AD116" si="54">$AJ$19*$BQ23^2+$AJ$20*$BQ23+$AJ$21+$BB$20</f>
        <v>9.7195111000292282</v>
      </c>
      <c r="AE85" s="106">
        <f t="shared" ref="AE85:AE116" si="55">$AJ$22*$BQ23^2+$AJ$23*$BQ23+$AJ$24+$BB$20</f>
        <v>9.6122311111111891</v>
      </c>
      <c r="AF85" s="106">
        <f t="shared" ref="AF85:AF116" si="56">IF(AF$84&lt;=0.04,U85+(AF$84-0.04)/0.008*(U85-T85),U85+(AF$84-0.04)/0.01*(V85-U85))</f>
        <v>7.7843107584050903</v>
      </c>
      <c r="AG85" s="106">
        <f t="shared" ref="AG85:AG116" si="57">IF(AG$84&lt;=0.04,X85+(AG$84-0.04)/0.008*(X85-W85),X85+(AG$84-0.04)/0.01*(Y85-X85))</f>
        <v>8.5048277881559322</v>
      </c>
      <c r="AH85" s="106">
        <f t="shared" ref="AH85:AH116" si="58">IF(AH$84&lt;=0.04,AA85+(AH$84-0.04)/0.008*(AA85-Z85),AA85+(AH$84-0.04)/0.01*(AB85-AA85))</f>
        <v>9.0004557079200556</v>
      </c>
      <c r="AI85" s="106">
        <f t="shared" ref="AI85:AI116" si="59">IF(AI$84&lt;=0.04,AD85+(AI$84-0.04)/0.008*(AD85-AC85),AD85+(AI$84-0.04)/0.01*(AE85-AD85))</f>
        <v>9.4513111277341295</v>
      </c>
      <c r="AT85" s="24"/>
      <c r="AU85" s="24"/>
      <c r="AV85" s="24"/>
      <c r="AW85" s="24"/>
      <c r="AX85" s="24"/>
      <c r="AY85" s="24"/>
      <c r="AZ85" s="24"/>
      <c r="BA85" s="24"/>
      <c r="BB85" s="24"/>
      <c r="BC85" s="10">
        <v>33</v>
      </c>
      <c r="BD85" s="59">
        <v>64</v>
      </c>
      <c r="BE85" s="7" t="str">
        <f t="shared" si="40"/>
        <v>---------</v>
      </c>
      <c r="BF85" s="277">
        <v>18.8</v>
      </c>
      <c r="BG85" s="12" t="s">
        <v>334</v>
      </c>
      <c r="BH85" s="7" t="str">
        <f t="shared" si="19"/>
        <v>---------</v>
      </c>
      <c r="BI85" s="273">
        <v>2.3800000000000101</v>
      </c>
      <c r="BJ85" s="59">
        <v>64</v>
      </c>
      <c r="BK85" s="168" t="str">
        <f t="shared" si="20"/>
        <v>---------</v>
      </c>
      <c r="BL85" s="182">
        <v>5.8799999999999998E-2</v>
      </c>
      <c r="BM85" s="185">
        <v>64</v>
      </c>
      <c r="BN85" s="182">
        <f t="shared" si="21"/>
        <v>5.8799999999999998E-2</v>
      </c>
      <c r="BO85" s="265" cm="1">
        <f t="array" ref="BO85">INDEX(AF147:AI147,$AQ$20)</f>
        <v>3.7033782465544176</v>
      </c>
      <c r="BP85" s="13">
        <f t="shared" si="41"/>
        <v>2.5387060303251472</v>
      </c>
      <c r="BQ85" s="12">
        <v>3.8</v>
      </c>
      <c r="BR85" s="20" t="str">
        <f t="shared" si="42"/>
        <v/>
      </c>
      <c r="BS85" s="12" t="s">
        <v>334</v>
      </c>
      <c r="BT85" s="61" t="str">
        <f t="shared" si="43"/>
        <v>2.5</v>
      </c>
      <c r="BU85" s="20" t="str">
        <f t="shared" si="38"/>
        <v/>
      </c>
      <c r="BV85" s="12" t="s">
        <v>334</v>
      </c>
      <c r="BW85" s="61" t="str">
        <f t="shared" si="39"/>
        <v>2.5</v>
      </c>
      <c r="BY85" s="356"/>
      <c r="BZ85" s="378"/>
      <c r="CA85" s="358"/>
      <c r="CB85" s="358"/>
      <c r="CC85" s="358"/>
      <c r="CD85" s="358"/>
      <c r="CE85" s="358"/>
      <c r="CF85" s="358"/>
      <c r="CG85" s="358"/>
      <c r="CH85" s="358"/>
      <c r="CI85" s="358"/>
      <c r="CJ85" s="358"/>
      <c r="CK85" s="358"/>
      <c r="CL85" s="356"/>
      <c r="CM85" s="356"/>
      <c r="CN85" s="356"/>
      <c r="CO85" s="356"/>
      <c r="CP85" s="356"/>
      <c r="CQ85" s="356"/>
      <c r="CR85" s="356"/>
      <c r="CS85" s="356"/>
      <c r="CT85" s="356"/>
    </row>
    <row r="86" spans="20:98">
      <c r="T86" s="106">
        <f t="shared" si="44"/>
        <v>8.4155818240365363</v>
      </c>
      <c r="U86" s="106">
        <f t="shared" si="45"/>
        <v>8.4646361814357274</v>
      </c>
      <c r="V86" s="106">
        <f t="shared" si="46"/>
        <v>8.1739101587301857</v>
      </c>
      <c r="W86" s="106">
        <f t="shared" si="47"/>
        <v>8.9915582216253966</v>
      </c>
      <c r="X86" s="106">
        <f t="shared" si="48"/>
        <v>9.0468847557368086</v>
      </c>
      <c r="Y86" s="106">
        <f t="shared" si="49"/>
        <v>8.805443174603262</v>
      </c>
      <c r="Z86" s="106">
        <f t="shared" si="50"/>
        <v>9.4117231064785383</v>
      </c>
      <c r="AA86" s="106">
        <f t="shared" si="51"/>
        <v>9.4573828658218062</v>
      </c>
      <c r="AB86" s="106">
        <f t="shared" si="52"/>
        <v>9.2459003174603218</v>
      </c>
      <c r="AC86" s="106">
        <f t="shared" si="53"/>
        <v>9.5860900430477756</v>
      </c>
      <c r="AD86" s="106">
        <f t="shared" si="54"/>
        <v>9.6250603643688226</v>
      </c>
      <c r="AE86" s="106">
        <f t="shared" si="55"/>
        <v>9.5223771428572199</v>
      </c>
      <c r="AF86" s="106">
        <f t="shared" si="56"/>
        <v>7.7378211246718731</v>
      </c>
      <c r="AG86" s="106">
        <f t="shared" si="57"/>
        <v>8.443280802902942</v>
      </c>
      <c r="AH86" s="106">
        <f t="shared" si="58"/>
        <v>8.9286764949180952</v>
      </c>
      <c r="AI86" s="106">
        <f t="shared" si="59"/>
        <v>9.3683523105898168</v>
      </c>
      <c r="AT86" s="24"/>
      <c r="AU86" s="24"/>
      <c r="AV86" s="24"/>
      <c r="AW86" s="24"/>
      <c r="AX86" s="24"/>
      <c r="AY86" s="24"/>
      <c r="AZ86" s="24"/>
      <c r="BA86" s="24"/>
      <c r="BB86" s="24"/>
      <c r="BC86" s="10">
        <v>32</v>
      </c>
      <c r="BD86" s="59">
        <v>65</v>
      </c>
      <c r="BE86" s="7" t="str">
        <f t="shared" si="40"/>
        <v>---------</v>
      </c>
      <c r="BF86" s="277">
        <v>18.7</v>
      </c>
      <c r="BG86" s="12" t="s">
        <v>336</v>
      </c>
      <c r="BH86" s="7" t="str">
        <f t="shared" si="19"/>
        <v>---------</v>
      </c>
      <c r="BI86" s="273">
        <v>2.3700000000000099</v>
      </c>
      <c r="BJ86" s="59">
        <v>65</v>
      </c>
      <c r="BK86" s="168" t="str">
        <f t="shared" si="20"/>
        <v>---------</v>
      </c>
      <c r="BL86" s="182">
        <v>5.8700000000000002E-2</v>
      </c>
      <c r="BM86" s="185">
        <v>65</v>
      </c>
      <c r="BN86" s="182">
        <f t="shared" si="21"/>
        <v>5.8700000000000002E-2</v>
      </c>
      <c r="BO86" s="265" cm="1">
        <f t="array" ref="BO86">INDEX(AF148:AI148,$AQ$20)</f>
        <v>3.617591064611652</v>
      </c>
      <c r="BP86" s="13">
        <f t="shared" si="41"/>
        <v>2.5387060303251472</v>
      </c>
      <c r="BQ86" s="12">
        <v>3.7</v>
      </c>
      <c r="BR86" s="20" t="str">
        <f t="shared" si="42"/>
        <v/>
      </c>
      <c r="BS86" s="12" t="s">
        <v>336</v>
      </c>
      <c r="BT86" s="61" t="str">
        <f t="shared" si="43"/>
        <v>2.5</v>
      </c>
      <c r="BU86" s="20" t="str">
        <f t="shared" ref="BU86:BU102" si="60">IF($BQ87*$BN$21*1000&lt;=$AE$6,$BQ87*$BN$21*1000,"")</f>
        <v/>
      </c>
      <c r="BV86" s="12" t="s">
        <v>336</v>
      </c>
      <c r="BW86" s="61" t="str">
        <f t="shared" ref="BW86:BW101" si="61">IF($BR87&lt;&gt;"",$BQ87,BW87)</f>
        <v>2.5</v>
      </c>
      <c r="BY86" s="356"/>
      <c r="BZ86" s="358"/>
      <c r="CA86" s="358"/>
      <c r="CB86" s="358"/>
      <c r="CC86" s="358"/>
      <c r="CD86" s="358"/>
      <c r="CE86" s="358"/>
      <c r="CF86" s="358"/>
      <c r="CG86" s="358"/>
      <c r="CH86" s="358"/>
      <c r="CI86" s="358"/>
      <c r="CJ86" s="358"/>
      <c r="CK86" s="358"/>
      <c r="CL86" s="356"/>
      <c r="CM86" s="356"/>
      <c r="CN86" s="356"/>
      <c r="CO86" s="356"/>
      <c r="CP86" s="356"/>
      <c r="CQ86" s="356"/>
      <c r="CR86" s="356"/>
      <c r="CS86" s="356"/>
      <c r="CT86" s="356"/>
    </row>
    <row r="87" spans="20:98">
      <c r="T87" s="106">
        <f t="shared" si="44"/>
        <v>8.3351299060572508</v>
      </c>
      <c r="U87" s="106">
        <f t="shared" si="45"/>
        <v>8.3875563516219991</v>
      </c>
      <c r="V87" s="106">
        <f t="shared" si="46"/>
        <v>8.1088128747795682</v>
      </c>
      <c r="W87" s="106">
        <f t="shared" si="47"/>
        <v>8.903916229145608</v>
      </c>
      <c r="X87" s="106">
        <f t="shared" si="48"/>
        <v>8.9610128387589043</v>
      </c>
      <c r="Y87" s="106">
        <f t="shared" si="49"/>
        <v>8.7291152733686914</v>
      </c>
      <c r="Z87" s="106">
        <f t="shared" si="50"/>
        <v>9.3180731530450487</v>
      </c>
      <c r="AA87" s="106">
        <f t="shared" si="51"/>
        <v>9.3650354845980814</v>
      </c>
      <c r="AB87" s="106">
        <f t="shared" si="52"/>
        <v>9.161639082892421</v>
      </c>
      <c r="AC87" s="106">
        <f t="shared" si="53"/>
        <v>9.4906281642792933</v>
      </c>
      <c r="AD87" s="106">
        <f t="shared" si="54"/>
        <v>9.5305773427462448</v>
      </c>
      <c r="AE87" s="106">
        <f t="shared" si="55"/>
        <v>9.432421587301663</v>
      </c>
      <c r="AF87" s="106">
        <f t="shared" si="56"/>
        <v>7.690697659515922</v>
      </c>
      <c r="AG87" s="106">
        <f t="shared" si="57"/>
        <v>8.3812689252833721</v>
      </c>
      <c r="AH87" s="106">
        <f t="shared" si="58"/>
        <v>8.8565444803339304</v>
      </c>
      <c r="AI87" s="106">
        <f t="shared" si="59"/>
        <v>9.2851879541347913</v>
      </c>
      <c r="AT87" s="24"/>
      <c r="AU87" s="24"/>
      <c r="AV87" s="24"/>
      <c r="AW87" s="24"/>
      <c r="AX87" s="24"/>
      <c r="AY87" s="24"/>
      <c r="AZ87" s="24"/>
      <c r="BA87" s="24"/>
      <c r="BB87" s="24"/>
      <c r="BC87" s="10">
        <v>31</v>
      </c>
      <c r="BD87" s="59">
        <v>66</v>
      </c>
      <c r="BE87" s="7" t="str">
        <f t="shared" ref="BE87:BE117" si="62">IF(Cntrl5=4,TEXT(BC87,"0.0"),"---------")</f>
        <v>---------</v>
      </c>
      <c r="BF87" s="277">
        <v>18.600000000000001</v>
      </c>
      <c r="BG87" s="12" t="s">
        <v>340</v>
      </c>
      <c r="BH87" s="7" t="str">
        <f t="shared" ref="BH87:BH150" si="63">IF(Cntrl5=4,TEXT(BF87,"0.0"),"---------")</f>
        <v>---------</v>
      </c>
      <c r="BI87" s="273">
        <v>2.3600000000000101</v>
      </c>
      <c r="BJ87" s="59">
        <v>66</v>
      </c>
      <c r="BK87" s="168" t="str">
        <f t="shared" ref="BK87:BK150" si="64">IF(Cntrl5=2,"---------",TEXT(BI87,"0.00"))</f>
        <v>---------</v>
      </c>
      <c r="BL87" s="182">
        <v>5.8599999999999999E-2</v>
      </c>
      <c r="BM87" s="185">
        <v>66</v>
      </c>
      <c r="BN87" s="182">
        <f t="shared" ref="BN87:BN150" si="65">BL87</f>
        <v>5.8599999999999999E-2</v>
      </c>
      <c r="BO87" s="265" cm="1">
        <f t="array" ref="BO87">INDEX(AF149:AI149,$AQ$20)</f>
        <v>3.5311700512461495</v>
      </c>
      <c r="BP87" s="13">
        <f t="shared" ref="BP87:BP102" si="66">IF(BR87&lt;&gt;"",BO87,BP88)</f>
        <v>2.5387060303251472</v>
      </c>
      <c r="BQ87" s="12">
        <v>3.6</v>
      </c>
      <c r="BR87" s="20" t="str">
        <f t="shared" ref="BR87:BR103" si="67">IF($BQ87*$BN$21*1000&lt;=$AE$6,$BQ87*$BN$21*1000,"")</f>
        <v/>
      </c>
      <c r="BS87" s="12" t="s">
        <v>340</v>
      </c>
      <c r="BT87" s="61" t="str">
        <f t="shared" ref="BT87:BT102" si="68">IF($BR87&lt;&gt;"",$BQ87,BT88)</f>
        <v>2.5</v>
      </c>
      <c r="BU87" s="20" t="str">
        <f t="shared" si="60"/>
        <v/>
      </c>
      <c r="BV87" s="12" t="s">
        <v>340</v>
      </c>
      <c r="BW87" s="61" t="str">
        <f t="shared" si="61"/>
        <v>2.5</v>
      </c>
      <c r="BY87" s="356"/>
      <c r="BZ87" s="358"/>
      <c r="CA87" s="358"/>
      <c r="CB87" s="358"/>
      <c r="CC87" s="358"/>
      <c r="CD87" s="358"/>
      <c r="CE87" s="358"/>
      <c r="CF87" s="358"/>
      <c r="CG87" s="358"/>
      <c r="CH87" s="358"/>
      <c r="CI87" s="358"/>
      <c r="CJ87" s="358"/>
      <c r="CK87" s="358"/>
      <c r="CL87" s="356"/>
      <c r="CM87" s="356"/>
      <c r="CN87" s="356"/>
      <c r="CO87" s="356"/>
      <c r="CP87" s="356"/>
      <c r="CQ87" s="356"/>
      <c r="CR87" s="356"/>
      <c r="CS87" s="356"/>
      <c r="CT87" s="356"/>
    </row>
    <row r="88" spans="20:98">
      <c r="T88" s="106">
        <f t="shared" si="44"/>
        <v>8.2545946932871832</v>
      </c>
      <c r="U88" s="106">
        <f t="shared" si="45"/>
        <v>8.3103158897291269</v>
      </c>
      <c r="V88" s="106">
        <f t="shared" si="46"/>
        <v>8.0433656790123713</v>
      </c>
      <c r="W88" s="106">
        <f t="shared" si="47"/>
        <v>8.8162222154401917</v>
      </c>
      <c r="X88" s="106">
        <f t="shared" si="48"/>
        <v>8.87504638206536</v>
      </c>
      <c r="Y88" s="106">
        <f t="shared" si="49"/>
        <v>8.6525446913581074</v>
      </c>
      <c r="Z88" s="106">
        <f t="shared" si="50"/>
        <v>9.224411783885099</v>
      </c>
      <c r="AA88" s="106">
        <f t="shared" si="51"/>
        <v>9.2726458205961144</v>
      </c>
      <c r="AB88" s="106">
        <f t="shared" si="52"/>
        <v>9.0772113580246945</v>
      </c>
      <c r="AC88" s="106">
        <f t="shared" si="53"/>
        <v>9.3951557671070258</v>
      </c>
      <c r="AD88" s="106">
        <f t="shared" si="54"/>
        <v>9.4360620351614912</v>
      </c>
      <c r="AE88" s="106">
        <f t="shared" si="55"/>
        <v>9.3423644444445149</v>
      </c>
      <c r="AF88" s="106">
        <f t="shared" si="56"/>
        <v>7.6429403629372379</v>
      </c>
      <c r="AG88" s="106">
        <f t="shared" si="57"/>
        <v>8.3187921552972277</v>
      </c>
      <c r="AH88" s="106">
        <f t="shared" si="58"/>
        <v>8.7840596641675646</v>
      </c>
      <c r="AI88" s="106">
        <f t="shared" si="59"/>
        <v>9.2018180583690494</v>
      </c>
      <c r="AT88" s="24"/>
      <c r="AU88" s="24"/>
      <c r="AV88" s="24"/>
      <c r="AW88" s="24"/>
      <c r="AX88" s="24"/>
      <c r="AY88" s="24"/>
      <c r="AZ88" s="24"/>
      <c r="BA88" s="24"/>
      <c r="BB88" s="24"/>
      <c r="BC88" s="10">
        <v>30</v>
      </c>
      <c r="BD88" s="59">
        <v>67</v>
      </c>
      <c r="BE88" s="7" t="str">
        <f t="shared" si="62"/>
        <v>---------</v>
      </c>
      <c r="BF88" s="277">
        <v>18.5</v>
      </c>
      <c r="BG88" s="12" t="s">
        <v>343</v>
      </c>
      <c r="BH88" s="7" t="str">
        <f t="shared" si="63"/>
        <v>---------</v>
      </c>
      <c r="BI88" s="273">
        <v>2.3500000000000099</v>
      </c>
      <c r="BJ88" s="59">
        <v>67</v>
      </c>
      <c r="BK88" s="168" t="str">
        <f t="shared" si="64"/>
        <v>---------</v>
      </c>
      <c r="BL88" s="182">
        <v>5.8500000000000003E-2</v>
      </c>
      <c r="BM88" s="185">
        <v>67</v>
      </c>
      <c r="BN88" s="182">
        <f t="shared" si="65"/>
        <v>5.8500000000000003E-2</v>
      </c>
      <c r="BO88" s="265" cm="1">
        <f t="array" ref="BO88">INDEX(AF150:AI150,$AQ$20)</f>
        <v>3.4441152064579139</v>
      </c>
      <c r="BP88" s="13">
        <f t="shared" si="66"/>
        <v>2.5387060303251472</v>
      </c>
      <c r="BQ88" s="12">
        <v>3.5</v>
      </c>
      <c r="BR88" s="20" t="str">
        <f t="shared" si="67"/>
        <v/>
      </c>
      <c r="BS88" s="12" t="s">
        <v>343</v>
      </c>
      <c r="BT88" s="61" t="str">
        <f t="shared" si="68"/>
        <v>2.5</v>
      </c>
      <c r="BU88" s="20" t="str">
        <f t="shared" si="60"/>
        <v/>
      </c>
      <c r="BV88" s="12" t="s">
        <v>343</v>
      </c>
      <c r="BW88" s="61" t="str">
        <f t="shared" si="61"/>
        <v>2.5</v>
      </c>
      <c r="BY88" s="356"/>
      <c r="BZ88" s="358"/>
      <c r="CA88" s="358"/>
      <c r="CB88" s="358"/>
      <c r="CC88" s="358"/>
      <c r="CD88" s="358"/>
      <c r="CE88" s="358"/>
      <c r="CF88" s="358"/>
      <c r="CG88" s="358"/>
      <c r="CH88" s="358"/>
      <c r="CI88" s="358"/>
      <c r="CJ88" s="358"/>
      <c r="CK88" s="358"/>
      <c r="CL88" s="356"/>
      <c r="CM88" s="356"/>
      <c r="CN88" s="356"/>
      <c r="CO88" s="356"/>
      <c r="CP88" s="356"/>
      <c r="CQ88" s="356"/>
      <c r="CR88" s="356"/>
      <c r="CS88" s="356"/>
      <c r="CT88" s="356"/>
    </row>
    <row r="89" spans="20:98">
      <c r="T89" s="106">
        <f t="shared" si="44"/>
        <v>8.1739761857263353</v>
      </c>
      <c r="U89" s="106">
        <f t="shared" si="45"/>
        <v>8.2329147957571163</v>
      </c>
      <c r="V89" s="106">
        <f t="shared" si="46"/>
        <v>7.9775685714285967</v>
      </c>
      <c r="W89" s="106">
        <f t="shared" si="47"/>
        <v>8.7284761805091513</v>
      </c>
      <c r="X89" s="106">
        <f t="shared" si="48"/>
        <v>8.7889853856561775</v>
      </c>
      <c r="Y89" s="106">
        <f t="shared" si="49"/>
        <v>8.5757314285715083</v>
      </c>
      <c r="Z89" s="106">
        <f t="shared" si="50"/>
        <v>9.1307389989986909</v>
      </c>
      <c r="AA89" s="106">
        <f t="shared" si="51"/>
        <v>9.1802138738159105</v>
      </c>
      <c r="AB89" s="106">
        <f t="shared" si="52"/>
        <v>8.9926171428571458</v>
      </c>
      <c r="AC89" s="106">
        <f t="shared" si="53"/>
        <v>9.299672851530973</v>
      </c>
      <c r="AD89" s="106">
        <f t="shared" si="54"/>
        <v>9.3415144416145655</v>
      </c>
      <c r="AE89" s="106">
        <f t="shared" si="55"/>
        <v>9.2522057142857825</v>
      </c>
      <c r="AF89" s="106">
        <f t="shared" si="56"/>
        <v>7.5945492349358172</v>
      </c>
      <c r="AG89" s="106">
        <f t="shared" si="57"/>
        <v>8.2558504929445036</v>
      </c>
      <c r="AH89" s="106">
        <f t="shared" si="58"/>
        <v>8.7112220464189996</v>
      </c>
      <c r="AI89" s="106">
        <f t="shared" si="59"/>
        <v>9.118242623292609</v>
      </c>
      <c r="AT89" s="24"/>
      <c r="AU89" s="24"/>
      <c r="AV89" s="24"/>
      <c r="AW89" s="24"/>
      <c r="AX89" s="24"/>
      <c r="AY89" s="24"/>
      <c r="AZ89" s="24"/>
      <c r="BA89" s="24"/>
      <c r="BB89" s="24"/>
      <c r="BC89" s="10">
        <v>29</v>
      </c>
      <c r="BD89" s="59">
        <v>68</v>
      </c>
      <c r="BE89" s="7" t="str">
        <f t="shared" si="62"/>
        <v>---------</v>
      </c>
      <c r="BF89" s="277">
        <v>18.399999999999999</v>
      </c>
      <c r="BG89" s="12" t="s">
        <v>347</v>
      </c>
      <c r="BH89" s="7" t="str">
        <f t="shared" si="63"/>
        <v>---------</v>
      </c>
      <c r="BI89" s="273">
        <v>2.3400000000000101</v>
      </c>
      <c r="BJ89" s="59">
        <v>68</v>
      </c>
      <c r="BK89" s="168" t="str">
        <f t="shared" si="64"/>
        <v>---------</v>
      </c>
      <c r="BL89" s="182">
        <v>5.8400000000000001E-2</v>
      </c>
      <c r="BM89" s="185">
        <v>68</v>
      </c>
      <c r="BN89" s="182">
        <f t="shared" si="65"/>
        <v>5.8400000000000001E-2</v>
      </c>
      <c r="BO89" s="265" cm="1">
        <f t="array" ref="BO89">INDEX(AF151:AI151,$AQ$20)</f>
        <v>3.3564265302469432</v>
      </c>
      <c r="BP89" s="13">
        <f t="shared" si="66"/>
        <v>2.5387060303251472</v>
      </c>
      <c r="BQ89" s="12" t="s">
        <v>145</v>
      </c>
      <c r="BR89" s="20" t="str">
        <f t="shared" si="67"/>
        <v/>
      </c>
      <c r="BS89" s="12" t="s">
        <v>347</v>
      </c>
      <c r="BT89" s="61" t="str">
        <f t="shared" si="68"/>
        <v>2.5</v>
      </c>
      <c r="BU89" s="20" t="str">
        <f t="shared" si="60"/>
        <v/>
      </c>
      <c r="BV89" s="12" t="s">
        <v>347</v>
      </c>
      <c r="BW89" s="61" t="str">
        <f t="shared" si="61"/>
        <v>2.5</v>
      </c>
      <c r="BY89" s="356"/>
      <c r="BZ89" s="358"/>
      <c r="CA89" s="358"/>
      <c r="CB89" s="358"/>
      <c r="CC89" s="358"/>
      <c r="CD89" s="358"/>
      <c r="CE89" s="358"/>
      <c r="CF89" s="358"/>
      <c r="CG89" s="358"/>
      <c r="CH89" s="358"/>
      <c r="CI89" s="358"/>
      <c r="CJ89" s="358"/>
      <c r="CK89" s="358"/>
      <c r="CL89" s="356"/>
      <c r="CM89" s="356"/>
      <c r="CN89" s="356"/>
      <c r="CO89" s="356"/>
      <c r="CP89" s="356"/>
      <c r="CQ89" s="356"/>
      <c r="CR89" s="356"/>
      <c r="CS89" s="356"/>
      <c r="CT89" s="356"/>
    </row>
    <row r="90" spans="20:98">
      <c r="T90" s="106">
        <f t="shared" si="44"/>
        <v>8.0932743833747072</v>
      </c>
      <c r="U90" s="106">
        <f t="shared" si="45"/>
        <v>8.1553530697059635</v>
      </c>
      <c r="V90" s="106">
        <f t="shared" si="46"/>
        <v>7.9114215520282416</v>
      </c>
      <c r="W90" s="106">
        <f t="shared" si="47"/>
        <v>8.6406781243524868</v>
      </c>
      <c r="X90" s="106">
        <f t="shared" si="48"/>
        <v>8.702829849531355</v>
      </c>
      <c r="Y90" s="106">
        <f t="shared" si="49"/>
        <v>8.4986754850088957</v>
      </c>
      <c r="Z90" s="106">
        <f t="shared" si="50"/>
        <v>9.0370547983858192</v>
      </c>
      <c r="AA90" s="106">
        <f t="shared" si="51"/>
        <v>9.0877396442574678</v>
      </c>
      <c r="AB90" s="106">
        <f t="shared" si="52"/>
        <v>8.9078564373897748</v>
      </c>
      <c r="AC90" s="106">
        <f t="shared" si="53"/>
        <v>9.2041794175511331</v>
      </c>
      <c r="AD90" s="106">
        <f t="shared" si="54"/>
        <v>9.2469345621054675</v>
      </c>
      <c r="AE90" s="106">
        <f t="shared" si="55"/>
        <v>9.1619453968254643</v>
      </c>
      <c r="AF90" s="106">
        <f t="shared" si="56"/>
        <v>7.5455242755116583</v>
      </c>
      <c r="AG90" s="106">
        <f t="shared" si="57"/>
        <v>8.1924439382252068</v>
      </c>
      <c r="AH90" s="106">
        <f t="shared" si="58"/>
        <v>8.6380316270882354</v>
      </c>
      <c r="AI90" s="106">
        <f t="shared" si="59"/>
        <v>9.0344616489054594</v>
      </c>
      <c r="AT90" s="24"/>
      <c r="AU90" s="24"/>
      <c r="AV90" s="24"/>
      <c r="AW90" s="24"/>
      <c r="AX90" s="24"/>
      <c r="AY90" s="24"/>
      <c r="AZ90" s="24"/>
      <c r="BA90" s="24"/>
      <c r="BB90" s="24"/>
      <c r="BC90" s="10">
        <v>28</v>
      </c>
      <c r="BD90" s="59">
        <v>69</v>
      </c>
      <c r="BE90" s="7" t="str">
        <f t="shared" si="62"/>
        <v>---------</v>
      </c>
      <c r="BF90" s="277">
        <v>18.3</v>
      </c>
      <c r="BG90" s="12" t="s">
        <v>349</v>
      </c>
      <c r="BH90" s="7" t="str">
        <f t="shared" si="63"/>
        <v>---------</v>
      </c>
      <c r="BI90" s="273">
        <v>2.3300000000000098</v>
      </c>
      <c r="BJ90" s="59">
        <v>69</v>
      </c>
      <c r="BK90" s="168" t="str">
        <f t="shared" si="64"/>
        <v>---------</v>
      </c>
      <c r="BL90" s="182">
        <v>5.8299999999999998E-2</v>
      </c>
      <c r="BM90" s="185">
        <v>69</v>
      </c>
      <c r="BN90" s="182">
        <f t="shared" si="65"/>
        <v>5.8299999999999998E-2</v>
      </c>
      <c r="BO90" s="265" cm="1">
        <f t="array" ref="BO90">INDEX(AF152:AI152,$AQ$20)</f>
        <v>3.2681040226132385</v>
      </c>
      <c r="BP90" s="13">
        <f t="shared" si="66"/>
        <v>2.5387060303251472</v>
      </c>
      <c r="BQ90" s="12" t="s">
        <v>151</v>
      </c>
      <c r="BR90" s="20" t="str">
        <f t="shared" si="67"/>
        <v/>
      </c>
      <c r="BS90" s="12" t="s">
        <v>349</v>
      </c>
      <c r="BT90" s="61" t="str">
        <f t="shared" si="68"/>
        <v>2.5</v>
      </c>
      <c r="BU90" s="20" t="str">
        <f t="shared" si="60"/>
        <v/>
      </c>
      <c r="BV90" s="12" t="s">
        <v>349</v>
      </c>
      <c r="BW90" s="61" t="str">
        <f t="shared" si="61"/>
        <v>2.5</v>
      </c>
      <c r="BY90" s="356"/>
      <c r="BZ90" s="358"/>
      <c r="CA90" s="358"/>
      <c r="CB90" s="358"/>
      <c r="CC90" s="358"/>
      <c r="CD90" s="358"/>
      <c r="CE90" s="358"/>
      <c r="CF90" s="358"/>
      <c r="CG90" s="358"/>
      <c r="CH90" s="358"/>
      <c r="CI90" s="358"/>
      <c r="CJ90" s="358"/>
      <c r="CK90" s="358"/>
      <c r="CL90" s="356"/>
      <c r="CM90" s="356"/>
      <c r="CN90" s="356"/>
      <c r="CO90" s="356"/>
      <c r="CP90" s="356"/>
      <c r="CQ90" s="356"/>
      <c r="CR90" s="356"/>
      <c r="CS90" s="356"/>
      <c r="CT90" s="356"/>
    </row>
    <row r="91" spans="20:98">
      <c r="T91" s="106">
        <f t="shared" si="44"/>
        <v>8.0124892862322969</v>
      </c>
      <c r="U91" s="106">
        <f t="shared" si="45"/>
        <v>8.0776307115756687</v>
      </c>
      <c r="V91" s="106">
        <f t="shared" si="46"/>
        <v>7.8449246208113106</v>
      </c>
      <c r="W91" s="106">
        <f t="shared" si="47"/>
        <v>8.5528280469701947</v>
      </c>
      <c r="X91" s="106">
        <f t="shared" si="48"/>
        <v>8.6165797736908942</v>
      </c>
      <c r="Y91" s="106">
        <f t="shared" si="49"/>
        <v>8.4213768606702679</v>
      </c>
      <c r="Z91" s="106">
        <f t="shared" si="50"/>
        <v>8.9433591820464908</v>
      </c>
      <c r="AA91" s="106">
        <f t="shared" si="51"/>
        <v>8.9952231319207829</v>
      </c>
      <c r="AB91" s="106">
        <f t="shared" si="52"/>
        <v>8.82292924162258</v>
      </c>
      <c r="AC91" s="106">
        <f t="shared" si="53"/>
        <v>9.1086754651675097</v>
      </c>
      <c r="AD91" s="106">
        <f t="shared" si="54"/>
        <v>9.1523223966341956</v>
      </c>
      <c r="AE91" s="106">
        <f t="shared" si="55"/>
        <v>9.0715834920635583</v>
      </c>
      <c r="AF91" s="106">
        <f t="shared" si="56"/>
        <v>7.4958654846647734</v>
      </c>
      <c r="AG91" s="106">
        <f t="shared" si="57"/>
        <v>8.1285724911393284</v>
      </c>
      <c r="AH91" s="106">
        <f t="shared" si="58"/>
        <v>8.5644884061752755</v>
      </c>
      <c r="AI91" s="106">
        <f t="shared" si="59"/>
        <v>8.9504751352076024</v>
      </c>
      <c r="AT91" s="24"/>
      <c r="AU91" s="24"/>
      <c r="AV91" s="24"/>
      <c r="AW91" s="24"/>
      <c r="AX91" s="24"/>
      <c r="AY91" s="24"/>
      <c r="AZ91" s="24"/>
      <c r="BA91" s="24"/>
      <c r="BB91" s="24"/>
      <c r="BC91" s="10">
        <v>27</v>
      </c>
      <c r="BD91" s="59">
        <v>70</v>
      </c>
      <c r="BE91" s="7" t="str">
        <f t="shared" si="62"/>
        <v>---------</v>
      </c>
      <c r="BF91" s="277">
        <v>18.2</v>
      </c>
      <c r="BG91" s="12" t="s">
        <v>353</v>
      </c>
      <c r="BH91" s="7" t="str">
        <f t="shared" si="63"/>
        <v>---------</v>
      </c>
      <c r="BI91" s="273">
        <v>2.3200000000000101</v>
      </c>
      <c r="BJ91" s="59">
        <v>70</v>
      </c>
      <c r="BK91" s="168" t="str">
        <f t="shared" si="64"/>
        <v>---------</v>
      </c>
      <c r="BL91" s="182">
        <v>5.8200000000000002E-2</v>
      </c>
      <c r="BM91" s="185">
        <v>70</v>
      </c>
      <c r="BN91" s="182">
        <f t="shared" si="65"/>
        <v>5.8200000000000002E-2</v>
      </c>
      <c r="BO91" s="265" cm="1">
        <f t="array" ref="BO91">INDEX(AF153:AI153,$AQ$20)</f>
        <v>3.1791476835567991</v>
      </c>
      <c r="BP91" s="13">
        <f t="shared" si="66"/>
        <v>2.5387060303251472</v>
      </c>
      <c r="BQ91" s="12" t="s">
        <v>155</v>
      </c>
      <c r="BR91" s="20" t="str">
        <f t="shared" si="67"/>
        <v/>
      </c>
      <c r="BS91" s="12" t="s">
        <v>353</v>
      </c>
      <c r="BT91" s="61" t="str">
        <f t="shared" si="68"/>
        <v>2.5</v>
      </c>
      <c r="BU91" s="20" t="str">
        <f t="shared" si="60"/>
        <v/>
      </c>
      <c r="BV91" s="12" t="s">
        <v>353</v>
      </c>
      <c r="BW91" s="61" t="str">
        <f t="shared" si="61"/>
        <v>2.5</v>
      </c>
      <c r="BY91" s="356"/>
      <c r="BZ91" s="358"/>
      <c r="CA91" s="358"/>
      <c r="CB91" s="358"/>
      <c r="CC91" s="358"/>
      <c r="CD91" s="358"/>
      <c r="CE91" s="358"/>
      <c r="CF91" s="358"/>
      <c r="CG91" s="358"/>
      <c r="CH91" s="358"/>
      <c r="CI91" s="358"/>
      <c r="CJ91" s="358"/>
      <c r="CK91" s="358"/>
      <c r="CL91" s="356"/>
      <c r="CM91" s="356"/>
      <c r="CN91" s="356"/>
      <c r="CO91" s="356"/>
      <c r="CP91" s="356"/>
      <c r="CQ91" s="356"/>
      <c r="CR91" s="356"/>
      <c r="CS91" s="356"/>
      <c r="CT91" s="356"/>
    </row>
    <row r="92" spans="20:98">
      <c r="T92" s="106">
        <f t="shared" si="44"/>
        <v>7.9316208942991047</v>
      </c>
      <c r="U92" s="106">
        <f t="shared" si="45"/>
        <v>7.9997477213662336</v>
      </c>
      <c r="V92" s="106">
        <f t="shared" si="46"/>
        <v>7.778077777777801</v>
      </c>
      <c r="W92" s="106">
        <f t="shared" si="47"/>
        <v>8.464925948362275</v>
      </c>
      <c r="X92" s="106">
        <f t="shared" si="48"/>
        <v>8.530235158134797</v>
      </c>
      <c r="Y92" s="106">
        <f t="shared" si="49"/>
        <v>8.3438355555556303</v>
      </c>
      <c r="Z92" s="106">
        <f t="shared" si="50"/>
        <v>8.8496521499807024</v>
      </c>
      <c r="AA92" s="106">
        <f t="shared" si="51"/>
        <v>8.9026643368058611</v>
      </c>
      <c r="AB92" s="106">
        <f t="shared" si="52"/>
        <v>8.7378355555555594</v>
      </c>
      <c r="AC92" s="106">
        <f t="shared" si="53"/>
        <v>9.0131609943800992</v>
      </c>
      <c r="AD92" s="106">
        <f t="shared" si="54"/>
        <v>9.0576779452007496</v>
      </c>
      <c r="AE92" s="106">
        <f t="shared" si="55"/>
        <v>8.9811200000000646</v>
      </c>
      <c r="AF92" s="106">
        <f t="shared" si="56"/>
        <v>7.445572862395152</v>
      </c>
      <c r="AG92" s="106">
        <f t="shared" si="57"/>
        <v>8.064236151686881</v>
      </c>
      <c r="AH92" s="106">
        <f t="shared" si="58"/>
        <v>8.4905923836801058</v>
      </c>
      <c r="AI92" s="106">
        <f t="shared" si="59"/>
        <v>8.8662830821990362</v>
      </c>
      <c r="AT92" s="24"/>
      <c r="AU92" s="24"/>
      <c r="AV92" s="24"/>
      <c r="AW92" s="24"/>
      <c r="AX92" s="24"/>
      <c r="AY92" s="24"/>
      <c r="AZ92" s="24"/>
      <c r="BA92" s="24"/>
      <c r="BB92" s="24"/>
      <c r="BC92" s="10">
        <v>26</v>
      </c>
      <c r="BD92" s="59">
        <v>71</v>
      </c>
      <c r="BE92" s="7" t="str">
        <f t="shared" si="62"/>
        <v>---------</v>
      </c>
      <c r="BF92" s="277">
        <v>18.100000000000001</v>
      </c>
      <c r="BG92" s="12" t="s">
        <v>355</v>
      </c>
      <c r="BH92" s="7" t="str">
        <f t="shared" si="63"/>
        <v>---------</v>
      </c>
      <c r="BI92" s="273">
        <v>2.31000000000002</v>
      </c>
      <c r="BJ92" s="59">
        <v>71</v>
      </c>
      <c r="BK92" s="168" t="str">
        <f t="shared" si="64"/>
        <v>---------</v>
      </c>
      <c r="BL92" s="182">
        <v>5.8099999999999999E-2</v>
      </c>
      <c r="BM92" s="185">
        <v>71</v>
      </c>
      <c r="BN92" s="182">
        <f t="shared" si="65"/>
        <v>5.8099999999999999E-2</v>
      </c>
      <c r="BO92" s="265" cm="1">
        <f t="array" ref="BO92">INDEX(AF154:AI154,$AQ$20)</f>
        <v>3.0895575130776236</v>
      </c>
      <c r="BP92" s="13">
        <f t="shared" si="66"/>
        <v>2.5387060303251472</v>
      </c>
      <c r="BQ92" s="12" t="s">
        <v>160</v>
      </c>
      <c r="BR92" s="20" t="str">
        <f t="shared" si="67"/>
        <v/>
      </c>
      <c r="BS92" s="12" t="s">
        <v>355</v>
      </c>
      <c r="BT92" s="61" t="str">
        <f t="shared" si="68"/>
        <v>2.5</v>
      </c>
      <c r="BU92" s="20" t="str">
        <f t="shared" si="60"/>
        <v/>
      </c>
      <c r="BV92" s="12" t="s">
        <v>355</v>
      </c>
      <c r="BW92" s="61" t="str">
        <f t="shared" si="61"/>
        <v>2.5</v>
      </c>
      <c r="BY92" s="356"/>
      <c r="BZ92" s="358"/>
      <c r="CA92" s="358"/>
      <c r="CB92" s="358"/>
      <c r="CC92" s="358"/>
      <c r="CD92" s="358"/>
      <c r="CE92" s="358"/>
      <c r="CF92" s="358"/>
      <c r="CG92" s="358"/>
      <c r="CH92" s="358"/>
      <c r="CI92" s="358"/>
      <c r="CJ92" s="358"/>
      <c r="CK92" s="358"/>
      <c r="CL92" s="356"/>
      <c r="CM92" s="356"/>
      <c r="CN92" s="356"/>
      <c r="CO92" s="356"/>
      <c r="CP92" s="356"/>
      <c r="CQ92" s="356"/>
      <c r="CR92" s="356"/>
      <c r="CS92" s="356"/>
      <c r="CT92" s="356"/>
    </row>
    <row r="93" spans="20:98">
      <c r="T93" s="106">
        <f t="shared" si="44"/>
        <v>7.8506692075751285</v>
      </c>
      <c r="U93" s="106">
        <f t="shared" si="45"/>
        <v>7.9217040990776573</v>
      </c>
      <c r="V93" s="106">
        <f t="shared" si="46"/>
        <v>7.71088102292771</v>
      </c>
      <c r="W93" s="106">
        <f t="shared" si="47"/>
        <v>8.3769718285287293</v>
      </c>
      <c r="X93" s="106">
        <f t="shared" si="48"/>
        <v>8.4437960028630581</v>
      </c>
      <c r="Y93" s="106">
        <f t="shared" si="49"/>
        <v>8.2660515696649739</v>
      </c>
      <c r="Z93" s="106">
        <f t="shared" si="50"/>
        <v>8.7559337021884502</v>
      </c>
      <c r="AA93" s="106">
        <f t="shared" si="51"/>
        <v>8.8100632589126988</v>
      </c>
      <c r="AB93" s="106">
        <f t="shared" si="52"/>
        <v>8.6525753791887148</v>
      </c>
      <c r="AC93" s="106">
        <f t="shared" si="53"/>
        <v>8.9176360051889034</v>
      </c>
      <c r="AD93" s="106">
        <f t="shared" si="54"/>
        <v>8.9630012078051298</v>
      </c>
      <c r="AE93" s="106">
        <f t="shared" si="55"/>
        <v>8.8905549206349832</v>
      </c>
      <c r="AF93" s="106">
        <f t="shared" si="56"/>
        <v>7.3946464087027888</v>
      </c>
      <c r="AG93" s="106">
        <f t="shared" si="57"/>
        <v>7.9994349198678476</v>
      </c>
      <c r="AH93" s="106">
        <f t="shared" si="58"/>
        <v>8.4163435596027387</v>
      </c>
      <c r="AI93" s="106">
        <f t="shared" si="59"/>
        <v>8.7818854898797625</v>
      </c>
      <c r="BC93" s="10">
        <v>25</v>
      </c>
      <c r="BD93" s="59">
        <v>72</v>
      </c>
      <c r="BE93" s="7" t="str">
        <f t="shared" si="62"/>
        <v>---------</v>
      </c>
      <c r="BF93" s="277">
        <v>18</v>
      </c>
      <c r="BG93" s="12" t="s">
        <v>358</v>
      </c>
      <c r="BH93" s="7" t="str">
        <f t="shared" si="63"/>
        <v>---------</v>
      </c>
      <c r="BI93" s="273">
        <v>2.30000000000001</v>
      </c>
      <c r="BJ93" s="59">
        <v>72</v>
      </c>
      <c r="BK93" s="168" t="str">
        <f t="shared" si="64"/>
        <v>---------</v>
      </c>
      <c r="BL93" s="182">
        <v>5.8000000000000003E-2</v>
      </c>
      <c r="BM93" s="185">
        <v>72</v>
      </c>
      <c r="BN93" s="182">
        <f t="shared" si="65"/>
        <v>5.8000000000000003E-2</v>
      </c>
      <c r="BO93" s="265" cm="1">
        <f t="array" ref="BO93">INDEX(AF155:AI155,$AQ$20)</f>
        <v>2.9993335111757133</v>
      </c>
      <c r="BP93" s="13">
        <f t="shared" si="66"/>
        <v>2.5387060303251472</v>
      </c>
      <c r="BQ93" s="12" t="s">
        <v>164</v>
      </c>
      <c r="BR93" s="20" t="str">
        <f t="shared" si="67"/>
        <v/>
      </c>
      <c r="BS93" s="12" t="s">
        <v>358</v>
      </c>
      <c r="BT93" s="61" t="str">
        <f t="shared" si="68"/>
        <v>2.5</v>
      </c>
      <c r="BU93" s="20" t="str">
        <f t="shared" si="60"/>
        <v/>
      </c>
      <c r="BV93" s="12" t="s">
        <v>358</v>
      </c>
      <c r="BW93" s="61" t="str">
        <f t="shared" si="61"/>
        <v>2.5</v>
      </c>
      <c r="BY93" s="356"/>
      <c r="BZ93" s="358"/>
      <c r="CA93" s="358"/>
      <c r="CB93" s="358"/>
      <c r="CC93" s="358"/>
      <c r="CD93" s="358"/>
      <c r="CE93" s="358"/>
      <c r="CF93" s="358"/>
      <c r="CG93" s="358"/>
      <c r="CH93" s="358"/>
      <c r="CI93" s="358"/>
      <c r="CJ93" s="358"/>
      <c r="CK93" s="358"/>
      <c r="CL93" s="356"/>
      <c r="CM93" s="356"/>
      <c r="CN93" s="356"/>
      <c r="CO93" s="356"/>
      <c r="CP93" s="356"/>
      <c r="CQ93" s="356"/>
      <c r="CR93" s="356"/>
      <c r="CS93" s="356"/>
      <c r="CT93" s="356"/>
    </row>
    <row r="94" spans="20:98">
      <c r="T94" s="106">
        <f t="shared" si="44"/>
        <v>7.7696342260603739</v>
      </c>
      <c r="U94" s="106">
        <f t="shared" si="45"/>
        <v>7.8434998447099407</v>
      </c>
      <c r="V94" s="106">
        <f t="shared" si="46"/>
        <v>7.6433343562610432</v>
      </c>
      <c r="W94" s="106">
        <f t="shared" si="47"/>
        <v>8.2889656874695561</v>
      </c>
      <c r="X94" s="106">
        <f t="shared" si="48"/>
        <v>8.3572623078756809</v>
      </c>
      <c r="Y94" s="106">
        <f t="shared" si="49"/>
        <v>8.1880249029983041</v>
      </c>
      <c r="Z94" s="106">
        <f t="shared" si="50"/>
        <v>8.6622038386697398</v>
      </c>
      <c r="AA94" s="106">
        <f t="shared" si="51"/>
        <v>8.7174198982412978</v>
      </c>
      <c r="AB94" s="106">
        <f t="shared" si="52"/>
        <v>8.5671487125220498</v>
      </c>
      <c r="AC94" s="106">
        <f t="shared" si="53"/>
        <v>8.8221004975939223</v>
      </c>
      <c r="AD94" s="106">
        <f t="shared" si="54"/>
        <v>8.8682921844473395</v>
      </c>
      <c r="AE94" s="106">
        <f t="shared" si="55"/>
        <v>8.7998882539683123</v>
      </c>
      <c r="AF94" s="106">
        <f t="shared" si="56"/>
        <v>7.343086123587697</v>
      </c>
      <c r="AG94" s="106">
        <f t="shared" si="57"/>
        <v>7.9341687956822389</v>
      </c>
      <c r="AH94" s="106">
        <f t="shared" si="58"/>
        <v>8.3417419339431778</v>
      </c>
      <c r="AI94" s="106">
        <f t="shared" si="59"/>
        <v>8.6972823582497725</v>
      </c>
      <c r="AT94" s="8"/>
      <c r="AU94" s="8"/>
      <c r="AV94" s="8"/>
      <c r="AW94" s="8"/>
      <c r="AX94" s="8"/>
      <c r="AY94" s="8"/>
      <c r="AZ94" s="8"/>
      <c r="BA94" s="8"/>
      <c r="BB94" s="8"/>
      <c r="BC94" s="10">
        <v>24</v>
      </c>
      <c r="BD94" s="59">
        <v>73</v>
      </c>
      <c r="BE94" s="7" t="str">
        <f t="shared" si="62"/>
        <v>---------</v>
      </c>
      <c r="BF94" s="277">
        <v>17.899999999999999</v>
      </c>
      <c r="BG94" s="12" t="s">
        <v>360</v>
      </c>
      <c r="BH94" s="7" t="str">
        <f t="shared" si="63"/>
        <v>---------</v>
      </c>
      <c r="BI94" s="273">
        <v>2.29000000000002</v>
      </c>
      <c r="BJ94" s="59">
        <v>73</v>
      </c>
      <c r="BK94" s="168" t="str">
        <f t="shared" si="64"/>
        <v>---------</v>
      </c>
      <c r="BL94" s="182">
        <v>5.79E-2</v>
      </c>
      <c r="BM94" s="185">
        <v>73</v>
      </c>
      <c r="BN94" s="182">
        <f t="shared" si="65"/>
        <v>5.79E-2</v>
      </c>
      <c r="BO94" s="265" cm="1">
        <f t="array" ref="BO94">INDEX(AF156:AI156,$AQ$20)</f>
        <v>2.9084756778510696</v>
      </c>
      <c r="BP94" s="13">
        <f t="shared" si="66"/>
        <v>2.5387060303251472</v>
      </c>
      <c r="BQ94" s="12" t="s">
        <v>170</v>
      </c>
      <c r="BR94" s="20" t="str">
        <f t="shared" si="67"/>
        <v/>
      </c>
      <c r="BS94" s="12" t="s">
        <v>360</v>
      </c>
      <c r="BT94" s="61" t="str">
        <f t="shared" si="68"/>
        <v>2.5</v>
      </c>
      <c r="BU94" s="20" t="str">
        <f t="shared" si="60"/>
        <v/>
      </c>
      <c r="BV94" s="12" t="s">
        <v>360</v>
      </c>
      <c r="BW94" s="61" t="str">
        <f t="shared" si="61"/>
        <v>2.5</v>
      </c>
      <c r="BY94" s="356"/>
      <c r="BZ94" s="358"/>
      <c r="CA94" s="358"/>
      <c r="CB94" s="358"/>
      <c r="CC94" s="358"/>
      <c r="CD94" s="358"/>
      <c r="CE94" s="358"/>
      <c r="CF94" s="358"/>
      <c r="CG94" s="358"/>
      <c r="CH94" s="358"/>
      <c r="CI94" s="358"/>
      <c r="CJ94" s="358"/>
      <c r="CK94" s="358"/>
      <c r="CL94" s="356"/>
      <c r="CM94" s="356"/>
      <c r="CN94" s="356"/>
      <c r="CO94" s="356"/>
      <c r="CP94" s="356"/>
      <c r="CQ94" s="356"/>
      <c r="CR94" s="356"/>
      <c r="CS94" s="356"/>
      <c r="CT94" s="356"/>
    </row>
    <row r="95" spans="20:98">
      <c r="T95" s="106">
        <f t="shared" si="44"/>
        <v>7.6885159497548363</v>
      </c>
      <c r="U95" s="106">
        <f t="shared" si="45"/>
        <v>7.7651349582630838</v>
      </c>
      <c r="V95" s="106">
        <f t="shared" si="46"/>
        <v>7.5754377777777986</v>
      </c>
      <c r="W95" s="106">
        <f t="shared" si="47"/>
        <v>8.2009075251847587</v>
      </c>
      <c r="X95" s="106">
        <f t="shared" si="48"/>
        <v>8.2706340731726655</v>
      </c>
      <c r="Y95" s="106">
        <f t="shared" si="49"/>
        <v>8.1097555555556209</v>
      </c>
      <c r="Z95" s="106">
        <f t="shared" si="50"/>
        <v>8.5684625594245709</v>
      </c>
      <c r="AA95" s="106">
        <f t="shared" si="51"/>
        <v>8.6247342547916581</v>
      </c>
      <c r="AB95" s="106">
        <f t="shared" si="52"/>
        <v>8.4815555555555573</v>
      </c>
      <c r="AC95" s="106">
        <f t="shared" si="53"/>
        <v>8.726554471595156</v>
      </c>
      <c r="AD95" s="106">
        <f t="shared" si="54"/>
        <v>8.7735508751273752</v>
      </c>
      <c r="AE95" s="106">
        <f t="shared" si="55"/>
        <v>8.7091200000000573</v>
      </c>
      <c r="AF95" s="106">
        <f t="shared" si="56"/>
        <v>7.2908920070498713</v>
      </c>
      <c r="AG95" s="106">
        <f t="shared" si="57"/>
        <v>7.8684377791300539</v>
      </c>
      <c r="AH95" s="106">
        <f t="shared" si="58"/>
        <v>8.2667875067014052</v>
      </c>
      <c r="AI95" s="106">
        <f t="shared" si="59"/>
        <v>8.6124736873090804</v>
      </c>
      <c r="AT95" s="8"/>
      <c r="AU95" s="8"/>
      <c r="AV95" s="8"/>
      <c r="AW95" s="8"/>
      <c r="AX95" s="8"/>
      <c r="AY95" s="8"/>
      <c r="AZ95" s="8"/>
      <c r="BA95" s="8"/>
      <c r="BB95" s="8"/>
      <c r="BC95" s="10">
        <v>23</v>
      </c>
      <c r="BD95" s="59">
        <v>74</v>
      </c>
      <c r="BE95" s="7" t="str">
        <f t="shared" si="62"/>
        <v>---------</v>
      </c>
      <c r="BF95" s="277">
        <v>17.8</v>
      </c>
      <c r="BG95" s="12" t="s">
        <v>362</v>
      </c>
      <c r="BH95" s="7" t="str">
        <f t="shared" si="63"/>
        <v>---------</v>
      </c>
      <c r="BI95" s="273">
        <v>2.28000000000001</v>
      </c>
      <c r="BJ95" s="59">
        <v>74</v>
      </c>
      <c r="BK95" s="168" t="str">
        <f t="shared" si="64"/>
        <v>---------</v>
      </c>
      <c r="BL95" s="182">
        <v>5.7799999999999997E-2</v>
      </c>
      <c r="BM95" s="185">
        <v>74</v>
      </c>
      <c r="BN95" s="182">
        <f t="shared" si="65"/>
        <v>5.7799999999999997E-2</v>
      </c>
      <c r="BO95" s="265" cm="1">
        <f t="array" ref="BO95">INDEX(AF157:AI157,$AQ$20)</f>
        <v>2.8169840131036903</v>
      </c>
      <c r="BP95" s="13">
        <f t="shared" si="66"/>
        <v>2.5387060303251472</v>
      </c>
      <c r="BQ95" s="12" t="s">
        <v>176</v>
      </c>
      <c r="BR95" s="20" t="str">
        <f t="shared" si="67"/>
        <v/>
      </c>
      <c r="BS95" s="12" t="s">
        <v>362</v>
      </c>
      <c r="BT95" s="61" t="str">
        <f t="shared" si="68"/>
        <v>2.5</v>
      </c>
      <c r="BU95" s="20" t="str">
        <f t="shared" si="60"/>
        <v/>
      </c>
      <c r="BV95" s="12" t="s">
        <v>362</v>
      </c>
      <c r="BW95" s="61" t="str">
        <f t="shared" si="61"/>
        <v>2.5</v>
      </c>
      <c r="BY95" s="356"/>
      <c r="BZ95" s="358"/>
      <c r="CA95" s="358"/>
      <c r="CB95" s="358"/>
      <c r="CC95" s="358"/>
      <c r="CD95" s="358"/>
      <c r="CE95" s="358"/>
      <c r="CF95" s="358"/>
      <c r="CG95" s="358"/>
      <c r="CH95" s="358"/>
      <c r="CI95" s="358"/>
      <c r="CJ95" s="358"/>
      <c r="CK95" s="358"/>
      <c r="CL95" s="356"/>
      <c r="CM95" s="356"/>
      <c r="CN95" s="356"/>
      <c r="CO95" s="356"/>
      <c r="CP95" s="356"/>
      <c r="CQ95" s="356"/>
      <c r="CR95" s="356"/>
      <c r="CS95" s="356"/>
      <c r="CT95" s="356"/>
    </row>
    <row r="96" spans="20:98">
      <c r="T96" s="106">
        <f t="shared" si="44"/>
        <v>7.6073143786585176</v>
      </c>
      <c r="U96" s="106">
        <f t="shared" si="45"/>
        <v>7.6866094397370857</v>
      </c>
      <c r="V96" s="106">
        <f t="shared" si="46"/>
        <v>7.5071912874779745</v>
      </c>
      <c r="W96" s="106">
        <f t="shared" si="47"/>
        <v>8.1127973416743355</v>
      </c>
      <c r="X96" s="106">
        <f t="shared" si="48"/>
        <v>8.1839112987540119</v>
      </c>
      <c r="Y96" s="106">
        <f t="shared" si="49"/>
        <v>8.031243527336926</v>
      </c>
      <c r="Z96" s="106">
        <f t="shared" si="50"/>
        <v>8.4747098644529402</v>
      </c>
      <c r="AA96" s="106">
        <f t="shared" si="51"/>
        <v>8.5320063285637779</v>
      </c>
      <c r="AB96" s="106">
        <f t="shared" si="52"/>
        <v>8.3957959082892444</v>
      </c>
      <c r="AC96" s="106">
        <f t="shared" si="53"/>
        <v>8.6309979271926025</v>
      </c>
      <c r="AD96" s="106">
        <f t="shared" si="54"/>
        <v>8.6787772798452369</v>
      </c>
      <c r="AE96" s="106">
        <f t="shared" si="55"/>
        <v>8.6182501587302145</v>
      </c>
      <c r="AF96" s="106">
        <f t="shared" si="56"/>
        <v>7.2380640590893073</v>
      </c>
      <c r="AG96" s="106">
        <f t="shared" si="57"/>
        <v>7.8022418702112972</v>
      </c>
      <c r="AH96" s="106">
        <f t="shared" si="58"/>
        <v>8.191480277877444</v>
      </c>
      <c r="AI96" s="106">
        <f t="shared" si="59"/>
        <v>8.5274594770576808</v>
      </c>
      <c r="AT96" s="8"/>
      <c r="AU96" s="8"/>
      <c r="AV96" s="8"/>
      <c r="AW96" s="8"/>
      <c r="AX96" s="8"/>
      <c r="AY96" s="8"/>
      <c r="AZ96" s="8"/>
      <c r="BA96" s="8"/>
      <c r="BB96" s="8"/>
      <c r="BC96" s="10">
        <v>22</v>
      </c>
      <c r="BD96" s="59">
        <v>75</v>
      </c>
      <c r="BE96" s="7" t="str">
        <f t="shared" si="62"/>
        <v>---------</v>
      </c>
      <c r="BF96" s="277">
        <v>17.7</v>
      </c>
      <c r="BG96" s="12" t="s">
        <v>364</v>
      </c>
      <c r="BH96" s="7" t="str">
        <f t="shared" si="63"/>
        <v>---------</v>
      </c>
      <c r="BI96" s="273">
        <v>2.27000000000002</v>
      </c>
      <c r="BJ96" s="59">
        <v>75</v>
      </c>
      <c r="BK96" s="168" t="str">
        <f t="shared" si="64"/>
        <v>---------</v>
      </c>
      <c r="BL96" s="182">
        <v>5.7700000000000001E-2</v>
      </c>
      <c r="BM96" s="185">
        <v>75</v>
      </c>
      <c r="BN96" s="182">
        <f t="shared" si="65"/>
        <v>5.7700000000000001E-2</v>
      </c>
      <c r="BO96" s="265" cm="1">
        <f t="array" ref="BO96">INDEX(AF158:AI158,$AQ$20)</f>
        <v>2.7248585169335779</v>
      </c>
      <c r="BP96" s="13">
        <f t="shared" si="66"/>
        <v>2.5387060303251472</v>
      </c>
      <c r="BQ96" s="12" t="s">
        <v>183</v>
      </c>
      <c r="BR96" s="20" t="str">
        <f t="shared" si="67"/>
        <v/>
      </c>
      <c r="BS96" s="12" t="s">
        <v>364</v>
      </c>
      <c r="BT96" s="61" t="str">
        <f t="shared" si="68"/>
        <v>2.5</v>
      </c>
      <c r="BU96" s="20" t="str">
        <f t="shared" si="60"/>
        <v/>
      </c>
      <c r="BV96" s="12" t="s">
        <v>364</v>
      </c>
      <c r="BW96" s="61" t="str">
        <f t="shared" si="61"/>
        <v>2.5</v>
      </c>
      <c r="BY96" s="356"/>
      <c r="BZ96" s="356"/>
      <c r="CA96" s="356"/>
      <c r="CB96" s="356"/>
      <c r="CC96" s="356"/>
      <c r="CD96" s="356"/>
      <c r="CE96" s="356"/>
      <c r="CF96" s="356"/>
      <c r="CG96" s="356"/>
      <c r="CH96" s="356"/>
      <c r="CI96" s="356"/>
      <c r="CJ96" s="356"/>
      <c r="CK96" s="356"/>
      <c r="CL96" s="356"/>
      <c r="CM96" s="356"/>
      <c r="CN96" s="356"/>
      <c r="CO96" s="356"/>
      <c r="CP96" s="356"/>
      <c r="CQ96" s="356"/>
      <c r="CR96" s="356"/>
      <c r="CS96" s="356"/>
      <c r="CT96" s="356"/>
    </row>
    <row r="97" spans="20:75">
      <c r="T97" s="106">
        <f t="shared" si="44"/>
        <v>7.5260295127714176</v>
      </c>
      <c r="U97" s="106">
        <f t="shared" si="45"/>
        <v>7.6079232891319464</v>
      </c>
      <c r="V97" s="106">
        <f t="shared" si="46"/>
        <v>7.4385948853615709</v>
      </c>
      <c r="W97" s="106">
        <f t="shared" si="47"/>
        <v>8.0246351369382847</v>
      </c>
      <c r="X97" s="106">
        <f t="shared" si="48"/>
        <v>8.0970939846197183</v>
      </c>
      <c r="Y97" s="106">
        <f t="shared" si="49"/>
        <v>7.9524888183422133</v>
      </c>
      <c r="Z97" s="106">
        <f t="shared" si="50"/>
        <v>8.3809457537548493</v>
      </c>
      <c r="AA97" s="106">
        <f t="shared" si="51"/>
        <v>8.4392361195576591</v>
      </c>
      <c r="AB97" s="106">
        <f t="shared" si="52"/>
        <v>8.3098697707231075</v>
      </c>
      <c r="AC97" s="106">
        <f t="shared" si="53"/>
        <v>8.5354308643862655</v>
      </c>
      <c r="AD97" s="106">
        <f t="shared" si="54"/>
        <v>8.5839713986009247</v>
      </c>
      <c r="AE97" s="106">
        <f t="shared" si="55"/>
        <v>8.5272787301587858</v>
      </c>
      <c r="AF97" s="106">
        <f t="shared" si="56"/>
        <v>7.1846022797060076</v>
      </c>
      <c r="AG97" s="106">
        <f t="shared" si="57"/>
        <v>7.7355810689259563</v>
      </c>
      <c r="AH97" s="106">
        <f t="shared" si="58"/>
        <v>8.1158202474712802</v>
      </c>
      <c r="AI97" s="106">
        <f t="shared" si="59"/>
        <v>8.4422397274955774</v>
      </c>
      <c r="AT97" s="8"/>
      <c r="AU97" s="8"/>
      <c r="AV97" s="8"/>
      <c r="AW97" s="8"/>
      <c r="AX97" s="8"/>
      <c r="AY97" s="8"/>
      <c r="AZ97" s="8"/>
      <c r="BA97" s="8"/>
      <c r="BB97" s="8"/>
      <c r="BC97" s="10">
        <v>21</v>
      </c>
      <c r="BD97" s="59">
        <v>76</v>
      </c>
      <c r="BE97" s="7" t="str">
        <f t="shared" si="62"/>
        <v>---------</v>
      </c>
      <c r="BF97" s="277">
        <v>17.600000000000001</v>
      </c>
      <c r="BG97" s="12" t="s">
        <v>365</v>
      </c>
      <c r="BH97" s="7" t="str">
        <f t="shared" si="63"/>
        <v>---------</v>
      </c>
      <c r="BI97" s="273">
        <v>2.2600000000000202</v>
      </c>
      <c r="BJ97" s="59">
        <v>76</v>
      </c>
      <c r="BK97" s="168" t="str">
        <f t="shared" si="64"/>
        <v>---------</v>
      </c>
      <c r="BL97" s="182">
        <v>5.7599999999999998E-2</v>
      </c>
      <c r="BM97" s="185">
        <v>76</v>
      </c>
      <c r="BN97" s="182">
        <f t="shared" si="65"/>
        <v>5.7599999999999998E-2</v>
      </c>
      <c r="BO97" s="265" cm="1">
        <f t="array" ref="BO97">INDEX(AF159:AI159,$AQ$20)</f>
        <v>2.6320991893407295</v>
      </c>
      <c r="BP97" s="13">
        <f t="shared" si="66"/>
        <v>2.5387060303251472</v>
      </c>
      <c r="BQ97" s="12" t="s">
        <v>187</v>
      </c>
      <c r="BR97" s="20" t="str">
        <f t="shared" si="67"/>
        <v/>
      </c>
      <c r="BS97" s="12" t="s">
        <v>365</v>
      </c>
      <c r="BT97" s="61" t="str">
        <f t="shared" si="68"/>
        <v>2.5</v>
      </c>
      <c r="BU97" s="20">
        <f t="shared" si="60"/>
        <v>162.5</v>
      </c>
      <c r="BV97" s="12" t="s">
        <v>365</v>
      </c>
      <c r="BW97" s="61" t="str">
        <f t="shared" si="61"/>
        <v>2.5</v>
      </c>
    </row>
    <row r="98" spans="20:75">
      <c r="T98" s="106">
        <f t="shared" si="44"/>
        <v>7.4446613520935347</v>
      </c>
      <c r="U98" s="106">
        <f t="shared" si="45"/>
        <v>7.5290765064476641</v>
      </c>
      <c r="V98" s="106">
        <f t="shared" si="46"/>
        <v>7.3696485714285895</v>
      </c>
      <c r="W98" s="106">
        <f t="shared" si="47"/>
        <v>7.9364209109766071</v>
      </c>
      <c r="X98" s="106">
        <f t="shared" si="48"/>
        <v>8.0101821307697865</v>
      </c>
      <c r="Y98" s="106">
        <f t="shared" si="49"/>
        <v>7.8734914285714872</v>
      </c>
      <c r="Z98" s="106">
        <f t="shared" si="50"/>
        <v>8.2871702273302965</v>
      </c>
      <c r="AA98" s="106">
        <f t="shared" si="51"/>
        <v>8.3464236277732997</v>
      </c>
      <c r="AB98" s="106">
        <f t="shared" si="52"/>
        <v>8.2237771428571449</v>
      </c>
      <c r="AC98" s="106">
        <f t="shared" si="53"/>
        <v>8.4398532831761415</v>
      </c>
      <c r="AD98" s="106">
        <f t="shared" si="54"/>
        <v>8.4891332313944403</v>
      </c>
      <c r="AE98" s="106">
        <f t="shared" si="55"/>
        <v>8.4362057142857658</v>
      </c>
      <c r="AF98" s="106">
        <f t="shared" si="56"/>
        <v>7.1305066688999776</v>
      </c>
      <c r="AG98" s="106">
        <f t="shared" si="57"/>
        <v>7.6684553752740383</v>
      </c>
      <c r="AH98" s="106">
        <f t="shared" si="58"/>
        <v>8.0398074154829118</v>
      </c>
      <c r="AI98" s="106">
        <f t="shared" si="59"/>
        <v>8.3568144386227541</v>
      </c>
      <c r="AT98" s="8"/>
      <c r="AU98" s="8"/>
      <c r="AV98" s="8"/>
      <c r="AW98" s="8"/>
      <c r="AX98" s="8"/>
      <c r="AY98" s="8"/>
      <c r="AZ98" s="8"/>
      <c r="BA98" s="8"/>
      <c r="BB98" s="8"/>
      <c r="BC98" s="10">
        <v>20</v>
      </c>
      <c r="BD98" s="59">
        <v>77</v>
      </c>
      <c r="BE98" s="7" t="str">
        <f t="shared" si="62"/>
        <v>---------</v>
      </c>
      <c r="BF98" s="277">
        <v>17.5</v>
      </c>
      <c r="BG98" s="12" t="s">
        <v>366</v>
      </c>
      <c r="BH98" s="7" t="str">
        <f t="shared" si="63"/>
        <v>---------</v>
      </c>
      <c r="BI98" s="273">
        <v>2.25000000000002</v>
      </c>
      <c r="BJ98" s="59">
        <v>77</v>
      </c>
      <c r="BK98" s="168" t="str">
        <f t="shared" si="64"/>
        <v>---------</v>
      </c>
      <c r="BL98" s="182">
        <v>5.7500000000000002E-2</v>
      </c>
      <c r="BM98" s="185">
        <v>77</v>
      </c>
      <c r="BN98" s="182">
        <f t="shared" si="65"/>
        <v>5.7500000000000002E-2</v>
      </c>
      <c r="BO98" s="265" cm="1">
        <f t="array" ref="BO98">INDEX(AF160:AI160,$AQ$20)</f>
        <v>2.5387060303251472</v>
      </c>
      <c r="BP98" s="13">
        <f t="shared" si="66"/>
        <v>2.5387060303251472</v>
      </c>
      <c r="BQ98" s="12" t="s">
        <v>194</v>
      </c>
      <c r="BR98" s="20">
        <f t="shared" si="67"/>
        <v>162.5</v>
      </c>
      <c r="BS98" s="12" t="s">
        <v>366</v>
      </c>
      <c r="BT98" s="61" t="str">
        <f t="shared" si="68"/>
        <v>2.5</v>
      </c>
      <c r="BU98" s="20">
        <f t="shared" si="60"/>
        <v>156</v>
      </c>
      <c r="BV98" s="12" t="s">
        <v>366</v>
      </c>
      <c r="BW98" s="61" t="str">
        <f t="shared" si="61"/>
        <v>2.4</v>
      </c>
    </row>
    <row r="99" spans="20:75">
      <c r="T99" s="106">
        <f t="shared" si="44"/>
        <v>7.3632098966248716</v>
      </c>
      <c r="U99" s="106">
        <f t="shared" si="45"/>
        <v>7.4500690916842425</v>
      </c>
      <c r="V99" s="106">
        <f t="shared" si="46"/>
        <v>7.3003523456790305</v>
      </c>
      <c r="W99" s="106">
        <f t="shared" si="47"/>
        <v>7.8481546637893054</v>
      </c>
      <c r="X99" s="106">
        <f t="shared" si="48"/>
        <v>7.9231757372042155</v>
      </c>
      <c r="Y99" s="106">
        <f t="shared" si="49"/>
        <v>7.7942513580247477</v>
      </c>
      <c r="Z99" s="106">
        <f t="shared" si="50"/>
        <v>8.1933832851792854</v>
      </c>
      <c r="AA99" s="106">
        <f t="shared" si="51"/>
        <v>8.2535688532107017</v>
      </c>
      <c r="AB99" s="106">
        <f t="shared" si="52"/>
        <v>8.1375180246913601</v>
      </c>
      <c r="AC99" s="106">
        <f t="shared" si="53"/>
        <v>8.3442651835622321</v>
      </c>
      <c r="AD99" s="106">
        <f t="shared" si="54"/>
        <v>8.3942627782257819</v>
      </c>
      <c r="AE99" s="106">
        <f t="shared" si="55"/>
        <v>8.3450311111111617</v>
      </c>
      <c r="AF99" s="106">
        <f t="shared" si="56"/>
        <v>7.075777226671212</v>
      </c>
      <c r="AG99" s="106">
        <f t="shared" si="57"/>
        <v>7.6008647892555459</v>
      </c>
      <c r="AH99" s="106">
        <f t="shared" si="58"/>
        <v>7.9634417819123477</v>
      </c>
      <c r="AI99" s="106">
        <f t="shared" si="59"/>
        <v>8.2711836104392304</v>
      </c>
      <c r="AT99" s="8"/>
      <c r="AU99" s="8"/>
      <c r="AV99" s="8"/>
      <c r="AW99" s="8"/>
      <c r="AX99" s="8"/>
      <c r="AY99" s="8"/>
      <c r="AZ99" s="8"/>
      <c r="BA99" s="8"/>
      <c r="BB99" s="8"/>
      <c r="BC99" s="10">
        <v>19</v>
      </c>
      <c r="BD99" s="59">
        <v>78</v>
      </c>
      <c r="BE99" s="7" t="str">
        <f t="shared" si="62"/>
        <v>---------</v>
      </c>
      <c r="BF99" s="277">
        <v>17.399999999999999</v>
      </c>
      <c r="BG99" s="12" t="s">
        <v>367</v>
      </c>
      <c r="BH99" s="7" t="str">
        <f t="shared" si="63"/>
        <v>---------</v>
      </c>
      <c r="BI99" s="273">
        <v>2.2400000000000202</v>
      </c>
      <c r="BJ99" s="59">
        <v>78</v>
      </c>
      <c r="BK99" s="168" t="str">
        <f t="shared" si="64"/>
        <v>---------</v>
      </c>
      <c r="BL99" s="182">
        <v>5.74E-2</v>
      </c>
      <c r="BM99" s="185">
        <v>78</v>
      </c>
      <c r="BN99" s="182">
        <f t="shared" si="65"/>
        <v>5.74E-2</v>
      </c>
      <c r="BO99" s="265" cm="1">
        <f t="array" ref="BO99">INDEX(AF161:AI161,$AQ$20)</f>
        <v>2.4446790398868297</v>
      </c>
      <c r="BP99" s="13">
        <f t="shared" si="66"/>
        <v>2.4446790398868297</v>
      </c>
      <c r="BQ99" s="12" t="s">
        <v>200</v>
      </c>
      <c r="BR99" s="20">
        <f t="shared" si="67"/>
        <v>156</v>
      </c>
      <c r="BS99" s="12" t="s">
        <v>367</v>
      </c>
      <c r="BT99" s="61" t="str">
        <f t="shared" si="68"/>
        <v>2.4</v>
      </c>
      <c r="BU99" s="20">
        <f t="shared" si="60"/>
        <v>149.5</v>
      </c>
      <c r="BV99" s="12" t="s">
        <v>367</v>
      </c>
      <c r="BW99" s="61" t="str">
        <f t="shared" si="61"/>
        <v>2.3</v>
      </c>
    </row>
    <row r="100" spans="20:75">
      <c r="T100" s="106">
        <f t="shared" si="44"/>
        <v>7.2816751463654263</v>
      </c>
      <c r="U100" s="106">
        <f t="shared" si="45"/>
        <v>7.3709010448416796</v>
      </c>
      <c r="V100" s="106">
        <f t="shared" si="46"/>
        <v>7.230706208112891</v>
      </c>
      <c r="W100" s="106">
        <f t="shared" si="47"/>
        <v>7.7598363953763769</v>
      </c>
      <c r="X100" s="106">
        <f t="shared" si="48"/>
        <v>7.8360748039230064</v>
      </c>
      <c r="Y100" s="106">
        <f t="shared" si="49"/>
        <v>7.7147686067019956</v>
      </c>
      <c r="Z100" s="106">
        <f t="shared" si="50"/>
        <v>8.0995849273018159</v>
      </c>
      <c r="AA100" s="106">
        <f t="shared" si="51"/>
        <v>8.1606717958698649</v>
      </c>
      <c r="AB100" s="106">
        <f t="shared" si="52"/>
        <v>8.0510924162257513</v>
      </c>
      <c r="AC100" s="106">
        <f t="shared" si="53"/>
        <v>8.2486665655445375</v>
      </c>
      <c r="AD100" s="106">
        <f t="shared" si="54"/>
        <v>8.2993600390949513</v>
      </c>
      <c r="AE100" s="106">
        <f t="shared" si="55"/>
        <v>8.2537549206349681</v>
      </c>
      <c r="AF100" s="106">
        <f t="shared" si="56"/>
        <v>7.0204139530197081</v>
      </c>
      <c r="AG100" s="106">
        <f t="shared" si="57"/>
        <v>7.5328093108704799</v>
      </c>
      <c r="AH100" s="106">
        <f t="shared" si="58"/>
        <v>7.886723346759581</v>
      </c>
      <c r="AI100" s="106">
        <f t="shared" si="59"/>
        <v>8.1853472429449923</v>
      </c>
      <c r="AT100" s="24"/>
      <c r="AU100" s="24"/>
      <c r="AV100" s="24"/>
      <c r="AW100" s="24"/>
      <c r="AX100" s="24"/>
      <c r="AY100" s="24"/>
      <c r="AZ100" s="24"/>
      <c r="BA100" s="24"/>
      <c r="BB100" s="24"/>
      <c r="BC100" s="10">
        <v>18</v>
      </c>
      <c r="BD100" s="59">
        <v>79</v>
      </c>
      <c r="BE100" s="7" t="str">
        <f t="shared" si="62"/>
        <v>---------</v>
      </c>
      <c r="BF100" s="277">
        <v>17.3</v>
      </c>
      <c r="BG100" s="12" t="s">
        <v>368</v>
      </c>
      <c r="BH100" s="7" t="str">
        <f t="shared" si="63"/>
        <v>---------</v>
      </c>
      <c r="BI100" s="273">
        <v>2.23000000000002</v>
      </c>
      <c r="BJ100" s="59">
        <v>79</v>
      </c>
      <c r="BK100" s="168" t="str">
        <f t="shared" si="64"/>
        <v>---------</v>
      </c>
      <c r="BL100" s="182">
        <v>5.7299999999999997E-2</v>
      </c>
      <c r="BM100" s="185">
        <v>79</v>
      </c>
      <c r="BN100" s="182">
        <f t="shared" si="65"/>
        <v>5.7299999999999997E-2</v>
      </c>
      <c r="BO100" s="265" cm="1">
        <f t="array" ref="BO100">INDEX(AF162:AI162,$AQ$20)</f>
        <v>2.3500182180257765</v>
      </c>
      <c r="BP100" s="13">
        <f t="shared" si="66"/>
        <v>2.3500182180257765</v>
      </c>
      <c r="BQ100" s="12" t="s">
        <v>204</v>
      </c>
      <c r="BR100" s="20">
        <f t="shared" si="67"/>
        <v>149.5</v>
      </c>
      <c r="BS100" s="12" t="s">
        <v>368</v>
      </c>
      <c r="BT100" s="61" t="str">
        <f t="shared" si="68"/>
        <v>2.3</v>
      </c>
      <c r="BU100" s="20">
        <f t="shared" si="60"/>
        <v>143.00000000000003</v>
      </c>
      <c r="BV100" s="12" t="s">
        <v>368</v>
      </c>
      <c r="BW100" s="61" t="str">
        <f t="shared" si="61"/>
        <v>2.2</v>
      </c>
    </row>
    <row r="101" spans="20:75">
      <c r="T101" s="106">
        <f t="shared" si="44"/>
        <v>7.200057101315199</v>
      </c>
      <c r="U101" s="106">
        <f t="shared" si="45"/>
        <v>7.2915723659199756</v>
      </c>
      <c r="V101" s="106">
        <f t="shared" si="46"/>
        <v>7.1607101587301756</v>
      </c>
      <c r="W101" s="106">
        <f t="shared" si="47"/>
        <v>7.6714661057378217</v>
      </c>
      <c r="X101" s="106">
        <f t="shared" si="48"/>
        <v>7.7488793309261581</v>
      </c>
      <c r="Y101" s="106">
        <f t="shared" si="49"/>
        <v>7.6350431746032283</v>
      </c>
      <c r="Z101" s="106">
        <f t="shared" si="50"/>
        <v>8.0057751536978827</v>
      </c>
      <c r="AA101" s="106">
        <f t="shared" si="51"/>
        <v>8.0677324557507877</v>
      </c>
      <c r="AB101" s="106">
        <f t="shared" si="52"/>
        <v>7.9645003174603204</v>
      </c>
      <c r="AC101" s="106">
        <f t="shared" si="53"/>
        <v>8.1530574291230575</v>
      </c>
      <c r="AD101" s="106">
        <f t="shared" si="54"/>
        <v>8.2044250140019468</v>
      </c>
      <c r="AE101" s="106">
        <f t="shared" si="55"/>
        <v>8.1623771428571903</v>
      </c>
      <c r="AF101" s="106">
        <f t="shared" si="56"/>
        <v>6.9644168479454756</v>
      </c>
      <c r="AG101" s="106">
        <f t="shared" si="57"/>
        <v>7.4642889401188341</v>
      </c>
      <c r="AH101" s="106">
        <f t="shared" si="58"/>
        <v>7.8096521100246195</v>
      </c>
      <c r="AI101" s="106">
        <f t="shared" si="59"/>
        <v>8.0993053361400555</v>
      </c>
      <c r="AT101" s="24"/>
      <c r="AU101" s="24"/>
      <c r="AV101" s="24"/>
      <c r="AW101" s="24"/>
      <c r="AX101" s="24"/>
      <c r="AY101" s="24"/>
      <c r="AZ101" s="24"/>
      <c r="BA101" s="24"/>
      <c r="BB101" s="24"/>
      <c r="BC101" s="10">
        <v>17</v>
      </c>
      <c r="BD101" s="59">
        <v>80</v>
      </c>
      <c r="BE101" s="7" t="str">
        <f t="shared" si="62"/>
        <v>---------</v>
      </c>
      <c r="BF101" s="277">
        <v>17.2</v>
      </c>
      <c r="BG101" s="12" t="s">
        <v>369</v>
      </c>
      <c r="BH101" s="7" t="str">
        <f t="shared" si="63"/>
        <v>---------</v>
      </c>
      <c r="BI101" s="273">
        <v>2.2200000000000202</v>
      </c>
      <c r="BJ101" s="59">
        <v>80</v>
      </c>
      <c r="BK101" s="168" t="str">
        <f t="shared" si="64"/>
        <v>---------</v>
      </c>
      <c r="BL101" s="182">
        <v>5.7200000000000001E-2</v>
      </c>
      <c r="BM101" s="185">
        <v>80</v>
      </c>
      <c r="BN101" s="182">
        <f t="shared" si="65"/>
        <v>5.7200000000000001E-2</v>
      </c>
      <c r="BO101" s="265" cm="1">
        <f t="array" ref="BO101">INDEX(AF163:AI163,$AQ$20)</f>
        <v>2.2547235647419903</v>
      </c>
      <c r="BP101" s="13">
        <f t="shared" si="66"/>
        <v>2.2547235647419903</v>
      </c>
      <c r="BQ101" s="12" t="s">
        <v>208</v>
      </c>
      <c r="BR101" s="20">
        <f t="shared" si="67"/>
        <v>143.00000000000003</v>
      </c>
      <c r="BS101" s="12" t="s">
        <v>369</v>
      </c>
      <c r="BT101" s="61" t="str">
        <f t="shared" si="68"/>
        <v>2.2</v>
      </c>
      <c r="BU101" s="20">
        <f t="shared" si="60"/>
        <v>136.5</v>
      </c>
      <c r="BV101" s="12" t="s">
        <v>369</v>
      </c>
      <c r="BW101" s="61" t="str">
        <f t="shared" si="61"/>
        <v>2.1</v>
      </c>
    </row>
    <row r="102" spans="20:75">
      <c r="T102" s="106">
        <f t="shared" si="44"/>
        <v>7.1183557614741915</v>
      </c>
      <c r="U102" s="106">
        <f t="shared" si="45"/>
        <v>7.2120830549191322</v>
      </c>
      <c r="V102" s="106">
        <f t="shared" si="46"/>
        <v>7.0903641975308807</v>
      </c>
      <c r="W102" s="106">
        <f t="shared" si="47"/>
        <v>7.5830437948736398</v>
      </c>
      <c r="X102" s="106">
        <f t="shared" si="48"/>
        <v>7.6615893182136716</v>
      </c>
      <c r="Y102" s="106">
        <f t="shared" si="49"/>
        <v>7.5550750617284468</v>
      </c>
      <c r="Z102" s="106">
        <f t="shared" si="50"/>
        <v>7.9119539643674921</v>
      </c>
      <c r="AA102" s="106">
        <f t="shared" si="51"/>
        <v>7.9747508328534726</v>
      </c>
      <c r="AB102" s="106">
        <f t="shared" si="52"/>
        <v>7.8777417283950655</v>
      </c>
      <c r="AC102" s="106">
        <f t="shared" si="53"/>
        <v>8.0574377742977923</v>
      </c>
      <c r="AD102" s="106">
        <f t="shared" si="54"/>
        <v>8.10945770294677</v>
      </c>
      <c r="AE102" s="106">
        <f t="shared" si="55"/>
        <v>8.070897777777823</v>
      </c>
      <c r="AF102" s="106">
        <f t="shared" si="56"/>
        <v>6.907785911448503</v>
      </c>
      <c r="AG102" s="106">
        <f t="shared" si="57"/>
        <v>7.3953036770006095</v>
      </c>
      <c r="AH102" s="106">
        <f t="shared" si="58"/>
        <v>7.7322280717074552</v>
      </c>
      <c r="AI102" s="106">
        <f t="shared" si="59"/>
        <v>8.0130578900244025</v>
      </c>
      <c r="AT102" s="24"/>
      <c r="AU102" s="24"/>
      <c r="AV102" s="24"/>
      <c r="AW102" s="24"/>
      <c r="AX102" s="24"/>
      <c r="AY102" s="24"/>
      <c r="AZ102" s="24"/>
      <c r="BA102" s="24"/>
      <c r="BB102" s="24"/>
      <c r="BC102" s="10">
        <v>16</v>
      </c>
      <c r="BD102" s="59">
        <v>81</v>
      </c>
      <c r="BE102" s="7" t="str">
        <f t="shared" si="62"/>
        <v>---------</v>
      </c>
      <c r="BF102" s="277">
        <v>17.100000000000001</v>
      </c>
      <c r="BG102" s="12" t="s">
        <v>370</v>
      </c>
      <c r="BH102" s="7" t="str">
        <f t="shared" si="63"/>
        <v>---------</v>
      </c>
      <c r="BI102" s="273">
        <v>2.2100000000000199</v>
      </c>
      <c r="BJ102" s="59">
        <v>81</v>
      </c>
      <c r="BK102" s="168" t="str">
        <f t="shared" si="64"/>
        <v>---------</v>
      </c>
      <c r="BL102" s="182">
        <v>5.7099999999999998E-2</v>
      </c>
      <c r="BM102" s="185">
        <v>81</v>
      </c>
      <c r="BN102" s="182">
        <f t="shared" si="65"/>
        <v>5.7099999999999998E-2</v>
      </c>
      <c r="BO102" s="265" cm="1">
        <f t="array" ref="BO102">INDEX(AF164:AI164,$AQ$20)</f>
        <v>2.1587950800354689</v>
      </c>
      <c r="BP102" s="13">
        <f t="shared" si="66"/>
        <v>2.1587950800354689</v>
      </c>
      <c r="BQ102" s="12" t="s">
        <v>215</v>
      </c>
      <c r="BR102" s="20">
        <f t="shared" si="67"/>
        <v>136.5</v>
      </c>
      <c r="BS102" s="12" t="s">
        <v>370</v>
      </c>
      <c r="BT102" s="61" t="str">
        <f t="shared" si="68"/>
        <v>2.1</v>
      </c>
      <c r="BU102" s="20">
        <f t="shared" si="60"/>
        <v>130</v>
      </c>
      <c r="BV102" s="12" t="s">
        <v>370</v>
      </c>
      <c r="BW102" s="68" t="str">
        <f>BT103</f>
        <v>2.0</v>
      </c>
    </row>
    <row r="103" spans="20:75">
      <c r="T103" s="106">
        <f t="shared" si="44"/>
        <v>7.0365711268424</v>
      </c>
      <c r="U103" s="106">
        <f t="shared" si="45"/>
        <v>7.1324331118391449</v>
      </c>
      <c r="V103" s="106">
        <f t="shared" si="46"/>
        <v>7.0196683245150062</v>
      </c>
      <c r="W103" s="106">
        <f t="shared" si="47"/>
        <v>7.4945694627838311</v>
      </c>
      <c r="X103" s="106">
        <f t="shared" si="48"/>
        <v>7.5742047657855442</v>
      </c>
      <c r="Y103" s="106">
        <f t="shared" si="49"/>
        <v>7.4748642680776491</v>
      </c>
      <c r="Z103" s="106">
        <f t="shared" si="50"/>
        <v>7.8181213593106378</v>
      </c>
      <c r="AA103" s="106">
        <f t="shared" si="51"/>
        <v>7.8817269271779162</v>
      </c>
      <c r="AB103" s="106">
        <f t="shared" si="52"/>
        <v>7.7908166490299831</v>
      </c>
      <c r="AC103" s="106">
        <f t="shared" si="53"/>
        <v>7.96180760106874</v>
      </c>
      <c r="AD103" s="106">
        <f t="shared" si="54"/>
        <v>8.0144581059294175</v>
      </c>
      <c r="AE103" s="106">
        <f t="shared" si="55"/>
        <v>7.979316825396868</v>
      </c>
      <c r="AF103" s="106">
        <f t="shared" si="56"/>
        <v>6.8505211435287983</v>
      </c>
      <c r="AG103" s="106">
        <f t="shared" si="57"/>
        <v>7.3258535215158069</v>
      </c>
      <c r="AH103" s="106">
        <f t="shared" si="58"/>
        <v>7.6544512318080837</v>
      </c>
      <c r="AI103" s="106">
        <f t="shared" si="59"/>
        <v>7.9266049045980438</v>
      </c>
      <c r="AT103" s="24"/>
      <c r="AU103" s="24"/>
      <c r="AV103" s="24"/>
      <c r="AW103" s="24"/>
      <c r="AX103" s="24"/>
      <c r="AY103" s="24"/>
      <c r="AZ103" s="24"/>
      <c r="BA103" s="24"/>
      <c r="BB103" s="24"/>
      <c r="BC103" s="10">
        <v>15</v>
      </c>
      <c r="BD103" s="59">
        <v>82</v>
      </c>
      <c r="BE103" s="7" t="str">
        <f t="shared" si="62"/>
        <v>---------</v>
      </c>
      <c r="BF103" s="277">
        <v>17</v>
      </c>
      <c r="BG103" s="12" t="s">
        <v>371</v>
      </c>
      <c r="BH103" s="7" t="str">
        <f t="shared" si="63"/>
        <v>---------</v>
      </c>
      <c r="BI103" s="273">
        <v>2.2000000000000202</v>
      </c>
      <c r="BJ103" s="59">
        <v>82</v>
      </c>
      <c r="BK103" s="168" t="str">
        <f t="shared" si="64"/>
        <v>---------</v>
      </c>
      <c r="BL103" s="182">
        <v>5.7000000000000002E-2</v>
      </c>
      <c r="BM103" s="185">
        <v>82</v>
      </c>
      <c r="BN103" s="182">
        <f t="shared" si="65"/>
        <v>5.7000000000000002E-2</v>
      </c>
      <c r="BO103" s="265" cm="1">
        <f t="array" ref="BO103">INDEX(AF165:AI165,$AQ$20)</f>
        <v>2.0622327639062124</v>
      </c>
      <c r="BP103" s="13">
        <f>IF(BR103&lt;&gt;"",BO103,"")</f>
        <v>2.0622327639062124</v>
      </c>
      <c r="BQ103" s="12" t="s">
        <v>222</v>
      </c>
      <c r="BR103" s="20">
        <f t="shared" si="67"/>
        <v>130</v>
      </c>
      <c r="BS103" s="12" t="s">
        <v>371</v>
      </c>
      <c r="BT103" s="68" t="str">
        <f>BQ103</f>
        <v>2.0</v>
      </c>
    </row>
    <row r="104" spans="20:75">
      <c r="T104" s="106">
        <f t="shared" si="44"/>
        <v>6.9547031974198292</v>
      </c>
      <c r="U104" s="106">
        <f t="shared" si="45"/>
        <v>7.0526225366800182</v>
      </c>
      <c r="V104" s="106">
        <f t="shared" si="46"/>
        <v>6.9486225396825532</v>
      </c>
      <c r="W104" s="106">
        <f t="shared" si="47"/>
        <v>7.4060431094683974</v>
      </c>
      <c r="X104" s="106">
        <f t="shared" si="48"/>
        <v>7.4867256736417804</v>
      </c>
      <c r="Y104" s="106">
        <f t="shared" si="49"/>
        <v>7.3944107936508416</v>
      </c>
      <c r="Z104" s="106">
        <f t="shared" si="50"/>
        <v>7.7242773385273269</v>
      </c>
      <c r="AA104" s="106">
        <f t="shared" si="51"/>
        <v>7.7886607387241211</v>
      </c>
      <c r="AB104" s="106">
        <f t="shared" si="52"/>
        <v>7.7037250793650802</v>
      </c>
      <c r="AC104" s="106">
        <f t="shared" si="53"/>
        <v>7.8661669094359032</v>
      </c>
      <c r="AD104" s="106">
        <f t="shared" si="54"/>
        <v>7.9194262229498928</v>
      </c>
      <c r="AE104" s="106">
        <f t="shared" si="55"/>
        <v>7.887634285714328</v>
      </c>
      <c r="AF104" s="106">
        <f t="shared" si="56"/>
        <v>6.7926225441863561</v>
      </c>
      <c r="AG104" s="106">
        <f t="shared" si="57"/>
        <v>7.2559384736644335</v>
      </c>
      <c r="AH104" s="106">
        <f t="shared" si="58"/>
        <v>7.5763215903265184</v>
      </c>
      <c r="AI104" s="106">
        <f t="shared" si="59"/>
        <v>7.8399463798609812</v>
      </c>
      <c r="BC104" s="10">
        <v>14</v>
      </c>
      <c r="BD104" s="59">
        <v>83</v>
      </c>
      <c r="BE104" s="7" t="str">
        <f t="shared" si="62"/>
        <v>---------</v>
      </c>
      <c r="BF104" s="277">
        <v>16.899999999999999</v>
      </c>
      <c r="BG104" s="12" t="s">
        <v>372</v>
      </c>
      <c r="BH104" s="7" t="str">
        <f t="shared" si="63"/>
        <v>---------</v>
      </c>
      <c r="BI104" s="273">
        <v>2.1900000000000199</v>
      </c>
      <c r="BJ104" s="59">
        <v>83</v>
      </c>
      <c r="BK104" s="168" t="str">
        <f t="shared" si="64"/>
        <v>---------</v>
      </c>
      <c r="BL104" s="182">
        <v>5.6899999999999999E-2</v>
      </c>
      <c r="BM104" s="185">
        <v>83</v>
      </c>
      <c r="BN104" s="182">
        <f t="shared" si="65"/>
        <v>5.6899999999999999E-2</v>
      </c>
    </row>
    <row r="105" spans="20:75">
      <c r="T105" s="106">
        <f t="shared" si="44"/>
        <v>6.8727519732064764</v>
      </c>
      <c r="U105" s="106">
        <f t="shared" si="45"/>
        <v>6.9726513294417511</v>
      </c>
      <c r="V105" s="106">
        <f t="shared" si="46"/>
        <v>6.8772268430335242</v>
      </c>
      <c r="W105" s="106">
        <f t="shared" si="47"/>
        <v>7.317464734927337</v>
      </c>
      <c r="X105" s="106">
        <f t="shared" si="48"/>
        <v>7.3991520417823766</v>
      </c>
      <c r="Y105" s="106">
        <f t="shared" si="49"/>
        <v>7.3137146384480181</v>
      </c>
      <c r="Z105" s="106">
        <f t="shared" si="50"/>
        <v>7.6304219020175541</v>
      </c>
      <c r="AA105" s="106">
        <f t="shared" si="51"/>
        <v>7.6955522674920882</v>
      </c>
      <c r="AB105" s="106">
        <f t="shared" si="52"/>
        <v>7.6164670194003552</v>
      </c>
      <c r="AC105" s="106">
        <f t="shared" si="53"/>
        <v>7.7705156993992803</v>
      </c>
      <c r="AD105" s="106">
        <f t="shared" si="54"/>
        <v>7.824362054008196</v>
      </c>
      <c r="AE105" s="106">
        <f t="shared" si="55"/>
        <v>7.7958501587301985</v>
      </c>
      <c r="AF105" s="106">
        <f t="shared" si="56"/>
        <v>6.7340901134211837</v>
      </c>
      <c r="AG105" s="106">
        <f t="shared" si="57"/>
        <v>7.1855585334464802</v>
      </c>
      <c r="AH105" s="106">
        <f t="shared" si="58"/>
        <v>7.4978391472627557</v>
      </c>
      <c r="AI105" s="106">
        <f t="shared" si="59"/>
        <v>7.7530823158132023</v>
      </c>
      <c r="BC105" s="10">
        <v>13</v>
      </c>
      <c r="BD105" s="59">
        <v>84</v>
      </c>
      <c r="BE105" s="7" t="str">
        <f t="shared" si="62"/>
        <v>---------</v>
      </c>
      <c r="BF105" s="277">
        <v>16.8</v>
      </c>
      <c r="BG105" s="12" t="s">
        <v>373</v>
      </c>
      <c r="BH105" s="7" t="str">
        <f t="shared" si="63"/>
        <v>---------</v>
      </c>
      <c r="BI105" s="273">
        <v>2.1800000000000201</v>
      </c>
      <c r="BJ105" s="59">
        <v>84</v>
      </c>
      <c r="BK105" s="168" t="str">
        <f t="shared" si="64"/>
        <v>---------</v>
      </c>
      <c r="BL105" s="182">
        <v>5.6800000000000003E-2</v>
      </c>
      <c r="BM105" s="185">
        <v>84</v>
      </c>
      <c r="BN105" s="182">
        <f t="shared" si="65"/>
        <v>5.6800000000000003E-2</v>
      </c>
      <c r="BS105" s="24"/>
    </row>
    <row r="106" spans="20:75">
      <c r="T106" s="106">
        <f t="shared" si="44"/>
        <v>6.7907174542023423</v>
      </c>
      <c r="U106" s="106">
        <f t="shared" si="45"/>
        <v>6.892519490124343</v>
      </c>
      <c r="V106" s="106">
        <f t="shared" si="46"/>
        <v>6.8054812345679148</v>
      </c>
      <c r="W106" s="106">
        <f t="shared" si="47"/>
        <v>7.2288343391606507</v>
      </c>
      <c r="X106" s="106">
        <f t="shared" si="48"/>
        <v>7.3114838702073346</v>
      </c>
      <c r="Y106" s="106">
        <f t="shared" si="49"/>
        <v>7.2327758024691802</v>
      </c>
      <c r="Z106" s="106">
        <f t="shared" si="50"/>
        <v>7.5365550497813221</v>
      </c>
      <c r="AA106" s="106">
        <f t="shared" si="51"/>
        <v>7.6024015134818148</v>
      </c>
      <c r="AB106" s="106">
        <f t="shared" si="52"/>
        <v>7.5290424691358053</v>
      </c>
      <c r="AC106" s="106">
        <f t="shared" si="53"/>
        <v>7.6748539709588721</v>
      </c>
      <c r="AD106" s="106">
        <f t="shared" si="54"/>
        <v>7.7292655991043251</v>
      </c>
      <c r="AE106" s="106">
        <f t="shared" si="55"/>
        <v>7.7039644444444839</v>
      </c>
      <c r="AF106" s="106">
        <f t="shared" si="56"/>
        <v>6.674923851233272</v>
      </c>
      <c r="AG106" s="106">
        <f t="shared" si="57"/>
        <v>7.1147137008619481</v>
      </c>
      <c r="AH106" s="106">
        <f t="shared" si="58"/>
        <v>7.4190039026167911</v>
      </c>
      <c r="AI106" s="106">
        <f t="shared" si="59"/>
        <v>7.6660127124547222</v>
      </c>
      <c r="BC106" s="10">
        <v>12</v>
      </c>
      <c r="BD106" s="59">
        <v>85</v>
      </c>
      <c r="BE106" s="7" t="str">
        <f t="shared" si="62"/>
        <v>---------</v>
      </c>
      <c r="BF106" s="277">
        <v>16.7</v>
      </c>
      <c r="BG106" s="12" t="s">
        <v>374</v>
      </c>
      <c r="BH106" s="7" t="str">
        <f t="shared" si="63"/>
        <v>---------</v>
      </c>
      <c r="BI106" s="273">
        <v>2.1700000000000199</v>
      </c>
      <c r="BJ106" s="59">
        <v>85</v>
      </c>
      <c r="BK106" s="168" t="str">
        <f t="shared" si="64"/>
        <v>---------</v>
      </c>
      <c r="BL106" s="182">
        <v>5.67E-2</v>
      </c>
      <c r="BM106" s="185">
        <v>85</v>
      </c>
      <c r="BN106" s="182">
        <f t="shared" si="65"/>
        <v>5.67E-2</v>
      </c>
      <c r="BS106" s="24"/>
    </row>
    <row r="107" spans="20:75">
      <c r="T107" s="106">
        <f t="shared" si="44"/>
        <v>6.7085996404074262</v>
      </c>
      <c r="U107" s="106">
        <f t="shared" si="45"/>
        <v>6.8122270187277918</v>
      </c>
      <c r="V107" s="106">
        <f t="shared" si="46"/>
        <v>6.7333857142857276</v>
      </c>
      <c r="W107" s="106">
        <f t="shared" si="47"/>
        <v>7.1401519221683367</v>
      </c>
      <c r="X107" s="106">
        <f t="shared" si="48"/>
        <v>7.2237211589166535</v>
      </c>
      <c r="Y107" s="106">
        <f t="shared" si="49"/>
        <v>7.151594285714328</v>
      </c>
      <c r="Z107" s="106">
        <f t="shared" si="50"/>
        <v>7.442676781818629</v>
      </c>
      <c r="AA107" s="106">
        <f t="shared" si="51"/>
        <v>7.5092084766933009</v>
      </c>
      <c r="AB107" s="106">
        <f t="shared" si="52"/>
        <v>7.4414514285714306</v>
      </c>
      <c r="AC107" s="106">
        <f t="shared" si="53"/>
        <v>7.5791817241146786</v>
      </c>
      <c r="AD107" s="106">
        <f t="shared" si="54"/>
        <v>7.6341368582382811</v>
      </c>
      <c r="AE107" s="106">
        <f t="shared" si="55"/>
        <v>7.611977142857179</v>
      </c>
      <c r="AF107" s="106">
        <f t="shared" si="56"/>
        <v>6.6151237576226318</v>
      </c>
      <c r="AG107" s="106">
        <f t="shared" si="57"/>
        <v>7.0434039759108398</v>
      </c>
      <c r="AH107" s="106">
        <f t="shared" si="58"/>
        <v>7.3398158563886255</v>
      </c>
      <c r="AI107" s="106">
        <f t="shared" si="59"/>
        <v>7.5787375697855257</v>
      </c>
      <c r="BC107" s="10">
        <v>11</v>
      </c>
      <c r="BD107" s="59">
        <v>86</v>
      </c>
      <c r="BE107" s="7" t="str">
        <f t="shared" si="62"/>
        <v>---------</v>
      </c>
      <c r="BF107" s="277">
        <v>16.600000000000001</v>
      </c>
      <c r="BG107" s="12" t="s">
        <v>375</v>
      </c>
      <c r="BH107" s="7" t="str">
        <f t="shared" si="63"/>
        <v>---------</v>
      </c>
      <c r="BI107" s="273">
        <v>2.1600000000000201</v>
      </c>
      <c r="BJ107" s="59">
        <v>86</v>
      </c>
      <c r="BK107" s="168" t="str">
        <f t="shared" si="64"/>
        <v>---------</v>
      </c>
      <c r="BL107" s="182">
        <v>5.6599999999999998E-2</v>
      </c>
      <c r="BM107" s="185">
        <v>86</v>
      </c>
      <c r="BN107" s="182">
        <f t="shared" si="65"/>
        <v>5.6599999999999998E-2</v>
      </c>
      <c r="BS107" s="24"/>
    </row>
    <row r="108" spans="20:75">
      <c r="T108" s="106">
        <f t="shared" si="44"/>
        <v>6.626398531821728</v>
      </c>
      <c r="U108" s="106">
        <f t="shared" si="45"/>
        <v>6.7317739152521021</v>
      </c>
      <c r="V108" s="106">
        <f t="shared" si="46"/>
        <v>6.660940282186961</v>
      </c>
      <c r="W108" s="106">
        <f t="shared" si="47"/>
        <v>7.0514174839503987</v>
      </c>
      <c r="X108" s="106">
        <f t="shared" si="48"/>
        <v>7.1358639079103341</v>
      </c>
      <c r="Y108" s="106">
        <f t="shared" si="49"/>
        <v>7.0701700881834624</v>
      </c>
      <c r="Z108" s="106">
        <f t="shared" si="50"/>
        <v>7.3487870981294758</v>
      </c>
      <c r="AA108" s="106">
        <f t="shared" si="51"/>
        <v>7.4159731571265501</v>
      </c>
      <c r="AB108" s="106">
        <f t="shared" si="52"/>
        <v>7.3536938977072337</v>
      </c>
      <c r="AC108" s="106">
        <f t="shared" si="53"/>
        <v>7.4834989588666989</v>
      </c>
      <c r="AD108" s="106">
        <f t="shared" si="54"/>
        <v>7.5389758314100641</v>
      </c>
      <c r="AE108" s="106">
        <f t="shared" si="55"/>
        <v>7.5198882539682899</v>
      </c>
      <c r="AF108" s="106">
        <f t="shared" si="56"/>
        <v>6.5546898325892489</v>
      </c>
      <c r="AG108" s="106">
        <f t="shared" si="57"/>
        <v>6.9716293585931552</v>
      </c>
      <c r="AH108" s="106">
        <f t="shared" si="58"/>
        <v>7.260275008578259</v>
      </c>
      <c r="AI108" s="106">
        <f t="shared" si="59"/>
        <v>7.491256887805628</v>
      </c>
      <c r="BC108" s="10">
        <v>10</v>
      </c>
      <c r="BD108" s="59">
        <v>87</v>
      </c>
      <c r="BE108" s="7" t="str">
        <f t="shared" si="62"/>
        <v>---------</v>
      </c>
      <c r="BF108" s="277">
        <v>16.5</v>
      </c>
      <c r="BG108" s="12" t="s">
        <v>376</v>
      </c>
      <c r="BH108" s="7" t="str">
        <f t="shared" si="63"/>
        <v>---------</v>
      </c>
      <c r="BI108" s="273">
        <v>2.1500000000000199</v>
      </c>
      <c r="BJ108" s="59">
        <v>87</v>
      </c>
      <c r="BK108" s="168" t="str">
        <f t="shared" si="64"/>
        <v>---------</v>
      </c>
      <c r="BL108" s="182">
        <v>5.6500000000000002E-2</v>
      </c>
      <c r="BM108" s="185">
        <v>87</v>
      </c>
      <c r="BN108" s="182">
        <f t="shared" si="65"/>
        <v>5.6500000000000002E-2</v>
      </c>
      <c r="BS108" s="24"/>
    </row>
    <row r="109" spans="20:75">
      <c r="T109" s="106">
        <f t="shared" si="44"/>
        <v>6.5441141284452486</v>
      </c>
      <c r="U109" s="106">
        <f t="shared" si="45"/>
        <v>6.6511601796972695</v>
      </c>
      <c r="V109" s="106">
        <f t="shared" si="46"/>
        <v>6.5881449382716166</v>
      </c>
      <c r="W109" s="106">
        <f t="shared" si="47"/>
        <v>6.962631024506833</v>
      </c>
      <c r="X109" s="106">
        <f t="shared" si="48"/>
        <v>7.0479121171883747</v>
      </c>
      <c r="Y109" s="106">
        <f t="shared" si="49"/>
        <v>6.9885032098765816</v>
      </c>
      <c r="Z109" s="106">
        <f t="shared" si="50"/>
        <v>7.2548859987138625</v>
      </c>
      <c r="AA109" s="106">
        <f t="shared" si="51"/>
        <v>7.3226955547815571</v>
      </c>
      <c r="AB109" s="106">
        <f t="shared" si="52"/>
        <v>7.265769876543211</v>
      </c>
      <c r="AC109" s="106">
        <f t="shared" si="53"/>
        <v>7.3878056752149339</v>
      </c>
      <c r="AD109" s="106">
        <f t="shared" si="54"/>
        <v>7.4437825186196731</v>
      </c>
      <c r="AE109" s="106">
        <f t="shared" si="55"/>
        <v>7.4276977777778113</v>
      </c>
      <c r="AF109" s="106">
        <f t="shared" si="56"/>
        <v>6.4936220761331374</v>
      </c>
      <c r="AG109" s="106">
        <f t="shared" si="57"/>
        <v>6.8993898489088918</v>
      </c>
      <c r="AH109" s="106">
        <f t="shared" si="58"/>
        <v>7.1803813591856915</v>
      </c>
      <c r="AI109" s="106">
        <f t="shared" si="59"/>
        <v>7.4035706665150185</v>
      </c>
      <c r="BC109" s="10">
        <v>9</v>
      </c>
      <c r="BD109" s="59">
        <v>88</v>
      </c>
      <c r="BE109" s="7" t="str">
        <f t="shared" si="62"/>
        <v>---------</v>
      </c>
      <c r="BF109" s="277">
        <v>16.399999999999999</v>
      </c>
      <c r="BG109" s="12" t="s">
        <v>377</v>
      </c>
      <c r="BH109" s="7" t="str">
        <f t="shared" si="63"/>
        <v>---------</v>
      </c>
      <c r="BI109" s="273">
        <v>2.1400000000000201</v>
      </c>
      <c r="BJ109" s="59">
        <v>88</v>
      </c>
      <c r="BK109" s="168" t="str">
        <f t="shared" si="64"/>
        <v>---------</v>
      </c>
      <c r="BL109" s="182">
        <v>5.6399999999999999E-2</v>
      </c>
      <c r="BM109" s="185">
        <v>88</v>
      </c>
      <c r="BN109" s="182">
        <f t="shared" si="65"/>
        <v>5.6399999999999999E-2</v>
      </c>
    </row>
    <row r="110" spans="20:75">
      <c r="T110" s="106">
        <f t="shared" si="44"/>
        <v>6.4617464302779872</v>
      </c>
      <c r="U110" s="106">
        <f t="shared" si="45"/>
        <v>6.5703858120632974</v>
      </c>
      <c r="V110" s="106">
        <f t="shared" si="46"/>
        <v>6.5149996825396936</v>
      </c>
      <c r="W110" s="106">
        <f t="shared" si="47"/>
        <v>6.8737925438376415</v>
      </c>
      <c r="X110" s="106">
        <f t="shared" si="48"/>
        <v>6.959865786750778</v>
      </c>
      <c r="Y110" s="106">
        <f t="shared" si="49"/>
        <v>6.9065936507936883</v>
      </c>
      <c r="Z110" s="106">
        <f t="shared" si="50"/>
        <v>7.16097348357179</v>
      </c>
      <c r="AA110" s="106">
        <f t="shared" si="51"/>
        <v>7.2293756696583271</v>
      </c>
      <c r="AB110" s="106">
        <f t="shared" si="52"/>
        <v>7.1776793650793671</v>
      </c>
      <c r="AC110" s="106">
        <f t="shared" si="53"/>
        <v>7.2921018731593827</v>
      </c>
      <c r="AD110" s="106">
        <f t="shared" si="54"/>
        <v>7.3485569198671099</v>
      </c>
      <c r="AE110" s="106">
        <f t="shared" si="55"/>
        <v>7.3354057142857467</v>
      </c>
      <c r="AF110" s="106">
        <f t="shared" si="56"/>
        <v>6.4319204882542884</v>
      </c>
      <c r="AG110" s="106">
        <f t="shared" si="57"/>
        <v>6.826685446858054</v>
      </c>
      <c r="AH110" s="106">
        <f t="shared" si="58"/>
        <v>7.1001349082109275</v>
      </c>
      <c r="AI110" s="106">
        <f t="shared" si="59"/>
        <v>7.3156789059137015</v>
      </c>
      <c r="BC110" s="10">
        <v>8</v>
      </c>
      <c r="BD110" s="59">
        <v>89</v>
      </c>
      <c r="BE110" s="7" t="str">
        <f t="shared" si="62"/>
        <v>---------</v>
      </c>
      <c r="BF110" s="277">
        <v>16.3</v>
      </c>
      <c r="BG110" s="12" t="s">
        <v>378</v>
      </c>
      <c r="BH110" s="7" t="str">
        <f t="shared" si="63"/>
        <v>---------</v>
      </c>
      <c r="BI110" s="273">
        <v>2.1300000000000199</v>
      </c>
      <c r="BJ110" s="59">
        <v>89</v>
      </c>
      <c r="BK110" s="168" t="str">
        <f t="shared" si="64"/>
        <v>---------</v>
      </c>
      <c r="BL110" s="182">
        <v>5.6300000000000003E-2</v>
      </c>
      <c r="BM110" s="185">
        <v>89</v>
      </c>
      <c r="BN110" s="182">
        <f t="shared" si="65"/>
        <v>5.6300000000000003E-2</v>
      </c>
    </row>
    <row r="111" spans="20:75">
      <c r="T111" s="106">
        <f t="shared" si="44"/>
        <v>6.3792954373199455</v>
      </c>
      <c r="U111" s="106">
        <f t="shared" si="45"/>
        <v>6.4894508123501842</v>
      </c>
      <c r="V111" s="106">
        <f t="shared" si="46"/>
        <v>6.4415045149911929</v>
      </c>
      <c r="W111" s="106">
        <f t="shared" si="47"/>
        <v>6.7849020419428241</v>
      </c>
      <c r="X111" s="106">
        <f t="shared" si="48"/>
        <v>6.8717249165975414</v>
      </c>
      <c r="Y111" s="106">
        <f t="shared" si="49"/>
        <v>6.8244414109347806</v>
      </c>
      <c r="Z111" s="106">
        <f t="shared" si="50"/>
        <v>7.0670495527032564</v>
      </c>
      <c r="AA111" s="106">
        <f t="shared" si="51"/>
        <v>7.1360135017568576</v>
      </c>
      <c r="AB111" s="106">
        <f t="shared" si="52"/>
        <v>7.0894223633156983</v>
      </c>
      <c r="AC111" s="106">
        <f t="shared" si="53"/>
        <v>7.1963875527000463</v>
      </c>
      <c r="AD111" s="106">
        <f t="shared" si="54"/>
        <v>7.2532990351523736</v>
      </c>
      <c r="AE111" s="106">
        <f t="shared" si="55"/>
        <v>7.2430120634920945</v>
      </c>
      <c r="AF111" s="106">
        <f t="shared" si="56"/>
        <v>6.3695850689527056</v>
      </c>
      <c r="AG111" s="106">
        <f t="shared" si="57"/>
        <v>6.7535161524406391</v>
      </c>
      <c r="AH111" s="106">
        <f t="shared" si="58"/>
        <v>7.019535655653959</v>
      </c>
      <c r="AI111" s="106">
        <f t="shared" si="59"/>
        <v>7.2275816060016762</v>
      </c>
      <c r="BC111" s="10">
        <v>7</v>
      </c>
      <c r="BD111" s="59">
        <v>90</v>
      </c>
      <c r="BE111" s="7" t="str">
        <f t="shared" si="62"/>
        <v>---------</v>
      </c>
      <c r="BF111" s="277">
        <v>16.2</v>
      </c>
      <c r="BG111" s="12" t="s">
        <v>379</v>
      </c>
      <c r="BH111" s="7" t="str">
        <f t="shared" si="63"/>
        <v>---------</v>
      </c>
      <c r="BI111" s="273">
        <v>2.1200000000000201</v>
      </c>
      <c r="BJ111" s="59">
        <v>90</v>
      </c>
      <c r="BK111" s="168" t="str">
        <f t="shared" si="64"/>
        <v>---------</v>
      </c>
      <c r="BL111" s="182">
        <v>5.62E-2</v>
      </c>
      <c r="BM111" s="185">
        <v>90</v>
      </c>
      <c r="BN111" s="182">
        <f t="shared" si="65"/>
        <v>5.62E-2</v>
      </c>
    </row>
    <row r="112" spans="20:75">
      <c r="T112" s="106">
        <f t="shared" si="44"/>
        <v>6.2967611495711209</v>
      </c>
      <c r="U112" s="106">
        <f t="shared" si="45"/>
        <v>6.4083551805579289</v>
      </c>
      <c r="V112" s="106">
        <f t="shared" si="46"/>
        <v>6.3676594356261127</v>
      </c>
      <c r="W112" s="106">
        <f t="shared" si="47"/>
        <v>6.6959595188223791</v>
      </c>
      <c r="X112" s="106">
        <f t="shared" si="48"/>
        <v>6.7834895067286665</v>
      </c>
      <c r="Y112" s="106">
        <f t="shared" si="49"/>
        <v>6.7420464902998578</v>
      </c>
      <c r="Z112" s="106">
        <f t="shared" si="50"/>
        <v>6.9731142061082618</v>
      </c>
      <c r="AA112" s="106">
        <f t="shared" si="51"/>
        <v>7.0426090510771475</v>
      </c>
      <c r="AB112" s="106">
        <f t="shared" si="52"/>
        <v>7.0009988712522055</v>
      </c>
      <c r="AC112" s="106">
        <f t="shared" si="53"/>
        <v>7.1006627138369245</v>
      </c>
      <c r="AD112" s="106">
        <f t="shared" si="54"/>
        <v>7.1580088644754625</v>
      </c>
      <c r="AE112" s="106">
        <f t="shared" si="55"/>
        <v>7.1505168253968554</v>
      </c>
      <c r="AF112" s="106">
        <f t="shared" si="56"/>
        <v>6.3066158182283889</v>
      </c>
      <c r="AG112" s="106">
        <f t="shared" si="57"/>
        <v>6.6798819656566444</v>
      </c>
      <c r="AH112" s="106">
        <f t="shared" si="58"/>
        <v>6.938583601514793</v>
      </c>
      <c r="AI112" s="106">
        <f t="shared" si="59"/>
        <v>7.1392787667789452</v>
      </c>
      <c r="BC112" s="10">
        <v>6</v>
      </c>
      <c r="BD112" s="59">
        <v>91</v>
      </c>
      <c r="BE112" s="7" t="str">
        <f t="shared" si="62"/>
        <v>---------</v>
      </c>
      <c r="BF112" s="277">
        <v>16.100000000000001</v>
      </c>
      <c r="BG112" s="12" t="s">
        <v>380</v>
      </c>
      <c r="BH112" s="7" t="str">
        <f t="shared" si="63"/>
        <v>---------</v>
      </c>
      <c r="BI112" s="273">
        <v>2.1100000000000199</v>
      </c>
      <c r="BJ112" s="59">
        <v>91</v>
      </c>
      <c r="BK112" s="168" t="str">
        <f t="shared" si="64"/>
        <v>---------</v>
      </c>
      <c r="BL112" s="182">
        <v>5.6099999999999997E-2</v>
      </c>
      <c r="BM112" s="185">
        <v>91</v>
      </c>
      <c r="BN112" s="182">
        <f t="shared" si="65"/>
        <v>5.6099999999999997E-2</v>
      </c>
    </row>
    <row r="113" spans="20:66">
      <c r="T113" s="106">
        <f t="shared" si="44"/>
        <v>6.2141435670315159</v>
      </c>
      <c r="U113" s="106">
        <f t="shared" si="45"/>
        <v>6.3270989166865341</v>
      </c>
      <c r="V113" s="106">
        <f t="shared" si="46"/>
        <v>6.2934644444444539</v>
      </c>
      <c r="W113" s="106">
        <f t="shared" si="47"/>
        <v>6.6069649744763099</v>
      </c>
      <c r="X113" s="106">
        <f t="shared" si="48"/>
        <v>6.6951595571441525</v>
      </c>
      <c r="Y113" s="106">
        <f t="shared" si="49"/>
        <v>6.6594088888889216</v>
      </c>
      <c r="Z113" s="106">
        <f t="shared" si="50"/>
        <v>6.879167443786808</v>
      </c>
      <c r="AA113" s="106">
        <f t="shared" si="51"/>
        <v>6.9491623176191988</v>
      </c>
      <c r="AB113" s="106">
        <f t="shared" si="52"/>
        <v>6.9124088888888906</v>
      </c>
      <c r="AC113" s="106">
        <f t="shared" si="53"/>
        <v>7.0049273565700165</v>
      </c>
      <c r="AD113" s="106">
        <f t="shared" si="54"/>
        <v>7.06268640783638</v>
      </c>
      <c r="AE113" s="106">
        <f t="shared" si="55"/>
        <v>7.0579200000000277</v>
      </c>
      <c r="AF113" s="106">
        <f t="shared" si="56"/>
        <v>6.243012736081333</v>
      </c>
      <c r="AG113" s="106">
        <f t="shared" si="57"/>
        <v>6.6057828865060753</v>
      </c>
      <c r="AH113" s="106">
        <f t="shared" si="58"/>
        <v>6.8572787457934279</v>
      </c>
      <c r="AI113" s="106">
        <f t="shared" si="59"/>
        <v>7.0507703882454997</v>
      </c>
      <c r="BC113" s="10">
        <v>5</v>
      </c>
      <c r="BD113" s="59">
        <v>92</v>
      </c>
      <c r="BE113" s="7" t="str">
        <f t="shared" si="62"/>
        <v>---------</v>
      </c>
      <c r="BF113" s="277">
        <v>16</v>
      </c>
      <c r="BG113" s="12" t="s">
        <v>381</v>
      </c>
      <c r="BH113" s="7" t="str">
        <f t="shared" si="63"/>
        <v>---------</v>
      </c>
      <c r="BI113" s="273">
        <v>2.1000000000000201</v>
      </c>
      <c r="BJ113" s="59">
        <v>92</v>
      </c>
      <c r="BK113" s="168" t="str">
        <f t="shared" si="64"/>
        <v>---------</v>
      </c>
      <c r="BL113" s="182">
        <v>5.6000000000000001E-2</v>
      </c>
      <c r="BM113" s="185">
        <v>92</v>
      </c>
      <c r="BN113" s="182">
        <f t="shared" si="65"/>
        <v>5.6000000000000001E-2</v>
      </c>
    </row>
    <row r="114" spans="20:66">
      <c r="T114" s="106">
        <f t="shared" si="44"/>
        <v>6.131442689701128</v>
      </c>
      <c r="U114" s="106">
        <f t="shared" si="45"/>
        <v>6.2456820207359964</v>
      </c>
      <c r="V114" s="106">
        <f t="shared" si="46"/>
        <v>6.2189195414462173</v>
      </c>
      <c r="W114" s="106">
        <f t="shared" si="47"/>
        <v>6.5179184089046123</v>
      </c>
      <c r="X114" s="106">
        <f t="shared" si="48"/>
        <v>6.6067350678439993</v>
      </c>
      <c r="Y114" s="106">
        <f t="shared" si="49"/>
        <v>6.576528606701971</v>
      </c>
      <c r="Z114" s="106">
        <f t="shared" si="50"/>
        <v>6.785209265738894</v>
      </c>
      <c r="AA114" s="106">
        <f t="shared" si="51"/>
        <v>6.8556733013830096</v>
      </c>
      <c r="AB114" s="106">
        <f t="shared" si="52"/>
        <v>6.8236524162257499</v>
      </c>
      <c r="AC114" s="106">
        <f t="shared" si="53"/>
        <v>6.9091814808993242</v>
      </c>
      <c r="AD114" s="106">
        <f t="shared" si="54"/>
        <v>6.9673316652351227</v>
      </c>
      <c r="AE114" s="106">
        <f t="shared" si="55"/>
        <v>6.9652215873016141</v>
      </c>
      <c r="AF114" s="106">
        <f t="shared" si="56"/>
        <v>6.1787758225115486</v>
      </c>
      <c r="AG114" s="106">
        <f t="shared" si="57"/>
        <v>6.5312189149889281</v>
      </c>
      <c r="AH114" s="106">
        <f t="shared" si="58"/>
        <v>6.77562108848986</v>
      </c>
      <c r="AI114" s="106">
        <f t="shared" si="59"/>
        <v>6.9620564704013512</v>
      </c>
      <c r="BC114" s="10">
        <v>4</v>
      </c>
      <c r="BD114" s="59">
        <v>93</v>
      </c>
      <c r="BE114" s="7" t="str">
        <f t="shared" si="62"/>
        <v>---------</v>
      </c>
      <c r="BF114" s="277">
        <v>15.9</v>
      </c>
      <c r="BG114" s="12" t="s">
        <v>382</v>
      </c>
      <c r="BH114" s="7" t="str">
        <f t="shared" si="63"/>
        <v>---------</v>
      </c>
      <c r="BI114" s="273">
        <v>2.0900000000000198</v>
      </c>
      <c r="BJ114" s="59">
        <v>93</v>
      </c>
      <c r="BK114" s="168" t="str">
        <f t="shared" si="64"/>
        <v>---------</v>
      </c>
      <c r="BL114" s="182">
        <v>5.5899999999999998E-2</v>
      </c>
      <c r="BM114" s="185">
        <v>93</v>
      </c>
      <c r="BN114" s="182">
        <f t="shared" si="65"/>
        <v>5.5899999999999998E-2</v>
      </c>
    </row>
    <row r="115" spans="20:66">
      <c r="T115" s="106">
        <f t="shared" si="44"/>
        <v>6.0486585175799599</v>
      </c>
      <c r="U115" s="106">
        <f t="shared" si="45"/>
        <v>6.1641044927063184</v>
      </c>
      <c r="V115" s="106">
        <f t="shared" si="46"/>
        <v>6.1440247266314021</v>
      </c>
      <c r="W115" s="106">
        <f t="shared" si="47"/>
        <v>6.4288198221072896</v>
      </c>
      <c r="X115" s="106">
        <f t="shared" si="48"/>
        <v>6.5182160388282089</v>
      </c>
      <c r="Y115" s="106">
        <f t="shared" si="49"/>
        <v>6.4934056437390071</v>
      </c>
      <c r="Z115" s="106">
        <f t="shared" si="50"/>
        <v>6.69123967196452</v>
      </c>
      <c r="AA115" s="106">
        <f t="shared" si="51"/>
        <v>6.7621420023685825</v>
      </c>
      <c r="AB115" s="106">
        <f t="shared" si="52"/>
        <v>6.7347294532627879</v>
      </c>
      <c r="AC115" s="106">
        <f t="shared" si="53"/>
        <v>6.8134250868248447</v>
      </c>
      <c r="AD115" s="106">
        <f t="shared" si="54"/>
        <v>6.8719446366716932</v>
      </c>
      <c r="AE115" s="106">
        <f t="shared" si="55"/>
        <v>6.8724215873016128</v>
      </c>
      <c r="AF115" s="106">
        <f t="shared" si="56"/>
        <v>6.1139050775190276</v>
      </c>
      <c r="AG115" s="106">
        <f t="shared" si="57"/>
        <v>6.4561900511052048</v>
      </c>
      <c r="AH115" s="106">
        <f t="shared" si="58"/>
        <v>6.6936106296040965</v>
      </c>
      <c r="AI115" s="106">
        <f t="shared" si="59"/>
        <v>6.8731370132464917</v>
      </c>
      <c r="BC115" s="10">
        <v>3</v>
      </c>
      <c r="BD115" s="59">
        <v>94</v>
      </c>
      <c r="BE115" s="7" t="str">
        <f t="shared" si="62"/>
        <v>---------</v>
      </c>
      <c r="BF115" s="277">
        <v>15.8</v>
      </c>
      <c r="BG115" s="12" t="s">
        <v>383</v>
      </c>
      <c r="BH115" s="7" t="str">
        <f t="shared" si="63"/>
        <v>---------</v>
      </c>
      <c r="BI115" s="273">
        <v>2.0800000000000201</v>
      </c>
      <c r="BJ115" s="59">
        <v>94</v>
      </c>
      <c r="BK115" s="168" t="str">
        <f t="shared" si="64"/>
        <v>---------</v>
      </c>
      <c r="BL115" s="182">
        <v>5.5800000000000002E-2</v>
      </c>
      <c r="BM115" s="185">
        <v>94</v>
      </c>
      <c r="BN115" s="182">
        <f t="shared" si="65"/>
        <v>5.5800000000000002E-2</v>
      </c>
    </row>
    <row r="116" spans="20:66">
      <c r="T116" s="106">
        <f t="shared" si="44"/>
        <v>5.9657910506680105</v>
      </c>
      <c r="U116" s="106">
        <f t="shared" si="45"/>
        <v>6.082366332597501</v>
      </c>
      <c r="V116" s="106">
        <f t="shared" si="46"/>
        <v>6.0687800000000092</v>
      </c>
      <c r="W116" s="106">
        <f t="shared" si="47"/>
        <v>6.3396692140843411</v>
      </c>
      <c r="X116" s="106">
        <f t="shared" si="48"/>
        <v>6.4296024700967784</v>
      </c>
      <c r="Y116" s="106">
        <f t="shared" si="49"/>
        <v>6.4100400000000288</v>
      </c>
      <c r="Z116" s="106">
        <f t="shared" si="50"/>
        <v>6.5972586624636858</v>
      </c>
      <c r="AA116" s="106">
        <f t="shared" si="51"/>
        <v>6.6685684205759159</v>
      </c>
      <c r="AB116" s="106">
        <f t="shared" si="52"/>
        <v>6.645640000000002</v>
      </c>
      <c r="AC116" s="106">
        <f t="shared" si="53"/>
        <v>6.7176581743465809</v>
      </c>
      <c r="AD116" s="106">
        <f t="shared" si="54"/>
        <v>6.7765253221460906</v>
      </c>
      <c r="AE116" s="106">
        <f t="shared" si="55"/>
        <v>6.7795200000000246</v>
      </c>
      <c r="AF116" s="106">
        <f t="shared" si="56"/>
        <v>6.0484005011037709</v>
      </c>
      <c r="AG116" s="106">
        <f t="shared" si="57"/>
        <v>6.3806962948549044</v>
      </c>
      <c r="AH116" s="106">
        <f t="shared" si="58"/>
        <v>6.6112473691361311</v>
      </c>
      <c r="AI116" s="106">
        <f t="shared" si="59"/>
        <v>6.7840120167809257</v>
      </c>
      <c r="BC116" s="10">
        <v>2</v>
      </c>
      <c r="BD116" s="59">
        <v>95</v>
      </c>
      <c r="BE116" s="7" t="str">
        <f t="shared" si="62"/>
        <v>---------</v>
      </c>
      <c r="BF116" s="277">
        <v>15.7</v>
      </c>
      <c r="BG116" s="12" t="s">
        <v>384</v>
      </c>
      <c r="BH116" s="7" t="str">
        <f t="shared" si="63"/>
        <v>---------</v>
      </c>
      <c r="BI116" s="273">
        <v>2.0700000000000198</v>
      </c>
      <c r="BJ116" s="59">
        <v>95</v>
      </c>
      <c r="BK116" s="168" t="str">
        <f t="shared" si="64"/>
        <v>---------</v>
      </c>
      <c r="BL116" s="182">
        <v>5.57E-2</v>
      </c>
      <c r="BM116" s="185">
        <v>95</v>
      </c>
      <c r="BN116" s="182">
        <f t="shared" si="65"/>
        <v>5.57E-2</v>
      </c>
    </row>
    <row r="117" spans="20:66">
      <c r="T117" s="106">
        <f t="shared" ref="T117:T148" si="69">$AG$16*$BQ55^2+$AG$17*$BQ55+$AG$18+$BB$20</f>
        <v>5.8828402889652782</v>
      </c>
      <c r="U117" s="106">
        <f t="shared" ref="U117:U148" si="70">$AG$19*$BQ55^2+$AG$20*$BQ55+$AG$21+$BB$20</f>
        <v>6.0004675404095407</v>
      </c>
      <c r="V117" s="106">
        <f t="shared" ref="V117:V148" si="71">$AG$22*$BQ55^2+$AG$23*$BQ55+$AG$24+$BB$20</f>
        <v>5.9931853615520359</v>
      </c>
      <c r="W117" s="106">
        <f t="shared" ref="W117:W148" si="72">$AH$16*$BQ55^2+$AH$17*$BQ55+$AH$18+$BB$20</f>
        <v>6.250466584835765</v>
      </c>
      <c r="X117" s="106">
        <f t="shared" ref="X117:X148" si="73">$AH$19*$BQ55^2+$AH$20*$BQ55+$AH$21+$BB$20</f>
        <v>6.3408943616497089</v>
      </c>
      <c r="Y117" s="106">
        <f t="shared" ref="Y117:Y148" si="74">$AH$22*$BQ55^2+$AH$23*$BQ55+$AH$24+$BB$20</f>
        <v>6.3264316754850354</v>
      </c>
      <c r="Z117" s="106">
        <f t="shared" ref="Z117:Z148" si="75">$AI$16*$BQ55^2+$AI$17*$BQ55+$AI$18+$BB$20</f>
        <v>6.5032662372363905</v>
      </c>
      <c r="AA117" s="106">
        <f t="shared" ref="AA117:AA148" si="76">$AI$19*$BQ55^2+$AI$20*$BQ55+$AI$21+$BB$20</f>
        <v>6.5749525560050097</v>
      </c>
      <c r="AB117" s="106">
        <f t="shared" ref="AB117:AB148" si="77">$AI$22*$BQ55^2+$AI$23*$BQ55+$AI$24+$BB$20</f>
        <v>6.5563840564373903</v>
      </c>
      <c r="AC117" s="106">
        <f t="shared" ref="AC117:AC148" si="78">$AJ$16*$BQ55^2+$AJ$17*$BQ55+$AJ$18+$BB$20</f>
        <v>6.6218807434645308</v>
      </c>
      <c r="AD117" s="106">
        <f t="shared" ref="AD117:AD148" si="79">$AJ$19*$BQ55^2+$AJ$20*$BQ55+$AJ$21+$BB$20</f>
        <v>6.681073721658314</v>
      </c>
      <c r="AE117" s="106">
        <f t="shared" ref="AE117:AE148" si="80">$AJ$22*$BQ55^2+$AJ$23*$BQ55+$AJ$24+$BB$20</f>
        <v>6.6865168253968488</v>
      </c>
      <c r="AF117" s="106">
        <f t="shared" ref="AF117:AF148" si="81">IF(AF$84&lt;=0.04,U117+(AF$84-0.04)/0.008*(U117-T117),U117+(AF$84-0.04)/0.01*(V117-U117))</f>
        <v>5.9822620932657786</v>
      </c>
      <c r="AG117" s="106">
        <f t="shared" ref="AG117:AG148" si="82">IF(AG$84&lt;=0.04,X117+(AG$84-0.04)/0.008*(X117-W117),X117+(AG$84-0.04)/0.01*(Y117-X117))</f>
        <v>6.3047376462380251</v>
      </c>
      <c r="AH117" s="106">
        <f t="shared" ref="AH117:AH148" si="83">IF(AH$84&lt;=0.04,AA117+(AH$84-0.04)/0.008*(AA117-Z117),AA117+(AH$84-0.04)/0.01*(AB117-AA117))</f>
        <v>6.5285313070859612</v>
      </c>
      <c r="AI117" s="106">
        <f t="shared" ref="AI117:AI148" si="84">IF(AI$84&lt;=0.04,AD117+(AI$84-0.04)/0.008*(AD117-AC117),AD117+(AI$84-0.04)/0.01*(AE117-AD117))</f>
        <v>6.6946814810046504</v>
      </c>
      <c r="BC117" s="10">
        <v>1</v>
      </c>
      <c r="BD117" s="59">
        <v>96</v>
      </c>
      <c r="BE117" s="7" t="str">
        <f t="shared" si="62"/>
        <v>---------</v>
      </c>
      <c r="BF117" s="277">
        <v>15.6</v>
      </c>
      <c r="BG117" s="12" t="s">
        <v>385</v>
      </c>
      <c r="BH117" s="7" t="str">
        <f t="shared" si="63"/>
        <v>---------</v>
      </c>
      <c r="BI117" s="273">
        <v>2.06000000000002</v>
      </c>
      <c r="BJ117" s="59">
        <v>96</v>
      </c>
      <c r="BK117" s="168" t="str">
        <f t="shared" si="64"/>
        <v>---------</v>
      </c>
      <c r="BL117" s="182">
        <v>5.5599999999999997E-2</v>
      </c>
      <c r="BM117" s="185">
        <v>96</v>
      </c>
      <c r="BN117" s="182">
        <f t="shared" si="65"/>
        <v>5.5599999999999997E-2</v>
      </c>
    </row>
    <row r="118" spans="20:66">
      <c r="T118" s="106">
        <f t="shared" si="69"/>
        <v>5.7998062324717647</v>
      </c>
      <c r="U118" s="106">
        <f t="shared" si="70"/>
        <v>5.91840811614244</v>
      </c>
      <c r="V118" s="106">
        <f t="shared" si="71"/>
        <v>5.9172408112874866</v>
      </c>
      <c r="W118" s="106">
        <f t="shared" si="72"/>
        <v>6.1612119343615648</v>
      </c>
      <c r="X118" s="106">
        <f t="shared" si="73"/>
        <v>6.2520917134870011</v>
      </c>
      <c r="Y118" s="106">
        <f t="shared" si="74"/>
        <v>6.2425806701940294</v>
      </c>
      <c r="Z118" s="106">
        <f t="shared" si="75"/>
        <v>6.4092623962826361</v>
      </c>
      <c r="AA118" s="106">
        <f t="shared" si="76"/>
        <v>6.4812944086558648</v>
      </c>
      <c r="AB118" s="106">
        <f t="shared" si="77"/>
        <v>6.4669616225749573</v>
      </c>
      <c r="AC118" s="106">
        <f t="shared" si="78"/>
        <v>6.5260927941786955</v>
      </c>
      <c r="AD118" s="106">
        <f t="shared" si="79"/>
        <v>6.5855898352083644</v>
      </c>
      <c r="AE118" s="106">
        <f t="shared" si="80"/>
        <v>6.5934120634920861</v>
      </c>
      <c r="AF118" s="106">
        <f t="shared" si="81"/>
        <v>5.915489854005056</v>
      </c>
      <c r="AG118" s="106">
        <f t="shared" si="82"/>
        <v>6.2283141052545723</v>
      </c>
      <c r="AH118" s="106">
        <f t="shared" si="83"/>
        <v>6.4454624434535965</v>
      </c>
      <c r="AI118" s="106">
        <f t="shared" si="84"/>
        <v>6.6051454059176686</v>
      </c>
      <c r="BF118" s="277">
        <v>15.5</v>
      </c>
      <c r="BG118" s="12" t="s">
        <v>386</v>
      </c>
      <c r="BH118" s="7" t="str">
        <f t="shared" si="63"/>
        <v>---------</v>
      </c>
      <c r="BI118" s="273">
        <v>2.0500000000000198</v>
      </c>
      <c r="BJ118" s="59">
        <v>97</v>
      </c>
      <c r="BK118" s="168" t="str">
        <f t="shared" si="64"/>
        <v>---------</v>
      </c>
      <c r="BL118" s="182">
        <v>5.5500000000000001E-2</v>
      </c>
      <c r="BM118" s="185">
        <v>97</v>
      </c>
      <c r="BN118" s="182">
        <f t="shared" si="65"/>
        <v>5.5500000000000001E-2</v>
      </c>
    </row>
    <row r="119" spans="20:66">
      <c r="T119" s="106">
        <f t="shared" si="69"/>
        <v>5.7166888811874683</v>
      </c>
      <c r="U119" s="106">
        <f t="shared" si="70"/>
        <v>5.8361880597961981</v>
      </c>
      <c r="V119" s="106">
        <f t="shared" si="71"/>
        <v>5.840946349206356</v>
      </c>
      <c r="W119" s="106">
        <f t="shared" si="72"/>
        <v>6.071905262661736</v>
      </c>
      <c r="X119" s="106">
        <f t="shared" si="73"/>
        <v>6.1631945256086542</v>
      </c>
      <c r="Y119" s="106">
        <f t="shared" si="74"/>
        <v>6.1584869841270082</v>
      </c>
      <c r="Z119" s="106">
        <f t="shared" si="75"/>
        <v>6.3152471396024206</v>
      </c>
      <c r="AA119" s="106">
        <f t="shared" si="76"/>
        <v>6.3875939785284785</v>
      </c>
      <c r="AB119" s="106">
        <f t="shared" si="77"/>
        <v>6.3773726984126986</v>
      </c>
      <c r="AC119" s="106">
        <f t="shared" si="78"/>
        <v>6.430294326489074</v>
      </c>
      <c r="AD119" s="106">
        <f t="shared" si="79"/>
        <v>6.4900736627962408</v>
      </c>
      <c r="AE119" s="106">
        <f t="shared" si="80"/>
        <v>6.5002057142857348</v>
      </c>
      <c r="AF119" s="106">
        <f t="shared" si="81"/>
        <v>5.8480837833215933</v>
      </c>
      <c r="AG119" s="106">
        <f t="shared" si="82"/>
        <v>6.1514256719045388</v>
      </c>
      <c r="AH119" s="106">
        <f t="shared" si="83"/>
        <v>6.3620407782390291</v>
      </c>
      <c r="AI119" s="106">
        <f t="shared" si="84"/>
        <v>6.5154037915199758</v>
      </c>
      <c r="BF119" s="277">
        <v>15.4</v>
      </c>
      <c r="BG119" s="12" t="s">
        <v>387</v>
      </c>
      <c r="BH119" s="7" t="str">
        <f t="shared" si="63"/>
        <v>---------</v>
      </c>
      <c r="BI119" s="273">
        <v>2.04000000000002</v>
      </c>
      <c r="BJ119" s="59">
        <v>98</v>
      </c>
      <c r="BK119" s="168" t="str">
        <f t="shared" si="64"/>
        <v>---------</v>
      </c>
      <c r="BL119" s="182">
        <v>5.5399999999999998E-2</v>
      </c>
      <c r="BM119" s="185">
        <v>98</v>
      </c>
      <c r="BN119" s="182">
        <f t="shared" si="65"/>
        <v>5.5399999999999998E-2</v>
      </c>
    </row>
    <row r="120" spans="20:66">
      <c r="T120" s="106">
        <f t="shared" si="69"/>
        <v>5.6334882351123925</v>
      </c>
      <c r="U120" s="106">
        <f t="shared" si="70"/>
        <v>5.753807371370816</v>
      </c>
      <c r="V120" s="106">
        <f t="shared" si="71"/>
        <v>5.7643019753086486</v>
      </c>
      <c r="W120" s="106">
        <f t="shared" si="72"/>
        <v>5.9825465697362823</v>
      </c>
      <c r="X120" s="106">
        <f t="shared" si="73"/>
        <v>6.0742027980146691</v>
      </c>
      <c r="Y120" s="106">
        <f t="shared" si="74"/>
        <v>6.0741506172839737</v>
      </c>
      <c r="Z120" s="106">
        <f t="shared" si="75"/>
        <v>6.2212204671957458</v>
      </c>
      <c r="AA120" s="106">
        <f t="shared" si="76"/>
        <v>6.2938512656228554</v>
      </c>
      <c r="AB120" s="106">
        <f t="shared" si="77"/>
        <v>6.2876172839506177</v>
      </c>
      <c r="AC120" s="106">
        <f t="shared" si="78"/>
        <v>6.3344853403956671</v>
      </c>
      <c r="AD120" s="106">
        <f t="shared" si="79"/>
        <v>6.3945252044219458</v>
      </c>
      <c r="AE120" s="106">
        <f t="shared" si="80"/>
        <v>6.4068977777777976</v>
      </c>
      <c r="AF120" s="106">
        <f t="shared" si="81"/>
        <v>5.7800438812153976</v>
      </c>
      <c r="AG120" s="106">
        <f t="shared" si="82"/>
        <v>6.0740723461879309</v>
      </c>
      <c r="AH120" s="106">
        <f t="shared" si="83"/>
        <v>6.2782663114422608</v>
      </c>
      <c r="AI120" s="106">
        <f t="shared" si="84"/>
        <v>6.4254566378115747</v>
      </c>
      <c r="BF120" s="277">
        <v>15.3</v>
      </c>
      <c r="BG120" s="12" t="s">
        <v>388</v>
      </c>
      <c r="BH120" s="7" t="str">
        <f t="shared" si="63"/>
        <v>---------</v>
      </c>
      <c r="BI120" s="273">
        <v>2.0300000000000198</v>
      </c>
      <c r="BJ120" s="59">
        <v>99</v>
      </c>
      <c r="BK120" s="168" t="str">
        <f t="shared" si="64"/>
        <v>---------</v>
      </c>
      <c r="BL120" s="182">
        <v>5.5300000000000002E-2</v>
      </c>
      <c r="BM120" s="185">
        <v>99</v>
      </c>
      <c r="BN120" s="182">
        <f t="shared" si="65"/>
        <v>5.5300000000000002E-2</v>
      </c>
    </row>
    <row r="121" spans="20:66">
      <c r="T121" s="106">
        <f t="shared" si="69"/>
        <v>5.5502042942465346</v>
      </c>
      <c r="U121" s="106">
        <f t="shared" si="70"/>
        <v>5.6712660508662918</v>
      </c>
      <c r="V121" s="106">
        <f t="shared" si="71"/>
        <v>5.6873076895943626</v>
      </c>
      <c r="W121" s="106">
        <f t="shared" si="72"/>
        <v>5.8931358555852018</v>
      </c>
      <c r="X121" s="106">
        <f t="shared" si="73"/>
        <v>5.9851165307050449</v>
      </c>
      <c r="Y121" s="106">
        <f t="shared" si="74"/>
        <v>5.9895715696649248</v>
      </c>
      <c r="Z121" s="106">
        <f t="shared" si="75"/>
        <v>6.1271823790626101</v>
      </c>
      <c r="AA121" s="106">
        <f t="shared" si="76"/>
        <v>6.2000662699389908</v>
      </c>
      <c r="AB121" s="106">
        <f t="shared" si="77"/>
        <v>6.1976953791887137</v>
      </c>
      <c r="AC121" s="106">
        <f t="shared" si="78"/>
        <v>6.238665835898475</v>
      </c>
      <c r="AD121" s="106">
        <f t="shared" si="79"/>
        <v>6.2989444600854769</v>
      </c>
      <c r="AE121" s="106">
        <f t="shared" si="80"/>
        <v>6.3134882539682735</v>
      </c>
      <c r="AF121" s="106">
        <f t="shared" si="81"/>
        <v>5.7113701476864689</v>
      </c>
      <c r="AG121" s="106">
        <f t="shared" si="82"/>
        <v>5.996254128104745</v>
      </c>
      <c r="AH121" s="106">
        <f t="shared" si="83"/>
        <v>6.1941390430632985</v>
      </c>
      <c r="AI121" s="106">
        <f t="shared" si="84"/>
        <v>6.3353039447924679</v>
      </c>
      <c r="BF121" s="277">
        <v>15.2</v>
      </c>
      <c r="BG121" s="12" t="s">
        <v>389</v>
      </c>
      <c r="BH121" s="7" t="str">
        <f t="shared" si="63"/>
        <v>---------</v>
      </c>
      <c r="BI121" s="273">
        <v>2.02000000000002</v>
      </c>
      <c r="BJ121" s="59">
        <v>100</v>
      </c>
      <c r="BK121" s="168" t="str">
        <f t="shared" si="64"/>
        <v>---------</v>
      </c>
      <c r="BL121" s="182">
        <v>5.5199999999999999E-2</v>
      </c>
      <c r="BM121" s="185">
        <v>100</v>
      </c>
      <c r="BN121" s="182">
        <f t="shared" si="65"/>
        <v>5.5199999999999999E-2</v>
      </c>
    </row>
    <row r="122" spans="20:66">
      <c r="T122" s="106">
        <f t="shared" si="69"/>
        <v>5.4668370585898947</v>
      </c>
      <c r="U122" s="106">
        <f t="shared" si="70"/>
        <v>5.5885640982826272</v>
      </c>
      <c r="V122" s="106">
        <f t="shared" si="71"/>
        <v>5.609963492063498</v>
      </c>
      <c r="W122" s="106">
        <f t="shared" si="72"/>
        <v>5.8036731202084946</v>
      </c>
      <c r="X122" s="106">
        <f t="shared" si="73"/>
        <v>5.8959357236797807</v>
      </c>
      <c r="Y122" s="106">
        <f t="shared" si="74"/>
        <v>5.9047498412698616</v>
      </c>
      <c r="Z122" s="106">
        <f t="shared" si="75"/>
        <v>6.0331328752030142</v>
      </c>
      <c r="AA122" s="106">
        <f t="shared" si="76"/>
        <v>6.1062389914768884</v>
      </c>
      <c r="AB122" s="106">
        <f t="shared" si="77"/>
        <v>6.107606984126984</v>
      </c>
      <c r="AC122" s="106">
        <f t="shared" si="78"/>
        <v>6.1428358129974967</v>
      </c>
      <c r="AD122" s="106">
        <f t="shared" si="79"/>
        <v>6.2033314297868332</v>
      </c>
      <c r="AE122" s="106">
        <f t="shared" si="80"/>
        <v>6.21997714285716</v>
      </c>
      <c r="AF122" s="106">
        <f t="shared" si="81"/>
        <v>5.6420625827348037</v>
      </c>
      <c r="AG122" s="106">
        <f t="shared" si="82"/>
        <v>5.9179710176549829</v>
      </c>
      <c r="AH122" s="106">
        <f t="shared" si="83"/>
        <v>6.1096589731021274</v>
      </c>
      <c r="AI122" s="106">
        <f t="shared" si="84"/>
        <v>6.2449457124626502</v>
      </c>
      <c r="BF122" s="277">
        <v>15.1</v>
      </c>
      <c r="BG122" s="12" t="s">
        <v>390</v>
      </c>
      <c r="BH122" s="7" t="str">
        <f t="shared" si="63"/>
        <v>---------</v>
      </c>
      <c r="BI122" s="273">
        <v>2.0100000000000202</v>
      </c>
      <c r="BJ122" s="59">
        <v>101</v>
      </c>
      <c r="BK122" s="168" t="str">
        <f t="shared" si="64"/>
        <v>---------</v>
      </c>
      <c r="BL122" s="182">
        <v>5.5100000000000003E-2</v>
      </c>
      <c r="BM122" s="185">
        <v>101</v>
      </c>
      <c r="BN122" s="182">
        <f t="shared" si="65"/>
        <v>5.5100000000000003E-2</v>
      </c>
    </row>
    <row r="123" spans="20:66">
      <c r="T123" s="106">
        <f t="shared" si="69"/>
        <v>5.3833865281424735</v>
      </c>
      <c r="U123" s="106">
        <f t="shared" si="70"/>
        <v>5.5057015136198224</v>
      </c>
      <c r="V123" s="106">
        <f t="shared" si="71"/>
        <v>5.5322693827160556</v>
      </c>
      <c r="W123" s="106">
        <f t="shared" si="72"/>
        <v>5.7141583636061632</v>
      </c>
      <c r="X123" s="106">
        <f t="shared" si="73"/>
        <v>5.80666037693888</v>
      </c>
      <c r="Y123" s="106">
        <f t="shared" si="74"/>
        <v>5.819685432098785</v>
      </c>
      <c r="Z123" s="106">
        <f t="shared" si="75"/>
        <v>5.9390719556169591</v>
      </c>
      <c r="AA123" s="106">
        <f t="shared" si="76"/>
        <v>6.0123694302365465</v>
      </c>
      <c r="AB123" s="106">
        <f t="shared" si="77"/>
        <v>6.017352098765433</v>
      </c>
      <c r="AC123" s="106">
        <f t="shared" si="78"/>
        <v>6.046995271692734</v>
      </c>
      <c r="AD123" s="106">
        <f t="shared" si="79"/>
        <v>6.1076861135260181</v>
      </c>
      <c r="AE123" s="106">
        <f t="shared" si="80"/>
        <v>6.1263644444444614</v>
      </c>
      <c r="AF123" s="106">
        <f t="shared" si="81"/>
        <v>5.5721211863604054</v>
      </c>
      <c r="AG123" s="106">
        <f t="shared" si="82"/>
        <v>5.8392230148386428</v>
      </c>
      <c r="AH123" s="106">
        <f t="shared" si="83"/>
        <v>6.0248261015587623</v>
      </c>
      <c r="AI123" s="106">
        <f t="shared" si="84"/>
        <v>6.1543819408221268</v>
      </c>
      <c r="BF123" s="277">
        <v>15</v>
      </c>
      <c r="BG123" s="12" t="s">
        <v>391</v>
      </c>
      <c r="BH123" s="7" t="str">
        <f t="shared" si="63"/>
        <v>---------</v>
      </c>
      <c r="BI123" s="273">
        <v>2.00000000000002</v>
      </c>
      <c r="BJ123" s="59">
        <v>102</v>
      </c>
      <c r="BK123" s="168" t="str">
        <f t="shared" si="64"/>
        <v>---------</v>
      </c>
      <c r="BL123" s="182">
        <v>5.5E-2</v>
      </c>
      <c r="BM123" s="185">
        <v>102</v>
      </c>
      <c r="BN123" s="182">
        <f t="shared" si="65"/>
        <v>5.5E-2</v>
      </c>
    </row>
    <row r="124" spans="20:66">
      <c r="T124" s="106">
        <f t="shared" si="69"/>
        <v>5.2998527029042704</v>
      </c>
      <c r="U124" s="106">
        <f t="shared" si="70"/>
        <v>5.4226782968778755</v>
      </c>
      <c r="V124" s="106">
        <f t="shared" si="71"/>
        <v>5.4542253615520329</v>
      </c>
      <c r="W124" s="106">
        <f t="shared" si="72"/>
        <v>5.6245915857782034</v>
      </c>
      <c r="X124" s="106">
        <f t="shared" si="73"/>
        <v>5.7172904904823385</v>
      </c>
      <c r="Y124" s="106">
        <f t="shared" si="74"/>
        <v>5.7343783421516932</v>
      </c>
      <c r="Z124" s="106">
        <f t="shared" si="75"/>
        <v>5.844999620304443</v>
      </c>
      <c r="AA124" s="106">
        <f t="shared" si="76"/>
        <v>5.918457586217964</v>
      </c>
      <c r="AB124" s="106">
        <f t="shared" si="77"/>
        <v>5.9269307231040562</v>
      </c>
      <c r="AC124" s="106">
        <f t="shared" si="78"/>
        <v>5.9511442119841842</v>
      </c>
      <c r="AD124" s="106">
        <f t="shared" si="79"/>
        <v>6.0120085113030282</v>
      </c>
      <c r="AE124" s="106">
        <f t="shared" si="80"/>
        <v>6.0326501587301742</v>
      </c>
      <c r="AF124" s="106">
        <f t="shared" si="81"/>
        <v>5.5015459585632689</v>
      </c>
      <c r="AG124" s="106">
        <f t="shared" si="82"/>
        <v>5.7600101196557247</v>
      </c>
      <c r="AH124" s="106">
        <f t="shared" si="83"/>
        <v>5.9396404284331945</v>
      </c>
      <c r="AI124" s="106">
        <f t="shared" si="84"/>
        <v>6.0636126298708932</v>
      </c>
      <c r="BF124" s="277">
        <v>14.9</v>
      </c>
      <c r="BG124" s="12" t="s">
        <v>392</v>
      </c>
      <c r="BH124" s="7" t="str">
        <f t="shared" si="63"/>
        <v>---------</v>
      </c>
      <c r="BI124" s="273">
        <v>1.99000000000002</v>
      </c>
      <c r="BJ124" s="59">
        <v>103</v>
      </c>
      <c r="BK124" s="168" t="str">
        <f t="shared" si="64"/>
        <v>---------</v>
      </c>
      <c r="BL124" s="182">
        <v>5.4899999999999997E-2</v>
      </c>
      <c r="BM124" s="185">
        <v>103</v>
      </c>
      <c r="BN124" s="182">
        <f t="shared" si="65"/>
        <v>5.4899999999999997E-2</v>
      </c>
    </row>
    <row r="125" spans="20:66">
      <c r="T125" s="106">
        <f t="shared" si="69"/>
        <v>5.2162355828752869</v>
      </c>
      <c r="U125" s="106">
        <f t="shared" si="70"/>
        <v>5.3394944480567874</v>
      </c>
      <c r="V125" s="106">
        <f t="shared" si="71"/>
        <v>5.3758314285714333</v>
      </c>
      <c r="W125" s="106">
        <f t="shared" si="72"/>
        <v>5.5349727867246186</v>
      </c>
      <c r="X125" s="106">
        <f t="shared" si="73"/>
        <v>5.6278260643101605</v>
      </c>
      <c r="Y125" s="106">
        <f t="shared" si="74"/>
        <v>5.648828571428588</v>
      </c>
      <c r="Z125" s="106">
        <f t="shared" si="75"/>
        <v>5.7509158692654667</v>
      </c>
      <c r="AA125" s="106">
        <f t="shared" si="76"/>
        <v>5.8245034594211438</v>
      </c>
      <c r="AB125" s="106">
        <f t="shared" si="77"/>
        <v>5.8363428571428573</v>
      </c>
      <c r="AC125" s="106">
        <f t="shared" si="78"/>
        <v>5.85528263387185</v>
      </c>
      <c r="AD125" s="106">
        <f t="shared" si="79"/>
        <v>5.9162986231178669</v>
      </c>
      <c r="AE125" s="106">
        <f t="shared" si="80"/>
        <v>5.9388342857143002</v>
      </c>
      <c r="AF125" s="106">
        <f t="shared" si="81"/>
        <v>5.430336899343402</v>
      </c>
      <c r="AG125" s="106">
        <f t="shared" si="82"/>
        <v>5.6803323321062287</v>
      </c>
      <c r="AH125" s="106">
        <f t="shared" si="83"/>
        <v>5.8541019537254275</v>
      </c>
      <c r="AI125" s="106">
        <f t="shared" si="84"/>
        <v>5.9726377796089505</v>
      </c>
      <c r="BF125" s="277">
        <v>14.8</v>
      </c>
      <c r="BG125" s="12" t="s">
        <v>393</v>
      </c>
      <c r="BH125" s="7" t="str">
        <f t="shared" si="63"/>
        <v>---------</v>
      </c>
      <c r="BI125" s="273">
        <v>1.98000000000002</v>
      </c>
      <c r="BJ125" s="59">
        <v>104</v>
      </c>
      <c r="BK125" s="168" t="str">
        <f t="shared" si="64"/>
        <v>---------</v>
      </c>
      <c r="BL125" s="182">
        <v>5.4800000000000001E-2</v>
      </c>
      <c r="BM125" s="185">
        <v>104</v>
      </c>
      <c r="BN125" s="182">
        <f t="shared" si="65"/>
        <v>5.4800000000000001E-2</v>
      </c>
    </row>
    <row r="126" spans="20:66">
      <c r="T126" s="106">
        <f t="shared" si="69"/>
        <v>5.1325351680555213</v>
      </c>
      <c r="U126" s="106">
        <f t="shared" si="70"/>
        <v>5.2561499671565599</v>
      </c>
      <c r="V126" s="106">
        <f t="shared" si="71"/>
        <v>5.297087583774255</v>
      </c>
      <c r="W126" s="106">
        <f t="shared" si="72"/>
        <v>5.445301966445407</v>
      </c>
      <c r="X126" s="106">
        <f t="shared" si="73"/>
        <v>5.5382670984223417</v>
      </c>
      <c r="Y126" s="106">
        <f t="shared" si="74"/>
        <v>5.5630361199294693</v>
      </c>
      <c r="Z126" s="106">
        <f t="shared" si="75"/>
        <v>5.6568207025000303</v>
      </c>
      <c r="AA126" s="106">
        <f t="shared" si="76"/>
        <v>5.7305070498460831</v>
      </c>
      <c r="AB126" s="106">
        <f t="shared" si="77"/>
        <v>5.7455885008818353</v>
      </c>
      <c r="AC126" s="106">
        <f t="shared" si="78"/>
        <v>5.7594105373557296</v>
      </c>
      <c r="AD126" s="106">
        <f t="shared" si="79"/>
        <v>5.8205564489705317</v>
      </c>
      <c r="AE126" s="106">
        <f t="shared" si="80"/>
        <v>5.8449168253968393</v>
      </c>
      <c r="AF126" s="106">
        <f t="shared" si="81"/>
        <v>5.3584940087007977</v>
      </c>
      <c r="AG126" s="106">
        <f t="shared" si="82"/>
        <v>5.6001896521901608</v>
      </c>
      <c r="AH126" s="106">
        <f t="shared" si="83"/>
        <v>5.768210677435464</v>
      </c>
      <c r="AI126" s="106">
        <f t="shared" si="84"/>
        <v>5.8814573900363012</v>
      </c>
      <c r="BF126" s="277">
        <v>14.7</v>
      </c>
      <c r="BG126" s="12" t="s">
        <v>394</v>
      </c>
      <c r="BH126" s="7" t="str">
        <f t="shared" si="63"/>
        <v>---------</v>
      </c>
      <c r="BI126" s="273">
        <v>1.97000000000002</v>
      </c>
      <c r="BJ126" s="59">
        <v>105</v>
      </c>
      <c r="BK126" s="168" t="str">
        <f t="shared" si="64"/>
        <v>---------</v>
      </c>
      <c r="BL126" s="182">
        <v>5.4699999999999999E-2</v>
      </c>
      <c r="BM126" s="185">
        <v>105</v>
      </c>
      <c r="BN126" s="182">
        <f t="shared" si="65"/>
        <v>5.4699999999999999E-2</v>
      </c>
    </row>
    <row r="127" spans="20:66">
      <c r="T127" s="106">
        <f t="shared" si="69"/>
        <v>5.0487514584449729</v>
      </c>
      <c r="U127" s="106">
        <f t="shared" si="70"/>
        <v>5.1726448541771894</v>
      </c>
      <c r="V127" s="106">
        <f t="shared" si="71"/>
        <v>5.2179938271604973</v>
      </c>
      <c r="W127" s="106">
        <f t="shared" si="72"/>
        <v>5.3555791249405686</v>
      </c>
      <c r="X127" s="106">
        <f t="shared" si="73"/>
        <v>5.4486135928188837</v>
      </c>
      <c r="Y127" s="106">
        <f t="shared" si="74"/>
        <v>5.4770009876543364</v>
      </c>
      <c r="Z127" s="106">
        <f t="shared" si="75"/>
        <v>5.5627141200081338</v>
      </c>
      <c r="AA127" s="106">
        <f t="shared" si="76"/>
        <v>5.6364683574927827</v>
      </c>
      <c r="AB127" s="106">
        <f t="shared" si="77"/>
        <v>5.6546676543209875</v>
      </c>
      <c r="AC127" s="106">
        <f t="shared" si="78"/>
        <v>5.6635279224358239</v>
      </c>
      <c r="AD127" s="106">
        <f t="shared" si="79"/>
        <v>5.7247819888610225</v>
      </c>
      <c r="AE127" s="106">
        <f t="shared" si="80"/>
        <v>5.7508977777777908</v>
      </c>
      <c r="AF127" s="106">
        <f t="shared" si="81"/>
        <v>5.2860172866354596</v>
      </c>
      <c r="AG127" s="106">
        <f t="shared" si="82"/>
        <v>5.519582079907515</v>
      </c>
      <c r="AH127" s="106">
        <f t="shared" si="83"/>
        <v>5.6819665995632942</v>
      </c>
      <c r="AI127" s="106">
        <f t="shared" si="84"/>
        <v>5.7900714611529427</v>
      </c>
      <c r="BF127" s="277">
        <v>14.6</v>
      </c>
      <c r="BG127" s="12" t="s">
        <v>395</v>
      </c>
      <c r="BH127" s="7" t="str">
        <f t="shared" si="63"/>
        <v>---------</v>
      </c>
      <c r="BI127" s="273">
        <v>1.9600000000000199</v>
      </c>
      <c r="BJ127" s="59">
        <v>106</v>
      </c>
      <c r="BK127" s="168" t="str">
        <f t="shared" si="64"/>
        <v>---------</v>
      </c>
      <c r="BL127" s="182">
        <v>5.4600000000000003E-2</v>
      </c>
      <c r="BM127" s="185">
        <v>106</v>
      </c>
      <c r="BN127" s="182">
        <f t="shared" si="65"/>
        <v>5.4600000000000003E-2</v>
      </c>
    </row>
    <row r="128" spans="20:66">
      <c r="T128" s="106">
        <f t="shared" si="69"/>
        <v>4.9648844540436432</v>
      </c>
      <c r="U128" s="106">
        <f t="shared" si="70"/>
        <v>5.0889791091186787</v>
      </c>
      <c r="V128" s="106">
        <f t="shared" si="71"/>
        <v>5.1385501587301627</v>
      </c>
      <c r="W128" s="106">
        <f t="shared" si="72"/>
        <v>5.2658042622101062</v>
      </c>
      <c r="X128" s="106">
        <f t="shared" si="73"/>
        <v>5.3588655474997893</v>
      </c>
      <c r="Y128" s="106">
        <f t="shared" si="74"/>
        <v>5.3907231746031892</v>
      </c>
      <c r="Z128" s="106">
        <f t="shared" si="75"/>
        <v>5.4685961217897772</v>
      </c>
      <c r="AA128" s="106">
        <f t="shared" si="76"/>
        <v>5.5423873823612446</v>
      </c>
      <c r="AB128" s="106">
        <f t="shared" si="77"/>
        <v>5.5635803174603184</v>
      </c>
      <c r="AC128" s="106">
        <f t="shared" si="78"/>
        <v>5.5676347891121321</v>
      </c>
      <c r="AD128" s="106">
        <f t="shared" si="79"/>
        <v>5.6289752427893402</v>
      </c>
      <c r="AE128" s="106">
        <f t="shared" si="80"/>
        <v>5.6567771428571545</v>
      </c>
      <c r="AF128" s="106">
        <f t="shared" si="81"/>
        <v>5.2129067331473884</v>
      </c>
      <c r="AG128" s="106">
        <f t="shared" si="82"/>
        <v>5.4385096152582886</v>
      </c>
      <c r="AH128" s="106">
        <f t="shared" si="83"/>
        <v>5.5953697201089287</v>
      </c>
      <c r="AI128" s="106">
        <f t="shared" si="84"/>
        <v>5.6984799929588759</v>
      </c>
      <c r="BF128" s="277">
        <v>14.5</v>
      </c>
      <c r="BG128" s="12" t="s">
        <v>396</v>
      </c>
      <c r="BH128" s="7" t="str">
        <f t="shared" si="63"/>
        <v>---------</v>
      </c>
      <c r="BI128" s="273">
        <v>1.9500000000000199</v>
      </c>
      <c r="BJ128" s="59">
        <v>107</v>
      </c>
      <c r="BK128" s="168" t="str">
        <f t="shared" si="64"/>
        <v>---------</v>
      </c>
      <c r="BL128" s="182">
        <v>5.45E-2</v>
      </c>
      <c r="BM128" s="185">
        <v>107</v>
      </c>
      <c r="BN128" s="182">
        <f t="shared" si="65"/>
        <v>5.45E-2</v>
      </c>
    </row>
    <row r="129" spans="20:66">
      <c r="T129" s="106">
        <f t="shared" si="69"/>
        <v>4.8809341548515324</v>
      </c>
      <c r="U129" s="106">
        <f t="shared" si="70"/>
        <v>5.0051527319810267</v>
      </c>
      <c r="V129" s="106">
        <f t="shared" si="71"/>
        <v>5.0587565784832478</v>
      </c>
      <c r="W129" s="106">
        <f t="shared" si="72"/>
        <v>5.1759773782540153</v>
      </c>
      <c r="X129" s="106">
        <f t="shared" si="73"/>
        <v>5.269022962465054</v>
      </c>
      <c r="Y129" s="106">
        <f t="shared" si="74"/>
        <v>5.3042026807760276</v>
      </c>
      <c r="Z129" s="106">
        <f t="shared" si="75"/>
        <v>5.3744667078449595</v>
      </c>
      <c r="AA129" s="106">
        <f t="shared" si="76"/>
        <v>5.4482641244514651</v>
      </c>
      <c r="AB129" s="106">
        <f t="shared" si="77"/>
        <v>5.4723264902998237</v>
      </c>
      <c r="AC129" s="106">
        <f t="shared" si="78"/>
        <v>5.4717311373846549</v>
      </c>
      <c r="AD129" s="106">
        <f t="shared" si="79"/>
        <v>5.5331362107554849</v>
      </c>
      <c r="AE129" s="106">
        <f t="shared" si="80"/>
        <v>5.5625549206349314</v>
      </c>
      <c r="AF129" s="106">
        <f t="shared" si="81"/>
        <v>5.1391623482365798</v>
      </c>
      <c r="AG129" s="106">
        <f t="shared" si="82"/>
        <v>5.3569722582424877</v>
      </c>
      <c r="AH129" s="106">
        <f t="shared" si="83"/>
        <v>5.5084200390723614</v>
      </c>
      <c r="AI129" s="106">
        <f t="shared" si="84"/>
        <v>5.6066829854541016</v>
      </c>
      <c r="BF129" s="277">
        <v>14.4</v>
      </c>
      <c r="BG129" s="12" t="s">
        <v>397</v>
      </c>
      <c r="BH129" s="7" t="str">
        <f t="shared" si="63"/>
        <v>---------</v>
      </c>
      <c r="BI129" s="273">
        <v>1.9400000000000199</v>
      </c>
      <c r="BJ129" s="59">
        <v>108</v>
      </c>
      <c r="BK129" s="168" t="str">
        <f t="shared" si="64"/>
        <v>---------</v>
      </c>
      <c r="BL129" s="182">
        <v>5.4399999999999997E-2</v>
      </c>
      <c r="BM129" s="185">
        <v>108</v>
      </c>
      <c r="BN129" s="182">
        <f t="shared" si="65"/>
        <v>5.4399999999999997E-2</v>
      </c>
    </row>
    <row r="130" spans="20:66">
      <c r="T130" s="106">
        <f t="shared" si="69"/>
        <v>4.7969005608686404</v>
      </c>
      <c r="U130" s="106">
        <f t="shared" si="70"/>
        <v>4.9211657227642354</v>
      </c>
      <c r="V130" s="106">
        <f t="shared" si="71"/>
        <v>4.9786130864197569</v>
      </c>
      <c r="W130" s="106">
        <f t="shared" si="72"/>
        <v>5.0860984730722985</v>
      </c>
      <c r="X130" s="106">
        <f t="shared" si="73"/>
        <v>5.1790858377146805</v>
      </c>
      <c r="Y130" s="106">
        <f t="shared" si="74"/>
        <v>5.2174395061728518</v>
      </c>
      <c r="Z130" s="106">
        <f t="shared" si="75"/>
        <v>5.2803258781736826</v>
      </c>
      <c r="AA130" s="106">
        <f t="shared" si="76"/>
        <v>5.3540985837634478</v>
      </c>
      <c r="AB130" s="106">
        <f t="shared" si="77"/>
        <v>5.3809061728395067</v>
      </c>
      <c r="AC130" s="106">
        <f t="shared" si="78"/>
        <v>5.3758169672533924</v>
      </c>
      <c r="AD130" s="106">
        <f t="shared" si="79"/>
        <v>5.4372648927594565</v>
      </c>
      <c r="AE130" s="106">
        <f t="shared" si="80"/>
        <v>5.4682311111111215</v>
      </c>
      <c r="AF130" s="106">
        <f t="shared" si="81"/>
        <v>5.0647841319030391</v>
      </c>
      <c r="AG130" s="106">
        <f t="shared" si="82"/>
        <v>5.2749700088601088</v>
      </c>
      <c r="AH130" s="106">
        <f t="shared" si="83"/>
        <v>5.4211175564535949</v>
      </c>
      <c r="AI130" s="106">
        <f t="shared" si="84"/>
        <v>5.514680438638619</v>
      </c>
      <c r="BF130" s="277">
        <v>14.3</v>
      </c>
      <c r="BG130" s="12" t="s">
        <v>398</v>
      </c>
      <c r="BH130" s="7" t="str">
        <f t="shared" si="63"/>
        <v>---------</v>
      </c>
      <c r="BI130" s="273">
        <v>1.9300000000000199</v>
      </c>
      <c r="BJ130" s="59">
        <v>109</v>
      </c>
      <c r="BK130" s="168" t="str">
        <f t="shared" si="64"/>
        <v>---------</v>
      </c>
      <c r="BL130" s="182">
        <v>5.4300000000000001E-2</v>
      </c>
      <c r="BM130" s="185">
        <v>109</v>
      </c>
      <c r="BN130" s="182">
        <f t="shared" si="65"/>
        <v>5.4300000000000001E-2</v>
      </c>
    </row>
    <row r="131" spans="20:66">
      <c r="T131" s="106">
        <f t="shared" si="69"/>
        <v>4.7127836720949672</v>
      </c>
      <c r="U131" s="106">
        <f t="shared" si="70"/>
        <v>4.837018081468301</v>
      </c>
      <c r="V131" s="106">
        <f t="shared" si="71"/>
        <v>4.8981196825396855</v>
      </c>
      <c r="W131" s="106">
        <f t="shared" si="72"/>
        <v>4.9961675466649567</v>
      </c>
      <c r="X131" s="106">
        <f t="shared" si="73"/>
        <v>5.0890541732486687</v>
      </c>
      <c r="Y131" s="106">
        <f t="shared" si="74"/>
        <v>5.1304336507936625</v>
      </c>
      <c r="Z131" s="106">
        <f t="shared" si="75"/>
        <v>5.1861736327759456</v>
      </c>
      <c r="AA131" s="106">
        <f t="shared" si="76"/>
        <v>5.2598907602971909</v>
      </c>
      <c r="AB131" s="106">
        <f t="shared" si="77"/>
        <v>5.2893193650793657</v>
      </c>
      <c r="AC131" s="106">
        <f t="shared" si="78"/>
        <v>5.2798922787183438</v>
      </c>
      <c r="AD131" s="106">
        <f t="shared" si="79"/>
        <v>5.3413612888012558</v>
      </c>
      <c r="AE131" s="106">
        <f t="shared" si="80"/>
        <v>5.3738057142857238</v>
      </c>
      <c r="AF131" s="106">
        <f t="shared" si="81"/>
        <v>4.9897720841467628</v>
      </c>
      <c r="AG131" s="106">
        <f t="shared" si="82"/>
        <v>5.1925028671111537</v>
      </c>
      <c r="AH131" s="106">
        <f t="shared" si="83"/>
        <v>5.3334622722526284</v>
      </c>
      <c r="AI131" s="106">
        <f t="shared" si="84"/>
        <v>5.4224723525124254</v>
      </c>
      <c r="BF131" s="277">
        <v>14.2</v>
      </c>
      <c r="BG131" s="12" t="s">
        <v>399</v>
      </c>
      <c r="BH131" s="7" t="str">
        <f t="shared" si="63"/>
        <v>---------</v>
      </c>
      <c r="BI131" s="273">
        <v>1.9200000000000199</v>
      </c>
      <c r="BJ131" s="59">
        <v>110</v>
      </c>
      <c r="BK131" s="168" t="str">
        <f t="shared" si="64"/>
        <v>---------</v>
      </c>
      <c r="BL131" s="182">
        <v>5.4199999999999998E-2</v>
      </c>
      <c r="BM131" s="185">
        <v>110</v>
      </c>
      <c r="BN131" s="182">
        <f t="shared" si="65"/>
        <v>5.4199999999999998E-2</v>
      </c>
    </row>
    <row r="132" spans="20:66">
      <c r="T132" s="106">
        <f t="shared" si="69"/>
        <v>4.628583488530511</v>
      </c>
      <c r="U132" s="106">
        <f t="shared" si="70"/>
        <v>4.7527098080932264</v>
      </c>
      <c r="V132" s="106">
        <f t="shared" si="71"/>
        <v>4.8172763668430356</v>
      </c>
      <c r="W132" s="106">
        <f t="shared" si="72"/>
        <v>4.9061845990319863</v>
      </c>
      <c r="X132" s="106">
        <f t="shared" si="73"/>
        <v>4.998927969067017</v>
      </c>
      <c r="Y132" s="106">
        <f t="shared" si="74"/>
        <v>5.0431851146384581</v>
      </c>
      <c r="Z132" s="106">
        <f t="shared" si="75"/>
        <v>5.0920099716517475</v>
      </c>
      <c r="AA132" s="106">
        <f t="shared" si="76"/>
        <v>5.1656406540526945</v>
      </c>
      <c r="AB132" s="106">
        <f t="shared" si="77"/>
        <v>5.1975660670193999</v>
      </c>
      <c r="AC132" s="106">
        <f t="shared" si="78"/>
        <v>5.1839570717795098</v>
      </c>
      <c r="AD132" s="106">
        <f t="shared" si="79"/>
        <v>5.2454253988808803</v>
      </c>
      <c r="AE132" s="106">
        <f t="shared" si="80"/>
        <v>5.2792787301587385</v>
      </c>
      <c r="AF132" s="106">
        <f t="shared" si="81"/>
        <v>4.914126204967749</v>
      </c>
      <c r="AG132" s="106">
        <f t="shared" si="82"/>
        <v>5.1095708329956198</v>
      </c>
      <c r="AH132" s="106">
        <f t="shared" si="83"/>
        <v>5.2454541864694582</v>
      </c>
      <c r="AI132" s="106">
        <f t="shared" si="84"/>
        <v>5.3300587270755262</v>
      </c>
      <c r="BF132" s="277">
        <v>14.1</v>
      </c>
      <c r="BG132" s="12" t="s">
        <v>400</v>
      </c>
      <c r="BH132" s="7" t="str">
        <f t="shared" si="63"/>
        <v>---------</v>
      </c>
      <c r="BI132" s="273">
        <v>1.9100000000000199</v>
      </c>
      <c r="BJ132" s="59">
        <v>111</v>
      </c>
      <c r="BK132" s="168" t="str">
        <f t="shared" si="64"/>
        <v>---------</v>
      </c>
      <c r="BL132" s="182">
        <v>5.4100000000000002E-2</v>
      </c>
      <c r="BM132" s="185">
        <v>111</v>
      </c>
      <c r="BN132" s="182">
        <f t="shared" si="65"/>
        <v>5.4100000000000002E-2</v>
      </c>
    </row>
    <row r="133" spans="20:66">
      <c r="T133" s="106">
        <f t="shared" si="69"/>
        <v>4.5443000101752746</v>
      </c>
      <c r="U133" s="106">
        <f t="shared" si="70"/>
        <v>4.6682409026390115</v>
      </c>
      <c r="V133" s="106">
        <f t="shared" si="71"/>
        <v>4.7360831393298088</v>
      </c>
      <c r="W133" s="106">
        <f t="shared" si="72"/>
        <v>4.8161496301733928</v>
      </c>
      <c r="X133" s="106">
        <f t="shared" si="73"/>
        <v>4.908707225169727</v>
      </c>
      <c r="Y133" s="106">
        <f t="shared" si="74"/>
        <v>4.9556938977072411</v>
      </c>
      <c r="Z133" s="106">
        <f t="shared" si="75"/>
        <v>4.9978348948010902</v>
      </c>
      <c r="AA133" s="106">
        <f t="shared" si="76"/>
        <v>5.0713482650299584</v>
      </c>
      <c r="AB133" s="106">
        <f t="shared" si="77"/>
        <v>5.105646278659612</v>
      </c>
      <c r="AC133" s="106">
        <f t="shared" si="78"/>
        <v>5.0880113464368906</v>
      </c>
      <c r="AD133" s="106">
        <f t="shared" si="79"/>
        <v>5.1494572229983318</v>
      </c>
      <c r="AE133" s="106">
        <f t="shared" si="80"/>
        <v>5.1846501587301672</v>
      </c>
      <c r="AF133" s="106">
        <f t="shared" si="81"/>
        <v>4.8378464943660049</v>
      </c>
      <c r="AG133" s="106">
        <f t="shared" si="82"/>
        <v>5.0261739065135123</v>
      </c>
      <c r="AH133" s="106">
        <f t="shared" si="83"/>
        <v>5.1570932991040923</v>
      </c>
      <c r="AI133" s="106">
        <f t="shared" si="84"/>
        <v>5.2374395623279204</v>
      </c>
      <c r="BF133" s="277">
        <v>14</v>
      </c>
      <c r="BG133" s="12" t="s">
        <v>401</v>
      </c>
      <c r="BH133" s="7" t="str">
        <f t="shared" si="63"/>
        <v>---------</v>
      </c>
      <c r="BI133" s="273">
        <v>1.9000000000000199</v>
      </c>
      <c r="BJ133" s="59">
        <v>112</v>
      </c>
      <c r="BK133" s="168" t="str">
        <f t="shared" si="64"/>
        <v>---------</v>
      </c>
      <c r="BL133" s="182">
        <v>5.3999999999999999E-2</v>
      </c>
      <c r="BM133" s="185">
        <v>112</v>
      </c>
      <c r="BN133" s="182">
        <f t="shared" si="65"/>
        <v>5.3999999999999999E-2</v>
      </c>
    </row>
    <row r="134" spans="20:66">
      <c r="T134" s="106">
        <f t="shared" si="69"/>
        <v>4.4599332370292553</v>
      </c>
      <c r="U134" s="106">
        <f t="shared" si="70"/>
        <v>4.5836113651056545</v>
      </c>
      <c r="V134" s="106">
        <f t="shared" si="71"/>
        <v>4.6545400000000017</v>
      </c>
      <c r="W134" s="106">
        <f t="shared" si="72"/>
        <v>4.7260626400891708</v>
      </c>
      <c r="X134" s="106">
        <f t="shared" si="73"/>
        <v>4.8183919415567988</v>
      </c>
      <c r="Y134" s="106">
        <f t="shared" si="74"/>
        <v>4.8679600000000081</v>
      </c>
      <c r="Z134" s="106">
        <f t="shared" si="75"/>
        <v>4.9036484022239719</v>
      </c>
      <c r="AA134" s="106">
        <f t="shared" si="76"/>
        <v>4.9770135932289827</v>
      </c>
      <c r="AB134" s="106">
        <f t="shared" si="77"/>
        <v>5.0135599999999991</v>
      </c>
      <c r="AC134" s="106">
        <f t="shared" si="78"/>
        <v>4.9920551026904851</v>
      </c>
      <c r="AD134" s="106">
        <f t="shared" si="79"/>
        <v>5.0534567611536101</v>
      </c>
      <c r="AE134" s="106">
        <f t="shared" si="80"/>
        <v>5.0899200000000064</v>
      </c>
      <c r="AF134" s="106">
        <f t="shared" si="81"/>
        <v>4.7609329523415225</v>
      </c>
      <c r="AG134" s="106">
        <f t="shared" si="82"/>
        <v>4.9423120876648223</v>
      </c>
      <c r="AH134" s="106">
        <f t="shared" si="83"/>
        <v>5.0683796101565237</v>
      </c>
      <c r="AI134" s="106">
        <f t="shared" si="84"/>
        <v>5.144614858269601</v>
      </c>
      <c r="BF134" s="277">
        <v>13.9</v>
      </c>
      <c r="BG134" s="12" t="s">
        <v>402</v>
      </c>
      <c r="BH134" s="7" t="str">
        <f t="shared" si="63"/>
        <v>---------</v>
      </c>
      <c r="BI134" s="273">
        <v>1.8900000000000201</v>
      </c>
      <c r="BJ134" s="59">
        <v>113</v>
      </c>
      <c r="BK134" s="168" t="str">
        <f t="shared" si="64"/>
        <v>---------</v>
      </c>
      <c r="BL134" s="182">
        <v>5.3900000000000003E-2</v>
      </c>
      <c r="BM134" s="185">
        <v>113</v>
      </c>
      <c r="BN134" s="182">
        <f t="shared" si="65"/>
        <v>5.3900000000000003E-2</v>
      </c>
    </row>
    <row r="135" spans="20:66">
      <c r="T135" s="106">
        <f t="shared" si="69"/>
        <v>4.3754831690924556</v>
      </c>
      <c r="U135" s="106">
        <f t="shared" si="70"/>
        <v>4.4988211954931572</v>
      </c>
      <c r="V135" s="106">
        <f t="shared" si="71"/>
        <v>4.5726469488536177</v>
      </c>
      <c r="W135" s="106">
        <f t="shared" si="72"/>
        <v>4.6359236287793228</v>
      </c>
      <c r="X135" s="106">
        <f t="shared" si="73"/>
        <v>4.7279821182282316</v>
      </c>
      <c r="Y135" s="106">
        <f t="shared" si="74"/>
        <v>4.7799834215167634</v>
      </c>
      <c r="Z135" s="106">
        <f t="shared" si="75"/>
        <v>4.8094504939203944</v>
      </c>
      <c r="AA135" s="106">
        <f t="shared" si="76"/>
        <v>4.8826366386497693</v>
      </c>
      <c r="AB135" s="106">
        <f t="shared" si="77"/>
        <v>4.9213072310405641</v>
      </c>
      <c r="AC135" s="106">
        <f t="shared" si="78"/>
        <v>4.8960883405402944</v>
      </c>
      <c r="AD135" s="106">
        <f t="shared" si="79"/>
        <v>4.9574240133467162</v>
      </c>
      <c r="AE135" s="106">
        <f t="shared" si="80"/>
        <v>4.9950882539682606</v>
      </c>
      <c r="AF135" s="106">
        <f t="shared" si="81"/>
        <v>4.683385578894308</v>
      </c>
      <c r="AG135" s="106">
        <f t="shared" si="82"/>
        <v>4.8579853764495606</v>
      </c>
      <c r="AH135" s="106">
        <f t="shared" si="83"/>
        <v>4.9793131196267559</v>
      </c>
      <c r="AI135" s="106">
        <f t="shared" si="84"/>
        <v>5.0515846149005768</v>
      </c>
      <c r="BF135" s="277">
        <v>13.8</v>
      </c>
      <c r="BG135" s="12" t="s">
        <v>403</v>
      </c>
      <c r="BH135" s="7" t="str">
        <f t="shared" si="63"/>
        <v>---------</v>
      </c>
      <c r="BI135" s="273">
        <v>1.8800000000000201</v>
      </c>
      <c r="BJ135" s="59">
        <v>114</v>
      </c>
      <c r="BK135" s="168" t="str">
        <f t="shared" si="64"/>
        <v>---------</v>
      </c>
      <c r="BL135" s="182">
        <v>5.3800000000000001E-2</v>
      </c>
      <c r="BM135" s="185">
        <v>114</v>
      </c>
      <c r="BN135" s="182">
        <f t="shared" si="65"/>
        <v>5.3800000000000001E-2</v>
      </c>
    </row>
    <row r="136" spans="20:66">
      <c r="T136" s="106">
        <f t="shared" si="69"/>
        <v>4.2909498063648739</v>
      </c>
      <c r="U136" s="106">
        <f t="shared" si="70"/>
        <v>4.4138703938015187</v>
      </c>
      <c r="V136" s="106">
        <f t="shared" si="71"/>
        <v>4.4904039858906541</v>
      </c>
      <c r="W136" s="106">
        <f t="shared" si="72"/>
        <v>4.5457325962438491</v>
      </c>
      <c r="X136" s="106">
        <f t="shared" si="73"/>
        <v>4.6374777551840261</v>
      </c>
      <c r="Y136" s="106">
        <f t="shared" si="74"/>
        <v>4.6917641622575026</v>
      </c>
      <c r="Z136" s="106">
        <f t="shared" si="75"/>
        <v>4.7152411698903558</v>
      </c>
      <c r="AA136" s="106">
        <f t="shared" si="76"/>
        <v>4.7882174012923153</v>
      </c>
      <c r="AB136" s="106">
        <f t="shared" si="77"/>
        <v>4.828887971781306</v>
      </c>
      <c r="AC136" s="106">
        <f t="shared" si="78"/>
        <v>4.8001110599863184</v>
      </c>
      <c r="AD136" s="106">
        <f t="shared" si="79"/>
        <v>4.8613589795776484</v>
      </c>
      <c r="AE136" s="106">
        <f t="shared" si="80"/>
        <v>4.9001549206349271</v>
      </c>
      <c r="AF136" s="106">
        <f t="shared" si="81"/>
        <v>4.6052043740243569</v>
      </c>
      <c r="AG136" s="106">
        <f t="shared" si="82"/>
        <v>4.7731937728677174</v>
      </c>
      <c r="AH136" s="106">
        <f t="shared" si="83"/>
        <v>4.8898938275147916</v>
      </c>
      <c r="AI136" s="106">
        <f t="shared" si="84"/>
        <v>4.9583488322208451</v>
      </c>
      <c r="BF136" s="277">
        <v>13.7</v>
      </c>
      <c r="BG136" s="12" t="s">
        <v>404</v>
      </c>
      <c r="BH136" s="7" t="str">
        <f t="shared" si="63"/>
        <v>---------</v>
      </c>
      <c r="BI136" s="273">
        <v>1.8700000000000201</v>
      </c>
      <c r="BJ136" s="59">
        <v>115</v>
      </c>
      <c r="BK136" s="168" t="str">
        <f t="shared" si="64"/>
        <v>---------</v>
      </c>
      <c r="BL136" s="182">
        <v>5.3699999999999998E-2</v>
      </c>
      <c r="BM136" s="185">
        <v>115</v>
      </c>
      <c r="BN136" s="182">
        <f t="shared" si="65"/>
        <v>5.3699999999999998E-2</v>
      </c>
    </row>
    <row r="137" spans="20:66">
      <c r="T137" s="106">
        <f t="shared" si="69"/>
        <v>4.2063331488465101</v>
      </c>
      <c r="U137" s="106">
        <f t="shared" si="70"/>
        <v>4.328758960030739</v>
      </c>
      <c r="V137" s="106">
        <f t="shared" si="71"/>
        <v>4.4078111111111129</v>
      </c>
      <c r="W137" s="106">
        <f t="shared" si="72"/>
        <v>4.4554895424827485</v>
      </c>
      <c r="X137" s="106">
        <f t="shared" si="73"/>
        <v>4.5468788524241797</v>
      </c>
      <c r="Y137" s="106">
        <f t="shared" si="74"/>
        <v>4.6033022222222284</v>
      </c>
      <c r="Z137" s="106">
        <f t="shared" si="75"/>
        <v>4.6210204301338571</v>
      </c>
      <c r="AA137" s="106">
        <f t="shared" si="76"/>
        <v>4.6937558811566218</v>
      </c>
      <c r="AB137" s="106">
        <f t="shared" si="77"/>
        <v>4.7363022222222222</v>
      </c>
      <c r="AC137" s="106">
        <f t="shared" si="78"/>
        <v>4.7041232610285562</v>
      </c>
      <c r="AD137" s="106">
        <f t="shared" si="79"/>
        <v>4.7652616598464066</v>
      </c>
      <c r="AE137" s="106">
        <f t="shared" si="80"/>
        <v>4.8051200000000049</v>
      </c>
      <c r="AF137" s="106">
        <f t="shared" si="81"/>
        <v>4.5263893377316737</v>
      </c>
      <c r="AG137" s="106">
        <f t="shared" si="82"/>
        <v>4.6879372769193015</v>
      </c>
      <c r="AH137" s="106">
        <f t="shared" si="83"/>
        <v>4.8001217338206228</v>
      </c>
      <c r="AI137" s="106">
        <f t="shared" si="84"/>
        <v>4.8649075102304025</v>
      </c>
      <c r="BF137" s="277">
        <v>13.6</v>
      </c>
      <c r="BG137" s="12" t="s">
        <v>405</v>
      </c>
      <c r="BH137" s="7" t="str">
        <f t="shared" si="63"/>
        <v>---------</v>
      </c>
      <c r="BI137" s="273">
        <v>1.8600000000000201</v>
      </c>
      <c r="BJ137" s="59">
        <v>116</v>
      </c>
      <c r="BK137" s="168" t="str">
        <f t="shared" si="64"/>
        <v>---------</v>
      </c>
      <c r="BL137" s="182">
        <v>5.3600000000000002E-2</v>
      </c>
      <c r="BM137" s="185">
        <v>116</v>
      </c>
      <c r="BN137" s="182">
        <f t="shared" si="65"/>
        <v>5.3600000000000002E-2</v>
      </c>
    </row>
    <row r="138" spans="20:66">
      <c r="T138" s="106">
        <f t="shared" si="69"/>
        <v>4.121633196537366</v>
      </c>
      <c r="U138" s="106">
        <f t="shared" si="70"/>
        <v>4.2434868941808181</v>
      </c>
      <c r="V138" s="106">
        <f t="shared" si="71"/>
        <v>4.324868324514993</v>
      </c>
      <c r="W138" s="106">
        <f t="shared" si="72"/>
        <v>4.365194467496023</v>
      </c>
      <c r="X138" s="106">
        <f t="shared" si="73"/>
        <v>4.4561854099486959</v>
      </c>
      <c r="Y138" s="106">
        <f t="shared" si="74"/>
        <v>4.5145976014109408</v>
      </c>
      <c r="Z138" s="106">
        <f t="shared" si="75"/>
        <v>4.5267882746508992</v>
      </c>
      <c r="AA138" s="106">
        <f t="shared" si="76"/>
        <v>4.5992520782426896</v>
      </c>
      <c r="AB138" s="106">
        <f t="shared" si="77"/>
        <v>4.6435499823633162</v>
      </c>
      <c r="AC138" s="106">
        <f t="shared" si="78"/>
        <v>4.6081249436670086</v>
      </c>
      <c r="AD138" s="106">
        <f t="shared" si="79"/>
        <v>4.6691320541529926</v>
      </c>
      <c r="AE138" s="106">
        <f t="shared" si="80"/>
        <v>4.7099834920634969</v>
      </c>
      <c r="AF138" s="106">
        <f t="shared" si="81"/>
        <v>4.4469404700162549</v>
      </c>
      <c r="AG138" s="106">
        <f t="shared" si="82"/>
        <v>4.6022158886043076</v>
      </c>
      <c r="AH138" s="106">
        <f t="shared" si="83"/>
        <v>4.7099968385442565</v>
      </c>
      <c r="AI138" s="106">
        <f t="shared" si="84"/>
        <v>4.7712606489292533</v>
      </c>
      <c r="BF138" s="277">
        <v>13.5</v>
      </c>
      <c r="BG138" s="12" t="s">
        <v>406</v>
      </c>
      <c r="BH138" s="7" t="str">
        <f t="shared" si="63"/>
        <v>---------</v>
      </c>
      <c r="BI138" s="273">
        <v>1.8500000000000201</v>
      </c>
      <c r="BJ138" s="59">
        <v>117</v>
      </c>
      <c r="BK138" s="168" t="str">
        <f t="shared" si="64"/>
        <v>---------</v>
      </c>
      <c r="BL138" s="182">
        <v>5.3499999999999999E-2</v>
      </c>
      <c r="BM138" s="185">
        <v>117</v>
      </c>
      <c r="BN138" s="182">
        <f t="shared" si="65"/>
        <v>5.3499999999999999E-2</v>
      </c>
    </row>
    <row r="139" spans="20:66">
      <c r="T139" s="106">
        <f t="shared" si="69"/>
        <v>4.036849949437439</v>
      </c>
      <c r="U139" s="106">
        <f t="shared" si="70"/>
        <v>4.158054196251757</v>
      </c>
      <c r="V139" s="106">
        <f t="shared" si="71"/>
        <v>4.2415756261022928</v>
      </c>
      <c r="W139" s="106">
        <f t="shared" si="72"/>
        <v>4.2748473712836699</v>
      </c>
      <c r="X139" s="106">
        <f t="shared" si="73"/>
        <v>4.3653974277575731</v>
      </c>
      <c r="Y139" s="106">
        <f t="shared" si="74"/>
        <v>4.425650299823638</v>
      </c>
      <c r="Z139" s="106">
        <f t="shared" si="75"/>
        <v>4.4325447034414802</v>
      </c>
      <c r="AA139" s="106">
        <f t="shared" si="76"/>
        <v>4.5047059925505177</v>
      </c>
      <c r="AB139" s="106">
        <f t="shared" si="77"/>
        <v>4.5506312522045853</v>
      </c>
      <c r="AC139" s="106">
        <f t="shared" si="78"/>
        <v>4.5121161079016758</v>
      </c>
      <c r="AD139" s="106">
        <f t="shared" si="79"/>
        <v>4.5729701624974046</v>
      </c>
      <c r="AE139" s="106">
        <f t="shared" si="80"/>
        <v>4.6147453968254011</v>
      </c>
      <c r="AF139" s="106">
        <f t="shared" si="81"/>
        <v>4.3668577708780969</v>
      </c>
      <c r="AG139" s="106">
        <f t="shared" si="82"/>
        <v>4.5160296079227358</v>
      </c>
      <c r="AH139" s="106">
        <f t="shared" si="83"/>
        <v>4.6195191416856867</v>
      </c>
      <c r="AI139" s="106">
        <f t="shared" si="84"/>
        <v>4.6774082483173958</v>
      </c>
      <c r="BF139" s="277">
        <v>13.4</v>
      </c>
      <c r="BG139" s="12" t="s">
        <v>407</v>
      </c>
      <c r="BH139" s="7" t="str">
        <f t="shared" si="63"/>
        <v>---------</v>
      </c>
      <c r="BI139" s="273">
        <v>1.8400000000000201</v>
      </c>
      <c r="BJ139" s="59">
        <v>118</v>
      </c>
      <c r="BK139" s="168" t="str">
        <f t="shared" si="64"/>
        <v>---------</v>
      </c>
      <c r="BL139" s="182">
        <v>5.3400000000000003E-2</v>
      </c>
      <c r="BM139" s="185">
        <v>118</v>
      </c>
      <c r="BN139" s="182">
        <f t="shared" si="65"/>
        <v>5.3400000000000003E-2</v>
      </c>
    </row>
    <row r="140" spans="20:66">
      <c r="T140" s="106">
        <f t="shared" si="69"/>
        <v>3.9519834075467313</v>
      </c>
      <c r="U140" s="106">
        <f t="shared" si="70"/>
        <v>4.0724608662435546</v>
      </c>
      <c r="V140" s="106">
        <f t="shared" si="71"/>
        <v>4.1579330158730166</v>
      </c>
      <c r="W140" s="106">
        <f t="shared" si="72"/>
        <v>4.1844482538456909</v>
      </c>
      <c r="X140" s="106">
        <f t="shared" si="73"/>
        <v>4.2745149058508121</v>
      </c>
      <c r="Y140" s="106">
        <f t="shared" si="74"/>
        <v>4.3364603174603218</v>
      </c>
      <c r="Z140" s="106">
        <f t="shared" si="75"/>
        <v>4.3382897165056011</v>
      </c>
      <c r="AA140" s="106">
        <f t="shared" si="76"/>
        <v>4.4101176240801072</v>
      </c>
      <c r="AB140" s="106">
        <f t="shared" si="77"/>
        <v>4.4575460317460314</v>
      </c>
      <c r="AC140" s="106">
        <f t="shared" si="78"/>
        <v>4.4160967537325568</v>
      </c>
      <c r="AD140" s="106">
        <f t="shared" si="79"/>
        <v>4.4767759848796436</v>
      </c>
      <c r="AE140" s="106">
        <f t="shared" si="80"/>
        <v>4.5194057142857176</v>
      </c>
      <c r="AF140" s="106">
        <f t="shared" si="81"/>
        <v>4.2861412403172094</v>
      </c>
      <c r="AG140" s="106">
        <f t="shared" si="82"/>
        <v>4.4293784348745859</v>
      </c>
      <c r="AH140" s="106">
        <f t="shared" si="83"/>
        <v>4.5286886432449176</v>
      </c>
      <c r="AI140" s="106">
        <f t="shared" si="84"/>
        <v>4.583350308394829</v>
      </c>
      <c r="BF140" s="277">
        <v>13.3</v>
      </c>
      <c r="BG140" s="12" t="s">
        <v>408</v>
      </c>
      <c r="BH140" s="7" t="str">
        <f t="shared" si="63"/>
        <v>---------</v>
      </c>
      <c r="BI140" s="273">
        <v>1.8300000000000201</v>
      </c>
      <c r="BJ140" s="59">
        <v>119</v>
      </c>
      <c r="BK140" s="168" t="str">
        <f t="shared" si="64"/>
        <v>---------</v>
      </c>
      <c r="BL140" s="182">
        <v>5.33E-2</v>
      </c>
      <c r="BM140" s="185">
        <v>119</v>
      </c>
      <c r="BN140" s="182">
        <f t="shared" si="65"/>
        <v>5.33E-2</v>
      </c>
    </row>
    <row r="141" spans="20:66">
      <c r="T141" s="106">
        <f t="shared" si="69"/>
        <v>3.8670335708652424</v>
      </c>
      <c r="U141" s="106">
        <f t="shared" si="70"/>
        <v>3.9867069041562115</v>
      </c>
      <c r="V141" s="106">
        <f t="shared" si="71"/>
        <v>4.0739404938271608</v>
      </c>
      <c r="W141" s="106">
        <f t="shared" si="72"/>
        <v>4.093997115182086</v>
      </c>
      <c r="X141" s="106">
        <f t="shared" si="73"/>
        <v>4.1835378442284119</v>
      </c>
      <c r="Y141" s="106">
        <f t="shared" si="74"/>
        <v>4.2470276543209922</v>
      </c>
      <c r="Z141" s="106">
        <f t="shared" si="75"/>
        <v>4.2440233138432619</v>
      </c>
      <c r="AA141" s="106">
        <f t="shared" si="76"/>
        <v>4.3154869728314562</v>
      </c>
      <c r="AB141" s="106">
        <f t="shared" si="77"/>
        <v>4.3642943209876544</v>
      </c>
      <c r="AC141" s="106">
        <f t="shared" si="78"/>
        <v>4.3200668811596525</v>
      </c>
      <c r="AD141" s="106">
        <f t="shared" si="79"/>
        <v>4.3805495212997103</v>
      </c>
      <c r="AE141" s="106">
        <f t="shared" si="80"/>
        <v>4.4239644444444481</v>
      </c>
      <c r="AF141" s="106">
        <f t="shared" si="81"/>
        <v>4.2047908783335846</v>
      </c>
      <c r="AG141" s="106">
        <f t="shared" si="82"/>
        <v>4.3422623694598625</v>
      </c>
      <c r="AH141" s="106">
        <f t="shared" si="83"/>
        <v>4.437505343221952</v>
      </c>
      <c r="AI141" s="106">
        <f t="shared" si="84"/>
        <v>4.4890868291615549</v>
      </c>
      <c r="BF141" s="277">
        <v>13.2</v>
      </c>
      <c r="BG141" s="12" t="s">
        <v>409</v>
      </c>
      <c r="BH141" s="7" t="str">
        <f t="shared" si="63"/>
        <v>---------</v>
      </c>
      <c r="BI141" s="273">
        <v>1.82000000000003</v>
      </c>
      <c r="BJ141" s="59">
        <v>120</v>
      </c>
      <c r="BK141" s="168" t="str">
        <f t="shared" si="64"/>
        <v>---------</v>
      </c>
      <c r="BL141" s="182">
        <v>5.3199999999999997E-2</v>
      </c>
      <c r="BM141" s="185">
        <v>120</v>
      </c>
      <c r="BN141" s="182">
        <f t="shared" si="65"/>
        <v>5.3199999999999997E-2</v>
      </c>
    </row>
    <row r="142" spans="20:66">
      <c r="T142" s="106">
        <f t="shared" si="69"/>
        <v>3.7820004393929709</v>
      </c>
      <c r="U142" s="106">
        <f t="shared" si="70"/>
        <v>3.9007923099897264</v>
      </c>
      <c r="V142" s="106">
        <f t="shared" si="71"/>
        <v>3.9895980599647278</v>
      </c>
      <c r="W142" s="106">
        <f t="shared" si="72"/>
        <v>4.0034939552928543</v>
      </c>
      <c r="X142" s="106">
        <f t="shared" si="73"/>
        <v>4.0924662428903726</v>
      </c>
      <c r="Y142" s="106">
        <f t="shared" si="74"/>
        <v>4.1573523104056465</v>
      </c>
      <c r="Z142" s="106">
        <f t="shared" si="75"/>
        <v>4.1497454954544626</v>
      </c>
      <c r="AA142" s="106">
        <f t="shared" si="76"/>
        <v>4.2208140388045656</v>
      </c>
      <c r="AB142" s="106">
        <f t="shared" si="77"/>
        <v>4.2708761199294525</v>
      </c>
      <c r="AC142" s="106">
        <f t="shared" si="78"/>
        <v>4.2240264901829629</v>
      </c>
      <c r="AD142" s="106">
        <f t="shared" si="79"/>
        <v>4.2842907717576022</v>
      </c>
      <c r="AE142" s="106">
        <f t="shared" si="80"/>
        <v>4.3284215873015901</v>
      </c>
      <c r="AF142" s="106">
        <f t="shared" si="81"/>
        <v>4.1228066849272302</v>
      </c>
      <c r="AG142" s="106">
        <f t="shared" si="82"/>
        <v>4.2546814116785576</v>
      </c>
      <c r="AH142" s="106">
        <f t="shared" si="83"/>
        <v>4.3459692416167828</v>
      </c>
      <c r="AI142" s="106">
        <f t="shared" si="84"/>
        <v>4.3946178106175715</v>
      </c>
      <c r="BF142" s="277">
        <v>13.1</v>
      </c>
      <c r="BG142" s="12" t="s">
        <v>410</v>
      </c>
      <c r="BH142" s="7" t="str">
        <f t="shared" si="63"/>
        <v>---------</v>
      </c>
      <c r="BI142" s="273">
        <v>1.81000000000003</v>
      </c>
      <c r="BJ142" s="59">
        <v>121</v>
      </c>
      <c r="BK142" s="168" t="str">
        <f t="shared" si="64"/>
        <v>---------</v>
      </c>
      <c r="BL142" s="182">
        <v>5.3100000000000001E-2</v>
      </c>
      <c r="BM142" s="185">
        <v>121</v>
      </c>
      <c r="BN142" s="182">
        <f t="shared" si="65"/>
        <v>5.3100000000000001E-2</v>
      </c>
    </row>
    <row r="143" spans="20:66">
      <c r="T143" s="106">
        <f t="shared" si="69"/>
        <v>3.6968840131299183</v>
      </c>
      <c r="U143" s="106">
        <f t="shared" si="70"/>
        <v>3.8147170837441009</v>
      </c>
      <c r="V143" s="106">
        <f t="shared" si="71"/>
        <v>3.9049057142857153</v>
      </c>
      <c r="W143" s="106">
        <f t="shared" si="72"/>
        <v>3.9129387741779968</v>
      </c>
      <c r="X143" s="106">
        <f t="shared" si="73"/>
        <v>4.0013001018366952</v>
      </c>
      <c r="Y143" s="106">
        <f t="shared" si="74"/>
        <v>4.0674342857142891</v>
      </c>
      <c r="Z143" s="106">
        <f t="shared" si="75"/>
        <v>4.0554562613392031</v>
      </c>
      <c r="AA143" s="106">
        <f t="shared" si="76"/>
        <v>4.1260988219994363</v>
      </c>
      <c r="AB143" s="106">
        <f t="shared" si="77"/>
        <v>4.1772914285714284</v>
      </c>
      <c r="AC143" s="106">
        <f t="shared" si="78"/>
        <v>4.1279755808024872</v>
      </c>
      <c r="AD143" s="106">
        <f t="shared" si="79"/>
        <v>4.1879997362533219</v>
      </c>
      <c r="AE143" s="106">
        <f t="shared" si="80"/>
        <v>4.2327771428571452</v>
      </c>
      <c r="AF143" s="106">
        <f t="shared" si="81"/>
        <v>4.0401886600981367</v>
      </c>
      <c r="AG143" s="106">
        <f t="shared" si="82"/>
        <v>4.16663556153068</v>
      </c>
      <c r="AH143" s="106">
        <f t="shared" si="83"/>
        <v>4.2540803384294161</v>
      </c>
      <c r="AI143" s="106">
        <f t="shared" si="84"/>
        <v>4.2999432527628798</v>
      </c>
      <c r="BF143" s="277">
        <v>13</v>
      </c>
      <c r="BG143" s="12" t="s">
        <v>411</v>
      </c>
      <c r="BH143" s="7" t="str">
        <f t="shared" si="63"/>
        <v>---------</v>
      </c>
      <c r="BI143" s="273">
        <v>1.80000000000003</v>
      </c>
      <c r="BJ143" s="59">
        <v>122</v>
      </c>
      <c r="BK143" s="168" t="str">
        <f t="shared" si="64"/>
        <v>---------</v>
      </c>
      <c r="BL143" s="182">
        <v>5.2999999999999999E-2</v>
      </c>
      <c r="BM143" s="185">
        <v>122</v>
      </c>
      <c r="BN143" s="182">
        <f t="shared" si="65"/>
        <v>5.2999999999999999E-2</v>
      </c>
    </row>
    <row r="144" spans="20:66">
      <c r="T144" s="106">
        <f t="shared" si="69"/>
        <v>3.6116842920760837</v>
      </c>
      <c r="U144" s="106">
        <f t="shared" si="70"/>
        <v>3.7284812254193342</v>
      </c>
      <c r="V144" s="106">
        <f t="shared" si="71"/>
        <v>3.8198634567901242</v>
      </c>
      <c r="W144" s="106">
        <f t="shared" si="72"/>
        <v>3.822331571837513</v>
      </c>
      <c r="X144" s="106">
        <f t="shared" si="73"/>
        <v>3.9100394210673781</v>
      </c>
      <c r="Y144" s="106">
        <f t="shared" si="74"/>
        <v>3.9772735802469157</v>
      </c>
      <c r="Z144" s="106">
        <f t="shared" si="75"/>
        <v>3.9611556114974826</v>
      </c>
      <c r="AA144" s="106">
        <f t="shared" si="76"/>
        <v>4.0313413224160675</v>
      </c>
      <c r="AB144" s="106">
        <f t="shared" si="77"/>
        <v>4.0835402469135786</v>
      </c>
      <c r="AC144" s="106">
        <f t="shared" si="78"/>
        <v>4.0319141530182261</v>
      </c>
      <c r="AD144" s="106">
        <f t="shared" si="79"/>
        <v>4.0916764147868676</v>
      </c>
      <c r="AE144" s="106">
        <f t="shared" si="80"/>
        <v>4.1370311111111127</v>
      </c>
      <c r="AF144" s="106">
        <f t="shared" si="81"/>
        <v>3.9569368038463093</v>
      </c>
      <c r="AG144" s="106">
        <f t="shared" si="82"/>
        <v>4.0781248190162218</v>
      </c>
      <c r="AH144" s="106">
        <f t="shared" si="83"/>
        <v>4.1618386336598459</v>
      </c>
      <c r="AI144" s="106">
        <f t="shared" si="84"/>
        <v>4.2050631555974807</v>
      </c>
      <c r="BF144" s="277">
        <v>12.9</v>
      </c>
      <c r="BG144" s="12" t="s">
        <v>412</v>
      </c>
      <c r="BH144" s="7" t="str">
        <f t="shared" si="63"/>
        <v>---------</v>
      </c>
      <c r="BI144" s="273">
        <v>1.79000000000003</v>
      </c>
      <c r="BJ144" s="59">
        <v>123</v>
      </c>
      <c r="BK144" s="168" t="str">
        <f t="shared" si="64"/>
        <v>---------</v>
      </c>
      <c r="BL144" s="182">
        <v>5.2900000000000003E-2</v>
      </c>
      <c r="BM144" s="185">
        <v>123</v>
      </c>
      <c r="BN144" s="182">
        <f t="shared" si="65"/>
        <v>5.2900000000000003E-2</v>
      </c>
    </row>
    <row r="145" spans="20:66">
      <c r="T145" s="106">
        <f t="shared" si="69"/>
        <v>3.5264012762314683</v>
      </c>
      <c r="U145" s="106">
        <f t="shared" si="70"/>
        <v>3.6420847350154268</v>
      </c>
      <c r="V145" s="106">
        <f t="shared" si="71"/>
        <v>3.7344712874779549</v>
      </c>
      <c r="W145" s="106">
        <f t="shared" si="72"/>
        <v>3.7316723482714029</v>
      </c>
      <c r="X145" s="106">
        <f t="shared" si="73"/>
        <v>3.8186842005824233</v>
      </c>
      <c r="Y145" s="106">
        <f t="shared" si="74"/>
        <v>3.8868701940035297</v>
      </c>
      <c r="Z145" s="106">
        <f t="shared" si="75"/>
        <v>3.8668435459293029</v>
      </c>
      <c r="AA145" s="106">
        <f t="shared" si="76"/>
        <v>3.9365415400544599</v>
      </c>
      <c r="AB145" s="106">
        <f t="shared" si="77"/>
        <v>3.9896225749559076</v>
      </c>
      <c r="AC145" s="106">
        <f t="shared" si="78"/>
        <v>3.9358422068301797</v>
      </c>
      <c r="AD145" s="106">
        <f t="shared" si="79"/>
        <v>3.9953208073582402</v>
      </c>
      <c r="AE145" s="106">
        <f t="shared" si="80"/>
        <v>4.0411834920634933</v>
      </c>
      <c r="AF145" s="106">
        <f t="shared" si="81"/>
        <v>3.8730511161717471</v>
      </c>
      <c r="AG145" s="106">
        <f t="shared" si="82"/>
        <v>3.9891491841351892</v>
      </c>
      <c r="AH145" s="106">
        <f t="shared" si="83"/>
        <v>4.0692441273080791</v>
      </c>
      <c r="AI145" s="106">
        <f t="shared" si="84"/>
        <v>4.1099775191213723</v>
      </c>
      <c r="BF145" s="277">
        <v>12.8</v>
      </c>
      <c r="BG145" s="12" t="s">
        <v>413</v>
      </c>
      <c r="BH145" s="7" t="str">
        <f t="shared" si="63"/>
        <v>---------</v>
      </c>
      <c r="BI145" s="273">
        <v>1.78000000000003</v>
      </c>
      <c r="BJ145" s="59">
        <v>124</v>
      </c>
      <c r="BK145" s="168" t="str">
        <f t="shared" si="64"/>
        <v>---------</v>
      </c>
      <c r="BL145" s="182">
        <v>5.28E-2</v>
      </c>
      <c r="BM145" s="185">
        <v>124</v>
      </c>
      <c r="BN145" s="182">
        <f t="shared" si="65"/>
        <v>5.28E-2</v>
      </c>
    </row>
    <row r="146" spans="20:66">
      <c r="T146" s="106">
        <f t="shared" si="69"/>
        <v>3.4410349655960708</v>
      </c>
      <c r="U146" s="106">
        <f t="shared" si="70"/>
        <v>3.5555276125323783</v>
      </c>
      <c r="V146" s="106">
        <f t="shared" si="71"/>
        <v>3.6487292063492069</v>
      </c>
      <c r="W146" s="106">
        <f t="shared" si="72"/>
        <v>3.6409611034796665</v>
      </c>
      <c r="X146" s="106">
        <f t="shared" si="73"/>
        <v>3.7272344403818289</v>
      </c>
      <c r="Y146" s="106">
        <f t="shared" si="74"/>
        <v>3.7962241269841286</v>
      </c>
      <c r="Z146" s="106">
        <f t="shared" si="75"/>
        <v>3.7725200646346631</v>
      </c>
      <c r="AA146" s="106">
        <f t="shared" si="76"/>
        <v>3.8416994749146127</v>
      </c>
      <c r="AB146" s="106">
        <f t="shared" si="77"/>
        <v>3.8955384126984116</v>
      </c>
      <c r="AC146" s="106">
        <f t="shared" si="78"/>
        <v>3.8397597422383476</v>
      </c>
      <c r="AD146" s="106">
        <f t="shared" si="79"/>
        <v>3.8989329139674398</v>
      </c>
      <c r="AE146" s="106">
        <f t="shared" si="80"/>
        <v>3.9452342857142866</v>
      </c>
      <c r="AF146" s="106">
        <f t="shared" si="81"/>
        <v>3.7885315970744502</v>
      </c>
      <c r="AG146" s="106">
        <f t="shared" si="82"/>
        <v>3.8997086568875781</v>
      </c>
      <c r="AH146" s="106">
        <f t="shared" si="83"/>
        <v>3.9762968193741099</v>
      </c>
      <c r="AI146" s="106">
        <f t="shared" si="84"/>
        <v>4.0146863433345565</v>
      </c>
      <c r="BF146" s="277">
        <v>12.7</v>
      </c>
      <c r="BG146" s="12" t="s">
        <v>414</v>
      </c>
      <c r="BH146" s="7" t="str">
        <f t="shared" si="63"/>
        <v>---------</v>
      </c>
      <c r="BI146" s="273">
        <v>1.77000000000003</v>
      </c>
      <c r="BJ146" s="59">
        <v>125</v>
      </c>
      <c r="BK146" s="168" t="str">
        <f t="shared" si="64"/>
        <v>---------</v>
      </c>
      <c r="BL146" s="182">
        <v>5.2699999999999997E-2</v>
      </c>
      <c r="BM146" s="185">
        <v>125</v>
      </c>
      <c r="BN146" s="182">
        <f t="shared" si="65"/>
        <v>5.2699999999999997E-2</v>
      </c>
    </row>
    <row r="147" spans="20:66">
      <c r="T147" s="106">
        <f t="shared" si="69"/>
        <v>3.3555853601698917</v>
      </c>
      <c r="U147" s="106">
        <f t="shared" si="70"/>
        <v>3.4688098579701889</v>
      </c>
      <c r="V147" s="106">
        <f t="shared" si="71"/>
        <v>3.5626372134038804</v>
      </c>
      <c r="W147" s="106">
        <f t="shared" si="72"/>
        <v>3.5501978374623038</v>
      </c>
      <c r="X147" s="106">
        <f t="shared" si="73"/>
        <v>3.6356901404655959</v>
      </c>
      <c r="Y147" s="106">
        <f t="shared" si="74"/>
        <v>3.705335379188714</v>
      </c>
      <c r="Z147" s="106">
        <f t="shared" si="75"/>
        <v>3.6781851676135626</v>
      </c>
      <c r="AA147" s="106">
        <f t="shared" si="76"/>
        <v>3.746815126996526</v>
      </c>
      <c r="AB147" s="106">
        <f t="shared" si="77"/>
        <v>3.8012877601410926</v>
      </c>
      <c r="AC147" s="106">
        <f t="shared" si="78"/>
        <v>3.7436667592427297</v>
      </c>
      <c r="AD147" s="106">
        <f t="shared" si="79"/>
        <v>3.8025127346144663</v>
      </c>
      <c r="AE147" s="106">
        <f t="shared" si="80"/>
        <v>3.8491834920634931</v>
      </c>
      <c r="AF147" s="106">
        <f t="shared" si="81"/>
        <v>3.7033782465544176</v>
      </c>
      <c r="AG147" s="106">
        <f t="shared" si="82"/>
        <v>3.8098032372733912</v>
      </c>
      <c r="AH147" s="106">
        <f t="shared" si="83"/>
        <v>3.8829967098579425</v>
      </c>
      <c r="AI147" s="106">
        <f t="shared" si="84"/>
        <v>3.9191896282370333</v>
      </c>
      <c r="BF147" s="277">
        <v>12.6</v>
      </c>
      <c r="BG147" s="12" t="s">
        <v>415</v>
      </c>
      <c r="BH147" s="7" t="str">
        <f t="shared" si="63"/>
        <v>---------</v>
      </c>
      <c r="BI147" s="273">
        <v>1.76000000000003</v>
      </c>
      <c r="BJ147" s="59">
        <v>126</v>
      </c>
      <c r="BK147" s="168" t="str">
        <f t="shared" si="64"/>
        <v>---------</v>
      </c>
      <c r="BL147" s="182">
        <v>5.2600000000000001E-2</v>
      </c>
      <c r="BM147" s="185">
        <v>126</v>
      </c>
      <c r="BN147" s="182">
        <f t="shared" si="65"/>
        <v>5.2600000000000001E-2</v>
      </c>
    </row>
    <row r="148" spans="20:66">
      <c r="T148" s="106">
        <f t="shared" si="69"/>
        <v>3.270052459952931</v>
      </c>
      <c r="U148" s="106">
        <f t="shared" si="70"/>
        <v>3.3819314713288589</v>
      </c>
      <c r="V148" s="106">
        <f t="shared" si="71"/>
        <v>3.4761953086419761</v>
      </c>
      <c r="W148" s="106">
        <f t="shared" si="72"/>
        <v>3.4593825502193152</v>
      </c>
      <c r="X148" s="106">
        <f t="shared" si="73"/>
        <v>3.5440513008337242</v>
      </c>
      <c r="Y148" s="106">
        <f t="shared" si="74"/>
        <v>3.6142039506172852</v>
      </c>
      <c r="Z148" s="106">
        <f t="shared" si="75"/>
        <v>3.5838388548660021</v>
      </c>
      <c r="AA148" s="106">
        <f t="shared" si="76"/>
        <v>3.6518884963002005</v>
      </c>
      <c r="AB148" s="106">
        <f t="shared" si="77"/>
        <v>3.7068706172839505</v>
      </c>
      <c r="AC148" s="106">
        <f t="shared" si="78"/>
        <v>3.6475632578433261</v>
      </c>
      <c r="AD148" s="106">
        <f t="shared" si="79"/>
        <v>3.7060602692993196</v>
      </c>
      <c r="AE148" s="106">
        <f t="shared" si="80"/>
        <v>3.7530311111111119</v>
      </c>
      <c r="AF148" s="106">
        <f t="shared" si="81"/>
        <v>3.617591064611652</v>
      </c>
      <c r="AG148" s="106">
        <f t="shared" si="82"/>
        <v>3.7194329252926268</v>
      </c>
      <c r="AH148" s="106">
        <f t="shared" si="83"/>
        <v>3.7893437987595755</v>
      </c>
      <c r="AI148" s="106">
        <f t="shared" si="84"/>
        <v>3.8234873738288</v>
      </c>
      <c r="BF148" s="277">
        <v>12.5</v>
      </c>
      <c r="BG148" s="12" t="s">
        <v>416</v>
      </c>
      <c r="BH148" s="7" t="str">
        <f t="shared" si="63"/>
        <v>---------</v>
      </c>
      <c r="BI148" s="273">
        <v>1.75000000000003</v>
      </c>
      <c r="BJ148" s="59">
        <v>127</v>
      </c>
      <c r="BK148" s="168" t="str">
        <f t="shared" si="64"/>
        <v>---------</v>
      </c>
      <c r="BL148" s="182">
        <v>5.2499999999999998E-2</v>
      </c>
      <c r="BM148" s="185">
        <v>127</v>
      </c>
      <c r="BN148" s="182">
        <f t="shared" si="65"/>
        <v>5.2499999999999998E-2</v>
      </c>
    </row>
    <row r="149" spans="20:66">
      <c r="T149" s="106">
        <f t="shared" ref="T149:T165" si="85">$AG$16*$BQ87^2+$AG$17*$BQ87+$AG$18+$BB$20</f>
        <v>3.1844362649451892</v>
      </c>
      <c r="U149" s="106">
        <f t="shared" ref="U149:U165" si="86">$AG$19*$BQ87^2+$AG$20*$BQ87+$AG$21+$BB$20</f>
        <v>3.2948924526083876</v>
      </c>
      <c r="V149" s="106">
        <f t="shared" ref="V149:V165" si="87">$AG$22*$BQ87^2+$AG$23*$BQ87+$AG$24+$BB$20</f>
        <v>3.3894034920634923</v>
      </c>
      <c r="W149" s="106">
        <f t="shared" ref="W149:W165" si="88">$AH$16*$BQ87^2+$AH$17*$BQ87+$AH$18+$BB$20</f>
        <v>3.3685152417507003</v>
      </c>
      <c r="X149" s="106">
        <f t="shared" ref="X149:X165" si="89">$AH$19*$BQ87^2+$AH$20*$BQ87+$AH$21+$BB$20</f>
        <v>3.4523179214862139</v>
      </c>
      <c r="Y149" s="106">
        <f t="shared" ref="Y149:Y165" si="90">$AH$22*$BQ87^2+$AH$23*$BQ87+$AH$24+$BB$20</f>
        <v>3.522829841269842</v>
      </c>
      <c r="Z149" s="106">
        <f t="shared" ref="Z149:Z165" si="91">$AI$16*$BQ87^2+$AI$17*$BQ87+$AI$18+$BB$20</f>
        <v>3.4894811263919814</v>
      </c>
      <c r="AA149" s="106">
        <f t="shared" ref="AA149:AA165" si="92">$AI$19*$BQ87^2+$AI$20*$BQ87+$AI$21+$BB$20</f>
        <v>3.5569195828256355</v>
      </c>
      <c r="AB149" s="106">
        <f t="shared" ref="AB149:AB165" si="93">$AI$22*$BQ87^2+$AI$23*$BQ87+$AI$24+$BB$20</f>
        <v>3.6122869841269836</v>
      </c>
      <c r="AC149" s="106">
        <f t="shared" ref="AC149:AC165" si="94">$AJ$16*$BQ87^2+$AJ$17*$BQ87+$AJ$18+$BB$20</f>
        <v>3.5514492380401372</v>
      </c>
      <c r="AD149" s="106">
        <f t="shared" ref="AD149:AD165" si="95">$AJ$19*$BQ87^2+$AJ$20*$BQ87+$AJ$21+$BB$20</f>
        <v>3.6095755180219995</v>
      </c>
      <c r="AE149" s="106">
        <f t="shared" ref="AE149:AE165" si="96">$AJ$22*$BQ87^2+$AJ$23*$BQ87+$AJ$24+$BB$20</f>
        <v>3.6567771428571434</v>
      </c>
      <c r="AF149" s="106">
        <f t="shared" ref="AF149:AF165" si="97">IF(AF$84&lt;=0.04,U149+(AF$84-0.04)/0.008*(U149-T149),U149+(AF$84-0.04)/0.01*(V149-U149))</f>
        <v>3.5311700512461495</v>
      </c>
      <c r="AG149" s="106">
        <f t="shared" ref="AG149:AG165" si="98">IF(AG$84&lt;=0.04,X149+(AG$84-0.04)/0.008*(X149-W149),X149+(AG$84-0.04)/0.01*(Y149-X149))</f>
        <v>3.628597720945284</v>
      </c>
      <c r="AH149" s="106">
        <f t="shared" ref="AH149:AH165" si="99">IF(AH$84&lt;=0.04,AA149+(AH$84-0.04)/0.008*(AA149-Z149),AA149+(AH$84-0.04)/0.01*(AB149-AA149))</f>
        <v>3.6953380860790057</v>
      </c>
      <c r="AI149" s="106">
        <f t="shared" ref="AI149:AI165" si="100">IF(AI$84&lt;=0.04,AD149+(AI$84-0.04)/0.008*(AD149-AC149),AD149+(AI$84-0.04)/0.01*(AE149-AD149))</f>
        <v>3.7275795801098592</v>
      </c>
      <c r="BF149" s="277">
        <v>12.4</v>
      </c>
      <c r="BG149" s="12" t="s">
        <v>417</v>
      </c>
      <c r="BH149" s="7" t="str">
        <f t="shared" si="63"/>
        <v>---------</v>
      </c>
      <c r="BI149" s="273">
        <v>1.74000000000003</v>
      </c>
      <c r="BJ149" s="59">
        <v>128</v>
      </c>
      <c r="BK149" s="168" t="str">
        <f t="shared" si="64"/>
        <v>---------</v>
      </c>
      <c r="BL149" s="182">
        <v>5.2400000000000002E-2</v>
      </c>
      <c r="BM149" s="185">
        <v>128</v>
      </c>
      <c r="BN149" s="182">
        <f t="shared" si="65"/>
        <v>5.2400000000000002E-2</v>
      </c>
    </row>
    <row r="150" spans="20:66">
      <c r="T150" s="106">
        <f t="shared" si="85"/>
        <v>3.0987367751466657</v>
      </c>
      <c r="U150" s="106">
        <f t="shared" si="86"/>
        <v>3.2076928018087747</v>
      </c>
      <c r="V150" s="106">
        <f t="shared" si="87"/>
        <v>3.3022617636684304</v>
      </c>
      <c r="W150" s="106">
        <f t="shared" si="88"/>
        <v>3.2775959120564591</v>
      </c>
      <c r="X150" s="106">
        <f t="shared" si="89"/>
        <v>3.3604900024230644</v>
      </c>
      <c r="Y150" s="106">
        <f t="shared" si="90"/>
        <v>3.431213051146385</v>
      </c>
      <c r="Z150" s="106">
        <f t="shared" si="91"/>
        <v>3.3951119821915001</v>
      </c>
      <c r="AA150" s="106">
        <f t="shared" si="92"/>
        <v>3.46190838657283</v>
      </c>
      <c r="AB150" s="106">
        <f t="shared" si="93"/>
        <v>3.5175368606701936</v>
      </c>
      <c r="AC150" s="106">
        <f t="shared" si="94"/>
        <v>3.4553246998331626</v>
      </c>
      <c r="AD150" s="106">
        <f t="shared" si="95"/>
        <v>3.5130584807825063</v>
      </c>
      <c r="AE150" s="106">
        <f t="shared" si="96"/>
        <v>3.5604215873015876</v>
      </c>
      <c r="AF150" s="106">
        <f t="shared" si="97"/>
        <v>3.4441152064579139</v>
      </c>
      <c r="AG150" s="106">
        <f t="shared" si="98"/>
        <v>3.5372976242313658</v>
      </c>
      <c r="AH150" s="106">
        <f t="shared" si="99"/>
        <v>3.600979571816239</v>
      </c>
      <c r="AI150" s="106">
        <f t="shared" si="100"/>
        <v>3.6314662470802097</v>
      </c>
      <c r="BF150" s="277">
        <v>12.3</v>
      </c>
      <c r="BG150" s="12" t="s">
        <v>418</v>
      </c>
      <c r="BH150" s="7" t="str">
        <f t="shared" si="63"/>
        <v>---------</v>
      </c>
      <c r="BI150" s="273">
        <v>1.73000000000003</v>
      </c>
      <c r="BJ150" s="59">
        <v>129</v>
      </c>
      <c r="BK150" s="168" t="str">
        <f t="shared" si="64"/>
        <v>---------</v>
      </c>
      <c r="BL150" s="182">
        <v>5.2299999999999999E-2</v>
      </c>
      <c r="BM150" s="185">
        <v>129</v>
      </c>
      <c r="BN150" s="182">
        <f t="shared" si="65"/>
        <v>5.2299999999999999E-2</v>
      </c>
    </row>
    <row r="151" spans="20:66">
      <c r="T151" s="106">
        <f t="shared" si="85"/>
        <v>3.0129539905573601</v>
      </c>
      <c r="U151" s="106">
        <f t="shared" si="86"/>
        <v>3.1203325189300215</v>
      </c>
      <c r="V151" s="106">
        <f t="shared" si="87"/>
        <v>3.2147701234567903</v>
      </c>
      <c r="W151" s="106">
        <f t="shared" si="88"/>
        <v>3.1866245611365911</v>
      </c>
      <c r="X151" s="106">
        <f t="shared" si="89"/>
        <v>3.2685675436442763</v>
      </c>
      <c r="Y151" s="106">
        <f t="shared" si="90"/>
        <v>3.3393535802469136</v>
      </c>
      <c r="Z151" s="106">
        <f t="shared" si="91"/>
        <v>3.3007314222645592</v>
      </c>
      <c r="AA151" s="106">
        <f t="shared" si="92"/>
        <v>3.3668549075417857</v>
      </c>
      <c r="AB151" s="106">
        <f t="shared" si="93"/>
        <v>3.4226202469135796</v>
      </c>
      <c r="AC151" s="106">
        <f t="shared" si="94"/>
        <v>3.3591896432224022</v>
      </c>
      <c r="AD151" s="106">
        <f t="shared" si="95"/>
        <v>3.4165091575808395</v>
      </c>
      <c r="AE151" s="106">
        <f t="shared" si="96"/>
        <v>3.4639644444444446</v>
      </c>
      <c r="AF151" s="106">
        <f t="shared" si="97"/>
        <v>3.3564265302469432</v>
      </c>
      <c r="AG151" s="106">
        <f t="shared" si="98"/>
        <v>3.4455326351508697</v>
      </c>
      <c r="AH151" s="106">
        <f t="shared" si="99"/>
        <v>3.5062682559712703</v>
      </c>
      <c r="AI151" s="106">
        <f t="shared" si="100"/>
        <v>3.5351473747398523</v>
      </c>
      <c r="BF151" s="277">
        <v>12.2</v>
      </c>
      <c r="BG151" s="12" t="s">
        <v>419</v>
      </c>
      <c r="BH151" s="7" t="str">
        <f t="shared" ref="BH151:BH214" si="101">IF(Cntrl5=4,TEXT(BF151,"0.0"),"---------")</f>
        <v>---------</v>
      </c>
      <c r="BI151" s="273">
        <v>1.7200000000000299</v>
      </c>
      <c r="BJ151" s="59">
        <v>130</v>
      </c>
      <c r="BK151" s="168" t="str">
        <f t="shared" ref="BK151:BK214" si="102">IF(Cntrl5=2,"---------",TEXT(BI151,"0.00"))</f>
        <v>---------</v>
      </c>
      <c r="BL151" s="182">
        <v>5.2200000000000003E-2</v>
      </c>
      <c r="BM151" s="185">
        <v>130</v>
      </c>
      <c r="BN151" s="182">
        <f t="shared" ref="BN151:BN214" si="103">BL151</f>
        <v>5.2200000000000003E-2</v>
      </c>
    </row>
    <row r="152" spans="20:66">
      <c r="T152" s="106">
        <f t="shared" si="85"/>
        <v>2.927087911177273</v>
      </c>
      <c r="U152" s="106">
        <f t="shared" si="86"/>
        <v>3.0328116039721267</v>
      </c>
      <c r="V152" s="106">
        <f t="shared" si="87"/>
        <v>3.1269285714285715</v>
      </c>
      <c r="W152" s="106">
        <f t="shared" si="88"/>
        <v>3.0956011889910977</v>
      </c>
      <c r="X152" s="106">
        <f t="shared" si="89"/>
        <v>3.1765505451498486</v>
      </c>
      <c r="Y152" s="106">
        <f t="shared" si="90"/>
        <v>3.2472514285714285</v>
      </c>
      <c r="Z152" s="106">
        <f t="shared" si="91"/>
        <v>3.2063394466111581</v>
      </c>
      <c r="AA152" s="106">
        <f t="shared" si="92"/>
        <v>3.2717591457325028</v>
      </c>
      <c r="AB152" s="106">
        <f t="shared" si="93"/>
        <v>3.3275371428571416</v>
      </c>
      <c r="AC152" s="106">
        <f t="shared" si="94"/>
        <v>3.2630440682078565</v>
      </c>
      <c r="AD152" s="106">
        <f t="shared" si="95"/>
        <v>3.3199275484169997</v>
      </c>
      <c r="AE152" s="106">
        <f t="shared" si="96"/>
        <v>3.3674057142857139</v>
      </c>
      <c r="AF152" s="106">
        <f t="shared" si="97"/>
        <v>3.2681040226132385</v>
      </c>
      <c r="AG152" s="106">
        <f t="shared" si="98"/>
        <v>3.3533027537037983</v>
      </c>
      <c r="AH152" s="106">
        <f t="shared" si="99"/>
        <v>3.4112041385440999</v>
      </c>
      <c r="AI152" s="106">
        <f t="shared" si="100"/>
        <v>3.4386229630887852</v>
      </c>
      <c r="BF152" s="277">
        <v>12.1</v>
      </c>
      <c r="BG152" s="12" t="s">
        <v>420</v>
      </c>
      <c r="BH152" s="7" t="str">
        <f t="shared" si="101"/>
        <v>---------</v>
      </c>
      <c r="BI152" s="273">
        <v>1.7100000000000299</v>
      </c>
      <c r="BJ152" s="59">
        <v>131</v>
      </c>
      <c r="BK152" s="168" t="str">
        <f t="shared" si="102"/>
        <v>---------</v>
      </c>
      <c r="BL152" s="182">
        <v>5.21E-2</v>
      </c>
      <c r="BM152" s="185">
        <v>131</v>
      </c>
      <c r="BN152" s="182">
        <f t="shared" si="103"/>
        <v>5.21E-2</v>
      </c>
    </row>
    <row r="153" spans="20:66">
      <c r="T153" s="106">
        <f t="shared" si="85"/>
        <v>2.8411385370064051</v>
      </c>
      <c r="U153" s="106">
        <f t="shared" si="86"/>
        <v>2.9451300569350916</v>
      </c>
      <c r="V153" s="106">
        <f t="shared" si="87"/>
        <v>3.0387371075837746</v>
      </c>
      <c r="W153" s="106">
        <f t="shared" si="88"/>
        <v>3.0045257956199776</v>
      </c>
      <c r="X153" s="106">
        <f t="shared" si="89"/>
        <v>3.0844390069397836</v>
      </c>
      <c r="Y153" s="106">
        <f t="shared" si="90"/>
        <v>3.1549065961199294</v>
      </c>
      <c r="Z153" s="106">
        <f t="shared" si="91"/>
        <v>3.1119360552312965</v>
      </c>
      <c r="AA153" s="106">
        <f t="shared" si="92"/>
        <v>3.1766211011449803</v>
      </c>
      <c r="AB153" s="106">
        <f t="shared" si="93"/>
        <v>3.2322875485008815</v>
      </c>
      <c r="AC153" s="106">
        <f t="shared" si="94"/>
        <v>3.1668879747895251</v>
      </c>
      <c r="AD153" s="106">
        <f t="shared" si="95"/>
        <v>3.2233136532909872</v>
      </c>
      <c r="AE153" s="106">
        <f t="shared" si="96"/>
        <v>3.2707453968253972</v>
      </c>
      <c r="AF153" s="106">
        <f t="shared" si="97"/>
        <v>3.1791476835567991</v>
      </c>
      <c r="AG153" s="106">
        <f t="shared" si="98"/>
        <v>3.2606079798901479</v>
      </c>
      <c r="AH153" s="106">
        <f t="shared" si="99"/>
        <v>3.3157872195347333</v>
      </c>
      <c r="AI153" s="106">
        <f t="shared" si="100"/>
        <v>3.3418930121270121</v>
      </c>
      <c r="BF153" s="277">
        <v>12</v>
      </c>
      <c r="BG153" s="12" t="s">
        <v>421</v>
      </c>
      <c r="BH153" s="7" t="str">
        <f t="shared" si="101"/>
        <v>---------</v>
      </c>
      <c r="BI153" s="273">
        <v>1.7000000000000299</v>
      </c>
      <c r="BJ153" s="59">
        <v>132</v>
      </c>
      <c r="BK153" s="168" t="str">
        <f t="shared" si="102"/>
        <v>---------</v>
      </c>
      <c r="BL153" s="182">
        <v>5.1999999999999998E-2</v>
      </c>
      <c r="BM153" s="185">
        <v>132</v>
      </c>
      <c r="BN153" s="182">
        <f t="shared" si="103"/>
        <v>5.1999999999999998E-2</v>
      </c>
    </row>
    <row r="154" spans="20:66">
      <c r="T154" s="106">
        <f t="shared" si="85"/>
        <v>2.7551058680447551</v>
      </c>
      <c r="U154" s="106">
        <f t="shared" si="86"/>
        <v>2.8572878778189152</v>
      </c>
      <c r="V154" s="106">
        <f t="shared" si="87"/>
        <v>2.9501957319223986</v>
      </c>
      <c r="W154" s="106">
        <f t="shared" si="88"/>
        <v>2.9133983810232316</v>
      </c>
      <c r="X154" s="106">
        <f t="shared" si="89"/>
        <v>2.992232929014079</v>
      </c>
      <c r="Y154" s="106">
        <f t="shared" si="90"/>
        <v>3.0623190828924161</v>
      </c>
      <c r="Z154" s="106">
        <f t="shared" si="91"/>
        <v>3.0175212481249747</v>
      </c>
      <c r="AA154" s="106">
        <f t="shared" si="92"/>
        <v>3.0814407737792182</v>
      </c>
      <c r="AB154" s="106">
        <f t="shared" si="93"/>
        <v>3.1368714638447965</v>
      </c>
      <c r="AC154" s="106">
        <f t="shared" si="94"/>
        <v>3.0707213629674079</v>
      </c>
      <c r="AD154" s="106">
        <f t="shared" si="95"/>
        <v>3.1266674722028007</v>
      </c>
      <c r="AE154" s="106">
        <f t="shared" si="96"/>
        <v>3.173983492063492</v>
      </c>
      <c r="AF154" s="106">
        <f t="shared" si="97"/>
        <v>3.0895575130776236</v>
      </c>
      <c r="AG154" s="106">
        <f t="shared" si="98"/>
        <v>3.1674483137099214</v>
      </c>
      <c r="AH154" s="106">
        <f t="shared" si="99"/>
        <v>3.220017498943164</v>
      </c>
      <c r="AI154" s="106">
        <f t="shared" si="100"/>
        <v>3.2449575218545288</v>
      </c>
      <c r="BF154" s="277">
        <v>11.9</v>
      </c>
      <c r="BG154" s="12" t="s">
        <v>422</v>
      </c>
      <c r="BH154" s="7" t="str">
        <f t="shared" si="101"/>
        <v>---------</v>
      </c>
      <c r="BI154" s="273">
        <v>1.6900000000000299</v>
      </c>
      <c r="BJ154" s="59">
        <v>133</v>
      </c>
      <c r="BK154" s="168" t="str">
        <f t="shared" si="102"/>
        <v>---------</v>
      </c>
      <c r="BL154" s="182">
        <v>5.1900000000000002E-2</v>
      </c>
      <c r="BM154" s="185">
        <v>133</v>
      </c>
      <c r="BN154" s="182">
        <f t="shared" si="103"/>
        <v>5.1900000000000002E-2</v>
      </c>
    </row>
    <row r="155" spans="20:66">
      <c r="T155" s="106">
        <f t="shared" si="85"/>
        <v>2.6689899042923235</v>
      </c>
      <c r="U155" s="106">
        <f t="shared" si="86"/>
        <v>2.7692850666235977</v>
      </c>
      <c r="V155" s="106">
        <f t="shared" si="87"/>
        <v>2.861304444444444</v>
      </c>
      <c r="W155" s="106">
        <f t="shared" si="88"/>
        <v>2.8222189452008588</v>
      </c>
      <c r="X155" s="106">
        <f t="shared" si="89"/>
        <v>2.8999323113727353</v>
      </c>
      <c r="Y155" s="106">
        <f t="shared" si="90"/>
        <v>2.9694888888888888</v>
      </c>
      <c r="Z155" s="106">
        <f t="shared" si="91"/>
        <v>2.9230950252921928</v>
      </c>
      <c r="AA155" s="106">
        <f t="shared" si="92"/>
        <v>2.9862181636352165</v>
      </c>
      <c r="AB155" s="106">
        <f t="shared" si="93"/>
        <v>3.0412888888888885</v>
      </c>
      <c r="AC155" s="106">
        <f t="shared" si="94"/>
        <v>2.974544232741505</v>
      </c>
      <c r="AD155" s="106">
        <f t="shared" si="95"/>
        <v>3.0299890051524412</v>
      </c>
      <c r="AE155" s="106">
        <f t="shared" si="96"/>
        <v>3.0771199999999999</v>
      </c>
      <c r="AF155" s="106">
        <f t="shared" si="97"/>
        <v>2.9993335111757133</v>
      </c>
      <c r="AG155" s="106">
        <f t="shared" si="98"/>
        <v>3.0738237551631191</v>
      </c>
      <c r="AH155" s="106">
        <f t="shared" si="99"/>
        <v>3.1238949767693964</v>
      </c>
      <c r="AI155" s="106">
        <f t="shared" si="100"/>
        <v>3.1478164922713381</v>
      </c>
      <c r="BF155" s="277">
        <v>11.8</v>
      </c>
      <c r="BG155" s="12" t="s">
        <v>423</v>
      </c>
      <c r="BH155" s="7" t="str">
        <f t="shared" si="101"/>
        <v>---------</v>
      </c>
      <c r="BI155" s="273">
        <v>1.6800000000000299</v>
      </c>
      <c r="BJ155" s="59">
        <v>134</v>
      </c>
      <c r="BK155" s="168" t="str">
        <f t="shared" si="102"/>
        <v>---------</v>
      </c>
      <c r="BL155" s="182">
        <v>5.1799999999999999E-2</v>
      </c>
      <c r="BM155" s="185">
        <v>134</v>
      </c>
      <c r="BN155" s="182">
        <f t="shared" si="103"/>
        <v>5.1799999999999999E-2</v>
      </c>
    </row>
    <row r="156" spans="20:66">
      <c r="T156" s="106">
        <f t="shared" si="85"/>
        <v>2.5827906457491108</v>
      </c>
      <c r="U156" s="106">
        <f t="shared" si="86"/>
        <v>2.6811216233491395</v>
      </c>
      <c r="V156" s="106">
        <f t="shared" si="87"/>
        <v>2.7720632451499116</v>
      </c>
      <c r="W156" s="106">
        <f t="shared" si="88"/>
        <v>2.7309874881528597</v>
      </c>
      <c r="X156" s="106">
        <f t="shared" si="89"/>
        <v>2.807537154015753</v>
      </c>
      <c r="Y156" s="106">
        <f t="shared" si="90"/>
        <v>2.8764160141093473</v>
      </c>
      <c r="Z156" s="106">
        <f t="shared" si="91"/>
        <v>2.8286573867329508</v>
      </c>
      <c r="AA156" s="106">
        <f t="shared" si="92"/>
        <v>2.8909532707129761</v>
      </c>
      <c r="AB156" s="106">
        <f t="shared" si="93"/>
        <v>2.9455398236331565</v>
      </c>
      <c r="AC156" s="106">
        <f t="shared" si="94"/>
        <v>2.8783565841118168</v>
      </c>
      <c r="AD156" s="106">
        <f t="shared" si="95"/>
        <v>2.9332782521399081</v>
      </c>
      <c r="AE156" s="106">
        <f t="shared" si="96"/>
        <v>2.9801549206349205</v>
      </c>
      <c r="AF156" s="106">
        <f t="shared" si="97"/>
        <v>2.9084756778510696</v>
      </c>
      <c r="AG156" s="106">
        <f t="shared" si="98"/>
        <v>2.9797343042497388</v>
      </c>
      <c r="AH156" s="106">
        <f t="shared" si="99"/>
        <v>3.027419653013427</v>
      </c>
      <c r="AI156" s="106">
        <f t="shared" si="100"/>
        <v>3.0504699233774391</v>
      </c>
      <c r="BF156" s="277">
        <v>11.7</v>
      </c>
      <c r="BG156" s="12" t="s">
        <v>424</v>
      </c>
      <c r="BH156" s="7" t="str">
        <f t="shared" si="101"/>
        <v>---------</v>
      </c>
      <c r="BI156" s="273">
        <v>1.6700000000000299</v>
      </c>
      <c r="BJ156" s="59">
        <v>135</v>
      </c>
      <c r="BK156" s="168" t="str">
        <f t="shared" si="102"/>
        <v>---------</v>
      </c>
      <c r="BL156" s="182">
        <v>5.1700000000000003E-2</v>
      </c>
      <c r="BM156" s="185">
        <v>135</v>
      </c>
      <c r="BN156" s="182">
        <f t="shared" si="103"/>
        <v>5.1700000000000003E-2</v>
      </c>
    </row>
    <row r="157" spans="20:66">
      <c r="T157" s="106">
        <f t="shared" si="85"/>
        <v>2.4965080924151155</v>
      </c>
      <c r="U157" s="106">
        <f t="shared" si="86"/>
        <v>2.5927975479955401</v>
      </c>
      <c r="V157" s="106">
        <f t="shared" si="87"/>
        <v>2.6824721340388002</v>
      </c>
      <c r="W157" s="106">
        <f t="shared" si="88"/>
        <v>2.6397040098792348</v>
      </c>
      <c r="X157" s="106">
        <f t="shared" si="89"/>
        <v>2.715047456943132</v>
      </c>
      <c r="Y157" s="106">
        <f t="shared" si="90"/>
        <v>2.783100458553792</v>
      </c>
      <c r="Z157" s="106">
        <f t="shared" si="91"/>
        <v>2.7342083324472486</v>
      </c>
      <c r="AA157" s="106">
        <f t="shared" si="92"/>
        <v>2.7956460950124962</v>
      </c>
      <c r="AB157" s="106">
        <f t="shared" si="93"/>
        <v>2.8496242680776005</v>
      </c>
      <c r="AC157" s="106">
        <f t="shared" si="94"/>
        <v>2.7821584170783429</v>
      </c>
      <c r="AD157" s="106">
        <f t="shared" si="95"/>
        <v>2.836535213165202</v>
      </c>
      <c r="AE157" s="106">
        <f t="shared" si="96"/>
        <v>2.8830882539682539</v>
      </c>
      <c r="AF157" s="106">
        <f t="shared" si="97"/>
        <v>2.8169840131036903</v>
      </c>
      <c r="AG157" s="106">
        <f t="shared" si="98"/>
        <v>2.8851799609697819</v>
      </c>
      <c r="AH157" s="106">
        <f t="shared" si="99"/>
        <v>2.930591527675257</v>
      </c>
      <c r="AI157" s="106">
        <f t="shared" si="100"/>
        <v>2.9529178151728317</v>
      </c>
      <c r="BF157" s="277">
        <v>11.6</v>
      </c>
      <c r="BG157" s="12" t="s">
        <v>425</v>
      </c>
      <c r="BH157" s="7" t="str">
        <f t="shared" si="101"/>
        <v>---------</v>
      </c>
      <c r="BI157" s="273">
        <v>1.6600000000000299</v>
      </c>
      <c r="BJ157" s="59">
        <v>136</v>
      </c>
      <c r="BK157" s="168" t="str">
        <f t="shared" si="102"/>
        <v>---------</v>
      </c>
      <c r="BL157" s="182">
        <v>5.16E-2</v>
      </c>
      <c r="BM157" s="185">
        <v>136</v>
      </c>
      <c r="BN157" s="182">
        <f t="shared" si="103"/>
        <v>5.16E-2</v>
      </c>
    </row>
    <row r="158" spans="20:66">
      <c r="T158" s="106">
        <f t="shared" si="85"/>
        <v>2.4101422442903395</v>
      </c>
      <c r="U158" s="106">
        <f t="shared" si="86"/>
        <v>2.5043128405627999</v>
      </c>
      <c r="V158" s="106">
        <f t="shared" si="87"/>
        <v>2.5925311111111111</v>
      </c>
      <c r="W158" s="106">
        <f t="shared" si="88"/>
        <v>2.548368510379984</v>
      </c>
      <c r="X158" s="106">
        <f t="shared" si="89"/>
        <v>2.6224632201548728</v>
      </c>
      <c r="Y158" s="106">
        <f t="shared" si="90"/>
        <v>2.6895422222222227</v>
      </c>
      <c r="Z158" s="106">
        <f t="shared" si="91"/>
        <v>2.6397478624350863</v>
      </c>
      <c r="AA158" s="106">
        <f t="shared" si="92"/>
        <v>2.7002966365337766</v>
      </c>
      <c r="AB158" s="106">
        <f t="shared" si="93"/>
        <v>2.7535422222222214</v>
      </c>
      <c r="AC158" s="106">
        <f t="shared" si="94"/>
        <v>2.6859497316410836</v>
      </c>
      <c r="AD158" s="106">
        <f t="shared" si="95"/>
        <v>2.7397598882283232</v>
      </c>
      <c r="AE158" s="106">
        <f t="shared" si="96"/>
        <v>2.78592</v>
      </c>
      <c r="AF158" s="106">
        <f t="shared" si="97"/>
        <v>2.7248585169335779</v>
      </c>
      <c r="AG158" s="106">
        <f t="shared" si="98"/>
        <v>2.7901607253232479</v>
      </c>
      <c r="AH158" s="106">
        <f t="shared" si="99"/>
        <v>2.8334106007548887</v>
      </c>
      <c r="AI158" s="106">
        <f t="shared" si="100"/>
        <v>2.8551601676575151</v>
      </c>
      <c r="BF158" s="277">
        <v>11.5</v>
      </c>
      <c r="BG158" s="12" t="s">
        <v>426</v>
      </c>
      <c r="BH158" s="7" t="str">
        <f t="shared" si="101"/>
        <v>---------</v>
      </c>
      <c r="BI158" s="273">
        <v>1.6500000000000301</v>
      </c>
      <c r="BJ158" s="59">
        <v>137</v>
      </c>
      <c r="BK158" s="168" t="str">
        <f t="shared" si="102"/>
        <v>---------</v>
      </c>
      <c r="BL158" s="182">
        <v>5.1499999999999997E-2</v>
      </c>
      <c r="BM158" s="185">
        <v>137</v>
      </c>
      <c r="BN158" s="182">
        <f t="shared" si="103"/>
        <v>5.1499999999999997E-2</v>
      </c>
    </row>
    <row r="159" spans="20:66">
      <c r="T159" s="106">
        <f t="shared" si="85"/>
        <v>2.3236931013747819</v>
      </c>
      <c r="U159" s="106">
        <f t="shared" si="86"/>
        <v>2.4156675010509185</v>
      </c>
      <c r="V159" s="106">
        <f t="shared" si="87"/>
        <v>2.5022401763668429</v>
      </c>
      <c r="W159" s="106">
        <f t="shared" si="88"/>
        <v>2.4569809896551065</v>
      </c>
      <c r="X159" s="106">
        <f t="shared" si="89"/>
        <v>2.5297844436509735</v>
      </c>
      <c r="Y159" s="106">
        <f t="shared" si="90"/>
        <v>2.5957413051146387</v>
      </c>
      <c r="Z159" s="106">
        <f t="shared" si="91"/>
        <v>2.5452759766964634</v>
      </c>
      <c r="AA159" s="106">
        <f t="shared" si="92"/>
        <v>2.6049048952768175</v>
      </c>
      <c r="AB159" s="106">
        <f t="shared" si="93"/>
        <v>2.6572936860670184</v>
      </c>
      <c r="AC159" s="106">
        <f t="shared" si="94"/>
        <v>2.5897305278000387</v>
      </c>
      <c r="AD159" s="106">
        <f t="shared" si="95"/>
        <v>2.6429522773292708</v>
      </c>
      <c r="AE159" s="106">
        <f t="shared" si="96"/>
        <v>2.6886501587301592</v>
      </c>
      <c r="AF159" s="106">
        <f t="shared" si="97"/>
        <v>2.6320991893407295</v>
      </c>
      <c r="AG159" s="106">
        <f t="shared" si="98"/>
        <v>2.6946765973101368</v>
      </c>
      <c r="AH159" s="106">
        <f t="shared" si="99"/>
        <v>2.7358768722523199</v>
      </c>
      <c r="AI159" s="106">
        <f t="shared" si="100"/>
        <v>2.757196980831492</v>
      </c>
      <c r="BF159" s="277">
        <v>11.4</v>
      </c>
      <c r="BG159" s="12" t="s">
        <v>427</v>
      </c>
      <c r="BH159" s="7" t="str">
        <f t="shared" si="101"/>
        <v>---------</v>
      </c>
      <c r="BI159" s="273">
        <v>1.6400000000000301</v>
      </c>
      <c r="BJ159" s="59">
        <v>138</v>
      </c>
      <c r="BK159" s="168" t="str">
        <f t="shared" si="102"/>
        <v>---------</v>
      </c>
      <c r="BL159" s="182">
        <v>5.1400000000000001E-2</v>
      </c>
      <c r="BM159" s="185">
        <v>138</v>
      </c>
      <c r="BN159" s="182">
        <f t="shared" si="103"/>
        <v>5.1400000000000001E-2</v>
      </c>
    </row>
    <row r="160" spans="20:66">
      <c r="T160" s="106">
        <f t="shared" si="85"/>
        <v>2.2371606636684427</v>
      </c>
      <c r="U160" s="106">
        <f t="shared" si="86"/>
        <v>2.326861529459896</v>
      </c>
      <c r="V160" s="106">
        <f t="shared" si="87"/>
        <v>2.4115993298059966</v>
      </c>
      <c r="W160" s="106">
        <f t="shared" si="88"/>
        <v>2.3655414477046026</v>
      </c>
      <c r="X160" s="106">
        <f t="shared" si="89"/>
        <v>2.4370111274314361</v>
      </c>
      <c r="Y160" s="106">
        <f t="shared" si="90"/>
        <v>2.5016977072310409</v>
      </c>
      <c r="Z160" s="106">
        <f t="shared" si="91"/>
        <v>2.4507926752313809</v>
      </c>
      <c r="AA160" s="106">
        <f t="shared" si="92"/>
        <v>2.5094708712416196</v>
      </c>
      <c r="AB160" s="106">
        <f t="shared" si="93"/>
        <v>2.5608786596119923</v>
      </c>
      <c r="AC160" s="106">
        <f t="shared" si="94"/>
        <v>2.4935008055552079</v>
      </c>
      <c r="AD160" s="106">
        <f t="shared" si="95"/>
        <v>2.546112380468045</v>
      </c>
      <c r="AE160" s="106">
        <f t="shared" si="96"/>
        <v>2.5912787301587303</v>
      </c>
      <c r="AF160" s="106">
        <f t="shared" si="97"/>
        <v>2.5387060303251472</v>
      </c>
      <c r="AG160" s="106">
        <f t="shared" si="98"/>
        <v>2.5987275769304481</v>
      </c>
      <c r="AH160" s="106">
        <f t="shared" si="99"/>
        <v>2.6379903421675515</v>
      </c>
      <c r="AI160" s="106">
        <f t="shared" si="100"/>
        <v>2.6590282546947583</v>
      </c>
      <c r="BF160" s="277">
        <v>11.3</v>
      </c>
      <c r="BG160" s="12" t="s">
        <v>428</v>
      </c>
      <c r="BH160" s="7" t="str">
        <f t="shared" si="101"/>
        <v>---------</v>
      </c>
      <c r="BI160" s="273">
        <v>1.6300000000000301</v>
      </c>
      <c r="BJ160" s="59">
        <v>139</v>
      </c>
      <c r="BK160" s="168" t="str">
        <f t="shared" si="102"/>
        <v>---------</v>
      </c>
      <c r="BL160" s="182">
        <v>5.1299999999999998E-2</v>
      </c>
      <c r="BM160" s="185">
        <v>139</v>
      </c>
      <c r="BN160" s="182">
        <f t="shared" si="103"/>
        <v>5.1299999999999998E-2</v>
      </c>
    </row>
    <row r="161" spans="20:66">
      <c r="T161" s="106">
        <f t="shared" si="85"/>
        <v>2.1505449311713214</v>
      </c>
      <c r="U161" s="106">
        <f t="shared" si="86"/>
        <v>2.2378949257897327</v>
      </c>
      <c r="V161" s="106">
        <f t="shared" si="87"/>
        <v>2.3206085714285716</v>
      </c>
      <c r="W161" s="106">
        <f t="shared" si="88"/>
        <v>2.2740498845284725</v>
      </c>
      <c r="X161" s="106">
        <f t="shared" si="89"/>
        <v>2.34414327149626</v>
      </c>
      <c r="Y161" s="106">
        <f t="shared" si="90"/>
        <v>2.4074114285714288</v>
      </c>
      <c r="Z161" s="106">
        <f t="shared" si="91"/>
        <v>2.3562979580398378</v>
      </c>
      <c r="AA161" s="106">
        <f t="shared" si="92"/>
        <v>2.4139945644281822</v>
      </c>
      <c r="AB161" s="106">
        <f t="shared" si="93"/>
        <v>2.4642971428571423</v>
      </c>
      <c r="AC161" s="106">
        <f t="shared" si="94"/>
        <v>2.3972605649065919</v>
      </c>
      <c r="AD161" s="106">
        <f t="shared" si="95"/>
        <v>2.4492401976446461</v>
      </c>
      <c r="AE161" s="106">
        <f t="shared" si="96"/>
        <v>2.4938057142857146</v>
      </c>
      <c r="AF161" s="106">
        <f t="shared" si="97"/>
        <v>2.4446790398868297</v>
      </c>
      <c r="AG161" s="106">
        <f t="shared" si="98"/>
        <v>2.5023136641841819</v>
      </c>
      <c r="AH161" s="106">
        <f t="shared" si="99"/>
        <v>2.5397510105005825</v>
      </c>
      <c r="AI161" s="106">
        <f t="shared" si="100"/>
        <v>2.5606539892473172</v>
      </c>
      <c r="BF161" s="277">
        <v>11.2</v>
      </c>
      <c r="BG161" s="12" t="s">
        <v>429</v>
      </c>
      <c r="BH161" s="7" t="str">
        <f t="shared" si="101"/>
        <v>---------</v>
      </c>
      <c r="BI161" s="273">
        <v>1.6200000000000301</v>
      </c>
      <c r="BJ161" s="59">
        <v>140</v>
      </c>
      <c r="BK161" s="168" t="str">
        <f t="shared" si="102"/>
        <v>---------</v>
      </c>
      <c r="BL161" s="182">
        <v>5.1200000000000002E-2</v>
      </c>
      <c r="BM161" s="185">
        <v>140</v>
      </c>
      <c r="BN161" s="182">
        <f t="shared" si="103"/>
        <v>5.1200000000000002E-2</v>
      </c>
    </row>
    <row r="162" spans="20:66">
      <c r="T162" s="106">
        <f t="shared" si="85"/>
        <v>2.0638459038834185</v>
      </c>
      <c r="U162" s="106">
        <f t="shared" si="86"/>
        <v>2.1487676900404282</v>
      </c>
      <c r="V162" s="106">
        <f t="shared" si="87"/>
        <v>2.2292679012345675</v>
      </c>
      <c r="W162" s="106">
        <f t="shared" si="88"/>
        <v>2.1825063001267164</v>
      </c>
      <c r="X162" s="106">
        <f t="shared" si="89"/>
        <v>2.2511808758454452</v>
      </c>
      <c r="Y162" s="106">
        <f t="shared" si="90"/>
        <v>2.3128824691358028</v>
      </c>
      <c r="Z162" s="106">
        <f t="shared" si="91"/>
        <v>2.2617918251218345</v>
      </c>
      <c r="AA162" s="106">
        <f t="shared" si="92"/>
        <v>2.3184759748365051</v>
      </c>
      <c r="AB162" s="106">
        <f t="shared" si="93"/>
        <v>2.3675491358024683</v>
      </c>
      <c r="AC162" s="106">
        <f t="shared" si="94"/>
        <v>2.3010098058541901</v>
      </c>
      <c r="AD162" s="106">
        <f t="shared" si="95"/>
        <v>2.3523357288590736</v>
      </c>
      <c r="AE162" s="106">
        <f t="shared" si="96"/>
        <v>2.3962311111111116</v>
      </c>
      <c r="AF162" s="106">
        <f t="shared" si="97"/>
        <v>2.3500182180257765</v>
      </c>
      <c r="AG162" s="106">
        <f t="shared" si="98"/>
        <v>2.405434859071339</v>
      </c>
      <c r="AH162" s="106">
        <f t="shared" si="99"/>
        <v>2.441158877251413</v>
      </c>
      <c r="AI162" s="106">
        <f t="shared" si="100"/>
        <v>2.4620741844891687</v>
      </c>
      <c r="BF162" s="277">
        <v>11.1</v>
      </c>
      <c r="BG162" s="12" t="s">
        <v>430</v>
      </c>
      <c r="BH162" s="7" t="str">
        <f t="shared" si="101"/>
        <v>---------</v>
      </c>
      <c r="BI162" s="273">
        <v>1.6100000000000301</v>
      </c>
      <c r="BJ162" s="59">
        <v>141</v>
      </c>
      <c r="BK162" s="168" t="str">
        <f t="shared" si="102"/>
        <v>---------</v>
      </c>
      <c r="BL162" s="182">
        <v>5.11E-2</v>
      </c>
      <c r="BM162" s="185">
        <v>141</v>
      </c>
      <c r="BN162" s="182">
        <f t="shared" si="103"/>
        <v>5.11E-2</v>
      </c>
    </row>
    <row r="163" spans="20:66">
      <c r="T163" s="106">
        <f t="shared" si="85"/>
        <v>1.9770635818047351</v>
      </c>
      <c r="U163" s="106">
        <f t="shared" si="86"/>
        <v>2.0594798222119834</v>
      </c>
      <c r="V163" s="106">
        <f t="shared" si="87"/>
        <v>2.1375773192239862</v>
      </c>
      <c r="W163" s="106">
        <f t="shared" si="88"/>
        <v>2.0909106944993341</v>
      </c>
      <c r="X163" s="106">
        <f t="shared" si="89"/>
        <v>2.1581239404789914</v>
      </c>
      <c r="Y163" s="106">
        <f t="shared" si="90"/>
        <v>2.2181108289241633</v>
      </c>
      <c r="Z163" s="106">
        <f t="shared" si="91"/>
        <v>2.1672742764773711</v>
      </c>
      <c r="AA163" s="106">
        <f t="shared" si="92"/>
        <v>2.2229151024665894</v>
      </c>
      <c r="AB163" s="106">
        <f t="shared" si="93"/>
        <v>2.2706346384479712</v>
      </c>
      <c r="AC163" s="106">
        <f t="shared" si="94"/>
        <v>2.2047485283980026</v>
      </c>
      <c r="AD163" s="106">
        <f t="shared" si="95"/>
        <v>2.2553989741113285</v>
      </c>
      <c r="AE163" s="106">
        <f t="shared" si="96"/>
        <v>2.2985549206349218</v>
      </c>
      <c r="AF163" s="106">
        <f t="shared" si="97"/>
        <v>2.2547235647419903</v>
      </c>
      <c r="AG163" s="106">
        <f t="shared" si="98"/>
        <v>2.3080911615919213</v>
      </c>
      <c r="AH163" s="106">
        <f t="shared" si="99"/>
        <v>2.3422139424200439</v>
      </c>
      <c r="AI163" s="106">
        <f t="shared" si="100"/>
        <v>2.3632888404203118</v>
      </c>
      <c r="BF163" s="277">
        <v>11</v>
      </c>
      <c r="BG163" s="12" t="s">
        <v>431</v>
      </c>
      <c r="BH163" s="7" t="str">
        <f t="shared" si="101"/>
        <v>---------</v>
      </c>
      <c r="BI163" s="273">
        <v>1.6000000000000301</v>
      </c>
      <c r="BJ163" s="59">
        <v>142</v>
      </c>
      <c r="BK163" s="168" t="str">
        <f t="shared" si="102"/>
        <v>---------</v>
      </c>
      <c r="BL163" s="182">
        <v>5.0999999999999997E-2</v>
      </c>
      <c r="BM163" s="185">
        <v>142</v>
      </c>
      <c r="BN163" s="182">
        <f t="shared" si="103"/>
        <v>5.0999999999999997E-2</v>
      </c>
    </row>
    <row r="164" spans="20:66">
      <c r="T164" s="106">
        <f t="shared" si="85"/>
        <v>1.8901979649352691</v>
      </c>
      <c r="U164" s="106">
        <f t="shared" si="86"/>
        <v>1.970031322304397</v>
      </c>
      <c r="V164" s="106">
        <f t="shared" si="87"/>
        <v>2.0455368253968258</v>
      </c>
      <c r="W164" s="106">
        <f t="shared" si="88"/>
        <v>1.9992630676463252</v>
      </c>
      <c r="X164" s="106">
        <f t="shared" si="89"/>
        <v>2.0649724653968988</v>
      </c>
      <c r="Y164" s="106">
        <f t="shared" si="90"/>
        <v>2.1230965079365087</v>
      </c>
      <c r="Z164" s="106">
        <f t="shared" si="91"/>
        <v>2.0727453121064481</v>
      </c>
      <c r="AA164" s="106">
        <f t="shared" si="92"/>
        <v>2.1273119473184341</v>
      </c>
      <c r="AB164" s="106">
        <f t="shared" si="93"/>
        <v>2.1735536507936501</v>
      </c>
      <c r="AC164" s="106">
        <f t="shared" si="94"/>
        <v>2.1084767325380294</v>
      </c>
      <c r="AD164" s="106">
        <f t="shared" si="95"/>
        <v>2.1584299334014099</v>
      </c>
      <c r="AE164" s="106">
        <f t="shared" si="96"/>
        <v>2.2007771428571439</v>
      </c>
      <c r="AF164" s="106">
        <f t="shared" si="97"/>
        <v>2.1587950800354689</v>
      </c>
      <c r="AG164" s="106">
        <f t="shared" si="98"/>
        <v>2.2102825717459238</v>
      </c>
      <c r="AH164" s="106">
        <f t="shared" si="99"/>
        <v>2.2429162060064742</v>
      </c>
      <c r="AI164" s="106">
        <f t="shared" si="100"/>
        <v>2.2642979570407449</v>
      </c>
      <c r="BF164" s="277">
        <v>10.9</v>
      </c>
      <c r="BG164" s="12" t="s">
        <v>432</v>
      </c>
      <c r="BH164" s="7" t="str">
        <f t="shared" si="101"/>
        <v>---------</v>
      </c>
      <c r="BI164" s="273">
        <v>1.5900000000000301</v>
      </c>
      <c r="BJ164" s="59">
        <v>143</v>
      </c>
      <c r="BK164" s="168" t="str">
        <f t="shared" si="102"/>
        <v>---------</v>
      </c>
      <c r="BL164" s="182">
        <v>5.0900000000000001E-2</v>
      </c>
      <c r="BM164" s="185">
        <v>143</v>
      </c>
      <c r="BN164" s="182">
        <f t="shared" si="103"/>
        <v>5.0900000000000001E-2</v>
      </c>
    </row>
    <row r="165" spans="20:66">
      <c r="T165" s="106">
        <f t="shared" si="85"/>
        <v>1.8032490532750221</v>
      </c>
      <c r="U165" s="106">
        <f t="shared" si="86"/>
        <v>1.8804221903176697</v>
      </c>
      <c r="V165" s="106">
        <f t="shared" si="87"/>
        <v>1.9531464197530868</v>
      </c>
      <c r="W165" s="106">
        <f t="shared" si="88"/>
        <v>1.9075634195676903</v>
      </c>
      <c r="X165" s="106">
        <f t="shared" si="89"/>
        <v>1.9717264505991674</v>
      </c>
      <c r="Y165" s="106">
        <f t="shared" si="90"/>
        <v>2.0278395061728407</v>
      </c>
      <c r="Z165" s="106">
        <f t="shared" si="91"/>
        <v>1.978204932009064</v>
      </c>
      <c r="AA165" s="106">
        <f t="shared" si="92"/>
        <v>2.0316665093920392</v>
      </c>
      <c r="AB165" s="106">
        <f t="shared" si="93"/>
        <v>2.0763061728395051</v>
      </c>
      <c r="AC165" s="106">
        <f t="shared" si="94"/>
        <v>2.0121944182742708</v>
      </c>
      <c r="AD165" s="106">
        <f t="shared" si="95"/>
        <v>2.0614286067293173</v>
      </c>
      <c r="AE165" s="106">
        <f t="shared" si="96"/>
        <v>2.1028977777777791</v>
      </c>
      <c r="AF165" s="106">
        <f t="shared" si="97"/>
        <v>2.0622327639062124</v>
      </c>
      <c r="AG165" s="106">
        <f t="shared" si="98"/>
        <v>2.1120090895333505</v>
      </c>
      <c r="AH165" s="106">
        <f t="shared" si="99"/>
        <v>2.1432656680107041</v>
      </c>
      <c r="AI165" s="106">
        <f t="shared" si="100"/>
        <v>2.1651015343504718</v>
      </c>
      <c r="BF165" s="277">
        <v>10.8</v>
      </c>
      <c r="BG165" s="12" t="s">
        <v>433</v>
      </c>
      <c r="BH165" s="7" t="str">
        <f t="shared" si="101"/>
        <v>---------</v>
      </c>
      <c r="BI165" s="273">
        <v>1.58000000000003</v>
      </c>
      <c r="BJ165" s="59">
        <v>144</v>
      </c>
      <c r="BK165" s="168" t="str">
        <f t="shared" si="102"/>
        <v>---------</v>
      </c>
      <c r="BL165" s="182">
        <v>5.0799999999999998E-2</v>
      </c>
      <c r="BM165" s="185">
        <v>144</v>
      </c>
      <c r="BN165" s="182">
        <f t="shared" si="103"/>
        <v>5.0799999999999998E-2</v>
      </c>
    </row>
    <row r="166" spans="20:66">
      <c r="BF166" s="277">
        <v>10.7</v>
      </c>
      <c r="BG166" s="12" t="s">
        <v>434</v>
      </c>
      <c r="BH166" s="7" t="str">
        <f t="shared" si="101"/>
        <v>---------</v>
      </c>
      <c r="BI166" s="273">
        <v>1.57000000000003</v>
      </c>
      <c r="BJ166" s="59">
        <v>145</v>
      </c>
      <c r="BK166" s="168" t="str">
        <f t="shared" si="102"/>
        <v>---------</v>
      </c>
      <c r="BL166" s="182">
        <v>5.0700000000000002E-2</v>
      </c>
      <c r="BM166" s="185">
        <v>145</v>
      </c>
      <c r="BN166" s="182">
        <f t="shared" si="103"/>
        <v>5.0700000000000002E-2</v>
      </c>
    </row>
    <row r="167" spans="20:66">
      <c r="BF167" s="277">
        <v>10.6</v>
      </c>
      <c r="BG167" s="12" t="s">
        <v>435</v>
      </c>
      <c r="BH167" s="7" t="str">
        <f t="shared" si="101"/>
        <v>---------</v>
      </c>
      <c r="BI167" s="273">
        <v>1.56000000000003</v>
      </c>
      <c r="BJ167" s="59">
        <v>146</v>
      </c>
      <c r="BK167" s="168" t="str">
        <f t="shared" si="102"/>
        <v>---------</v>
      </c>
      <c r="BL167" s="182">
        <v>5.0599999999999999E-2</v>
      </c>
      <c r="BM167" s="185">
        <v>146</v>
      </c>
      <c r="BN167" s="182">
        <f t="shared" si="103"/>
        <v>5.0599999999999999E-2</v>
      </c>
    </row>
    <row r="168" spans="20:66">
      <c r="BF168" s="277">
        <v>10.5</v>
      </c>
      <c r="BG168" s="12" t="s">
        <v>436</v>
      </c>
      <c r="BH168" s="7" t="str">
        <f t="shared" si="101"/>
        <v>---------</v>
      </c>
      <c r="BI168" s="273">
        <v>1.55000000000003</v>
      </c>
      <c r="BJ168" s="59">
        <v>147</v>
      </c>
      <c r="BK168" s="168" t="str">
        <f t="shared" si="102"/>
        <v>---------</v>
      </c>
      <c r="BL168" s="182">
        <v>5.0500000000000003E-2</v>
      </c>
      <c r="BM168" s="185">
        <v>147</v>
      </c>
      <c r="BN168" s="182">
        <f t="shared" si="103"/>
        <v>5.0500000000000003E-2</v>
      </c>
    </row>
    <row r="169" spans="20:66">
      <c r="BF169" s="277">
        <v>10.4</v>
      </c>
      <c r="BG169" s="12" t="s">
        <v>437</v>
      </c>
      <c r="BH169" s="7" t="str">
        <f t="shared" si="101"/>
        <v>---------</v>
      </c>
      <c r="BI169" s="273">
        <v>1.54000000000003</v>
      </c>
      <c r="BJ169" s="59">
        <v>148</v>
      </c>
      <c r="BK169" s="168" t="str">
        <f t="shared" si="102"/>
        <v>---------</v>
      </c>
      <c r="BL169" s="182">
        <v>5.04E-2</v>
      </c>
      <c r="BM169" s="185">
        <v>148</v>
      </c>
      <c r="BN169" s="182">
        <f t="shared" si="103"/>
        <v>5.04E-2</v>
      </c>
    </row>
    <row r="170" spans="20:66">
      <c r="BF170" s="277">
        <v>10.3</v>
      </c>
      <c r="BG170" s="12" t="s">
        <v>438</v>
      </c>
      <c r="BH170" s="7" t="str">
        <f t="shared" si="101"/>
        <v>---------</v>
      </c>
      <c r="BI170" s="273">
        <v>1.53000000000003</v>
      </c>
      <c r="BJ170" s="59">
        <v>149</v>
      </c>
      <c r="BK170" s="168" t="str">
        <f t="shared" si="102"/>
        <v>---------</v>
      </c>
      <c r="BL170" s="182">
        <v>5.0299999999999997E-2</v>
      </c>
      <c r="BM170" s="185">
        <v>149</v>
      </c>
      <c r="BN170" s="182">
        <f t="shared" si="103"/>
        <v>5.0299999999999997E-2</v>
      </c>
    </row>
    <row r="171" spans="20:66">
      <c r="BF171" s="277">
        <v>10.199999999999999</v>
      </c>
      <c r="BG171" s="12" t="s">
        <v>439</v>
      </c>
      <c r="BH171" s="7" t="str">
        <f t="shared" si="101"/>
        <v>---------</v>
      </c>
      <c r="BI171" s="273">
        <v>1.52000000000003</v>
      </c>
      <c r="BJ171" s="59">
        <v>150</v>
      </c>
      <c r="BK171" s="168" t="str">
        <f t="shared" si="102"/>
        <v>---------</v>
      </c>
      <c r="BL171" s="182">
        <v>5.0200000000000002E-2</v>
      </c>
      <c r="BM171" s="185">
        <v>150</v>
      </c>
      <c r="BN171" s="182">
        <f t="shared" si="103"/>
        <v>5.0200000000000002E-2</v>
      </c>
    </row>
    <row r="172" spans="20:66">
      <c r="BF172" s="277">
        <v>10.1</v>
      </c>
      <c r="BG172" s="12" t="s">
        <v>440</v>
      </c>
      <c r="BH172" s="7" t="str">
        <f t="shared" si="101"/>
        <v>---------</v>
      </c>
      <c r="BI172" s="273">
        <v>1.51000000000003</v>
      </c>
      <c r="BJ172" s="59">
        <v>151</v>
      </c>
      <c r="BK172" s="168" t="str">
        <f t="shared" si="102"/>
        <v>---------</v>
      </c>
      <c r="BL172" s="182">
        <v>5.0099999999999999E-2</v>
      </c>
      <c r="BM172" s="185">
        <v>151</v>
      </c>
      <c r="BN172" s="182">
        <f t="shared" si="103"/>
        <v>5.0099999999999999E-2</v>
      </c>
    </row>
    <row r="173" spans="20:66">
      <c r="BF173" s="277">
        <v>10</v>
      </c>
      <c r="BG173" s="12" t="s">
        <v>441</v>
      </c>
      <c r="BH173" s="7" t="str">
        <f t="shared" si="101"/>
        <v>---------</v>
      </c>
      <c r="BI173" s="273">
        <v>1.50000000000003</v>
      </c>
      <c r="BJ173" s="59">
        <v>152</v>
      </c>
      <c r="BK173" s="168" t="str">
        <f t="shared" si="102"/>
        <v>---------</v>
      </c>
      <c r="BL173" s="182">
        <v>0.05</v>
      </c>
      <c r="BM173" s="185">
        <v>152</v>
      </c>
      <c r="BN173" s="182">
        <f t="shared" si="103"/>
        <v>0.05</v>
      </c>
    </row>
    <row r="174" spans="20:66">
      <c r="BF174" s="277">
        <v>9.9</v>
      </c>
      <c r="BG174" s="12" t="s">
        <v>442</v>
      </c>
      <c r="BH174" s="7" t="str">
        <f t="shared" si="101"/>
        <v>---------</v>
      </c>
      <c r="BI174" s="273">
        <v>1.49000000000003</v>
      </c>
      <c r="BJ174" s="59">
        <v>153</v>
      </c>
      <c r="BK174" s="168" t="str">
        <f t="shared" si="102"/>
        <v>---------</v>
      </c>
      <c r="BL174" s="182">
        <v>4.99E-2</v>
      </c>
      <c r="BM174" s="185">
        <v>153</v>
      </c>
      <c r="BN174" s="182">
        <f t="shared" si="103"/>
        <v>4.99E-2</v>
      </c>
    </row>
    <row r="175" spans="20:66">
      <c r="BF175" s="277">
        <v>9.8000000000000007</v>
      </c>
      <c r="BG175" s="12" t="s">
        <v>443</v>
      </c>
      <c r="BH175" s="7" t="str">
        <f t="shared" si="101"/>
        <v>---------</v>
      </c>
      <c r="BI175" s="273">
        <v>1.48000000000003</v>
      </c>
      <c r="BJ175" s="59">
        <v>154</v>
      </c>
      <c r="BK175" s="168" t="str">
        <f t="shared" si="102"/>
        <v>---------</v>
      </c>
      <c r="BL175" s="182">
        <v>4.9799999999999997E-2</v>
      </c>
      <c r="BM175" s="185">
        <v>154</v>
      </c>
      <c r="BN175" s="182">
        <f t="shared" si="103"/>
        <v>4.9799999999999997E-2</v>
      </c>
    </row>
    <row r="176" spans="20:66">
      <c r="BF176" s="277">
        <v>9.6999999999999993</v>
      </c>
      <c r="BG176" s="12" t="s">
        <v>444</v>
      </c>
      <c r="BH176" s="7" t="str">
        <f t="shared" si="101"/>
        <v>---------</v>
      </c>
      <c r="BI176" s="273">
        <v>1.4700000000000299</v>
      </c>
      <c r="BJ176" s="59">
        <v>155</v>
      </c>
      <c r="BK176" s="168" t="str">
        <f t="shared" si="102"/>
        <v>---------</v>
      </c>
      <c r="BL176" s="182">
        <v>4.9700000000000001E-2</v>
      </c>
      <c r="BM176" s="185">
        <v>155</v>
      </c>
      <c r="BN176" s="182">
        <f t="shared" si="103"/>
        <v>4.9700000000000001E-2</v>
      </c>
    </row>
    <row r="177" spans="58:66">
      <c r="BF177" s="277">
        <v>9.6</v>
      </c>
      <c r="BG177" s="12" t="s">
        <v>445</v>
      </c>
      <c r="BH177" s="7" t="str">
        <f t="shared" si="101"/>
        <v>---------</v>
      </c>
      <c r="BI177" s="273">
        <v>1.4600000000000299</v>
      </c>
      <c r="BJ177" s="59">
        <v>156</v>
      </c>
      <c r="BK177" s="168" t="str">
        <f t="shared" si="102"/>
        <v>---------</v>
      </c>
      <c r="BL177" s="182">
        <v>4.9599999999999998E-2</v>
      </c>
      <c r="BM177" s="185">
        <v>156</v>
      </c>
      <c r="BN177" s="182">
        <f t="shared" si="103"/>
        <v>4.9599999999999998E-2</v>
      </c>
    </row>
    <row r="178" spans="58:66">
      <c r="BF178" s="277">
        <v>9.5</v>
      </c>
      <c r="BG178" s="12" t="s">
        <v>446</v>
      </c>
      <c r="BH178" s="7" t="str">
        <f t="shared" si="101"/>
        <v>---------</v>
      </c>
      <c r="BI178" s="273">
        <v>1.4500000000000299</v>
      </c>
      <c r="BJ178" s="59">
        <v>157</v>
      </c>
      <c r="BK178" s="168" t="str">
        <f t="shared" si="102"/>
        <v>---------</v>
      </c>
      <c r="BL178" s="182">
        <v>4.9500000000000002E-2</v>
      </c>
      <c r="BM178" s="185">
        <v>157</v>
      </c>
      <c r="BN178" s="182">
        <f t="shared" si="103"/>
        <v>4.9500000000000002E-2</v>
      </c>
    </row>
    <row r="179" spans="58:66">
      <c r="BF179" s="277">
        <v>9.4</v>
      </c>
      <c r="BG179" s="12" t="s">
        <v>447</v>
      </c>
      <c r="BH179" s="7" t="str">
        <f t="shared" si="101"/>
        <v>---------</v>
      </c>
      <c r="BI179" s="273">
        <v>1.4400000000000299</v>
      </c>
      <c r="BJ179" s="59">
        <v>158</v>
      </c>
      <c r="BK179" s="168" t="str">
        <f t="shared" si="102"/>
        <v>---------</v>
      </c>
      <c r="BL179" s="182">
        <v>4.9399999999999999E-2</v>
      </c>
      <c r="BM179" s="185">
        <v>158</v>
      </c>
      <c r="BN179" s="182">
        <f t="shared" si="103"/>
        <v>4.9399999999999999E-2</v>
      </c>
    </row>
    <row r="180" spans="58:66">
      <c r="BF180" s="277">
        <v>9.3000000000000007</v>
      </c>
      <c r="BG180" s="12" t="s">
        <v>448</v>
      </c>
      <c r="BH180" s="7" t="str">
        <f t="shared" si="101"/>
        <v>---------</v>
      </c>
      <c r="BI180" s="273">
        <v>1.4300000000000299</v>
      </c>
      <c r="BJ180" s="59">
        <v>159</v>
      </c>
      <c r="BK180" s="168" t="str">
        <f t="shared" si="102"/>
        <v>---------</v>
      </c>
      <c r="BL180" s="182">
        <v>4.9299999999999997E-2</v>
      </c>
      <c r="BM180" s="185">
        <v>159</v>
      </c>
      <c r="BN180" s="182">
        <f t="shared" si="103"/>
        <v>4.9299999999999997E-2</v>
      </c>
    </row>
    <row r="181" spans="58:66">
      <c r="BF181" s="277">
        <v>9.1999999999999993</v>
      </c>
      <c r="BG181" s="12" t="s">
        <v>449</v>
      </c>
      <c r="BH181" s="7" t="str">
        <f t="shared" si="101"/>
        <v>---------</v>
      </c>
      <c r="BI181" s="273">
        <v>1.4200000000000299</v>
      </c>
      <c r="BJ181" s="59">
        <v>160</v>
      </c>
      <c r="BK181" s="168" t="str">
        <f t="shared" si="102"/>
        <v>---------</v>
      </c>
      <c r="BL181" s="182">
        <v>4.9200000000000001E-2</v>
      </c>
      <c r="BM181" s="185">
        <v>160</v>
      </c>
      <c r="BN181" s="182">
        <f t="shared" si="103"/>
        <v>4.9200000000000001E-2</v>
      </c>
    </row>
    <row r="182" spans="58:66">
      <c r="BF182" s="277">
        <v>9.1</v>
      </c>
      <c r="BG182" s="12" t="s">
        <v>450</v>
      </c>
      <c r="BH182" s="7" t="str">
        <f t="shared" si="101"/>
        <v>---------</v>
      </c>
      <c r="BI182" s="273">
        <v>1.4100000000000299</v>
      </c>
      <c r="BJ182" s="59">
        <v>161</v>
      </c>
      <c r="BK182" s="168" t="str">
        <f t="shared" si="102"/>
        <v>---------</v>
      </c>
      <c r="BL182" s="182">
        <v>4.9099999999999998E-2</v>
      </c>
      <c r="BM182" s="185">
        <v>161</v>
      </c>
      <c r="BN182" s="182">
        <f t="shared" si="103"/>
        <v>4.9099999999999998E-2</v>
      </c>
    </row>
    <row r="183" spans="58:66">
      <c r="BF183" s="277">
        <v>9</v>
      </c>
      <c r="BG183" s="12" t="s">
        <v>451</v>
      </c>
      <c r="BH183" s="7" t="str">
        <f t="shared" si="101"/>
        <v>---------</v>
      </c>
      <c r="BI183" s="273">
        <v>1.4000000000000301</v>
      </c>
      <c r="BJ183" s="59">
        <v>162</v>
      </c>
      <c r="BK183" s="168" t="str">
        <f t="shared" si="102"/>
        <v>---------</v>
      </c>
      <c r="BL183" s="182">
        <v>4.9000000000000002E-2</v>
      </c>
      <c r="BM183" s="185">
        <v>162</v>
      </c>
      <c r="BN183" s="182">
        <f t="shared" si="103"/>
        <v>4.9000000000000002E-2</v>
      </c>
    </row>
    <row r="184" spans="58:66">
      <c r="BF184" s="277">
        <v>8.9</v>
      </c>
      <c r="BG184" s="12" t="s">
        <v>452</v>
      </c>
      <c r="BH184" s="7" t="str">
        <f t="shared" si="101"/>
        <v>---------</v>
      </c>
      <c r="BI184" s="273">
        <v>1.3900000000000301</v>
      </c>
      <c r="BJ184" s="59">
        <v>163</v>
      </c>
      <c r="BK184" s="168" t="str">
        <f t="shared" si="102"/>
        <v>---------</v>
      </c>
      <c r="BL184" s="182">
        <v>4.8899999999999999E-2</v>
      </c>
      <c r="BM184" s="185">
        <v>163</v>
      </c>
      <c r="BN184" s="182">
        <f t="shared" si="103"/>
        <v>4.8899999999999999E-2</v>
      </c>
    </row>
    <row r="185" spans="58:66">
      <c r="BF185" s="277">
        <v>8.8000000000000007</v>
      </c>
      <c r="BG185" s="12" t="s">
        <v>453</v>
      </c>
      <c r="BH185" s="7" t="str">
        <f t="shared" si="101"/>
        <v>---------</v>
      </c>
      <c r="BI185" s="273">
        <v>1.3800000000000301</v>
      </c>
      <c r="BJ185" s="59">
        <v>164</v>
      </c>
      <c r="BK185" s="168" t="str">
        <f t="shared" si="102"/>
        <v>---------</v>
      </c>
      <c r="BL185" s="182">
        <v>4.8800000000000003E-2</v>
      </c>
      <c r="BM185" s="185">
        <v>164</v>
      </c>
      <c r="BN185" s="182">
        <f t="shared" si="103"/>
        <v>4.8800000000000003E-2</v>
      </c>
    </row>
    <row r="186" spans="58:66">
      <c r="BF186" s="277">
        <v>8.6999999999999993</v>
      </c>
      <c r="BG186" s="12" t="s">
        <v>454</v>
      </c>
      <c r="BH186" s="7" t="str">
        <f t="shared" si="101"/>
        <v>---------</v>
      </c>
      <c r="BI186" s="273">
        <v>1.3700000000000301</v>
      </c>
      <c r="BJ186" s="59">
        <v>165</v>
      </c>
      <c r="BK186" s="168" t="str">
        <f t="shared" si="102"/>
        <v>---------</v>
      </c>
      <c r="BL186" s="182">
        <v>4.87E-2</v>
      </c>
      <c r="BM186" s="185">
        <v>165</v>
      </c>
      <c r="BN186" s="182">
        <f t="shared" si="103"/>
        <v>4.87E-2</v>
      </c>
    </row>
    <row r="187" spans="58:66">
      <c r="BF187" s="277">
        <v>8.6</v>
      </c>
      <c r="BG187" s="12" t="s">
        <v>455</v>
      </c>
      <c r="BH187" s="7" t="str">
        <f t="shared" si="101"/>
        <v>---------</v>
      </c>
      <c r="BI187" s="273">
        <v>1.3600000000000301</v>
      </c>
      <c r="BJ187" s="59">
        <v>166</v>
      </c>
      <c r="BK187" s="168" t="str">
        <f t="shared" si="102"/>
        <v>---------</v>
      </c>
      <c r="BL187" s="182">
        <v>4.8599999999999997E-2</v>
      </c>
      <c r="BM187" s="185">
        <v>166</v>
      </c>
      <c r="BN187" s="182">
        <f t="shared" si="103"/>
        <v>4.8599999999999997E-2</v>
      </c>
    </row>
    <row r="188" spans="58:66">
      <c r="BF188" s="277">
        <v>8.5</v>
      </c>
      <c r="BG188" s="12" t="s">
        <v>456</v>
      </c>
      <c r="BH188" s="7" t="str">
        <f t="shared" si="101"/>
        <v>---------</v>
      </c>
      <c r="BI188" s="273">
        <v>1.3500000000000401</v>
      </c>
      <c r="BJ188" s="59">
        <v>167</v>
      </c>
      <c r="BK188" s="168" t="str">
        <f t="shared" si="102"/>
        <v>---------</v>
      </c>
      <c r="BL188" s="182">
        <v>4.8500000000000001E-2</v>
      </c>
      <c r="BM188" s="185">
        <v>167</v>
      </c>
      <c r="BN188" s="182">
        <f t="shared" si="103"/>
        <v>4.8500000000000001E-2</v>
      </c>
    </row>
    <row r="189" spans="58:66">
      <c r="BF189" s="277">
        <v>8.4</v>
      </c>
      <c r="BG189" s="12" t="s">
        <v>457</v>
      </c>
      <c r="BH189" s="7" t="str">
        <f t="shared" si="101"/>
        <v>---------</v>
      </c>
      <c r="BI189" s="273">
        <v>1.34000000000004</v>
      </c>
      <c r="BJ189" s="59">
        <v>168</v>
      </c>
      <c r="BK189" s="168" t="str">
        <f t="shared" si="102"/>
        <v>---------</v>
      </c>
      <c r="BL189" s="182">
        <v>4.8399999999999999E-2</v>
      </c>
      <c r="BM189" s="185">
        <v>168</v>
      </c>
      <c r="BN189" s="182">
        <f t="shared" si="103"/>
        <v>4.8399999999999999E-2</v>
      </c>
    </row>
    <row r="190" spans="58:66">
      <c r="BF190" s="277">
        <v>8.3000000000000007</v>
      </c>
      <c r="BG190" s="12" t="s">
        <v>458</v>
      </c>
      <c r="BH190" s="7" t="str">
        <f t="shared" si="101"/>
        <v>---------</v>
      </c>
      <c r="BI190" s="273">
        <v>1.33000000000004</v>
      </c>
      <c r="BJ190" s="59">
        <v>169</v>
      </c>
      <c r="BK190" s="168" t="str">
        <f t="shared" si="102"/>
        <v>---------</v>
      </c>
      <c r="BL190" s="182">
        <v>4.8300000000000003E-2</v>
      </c>
      <c r="BM190" s="185">
        <v>169</v>
      </c>
      <c r="BN190" s="182">
        <f t="shared" si="103"/>
        <v>4.8300000000000003E-2</v>
      </c>
    </row>
    <row r="191" spans="58:66">
      <c r="BF191" s="277">
        <v>8.1999999999999993</v>
      </c>
      <c r="BG191" s="12" t="s">
        <v>459</v>
      </c>
      <c r="BH191" s="7" t="str">
        <f t="shared" si="101"/>
        <v>---------</v>
      </c>
      <c r="BI191" s="273">
        <v>1.32000000000004</v>
      </c>
      <c r="BJ191" s="59">
        <v>170</v>
      </c>
      <c r="BK191" s="168" t="str">
        <f t="shared" si="102"/>
        <v>---------</v>
      </c>
      <c r="BL191" s="182">
        <v>4.82E-2</v>
      </c>
      <c r="BM191" s="185">
        <v>170</v>
      </c>
      <c r="BN191" s="182">
        <f t="shared" si="103"/>
        <v>4.82E-2</v>
      </c>
    </row>
    <row r="192" spans="58:66">
      <c r="BF192" s="277">
        <v>8.1</v>
      </c>
      <c r="BG192" s="12" t="s">
        <v>460</v>
      </c>
      <c r="BH192" s="7" t="str">
        <f t="shared" si="101"/>
        <v>---------</v>
      </c>
      <c r="BI192" s="273">
        <v>1.31000000000004</v>
      </c>
      <c r="BJ192" s="59">
        <v>171</v>
      </c>
      <c r="BK192" s="168" t="str">
        <f t="shared" si="102"/>
        <v>---------</v>
      </c>
      <c r="BL192" s="182">
        <v>4.8099999999999997E-2</v>
      </c>
      <c r="BM192" s="185">
        <v>171</v>
      </c>
      <c r="BN192" s="182">
        <f t="shared" si="103"/>
        <v>4.8099999999999997E-2</v>
      </c>
    </row>
    <row r="193" spans="58:66">
      <c r="BF193" s="277">
        <v>8</v>
      </c>
      <c r="BG193" s="12" t="s">
        <v>461</v>
      </c>
      <c r="BH193" s="7" t="str">
        <f t="shared" si="101"/>
        <v>---------</v>
      </c>
      <c r="BI193" s="273">
        <v>1.30000000000004</v>
      </c>
      <c r="BJ193" s="59">
        <v>172</v>
      </c>
      <c r="BK193" s="168" t="str">
        <f t="shared" si="102"/>
        <v>---------</v>
      </c>
      <c r="BL193" s="182">
        <v>4.8000000000000001E-2</v>
      </c>
      <c r="BM193" s="185">
        <v>172</v>
      </c>
      <c r="BN193" s="182">
        <f t="shared" si="103"/>
        <v>4.8000000000000001E-2</v>
      </c>
    </row>
    <row r="194" spans="58:66">
      <c r="BF194" s="277">
        <v>7.9</v>
      </c>
      <c r="BG194" s="12" t="s">
        <v>462</v>
      </c>
      <c r="BH194" s="7" t="str">
        <f t="shared" si="101"/>
        <v>---------</v>
      </c>
      <c r="BI194" s="273">
        <v>1.29000000000004</v>
      </c>
      <c r="BJ194" s="59">
        <v>173</v>
      </c>
      <c r="BK194" s="168" t="str">
        <f t="shared" si="102"/>
        <v>---------</v>
      </c>
      <c r="BL194" s="182">
        <v>4.7899999999999998E-2</v>
      </c>
      <c r="BM194" s="185">
        <v>173</v>
      </c>
      <c r="BN194" s="182">
        <f t="shared" si="103"/>
        <v>4.7899999999999998E-2</v>
      </c>
    </row>
    <row r="195" spans="58:66">
      <c r="BF195" s="277">
        <v>7.8</v>
      </c>
      <c r="BG195" s="12" t="s">
        <v>463</v>
      </c>
      <c r="BH195" s="7" t="str">
        <f t="shared" si="101"/>
        <v>---------</v>
      </c>
      <c r="BI195" s="273">
        <v>1.28000000000004</v>
      </c>
      <c r="BJ195" s="59">
        <v>174</v>
      </c>
      <c r="BK195" s="168" t="str">
        <f t="shared" si="102"/>
        <v>---------</v>
      </c>
      <c r="BL195" s="182">
        <v>4.7800000000000002E-2</v>
      </c>
      <c r="BM195" s="185">
        <v>174</v>
      </c>
      <c r="BN195" s="182">
        <f t="shared" si="103"/>
        <v>4.7800000000000002E-2</v>
      </c>
    </row>
    <row r="196" spans="58:66">
      <c r="BF196" s="277">
        <v>7.7</v>
      </c>
      <c r="BG196" s="12" t="s">
        <v>464</v>
      </c>
      <c r="BH196" s="7" t="str">
        <f t="shared" si="101"/>
        <v>---------</v>
      </c>
      <c r="BI196" s="273">
        <v>1.27000000000004</v>
      </c>
      <c r="BJ196" s="59">
        <v>175</v>
      </c>
      <c r="BK196" s="168" t="str">
        <f t="shared" si="102"/>
        <v>---------</v>
      </c>
      <c r="BL196" s="182">
        <v>4.7699999999999999E-2</v>
      </c>
      <c r="BM196" s="185">
        <v>175</v>
      </c>
      <c r="BN196" s="182">
        <f t="shared" si="103"/>
        <v>4.7699999999999999E-2</v>
      </c>
    </row>
    <row r="197" spans="58:66">
      <c r="BF197" s="277">
        <v>7.6</v>
      </c>
      <c r="BG197" s="12" t="s">
        <v>465</v>
      </c>
      <c r="BH197" s="7" t="str">
        <f t="shared" si="101"/>
        <v>---------</v>
      </c>
      <c r="BI197" s="273">
        <v>1.26000000000004</v>
      </c>
      <c r="BJ197" s="59">
        <v>176</v>
      </c>
      <c r="BK197" s="168" t="str">
        <f t="shared" si="102"/>
        <v>---------</v>
      </c>
      <c r="BL197" s="182">
        <v>4.7600000000000003E-2</v>
      </c>
      <c r="BM197" s="185">
        <v>176</v>
      </c>
      <c r="BN197" s="182">
        <f t="shared" si="103"/>
        <v>4.7600000000000003E-2</v>
      </c>
    </row>
    <row r="198" spans="58:66">
      <c r="BF198" s="277">
        <v>7.5</v>
      </c>
      <c r="BG198" s="12" t="s">
        <v>466</v>
      </c>
      <c r="BH198" s="7" t="str">
        <f t="shared" si="101"/>
        <v>---------</v>
      </c>
      <c r="BI198" s="273">
        <v>1.25000000000004</v>
      </c>
      <c r="BJ198" s="59">
        <v>177</v>
      </c>
      <c r="BK198" s="168" t="str">
        <f t="shared" si="102"/>
        <v>---------</v>
      </c>
      <c r="BL198" s="182">
        <v>4.7500000000000001E-2</v>
      </c>
      <c r="BM198" s="185">
        <v>177</v>
      </c>
      <c r="BN198" s="182">
        <f t="shared" si="103"/>
        <v>4.7500000000000001E-2</v>
      </c>
    </row>
    <row r="199" spans="58:66">
      <c r="BF199" s="277">
        <v>7.4</v>
      </c>
      <c r="BG199" s="12" t="s">
        <v>467</v>
      </c>
      <c r="BH199" s="7" t="str">
        <f t="shared" si="101"/>
        <v>---------</v>
      </c>
      <c r="BI199" s="273">
        <v>1.24000000000004</v>
      </c>
      <c r="BJ199" s="59">
        <v>178</v>
      </c>
      <c r="BK199" s="168" t="str">
        <f t="shared" si="102"/>
        <v>---------</v>
      </c>
      <c r="BL199" s="182">
        <v>4.7399999999999998E-2</v>
      </c>
      <c r="BM199" s="185">
        <v>178</v>
      </c>
      <c r="BN199" s="182">
        <f t="shared" si="103"/>
        <v>4.7399999999999998E-2</v>
      </c>
    </row>
    <row r="200" spans="58:66">
      <c r="BF200" s="277">
        <v>7.3</v>
      </c>
      <c r="BG200" s="12" t="s">
        <v>468</v>
      </c>
      <c r="BH200" s="7" t="str">
        <f t="shared" si="101"/>
        <v>---------</v>
      </c>
      <c r="BI200" s="273">
        <v>1.23000000000004</v>
      </c>
      <c r="BJ200" s="59">
        <v>179</v>
      </c>
      <c r="BK200" s="168" t="str">
        <f t="shared" si="102"/>
        <v>---------</v>
      </c>
      <c r="BL200" s="182">
        <v>4.7300000000000002E-2</v>
      </c>
      <c r="BM200" s="185">
        <v>179</v>
      </c>
      <c r="BN200" s="182">
        <f t="shared" si="103"/>
        <v>4.7300000000000002E-2</v>
      </c>
    </row>
    <row r="201" spans="58:66">
      <c r="BF201" s="277">
        <v>7.2</v>
      </c>
      <c r="BG201" s="12" t="s">
        <v>469</v>
      </c>
      <c r="BH201" s="7" t="str">
        <f t="shared" si="101"/>
        <v>---------</v>
      </c>
      <c r="BI201" s="273">
        <v>1.2200000000000399</v>
      </c>
      <c r="BJ201" s="59">
        <v>180</v>
      </c>
      <c r="BK201" s="168" t="str">
        <f t="shared" si="102"/>
        <v>---------</v>
      </c>
      <c r="BL201" s="182">
        <v>4.7199999999999999E-2</v>
      </c>
      <c r="BM201" s="185">
        <v>180</v>
      </c>
      <c r="BN201" s="182">
        <f t="shared" si="103"/>
        <v>4.7199999999999999E-2</v>
      </c>
    </row>
    <row r="202" spans="58:66">
      <c r="BF202" s="277">
        <v>7.1</v>
      </c>
      <c r="BG202" s="12" t="s">
        <v>470</v>
      </c>
      <c r="BH202" s="7" t="str">
        <f t="shared" si="101"/>
        <v>---------</v>
      </c>
      <c r="BI202" s="273">
        <v>1.2100000000000399</v>
      </c>
      <c r="BJ202" s="59">
        <v>181</v>
      </c>
      <c r="BK202" s="168" t="str">
        <f t="shared" si="102"/>
        <v>---------</v>
      </c>
      <c r="BL202" s="182">
        <v>4.7100000000000003E-2</v>
      </c>
      <c r="BM202" s="185">
        <v>181</v>
      </c>
      <c r="BN202" s="182">
        <f t="shared" si="103"/>
        <v>4.7100000000000003E-2</v>
      </c>
    </row>
    <row r="203" spans="58:66">
      <c r="BF203" s="277">
        <v>7</v>
      </c>
      <c r="BG203" s="12" t="s">
        <v>471</v>
      </c>
      <c r="BH203" s="7" t="str">
        <f t="shared" si="101"/>
        <v>---------</v>
      </c>
      <c r="BI203" s="273">
        <v>1.2000000000000399</v>
      </c>
      <c r="BJ203" s="59">
        <v>182</v>
      </c>
      <c r="BK203" s="168" t="str">
        <f t="shared" si="102"/>
        <v>---------</v>
      </c>
      <c r="BL203" s="182">
        <v>4.7E-2</v>
      </c>
      <c r="BM203" s="185">
        <v>182</v>
      </c>
      <c r="BN203" s="182">
        <f t="shared" si="103"/>
        <v>4.7E-2</v>
      </c>
    </row>
    <row r="204" spans="58:66">
      <c r="BF204" s="277">
        <v>6.9</v>
      </c>
      <c r="BG204" s="12" t="s">
        <v>472</v>
      </c>
      <c r="BH204" s="7" t="str">
        <f t="shared" si="101"/>
        <v>---------</v>
      </c>
      <c r="BI204" s="273">
        <v>1.1900000000000399</v>
      </c>
      <c r="BJ204" s="59">
        <v>183</v>
      </c>
      <c r="BK204" s="168" t="str">
        <f t="shared" si="102"/>
        <v>---------</v>
      </c>
      <c r="BL204" s="182">
        <v>4.6899999999999997E-2</v>
      </c>
      <c r="BM204" s="185">
        <v>183</v>
      </c>
      <c r="BN204" s="182">
        <f t="shared" si="103"/>
        <v>4.6899999999999997E-2</v>
      </c>
    </row>
    <row r="205" spans="58:66">
      <c r="BF205" s="277">
        <v>6.8</v>
      </c>
      <c r="BG205" s="12" t="s">
        <v>473</v>
      </c>
      <c r="BH205" s="7" t="str">
        <f t="shared" si="101"/>
        <v>---------</v>
      </c>
      <c r="BI205" s="273">
        <v>1.1800000000000399</v>
      </c>
      <c r="BJ205" s="59">
        <v>184</v>
      </c>
      <c r="BK205" s="168" t="str">
        <f t="shared" si="102"/>
        <v>---------</v>
      </c>
      <c r="BL205" s="182">
        <v>4.6800000000000001E-2</v>
      </c>
      <c r="BM205" s="185">
        <v>184</v>
      </c>
      <c r="BN205" s="182">
        <f t="shared" si="103"/>
        <v>4.6800000000000001E-2</v>
      </c>
    </row>
    <row r="206" spans="58:66">
      <c r="BF206" s="277">
        <v>6.7</v>
      </c>
      <c r="BG206" s="12" t="s">
        <v>474</v>
      </c>
      <c r="BH206" s="7" t="str">
        <f t="shared" si="101"/>
        <v>---------</v>
      </c>
      <c r="BI206" s="273">
        <v>1.1700000000000399</v>
      </c>
      <c r="BJ206" s="59">
        <v>185</v>
      </c>
      <c r="BK206" s="168" t="str">
        <f t="shared" si="102"/>
        <v>---------</v>
      </c>
      <c r="BL206" s="182">
        <v>4.6699999999999998E-2</v>
      </c>
      <c r="BM206" s="185">
        <v>185</v>
      </c>
      <c r="BN206" s="182">
        <f t="shared" si="103"/>
        <v>4.6699999999999998E-2</v>
      </c>
    </row>
    <row r="207" spans="58:66">
      <c r="BF207" s="277">
        <v>6.6</v>
      </c>
      <c r="BG207" s="12" t="s">
        <v>475</v>
      </c>
      <c r="BH207" s="7" t="str">
        <f t="shared" si="101"/>
        <v>---------</v>
      </c>
      <c r="BI207" s="273">
        <v>1.1600000000000401</v>
      </c>
      <c r="BJ207" s="59">
        <v>186</v>
      </c>
      <c r="BK207" s="168" t="str">
        <f t="shared" si="102"/>
        <v>---------</v>
      </c>
      <c r="BL207" s="182">
        <v>4.6600000000000003E-2</v>
      </c>
      <c r="BM207" s="185">
        <v>186</v>
      </c>
      <c r="BN207" s="182">
        <f t="shared" si="103"/>
        <v>4.6600000000000003E-2</v>
      </c>
    </row>
    <row r="208" spans="58:66">
      <c r="BF208" s="277">
        <v>6.5</v>
      </c>
      <c r="BG208" s="12" t="s">
        <v>476</v>
      </c>
      <c r="BH208" s="7" t="str">
        <f t="shared" si="101"/>
        <v>---------</v>
      </c>
      <c r="BI208" s="273">
        <v>1.1500000000000401</v>
      </c>
      <c r="BJ208" s="59">
        <v>187</v>
      </c>
      <c r="BK208" s="168" t="str">
        <f t="shared" si="102"/>
        <v>---------</v>
      </c>
      <c r="BL208" s="182">
        <v>4.65E-2</v>
      </c>
      <c r="BM208" s="185">
        <v>187</v>
      </c>
      <c r="BN208" s="182">
        <f t="shared" si="103"/>
        <v>4.65E-2</v>
      </c>
    </row>
    <row r="209" spans="58:66">
      <c r="BF209" s="277">
        <v>6.4</v>
      </c>
      <c r="BG209" s="12" t="s">
        <v>477</v>
      </c>
      <c r="BH209" s="7" t="str">
        <f t="shared" si="101"/>
        <v>---------</v>
      </c>
      <c r="BI209" s="273">
        <v>1.1400000000000401</v>
      </c>
      <c r="BJ209" s="59">
        <v>188</v>
      </c>
      <c r="BK209" s="168" t="str">
        <f t="shared" si="102"/>
        <v>---------</v>
      </c>
      <c r="BL209" s="182">
        <v>4.6399999999999997E-2</v>
      </c>
      <c r="BM209" s="185">
        <v>188</v>
      </c>
      <c r="BN209" s="182">
        <f t="shared" si="103"/>
        <v>4.6399999999999997E-2</v>
      </c>
    </row>
    <row r="210" spans="58:66">
      <c r="BF210" s="277">
        <v>6.3</v>
      </c>
      <c r="BG210" s="12" t="s">
        <v>478</v>
      </c>
      <c r="BH210" s="7" t="str">
        <f t="shared" si="101"/>
        <v>---------</v>
      </c>
      <c r="BI210" s="273">
        <v>1.1300000000000401</v>
      </c>
      <c r="BJ210" s="59">
        <v>189</v>
      </c>
      <c r="BK210" s="168" t="str">
        <f t="shared" si="102"/>
        <v>---------</v>
      </c>
      <c r="BL210" s="182">
        <v>4.6300000000000001E-2</v>
      </c>
      <c r="BM210" s="185">
        <v>189</v>
      </c>
      <c r="BN210" s="182">
        <f t="shared" si="103"/>
        <v>4.6300000000000001E-2</v>
      </c>
    </row>
    <row r="211" spans="58:66">
      <c r="BF211" s="277">
        <v>6.2</v>
      </c>
      <c r="BG211" s="12" t="s">
        <v>479</v>
      </c>
      <c r="BH211" s="7" t="str">
        <f t="shared" si="101"/>
        <v>---------</v>
      </c>
      <c r="BI211" s="273">
        <v>1.1200000000000401</v>
      </c>
      <c r="BJ211" s="59">
        <v>190</v>
      </c>
      <c r="BK211" s="168" t="str">
        <f t="shared" si="102"/>
        <v>---------</v>
      </c>
      <c r="BL211" s="182">
        <v>4.6199999999999998E-2</v>
      </c>
      <c r="BM211" s="185">
        <v>190</v>
      </c>
      <c r="BN211" s="182">
        <f t="shared" si="103"/>
        <v>4.6199999999999998E-2</v>
      </c>
    </row>
    <row r="212" spans="58:66">
      <c r="BF212" s="277">
        <v>6.1</v>
      </c>
      <c r="BG212" s="12" t="s">
        <v>480</v>
      </c>
      <c r="BH212" s="7" t="str">
        <f t="shared" si="101"/>
        <v>---------</v>
      </c>
      <c r="BI212" s="273">
        <v>1.1100000000000401</v>
      </c>
      <c r="BJ212" s="59">
        <v>191</v>
      </c>
      <c r="BK212" s="168" t="str">
        <f t="shared" si="102"/>
        <v>---------</v>
      </c>
      <c r="BL212" s="182">
        <v>4.6100000000000002E-2</v>
      </c>
      <c r="BM212" s="185">
        <v>191</v>
      </c>
      <c r="BN212" s="182">
        <f t="shared" si="103"/>
        <v>4.6100000000000002E-2</v>
      </c>
    </row>
    <row r="213" spans="58:66">
      <c r="BF213" s="277">
        <v>6</v>
      </c>
      <c r="BG213" s="12" t="s">
        <v>481</v>
      </c>
      <c r="BH213" s="7" t="str">
        <f t="shared" si="101"/>
        <v>---------</v>
      </c>
      <c r="BI213" s="273">
        <v>1.1000000000000401</v>
      </c>
      <c r="BJ213" s="59">
        <v>192</v>
      </c>
      <c r="BK213" s="168" t="str">
        <f t="shared" si="102"/>
        <v>---------</v>
      </c>
      <c r="BL213" s="182">
        <v>4.5999999999999999E-2</v>
      </c>
      <c r="BM213" s="185">
        <v>192</v>
      </c>
      <c r="BN213" s="182">
        <f t="shared" si="103"/>
        <v>4.5999999999999999E-2</v>
      </c>
    </row>
    <row r="214" spans="58:66">
      <c r="BF214" s="277">
        <v>5.9</v>
      </c>
      <c r="BG214" s="12" t="s">
        <v>482</v>
      </c>
      <c r="BH214" s="7" t="str">
        <f t="shared" si="101"/>
        <v>---------</v>
      </c>
      <c r="BI214" s="273">
        <v>1.09000000000004</v>
      </c>
      <c r="BJ214" s="59">
        <v>193</v>
      </c>
      <c r="BK214" s="168" t="str">
        <f t="shared" si="102"/>
        <v>---------</v>
      </c>
      <c r="BL214" s="182">
        <v>4.5900000000000003E-2</v>
      </c>
      <c r="BM214" s="185">
        <v>193</v>
      </c>
      <c r="BN214" s="182">
        <f t="shared" si="103"/>
        <v>4.5900000000000003E-2</v>
      </c>
    </row>
    <row r="215" spans="58:66">
      <c r="BF215" s="277">
        <v>5.8</v>
      </c>
      <c r="BG215" s="12" t="s">
        <v>483</v>
      </c>
      <c r="BH215" s="7" t="str">
        <f t="shared" ref="BH215:BH263" si="104">IF(Cntrl5=4,TEXT(BF215,"0.0"),"---------")</f>
        <v>---------</v>
      </c>
      <c r="BI215" s="273">
        <v>1.08000000000004</v>
      </c>
      <c r="BJ215" s="59">
        <v>194</v>
      </c>
      <c r="BK215" s="168" t="str">
        <f t="shared" ref="BK215:BK278" si="105">IF(Cntrl5=2,"---------",TEXT(BI215,"0.00"))</f>
        <v>---------</v>
      </c>
      <c r="BL215" s="182">
        <v>4.58E-2</v>
      </c>
      <c r="BM215" s="185">
        <v>194</v>
      </c>
      <c r="BN215" s="182">
        <f t="shared" ref="BN215:BN278" si="106">BL215</f>
        <v>4.58E-2</v>
      </c>
    </row>
    <row r="216" spans="58:66">
      <c r="BF216" s="277">
        <v>5.7</v>
      </c>
      <c r="BG216" s="12" t="s">
        <v>484</v>
      </c>
      <c r="BH216" s="7" t="str">
        <f t="shared" si="104"/>
        <v>---------</v>
      </c>
      <c r="BI216" s="273">
        <v>1.07000000000004</v>
      </c>
      <c r="BJ216" s="59">
        <v>195</v>
      </c>
      <c r="BK216" s="168" t="str">
        <f t="shared" si="105"/>
        <v>---------</v>
      </c>
      <c r="BL216" s="182">
        <v>4.5699999999999998E-2</v>
      </c>
      <c r="BM216" s="185">
        <v>195</v>
      </c>
      <c r="BN216" s="182">
        <f t="shared" si="106"/>
        <v>4.5699999999999998E-2</v>
      </c>
    </row>
    <row r="217" spans="58:66">
      <c r="BF217" s="277">
        <v>5.6</v>
      </c>
      <c r="BG217" s="12" t="s">
        <v>485</v>
      </c>
      <c r="BH217" s="7" t="str">
        <f t="shared" si="104"/>
        <v>---------</v>
      </c>
      <c r="BI217" s="273">
        <v>1.06000000000004</v>
      </c>
      <c r="BJ217" s="59">
        <v>196</v>
      </c>
      <c r="BK217" s="168" t="str">
        <f t="shared" si="105"/>
        <v>---------</v>
      </c>
      <c r="BL217" s="182">
        <v>4.5600000000000002E-2</v>
      </c>
      <c r="BM217" s="185">
        <v>196</v>
      </c>
      <c r="BN217" s="182">
        <f t="shared" si="106"/>
        <v>4.5600000000000002E-2</v>
      </c>
    </row>
    <row r="218" spans="58:66">
      <c r="BF218" s="277">
        <v>5.5</v>
      </c>
      <c r="BG218" s="12" t="s">
        <v>486</v>
      </c>
      <c r="BH218" s="7" t="str">
        <f t="shared" si="104"/>
        <v>---------</v>
      </c>
      <c r="BI218" s="273">
        <v>1.05000000000004</v>
      </c>
      <c r="BJ218" s="59">
        <v>197</v>
      </c>
      <c r="BK218" s="168" t="str">
        <f t="shared" si="105"/>
        <v>---------</v>
      </c>
      <c r="BL218" s="182">
        <v>4.5499999999999999E-2</v>
      </c>
      <c r="BM218" s="185">
        <v>197</v>
      </c>
      <c r="BN218" s="182">
        <f t="shared" si="106"/>
        <v>4.5499999999999999E-2</v>
      </c>
    </row>
    <row r="219" spans="58:66">
      <c r="BF219" s="277">
        <v>5.4</v>
      </c>
      <c r="BG219" s="12" t="s">
        <v>487</v>
      </c>
      <c r="BH219" s="7" t="str">
        <f t="shared" si="104"/>
        <v>---------</v>
      </c>
      <c r="BI219" s="273">
        <v>1.04000000000004</v>
      </c>
      <c r="BJ219" s="59">
        <v>198</v>
      </c>
      <c r="BK219" s="168" t="str">
        <f t="shared" si="105"/>
        <v>---------</v>
      </c>
      <c r="BL219" s="182">
        <v>4.5400000000000003E-2</v>
      </c>
      <c r="BM219" s="185">
        <v>198</v>
      </c>
      <c r="BN219" s="182">
        <f t="shared" si="106"/>
        <v>4.5400000000000003E-2</v>
      </c>
    </row>
    <row r="220" spans="58:66">
      <c r="BF220" s="277">
        <v>5.3</v>
      </c>
      <c r="BG220" s="12" t="s">
        <v>488</v>
      </c>
      <c r="BH220" s="7" t="str">
        <f t="shared" si="104"/>
        <v>---------</v>
      </c>
      <c r="BI220" s="273">
        <v>1.03000000000004</v>
      </c>
      <c r="BJ220" s="59">
        <v>199</v>
      </c>
      <c r="BK220" s="168" t="str">
        <f t="shared" si="105"/>
        <v>---------</v>
      </c>
      <c r="BL220" s="182">
        <v>4.53E-2</v>
      </c>
      <c r="BM220" s="185">
        <v>199</v>
      </c>
      <c r="BN220" s="182">
        <f t="shared" si="106"/>
        <v>4.53E-2</v>
      </c>
    </row>
    <row r="221" spans="58:66">
      <c r="BF221" s="277">
        <v>5.2</v>
      </c>
      <c r="BG221" s="12" t="s">
        <v>489</v>
      </c>
      <c r="BH221" s="7" t="str">
        <f t="shared" si="104"/>
        <v>---------</v>
      </c>
      <c r="BI221" s="273">
        <v>1.02000000000004</v>
      </c>
      <c r="BJ221" s="59">
        <v>200</v>
      </c>
      <c r="BK221" s="168" t="str">
        <f t="shared" si="105"/>
        <v>---------</v>
      </c>
      <c r="BL221" s="182">
        <v>4.5199999999999997E-2</v>
      </c>
      <c r="BM221" s="185">
        <v>200</v>
      </c>
      <c r="BN221" s="182">
        <f t="shared" si="106"/>
        <v>4.5199999999999997E-2</v>
      </c>
    </row>
    <row r="222" spans="58:66">
      <c r="BF222" s="277">
        <v>5.0999999999999996</v>
      </c>
      <c r="BG222" s="12" t="s">
        <v>490</v>
      </c>
      <c r="BH222" s="7" t="str">
        <f t="shared" si="104"/>
        <v>---------</v>
      </c>
      <c r="BI222" s="273">
        <v>1.01000000000004</v>
      </c>
      <c r="BJ222" s="59">
        <v>201</v>
      </c>
      <c r="BK222" s="168" t="str">
        <f t="shared" si="105"/>
        <v>---------</v>
      </c>
      <c r="BL222" s="182">
        <v>4.5100000000000001E-2</v>
      </c>
      <c r="BM222" s="185">
        <v>201</v>
      </c>
      <c r="BN222" s="182">
        <f t="shared" si="106"/>
        <v>4.5100000000000001E-2</v>
      </c>
    </row>
    <row r="223" spans="58:66">
      <c r="BF223" s="277">
        <v>5</v>
      </c>
      <c r="BG223" s="12" t="s">
        <v>491</v>
      </c>
      <c r="BH223" s="7" t="str">
        <f t="shared" si="104"/>
        <v>---------</v>
      </c>
      <c r="BI223" s="273">
        <v>1.00000000000004</v>
      </c>
      <c r="BJ223" s="59">
        <v>202</v>
      </c>
      <c r="BK223" s="168" t="str">
        <f t="shared" si="105"/>
        <v>---------</v>
      </c>
      <c r="BL223" s="182">
        <v>4.4999999999999998E-2</v>
      </c>
      <c r="BM223" s="185">
        <v>202</v>
      </c>
      <c r="BN223" s="182">
        <f t="shared" si="106"/>
        <v>4.4999999999999998E-2</v>
      </c>
    </row>
    <row r="224" spans="58:66">
      <c r="BF224" s="277">
        <v>4.9000000000000004</v>
      </c>
      <c r="BG224" s="12" t="s">
        <v>492</v>
      </c>
      <c r="BH224" s="7" t="str">
        <f t="shared" si="104"/>
        <v>---------</v>
      </c>
      <c r="BI224" s="273">
        <v>0.99000000000003996</v>
      </c>
      <c r="BJ224" s="59">
        <v>203</v>
      </c>
      <c r="BK224" s="168" t="str">
        <f t="shared" si="105"/>
        <v>---------</v>
      </c>
      <c r="BL224" s="182">
        <v>4.4900000000000002E-2</v>
      </c>
      <c r="BM224" s="185">
        <v>203</v>
      </c>
      <c r="BN224" s="182">
        <f t="shared" si="106"/>
        <v>4.4900000000000002E-2</v>
      </c>
    </row>
    <row r="225" spans="58:66">
      <c r="BF225" s="277">
        <v>4.8</v>
      </c>
      <c r="BG225" s="12" t="s">
        <v>493</v>
      </c>
      <c r="BH225" s="7" t="str">
        <f t="shared" si="104"/>
        <v>---------</v>
      </c>
      <c r="BI225" s="273">
        <v>0.98000000000003995</v>
      </c>
      <c r="BJ225" s="59">
        <v>204</v>
      </c>
      <c r="BK225" s="168" t="str">
        <f t="shared" si="105"/>
        <v>---------</v>
      </c>
      <c r="BL225" s="182">
        <v>4.48E-2</v>
      </c>
      <c r="BM225" s="185">
        <v>204</v>
      </c>
      <c r="BN225" s="182">
        <f t="shared" si="106"/>
        <v>4.48E-2</v>
      </c>
    </row>
    <row r="226" spans="58:66">
      <c r="BF226" s="277">
        <v>4.7</v>
      </c>
      <c r="BG226" s="12" t="s">
        <v>494</v>
      </c>
      <c r="BH226" s="7" t="str">
        <f t="shared" si="104"/>
        <v>---------</v>
      </c>
      <c r="BI226" s="273">
        <v>0.97000000000004005</v>
      </c>
      <c r="BJ226" s="59">
        <v>205</v>
      </c>
      <c r="BK226" s="168" t="str">
        <f t="shared" si="105"/>
        <v>---------</v>
      </c>
      <c r="BL226" s="182">
        <v>4.4699999999999997E-2</v>
      </c>
      <c r="BM226" s="185">
        <v>205</v>
      </c>
      <c r="BN226" s="182">
        <f t="shared" si="106"/>
        <v>4.4699999999999997E-2</v>
      </c>
    </row>
    <row r="227" spans="58:66">
      <c r="BF227" s="277">
        <v>4.5999999999999996</v>
      </c>
      <c r="BG227" s="12" t="s">
        <v>495</v>
      </c>
      <c r="BH227" s="7" t="str">
        <f t="shared" si="104"/>
        <v>---------</v>
      </c>
      <c r="BI227" s="273">
        <v>0.96000000000004004</v>
      </c>
      <c r="BJ227" s="59">
        <v>206</v>
      </c>
      <c r="BK227" s="168" t="str">
        <f t="shared" si="105"/>
        <v>---------</v>
      </c>
      <c r="BL227" s="182">
        <v>4.4600000000000001E-2</v>
      </c>
      <c r="BM227" s="185">
        <v>206</v>
      </c>
      <c r="BN227" s="182">
        <f t="shared" si="106"/>
        <v>4.4600000000000001E-2</v>
      </c>
    </row>
    <row r="228" spans="58:66">
      <c r="BF228" s="277">
        <v>4.5</v>
      </c>
      <c r="BG228" s="12" t="s">
        <v>496</v>
      </c>
      <c r="BH228" s="7" t="str">
        <f t="shared" si="104"/>
        <v>---------</v>
      </c>
      <c r="BI228" s="273">
        <v>0.95000000000004003</v>
      </c>
      <c r="BJ228" s="59">
        <v>207</v>
      </c>
      <c r="BK228" s="168" t="str">
        <f t="shared" si="105"/>
        <v>---------</v>
      </c>
      <c r="BL228" s="182">
        <v>4.4499999999999998E-2</v>
      </c>
      <c r="BM228" s="185">
        <v>207</v>
      </c>
      <c r="BN228" s="182">
        <f t="shared" si="106"/>
        <v>4.4499999999999998E-2</v>
      </c>
    </row>
    <row r="229" spans="58:66">
      <c r="BF229" s="277">
        <v>4.4000000000000004</v>
      </c>
      <c r="BG229" s="12" t="s">
        <v>497</v>
      </c>
      <c r="BH229" s="7" t="str">
        <f t="shared" si="104"/>
        <v>---------</v>
      </c>
      <c r="BI229" s="273">
        <v>0.94000000000004003</v>
      </c>
      <c r="BJ229" s="59">
        <v>208</v>
      </c>
      <c r="BK229" s="168" t="str">
        <f t="shared" si="105"/>
        <v>---------</v>
      </c>
      <c r="BL229" s="182">
        <v>4.4400000000000002E-2</v>
      </c>
      <c r="BM229" s="185">
        <v>208</v>
      </c>
      <c r="BN229" s="182">
        <f t="shared" si="106"/>
        <v>4.4400000000000002E-2</v>
      </c>
    </row>
    <row r="230" spans="58:66">
      <c r="BF230" s="277">
        <v>4.3</v>
      </c>
      <c r="BG230" s="12" t="s">
        <v>498</v>
      </c>
      <c r="BH230" s="7" t="str">
        <f t="shared" si="104"/>
        <v>---------</v>
      </c>
      <c r="BI230" s="273">
        <v>0.93000000000004002</v>
      </c>
      <c r="BJ230" s="59">
        <v>209</v>
      </c>
      <c r="BK230" s="168" t="str">
        <f t="shared" si="105"/>
        <v>---------</v>
      </c>
      <c r="BL230" s="182">
        <v>4.4299999999999999E-2</v>
      </c>
      <c r="BM230" s="185">
        <v>209</v>
      </c>
      <c r="BN230" s="182">
        <f t="shared" si="106"/>
        <v>4.4299999999999999E-2</v>
      </c>
    </row>
    <row r="231" spans="58:66">
      <c r="BF231" s="277">
        <v>4.2</v>
      </c>
      <c r="BG231" s="12" t="s">
        <v>499</v>
      </c>
      <c r="BH231" s="7" t="str">
        <f t="shared" si="104"/>
        <v>---------</v>
      </c>
      <c r="BI231" s="273">
        <v>0.92000000000004001</v>
      </c>
      <c r="BJ231" s="59">
        <v>210</v>
      </c>
      <c r="BK231" s="168" t="str">
        <f t="shared" si="105"/>
        <v>---------</v>
      </c>
      <c r="BL231" s="182">
        <v>4.4200000000000003E-2</v>
      </c>
      <c r="BM231" s="185">
        <v>210</v>
      </c>
      <c r="BN231" s="182">
        <f t="shared" si="106"/>
        <v>4.4200000000000003E-2</v>
      </c>
    </row>
    <row r="232" spans="58:66">
      <c r="BF232" s="277">
        <v>4.0999999999999996</v>
      </c>
      <c r="BG232" s="12" t="s">
        <v>500</v>
      </c>
      <c r="BH232" s="7" t="str">
        <f t="shared" si="104"/>
        <v>---------</v>
      </c>
      <c r="BI232" s="273">
        <v>0.91000000000004</v>
      </c>
      <c r="BJ232" s="59">
        <v>211</v>
      </c>
      <c r="BK232" s="168" t="str">
        <f t="shared" si="105"/>
        <v>---------</v>
      </c>
      <c r="BL232" s="182">
        <v>4.41E-2</v>
      </c>
      <c r="BM232" s="185">
        <v>211</v>
      </c>
      <c r="BN232" s="182">
        <f t="shared" si="106"/>
        <v>4.41E-2</v>
      </c>
    </row>
    <row r="233" spans="58:66">
      <c r="BF233" s="277">
        <v>4</v>
      </c>
      <c r="BG233" s="12" t="s">
        <v>501</v>
      </c>
      <c r="BH233" s="7" t="str">
        <f t="shared" si="104"/>
        <v>---------</v>
      </c>
      <c r="BI233" s="273">
        <v>0.90000000000003999</v>
      </c>
      <c r="BJ233" s="59">
        <v>212</v>
      </c>
      <c r="BK233" s="168" t="str">
        <f t="shared" si="105"/>
        <v>---------</v>
      </c>
      <c r="BL233" s="182">
        <v>4.3999999999999997E-2</v>
      </c>
      <c r="BM233" s="185">
        <v>212</v>
      </c>
      <c r="BN233" s="182">
        <f t="shared" si="106"/>
        <v>4.3999999999999997E-2</v>
      </c>
    </row>
    <row r="234" spans="58:66">
      <c r="BF234" s="277">
        <v>3.9</v>
      </c>
      <c r="BG234" s="12" t="s">
        <v>502</v>
      </c>
      <c r="BH234" s="7" t="str">
        <f t="shared" si="104"/>
        <v>---------</v>
      </c>
      <c r="BI234" s="273">
        <v>0.89000000000003998</v>
      </c>
      <c r="BJ234" s="59">
        <v>213</v>
      </c>
      <c r="BK234" s="168" t="str">
        <f t="shared" si="105"/>
        <v>---------</v>
      </c>
      <c r="BL234" s="182">
        <v>4.3900000000000002E-2</v>
      </c>
      <c r="BM234" s="185">
        <v>213</v>
      </c>
      <c r="BN234" s="182">
        <f t="shared" si="106"/>
        <v>4.3900000000000002E-2</v>
      </c>
    </row>
    <row r="235" spans="58:66">
      <c r="BF235" s="277">
        <v>3.8</v>
      </c>
      <c r="BG235" s="12" t="s">
        <v>503</v>
      </c>
      <c r="BH235" s="7" t="str">
        <f t="shared" si="104"/>
        <v>---------</v>
      </c>
      <c r="BI235" s="273">
        <v>0.88000000000003997</v>
      </c>
      <c r="BJ235" s="59">
        <v>214</v>
      </c>
      <c r="BK235" s="168" t="str">
        <f t="shared" si="105"/>
        <v>---------</v>
      </c>
      <c r="BL235" s="182">
        <v>4.3799999999999999E-2</v>
      </c>
      <c r="BM235" s="185">
        <v>214</v>
      </c>
      <c r="BN235" s="182">
        <f t="shared" si="106"/>
        <v>4.3799999999999999E-2</v>
      </c>
    </row>
    <row r="236" spans="58:66">
      <c r="BF236" s="277">
        <v>3.7</v>
      </c>
      <c r="BG236" s="12" t="s">
        <v>504</v>
      </c>
      <c r="BH236" s="7" t="str">
        <f t="shared" si="104"/>
        <v>---------</v>
      </c>
      <c r="BI236" s="273">
        <v>0.87000000000003996</v>
      </c>
      <c r="BJ236" s="59">
        <v>215</v>
      </c>
      <c r="BK236" s="168" t="str">
        <f t="shared" si="105"/>
        <v>---------</v>
      </c>
      <c r="BL236" s="182">
        <v>4.3700000000000003E-2</v>
      </c>
      <c r="BM236" s="185">
        <v>215</v>
      </c>
      <c r="BN236" s="182">
        <f t="shared" si="106"/>
        <v>4.3700000000000003E-2</v>
      </c>
    </row>
    <row r="237" spans="58:66">
      <c r="BF237" s="277">
        <v>3.6</v>
      </c>
      <c r="BG237" s="12" t="s">
        <v>505</v>
      </c>
      <c r="BH237" s="7" t="str">
        <f t="shared" si="104"/>
        <v>---------</v>
      </c>
      <c r="BI237" s="273">
        <v>0.86000000000003995</v>
      </c>
      <c r="BJ237" s="59">
        <v>216</v>
      </c>
      <c r="BK237" s="168" t="str">
        <f t="shared" si="105"/>
        <v>---------</v>
      </c>
      <c r="BL237" s="182">
        <v>4.36E-2</v>
      </c>
      <c r="BM237" s="185">
        <v>216</v>
      </c>
      <c r="BN237" s="182">
        <f t="shared" si="106"/>
        <v>4.36E-2</v>
      </c>
    </row>
    <row r="238" spans="58:66">
      <c r="BF238" s="277">
        <v>3.5</v>
      </c>
      <c r="BG238" s="12" t="s">
        <v>506</v>
      </c>
      <c r="BH238" s="7" t="str">
        <f t="shared" si="104"/>
        <v>---------</v>
      </c>
      <c r="BI238" s="273">
        <v>0.85000000000003995</v>
      </c>
      <c r="BJ238" s="59">
        <v>217</v>
      </c>
      <c r="BK238" s="168" t="str">
        <f t="shared" si="105"/>
        <v>---------</v>
      </c>
      <c r="BL238" s="182">
        <v>4.3499999999999997E-2</v>
      </c>
      <c r="BM238" s="185">
        <v>217</v>
      </c>
      <c r="BN238" s="182">
        <f t="shared" si="106"/>
        <v>4.3499999999999997E-2</v>
      </c>
    </row>
    <row r="239" spans="58:66">
      <c r="BF239" s="277">
        <v>3.4</v>
      </c>
      <c r="BG239" s="12" t="s">
        <v>507</v>
      </c>
      <c r="BH239" s="7" t="str">
        <f t="shared" si="104"/>
        <v>---------</v>
      </c>
      <c r="BI239" s="273">
        <v>0.84000000000004005</v>
      </c>
      <c r="BJ239" s="59">
        <v>218</v>
      </c>
      <c r="BK239" s="168" t="str">
        <f t="shared" si="105"/>
        <v>---------</v>
      </c>
      <c r="BL239" s="182">
        <v>4.3400000000000001E-2</v>
      </c>
      <c r="BM239" s="185">
        <v>218</v>
      </c>
      <c r="BN239" s="182">
        <f t="shared" si="106"/>
        <v>4.3400000000000001E-2</v>
      </c>
    </row>
    <row r="240" spans="58:66">
      <c r="BF240" s="277">
        <v>3.3</v>
      </c>
      <c r="BG240" s="12" t="s">
        <v>508</v>
      </c>
      <c r="BH240" s="7" t="str">
        <f t="shared" si="104"/>
        <v>---------</v>
      </c>
      <c r="BI240" s="273">
        <v>0.83000000000004004</v>
      </c>
      <c r="BJ240" s="59">
        <v>219</v>
      </c>
      <c r="BK240" s="168" t="str">
        <f t="shared" si="105"/>
        <v>---------</v>
      </c>
      <c r="BL240" s="182">
        <v>4.3299999999999998E-2</v>
      </c>
      <c r="BM240" s="185">
        <v>219</v>
      </c>
      <c r="BN240" s="182">
        <f t="shared" si="106"/>
        <v>4.3299999999999998E-2</v>
      </c>
    </row>
    <row r="241" spans="58:66">
      <c r="BF241" s="277">
        <v>3.2</v>
      </c>
      <c r="BG241" s="12" t="s">
        <v>509</v>
      </c>
      <c r="BH241" s="7" t="str">
        <f t="shared" si="104"/>
        <v>---------</v>
      </c>
      <c r="BI241" s="273">
        <v>0.82000000000004003</v>
      </c>
      <c r="BJ241" s="59">
        <v>220</v>
      </c>
      <c r="BK241" s="168" t="str">
        <f t="shared" si="105"/>
        <v>---------</v>
      </c>
      <c r="BL241" s="182">
        <v>4.3200000000000002E-2</v>
      </c>
      <c r="BM241" s="185">
        <v>220</v>
      </c>
      <c r="BN241" s="182">
        <f t="shared" si="106"/>
        <v>4.3200000000000002E-2</v>
      </c>
    </row>
    <row r="242" spans="58:66">
      <c r="BF242" s="277">
        <v>3.1</v>
      </c>
      <c r="BG242" s="12" t="s">
        <v>510</v>
      </c>
      <c r="BH242" s="7" t="str">
        <f t="shared" si="104"/>
        <v>---------</v>
      </c>
      <c r="BI242" s="273">
        <v>0.81000000000004002</v>
      </c>
      <c r="BJ242" s="59">
        <v>221</v>
      </c>
      <c r="BK242" s="168" t="str">
        <f t="shared" si="105"/>
        <v>---------</v>
      </c>
      <c r="BL242" s="182">
        <v>4.3099999999999999E-2</v>
      </c>
      <c r="BM242" s="185">
        <v>221</v>
      </c>
      <c r="BN242" s="182">
        <f t="shared" si="106"/>
        <v>4.3099999999999999E-2</v>
      </c>
    </row>
    <row r="243" spans="58:66">
      <c r="BF243" s="277">
        <v>3</v>
      </c>
      <c r="BG243" s="12" t="s">
        <v>511</v>
      </c>
      <c r="BH243" s="7" t="str">
        <f t="shared" si="104"/>
        <v>---------</v>
      </c>
      <c r="BI243" s="273">
        <v>0.80000000000004001</v>
      </c>
      <c r="BJ243" s="59">
        <v>222</v>
      </c>
      <c r="BK243" s="168" t="str">
        <f t="shared" si="105"/>
        <v>---------</v>
      </c>
      <c r="BL243" s="182">
        <v>4.2999999999999997E-2</v>
      </c>
      <c r="BM243" s="185">
        <v>222</v>
      </c>
      <c r="BN243" s="182">
        <f t="shared" si="106"/>
        <v>4.2999999999999997E-2</v>
      </c>
    </row>
    <row r="244" spans="58:66">
      <c r="BF244" s="277">
        <v>2.9</v>
      </c>
      <c r="BG244" s="12" t="s">
        <v>512</v>
      </c>
      <c r="BH244" s="7" t="str">
        <f t="shared" si="104"/>
        <v>---------</v>
      </c>
      <c r="BI244" s="273">
        <v>0.79000000000004</v>
      </c>
      <c r="BJ244" s="59">
        <v>223</v>
      </c>
      <c r="BK244" s="168" t="str">
        <f t="shared" si="105"/>
        <v>---------</v>
      </c>
      <c r="BL244" s="182">
        <v>4.2900000000000001E-2</v>
      </c>
      <c r="BM244" s="185">
        <v>223</v>
      </c>
      <c r="BN244" s="182">
        <f t="shared" si="106"/>
        <v>4.2900000000000001E-2</v>
      </c>
    </row>
    <row r="245" spans="58:66">
      <c r="BF245" s="277">
        <v>2.8</v>
      </c>
      <c r="BG245" s="12" t="s">
        <v>513</v>
      </c>
      <c r="BH245" s="7" t="str">
        <f t="shared" si="104"/>
        <v>---------</v>
      </c>
      <c r="BI245" s="273">
        <v>0.78000000000003999</v>
      </c>
      <c r="BJ245" s="59">
        <v>224</v>
      </c>
      <c r="BK245" s="168" t="str">
        <f t="shared" si="105"/>
        <v>---------</v>
      </c>
      <c r="BL245" s="182">
        <v>4.2799999999999998E-2</v>
      </c>
      <c r="BM245" s="185">
        <v>224</v>
      </c>
      <c r="BN245" s="182">
        <f t="shared" si="106"/>
        <v>4.2799999999999998E-2</v>
      </c>
    </row>
    <row r="246" spans="58:66">
      <c r="BF246" s="277">
        <v>2.7</v>
      </c>
      <c r="BG246" s="12" t="s">
        <v>514</v>
      </c>
      <c r="BH246" s="7" t="str">
        <f t="shared" si="104"/>
        <v>---------</v>
      </c>
      <c r="BI246" s="273">
        <v>0.77000000000003999</v>
      </c>
      <c r="BJ246" s="59">
        <v>225</v>
      </c>
      <c r="BK246" s="168" t="str">
        <f t="shared" si="105"/>
        <v>---------</v>
      </c>
      <c r="BL246" s="182">
        <v>4.2700000000000002E-2</v>
      </c>
      <c r="BM246" s="185">
        <v>225</v>
      </c>
      <c r="BN246" s="182">
        <f t="shared" si="106"/>
        <v>4.2700000000000002E-2</v>
      </c>
    </row>
    <row r="247" spans="58:66">
      <c r="BF247" s="277">
        <v>2.6</v>
      </c>
      <c r="BG247" s="12" t="s">
        <v>515</v>
      </c>
      <c r="BH247" s="7" t="str">
        <f t="shared" si="104"/>
        <v>---------</v>
      </c>
      <c r="BI247" s="273">
        <v>0.76000000000003998</v>
      </c>
      <c r="BJ247" s="59">
        <v>226</v>
      </c>
      <c r="BK247" s="168" t="str">
        <f t="shared" si="105"/>
        <v>---------</v>
      </c>
      <c r="BL247" s="182">
        <v>4.2599999999999999E-2</v>
      </c>
      <c r="BM247" s="185">
        <v>226</v>
      </c>
      <c r="BN247" s="182">
        <f t="shared" si="106"/>
        <v>4.2599999999999999E-2</v>
      </c>
    </row>
    <row r="248" spans="58:66">
      <c r="BF248" s="277">
        <v>2.5</v>
      </c>
      <c r="BG248" s="12" t="s">
        <v>516</v>
      </c>
      <c r="BH248" s="7" t="str">
        <f t="shared" si="104"/>
        <v>---------</v>
      </c>
      <c r="BI248" s="273">
        <v>0.75000000000003997</v>
      </c>
      <c r="BJ248" s="59">
        <v>227</v>
      </c>
      <c r="BK248" s="168" t="str">
        <f t="shared" si="105"/>
        <v>---------</v>
      </c>
      <c r="BL248" s="182">
        <v>4.2500000000000003E-2</v>
      </c>
      <c r="BM248" s="185">
        <v>227</v>
      </c>
      <c r="BN248" s="182">
        <f t="shared" si="106"/>
        <v>4.2500000000000003E-2</v>
      </c>
    </row>
    <row r="249" spans="58:66">
      <c r="BF249" s="277">
        <v>2.4</v>
      </c>
      <c r="BG249" s="12" t="s">
        <v>517</v>
      </c>
      <c r="BH249" s="7" t="str">
        <f t="shared" si="104"/>
        <v>---------</v>
      </c>
      <c r="BI249" s="273">
        <v>0.74000000000003996</v>
      </c>
      <c r="BJ249" s="59">
        <v>228</v>
      </c>
      <c r="BK249" s="168" t="str">
        <f t="shared" si="105"/>
        <v>---------</v>
      </c>
      <c r="BL249" s="182">
        <v>4.24E-2</v>
      </c>
      <c r="BM249" s="185">
        <v>228</v>
      </c>
      <c r="BN249" s="182">
        <f t="shared" si="106"/>
        <v>4.24E-2</v>
      </c>
    </row>
    <row r="250" spans="58:66">
      <c r="BF250" s="277">
        <v>2.2999999999999998</v>
      </c>
      <c r="BG250" s="12" t="s">
        <v>518</v>
      </c>
      <c r="BH250" s="7" t="str">
        <f t="shared" si="104"/>
        <v>---------</v>
      </c>
      <c r="BI250" s="273">
        <v>0.73000000000003995</v>
      </c>
      <c r="BJ250" s="59">
        <v>229</v>
      </c>
      <c r="BK250" s="168" t="str">
        <f t="shared" si="105"/>
        <v>---------</v>
      </c>
      <c r="BL250" s="182">
        <v>4.2299999999999997E-2</v>
      </c>
      <c r="BM250" s="185">
        <v>229</v>
      </c>
      <c r="BN250" s="182">
        <f t="shared" si="106"/>
        <v>4.2299999999999997E-2</v>
      </c>
    </row>
    <row r="251" spans="58:66">
      <c r="BF251" s="277">
        <v>2.2000000000000002</v>
      </c>
      <c r="BG251" s="12" t="s">
        <v>519</v>
      </c>
      <c r="BH251" s="7" t="str">
        <f t="shared" si="104"/>
        <v>---------</v>
      </c>
      <c r="BI251" s="273">
        <v>0.72000000000004005</v>
      </c>
      <c r="BJ251" s="59">
        <v>230</v>
      </c>
      <c r="BK251" s="168" t="str">
        <f t="shared" si="105"/>
        <v>---------</v>
      </c>
      <c r="BL251" s="182">
        <v>4.2200000000000001E-2</v>
      </c>
      <c r="BM251" s="185">
        <v>230</v>
      </c>
      <c r="BN251" s="182">
        <f t="shared" si="106"/>
        <v>4.2200000000000001E-2</v>
      </c>
    </row>
    <row r="252" spans="58:66">
      <c r="BF252" s="277">
        <v>2.1</v>
      </c>
      <c r="BG252" s="12" t="s">
        <v>520</v>
      </c>
      <c r="BH252" s="7" t="str">
        <f t="shared" si="104"/>
        <v>---------</v>
      </c>
      <c r="BI252" s="273">
        <v>0.71000000000004004</v>
      </c>
      <c r="BJ252" s="59">
        <v>231</v>
      </c>
      <c r="BK252" s="168" t="str">
        <f t="shared" si="105"/>
        <v>---------</v>
      </c>
      <c r="BL252" s="182">
        <v>4.2099999999999999E-2</v>
      </c>
      <c r="BM252" s="185">
        <v>231</v>
      </c>
      <c r="BN252" s="182">
        <f t="shared" si="106"/>
        <v>4.2099999999999999E-2</v>
      </c>
    </row>
    <row r="253" spans="58:66">
      <c r="BF253" s="277">
        <v>2</v>
      </c>
      <c r="BG253" s="12" t="s">
        <v>521</v>
      </c>
      <c r="BH253" s="7" t="str">
        <f t="shared" si="104"/>
        <v>---------</v>
      </c>
      <c r="BI253" s="273">
        <v>0.70000000000004003</v>
      </c>
      <c r="BJ253" s="59">
        <v>232</v>
      </c>
      <c r="BK253" s="168" t="str">
        <f t="shared" si="105"/>
        <v>---------</v>
      </c>
      <c r="BL253" s="182">
        <v>4.2000000000000003E-2</v>
      </c>
      <c r="BM253" s="185">
        <v>232</v>
      </c>
      <c r="BN253" s="182">
        <f t="shared" si="106"/>
        <v>4.2000000000000003E-2</v>
      </c>
    </row>
    <row r="254" spans="58:66">
      <c r="BF254" s="277">
        <v>1.9</v>
      </c>
      <c r="BG254" s="12" t="s">
        <v>522</v>
      </c>
      <c r="BH254" s="7" t="str">
        <f t="shared" si="104"/>
        <v>---------</v>
      </c>
      <c r="BI254" s="273">
        <v>0.69000000000004003</v>
      </c>
      <c r="BJ254" s="59">
        <v>233</v>
      </c>
      <c r="BK254" s="168" t="str">
        <f t="shared" si="105"/>
        <v>---------</v>
      </c>
      <c r="BL254" s="182">
        <v>4.19E-2</v>
      </c>
      <c r="BM254" s="185">
        <v>233</v>
      </c>
      <c r="BN254" s="182">
        <f t="shared" si="106"/>
        <v>4.19E-2</v>
      </c>
    </row>
    <row r="255" spans="58:66">
      <c r="BF255" s="277">
        <v>1.8</v>
      </c>
      <c r="BG255" s="12" t="s">
        <v>523</v>
      </c>
      <c r="BH255" s="7" t="str">
        <f t="shared" si="104"/>
        <v>---------</v>
      </c>
      <c r="BI255" s="273">
        <v>0.68000000000004002</v>
      </c>
      <c r="BJ255" s="59">
        <v>234</v>
      </c>
      <c r="BK255" s="168" t="str">
        <f t="shared" si="105"/>
        <v>---------</v>
      </c>
      <c r="BL255" s="182">
        <v>4.1799999999999997E-2</v>
      </c>
      <c r="BM255" s="185">
        <v>234</v>
      </c>
      <c r="BN255" s="182">
        <f t="shared" si="106"/>
        <v>4.1799999999999997E-2</v>
      </c>
    </row>
    <row r="256" spans="58:66">
      <c r="BF256" s="277">
        <v>1.7</v>
      </c>
      <c r="BG256" s="12" t="s">
        <v>524</v>
      </c>
      <c r="BH256" s="7" t="str">
        <f t="shared" si="104"/>
        <v>---------</v>
      </c>
      <c r="BI256" s="273">
        <v>0.67000000000004001</v>
      </c>
      <c r="BJ256" s="59">
        <v>235</v>
      </c>
      <c r="BK256" s="168" t="str">
        <f t="shared" si="105"/>
        <v>---------</v>
      </c>
      <c r="BL256" s="182">
        <v>4.1700000000000001E-2</v>
      </c>
      <c r="BM256" s="185">
        <v>235</v>
      </c>
      <c r="BN256" s="182">
        <f t="shared" si="106"/>
        <v>4.1700000000000001E-2</v>
      </c>
    </row>
    <row r="257" spans="58:66">
      <c r="BF257" s="277">
        <v>1.6</v>
      </c>
      <c r="BG257" s="12" t="s">
        <v>525</v>
      </c>
      <c r="BH257" s="7" t="str">
        <f t="shared" si="104"/>
        <v>---------</v>
      </c>
      <c r="BI257" s="273">
        <v>0.66000000000004</v>
      </c>
      <c r="BJ257" s="59">
        <v>236</v>
      </c>
      <c r="BK257" s="168" t="str">
        <f t="shared" si="105"/>
        <v>---------</v>
      </c>
      <c r="BL257" s="182">
        <v>4.1599999999999998E-2</v>
      </c>
      <c r="BM257" s="185">
        <v>236</v>
      </c>
      <c r="BN257" s="182">
        <f t="shared" si="106"/>
        <v>4.1599999999999998E-2</v>
      </c>
    </row>
    <row r="258" spans="58:66">
      <c r="BF258" s="277">
        <v>1.5</v>
      </c>
      <c r="BG258" s="12" t="s">
        <v>526</v>
      </c>
      <c r="BH258" s="7" t="str">
        <f t="shared" si="104"/>
        <v>---------</v>
      </c>
      <c r="BI258" s="273">
        <v>0.65000000000003999</v>
      </c>
      <c r="BJ258" s="59">
        <v>237</v>
      </c>
      <c r="BK258" s="168" t="str">
        <f t="shared" si="105"/>
        <v>---------</v>
      </c>
      <c r="BL258" s="182">
        <v>4.1500000000000002E-2</v>
      </c>
      <c r="BM258" s="185">
        <v>237</v>
      </c>
      <c r="BN258" s="182">
        <f t="shared" si="106"/>
        <v>4.1500000000000002E-2</v>
      </c>
    </row>
    <row r="259" spans="58:66">
      <c r="BF259" s="277">
        <v>1.4</v>
      </c>
      <c r="BG259" s="12" t="s">
        <v>527</v>
      </c>
      <c r="BH259" s="7" t="str">
        <f t="shared" si="104"/>
        <v>---------</v>
      </c>
      <c r="BI259" s="273">
        <v>0.64000000000003998</v>
      </c>
      <c r="BJ259" s="59">
        <v>238</v>
      </c>
      <c r="BK259" s="168" t="str">
        <f t="shared" si="105"/>
        <v>---------</v>
      </c>
      <c r="BL259" s="182">
        <v>4.1399999999999999E-2</v>
      </c>
      <c r="BM259" s="185">
        <v>238</v>
      </c>
      <c r="BN259" s="182">
        <f t="shared" si="106"/>
        <v>4.1399999999999999E-2</v>
      </c>
    </row>
    <row r="260" spans="58:66">
      <c r="BF260" s="277">
        <v>1.3</v>
      </c>
      <c r="BG260" s="12" t="s">
        <v>528</v>
      </c>
      <c r="BH260" s="7" t="str">
        <f t="shared" si="104"/>
        <v>---------</v>
      </c>
      <c r="BI260" s="273">
        <v>0.63000000000003997</v>
      </c>
      <c r="BJ260" s="59">
        <v>239</v>
      </c>
      <c r="BK260" s="168" t="str">
        <f t="shared" si="105"/>
        <v>---------</v>
      </c>
      <c r="BL260" s="182">
        <v>4.1300000000000003E-2</v>
      </c>
      <c r="BM260" s="185">
        <v>239</v>
      </c>
      <c r="BN260" s="182">
        <f t="shared" si="106"/>
        <v>4.1300000000000003E-2</v>
      </c>
    </row>
    <row r="261" spans="58:66">
      <c r="BF261" s="277">
        <v>1.2</v>
      </c>
      <c r="BG261" s="12" t="s">
        <v>529</v>
      </c>
      <c r="BH261" s="7" t="str">
        <f t="shared" si="104"/>
        <v>---------</v>
      </c>
      <c r="BI261" s="273">
        <v>0.62000000000003996</v>
      </c>
      <c r="BJ261" s="59">
        <v>240</v>
      </c>
      <c r="BK261" s="168" t="str">
        <f t="shared" si="105"/>
        <v>---------</v>
      </c>
      <c r="BL261" s="182">
        <v>4.1200000000000001E-2</v>
      </c>
      <c r="BM261" s="185">
        <v>240</v>
      </c>
      <c r="BN261" s="182">
        <f t="shared" si="106"/>
        <v>4.1200000000000001E-2</v>
      </c>
    </row>
    <row r="262" spans="58:66">
      <c r="BF262" s="277">
        <v>1.1000000000000001</v>
      </c>
      <c r="BG262" s="12" t="s">
        <v>530</v>
      </c>
      <c r="BH262" s="7" t="str">
        <f t="shared" si="104"/>
        <v>---------</v>
      </c>
      <c r="BI262" s="273">
        <v>0.61000000000003995</v>
      </c>
      <c r="BJ262" s="59">
        <v>241</v>
      </c>
      <c r="BK262" s="168" t="str">
        <f t="shared" si="105"/>
        <v>---------</v>
      </c>
      <c r="BL262" s="182">
        <v>4.1099999999999998E-2</v>
      </c>
      <c r="BM262" s="185">
        <v>241</v>
      </c>
      <c r="BN262" s="182">
        <f t="shared" si="106"/>
        <v>4.1099999999999998E-2</v>
      </c>
    </row>
    <row r="263" spans="58:66">
      <c r="BF263" s="277">
        <v>1</v>
      </c>
      <c r="BG263" s="12" t="s">
        <v>531</v>
      </c>
      <c r="BH263" s="7" t="str">
        <f t="shared" si="104"/>
        <v>---------</v>
      </c>
      <c r="BI263" s="273">
        <v>0.60000000000003995</v>
      </c>
      <c r="BJ263" s="59">
        <v>242</v>
      </c>
      <c r="BK263" s="168" t="str">
        <f t="shared" si="105"/>
        <v>---------</v>
      </c>
      <c r="BL263" s="182">
        <v>4.1000000000000002E-2</v>
      </c>
      <c r="BM263" s="185">
        <v>242</v>
      </c>
      <c r="BN263" s="182">
        <f t="shared" si="106"/>
        <v>4.1000000000000002E-2</v>
      </c>
    </row>
    <row r="264" spans="58:66">
      <c r="BI264" s="273">
        <v>0.59000000000004005</v>
      </c>
      <c r="BJ264" s="59">
        <v>243</v>
      </c>
      <c r="BK264" s="168" t="str">
        <f t="shared" si="105"/>
        <v>---------</v>
      </c>
      <c r="BL264" s="182">
        <v>4.0899999999999999E-2</v>
      </c>
      <c r="BM264" s="185">
        <v>243</v>
      </c>
      <c r="BN264" s="182">
        <f t="shared" si="106"/>
        <v>4.0899999999999999E-2</v>
      </c>
    </row>
    <row r="265" spans="58:66">
      <c r="BI265" s="273">
        <v>0.58000000000004004</v>
      </c>
      <c r="BJ265" s="59">
        <v>244</v>
      </c>
      <c r="BK265" s="168" t="str">
        <f t="shared" si="105"/>
        <v>---------</v>
      </c>
      <c r="BL265" s="182">
        <v>4.0800000000000003E-2</v>
      </c>
      <c r="BM265" s="185">
        <v>244</v>
      </c>
      <c r="BN265" s="182">
        <f t="shared" si="106"/>
        <v>4.0800000000000003E-2</v>
      </c>
    </row>
    <row r="266" spans="58:66">
      <c r="BI266" s="273">
        <v>0.57000000000004003</v>
      </c>
      <c r="BJ266" s="59">
        <v>245</v>
      </c>
      <c r="BK266" s="168" t="str">
        <f t="shared" si="105"/>
        <v>---------</v>
      </c>
      <c r="BL266" s="182">
        <v>4.07E-2</v>
      </c>
      <c r="BM266" s="185">
        <v>245</v>
      </c>
      <c r="BN266" s="182">
        <f t="shared" si="106"/>
        <v>4.07E-2</v>
      </c>
    </row>
    <row r="267" spans="58:66">
      <c r="BI267" s="273">
        <v>0.56000000000004002</v>
      </c>
      <c r="BJ267" s="59">
        <v>246</v>
      </c>
      <c r="BK267" s="168" t="str">
        <f t="shared" si="105"/>
        <v>---------</v>
      </c>
      <c r="BL267" s="182">
        <v>4.0599999999999997E-2</v>
      </c>
      <c r="BM267" s="185">
        <v>246</v>
      </c>
      <c r="BN267" s="182">
        <f t="shared" si="106"/>
        <v>4.0599999999999997E-2</v>
      </c>
    </row>
    <row r="268" spans="58:66">
      <c r="BI268" s="273">
        <v>0.55000000000004001</v>
      </c>
      <c r="BJ268" s="59">
        <v>247</v>
      </c>
      <c r="BK268" s="168" t="str">
        <f t="shared" si="105"/>
        <v>---------</v>
      </c>
      <c r="BL268" s="182">
        <v>4.0500000000000001E-2</v>
      </c>
      <c r="BM268" s="185">
        <v>247</v>
      </c>
      <c r="BN268" s="182">
        <f t="shared" si="106"/>
        <v>4.0500000000000001E-2</v>
      </c>
    </row>
    <row r="269" spans="58:66">
      <c r="BI269" s="273">
        <v>0.54000000000004</v>
      </c>
      <c r="BJ269" s="59">
        <v>248</v>
      </c>
      <c r="BK269" s="168" t="str">
        <f t="shared" si="105"/>
        <v>---------</v>
      </c>
      <c r="BL269" s="182">
        <v>4.0399999999999998E-2</v>
      </c>
      <c r="BM269" s="185">
        <v>248</v>
      </c>
      <c r="BN269" s="182">
        <f t="shared" si="106"/>
        <v>4.0399999999999998E-2</v>
      </c>
    </row>
    <row r="270" spans="58:66">
      <c r="BI270" s="273">
        <v>0.53000000000003999</v>
      </c>
      <c r="BJ270" s="59">
        <v>249</v>
      </c>
      <c r="BK270" s="168" t="str">
        <f t="shared" si="105"/>
        <v>---------</v>
      </c>
      <c r="BL270" s="182">
        <v>4.0300000000000002E-2</v>
      </c>
      <c r="BM270" s="185">
        <v>249</v>
      </c>
      <c r="BN270" s="182">
        <f t="shared" si="106"/>
        <v>4.0300000000000002E-2</v>
      </c>
    </row>
    <row r="271" spans="58:66">
      <c r="BI271" s="273">
        <v>0.52000000000003999</v>
      </c>
      <c r="BJ271" s="59">
        <v>250</v>
      </c>
      <c r="BK271" s="168" t="str">
        <f t="shared" si="105"/>
        <v>---------</v>
      </c>
      <c r="BL271" s="182">
        <v>4.02E-2</v>
      </c>
      <c r="BM271" s="185">
        <v>250</v>
      </c>
      <c r="BN271" s="182">
        <f t="shared" si="106"/>
        <v>4.02E-2</v>
      </c>
    </row>
    <row r="272" spans="58:66">
      <c r="BI272" s="273">
        <v>0.51000000000003998</v>
      </c>
      <c r="BJ272" s="59">
        <v>251</v>
      </c>
      <c r="BK272" s="168" t="str">
        <f t="shared" si="105"/>
        <v>---------</v>
      </c>
      <c r="BL272" s="182">
        <v>4.0099999999999997E-2</v>
      </c>
      <c r="BM272" s="185">
        <v>251</v>
      </c>
      <c r="BN272" s="182">
        <f t="shared" si="106"/>
        <v>4.0099999999999997E-2</v>
      </c>
    </row>
    <row r="273" spans="61:66">
      <c r="BI273" s="273">
        <v>0.50000000000003997</v>
      </c>
      <c r="BJ273" s="59">
        <v>252</v>
      </c>
      <c r="BK273" s="168" t="str">
        <f t="shared" si="105"/>
        <v>---------</v>
      </c>
      <c r="BL273" s="182">
        <v>0.04</v>
      </c>
      <c r="BM273" s="185">
        <v>252</v>
      </c>
      <c r="BN273" s="182">
        <f t="shared" si="106"/>
        <v>0.04</v>
      </c>
    </row>
    <row r="274" spans="61:66">
      <c r="BI274" s="273">
        <v>0.49000000000004001</v>
      </c>
      <c r="BJ274" s="59">
        <v>253</v>
      </c>
      <c r="BK274" s="168" t="str">
        <f t="shared" si="105"/>
        <v>---------</v>
      </c>
      <c r="BL274" s="182">
        <v>3.9899999999999998E-2</v>
      </c>
      <c r="BM274" s="185">
        <v>253</v>
      </c>
      <c r="BN274" s="182">
        <f t="shared" si="106"/>
        <v>3.9899999999999998E-2</v>
      </c>
    </row>
    <row r="275" spans="61:66">
      <c r="BI275" s="273">
        <v>0.48000000000004001</v>
      </c>
      <c r="BJ275" s="59">
        <v>254</v>
      </c>
      <c r="BK275" s="168" t="str">
        <f t="shared" si="105"/>
        <v>---------</v>
      </c>
      <c r="BL275" s="182">
        <v>3.9800000000000002E-2</v>
      </c>
      <c r="BM275" s="185">
        <v>254</v>
      </c>
      <c r="BN275" s="182">
        <f t="shared" si="106"/>
        <v>3.9800000000000002E-2</v>
      </c>
    </row>
    <row r="276" spans="61:66">
      <c r="BI276" s="273">
        <v>0.47000000000004</v>
      </c>
      <c r="BJ276" s="59">
        <v>255</v>
      </c>
      <c r="BK276" s="168" t="str">
        <f t="shared" si="105"/>
        <v>---------</v>
      </c>
      <c r="BL276" s="182">
        <v>3.9699999999999999E-2</v>
      </c>
      <c r="BM276" s="185">
        <v>255</v>
      </c>
      <c r="BN276" s="182">
        <f t="shared" si="106"/>
        <v>3.9699999999999999E-2</v>
      </c>
    </row>
    <row r="277" spans="61:66">
      <c r="BI277" s="273">
        <v>0.46000000000003899</v>
      </c>
      <c r="BJ277" s="59">
        <v>256</v>
      </c>
      <c r="BK277" s="168" t="str">
        <f t="shared" si="105"/>
        <v>---------</v>
      </c>
      <c r="BL277" s="182">
        <v>3.9600000000000003E-2</v>
      </c>
      <c r="BM277" s="185">
        <v>256</v>
      </c>
      <c r="BN277" s="182">
        <f t="shared" si="106"/>
        <v>3.9600000000000003E-2</v>
      </c>
    </row>
    <row r="278" spans="61:66">
      <c r="BI278" s="273">
        <v>0.45000000000003898</v>
      </c>
      <c r="BJ278" s="59">
        <v>257</v>
      </c>
      <c r="BK278" s="168" t="str">
        <f t="shared" si="105"/>
        <v>---------</v>
      </c>
      <c r="BL278" s="182">
        <v>3.95E-2</v>
      </c>
      <c r="BM278" s="185">
        <v>257</v>
      </c>
      <c r="BN278" s="182">
        <f t="shared" si="106"/>
        <v>3.95E-2</v>
      </c>
    </row>
    <row r="279" spans="61:66">
      <c r="BI279" s="273">
        <v>0.44000000000003903</v>
      </c>
      <c r="BJ279" s="59">
        <v>258</v>
      </c>
      <c r="BK279" s="168" t="str">
        <f t="shared" ref="BK279:BK322" si="107">IF(Cntrl5=2,"---------",TEXT(BI279,"0.00"))</f>
        <v>---------</v>
      </c>
      <c r="BL279" s="182">
        <v>3.9399999999999998E-2</v>
      </c>
      <c r="BM279" s="185">
        <v>258</v>
      </c>
      <c r="BN279" s="182">
        <f t="shared" ref="BN279:BN342" si="108">BL279</f>
        <v>3.9399999999999998E-2</v>
      </c>
    </row>
    <row r="280" spans="61:66">
      <c r="BI280" s="273">
        <v>0.43000000000003902</v>
      </c>
      <c r="BJ280" s="59">
        <v>259</v>
      </c>
      <c r="BK280" s="168" t="str">
        <f t="shared" si="107"/>
        <v>---------</v>
      </c>
      <c r="BL280" s="182">
        <v>3.9300000000000002E-2</v>
      </c>
      <c r="BM280" s="185">
        <v>259</v>
      </c>
      <c r="BN280" s="182">
        <f t="shared" si="108"/>
        <v>3.9300000000000002E-2</v>
      </c>
    </row>
    <row r="281" spans="61:66">
      <c r="BI281" s="273">
        <v>0.42000000000003901</v>
      </c>
      <c r="BJ281" s="59">
        <v>260</v>
      </c>
      <c r="BK281" s="168" t="str">
        <f t="shared" si="107"/>
        <v>---------</v>
      </c>
      <c r="BL281" s="182">
        <v>3.9199999999999999E-2</v>
      </c>
      <c r="BM281" s="185">
        <v>260</v>
      </c>
      <c r="BN281" s="182">
        <f t="shared" si="108"/>
        <v>3.9199999999999999E-2</v>
      </c>
    </row>
    <row r="282" spans="61:66">
      <c r="BI282" s="273">
        <v>0.410000000000039</v>
      </c>
      <c r="BJ282" s="59">
        <v>261</v>
      </c>
      <c r="BK282" s="168" t="str">
        <f t="shared" si="107"/>
        <v>---------</v>
      </c>
      <c r="BL282" s="182">
        <v>3.9100000000000003E-2</v>
      </c>
      <c r="BM282" s="185">
        <v>261</v>
      </c>
      <c r="BN282" s="182">
        <f t="shared" si="108"/>
        <v>3.9100000000000003E-2</v>
      </c>
    </row>
    <row r="283" spans="61:66">
      <c r="BI283" s="273">
        <v>0.40000000000003899</v>
      </c>
      <c r="BJ283" s="59">
        <v>262</v>
      </c>
      <c r="BK283" s="168" t="str">
        <f t="shared" si="107"/>
        <v>---------</v>
      </c>
      <c r="BL283" s="182">
        <v>3.9E-2</v>
      </c>
      <c r="BM283" s="185">
        <v>262</v>
      </c>
      <c r="BN283" s="182">
        <f t="shared" si="108"/>
        <v>3.9E-2</v>
      </c>
    </row>
    <row r="284" spans="61:66">
      <c r="BI284" s="273">
        <v>0.39000000000003898</v>
      </c>
      <c r="BJ284" s="59">
        <v>263</v>
      </c>
      <c r="BK284" s="168" t="str">
        <f t="shared" si="107"/>
        <v>---------</v>
      </c>
      <c r="BL284" s="182">
        <v>3.8899999999999997E-2</v>
      </c>
      <c r="BM284" s="185">
        <v>263</v>
      </c>
      <c r="BN284" s="182">
        <f t="shared" si="108"/>
        <v>3.8899999999999997E-2</v>
      </c>
    </row>
    <row r="285" spans="61:66">
      <c r="BI285" s="273">
        <v>0.38000000000003897</v>
      </c>
      <c r="BJ285" s="59">
        <v>264</v>
      </c>
      <c r="BK285" s="168" t="str">
        <f t="shared" si="107"/>
        <v>---------</v>
      </c>
      <c r="BL285" s="182">
        <v>3.8800000000000001E-2</v>
      </c>
      <c r="BM285" s="185">
        <v>264</v>
      </c>
      <c r="BN285" s="182">
        <f t="shared" si="108"/>
        <v>3.8800000000000001E-2</v>
      </c>
    </row>
    <row r="286" spans="61:66">
      <c r="BI286" s="273">
        <v>0.37000000000003902</v>
      </c>
      <c r="BJ286" s="59">
        <v>265</v>
      </c>
      <c r="BK286" s="168" t="str">
        <f t="shared" si="107"/>
        <v>---------</v>
      </c>
      <c r="BL286" s="182">
        <v>3.8699999999999998E-2</v>
      </c>
      <c r="BM286" s="185">
        <v>265</v>
      </c>
      <c r="BN286" s="182">
        <f t="shared" si="108"/>
        <v>3.8699999999999998E-2</v>
      </c>
    </row>
    <row r="287" spans="61:66">
      <c r="BI287" s="273">
        <v>0.36000000000003901</v>
      </c>
      <c r="BJ287" s="59">
        <v>266</v>
      </c>
      <c r="BK287" s="168" t="str">
        <f t="shared" si="107"/>
        <v>---------</v>
      </c>
      <c r="BL287" s="182">
        <v>3.8600000000000002E-2</v>
      </c>
      <c r="BM287" s="185">
        <v>266</v>
      </c>
      <c r="BN287" s="182">
        <f t="shared" si="108"/>
        <v>3.8600000000000002E-2</v>
      </c>
    </row>
    <row r="288" spans="61:66">
      <c r="BI288" s="273">
        <v>0.350000000000039</v>
      </c>
      <c r="BJ288" s="59">
        <v>267</v>
      </c>
      <c r="BK288" s="168" t="str">
        <f t="shared" si="107"/>
        <v>---------</v>
      </c>
      <c r="BL288" s="182">
        <v>3.85E-2</v>
      </c>
      <c r="BM288" s="185">
        <v>267</v>
      </c>
      <c r="BN288" s="182">
        <f t="shared" si="108"/>
        <v>3.85E-2</v>
      </c>
    </row>
    <row r="289" spans="61:66">
      <c r="BI289" s="273">
        <v>0.34000000000003899</v>
      </c>
      <c r="BJ289" s="59">
        <v>268</v>
      </c>
      <c r="BK289" s="168" t="str">
        <f t="shared" si="107"/>
        <v>---------</v>
      </c>
      <c r="BL289" s="182">
        <v>3.8399999999999997E-2</v>
      </c>
      <c r="BM289" s="185">
        <v>268</v>
      </c>
      <c r="BN289" s="182">
        <f t="shared" si="108"/>
        <v>3.8399999999999997E-2</v>
      </c>
    </row>
    <row r="290" spans="61:66">
      <c r="BI290" s="273">
        <v>0.33000000000003898</v>
      </c>
      <c r="BJ290" s="59">
        <v>269</v>
      </c>
      <c r="BK290" s="168" t="str">
        <f t="shared" si="107"/>
        <v>---------</v>
      </c>
      <c r="BL290" s="182">
        <v>3.8300000000000001E-2</v>
      </c>
      <c r="BM290" s="185">
        <v>269</v>
      </c>
      <c r="BN290" s="182">
        <f t="shared" si="108"/>
        <v>3.8300000000000001E-2</v>
      </c>
    </row>
    <row r="291" spans="61:66">
      <c r="BI291" s="273">
        <v>0.32000000000003898</v>
      </c>
      <c r="BJ291" s="59">
        <v>270</v>
      </c>
      <c r="BK291" s="168" t="str">
        <f t="shared" si="107"/>
        <v>---------</v>
      </c>
      <c r="BL291" s="182">
        <v>3.8199999999999998E-2</v>
      </c>
      <c r="BM291" s="185">
        <v>270</v>
      </c>
      <c r="BN291" s="182">
        <f t="shared" si="108"/>
        <v>3.8199999999999998E-2</v>
      </c>
    </row>
    <row r="292" spans="61:66">
      <c r="BI292" s="273">
        <v>0.31000000000003902</v>
      </c>
      <c r="BJ292" s="59">
        <v>271</v>
      </c>
      <c r="BK292" s="168" t="str">
        <f t="shared" si="107"/>
        <v>---------</v>
      </c>
      <c r="BL292" s="182">
        <v>3.8100000000000002E-2</v>
      </c>
      <c r="BM292" s="185">
        <v>271</v>
      </c>
      <c r="BN292" s="182">
        <f t="shared" si="108"/>
        <v>3.8100000000000002E-2</v>
      </c>
    </row>
    <row r="293" spans="61:66">
      <c r="BI293" s="273">
        <v>0.30000000000003901</v>
      </c>
      <c r="BJ293" s="59">
        <v>272</v>
      </c>
      <c r="BK293" s="168" t="str">
        <f t="shared" si="107"/>
        <v>---------</v>
      </c>
      <c r="BL293" s="182">
        <v>3.7999999999999999E-2</v>
      </c>
      <c r="BM293" s="185">
        <v>272</v>
      </c>
      <c r="BN293" s="182">
        <f t="shared" si="108"/>
        <v>3.7999999999999999E-2</v>
      </c>
    </row>
    <row r="294" spans="61:66">
      <c r="BI294" s="273">
        <v>0.290000000000039</v>
      </c>
      <c r="BJ294" s="59">
        <v>273</v>
      </c>
      <c r="BK294" s="168" t="str">
        <f t="shared" si="107"/>
        <v>---------</v>
      </c>
      <c r="BL294" s="182">
        <v>3.7900000000000003E-2</v>
      </c>
      <c r="BM294" s="185">
        <v>273</v>
      </c>
      <c r="BN294" s="182">
        <f t="shared" si="108"/>
        <v>3.7900000000000003E-2</v>
      </c>
    </row>
    <row r="295" spans="61:66">
      <c r="BI295" s="273">
        <v>0.280000000000039</v>
      </c>
      <c r="BJ295" s="59">
        <v>274</v>
      </c>
      <c r="BK295" s="168" t="str">
        <f t="shared" si="107"/>
        <v>---------</v>
      </c>
      <c r="BL295" s="182">
        <v>3.78E-2</v>
      </c>
      <c r="BM295" s="185">
        <v>274</v>
      </c>
      <c r="BN295" s="182">
        <f t="shared" si="108"/>
        <v>3.78E-2</v>
      </c>
    </row>
    <row r="296" spans="61:66">
      <c r="BI296" s="273">
        <v>0.27000000000003899</v>
      </c>
      <c r="BJ296" s="59">
        <v>275</v>
      </c>
      <c r="BK296" s="168" t="str">
        <f t="shared" si="107"/>
        <v>---------</v>
      </c>
      <c r="BL296" s="182">
        <v>3.7699999999999997E-2</v>
      </c>
      <c r="BM296" s="185">
        <v>275</v>
      </c>
      <c r="BN296" s="182">
        <f t="shared" si="108"/>
        <v>3.7699999999999997E-2</v>
      </c>
    </row>
    <row r="297" spans="61:66">
      <c r="BI297" s="273">
        <v>0.26000000000003898</v>
      </c>
      <c r="BJ297" s="59">
        <v>276</v>
      </c>
      <c r="BK297" s="168" t="str">
        <f t="shared" si="107"/>
        <v>---------</v>
      </c>
      <c r="BL297" s="182">
        <v>3.7600000000000001E-2</v>
      </c>
      <c r="BM297" s="185">
        <v>276</v>
      </c>
      <c r="BN297" s="182">
        <f t="shared" si="108"/>
        <v>3.7600000000000001E-2</v>
      </c>
    </row>
    <row r="298" spans="61:66">
      <c r="BI298" s="273">
        <v>0.25000000000003902</v>
      </c>
      <c r="BJ298" s="59">
        <v>277</v>
      </c>
      <c r="BK298" s="168" t="str">
        <f t="shared" si="107"/>
        <v>---------</v>
      </c>
      <c r="BL298" s="182">
        <v>3.7499999999999999E-2</v>
      </c>
      <c r="BM298" s="185">
        <v>277</v>
      </c>
      <c r="BN298" s="182">
        <f t="shared" si="108"/>
        <v>3.7499999999999999E-2</v>
      </c>
    </row>
    <row r="299" spans="61:66">
      <c r="BI299" s="273">
        <v>0.24000000000003899</v>
      </c>
      <c r="BJ299" s="59">
        <v>278</v>
      </c>
      <c r="BK299" s="168" t="str">
        <f t="shared" si="107"/>
        <v>---------</v>
      </c>
      <c r="BL299" s="182">
        <v>3.7400000000000003E-2</v>
      </c>
      <c r="BM299" s="185">
        <v>278</v>
      </c>
      <c r="BN299" s="182">
        <f t="shared" si="108"/>
        <v>3.7400000000000003E-2</v>
      </c>
    </row>
    <row r="300" spans="61:66">
      <c r="BI300" s="273">
        <v>0.23000000000003901</v>
      </c>
      <c r="BJ300" s="59">
        <v>279</v>
      </c>
      <c r="BK300" s="168" t="str">
        <f t="shared" si="107"/>
        <v>---------</v>
      </c>
      <c r="BL300" s="182">
        <v>3.73E-2</v>
      </c>
      <c r="BM300" s="185">
        <v>279</v>
      </c>
      <c r="BN300" s="182">
        <f t="shared" si="108"/>
        <v>3.73E-2</v>
      </c>
    </row>
    <row r="301" spans="61:66">
      <c r="BI301" s="273">
        <v>0.220000000000039</v>
      </c>
      <c r="BJ301" s="59">
        <v>280</v>
      </c>
      <c r="BK301" s="168" t="str">
        <f t="shared" si="107"/>
        <v>---------</v>
      </c>
      <c r="BL301" s="182">
        <v>3.7199999999999997E-2</v>
      </c>
      <c r="BM301" s="185">
        <v>280</v>
      </c>
      <c r="BN301" s="182">
        <f t="shared" si="108"/>
        <v>3.7199999999999997E-2</v>
      </c>
    </row>
    <row r="302" spans="61:66">
      <c r="BI302" s="273">
        <v>0.21000000000003899</v>
      </c>
      <c r="BJ302" s="59">
        <v>281</v>
      </c>
      <c r="BK302" s="168" t="str">
        <f t="shared" si="107"/>
        <v>---------</v>
      </c>
      <c r="BL302" s="182">
        <v>3.7100000000000001E-2</v>
      </c>
      <c r="BM302" s="185">
        <v>281</v>
      </c>
      <c r="BN302" s="182">
        <f t="shared" si="108"/>
        <v>3.7100000000000001E-2</v>
      </c>
    </row>
    <row r="303" spans="61:66">
      <c r="BI303" s="273">
        <v>0.20000000000003901</v>
      </c>
      <c r="BJ303" s="59">
        <v>282</v>
      </c>
      <c r="BK303" s="168" t="str">
        <f t="shared" si="107"/>
        <v>---------</v>
      </c>
      <c r="BL303" s="182">
        <v>3.6999999999999998E-2</v>
      </c>
      <c r="BM303" s="185">
        <v>282</v>
      </c>
      <c r="BN303" s="182">
        <f t="shared" si="108"/>
        <v>3.6999999999999998E-2</v>
      </c>
    </row>
    <row r="304" spans="61:66">
      <c r="BI304" s="273">
        <v>0.190000000000039</v>
      </c>
      <c r="BJ304" s="59">
        <v>283</v>
      </c>
      <c r="BK304" s="168" t="str">
        <f t="shared" si="107"/>
        <v>---------</v>
      </c>
      <c r="BL304" s="182">
        <v>3.6900000000000002E-2</v>
      </c>
      <c r="BM304" s="185">
        <v>283</v>
      </c>
      <c r="BN304" s="182">
        <f t="shared" si="108"/>
        <v>3.6900000000000002E-2</v>
      </c>
    </row>
    <row r="305" spans="61:66">
      <c r="BI305" s="273">
        <v>0.18000000000003899</v>
      </c>
      <c r="BJ305" s="59">
        <v>284</v>
      </c>
      <c r="BK305" s="168" t="str">
        <f t="shared" si="107"/>
        <v>---------</v>
      </c>
      <c r="BL305" s="182">
        <v>3.6799999999999999E-2</v>
      </c>
      <c r="BM305" s="185">
        <v>284</v>
      </c>
      <c r="BN305" s="182">
        <f t="shared" si="108"/>
        <v>3.6799999999999999E-2</v>
      </c>
    </row>
    <row r="306" spans="61:66">
      <c r="BI306" s="273">
        <v>0.17000000000003901</v>
      </c>
      <c r="BJ306" s="59">
        <v>285</v>
      </c>
      <c r="BK306" s="168" t="str">
        <f t="shared" si="107"/>
        <v>---------</v>
      </c>
      <c r="BL306" s="182">
        <v>3.6700000000000003E-2</v>
      </c>
      <c r="BM306" s="185">
        <v>285</v>
      </c>
      <c r="BN306" s="182">
        <f t="shared" si="108"/>
        <v>3.6700000000000003E-2</v>
      </c>
    </row>
    <row r="307" spans="61:66">
      <c r="BI307" s="273">
        <v>0.160000000000039</v>
      </c>
      <c r="BJ307" s="59">
        <v>286</v>
      </c>
      <c r="BK307" s="168" t="str">
        <f t="shared" si="107"/>
        <v>---------</v>
      </c>
      <c r="BL307" s="182">
        <v>3.6600000000000001E-2</v>
      </c>
      <c r="BM307" s="185">
        <v>286</v>
      </c>
      <c r="BN307" s="182">
        <f t="shared" si="108"/>
        <v>3.6600000000000001E-2</v>
      </c>
    </row>
    <row r="308" spans="61:66">
      <c r="BI308" s="273">
        <v>0.15000000000003899</v>
      </c>
      <c r="BJ308" s="59">
        <v>287</v>
      </c>
      <c r="BK308" s="168" t="str">
        <f t="shared" si="107"/>
        <v>---------</v>
      </c>
      <c r="BL308" s="182">
        <v>3.6499999999999998E-2</v>
      </c>
      <c r="BM308" s="185">
        <v>287</v>
      </c>
      <c r="BN308" s="182">
        <f t="shared" si="108"/>
        <v>3.6499999999999998E-2</v>
      </c>
    </row>
    <row r="309" spans="61:66">
      <c r="BI309" s="273">
        <v>0.14000000000003901</v>
      </c>
      <c r="BJ309" s="59">
        <v>288</v>
      </c>
      <c r="BK309" s="168" t="str">
        <f t="shared" si="107"/>
        <v>---------</v>
      </c>
      <c r="BL309" s="182">
        <v>3.6400000000000002E-2</v>
      </c>
      <c r="BM309" s="185">
        <v>288</v>
      </c>
      <c r="BN309" s="182">
        <f t="shared" si="108"/>
        <v>3.6400000000000002E-2</v>
      </c>
    </row>
    <row r="310" spans="61:66">
      <c r="BI310" s="273">
        <v>0.130000000000039</v>
      </c>
      <c r="BJ310" s="59">
        <v>289</v>
      </c>
      <c r="BK310" s="168" t="str">
        <f t="shared" si="107"/>
        <v>---------</v>
      </c>
      <c r="BL310" s="182">
        <v>3.6299999999999999E-2</v>
      </c>
      <c r="BM310" s="185">
        <v>289</v>
      </c>
      <c r="BN310" s="182">
        <f t="shared" si="108"/>
        <v>3.6299999999999999E-2</v>
      </c>
    </row>
    <row r="311" spans="61:66">
      <c r="BI311" s="273">
        <v>0.12000000000003901</v>
      </c>
      <c r="BJ311" s="59">
        <v>290</v>
      </c>
      <c r="BK311" s="168" t="str">
        <f t="shared" si="107"/>
        <v>---------</v>
      </c>
      <c r="BL311" s="182">
        <v>3.6200000000000003E-2</v>
      </c>
      <c r="BM311" s="185">
        <v>290</v>
      </c>
      <c r="BN311" s="182">
        <f t="shared" si="108"/>
        <v>3.6200000000000003E-2</v>
      </c>
    </row>
    <row r="312" spans="61:66">
      <c r="BI312" s="273">
        <v>0.110000000000039</v>
      </c>
      <c r="BJ312" s="59">
        <v>291</v>
      </c>
      <c r="BK312" s="168" t="str">
        <f t="shared" si="107"/>
        <v>---------</v>
      </c>
      <c r="BL312" s="182">
        <v>3.61E-2</v>
      </c>
      <c r="BM312" s="185">
        <v>291</v>
      </c>
      <c r="BN312" s="182">
        <f t="shared" si="108"/>
        <v>3.61E-2</v>
      </c>
    </row>
    <row r="313" spans="61:66">
      <c r="BI313" s="273">
        <v>0.100000000000039</v>
      </c>
      <c r="BJ313" s="59">
        <v>292</v>
      </c>
      <c r="BK313" s="168" t="str">
        <f t="shared" si="107"/>
        <v>---------</v>
      </c>
      <c r="BL313" s="182">
        <v>3.5999999999999997E-2</v>
      </c>
      <c r="BM313" s="185">
        <v>292</v>
      </c>
      <c r="BN313" s="182">
        <f t="shared" si="108"/>
        <v>3.5999999999999997E-2</v>
      </c>
    </row>
    <row r="314" spans="61:66">
      <c r="BI314" s="273">
        <v>9.0000000000038993E-2</v>
      </c>
      <c r="BJ314" s="59">
        <v>293</v>
      </c>
      <c r="BK314" s="168" t="str">
        <f t="shared" si="107"/>
        <v>---------</v>
      </c>
      <c r="BL314" s="182">
        <v>3.5900000000000001E-2</v>
      </c>
      <c r="BM314" s="185">
        <v>293</v>
      </c>
      <c r="BN314" s="182">
        <f t="shared" si="108"/>
        <v>3.5900000000000001E-2</v>
      </c>
    </row>
    <row r="315" spans="61:66">
      <c r="BI315" s="273">
        <v>8.0000000000038998E-2</v>
      </c>
      <c r="BJ315" s="59">
        <v>294</v>
      </c>
      <c r="BK315" s="168" t="str">
        <f t="shared" si="107"/>
        <v>---------</v>
      </c>
      <c r="BL315" s="182">
        <v>3.5799999999999998E-2</v>
      </c>
      <c r="BM315" s="185">
        <v>294</v>
      </c>
      <c r="BN315" s="182">
        <f t="shared" si="108"/>
        <v>3.5799999999999998E-2</v>
      </c>
    </row>
    <row r="316" spans="61:66">
      <c r="BI316" s="273">
        <v>7.0000000000039003E-2</v>
      </c>
      <c r="BJ316" s="59">
        <v>295</v>
      </c>
      <c r="BK316" s="168" t="str">
        <f t="shared" si="107"/>
        <v>---------</v>
      </c>
      <c r="BL316" s="182">
        <v>3.5700000000000003E-2</v>
      </c>
      <c r="BM316" s="185">
        <v>295</v>
      </c>
      <c r="BN316" s="182">
        <f t="shared" si="108"/>
        <v>3.5700000000000003E-2</v>
      </c>
    </row>
    <row r="317" spans="61:66">
      <c r="BI317" s="273">
        <v>6.0000000000039001E-2</v>
      </c>
      <c r="BJ317" s="59">
        <v>296</v>
      </c>
      <c r="BK317" s="168" t="str">
        <f t="shared" si="107"/>
        <v>---------</v>
      </c>
      <c r="BL317" s="182">
        <v>3.56E-2</v>
      </c>
      <c r="BM317" s="185">
        <v>296</v>
      </c>
      <c r="BN317" s="182">
        <f t="shared" si="108"/>
        <v>3.56E-2</v>
      </c>
    </row>
    <row r="318" spans="61:66">
      <c r="BI318" s="273">
        <v>5.0000000000038999E-2</v>
      </c>
      <c r="BJ318" s="59">
        <v>297</v>
      </c>
      <c r="BK318" s="168" t="str">
        <f t="shared" si="107"/>
        <v>---------</v>
      </c>
      <c r="BL318" s="182">
        <v>3.5499999999999997E-2</v>
      </c>
      <c r="BM318" s="185">
        <v>297</v>
      </c>
      <c r="BN318" s="182">
        <f t="shared" si="108"/>
        <v>3.5499999999999997E-2</v>
      </c>
    </row>
    <row r="319" spans="61:66">
      <c r="BI319" s="273">
        <v>4.0000000000038997E-2</v>
      </c>
      <c r="BJ319" s="59">
        <v>298</v>
      </c>
      <c r="BK319" s="168" t="str">
        <f t="shared" si="107"/>
        <v>---------</v>
      </c>
      <c r="BL319" s="182">
        <v>3.5400000000000001E-2</v>
      </c>
      <c r="BM319" s="185">
        <v>298</v>
      </c>
      <c r="BN319" s="182">
        <f t="shared" si="108"/>
        <v>3.5400000000000001E-2</v>
      </c>
    </row>
    <row r="320" spans="61:66">
      <c r="BI320" s="273">
        <v>3.0000000000040002E-2</v>
      </c>
      <c r="BJ320" s="59">
        <v>299</v>
      </c>
      <c r="BK320" s="168" t="str">
        <f t="shared" si="107"/>
        <v>---------</v>
      </c>
      <c r="BL320" s="182">
        <v>3.5299999999999998E-2</v>
      </c>
      <c r="BM320" s="185">
        <v>299</v>
      </c>
      <c r="BN320" s="182">
        <f t="shared" si="108"/>
        <v>3.5299999999999998E-2</v>
      </c>
    </row>
    <row r="321" spans="61:66">
      <c r="BI321" s="273">
        <v>2.000000000004E-2</v>
      </c>
      <c r="BJ321" s="59">
        <v>300</v>
      </c>
      <c r="BK321" s="168" t="str">
        <f t="shared" si="107"/>
        <v>---------</v>
      </c>
      <c r="BL321" s="182">
        <v>3.5200000000000002E-2</v>
      </c>
      <c r="BM321" s="185">
        <v>300</v>
      </c>
      <c r="BN321" s="182">
        <f t="shared" si="108"/>
        <v>3.5200000000000002E-2</v>
      </c>
    </row>
    <row r="322" spans="61:66">
      <c r="BI322" s="273">
        <v>1.0000000000039999E-2</v>
      </c>
      <c r="BJ322" s="59">
        <v>301</v>
      </c>
      <c r="BK322" s="168" t="str">
        <f t="shared" si="107"/>
        <v>---------</v>
      </c>
      <c r="BL322" s="182">
        <v>3.5099999999999999E-2</v>
      </c>
      <c r="BM322" s="185">
        <v>301</v>
      </c>
      <c r="BN322" s="182">
        <f t="shared" si="108"/>
        <v>3.5099999999999999E-2</v>
      </c>
    </row>
    <row r="323" spans="61:66">
      <c r="BK323" s="168"/>
      <c r="BL323" s="182">
        <v>3.5000000000000003E-2</v>
      </c>
      <c r="BM323" s="185">
        <v>302</v>
      </c>
      <c r="BN323" s="182">
        <f t="shared" si="108"/>
        <v>3.5000000000000003E-2</v>
      </c>
    </row>
    <row r="324" spans="61:66">
      <c r="BK324" s="168"/>
      <c r="BL324" s="182">
        <v>3.49E-2</v>
      </c>
      <c r="BM324" s="185">
        <v>303</v>
      </c>
      <c r="BN324" s="182">
        <f t="shared" si="108"/>
        <v>3.49E-2</v>
      </c>
    </row>
    <row r="325" spans="61:66">
      <c r="BK325" s="168"/>
      <c r="BL325" s="182">
        <v>3.4799999999999998E-2</v>
      </c>
      <c r="BM325" s="185">
        <v>304</v>
      </c>
      <c r="BN325" s="182">
        <f t="shared" si="108"/>
        <v>3.4799999999999998E-2</v>
      </c>
    </row>
    <row r="326" spans="61:66">
      <c r="BK326" s="168"/>
      <c r="BL326" s="182">
        <v>3.4700000000000002E-2</v>
      </c>
      <c r="BM326" s="185">
        <v>305</v>
      </c>
      <c r="BN326" s="182">
        <f t="shared" si="108"/>
        <v>3.4700000000000002E-2</v>
      </c>
    </row>
    <row r="327" spans="61:66">
      <c r="BK327" s="168"/>
      <c r="BL327" s="182">
        <v>3.4599999999999999E-2</v>
      </c>
      <c r="BM327" s="185">
        <v>306</v>
      </c>
      <c r="BN327" s="182">
        <f t="shared" si="108"/>
        <v>3.4599999999999999E-2</v>
      </c>
    </row>
    <row r="328" spans="61:66">
      <c r="BK328" s="168"/>
      <c r="BL328" s="182">
        <v>3.4500000000000003E-2</v>
      </c>
      <c r="BM328" s="185">
        <v>307</v>
      </c>
      <c r="BN328" s="182">
        <f t="shared" si="108"/>
        <v>3.4500000000000003E-2</v>
      </c>
    </row>
    <row r="329" spans="61:66">
      <c r="BK329" s="168"/>
      <c r="BL329" s="182">
        <v>3.44E-2</v>
      </c>
      <c r="BM329" s="185">
        <v>308</v>
      </c>
      <c r="BN329" s="182">
        <f t="shared" si="108"/>
        <v>3.44E-2</v>
      </c>
    </row>
    <row r="330" spans="61:66">
      <c r="BK330" s="168"/>
      <c r="BL330" s="182">
        <v>3.4299999999999997E-2</v>
      </c>
      <c r="BM330" s="185">
        <v>309</v>
      </c>
      <c r="BN330" s="182">
        <f t="shared" si="108"/>
        <v>3.4299999999999997E-2</v>
      </c>
    </row>
    <row r="331" spans="61:66">
      <c r="BK331" s="168"/>
      <c r="BL331" s="182">
        <v>3.4200000000000001E-2</v>
      </c>
      <c r="BM331" s="185">
        <v>310</v>
      </c>
      <c r="BN331" s="182">
        <f t="shared" si="108"/>
        <v>3.4200000000000001E-2</v>
      </c>
    </row>
    <row r="332" spans="61:66">
      <c r="BK332" s="168"/>
      <c r="BL332" s="182">
        <v>3.4099999999999998E-2</v>
      </c>
      <c r="BM332" s="185">
        <v>311</v>
      </c>
      <c r="BN332" s="182">
        <f t="shared" si="108"/>
        <v>3.4099999999999998E-2</v>
      </c>
    </row>
    <row r="333" spans="61:66">
      <c r="BK333" s="168"/>
      <c r="BL333" s="182">
        <v>3.4000000000000002E-2</v>
      </c>
      <c r="BM333" s="185">
        <v>312</v>
      </c>
      <c r="BN333" s="182">
        <f t="shared" si="108"/>
        <v>3.4000000000000002E-2</v>
      </c>
    </row>
    <row r="334" spans="61:66">
      <c r="BK334" s="168"/>
      <c r="BL334" s="182">
        <v>3.39E-2</v>
      </c>
      <c r="BM334" s="185">
        <v>313</v>
      </c>
      <c r="BN334" s="182">
        <f t="shared" si="108"/>
        <v>3.39E-2</v>
      </c>
    </row>
    <row r="335" spans="61:66">
      <c r="BK335" s="168"/>
      <c r="BL335" s="182">
        <v>3.3799999999999997E-2</v>
      </c>
      <c r="BM335" s="185">
        <v>314</v>
      </c>
      <c r="BN335" s="182">
        <f t="shared" si="108"/>
        <v>3.3799999999999997E-2</v>
      </c>
    </row>
    <row r="336" spans="61:66">
      <c r="BK336" s="168"/>
      <c r="BL336" s="182">
        <v>3.3700000000000001E-2</v>
      </c>
      <c r="BM336" s="185">
        <v>315</v>
      </c>
      <c r="BN336" s="182">
        <f t="shared" si="108"/>
        <v>3.3700000000000001E-2</v>
      </c>
    </row>
    <row r="337" spans="63:66">
      <c r="BK337" s="168"/>
      <c r="BL337" s="182">
        <v>3.3599999999999998E-2</v>
      </c>
      <c r="BM337" s="185">
        <v>316</v>
      </c>
      <c r="BN337" s="182">
        <f t="shared" si="108"/>
        <v>3.3599999999999998E-2</v>
      </c>
    </row>
    <row r="338" spans="63:66">
      <c r="BK338" s="168"/>
      <c r="BL338" s="182">
        <v>3.3500000000000002E-2</v>
      </c>
      <c r="BM338" s="185">
        <v>317</v>
      </c>
      <c r="BN338" s="182">
        <f t="shared" si="108"/>
        <v>3.3500000000000002E-2</v>
      </c>
    </row>
    <row r="339" spans="63:66">
      <c r="BK339" s="168"/>
      <c r="BL339" s="182">
        <v>3.3399999999999999E-2</v>
      </c>
      <c r="BM339" s="185">
        <v>318</v>
      </c>
      <c r="BN339" s="182">
        <f t="shared" si="108"/>
        <v>3.3399999999999999E-2</v>
      </c>
    </row>
    <row r="340" spans="63:66">
      <c r="BK340" s="168"/>
      <c r="BL340" s="182">
        <v>3.3300000000000003E-2</v>
      </c>
      <c r="BM340" s="185">
        <v>319</v>
      </c>
      <c r="BN340" s="182">
        <f t="shared" si="108"/>
        <v>3.3300000000000003E-2</v>
      </c>
    </row>
    <row r="341" spans="63:66">
      <c r="BK341" s="168"/>
      <c r="BL341" s="182">
        <v>3.32E-2</v>
      </c>
      <c r="BM341" s="185">
        <v>320</v>
      </c>
      <c r="BN341" s="182">
        <f t="shared" si="108"/>
        <v>3.32E-2</v>
      </c>
    </row>
    <row r="342" spans="63:66">
      <c r="BK342" s="168"/>
      <c r="BL342" s="182">
        <v>3.3099999999999997E-2</v>
      </c>
      <c r="BM342" s="185">
        <v>321</v>
      </c>
      <c r="BN342" s="182">
        <f t="shared" si="108"/>
        <v>3.3099999999999997E-2</v>
      </c>
    </row>
    <row r="343" spans="63:66">
      <c r="BK343" s="168"/>
      <c r="BL343" s="182">
        <v>3.3000000000000002E-2</v>
      </c>
      <c r="BM343" s="185">
        <v>322</v>
      </c>
      <c r="BN343" s="182">
        <f t="shared" ref="BN343:BN406" si="109">BL343</f>
        <v>3.3000000000000002E-2</v>
      </c>
    </row>
    <row r="344" spans="63:66">
      <c r="BK344" s="168"/>
      <c r="BL344" s="182">
        <v>3.2899999999999999E-2</v>
      </c>
      <c r="BM344" s="185">
        <v>323</v>
      </c>
      <c r="BN344" s="182">
        <f t="shared" si="109"/>
        <v>3.2899999999999999E-2</v>
      </c>
    </row>
    <row r="345" spans="63:66">
      <c r="BK345" s="168"/>
      <c r="BL345" s="182">
        <v>3.2800000000000003E-2</v>
      </c>
      <c r="BM345" s="185">
        <v>324</v>
      </c>
      <c r="BN345" s="182">
        <f t="shared" si="109"/>
        <v>3.2800000000000003E-2</v>
      </c>
    </row>
    <row r="346" spans="63:66">
      <c r="BK346" s="168"/>
      <c r="BL346" s="182">
        <v>3.27E-2</v>
      </c>
      <c r="BM346" s="185">
        <v>325</v>
      </c>
      <c r="BN346" s="182">
        <f t="shared" si="109"/>
        <v>3.27E-2</v>
      </c>
    </row>
    <row r="347" spans="63:66">
      <c r="BK347" s="168"/>
      <c r="BL347" s="182">
        <v>3.2599999999999997E-2</v>
      </c>
      <c r="BM347" s="185">
        <v>326</v>
      </c>
      <c r="BN347" s="182">
        <f t="shared" si="109"/>
        <v>3.2599999999999997E-2</v>
      </c>
    </row>
    <row r="348" spans="63:66">
      <c r="BK348" s="168"/>
      <c r="BL348" s="182">
        <v>3.2500000000000001E-2</v>
      </c>
      <c r="BM348" s="185">
        <v>327</v>
      </c>
      <c r="BN348" s="182">
        <f t="shared" si="109"/>
        <v>3.2500000000000001E-2</v>
      </c>
    </row>
    <row r="349" spans="63:66">
      <c r="BK349" s="168"/>
      <c r="BL349" s="182">
        <v>3.2399999999999998E-2</v>
      </c>
      <c r="BM349" s="185">
        <v>328</v>
      </c>
      <c r="BN349" s="182">
        <f t="shared" si="109"/>
        <v>3.2399999999999998E-2</v>
      </c>
    </row>
    <row r="350" spans="63:66">
      <c r="BK350" s="168"/>
      <c r="BL350" s="182">
        <v>3.2300000000000002E-2</v>
      </c>
      <c r="BM350" s="185">
        <v>329</v>
      </c>
      <c r="BN350" s="182">
        <f t="shared" si="109"/>
        <v>3.2300000000000002E-2</v>
      </c>
    </row>
    <row r="351" spans="63:66">
      <c r="BK351" s="168"/>
      <c r="BL351" s="182">
        <v>3.2199999999999999E-2</v>
      </c>
      <c r="BM351" s="185">
        <v>330</v>
      </c>
      <c r="BN351" s="182">
        <f t="shared" si="109"/>
        <v>3.2199999999999999E-2</v>
      </c>
    </row>
    <row r="352" spans="63:66">
      <c r="BK352" s="168"/>
      <c r="BL352" s="182">
        <v>3.2099999999999997E-2</v>
      </c>
      <c r="BM352" s="185">
        <v>331</v>
      </c>
      <c r="BN352" s="182">
        <f t="shared" si="109"/>
        <v>3.2099999999999997E-2</v>
      </c>
    </row>
    <row r="353" spans="63:66">
      <c r="BK353" s="168"/>
      <c r="BL353" s="182">
        <v>3.2000000000000001E-2</v>
      </c>
      <c r="BM353" s="185">
        <v>332</v>
      </c>
      <c r="BN353" s="182">
        <f t="shared" si="109"/>
        <v>3.2000000000000001E-2</v>
      </c>
    </row>
    <row r="354" spans="63:66">
      <c r="BK354" s="168"/>
      <c r="BL354" s="182">
        <v>3.1899999999999998E-2</v>
      </c>
      <c r="BM354" s="185">
        <v>333</v>
      </c>
      <c r="BN354" s="182">
        <f t="shared" si="109"/>
        <v>3.1899999999999998E-2</v>
      </c>
    </row>
    <row r="355" spans="63:66">
      <c r="BK355" s="168"/>
      <c r="BL355" s="182">
        <v>3.1800000000000002E-2</v>
      </c>
      <c r="BM355" s="185">
        <v>334</v>
      </c>
      <c r="BN355" s="182">
        <f t="shared" si="109"/>
        <v>3.1800000000000002E-2</v>
      </c>
    </row>
    <row r="356" spans="63:66">
      <c r="BK356" s="168"/>
      <c r="BL356" s="182">
        <v>3.1699999999999999E-2</v>
      </c>
      <c r="BM356" s="185">
        <v>335</v>
      </c>
      <c r="BN356" s="182">
        <f t="shared" si="109"/>
        <v>3.1699999999999999E-2</v>
      </c>
    </row>
    <row r="357" spans="63:66">
      <c r="BK357" s="168"/>
      <c r="BL357" s="182">
        <v>3.1600000000000003E-2</v>
      </c>
      <c r="BM357" s="185">
        <v>336</v>
      </c>
      <c r="BN357" s="182">
        <f t="shared" si="109"/>
        <v>3.1600000000000003E-2</v>
      </c>
    </row>
    <row r="358" spans="63:66">
      <c r="BK358" s="168"/>
      <c r="BL358" s="182">
        <v>3.15E-2</v>
      </c>
      <c r="BM358" s="185">
        <v>337</v>
      </c>
      <c r="BN358" s="182">
        <f t="shared" si="109"/>
        <v>3.15E-2</v>
      </c>
    </row>
    <row r="359" spans="63:66">
      <c r="BK359" s="168"/>
      <c r="BL359" s="182">
        <v>3.1399999999999997E-2</v>
      </c>
      <c r="BM359" s="185">
        <v>338</v>
      </c>
      <c r="BN359" s="182">
        <f t="shared" si="109"/>
        <v>3.1399999999999997E-2</v>
      </c>
    </row>
    <row r="360" spans="63:66">
      <c r="BK360" s="168"/>
      <c r="BL360" s="182">
        <v>3.1300000000000001E-2</v>
      </c>
      <c r="BM360" s="185">
        <v>339</v>
      </c>
      <c r="BN360" s="182">
        <f t="shared" si="109"/>
        <v>3.1300000000000001E-2</v>
      </c>
    </row>
    <row r="361" spans="63:66">
      <c r="BK361" s="168"/>
      <c r="BL361" s="182">
        <v>3.1199999999999999E-2</v>
      </c>
      <c r="BM361" s="185">
        <v>340</v>
      </c>
      <c r="BN361" s="182">
        <f t="shared" si="109"/>
        <v>3.1199999999999999E-2</v>
      </c>
    </row>
    <row r="362" spans="63:66">
      <c r="BK362" s="168"/>
      <c r="BL362" s="182">
        <v>3.1099999999999999E-2</v>
      </c>
      <c r="BM362" s="185">
        <v>341</v>
      </c>
      <c r="BN362" s="182">
        <f t="shared" si="109"/>
        <v>3.1099999999999999E-2</v>
      </c>
    </row>
    <row r="363" spans="63:66">
      <c r="BK363" s="168"/>
      <c r="BL363" s="182">
        <v>3.1E-2</v>
      </c>
      <c r="BM363" s="185">
        <v>342</v>
      </c>
      <c r="BN363" s="182">
        <f t="shared" si="109"/>
        <v>3.1E-2</v>
      </c>
    </row>
    <row r="364" spans="63:66">
      <c r="BK364" s="168"/>
      <c r="BL364" s="182">
        <v>3.09E-2</v>
      </c>
      <c r="BM364" s="185">
        <v>343</v>
      </c>
      <c r="BN364" s="182">
        <f t="shared" si="109"/>
        <v>3.09E-2</v>
      </c>
    </row>
    <row r="365" spans="63:66">
      <c r="BK365" s="168"/>
      <c r="BL365" s="182">
        <v>3.0800000000000001E-2</v>
      </c>
      <c r="BM365" s="185">
        <v>344</v>
      </c>
      <c r="BN365" s="182">
        <f t="shared" si="109"/>
        <v>3.0800000000000001E-2</v>
      </c>
    </row>
    <row r="366" spans="63:66">
      <c r="BK366" s="168"/>
      <c r="BL366" s="182">
        <v>3.0700000000000002E-2</v>
      </c>
      <c r="BM366" s="185">
        <v>345</v>
      </c>
      <c r="BN366" s="182">
        <f t="shared" si="109"/>
        <v>3.0700000000000002E-2</v>
      </c>
    </row>
    <row r="367" spans="63:66">
      <c r="BK367" s="168"/>
      <c r="BL367" s="182">
        <v>3.0599999999999999E-2</v>
      </c>
      <c r="BM367" s="185">
        <v>346</v>
      </c>
      <c r="BN367" s="182">
        <f t="shared" si="109"/>
        <v>3.0599999999999999E-2</v>
      </c>
    </row>
    <row r="368" spans="63:66">
      <c r="BK368" s="168"/>
      <c r="BL368" s="182">
        <v>3.0499999999999999E-2</v>
      </c>
      <c r="BM368" s="185">
        <v>347</v>
      </c>
      <c r="BN368" s="182">
        <f t="shared" si="109"/>
        <v>3.0499999999999999E-2</v>
      </c>
    </row>
    <row r="369" spans="63:66">
      <c r="BK369" s="168"/>
      <c r="BL369" s="182">
        <v>3.04E-2</v>
      </c>
      <c r="BM369" s="185">
        <v>348</v>
      </c>
      <c r="BN369" s="182">
        <f t="shared" si="109"/>
        <v>3.04E-2</v>
      </c>
    </row>
    <row r="370" spans="63:66">
      <c r="BK370" s="168"/>
      <c r="BL370" s="182">
        <v>3.0300000000000001E-2</v>
      </c>
      <c r="BM370" s="185">
        <v>349</v>
      </c>
      <c r="BN370" s="182">
        <f t="shared" si="109"/>
        <v>3.0300000000000001E-2</v>
      </c>
    </row>
    <row r="371" spans="63:66">
      <c r="BK371" s="168"/>
      <c r="BL371" s="182">
        <v>3.0200000000000001E-2</v>
      </c>
      <c r="BM371" s="185">
        <v>350</v>
      </c>
      <c r="BN371" s="182">
        <f t="shared" si="109"/>
        <v>3.0200000000000001E-2</v>
      </c>
    </row>
    <row r="372" spans="63:66">
      <c r="BK372" s="168"/>
      <c r="BL372" s="182">
        <v>3.0099999999999998E-2</v>
      </c>
      <c r="BM372" s="185">
        <v>351</v>
      </c>
      <c r="BN372" s="182">
        <f t="shared" si="109"/>
        <v>3.0099999999999998E-2</v>
      </c>
    </row>
    <row r="373" spans="63:66">
      <c r="BK373" s="168"/>
      <c r="BL373" s="182">
        <v>0.03</v>
      </c>
      <c r="BM373" s="185">
        <v>352</v>
      </c>
      <c r="BN373" s="182">
        <f t="shared" si="109"/>
        <v>0.03</v>
      </c>
    </row>
    <row r="374" spans="63:66">
      <c r="BK374" s="168"/>
      <c r="BL374" s="182">
        <v>2.9899999999999999E-2</v>
      </c>
      <c r="BM374" s="185">
        <v>353</v>
      </c>
      <c r="BN374" s="182">
        <f t="shared" si="109"/>
        <v>2.9899999999999999E-2</v>
      </c>
    </row>
    <row r="375" spans="63:66">
      <c r="BK375" s="168"/>
      <c r="BL375" s="182">
        <v>2.98E-2</v>
      </c>
      <c r="BM375" s="185">
        <v>354</v>
      </c>
      <c r="BN375" s="182">
        <f t="shared" si="109"/>
        <v>2.98E-2</v>
      </c>
    </row>
    <row r="376" spans="63:66">
      <c r="BK376" s="168"/>
      <c r="BL376" s="182">
        <v>2.9700000000000001E-2</v>
      </c>
      <c r="BM376" s="185">
        <v>355</v>
      </c>
      <c r="BN376" s="182">
        <f t="shared" si="109"/>
        <v>2.9700000000000001E-2</v>
      </c>
    </row>
    <row r="377" spans="63:66">
      <c r="BK377" s="168"/>
      <c r="BL377" s="182">
        <v>2.9600000000000001E-2</v>
      </c>
      <c r="BM377" s="185">
        <v>356</v>
      </c>
      <c r="BN377" s="182">
        <f t="shared" si="109"/>
        <v>2.9600000000000001E-2</v>
      </c>
    </row>
    <row r="378" spans="63:66">
      <c r="BK378" s="168"/>
      <c r="BL378" s="182">
        <v>2.9499999999999998E-2</v>
      </c>
      <c r="BM378" s="185">
        <v>357</v>
      </c>
      <c r="BN378" s="182">
        <f t="shared" si="109"/>
        <v>2.9499999999999998E-2</v>
      </c>
    </row>
    <row r="379" spans="63:66">
      <c r="BK379" s="168"/>
      <c r="BL379" s="182">
        <v>2.9399999999999999E-2</v>
      </c>
      <c r="BM379" s="185">
        <v>358</v>
      </c>
      <c r="BN379" s="182">
        <f t="shared" si="109"/>
        <v>2.9399999999999999E-2</v>
      </c>
    </row>
    <row r="380" spans="63:66">
      <c r="BK380" s="168"/>
      <c r="BL380" s="182">
        <v>2.93E-2</v>
      </c>
      <c r="BM380" s="185">
        <v>359</v>
      </c>
      <c r="BN380" s="182">
        <f t="shared" si="109"/>
        <v>2.93E-2</v>
      </c>
    </row>
    <row r="381" spans="63:66">
      <c r="BK381" s="168"/>
      <c r="BL381" s="182">
        <v>2.92E-2</v>
      </c>
      <c r="BM381" s="185">
        <v>360</v>
      </c>
      <c r="BN381" s="182">
        <f t="shared" si="109"/>
        <v>2.92E-2</v>
      </c>
    </row>
    <row r="382" spans="63:66">
      <c r="BK382" s="168"/>
      <c r="BL382" s="182">
        <v>2.9100000000000001E-2</v>
      </c>
      <c r="BM382" s="185">
        <v>361</v>
      </c>
      <c r="BN382" s="182">
        <f t="shared" si="109"/>
        <v>2.9100000000000001E-2</v>
      </c>
    </row>
    <row r="383" spans="63:66">
      <c r="BK383" s="168"/>
      <c r="BL383" s="182">
        <v>2.9000000000000001E-2</v>
      </c>
      <c r="BM383" s="185">
        <v>362</v>
      </c>
      <c r="BN383" s="182">
        <f t="shared" si="109"/>
        <v>2.9000000000000001E-2</v>
      </c>
    </row>
    <row r="384" spans="63:66">
      <c r="BK384" s="168"/>
      <c r="BL384" s="182">
        <v>2.8899999999999999E-2</v>
      </c>
      <c r="BM384" s="185">
        <v>363</v>
      </c>
      <c r="BN384" s="182">
        <f t="shared" si="109"/>
        <v>2.8899999999999999E-2</v>
      </c>
    </row>
    <row r="385" spans="63:66">
      <c r="BK385" s="168"/>
      <c r="BL385" s="182">
        <v>2.8799999999999999E-2</v>
      </c>
      <c r="BM385" s="185">
        <v>364</v>
      </c>
      <c r="BN385" s="182">
        <f t="shared" si="109"/>
        <v>2.8799999999999999E-2</v>
      </c>
    </row>
    <row r="386" spans="63:66">
      <c r="BK386" s="168"/>
      <c r="BL386" s="182">
        <v>2.87E-2</v>
      </c>
      <c r="BM386" s="185">
        <v>365</v>
      </c>
      <c r="BN386" s="182">
        <f t="shared" si="109"/>
        <v>2.87E-2</v>
      </c>
    </row>
    <row r="387" spans="63:66">
      <c r="BK387" s="168"/>
      <c r="BL387" s="182">
        <v>2.86E-2</v>
      </c>
      <c r="BM387" s="185">
        <v>366</v>
      </c>
      <c r="BN387" s="182">
        <f t="shared" si="109"/>
        <v>2.86E-2</v>
      </c>
    </row>
    <row r="388" spans="63:66">
      <c r="BK388" s="168"/>
      <c r="BL388" s="182">
        <v>2.8500000000000001E-2</v>
      </c>
      <c r="BM388" s="185">
        <v>367</v>
      </c>
      <c r="BN388" s="182">
        <f t="shared" si="109"/>
        <v>2.8500000000000001E-2</v>
      </c>
    </row>
    <row r="389" spans="63:66">
      <c r="BK389" s="168"/>
      <c r="BL389" s="182">
        <v>2.8400000000000002E-2</v>
      </c>
      <c r="BM389" s="185">
        <v>368</v>
      </c>
      <c r="BN389" s="182">
        <f t="shared" si="109"/>
        <v>2.8400000000000002E-2</v>
      </c>
    </row>
    <row r="390" spans="63:66">
      <c r="BK390" s="168"/>
      <c r="BL390" s="182">
        <v>2.8299999999999999E-2</v>
      </c>
      <c r="BM390" s="185">
        <v>369</v>
      </c>
      <c r="BN390" s="182">
        <f t="shared" si="109"/>
        <v>2.8299999999999999E-2</v>
      </c>
    </row>
    <row r="391" spans="63:66">
      <c r="BK391" s="168"/>
      <c r="BL391" s="182">
        <v>2.8199999999999999E-2</v>
      </c>
      <c r="BM391" s="185">
        <v>370</v>
      </c>
      <c r="BN391" s="182">
        <f t="shared" si="109"/>
        <v>2.8199999999999999E-2</v>
      </c>
    </row>
    <row r="392" spans="63:66">
      <c r="BK392" s="168"/>
      <c r="BL392" s="182">
        <v>2.81E-2</v>
      </c>
      <c r="BM392" s="185">
        <v>371</v>
      </c>
      <c r="BN392" s="182">
        <f t="shared" si="109"/>
        <v>2.81E-2</v>
      </c>
    </row>
    <row r="393" spans="63:66">
      <c r="BK393" s="168"/>
      <c r="BL393" s="182">
        <v>2.8000000000000001E-2</v>
      </c>
      <c r="BM393" s="185">
        <v>372</v>
      </c>
      <c r="BN393" s="182">
        <f t="shared" si="109"/>
        <v>2.8000000000000001E-2</v>
      </c>
    </row>
    <row r="394" spans="63:66">
      <c r="BK394" s="168"/>
      <c r="BL394" s="182">
        <v>2.7900000000000001E-2</v>
      </c>
      <c r="BM394" s="185">
        <v>373</v>
      </c>
      <c r="BN394" s="182">
        <f t="shared" si="109"/>
        <v>2.7900000000000001E-2</v>
      </c>
    </row>
    <row r="395" spans="63:66">
      <c r="BK395" s="168"/>
      <c r="BL395" s="182">
        <v>2.7799999999999998E-2</v>
      </c>
      <c r="BM395" s="185">
        <v>374</v>
      </c>
      <c r="BN395" s="182">
        <f t="shared" si="109"/>
        <v>2.7799999999999998E-2</v>
      </c>
    </row>
    <row r="396" spans="63:66">
      <c r="BK396" s="168"/>
      <c r="BL396" s="182">
        <v>2.7699999999999999E-2</v>
      </c>
      <c r="BM396" s="185">
        <v>375</v>
      </c>
      <c r="BN396" s="182">
        <f t="shared" si="109"/>
        <v>2.7699999999999999E-2</v>
      </c>
    </row>
    <row r="397" spans="63:66">
      <c r="BK397" s="168"/>
      <c r="BL397" s="182">
        <v>2.76E-2</v>
      </c>
      <c r="BM397" s="185">
        <v>376</v>
      </c>
      <c r="BN397" s="182">
        <f t="shared" si="109"/>
        <v>2.76E-2</v>
      </c>
    </row>
    <row r="398" spans="63:66">
      <c r="BK398" s="168"/>
      <c r="BL398" s="182">
        <v>2.75E-2</v>
      </c>
      <c r="BM398" s="185">
        <v>377</v>
      </c>
      <c r="BN398" s="182">
        <f t="shared" si="109"/>
        <v>2.75E-2</v>
      </c>
    </row>
    <row r="399" spans="63:66">
      <c r="BK399" s="168"/>
      <c r="BL399" s="182">
        <v>2.7400000000000001E-2</v>
      </c>
      <c r="BM399" s="185">
        <v>378</v>
      </c>
      <c r="BN399" s="182">
        <f t="shared" si="109"/>
        <v>2.7400000000000001E-2</v>
      </c>
    </row>
    <row r="400" spans="63:66">
      <c r="BK400" s="168"/>
      <c r="BL400" s="182">
        <v>2.7300000000000001E-2</v>
      </c>
      <c r="BM400" s="185">
        <v>379</v>
      </c>
      <c r="BN400" s="182">
        <f t="shared" si="109"/>
        <v>2.7300000000000001E-2</v>
      </c>
    </row>
    <row r="401" spans="63:66">
      <c r="BK401" s="168"/>
      <c r="BL401" s="182">
        <v>2.7199999999999998E-2</v>
      </c>
      <c r="BM401" s="185">
        <v>380</v>
      </c>
      <c r="BN401" s="182">
        <f t="shared" si="109"/>
        <v>2.7199999999999998E-2</v>
      </c>
    </row>
    <row r="402" spans="63:66">
      <c r="BK402" s="168"/>
      <c r="BL402" s="182">
        <v>2.7099999999999999E-2</v>
      </c>
      <c r="BM402" s="185">
        <v>381</v>
      </c>
      <c r="BN402" s="182">
        <f t="shared" si="109"/>
        <v>2.7099999999999999E-2</v>
      </c>
    </row>
    <row r="403" spans="63:66">
      <c r="BK403" s="168"/>
      <c r="BL403" s="182">
        <v>2.7E-2</v>
      </c>
      <c r="BM403" s="185">
        <v>382</v>
      </c>
      <c r="BN403" s="182">
        <f t="shared" si="109"/>
        <v>2.7E-2</v>
      </c>
    </row>
    <row r="404" spans="63:66">
      <c r="BK404" s="168"/>
      <c r="BL404" s="182">
        <v>2.69E-2</v>
      </c>
      <c r="BM404" s="185">
        <v>383</v>
      </c>
      <c r="BN404" s="182">
        <f t="shared" si="109"/>
        <v>2.69E-2</v>
      </c>
    </row>
    <row r="405" spans="63:66">
      <c r="BK405" s="168"/>
      <c r="BL405" s="182">
        <v>2.6800000000000001E-2</v>
      </c>
      <c r="BM405" s="185">
        <v>384</v>
      </c>
      <c r="BN405" s="182">
        <f t="shared" si="109"/>
        <v>2.6800000000000001E-2</v>
      </c>
    </row>
    <row r="406" spans="63:66">
      <c r="BK406" s="168"/>
      <c r="BL406" s="182">
        <v>2.6700000000000002E-2</v>
      </c>
      <c r="BM406" s="185">
        <v>385</v>
      </c>
      <c r="BN406" s="182">
        <f t="shared" si="109"/>
        <v>2.6700000000000002E-2</v>
      </c>
    </row>
    <row r="407" spans="63:66">
      <c r="BK407" s="168"/>
      <c r="BL407" s="182">
        <v>2.6599999999999999E-2</v>
      </c>
      <c r="BM407" s="185">
        <v>386</v>
      </c>
      <c r="BN407" s="182">
        <f t="shared" ref="BN407:BN473" si="110">BL407</f>
        <v>2.6599999999999999E-2</v>
      </c>
    </row>
    <row r="408" spans="63:66">
      <c r="BK408" s="168"/>
      <c r="BL408" s="182">
        <v>2.6499999999999999E-2</v>
      </c>
      <c r="BM408" s="185">
        <v>387</v>
      </c>
      <c r="BN408" s="182">
        <f t="shared" si="110"/>
        <v>2.6499999999999999E-2</v>
      </c>
    </row>
    <row r="409" spans="63:66">
      <c r="BK409" s="168"/>
      <c r="BL409" s="182">
        <v>2.64E-2</v>
      </c>
      <c r="BM409" s="185">
        <v>388</v>
      </c>
      <c r="BN409" s="182">
        <f t="shared" si="110"/>
        <v>2.64E-2</v>
      </c>
    </row>
    <row r="410" spans="63:66">
      <c r="BK410" s="168"/>
      <c r="BL410" s="182">
        <v>2.63E-2</v>
      </c>
      <c r="BM410" s="185">
        <v>389</v>
      </c>
      <c r="BN410" s="182">
        <f t="shared" si="110"/>
        <v>2.63E-2</v>
      </c>
    </row>
    <row r="411" spans="63:66">
      <c r="BK411" s="168"/>
      <c r="BL411" s="182">
        <v>2.6200000000000001E-2</v>
      </c>
      <c r="BM411" s="185">
        <v>390</v>
      </c>
      <c r="BN411" s="182">
        <f t="shared" si="110"/>
        <v>2.6200000000000001E-2</v>
      </c>
    </row>
    <row r="412" spans="63:66">
      <c r="BK412" s="168"/>
      <c r="BL412" s="182">
        <v>2.6100000000000002E-2</v>
      </c>
      <c r="BM412" s="185">
        <v>391</v>
      </c>
      <c r="BN412" s="182">
        <f t="shared" si="110"/>
        <v>2.6100000000000002E-2</v>
      </c>
    </row>
    <row r="413" spans="63:66">
      <c r="BK413" s="168"/>
      <c r="BL413" s="182">
        <v>2.5999999999999999E-2</v>
      </c>
      <c r="BM413" s="185">
        <v>392</v>
      </c>
      <c r="BN413" s="182">
        <f t="shared" si="110"/>
        <v>2.5999999999999999E-2</v>
      </c>
    </row>
    <row r="414" spans="63:66">
      <c r="BK414" s="168"/>
      <c r="BL414" s="182">
        <v>2.5899999999999999E-2</v>
      </c>
      <c r="BM414" s="185">
        <v>393</v>
      </c>
      <c r="BN414" s="182">
        <f t="shared" si="110"/>
        <v>2.5899999999999999E-2</v>
      </c>
    </row>
    <row r="415" spans="63:66">
      <c r="BK415" s="168"/>
      <c r="BL415" s="182">
        <v>2.58E-2</v>
      </c>
      <c r="BM415" s="185">
        <v>394</v>
      </c>
      <c r="BN415" s="182">
        <f t="shared" si="110"/>
        <v>2.58E-2</v>
      </c>
    </row>
    <row r="416" spans="63:66">
      <c r="BK416" s="168"/>
      <c r="BL416" s="182">
        <v>2.5700000000000001E-2</v>
      </c>
      <c r="BM416" s="185">
        <v>395</v>
      </c>
      <c r="BN416" s="182">
        <f t="shared" si="110"/>
        <v>2.5700000000000001E-2</v>
      </c>
    </row>
    <row r="417" spans="63:66">
      <c r="BK417" s="168"/>
      <c r="BL417" s="182">
        <v>2.5600000000000001E-2</v>
      </c>
      <c r="BM417" s="185">
        <v>396</v>
      </c>
      <c r="BN417" s="182">
        <f t="shared" si="110"/>
        <v>2.5600000000000001E-2</v>
      </c>
    </row>
    <row r="418" spans="63:66">
      <c r="BK418" s="168"/>
      <c r="BL418" s="182">
        <v>2.5499999999999998E-2</v>
      </c>
      <c r="BM418" s="185">
        <v>397</v>
      </c>
      <c r="BN418" s="182">
        <f t="shared" si="110"/>
        <v>2.5499999999999998E-2</v>
      </c>
    </row>
    <row r="419" spans="63:66">
      <c r="BK419" s="168"/>
      <c r="BL419" s="182">
        <v>2.5399999999999999E-2</v>
      </c>
      <c r="BM419" s="185">
        <v>398</v>
      </c>
      <c r="BN419" s="182">
        <f t="shared" si="110"/>
        <v>2.5399999999999999E-2</v>
      </c>
    </row>
    <row r="420" spans="63:66">
      <c r="BK420" s="168"/>
      <c r="BL420" s="182">
        <v>2.53E-2</v>
      </c>
      <c r="BM420" s="185">
        <v>399</v>
      </c>
      <c r="BN420" s="182">
        <f t="shared" si="110"/>
        <v>2.53E-2</v>
      </c>
    </row>
    <row r="421" spans="63:66">
      <c r="BK421" s="168"/>
      <c r="BL421" s="182">
        <v>2.52E-2</v>
      </c>
      <c r="BM421" s="185">
        <v>400</v>
      </c>
      <c r="BN421" s="182">
        <f t="shared" si="110"/>
        <v>2.52E-2</v>
      </c>
    </row>
    <row r="422" spans="63:66">
      <c r="BK422" s="168"/>
      <c r="BL422" s="182">
        <v>2.5100000000000001E-2</v>
      </c>
      <c r="BM422" s="185">
        <v>401</v>
      </c>
      <c r="BN422" s="182">
        <f t="shared" si="110"/>
        <v>2.5100000000000001E-2</v>
      </c>
    </row>
    <row r="423" spans="63:66">
      <c r="BK423" s="168"/>
      <c r="BL423" s="182">
        <v>2.5000000000000001E-2</v>
      </c>
      <c r="BM423" s="185">
        <v>402</v>
      </c>
      <c r="BN423" s="182">
        <f t="shared" si="110"/>
        <v>2.5000000000000001E-2</v>
      </c>
    </row>
    <row r="424" spans="63:66">
      <c r="BK424" s="168"/>
      <c r="BL424" s="182">
        <v>2.4899999999999999E-2</v>
      </c>
      <c r="BM424" s="185">
        <v>403</v>
      </c>
      <c r="BN424" s="182">
        <f t="shared" si="110"/>
        <v>2.4899999999999999E-2</v>
      </c>
    </row>
    <row r="425" spans="63:66">
      <c r="BK425" s="168"/>
      <c r="BL425" s="182">
        <v>2.4799999999999999E-2</v>
      </c>
      <c r="BM425" s="185">
        <v>404</v>
      </c>
      <c r="BN425" s="182">
        <f t="shared" si="110"/>
        <v>2.4799999999999999E-2</v>
      </c>
    </row>
    <row r="426" spans="63:66">
      <c r="BK426" s="168"/>
      <c r="BL426" s="182">
        <v>2.47E-2</v>
      </c>
      <c r="BM426" s="185">
        <v>405</v>
      </c>
      <c r="BN426" s="182">
        <f t="shared" si="110"/>
        <v>2.47E-2</v>
      </c>
    </row>
    <row r="427" spans="63:66">
      <c r="BK427" s="168"/>
      <c r="BL427" s="182">
        <v>2.46E-2</v>
      </c>
      <c r="BM427" s="185">
        <v>406</v>
      </c>
      <c r="BN427" s="182">
        <f t="shared" si="110"/>
        <v>2.46E-2</v>
      </c>
    </row>
    <row r="428" spans="63:66">
      <c r="BK428" s="168"/>
      <c r="BL428" s="182">
        <v>2.4500000000000001E-2</v>
      </c>
      <c r="BM428" s="185">
        <v>407</v>
      </c>
      <c r="BN428" s="182">
        <f t="shared" si="110"/>
        <v>2.4500000000000001E-2</v>
      </c>
    </row>
    <row r="429" spans="63:66">
      <c r="BK429" s="168"/>
      <c r="BL429" s="182">
        <v>2.4400000000000002E-2</v>
      </c>
      <c r="BM429" s="185">
        <v>408</v>
      </c>
      <c r="BN429" s="182">
        <f t="shared" si="110"/>
        <v>2.4400000000000002E-2</v>
      </c>
    </row>
    <row r="430" spans="63:66">
      <c r="BK430" s="168"/>
      <c r="BL430" s="182">
        <v>2.4299999999999999E-2</v>
      </c>
      <c r="BM430" s="185">
        <v>409</v>
      </c>
      <c r="BN430" s="182">
        <f t="shared" si="110"/>
        <v>2.4299999999999999E-2</v>
      </c>
    </row>
    <row r="431" spans="63:66">
      <c r="BK431" s="168"/>
      <c r="BL431" s="182">
        <v>2.4199999999999999E-2</v>
      </c>
      <c r="BM431" s="185">
        <v>410</v>
      </c>
      <c r="BN431" s="182">
        <f t="shared" si="110"/>
        <v>2.4199999999999999E-2</v>
      </c>
    </row>
    <row r="432" spans="63:66">
      <c r="BK432" s="168"/>
      <c r="BL432" s="182">
        <v>2.41E-2</v>
      </c>
      <c r="BM432" s="185">
        <v>411</v>
      </c>
      <c r="BN432" s="182">
        <f t="shared" si="110"/>
        <v>2.41E-2</v>
      </c>
    </row>
    <row r="433" spans="63:66">
      <c r="BK433" s="168"/>
      <c r="BL433" s="182">
        <v>2.4E-2</v>
      </c>
      <c r="BM433" s="185">
        <v>412</v>
      </c>
      <c r="BN433" s="182">
        <f t="shared" si="110"/>
        <v>2.4E-2</v>
      </c>
    </row>
    <row r="434" spans="63:66">
      <c r="BK434" s="168"/>
      <c r="BL434" s="182">
        <v>2.3900000000000001E-2</v>
      </c>
      <c r="BM434" s="185">
        <v>413</v>
      </c>
      <c r="BN434" s="182">
        <f t="shared" si="110"/>
        <v>2.3900000000000001E-2</v>
      </c>
    </row>
    <row r="435" spans="63:66">
      <c r="BK435" s="168"/>
      <c r="BL435" s="182">
        <v>2.3800000000000002E-2</v>
      </c>
      <c r="BM435" s="185">
        <v>414</v>
      </c>
      <c r="BN435" s="182">
        <f t="shared" si="110"/>
        <v>2.3800000000000002E-2</v>
      </c>
    </row>
    <row r="436" spans="63:66">
      <c r="BK436" s="168"/>
      <c r="BL436" s="182">
        <v>2.3699999999999999E-2</v>
      </c>
      <c r="BM436" s="185">
        <v>415</v>
      </c>
      <c r="BN436" s="182">
        <f t="shared" si="110"/>
        <v>2.3699999999999999E-2</v>
      </c>
    </row>
    <row r="437" spans="63:66">
      <c r="BK437" s="168"/>
      <c r="BL437" s="182">
        <v>2.3599999999999999E-2</v>
      </c>
      <c r="BM437" s="185">
        <v>416</v>
      </c>
      <c r="BN437" s="182">
        <f t="shared" si="110"/>
        <v>2.3599999999999999E-2</v>
      </c>
    </row>
    <row r="438" spans="63:66">
      <c r="BK438" s="168"/>
      <c r="BL438" s="182">
        <v>2.35E-2</v>
      </c>
      <c r="BM438" s="185">
        <v>417</v>
      </c>
      <c r="BN438" s="182">
        <f t="shared" si="110"/>
        <v>2.35E-2</v>
      </c>
    </row>
    <row r="439" spans="63:66">
      <c r="BK439" s="168"/>
      <c r="BL439" s="182">
        <v>2.3400000000000001E-2</v>
      </c>
      <c r="BM439" s="185">
        <v>418</v>
      </c>
      <c r="BN439" s="182">
        <f t="shared" si="110"/>
        <v>2.3400000000000001E-2</v>
      </c>
    </row>
    <row r="440" spans="63:66">
      <c r="BK440" s="168"/>
      <c r="BL440" s="182">
        <v>2.3300000000000001E-2</v>
      </c>
      <c r="BM440" s="185">
        <v>419</v>
      </c>
      <c r="BN440" s="182">
        <f t="shared" si="110"/>
        <v>2.3300000000000001E-2</v>
      </c>
    </row>
    <row r="441" spans="63:66">
      <c r="BK441" s="168"/>
      <c r="BL441" s="182">
        <v>2.3199999999999998E-2</v>
      </c>
      <c r="BM441" s="185">
        <v>420</v>
      </c>
      <c r="BN441" s="182">
        <f t="shared" si="110"/>
        <v>2.3199999999999998E-2</v>
      </c>
    </row>
    <row r="442" spans="63:66">
      <c r="BK442" s="168"/>
      <c r="BL442" s="182">
        <v>2.3099999999999999E-2</v>
      </c>
      <c r="BM442" s="185">
        <v>421</v>
      </c>
      <c r="BN442" s="182">
        <f t="shared" si="110"/>
        <v>2.3099999999999999E-2</v>
      </c>
    </row>
    <row r="443" spans="63:66">
      <c r="BK443" s="168"/>
      <c r="BL443" s="182">
        <v>2.3E-2</v>
      </c>
      <c r="BM443" s="185">
        <v>422</v>
      </c>
      <c r="BN443" s="182">
        <f t="shared" si="110"/>
        <v>2.3E-2</v>
      </c>
    </row>
    <row r="444" spans="63:66">
      <c r="BK444" s="168"/>
      <c r="BL444" s="182">
        <v>2.29E-2</v>
      </c>
      <c r="BM444" s="185">
        <v>423</v>
      </c>
      <c r="BN444" s="182">
        <f t="shared" si="110"/>
        <v>2.29E-2</v>
      </c>
    </row>
    <row r="445" spans="63:66">
      <c r="BK445" s="168"/>
      <c r="BL445" s="182">
        <v>2.2800000000000001E-2</v>
      </c>
      <c r="BM445" s="185">
        <v>424</v>
      </c>
      <c r="BN445" s="182">
        <f t="shared" si="110"/>
        <v>2.2800000000000001E-2</v>
      </c>
    </row>
    <row r="446" spans="63:66">
      <c r="BK446" s="168"/>
      <c r="BL446" s="182">
        <v>2.2700000000000001E-2</v>
      </c>
      <c r="BM446" s="185">
        <v>425</v>
      </c>
      <c r="BN446" s="182">
        <f t="shared" si="110"/>
        <v>2.2700000000000001E-2</v>
      </c>
    </row>
    <row r="447" spans="63:66">
      <c r="BK447" s="168"/>
      <c r="BL447" s="182">
        <v>2.2599999999999999E-2</v>
      </c>
      <c r="BM447" s="185">
        <v>426</v>
      </c>
      <c r="BN447" s="182">
        <f t="shared" si="110"/>
        <v>2.2599999999999999E-2</v>
      </c>
    </row>
    <row r="448" spans="63:66">
      <c r="BK448" s="168"/>
      <c r="BL448" s="182">
        <v>2.2499999999999999E-2</v>
      </c>
      <c r="BM448" s="185">
        <v>427</v>
      </c>
      <c r="BN448" s="182">
        <f t="shared" si="110"/>
        <v>2.2499999999999999E-2</v>
      </c>
    </row>
    <row r="449" spans="63:66">
      <c r="BK449" s="168"/>
      <c r="BL449" s="182">
        <v>2.24E-2</v>
      </c>
      <c r="BM449" s="185">
        <v>428</v>
      </c>
      <c r="BN449" s="182">
        <f t="shared" si="110"/>
        <v>2.24E-2</v>
      </c>
    </row>
    <row r="450" spans="63:66">
      <c r="BK450" s="168"/>
      <c r="BL450" s="182">
        <v>2.23E-2</v>
      </c>
      <c r="BM450" s="185">
        <v>429</v>
      </c>
      <c r="BN450" s="182">
        <f t="shared" si="110"/>
        <v>2.23E-2</v>
      </c>
    </row>
    <row r="451" spans="63:66">
      <c r="BK451" s="168"/>
      <c r="BL451" s="182">
        <v>2.2200000000000001E-2</v>
      </c>
      <c r="BM451" s="185">
        <v>430</v>
      </c>
      <c r="BN451" s="182">
        <f t="shared" si="110"/>
        <v>2.2200000000000001E-2</v>
      </c>
    </row>
    <row r="452" spans="63:66">
      <c r="BK452" s="168"/>
      <c r="BL452" s="182">
        <v>2.2100000000000002E-2</v>
      </c>
      <c r="BM452" s="185">
        <v>431</v>
      </c>
      <c r="BN452" s="182">
        <f t="shared" si="110"/>
        <v>2.2100000000000002E-2</v>
      </c>
    </row>
    <row r="453" spans="63:66">
      <c r="BK453" s="168"/>
      <c r="BL453" s="182">
        <v>2.1999999999999999E-2</v>
      </c>
      <c r="BM453" s="185">
        <v>432</v>
      </c>
      <c r="BN453" s="182">
        <f t="shared" si="110"/>
        <v>2.1999999999999999E-2</v>
      </c>
    </row>
    <row r="454" spans="63:66">
      <c r="BK454" s="168"/>
      <c r="BL454" s="182">
        <v>2.1899999999999999E-2</v>
      </c>
      <c r="BM454" s="185">
        <v>433</v>
      </c>
      <c r="BN454" s="182">
        <f t="shared" si="110"/>
        <v>2.1899999999999999E-2</v>
      </c>
    </row>
    <row r="455" spans="63:66">
      <c r="BK455" s="168"/>
      <c r="BL455" s="182">
        <v>2.18E-2</v>
      </c>
      <c r="BM455" s="185">
        <v>434</v>
      </c>
      <c r="BN455" s="182">
        <f t="shared" si="110"/>
        <v>2.18E-2</v>
      </c>
    </row>
    <row r="456" spans="63:66">
      <c r="BK456" s="168"/>
      <c r="BL456" s="182">
        <v>2.1700000000000001E-2</v>
      </c>
      <c r="BM456" s="185">
        <v>435</v>
      </c>
      <c r="BN456" s="182">
        <f t="shared" si="110"/>
        <v>2.1700000000000001E-2</v>
      </c>
    </row>
    <row r="457" spans="63:66">
      <c r="BK457" s="168"/>
      <c r="BL457" s="182">
        <v>2.1600000000000001E-2</v>
      </c>
      <c r="BM457" s="185">
        <v>436</v>
      </c>
      <c r="BN457" s="182">
        <f t="shared" si="110"/>
        <v>2.1600000000000001E-2</v>
      </c>
    </row>
    <row r="458" spans="63:66">
      <c r="BK458" s="168"/>
      <c r="BL458" s="182">
        <v>2.1499999999999998E-2</v>
      </c>
      <c r="BM458" s="185">
        <v>437</v>
      </c>
      <c r="BN458" s="182">
        <f t="shared" si="110"/>
        <v>2.1499999999999998E-2</v>
      </c>
    </row>
    <row r="459" spans="63:66">
      <c r="BK459" s="168"/>
      <c r="BL459" s="182">
        <v>2.1399999999999999E-2</v>
      </c>
      <c r="BM459" s="185">
        <v>438</v>
      </c>
      <c r="BN459" s="182">
        <f t="shared" si="110"/>
        <v>2.1399999999999999E-2</v>
      </c>
    </row>
    <row r="460" spans="63:66">
      <c r="BK460" s="168"/>
      <c r="BL460" s="182">
        <v>2.1299999999999999E-2</v>
      </c>
      <c r="BM460" s="185">
        <v>439</v>
      </c>
      <c r="BN460" s="182">
        <f t="shared" si="110"/>
        <v>2.1299999999999999E-2</v>
      </c>
    </row>
    <row r="461" spans="63:66">
      <c r="BK461" s="168"/>
      <c r="BL461" s="182">
        <v>2.12E-2</v>
      </c>
      <c r="BM461" s="185">
        <v>440</v>
      </c>
      <c r="BN461" s="182">
        <f t="shared" si="110"/>
        <v>2.12E-2</v>
      </c>
    </row>
    <row r="462" spans="63:66">
      <c r="BK462" s="168"/>
      <c r="BL462" s="182">
        <v>2.1100000000000001E-2</v>
      </c>
      <c r="BM462" s="185">
        <v>441</v>
      </c>
      <c r="BN462" s="182">
        <f t="shared" si="110"/>
        <v>2.1100000000000001E-2</v>
      </c>
    </row>
    <row r="463" spans="63:66">
      <c r="BK463" s="168"/>
      <c r="BL463" s="182">
        <v>2.1000000000000001E-2</v>
      </c>
      <c r="BM463" s="185">
        <v>442</v>
      </c>
      <c r="BN463" s="182">
        <f t="shared" si="110"/>
        <v>2.1000000000000001E-2</v>
      </c>
    </row>
    <row r="464" spans="63:66">
      <c r="BK464" s="168"/>
      <c r="BL464" s="182">
        <v>2.0899999999999998E-2</v>
      </c>
      <c r="BM464" s="185">
        <v>443</v>
      </c>
      <c r="BN464" s="182">
        <f t="shared" si="110"/>
        <v>2.0899999999999998E-2</v>
      </c>
    </row>
    <row r="465" spans="63:66">
      <c r="BK465" s="168"/>
      <c r="BL465" s="182">
        <v>2.0799999999999999E-2</v>
      </c>
      <c r="BM465" s="185">
        <v>444</v>
      </c>
      <c r="BN465" s="182">
        <f t="shared" si="110"/>
        <v>2.0799999999999999E-2</v>
      </c>
    </row>
    <row r="466" spans="63:66">
      <c r="BK466" s="168"/>
      <c r="BL466" s="182">
        <v>2.07E-2</v>
      </c>
      <c r="BM466" s="185">
        <v>445</v>
      </c>
      <c r="BN466" s="182">
        <f t="shared" si="110"/>
        <v>2.07E-2</v>
      </c>
    </row>
    <row r="467" spans="63:66">
      <c r="BK467" s="168"/>
      <c r="BL467" s="182">
        <v>2.06E-2</v>
      </c>
      <c r="BM467" s="185">
        <v>446</v>
      </c>
      <c r="BN467" s="182">
        <f t="shared" si="110"/>
        <v>2.06E-2</v>
      </c>
    </row>
    <row r="468" spans="63:66">
      <c r="BK468" s="168"/>
      <c r="BL468" s="182">
        <v>2.0500000000000001E-2</v>
      </c>
      <c r="BM468" s="185">
        <v>447</v>
      </c>
      <c r="BN468" s="182">
        <f t="shared" si="110"/>
        <v>2.0500000000000001E-2</v>
      </c>
    </row>
    <row r="469" spans="63:66">
      <c r="BK469" s="168"/>
      <c r="BL469" s="182">
        <v>2.0400000000000001E-2</v>
      </c>
      <c r="BM469" s="185">
        <v>448</v>
      </c>
      <c r="BN469" s="182">
        <f t="shared" si="110"/>
        <v>2.0400000000000001E-2</v>
      </c>
    </row>
    <row r="470" spans="63:66">
      <c r="BK470" s="168"/>
      <c r="BL470" s="182">
        <v>2.0299999999999999E-2</v>
      </c>
      <c r="BM470" s="185">
        <v>449</v>
      </c>
      <c r="BN470" s="182">
        <f t="shared" si="110"/>
        <v>2.0299999999999999E-2</v>
      </c>
    </row>
    <row r="471" spans="63:66">
      <c r="BK471" s="168"/>
      <c r="BL471" s="182">
        <v>2.0199999999999999E-2</v>
      </c>
      <c r="BM471" s="185">
        <v>450</v>
      </c>
      <c r="BN471" s="182">
        <f t="shared" si="110"/>
        <v>2.0199999999999999E-2</v>
      </c>
    </row>
    <row r="472" spans="63:66">
      <c r="BK472" s="168"/>
      <c r="BL472" s="182">
        <v>2.01E-2</v>
      </c>
      <c r="BM472" s="185">
        <v>451</v>
      </c>
      <c r="BN472" s="182">
        <f t="shared" si="110"/>
        <v>2.01E-2</v>
      </c>
    </row>
    <row r="473" spans="63:66">
      <c r="BL473" s="182">
        <v>0.02</v>
      </c>
      <c r="BM473" s="185">
        <v>452</v>
      </c>
      <c r="BN473" s="182">
        <f t="shared" si="110"/>
        <v>0.02</v>
      </c>
    </row>
  </sheetData>
  <sheetProtection algorithmName="SHA-512" hashValue="k/fqlrRe0g+sCBuqyi3DgsoEQTYTRH2FXGRu7LWXwmjuTWAHojAVrGnofTVgEJ4RxfQUD9DhwEzKdUab80up6w==" saltValue="fxYLRA9HdFJmicAW1ZBeKQ==" spinCount="100000" sheet="1" objects="1" scenarios="1"/>
  <mergeCells count="32">
    <mergeCell ref="CS1:CT1"/>
    <mergeCell ref="BZ24:CA25"/>
    <mergeCell ref="CB24:CD25"/>
    <mergeCell ref="CF24:CG25"/>
    <mergeCell ref="CH24:CJ25"/>
    <mergeCell ref="CQ1:CR1"/>
    <mergeCell ref="CF10:CG10"/>
    <mergeCell ref="CF12:CG12"/>
    <mergeCell ref="CL1:CO1"/>
    <mergeCell ref="CF14:CG14"/>
    <mergeCell ref="CF8:CG8"/>
    <mergeCell ref="CN24:CQ34"/>
    <mergeCell ref="CF16:CG16"/>
    <mergeCell ref="CK18:CL20"/>
    <mergeCell ref="CN7:CR22"/>
    <mergeCell ref="CL14:CL15"/>
    <mergeCell ref="CI9:CJ9"/>
    <mergeCell ref="CI13:CJ13"/>
    <mergeCell ref="CI18:CJ20"/>
    <mergeCell ref="CB10:CD10"/>
    <mergeCell ref="CH1:CK1"/>
    <mergeCell ref="CB1:CG1"/>
    <mergeCell ref="BZ1:CA1"/>
    <mergeCell ref="CB22:CC22"/>
    <mergeCell ref="CE22:CG22"/>
    <mergeCell ref="BZ8:CA13"/>
    <mergeCell ref="BZ15:CA21"/>
    <mergeCell ref="CB16:CC19"/>
    <mergeCell ref="CB8:CD8"/>
    <mergeCell ref="CB12:CD12"/>
    <mergeCell ref="CB14:CD14"/>
    <mergeCell ref="CB21:CC21"/>
  </mergeCells>
  <phoneticPr fontId="22" type="noConversion"/>
  <conditionalFormatting sqref="BZ27:BZ67 CF27:CF67">
    <cfRule type="cellIs" dxfId="111" priority="36" stopIfTrue="1" operator="greaterThan">
      <formula>600</formula>
    </cfRule>
  </conditionalFormatting>
  <conditionalFormatting sqref="CA27:CA67 CG27:CG67">
    <cfRule type="cellIs" dxfId="110" priority="35" stopIfTrue="1" operator="greaterThan">
      <formula>11</formula>
    </cfRule>
  </conditionalFormatting>
  <conditionalFormatting sqref="CB16 CD16 CD17:CE19">
    <cfRule type="expression" dxfId="109" priority="23" stopIfTrue="1">
      <formula>IF(Cntrl5=2,TRUE,FALSE)</formula>
    </cfRule>
  </conditionalFormatting>
  <conditionalFormatting sqref="CB21">
    <cfRule type="expression" dxfId="108" priority="21">
      <formula>IF(Cntrl2=7,TRUE,FALSE)</formula>
    </cfRule>
  </conditionalFormatting>
  <conditionalFormatting sqref="CB22">
    <cfRule type="expression" dxfId="107" priority="22">
      <formula>IF(Cntrl2=2,TRUE,FALSE)</formula>
    </cfRule>
  </conditionalFormatting>
  <conditionalFormatting sqref="CB27:CE67 CH27:CK67">
    <cfRule type="cellIs" dxfId="106" priority="34" stopIfTrue="1" operator="equal">
      <formula>$CK$18</formula>
    </cfRule>
    <cfRule type="cellIs" dxfId="105" priority="235" stopIfTrue="1" operator="greaterThan">
      <formula>12</formula>
    </cfRule>
    <cfRule type="cellIs" dxfId="104" priority="937" stopIfTrue="1" operator="between">
      <formula>$BW$21-0.05</formula>
      <formula>12</formula>
    </cfRule>
  </conditionalFormatting>
  <conditionalFormatting sqref="CD22">
    <cfRule type="expression" dxfId="103" priority="12">
      <formula>$CE$22=""</formula>
    </cfRule>
  </conditionalFormatting>
  <conditionalFormatting sqref="CE8">
    <cfRule type="expression" dxfId="102" priority="11">
      <formula>$CF$8=""</formula>
    </cfRule>
  </conditionalFormatting>
  <conditionalFormatting sqref="CE10">
    <cfRule type="expression" dxfId="101" priority="10">
      <formula>$CF$10=""</formula>
    </cfRule>
  </conditionalFormatting>
  <conditionalFormatting sqref="CE12">
    <cfRule type="expression" dxfId="100" priority="8">
      <formula>$CF$12=""</formula>
    </cfRule>
  </conditionalFormatting>
  <conditionalFormatting sqref="CE14">
    <cfRule type="expression" dxfId="99" priority="7">
      <formula>$CF$14=""</formula>
    </cfRule>
  </conditionalFormatting>
  <conditionalFormatting sqref="CE16">
    <cfRule type="expression" dxfId="98" priority="6">
      <formula>$CF$16=""</formula>
    </cfRule>
  </conditionalFormatting>
  <conditionalFormatting sqref="CF17">
    <cfRule type="expression" dxfId="97" priority="3">
      <formula>$BW$17</formula>
    </cfRule>
  </conditionalFormatting>
  <conditionalFormatting sqref="CF18:CF19">
    <cfRule type="expression" dxfId="96" priority="1">
      <formula>$BW$18</formula>
    </cfRule>
  </conditionalFormatting>
  <conditionalFormatting sqref="CK9">
    <cfRule type="expression" dxfId="95" priority="5">
      <formula>$CL$9=""</formula>
    </cfRule>
  </conditionalFormatting>
  <conditionalFormatting sqref="CK13">
    <cfRule type="expression" dxfId="94" priority="4">
      <formula>$CL$13=""</formula>
    </cfRule>
  </conditionalFormatting>
  <conditionalFormatting sqref="CK18">
    <cfRule type="cellIs" dxfId="93" priority="939" stopIfTrue="1" operator="greaterThanOrEqual">
      <formula>$BW$21-0.05</formula>
    </cfRule>
  </conditionalFormatting>
  <conditionalFormatting sqref="CK18:CL20">
    <cfRule type="expression" dxfId="92" priority="20">
      <formula>$BX$1</formula>
    </cfRule>
  </conditionalFormatting>
  <hyperlinks>
    <hyperlink ref="CL1" r:id="rId1" xr:uid="{855CAC0A-1898-4567-AC06-221A6C17D08B}"/>
  </hyperlinks>
  <pageMargins left="0.7" right="0.7" top="0.75" bottom="0.75" header="0.3" footer="0.3"/>
  <pageSetup orientation="portrait" r:id="rId2"/>
  <drawing r:id="rId3"/>
  <legacyDrawing r:id="rId4"/>
  <controls>
    <mc:AlternateContent xmlns:mc="http://schemas.openxmlformats.org/markup-compatibility/2006">
      <mc:Choice Requires="x14">
        <control shapeId="51346" r:id="rId5" name="ComboBox_2">
          <controlPr defaultSize="0" autoLine="0" linkedCell="$BS$21" listFillRange="$BS$22:$BT$103" r:id="rId6">
            <anchor moveWithCells="1">
              <from>
                <xdr:col>88</xdr:col>
                <xdr:colOff>0</xdr:colOff>
                <xdr:row>11</xdr:row>
                <xdr:rowOff>180975</xdr:rowOff>
              </from>
              <to>
                <xdr:col>90</xdr:col>
                <xdr:colOff>9525</xdr:colOff>
                <xdr:row>13</xdr:row>
                <xdr:rowOff>19050</xdr:rowOff>
              </to>
            </anchor>
          </controlPr>
        </control>
      </mc:Choice>
      <mc:Fallback>
        <control shapeId="51346" r:id="rId5" name="ComboBox_2"/>
      </mc:Fallback>
    </mc:AlternateContent>
    <mc:AlternateContent xmlns:mc="http://schemas.openxmlformats.org/markup-compatibility/2006">
      <mc:Choice Requires="x14">
        <control shapeId="51347" r:id="rId7" name="ComboBox_3">
          <controlPr defaultSize="0" autoLine="0" linkedCell="$AU$21" listFillRange="$AU$22:$AV$24" r:id="rId8">
            <anchor moveWithCells="1">
              <from>
                <xdr:col>81</xdr:col>
                <xdr:colOff>533400</xdr:colOff>
                <xdr:row>10</xdr:row>
                <xdr:rowOff>161925</xdr:rowOff>
              </from>
              <to>
                <xdr:col>85</xdr:col>
                <xdr:colOff>76200</xdr:colOff>
                <xdr:row>12</xdr:row>
                <xdr:rowOff>0</xdr:rowOff>
              </to>
            </anchor>
          </controlPr>
        </control>
      </mc:Choice>
      <mc:Fallback>
        <control shapeId="51347" r:id="rId7" name="ComboBox_3"/>
      </mc:Fallback>
    </mc:AlternateContent>
    <mc:AlternateContent xmlns:mc="http://schemas.openxmlformats.org/markup-compatibility/2006">
      <mc:Choice Requires="x14">
        <control shapeId="51348" r:id="rId9" name="ComboBox_4">
          <controlPr defaultSize="0" autoLine="0" linkedCell="$AO$21" listFillRange="$AO$22:$AP$26" r:id="rId10">
            <anchor moveWithCells="1">
              <from>
                <xdr:col>81</xdr:col>
                <xdr:colOff>533400</xdr:colOff>
                <xdr:row>8</xdr:row>
                <xdr:rowOff>190500</xdr:rowOff>
              </from>
              <to>
                <xdr:col>85</xdr:col>
                <xdr:colOff>76200</xdr:colOff>
                <xdr:row>10</xdr:row>
                <xdr:rowOff>28575</xdr:rowOff>
              </to>
            </anchor>
          </controlPr>
        </control>
      </mc:Choice>
      <mc:Fallback>
        <control shapeId="51348" r:id="rId9" name="ComboBox_4"/>
      </mc:Fallback>
    </mc:AlternateContent>
    <mc:AlternateContent xmlns:mc="http://schemas.openxmlformats.org/markup-compatibility/2006">
      <mc:Choice Requires="x14">
        <control shapeId="51349" r:id="rId11" name="ComboBox_5">
          <controlPr defaultSize="0" autoLine="0" linkedCell="$BM$21" listFillRange="$BM$22:$BN$473" r:id="rId12">
            <anchor moveWithCells="1">
              <from>
                <xdr:col>81</xdr:col>
                <xdr:colOff>533400</xdr:colOff>
                <xdr:row>12</xdr:row>
                <xdr:rowOff>171450</xdr:rowOff>
              </from>
              <to>
                <xdr:col>85</xdr:col>
                <xdr:colOff>76200</xdr:colOff>
                <xdr:row>14</xdr:row>
                <xdr:rowOff>9525</xdr:rowOff>
              </to>
            </anchor>
          </controlPr>
        </control>
      </mc:Choice>
      <mc:Fallback>
        <control shapeId="51349" r:id="rId11" name="ComboBox_5"/>
      </mc:Fallback>
    </mc:AlternateContent>
    <mc:AlternateContent xmlns:mc="http://schemas.openxmlformats.org/markup-compatibility/2006">
      <mc:Choice Requires="x14">
        <control shapeId="51350" r:id="rId13" name="ComboBox_6">
          <controlPr defaultSize="0" autoLine="0" linkedCell="$AR$21" listFillRange="$AR$22:$AS$26" r:id="rId14">
            <anchor moveWithCells="1">
              <from>
                <xdr:col>88</xdr:col>
                <xdr:colOff>0</xdr:colOff>
                <xdr:row>7</xdr:row>
                <xdr:rowOff>171450</xdr:rowOff>
              </from>
              <to>
                <xdr:col>90</xdr:col>
                <xdr:colOff>9525</xdr:colOff>
                <xdr:row>9</xdr:row>
                <xdr:rowOff>9525</xdr:rowOff>
              </to>
            </anchor>
          </controlPr>
        </control>
      </mc:Choice>
      <mc:Fallback>
        <control shapeId="51350" r:id="rId13" name="ComboBox_6"/>
      </mc:Fallback>
    </mc:AlternateContent>
    <mc:AlternateContent xmlns:mc="http://schemas.openxmlformats.org/markup-compatibility/2006">
      <mc:Choice Requires="x14">
        <control shapeId="51352" r:id="rId15" name="ComboBox_8">
          <controlPr defaultSize="0" autoLine="0" linkedCell="$BA$21" listFillRange="$BA$22:$BB$26" r:id="rId16">
            <anchor moveWithCells="1">
              <from>
                <xdr:col>81</xdr:col>
                <xdr:colOff>533400</xdr:colOff>
                <xdr:row>6</xdr:row>
                <xdr:rowOff>180975</xdr:rowOff>
              </from>
              <to>
                <xdr:col>85</xdr:col>
                <xdr:colOff>76200</xdr:colOff>
                <xdr:row>8</xdr:row>
                <xdr:rowOff>19050</xdr:rowOff>
              </to>
            </anchor>
          </controlPr>
        </control>
      </mc:Choice>
      <mc:Fallback>
        <control shapeId="51352" r:id="rId15" name="ComboBox_8"/>
      </mc:Fallback>
    </mc:AlternateContent>
    <mc:AlternateContent xmlns:mc="http://schemas.openxmlformats.org/markup-compatibility/2006">
      <mc:Choice Requires="x14">
        <control shapeId="51353" r:id="rId17" name="ComboBox_9">
          <controlPr defaultSize="0" autoLine="0" linkedCell="$AL$21" listFillRange="$AL$22:$AM$27" r:id="rId18">
            <anchor moveWithCells="1">
              <from>
                <xdr:col>80</xdr:col>
                <xdr:colOff>600075</xdr:colOff>
                <xdr:row>20</xdr:row>
                <xdr:rowOff>171450</xdr:rowOff>
              </from>
              <to>
                <xdr:col>85</xdr:col>
                <xdr:colOff>76200</xdr:colOff>
                <xdr:row>22</xdr:row>
                <xdr:rowOff>0</xdr:rowOff>
              </to>
            </anchor>
          </controlPr>
        </control>
      </mc:Choice>
      <mc:Fallback>
        <control shapeId="51353" r:id="rId17" name="ComboBox_9"/>
      </mc:Fallback>
    </mc:AlternateContent>
    <mc:AlternateContent xmlns:mc="http://schemas.openxmlformats.org/markup-compatibility/2006">
      <mc:Choice Requires="x14">
        <control shapeId="51345" r:id="rId19" name="ComboBox_1">
          <controlPr defaultSize="0" autoLine="0" linkedCell="$BV$21" listFillRange="$BV$22:$BW$102" r:id="rId20">
            <anchor moveWithCells="1">
              <from>
                <xdr:col>76</xdr:col>
                <xdr:colOff>333375</xdr:colOff>
                <xdr:row>12</xdr:row>
                <xdr:rowOff>171450</xdr:rowOff>
              </from>
              <to>
                <xdr:col>79</xdr:col>
                <xdr:colOff>0</xdr:colOff>
                <xdr:row>14</xdr:row>
                <xdr:rowOff>9525</xdr:rowOff>
              </to>
            </anchor>
          </controlPr>
        </control>
      </mc:Choice>
      <mc:Fallback>
        <control shapeId="51345" r:id="rId19" name="ComboBox_1"/>
      </mc:Fallback>
    </mc:AlternateContent>
    <mc:AlternateContent xmlns:mc="http://schemas.openxmlformats.org/markup-compatibility/2006">
      <mc:Choice Requires="x14">
        <control shapeId="51351" r:id="rId21" name="ComboBox_7">
          <controlPr defaultSize="0" autoLine="0" linkedCell="$AX$21" listFillRange="$AX$22:$AY$25" r:id="rId22">
            <anchor moveWithCells="1">
              <from>
                <xdr:col>81</xdr:col>
                <xdr:colOff>533400</xdr:colOff>
                <xdr:row>14</xdr:row>
                <xdr:rowOff>161925</xdr:rowOff>
              </from>
              <to>
                <xdr:col>85</xdr:col>
                <xdr:colOff>76200</xdr:colOff>
                <xdr:row>16</xdr:row>
                <xdr:rowOff>0</xdr:rowOff>
              </to>
            </anchor>
          </controlPr>
        </control>
      </mc:Choice>
      <mc:Fallback>
        <control shapeId="51351" r:id="rId21" name="ComboBox_7"/>
      </mc:Fallback>
    </mc:AlternateContent>
    <mc:AlternateContent xmlns:mc="http://schemas.openxmlformats.org/markup-compatibility/2006">
      <mc:Choice Requires="x14">
        <control shapeId="51366" r:id="rId23" name="ComboBox_12">
          <controlPr defaultSize="0" autoLine="0" linkedCell="$BG$21" listFillRange="$BG$22:$BH$263" r:id="rId24">
            <anchor moveWithCells="1">
              <from>
                <xdr:col>83</xdr:col>
                <xdr:colOff>9525</xdr:colOff>
                <xdr:row>17</xdr:row>
                <xdr:rowOff>190500</xdr:rowOff>
              </from>
              <to>
                <xdr:col>85</xdr:col>
                <xdr:colOff>66675</xdr:colOff>
                <xdr:row>19</xdr:row>
                <xdr:rowOff>19050</xdr:rowOff>
              </to>
            </anchor>
          </controlPr>
        </control>
      </mc:Choice>
      <mc:Fallback>
        <control shapeId="51366" r:id="rId23" name="ComboBox_12"/>
      </mc:Fallback>
    </mc:AlternateContent>
    <mc:AlternateContent xmlns:mc="http://schemas.openxmlformats.org/markup-compatibility/2006">
      <mc:Choice Requires="x14">
        <control shapeId="51367" r:id="rId25" name="ComboBox_11">
          <controlPr defaultSize="0" autoLine="0" linkedCell="$BD$21" listFillRange="$BD$22:$BE$117" r:id="rId24">
            <anchor moveWithCells="1">
              <from>
                <xdr:col>83</xdr:col>
                <xdr:colOff>9525</xdr:colOff>
                <xdr:row>17</xdr:row>
                <xdr:rowOff>0</xdr:rowOff>
              </from>
              <to>
                <xdr:col>85</xdr:col>
                <xdr:colOff>66675</xdr:colOff>
                <xdr:row>18</xdr:row>
                <xdr:rowOff>28575</xdr:rowOff>
              </to>
            </anchor>
          </controlPr>
        </control>
      </mc:Choice>
      <mc:Fallback>
        <control shapeId="51367" r:id="rId25" name="ComboBox_11"/>
      </mc:Fallback>
    </mc:AlternateContent>
    <mc:AlternateContent xmlns:mc="http://schemas.openxmlformats.org/markup-compatibility/2006">
      <mc:Choice Requires="x14">
        <control shapeId="51368" r:id="rId26" name="ComboBox_10">
          <controlPr defaultSize="0" autoLine="0" linkedCell="$BJ$21" listFillRange="$BJ$22:$BK$322" r:id="rId24">
            <anchor moveWithCells="1">
              <from>
                <xdr:col>83</xdr:col>
                <xdr:colOff>9525</xdr:colOff>
                <xdr:row>15</xdr:row>
                <xdr:rowOff>190500</xdr:rowOff>
              </from>
              <to>
                <xdr:col>85</xdr:col>
                <xdr:colOff>66675</xdr:colOff>
                <xdr:row>17</xdr:row>
                <xdr:rowOff>28575</xdr:rowOff>
              </to>
            </anchor>
          </controlPr>
        </control>
      </mc:Choice>
      <mc:Fallback>
        <control shapeId="51368" r:id="rId26" name="ComboBox_10"/>
      </mc:Fallback>
    </mc:AlternateContent>
  </controls>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89ECC3D-DCEB-4117-850E-25D885EA9F7C}">
  <sheetPr codeName="Sheet9"/>
  <dimension ref="A1:GJ526"/>
  <sheetViews>
    <sheetView showGridLines="0" showRowColHeaders="0" topLeftCell="DM1" zoomScaleNormal="100" workbookViewId="0">
      <selection activeCell="DM1" sqref="DM1"/>
    </sheetView>
  </sheetViews>
  <sheetFormatPr defaultColWidth="9.140625" defaultRowHeight="15.75"/>
  <cols>
    <col min="1" max="2" width="9.140625" hidden="1" customWidth="1"/>
    <col min="3" max="3" width="9.140625" style="2" hidden="1" customWidth="1"/>
    <col min="4" max="4" width="12.85546875" style="2" hidden="1" customWidth="1"/>
    <col min="5" max="5" width="16.85546875" hidden="1" customWidth="1"/>
    <col min="6" max="6" width="110.7109375" hidden="1" customWidth="1"/>
    <col min="7" max="8" width="9.140625" hidden="1" customWidth="1"/>
    <col min="9" max="9" width="24.85546875" hidden="1" customWidth="1"/>
    <col min="10" max="10" width="26.28515625" style="2" hidden="1" customWidth="1"/>
    <col min="11" max="11" width="6.42578125" hidden="1" customWidth="1"/>
    <col min="12" max="12" width="9.140625" style="2" hidden="1" customWidth="1"/>
    <col min="13" max="13" width="9.140625" hidden="1" customWidth="1"/>
    <col min="14" max="14" width="9.140625" style="2" hidden="1" customWidth="1"/>
    <col min="15" max="15" width="10" hidden="1" customWidth="1"/>
    <col min="16" max="16" width="10.140625" hidden="1" customWidth="1"/>
    <col min="17" max="17" width="12.42578125" hidden="1" customWidth="1"/>
    <col min="18" max="18" width="9.140625" style="2" hidden="1" customWidth="1"/>
    <col min="19" max="21" width="9.140625" style="10" hidden="1" customWidth="1"/>
    <col min="22" max="22" width="45.85546875" style="53" hidden="1" customWidth="1"/>
    <col min="23" max="100" width="9.140625" style="10" hidden="1" customWidth="1"/>
    <col min="101" max="103" width="9.140625" style="267" hidden="1" customWidth="1"/>
    <col min="104" max="109" width="9.140625" style="10" hidden="1" customWidth="1"/>
    <col min="110" max="112" width="9.140625" style="267" hidden="1" customWidth="1"/>
    <col min="113" max="116" width="9.140625" style="10" hidden="1" customWidth="1"/>
    <col min="117" max="117" width="5.42578125" style="359" customWidth="1"/>
    <col min="118" max="118" width="9.140625" style="359" customWidth="1"/>
    <col min="119" max="130" width="9.140625" style="359"/>
    <col min="131" max="132" width="9.140625" style="359" customWidth="1"/>
    <col min="133" max="139" width="9.140625" style="359"/>
    <col min="140" max="146" width="9.140625" style="359" customWidth="1"/>
    <col min="147" max="147" width="6.5703125" style="359" customWidth="1"/>
    <col min="148" max="179" width="9.140625" style="7" hidden="1" customWidth="1"/>
    <col min="180" max="16384" width="9.140625" style="10"/>
  </cols>
  <sheetData>
    <row r="1" spans="1:178" ht="37.5" customHeight="1">
      <c r="A1">
        <v>9</v>
      </c>
      <c r="C1" s="2">
        <f>SUM(C2:C27)</f>
        <v>36</v>
      </c>
      <c r="D1" s="2">
        <f>SUM(D2:D27)</f>
        <v>94</v>
      </c>
      <c r="F1" s="177" t="str">
        <f>_xlfn.CONCAT(E2:E27)</f>
        <v>0000000000000000000000000000000000000000000000000011001011001000000001000010100010010011000010</v>
      </c>
      <c r="G1" t="s">
        <v>0</v>
      </c>
      <c r="I1" s="580" t="str">
        <f>_xlfn.CONCAT(I2:I27)</f>
        <v>AAAAAAAAMsgEKJMI</v>
      </c>
      <c r="J1" s="580" t="str">
        <f>radix64</f>
        <v>AAAAAAAAMsgEKJMI</v>
      </c>
      <c r="K1" t="str">
        <f>J1</f>
        <v>AAAAAAAAMsgEKJMI</v>
      </c>
      <c r="L1" s="2" t="s">
        <v>0</v>
      </c>
      <c r="O1" t="str">
        <f>_xlfn.CONCAT((O2:O27))</f>
        <v>000000000000000000000000000000000000000000000000001100101100100000000100001010001001001100001000</v>
      </c>
      <c r="P1" s="177" t="str">
        <f>O1</f>
        <v>000000000000000000000000000000000000000000000000001100101100100000000100001010001001001100001000</v>
      </c>
      <c r="Q1" t="s">
        <v>0</v>
      </c>
      <c r="R1" s="2">
        <f>SUM(R2:R27)</f>
        <v>36</v>
      </c>
      <c r="T1" s="7">
        <f>INT(MIN(56,MAX(14,WebCntrl8)))</f>
        <v>30</v>
      </c>
      <c r="U1" s="7">
        <f>IF(T1&gt;34,EVEN(T1),T1)</f>
        <v>30</v>
      </c>
      <c r="V1" s="43"/>
      <c r="W1" s="7"/>
      <c r="X1" s="7"/>
      <c r="Y1" s="7"/>
      <c r="Z1" s="7"/>
      <c r="AA1" s="7"/>
      <c r="AB1" s="7"/>
      <c r="AC1" s="7"/>
      <c r="AD1" s="7"/>
      <c r="AE1" s="7"/>
      <c r="AF1" s="7"/>
      <c r="AG1" s="7"/>
      <c r="AH1" s="7"/>
      <c r="AI1" s="7"/>
      <c r="AJ1" s="7"/>
      <c r="AK1" s="7"/>
      <c r="AL1" s="287" t="str">
        <f>Y80</f>
        <v>W_BBWB_C_90T</v>
      </c>
      <c r="AM1" s="288">
        <f>AI33</f>
        <v>1</v>
      </c>
      <c r="AN1" s="69">
        <f>ROUND(EO17,1)</f>
        <v>1</v>
      </c>
      <c r="AO1" s="116">
        <v>0</v>
      </c>
      <c r="AP1" s="116"/>
      <c r="AQ1" s="116"/>
      <c r="AR1" s="116"/>
      <c r="AS1" s="58">
        <f>AS23-1</f>
        <v>2</v>
      </c>
      <c r="AT1" s="116"/>
      <c r="AU1" s="116"/>
      <c r="AV1" s="116"/>
      <c r="AW1" s="116"/>
      <c r="AX1" s="58">
        <f>AX23-1</f>
        <v>4</v>
      </c>
      <c r="AY1" s="116"/>
      <c r="AZ1" s="116"/>
      <c r="BA1" s="116"/>
      <c r="BB1" s="116"/>
      <c r="BC1" s="58">
        <f>BC23-1</f>
        <v>1</v>
      </c>
      <c r="BD1" s="116"/>
      <c r="BE1" s="116"/>
      <c r="BF1" s="58">
        <f>BF23-1</f>
        <v>1</v>
      </c>
      <c r="BG1" s="116"/>
      <c r="BH1" s="116"/>
      <c r="BI1" s="116"/>
      <c r="BJ1" s="58">
        <f>BJ23-1</f>
        <v>1</v>
      </c>
      <c r="BK1" s="116"/>
      <c r="BL1" s="116"/>
      <c r="BN1" s="58">
        <f>BN23-1</f>
        <v>1</v>
      </c>
      <c r="BP1" s="7"/>
      <c r="BQ1" s="58">
        <f>BQ23-1</f>
        <v>1</v>
      </c>
      <c r="BR1" s="7"/>
      <c r="BS1" s="7"/>
      <c r="BT1" s="58">
        <f>BT23-1</f>
        <v>0</v>
      </c>
      <c r="BU1" s="7"/>
      <c r="BV1" s="7"/>
      <c r="BW1" s="58">
        <f>BW23-1</f>
        <v>1</v>
      </c>
      <c r="BX1" s="7"/>
      <c r="BY1" s="7"/>
      <c r="BZ1" s="58">
        <f>BZ23-1</f>
        <v>0</v>
      </c>
      <c r="CA1" s="7"/>
      <c r="CB1" s="7"/>
      <c r="CC1" s="7"/>
      <c r="CD1" s="58">
        <f>CD23-1</f>
        <v>0</v>
      </c>
      <c r="CE1" s="7"/>
      <c r="CF1" s="7"/>
      <c r="CG1" s="7"/>
      <c r="CH1" s="58">
        <f>CH23-1</f>
        <v>1</v>
      </c>
      <c r="CI1" s="7"/>
      <c r="CJ1" s="7"/>
      <c r="CL1" s="58">
        <f>CL23-1</f>
        <v>11</v>
      </c>
      <c r="CO1" s="58">
        <f>CO23-1</f>
        <v>12</v>
      </c>
      <c r="CR1" s="58">
        <f>CR23-1</f>
        <v>0</v>
      </c>
      <c r="CU1" s="58">
        <f>CU23-1</f>
        <v>0</v>
      </c>
      <c r="CW1" s="10"/>
      <c r="CX1" s="58">
        <f>CX23-1</f>
        <v>0</v>
      </c>
      <c r="CY1" s="10"/>
      <c r="DA1" s="58">
        <f>DA23-1</f>
        <v>0</v>
      </c>
      <c r="DD1" s="58">
        <f>DD23-1</f>
        <v>0</v>
      </c>
      <c r="DF1" s="10"/>
      <c r="DG1" s="58">
        <f>DG23-1</f>
        <v>0</v>
      </c>
      <c r="DH1" s="10"/>
      <c r="DJ1" s="58">
        <f>DJ23-1</f>
        <v>40</v>
      </c>
      <c r="DL1" s="10" t="b">
        <f>NOT(AND(NOT(OR(BX16,CI16,BU17)),Cntrl1-1,Cntrl2-1,Cntrl3-1,Cntrl5-1,Cntrl6-1,Cntrl7-1,Cntrl8-1,Cntrl9-1,Cntrl10-1,Cntrl18-1))</f>
        <v>0</v>
      </c>
      <c r="DM1" s="379"/>
      <c r="DN1" s="1014" t="e" vm="1">
        <v>#VALUE!</v>
      </c>
      <c r="DO1" s="1014"/>
      <c r="DP1" s="1015" t="s">
        <v>633</v>
      </c>
      <c r="DQ1" s="1015"/>
      <c r="DR1" s="1015"/>
      <c r="DS1" s="1015"/>
      <c r="DT1" s="1015"/>
      <c r="DU1" s="1015"/>
      <c r="DV1" s="1015"/>
      <c r="DW1" s="1015"/>
      <c r="DX1" s="1091" t="str">
        <f>IF(DL1,"",I1)</f>
        <v>AAAAAAAAMsgEKJMI</v>
      </c>
      <c r="DY1" s="1091"/>
      <c r="DZ1" s="1091"/>
      <c r="EA1" s="1091"/>
      <c r="EB1" s="1150" t="s">
        <v>634</v>
      </c>
      <c r="EC1" s="1150"/>
      <c r="ED1" s="1091" t="str">
        <f>IF(ER1,"",I32)</f>
        <v>fbK9Li8S</v>
      </c>
      <c r="EE1" s="1091"/>
      <c r="EF1" s="1025" t="s">
        <v>2</v>
      </c>
      <c r="EG1" s="1025"/>
      <c r="EH1" s="1025"/>
      <c r="EI1" s="1025"/>
      <c r="EJ1" s="328"/>
      <c r="EK1" s="328"/>
      <c r="EL1" s="328"/>
      <c r="EM1" s="905" t="s">
        <v>2261</v>
      </c>
      <c r="EN1" s="1041" t="s">
        <v>3</v>
      </c>
      <c r="EO1" s="1041"/>
      <c r="EP1" s="1092">
        <v>45988.700578703705</v>
      </c>
      <c r="EQ1" s="1093"/>
      <c r="ER1" s="7" t="b">
        <f>NOT(AND(Cntrl22-1,Cntrl23-1))</f>
        <v>0</v>
      </c>
      <c r="ES1" s="7" t="b">
        <f>NOT(AND(Cntrl24-1,Cntrl25-1,Cntrl26-1,Cntrl27-1,Cntrl28-1))</f>
        <v>0</v>
      </c>
      <c r="ET1" s="7" t="b">
        <f>NOT(AND(Cntrl24-1,Cntrl25-1,Cntrl26-1,Cntrl27-1,Cntrl28-1,Cntrl29-1))</f>
        <v>0</v>
      </c>
      <c r="EU1" s="7" t="b">
        <f>NOT(AND(Cntrl24-1,Cntrl25-1,Cntrl26-1,Cntrl27-1,Cntrl28-1,Cntrl29-1,Cntrl30-1))</f>
        <v>0</v>
      </c>
      <c r="EX1" s="58">
        <f>EX23-1</f>
        <v>2</v>
      </c>
      <c r="FA1" s="58">
        <f>FA23-1</f>
        <v>1</v>
      </c>
      <c r="FD1" s="58">
        <f>FD23-1</f>
        <v>17</v>
      </c>
      <c r="FG1" s="58">
        <f>FG23-1</f>
        <v>101</v>
      </c>
      <c r="FJ1" s="58">
        <f>FJ23-1</f>
        <v>61</v>
      </c>
      <c r="FM1" s="58">
        <f>FM23-1</f>
        <v>4</v>
      </c>
      <c r="FP1" s="58">
        <f>FP23-1</f>
        <v>7</v>
      </c>
      <c r="FS1" s="58">
        <f>FS23-1</f>
        <v>251</v>
      </c>
      <c r="FV1" s="58">
        <f>FV23-1</f>
        <v>11</v>
      </c>
    </row>
    <row r="2" spans="1:178" ht="15" customHeight="1">
      <c r="A2">
        <v>8.9</v>
      </c>
      <c r="B2" t="s">
        <v>4</v>
      </c>
      <c r="C2" s="142">
        <f>Cntrl13-1</f>
        <v>0</v>
      </c>
      <c r="D2" s="559">
        <f>DG2</f>
        <v>9</v>
      </c>
      <c r="E2" s="172" t="str">
        <f>IF(C2&lt;&gt;"",RIGHT("0000000000"&amp;TEXT(DEC2BIN(C2,D2),"0"),D2),"")</f>
        <v>000000000</v>
      </c>
      <c r="F2" s="555" t="str">
        <f>F1</f>
        <v>0000000000000000000000000000000000000000000000000011001011001000000001000010100010010011000010</v>
      </c>
      <c r="G2" s="172" t="str">
        <f>IF(F2&lt;&gt;"",IF(LEN(F2)&gt;=6,LEFT(F2,6),LEFT(F2&amp;"000000",6)),"")</f>
        <v>000000</v>
      </c>
      <c r="H2">
        <f>IF(G2&lt;&gt;"",BIN2DEC(G2),"")</f>
        <v>0</v>
      </c>
      <c r="I2" s="552" t="str" cm="1">
        <f t="array" ref="I2">IF(H2&lt;&gt;"",INDEX($B$2:$B$66,H2+1),"")</f>
        <v>A</v>
      </c>
      <c r="J2" s="554">
        <f t="shared" ref="J2:J27" si="0">IF(D2&lt;&gt;"",D2,"")</f>
        <v>9</v>
      </c>
      <c r="K2" t="str">
        <f>J1</f>
        <v>AAAAAAAAMsgEKJMI</v>
      </c>
      <c r="L2" s="2" t="str">
        <f>LEFT(K2,1)</f>
        <v>A</v>
      </c>
      <c r="M2" t="b">
        <f>IF(L2&lt;&gt;"",EXACT(L2,UPPER(L2)),"")</f>
        <v>1</v>
      </c>
      <c r="N2" s="2">
        <f>IF(M2&lt;&gt;"",IF(M2,MATCH(L2,$B$2:$B$66,0)-1,MATCH(L2,$B$28:$B$66,0)+25),"")</f>
        <v>0</v>
      </c>
      <c r="O2" s="172" t="str">
        <f t="shared" ref="O2:O27" si="1">IF(N2&lt;&gt;"",DEC2BIN(N2,6),"")</f>
        <v>000000</v>
      </c>
      <c r="P2" s="177" t="str">
        <f>P1</f>
        <v>000000000000000000000000000000000000000000000000001100101100100000000100001010001001001100001000</v>
      </c>
      <c r="Q2" s="172" t="str">
        <f t="shared" ref="Q2:Q27" si="2">IF(J2&lt;&gt;"",LEFT(P2,J2),"")</f>
        <v>000000000</v>
      </c>
      <c r="R2" s="553">
        <f>IF(Q2&lt;&gt;"",BIN2DEC(Q2),"")</f>
        <v>0</v>
      </c>
      <c r="S2" s="142" t="s">
        <v>18</v>
      </c>
      <c r="T2" s="7"/>
      <c r="U2" s="7"/>
      <c r="V2" s="43"/>
      <c r="W2" s="564" t="s">
        <v>256</v>
      </c>
      <c r="X2" s="564" t="s">
        <v>261</v>
      </c>
      <c r="Y2" s="565" t="s">
        <v>267</v>
      </c>
      <c r="Z2" s="566" t="s">
        <v>271</v>
      </c>
      <c r="AA2" s="564" t="s">
        <v>277</v>
      </c>
      <c r="AB2" s="565" t="s">
        <v>282</v>
      </c>
      <c r="AC2" s="566" t="s">
        <v>287</v>
      </c>
      <c r="AD2" s="564" t="s">
        <v>292</v>
      </c>
      <c r="AE2" s="565" t="s">
        <v>296</v>
      </c>
      <c r="AF2" s="7"/>
      <c r="AG2" s="7"/>
      <c r="AH2" s="7"/>
      <c r="AI2" s="7"/>
      <c r="AJ2" s="7"/>
      <c r="AK2" s="7"/>
      <c r="AL2" s="164" t="str">
        <f>AG89</f>
        <v>P_blank3</v>
      </c>
      <c r="AM2" s="58">
        <f>AL63</f>
        <v>3</v>
      </c>
      <c r="AN2" s="7"/>
      <c r="AO2" s="7"/>
      <c r="AP2" s="7"/>
      <c r="AQ2" s="7"/>
      <c r="AR2" s="7"/>
      <c r="AS2" s="12">
        <f>IF(AS3=1,1,INT(LOG(AS3-1,2))+1)</f>
        <v>4</v>
      </c>
      <c r="AT2" s="7"/>
      <c r="AU2" s="7"/>
      <c r="AV2" s="7"/>
      <c r="AW2" s="7"/>
      <c r="AX2" s="12">
        <f>IF(AX3=1,1,INT(LOG(AX3-1,2))+1)</f>
        <v>3</v>
      </c>
      <c r="AY2" s="7"/>
      <c r="AZ2" s="7"/>
      <c r="BA2" s="7"/>
      <c r="BB2" s="7"/>
      <c r="BC2" s="12">
        <f>IF(BC3=1,1,INT(LOG(BC3-1,2))+1)</f>
        <v>3</v>
      </c>
      <c r="BD2" s="7"/>
      <c r="BE2" s="7"/>
      <c r="BF2" s="12">
        <f>IF(BF3=1,1,INT(LOG(BF3-1,2))+1)</f>
        <v>3</v>
      </c>
      <c r="BG2" s="7"/>
      <c r="BH2" s="7"/>
      <c r="BI2" s="7"/>
      <c r="BJ2" s="12">
        <f>IF(BJ3=1,1,INT(LOG(BJ3-1,2))+1)</f>
        <v>4</v>
      </c>
      <c r="BK2" s="7"/>
      <c r="BL2" s="7"/>
      <c r="BN2" s="12">
        <f>IF(BN3=1,1,INT(LOG(BN3-1,2))+1)</f>
        <v>2</v>
      </c>
      <c r="BQ2" s="12">
        <f>IF(BQ3=1,1,INT(LOG(BQ3-1,2))+1)</f>
        <v>2</v>
      </c>
      <c r="BT2" s="12">
        <f>IF(BT3=1,1,INT(LOG(BT3-1,2))+1)</f>
        <v>3</v>
      </c>
      <c r="BW2" s="12">
        <f>IF(BW3=1,1,INT(LOG(BW3-1,2))+1)</f>
        <v>3</v>
      </c>
      <c r="BZ2" s="12">
        <f>IF(BZ3=1,1,INT(LOG(BZ3-1,2))+1)</f>
        <v>3</v>
      </c>
      <c r="CD2" s="12">
        <f>IF(CD3=1,1,INT(LOG(CD3-1,2))+1)</f>
        <v>3</v>
      </c>
      <c r="CH2" s="12">
        <f>IF(CH3=1,1,INT(LOG(CH3-1,2))+1)</f>
        <v>3</v>
      </c>
      <c r="CL2" s="12">
        <f>IF(CL3=1,1,INT(LOG(CL3-1,2))+1)</f>
        <v>4</v>
      </c>
      <c r="CO2" s="12">
        <f>IF(CO3=1,1,INT(LOG(CO3-1,2))+1)</f>
        <v>6</v>
      </c>
      <c r="CR2" s="12">
        <f>IF(CR3=1,1,INT(LOG(CR3-1,2))+1)</f>
        <v>7</v>
      </c>
      <c r="CU2" s="12">
        <f>IF(CU3=1,1,INT(LOG(CU3-1,2))+1)</f>
        <v>8</v>
      </c>
      <c r="CW2" s="10"/>
      <c r="CX2" s="12">
        <f>IF(CX3=1,1,INT(LOG(CX3-1,2))+1)</f>
        <v>9</v>
      </c>
      <c r="CY2" s="10"/>
      <c r="DA2" s="12">
        <f>IF(DA3=1,1,INT(LOG(DA3-1,2))+1)</f>
        <v>7</v>
      </c>
      <c r="DD2" s="12">
        <f>IF(DD3=1,1,INT(LOG(DD3-1,2))+1)</f>
        <v>8</v>
      </c>
      <c r="DF2" s="10"/>
      <c r="DG2" s="12">
        <f>IF(DG3=1,1,INT(LOG(DG3-1,2))+1)</f>
        <v>9</v>
      </c>
      <c r="DH2" s="10"/>
      <c r="DJ2" s="12">
        <f>IF(DJ3=1,1,INT(LOG(DJ3-1,2))+1)</f>
        <v>6</v>
      </c>
      <c r="DM2" s="380"/>
      <c r="DN2" s="1138" t="s">
        <v>601</v>
      </c>
      <c r="DO2" s="1139"/>
      <c r="DP2" s="1139"/>
      <c r="DQ2" s="1140"/>
      <c r="DR2" s="1141" t="s">
        <v>635</v>
      </c>
      <c r="DS2" s="1142"/>
      <c r="DT2" s="1142"/>
      <c r="DU2" s="1143"/>
      <c r="DV2" s="1144" t="s">
        <v>636</v>
      </c>
      <c r="DW2" s="1145"/>
      <c r="DX2" s="1145"/>
      <c r="DY2" s="1145"/>
      <c r="DZ2" s="1146" t="s">
        <v>637</v>
      </c>
      <c r="EA2" s="1147"/>
      <c r="EB2" s="1147"/>
      <c r="EC2" s="1147"/>
      <c r="ED2" s="1148"/>
      <c r="EE2" s="1145" t="s">
        <v>638</v>
      </c>
      <c r="EF2" s="1145"/>
      <c r="EG2" s="1145"/>
      <c r="EH2" s="1149"/>
      <c r="EI2" s="1141" t="s">
        <v>639</v>
      </c>
      <c r="EJ2" s="1142"/>
      <c r="EK2" s="1142"/>
      <c r="EL2" s="1143"/>
      <c r="EM2" s="1145" t="s">
        <v>640</v>
      </c>
      <c r="EN2" s="1145"/>
      <c r="EO2" s="1145"/>
      <c r="EP2" s="1149"/>
      <c r="EQ2" s="381"/>
      <c r="EU2" s="7" t="s">
        <v>0</v>
      </c>
      <c r="EX2" s="12">
        <f>IF(EX3=1,1,INT(LOG(EX3-1,2))+1)</f>
        <v>3</v>
      </c>
      <c r="FA2" s="12">
        <f>IF(FA3=1,1,INT(LOG(FA3-1,2))+1)</f>
        <v>2</v>
      </c>
      <c r="FD2" s="12">
        <f>IF(FD3=1,1,INT(LOG(FD3-1,2))+1)</f>
        <v>5</v>
      </c>
      <c r="FG2" s="12">
        <f>IF(FG3=1,1,INT(LOG(FG3-1,2))+1)</f>
        <v>8</v>
      </c>
      <c r="FJ2" s="12">
        <f>IF(FJ3=1,1,INT(LOG(FJ3-1,2))+1)</f>
        <v>7</v>
      </c>
      <c r="FM2" s="12">
        <f>IF(FM3=1,1,INT(LOG(FM3-1,2))+1)</f>
        <v>3</v>
      </c>
      <c r="FP2" s="12">
        <f>IF(FP3=1,1,INT(LOG(FP3-1,2))+1)</f>
        <v>4</v>
      </c>
      <c r="FS2" s="12">
        <f>IF(FS3=1,1,INT(LOG(FS3-1,2))+1)</f>
        <v>9</v>
      </c>
      <c r="FV2" s="12">
        <f>IF(FV3=1,1,INT(LOG(FV3-1,2))+1)</f>
        <v>6</v>
      </c>
    </row>
    <row r="3" spans="1:178">
      <c r="A3">
        <v>8.8000000000000007</v>
      </c>
      <c r="B3" t="s">
        <v>7</v>
      </c>
      <c r="C3" s="142">
        <f>Cntrl14-1</f>
        <v>0</v>
      </c>
      <c r="D3" s="559">
        <f>DD2</f>
        <v>8</v>
      </c>
      <c r="E3" s="172" t="str">
        <f t="shared" ref="E3:E27" si="3">IF(C3&lt;&gt;"",RIGHT("0000000000"&amp;TEXT(DEC2BIN(C3,D3),"0"),D3),"")</f>
        <v>00000000</v>
      </c>
      <c r="F3" s="555" t="str">
        <f t="shared" ref="F3:F14" si="4">IF(LEN(F2)&gt;=6,RIGHT(F2,LEN(F2)-6),"")</f>
        <v>0000000000000000000000000000000000000000000011001011001000000001000010100010010011000010</v>
      </c>
      <c r="G3" s="172" t="str">
        <f t="shared" ref="G3:G27" si="5">IF(F3&lt;&gt;"",IF(LEN(F3)&gt;=6,LEFT(F3,6),LEFT(F3&amp;"000000",6)),"")</f>
        <v>000000</v>
      </c>
      <c r="H3">
        <f t="shared" ref="H3:H27" si="6">IF(G3&lt;&gt;"",BIN2DEC(G3),"")</f>
        <v>0</v>
      </c>
      <c r="I3" s="552" t="str" cm="1">
        <f t="array" ref="I3">IF(H3&lt;&gt;"",INDEX($B$2:$B$66,H3+1),"")</f>
        <v>A</v>
      </c>
      <c r="J3" s="554">
        <f t="shared" si="0"/>
        <v>8</v>
      </c>
      <c r="K3" t="str">
        <f t="shared" ref="K3:K11" si="7">IF(LEN(K2)&gt;1,RIGHT(K2,LEN(K2)-1),"")</f>
        <v>AAAAAAAMsgEKJMI</v>
      </c>
      <c r="L3" s="2" t="str">
        <f t="shared" ref="L3:L27" si="8">LEFT(K3,1)</f>
        <v>A</v>
      </c>
      <c r="M3" t="b">
        <f t="shared" ref="M3:M27" si="9">IF(L3&lt;&gt;"",EXACT(L3,UPPER(L3)),"")</f>
        <v>1</v>
      </c>
      <c r="N3" s="2">
        <f t="shared" ref="N3:N27" si="10">IF(M3&lt;&gt;"",IF(M3,MATCH(L3,$B$2:$B$66,0)-1,MATCH(L3,$B$28:$B$66,0)+25),"")</f>
        <v>0</v>
      </c>
      <c r="O3" s="172" t="str">
        <f t="shared" si="1"/>
        <v>000000</v>
      </c>
      <c r="P3" s="177" t="str">
        <f t="shared" ref="P3:P26" si="11">IF(J3&lt;&gt;"",RIGHT(P2,LEN(P2)-J2),"")</f>
        <v>000000000000000000000000000000000000000001100101100100000000100001010001001001100001000</v>
      </c>
      <c r="Q3" s="172" t="str">
        <f t="shared" si="2"/>
        <v>00000000</v>
      </c>
      <c r="R3" s="553">
        <f t="shared" ref="R3:R27" si="12">IF(Q3&lt;&gt;"",BIN2DEC(Q3),"")</f>
        <v>0</v>
      </c>
      <c r="S3" s="142" t="s">
        <v>32</v>
      </c>
      <c r="T3" s="7"/>
      <c r="U3" s="7"/>
      <c r="V3" s="43"/>
      <c r="W3" s="573" cm="1">
        <f t="array" ref="W3">INDEX(W25:W31,$U$23)</f>
        <v>3.4730455903469518E-5</v>
      </c>
      <c r="X3" s="567" cm="1">
        <f t="array" ref="X3">INDEX(X25:X31,$U$23)</f>
        <v>1.0814075984551179E-4</v>
      </c>
      <c r="Y3" s="567" cm="1">
        <f t="array" ref="Y3">INDEX(Y25:Y31,$U$23)</f>
        <v>-1.6909434052248429E-4</v>
      </c>
      <c r="Z3" s="567" cm="1">
        <f t="array" ref="Z3">INDEX(Z25:Z31,$U$23)</f>
        <v>-1.1060807566335919E-3</v>
      </c>
      <c r="AA3" s="567" cm="1">
        <f t="array" ref="AA3">INDEX(AA25:AA31,$U$23)</f>
        <v>-2.2295766624998825E-2</v>
      </c>
      <c r="AB3" s="567" cm="1">
        <f t="array" ref="AB3">INDEX(AB25:AB31,$U$23)</f>
        <v>2.2102055145927769E-2</v>
      </c>
      <c r="AC3" s="567" cm="1">
        <f t="array" ref="AC3">INDEX(AC25:AC31,$U$23)</f>
        <v>-6.3033743636591394E-2</v>
      </c>
      <c r="AD3" s="567" cm="1">
        <f t="array" ref="AD3">INDEX(AD25:AD31,$U$23)</f>
        <v>1.1535852983505865</v>
      </c>
      <c r="AE3" s="568">
        <f>AE21+AF21</f>
        <v>0.3202692727007535</v>
      </c>
      <c r="AF3" s="7"/>
      <c r="AG3" s="7"/>
      <c r="AH3" s="562"/>
      <c r="AI3" s="562"/>
      <c r="AJ3" s="562"/>
      <c r="AK3" s="562"/>
      <c r="AL3" s="562" t="str">
        <f>AI89</f>
        <v>P_blank3</v>
      </c>
      <c r="AM3" s="561">
        <f>AL80</f>
        <v>3</v>
      </c>
      <c r="AN3" s="7"/>
      <c r="AO3" s="7"/>
      <c r="AP3" s="7"/>
      <c r="AQ3" s="7"/>
      <c r="AR3" s="7"/>
      <c r="AS3" s="12">
        <v>9</v>
      </c>
      <c r="AT3" s="12"/>
      <c r="AU3" s="12"/>
      <c r="AV3" s="12"/>
      <c r="AW3" s="12"/>
      <c r="AX3" s="12">
        <v>6</v>
      </c>
      <c r="AY3" s="12"/>
      <c r="AZ3" s="12"/>
      <c r="BA3" s="12"/>
      <c r="BB3" s="12"/>
      <c r="BC3" s="12">
        <v>8</v>
      </c>
      <c r="BD3" s="12"/>
      <c r="BE3" s="12"/>
      <c r="BF3" s="12">
        <v>6</v>
      </c>
      <c r="BG3" s="12"/>
      <c r="BH3" s="12"/>
      <c r="BI3" s="12"/>
      <c r="BJ3" s="12">
        <v>10</v>
      </c>
      <c r="BK3" s="12"/>
      <c r="BL3" s="12"/>
      <c r="BM3" s="19"/>
      <c r="BN3" s="19">
        <v>4</v>
      </c>
      <c r="BO3" s="19"/>
      <c r="BP3" s="19"/>
      <c r="BQ3" s="19">
        <v>4</v>
      </c>
      <c r="BR3" s="19"/>
      <c r="BS3" s="19"/>
      <c r="BT3" s="19">
        <v>5</v>
      </c>
      <c r="BU3" s="19"/>
      <c r="BV3" s="19"/>
      <c r="BW3" s="19">
        <v>7</v>
      </c>
      <c r="BX3" s="19"/>
      <c r="BY3" s="19"/>
      <c r="BZ3" s="19">
        <v>5</v>
      </c>
      <c r="CA3" s="19"/>
      <c r="CB3" s="19"/>
      <c r="CC3" s="19"/>
      <c r="CD3" s="19">
        <v>5</v>
      </c>
      <c r="CE3" s="19"/>
      <c r="CF3" s="19"/>
      <c r="CG3" s="19"/>
      <c r="CH3" s="19">
        <v>7</v>
      </c>
      <c r="CI3" s="19"/>
      <c r="CJ3" s="19"/>
      <c r="CK3" s="19"/>
      <c r="CL3" s="19">
        <v>12</v>
      </c>
      <c r="CM3" s="19"/>
      <c r="CN3" s="19"/>
      <c r="CO3" s="19">
        <v>34</v>
      </c>
      <c r="CP3" s="19"/>
      <c r="CQ3" s="19"/>
      <c r="CR3" s="19">
        <v>96</v>
      </c>
      <c r="CS3" s="19"/>
      <c r="CT3" s="19"/>
      <c r="CU3" s="19">
        <v>242</v>
      </c>
      <c r="CV3" s="19"/>
      <c r="CW3" s="19"/>
      <c r="CX3" s="19">
        <v>301</v>
      </c>
      <c r="CY3" s="19"/>
      <c r="CZ3" s="19"/>
      <c r="DA3" s="19">
        <v>96</v>
      </c>
      <c r="DB3" s="19"/>
      <c r="DC3" s="19"/>
      <c r="DD3" s="19">
        <v>242</v>
      </c>
      <c r="DE3" s="19"/>
      <c r="DF3" s="19"/>
      <c r="DG3" s="19">
        <v>301</v>
      </c>
      <c r="DH3" s="19"/>
      <c r="DI3" s="19"/>
      <c r="DJ3" s="19">
        <v>47</v>
      </c>
      <c r="DK3" s="19"/>
      <c r="DM3" s="1122" t="s">
        <v>641</v>
      </c>
      <c r="DN3" s="331">
        <v>1</v>
      </c>
      <c r="DO3" s="1154" t="str">
        <f>IF(ISBLANK(WebCntrl1),"",AT23)</f>
        <v>BevelBack WB</v>
      </c>
      <c r="DP3" s="1154"/>
      <c r="DQ3" s="1166"/>
      <c r="DR3" s="382">
        <v>0</v>
      </c>
      <c r="DS3" s="998" t="str">
        <f>IF(ISBLANK(WebCntrl21),"",CI21)</f>
        <v>none</v>
      </c>
      <c r="DT3" s="999"/>
      <c r="DU3" s="1124"/>
      <c r="DV3" s="383">
        <v>0</v>
      </c>
      <c r="DW3" s="1154" t="str">
        <f>IF(ISBLANK(WebCntrl2),"",BK23)</f>
        <v>none</v>
      </c>
      <c r="DX3" s="1154"/>
      <c r="DY3" s="1154"/>
      <c r="DZ3" s="331">
        <v>7</v>
      </c>
      <c r="EA3" s="1165" t="str">
        <f>IF(ISBLANK(WebCntrl3),"",BD23)</f>
        <v>Timber 90 mm</v>
      </c>
      <c r="EB3" s="1154"/>
      <c r="EC3" s="1154"/>
      <c r="ED3" s="1166"/>
      <c r="EE3" s="383">
        <v>0</v>
      </c>
      <c r="EF3" s="1154" t="str">
        <f>IF(ISBLANK(WebCntrl5),"",BG23)</f>
        <v>none</v>
      </c>
      <c r="EG3" s="1154"/>
      <c r="EH3" s="1154"/>
      <c r="EI3" s="331">
        <v>0</v>
      </c>
      <c r="EJ3" s="998" t="str">
        <f>IF(ISBLANK(WebCntrl6),"",BW32)</f>
        <v>none</v>
      </c>
      <c r="EK3" s="999"/>
      <c r="EL3" s="1124"/>
      <c r="EM3" s="383">
        <v>3</v>
      </c>
      <c r="EN3" s="1154" t="str">
        <f>IF(ISBLANK(WebCntrl7),"",AY23)</f>
        <v>10 mm plasterboard</v>
      </c>
      <c r="EO3" s="1154"/>
      <c r="EP3" s="1166"/>
      <c r="EQ3" s="1123" t="s">
        <v>642</v>
      </c>
      <c r="ER3" s="7" t="s">
        <v>643</v>
      </c>
      <c r="ES3" s="539">
        <f>FK23</f>
        <v>600</v>
      </c>
      <c r="EX3" s="19">
        <v>5</v>
      </c>
      <c r="FA3" s="19">
        <v>4</v>
      </c>
      <c r="FD3" s="19">
        <v>18</v>
      </c>
      <c r="FG3" s="19">
        <v>178</v>
      </c>
      <c r="FJ3" s="19">
        <v>97</v>
      </c>
      <c r="FM3" s="19">
        <v>8</v>
      </c>
      <c r="FP3" s="19">
        <v>12</v>
      </c>
      <c r="FS3" s="19">
        <v>492</v>
      </c>
      <c r="FV3" s="19">
        <v>52</v>
      </c>
    </row>
    <row r="4" spans="1:178">
      <c r="A4">
        <v>8.6999999999999993</v>
      </c>
      <c r="B4" t="s">
        <v>11</v>
      </c>
      <c r="C4" s="142">
        <f>Cntrl15-1</f>
        <v>0</v>
      </c>
      <c r="D4" s="559">
        <f>DA2</f>
        <v>7</v>
      </c>
      <c r="E4" s="172" t="str">
        <f t="shared" si="3"/>
        <v>0000000</v>
      </c>
      <c r="F4" s="555" t="str">
        <f t="shared" si="4"/>
        <v>0000000000000000000000000000000000000011001011001000000001000010100010010011000010</v>
      </c>
      <c r="G4" s="172" t="str">
        <f t="shared" si="5"/>
        <v>000000</v>
      </c>
      <c r="H4">
        <f t="shared" si="6"/>
        <v>0</v>
      </c>
      <c r="I4" s="552" t="str" cm="1">
        <f t="array" ref="I4">IF(H4&lt;&gt;"",INDEX($B$2:$B$66,H4+1),"")</f>
        <v>A</v>
      </c>
      <c r="J4" s="554">
        <f t="shared" si="0"/>
        <v>7</v>
      </c>
      <c r="K4" t="str">
        <f t="shared" si="7"/>
        <v>AAAAAAMsgEKJMI</v>
      </c>
      <c r="L4" s="2" t="str">
        <f t="shared" si="8"/>
        <v>A</v>
      </c>
      <c r="M4" t="b">
        <f t="shared" si="9"/>
        <v>1</v>
      </c>
      <c r="N4" s="2">
        <f t="shared" si="10"/>
        <v>0</v>
      </c>
      <c r="O4" s="172" t="str">
        <f t="shared" si="1"/>
        <v>000000</v>
      </c>
      <c r="P4" s="177" t="str">
        <f t="shared" si="11"/>
        <v>0000000000000000000000000000000001100101100100000000100001010001001001100001000</v>
      </c>
      <c r="Q4" s="172" t="str">
        <f t="shared" si="2"/>
        <v>0000000</v>
      </c>
      <c r="R4" s="553">
        <f t="shared" si="12"/>
        <v>0</v>
      </c>
      <c r="S4" s="142" t="s">
        <v>48</v>
      </c>
      <c r="T4" s="7"/>
      <c r="U4" s="7"/>
      <c r="V4" s="43"/>
      <c r="W4" s="574" t="s">
        <v>644</v>
      </c>
      <c r="X4" s="569"/>
      <c r="Y4" s="570"/>
      <c r="Z4" s="571" t="s">
        <v>645</v>
      </c>
      <c r="AA4" s="569"/>
      <c r="AB4" s="570"/>
      <c r="AC4" s="571" t="s">
        <v>646</v>
      </c>
      <c r="AD4" s="569"/>
      <c r="AE4" s="570"/>
      <c r="AF4" s="7"/>
      <c r="AG4" s="7"/>
      <c r="AH4" s="63"/>
      <c r="AI4" s="562"/>
      <c r="AJ4" s="562"/>
      <c r="AK4" s="562"/>
      <c r="AL4" s="562" t="str">
        <f>AK89</f>
        <v>P_blank3</v>
      </c>
      <c r="AM4" s="561">
        <f>AL82</f>
        <v>3</v>
      </c>
      <c r="AN4" s="7"/>
      <c r="AO4" s="7"/>
      <c r="AP4" s="7"/>
      <c r="AQ4" s="7"/>
      <c r="AR4" s="7"/>
      <c r="AS4" s="7"/>
      <c r="AT4" s="7"/>
      <c r="AU4" s="7"/>
      <c r="AV4" s="7"/>
      <c r="AW4" s="7"/>
      <c r="AX4" s="7"/>
      <c r="AY4" s="7"/>
      <c r="AZ4" s="7"/>
      <c r="BA4" s="7"/>
      <c r="BB4" s="7"/>
      <c r="BC4" s="7"/>
      <c r="BD4" s="7"/>
      <c r="BE4" s="7"/>
      <c r="BF4" s="7"/>
      <c r="BG4" s="7"/>
      <c r="BH4" s="7"/>
      <c r="BI4" s="7"/>
      <c r="BJ4" s="7"/>
      <c r="BK4" s="7"/>
      <c r="BL4" s="7"/>
      <c r="CW4" s="10"/>
      <c r="CX4" s="10"/>
      <c r="CY4" s="10"/>
      <c r="DF4" s="10"/>
      <c r="DG4" s="10"/>
      <c r="DH4" s="10"/>
      <c r="DM4" s="1122"/>
      <c r="DN4" s="384"/>
      <c r="DO4" s="385"/>
      <c r="DP4" s="385"/>
      <c r="DQ4" s="386"/>
      <c r="DR4" s="446"/>
      <c r="DS4" s="444"/>
      <c r="DT4" s="444"/>
      <c r="DU4" s="449"/>
      <c r="DV4" s="385"/>
      <c r="DW4" s="385"/>
      <c r="DX4" s="385"/>
      <c r="DY4" s="385"/>
      <c r="DZ4" s="479"/>
      <c r="EA4" s="480"/>
      <c r="EB4" s="480"/>
      <c r="EC4" s="480"/>
      <c r="ED4" s="478"/>
      <c r="EE4" s="385"/>
      <c r="EF4" s="385"/>
      <c r="EG4" s="385"/>
      <c r="EH4" s="385"/>
      <c r="EI4" s="450"/>
      <c r="EJ4" s="445"/>
      <c r="EK4" s="445"/>
      <c r="EL4" s="451"/>
      <c r="EM4" s="385"/>
      <c r="EN4" s="385"/>
      <c r="EO4" s="385"/>
      <c r="EP4" s="386"/>
      <c r="EQ4" s="1123"/>
      <c r="ER4" s="7" t="s">
        <v>647</v>
      </c>
      <c r="ES4" s="540">
        <f>FH23</f>
        <v>10</v>
      </c>
      <c r="ET4" s="8">
        <f>ES4-2*0.045</f>
        <v>9.91</v>
      </c>
    </row>
    <row r="5" spans="1:178" ht="15" customHeight="1">
      <c r="A5">
        <v>8.6</v>
      </c>
      <c r="B5" t="s">
        <v>17</v>
      </c>
      <c r="C5" s="142">
        <f>Cntrl12-1</f>
        <v>0</v>
      </c>
      <c r="D5" s="559">
        <f>CX2</f>
        <v>9</v>
      </c>
      <c r="E5" s="172" t="str">
        <f t="shared" si="3"/>
        <v>000000000</v>
      </c>
      <c r="F5" s="555" t="str">
        <f t="shared" si="4"/>
        <v>0000000000000000000000000000000011001011001000000001000010100010010011000010</v>
      </c>
      <c r="G5" s="172" t="str">
        <f t="shared" si="5"/>
        <v>000000</v>
      </c>
      <c r="H5">
        <f t="shared" si="6"/>
        <v>0</v>
      </c>
      <c r="I5" s="552" t="str" cm="1">
        <f t="array" ref="I5">IF(H5&lt;&gt;"",INDEX($B$2:$B$66,H5+1),"")</f>
        <v>A</v>
      </c>
      <c r="J5" s="554">
        <f t="shared" si="0"/>
        <v>9</v>
      </c>
      <c r="K5" t="str">
        <f t="shared" si="7"/>
        <v>AAAAAMsgEKJMI</v>
      </c>
      <c r="L5" s="2" t="str">
        <f t="shared" si="8"/>
        <v>A</v>
      </c>
      <c r="M5" t="b">
        <f t="shared" si="9"/>
        <v>1</v>
      </c>
      <c r="N5" s="2">
        <f t="shared" si="10"/>
        <v>0</v>
      </c>
      <c r="O5" s="172" t="str">
        <f t="shared" si="1"/>
        <v>000000</v>
      </c>
      <c r="P5" s="177" t="str">
        <f t="shared" si="11"/>
        <v>000000000000000000000000001100101100100000000100001010001001001100001000</v>
      </c>
      <c r="Q5" s="172" t="str">
        <f t="shared" si="2"/>
        <v>000000000</v>
      </c>
      <c r="R5" s="553">
        <f t="shared" si="12"/>
        <v>0</v>
      </c>
      <c r="S5" s="142" t="s">
        <v>12</v>
      </c>
      <c r="T5" s="7"/>
      <c r="U5" s="7"/>
      <c r="V5" s="43"/>
      <c r="W5" s="12" t="s">
        <v>648</v>
      </c>
      <c r="X5" s="572" t="s">
        <v>649</v>
      </c>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c r="BF5" s="7"/>
      <c r="BG5" s="7"/>
      <c r="BH5" s="7"/>
      <c r="BI5" s="7"/>
      <c r="BJ5" s="7"/>
      <c r="BK5" s="7"/>
      <c r="BL5" s="7"/>
      <c r="CW5" s="10"/>
      <c r="CX5" s="10"/>
      <c r="CY5" s="10"/>
      <c r="DF5" s="10"/>
      <c r="DG5" s="10"/>
      <c r="DH5" s="10"/>
      <c r="DM5" s="1122"/>
      <c r="DN5" s="1151" t="s">
        <v>650</v>
      </c>
      <c r="DO5" s="1152"/>
      <c r="DP5" s="1152"/>
      <c r="DQ5" s="1153"/>
      <c r="DR5" s="446"/>
      <c r="DS5" s="443" t="str">
        <f>IF(CH23=2,"","insul. R-value  ")</f>
        <v/>
      </c>
      <c r="DT5" s="339">
        <v>0</v>
      </c>
      <c r="DU5" s="472">
        <f>IF(ISBLANK(WebCntrl13),"",DH23)</f>
        <v>0</v>
      </c>
      <c r="DV5" s="385"/>
      <c r="DW5" s="385"/>
      <c r="DX5" s="385"/>
      <c r="DY5" s="385"/>
      <c r="DZ5" s="388"/>
      <c r="EA5" s="389"/>
      <c r="EB5" s="481" t="str">
        <f>BR22&amp;"  "</f>
        <v xml:space="preserve">Insul. R-value range  </v>
      </c>
      <c r="EC5" s="337">
        <v>1</v>
      </c>
      <c r="ED5" s="474" t="str">
        <f>IF(ISBLANK(WebCntrl9),"",BR23)</f>
        <v>no insul.</v>
      </c>
      <c r="EE5" s="385"/>
      <c r="EF5" s="385"/>
      <c r="EG5" s="385"/>
      <c r="EH5" s="385"/>
      <c r="EI5" s="450"/>
      <c r="EJ5" s="443" t="str">
        <f>IF(Cntrl6=2,"","insul. R-value  ")</f>
        <v/>
      </c>
      <c r="EK5" s="339">
        <v>0</v>
      </c>
      <c r="EL5" s="472">
        <f>IF(ISBLANK(WebCntrl12),"",CY23)</f>
        <v>0</v>
      </c>
      <c r="EM5" s="385"/>
      <c r="EN5" s="385"/>
      <c r="EO5" s="385"/>
      <c r="EP5" s="386"/>
      <c r="EQ5" s="1123"/>
      <c r="ER5" s="7" t="s">
        <v>576</v>
      </c>
      <c r="ES5" s="540">
        <f>FE23</f>
        <v>2.4</v>
      </c>
      <c r="ET5" s="8">
        <f>ES5-2*0.045</f>
        <v>2.31</v>
      </c>
      <c r="EU5" s="525"/>
    </row>
    <row r="6" spans="1:178">
      <c r="A6">
        <v>8.5</v>
      </c>
      <c r="B6" t="s">
        <v>31</v>
      </c>
      <c r="C6" s="142">
        <f>Cntrl16-1</f>
        <v>0</v>
      </c>
      <c r="D6" s="559">
        <f>CU2</f>
        <v>8</v>
      </c>
      <c r="E6" s="172" t="str">
        <f t="shared" si="3"/>
        <v>00000000</v>
      </c>
      <c r="F6" s="555" t="str">
        <f t="shared" si="4"/>
        <v>0000000000000000000000000011001011001000000001000010100010010011000010</v>
      </c>
      <c r="G6" s="172" t="str">
        <f t="shared" si="5"/>
        <v>000000</v>
      </c>
      <c r="H6">
        <f t="shared" si="6"/>
        <v>0</v>
      </c>
      <c r="I6" s="552" t="str" cm="1">
        <f t="array" ref="I6">IF(H6&lt;&gt;"",INDEX($B$2:$B$66,H6+1),"")</f>
        <v>A</v>
      </c>
      <c r="J6" s="554">
        <f t="shared" si="0"/>
        <v>8</v>
      </c>
      <c r="K6" t="str">
        <f t="shared" si="7"/>
        <v>AAAAMsgEKJMI</v>
      </c>
      <c r="L6" s="2" t="str">
        <f t="shared" si="8"/>
        <v>A</v>
      </c>
      <c r="M6" t="b">
        <f t="shared" si="9"/>
        <v>1</v>
      </c>
      <c r="N6" s="2">
        <f t="shared" si="10"/>
        <v>0</v>
      </c>
      <c r="O6" s="172" t="str">
        <f t="shared" si="1"/>
        <v>000000</v>
      </c>
      <c r="P6" s="177" t="str">
        <f t="shared" si="11"/>
        <v>000000000000000001100101100100000000100001010001001001100001000</v>
      </c>
      <c r="Q6" s="172" t="str">
        <f t="shared" si="2"/>
        <v>00000000</v>
      </c>
      <c r="R6" s="553">
        <f t="shared" si="12"/>
        <v>0</v>
      </c>
      <c r="S6" s="142" t="s">
        <v>97</v>
      </c>
      <c r="T6" s="7"/>
      <c r="U6" s="7"/>
      <c r="V6" s="43"/>
      <c r="W6" s="7"/>
      <c r="X6" s="572" t="s">
        <v>651</v>
      </c>
      <c r="Y6" s="7"/>
      <c r="Z6" s="7"/>
      <c r="AA6" s="7"/>
      <c r="AB6" s="7"/>
      <c r="AC6" s="7"/>
      <c r="AD6" s="7"/>
      <c r="AE6" s="7"/>
      <c r="AF6" s="7"/>
      <c r="AG6" s="7"/>
      <c r="AH6" s="63"/>
      <c r="AI6" s="7"/>
      <c r="AJ6" s="7"/>
      <c r="AK6" s="7"/>
      <c r="AL6" s="7"/>
      <c r="AM6" s="7"/>
      <c r="AN6" s="7"/>
      <c r="AO6" s="7"/>
      <c r="AP6" s="7"/>
      <c r="AQ6" s="7"/>
      <c r="AR6" s="7"/>
      <c r="AS6" s="7"/>
      <c r="AT6" s="7"/>
      <c r="AU6" s="7"/>
      <c r="AV6" s="7"/>
      <c r="AW6" s="7"/>
      <c r="AX6" s="7"/>
      <c r="AY6" s="7"/>
      <c r="AZ6" s="7"/>
      <c r="BA6" s="7"/>
      <c r="BB6" s="7"/>
      <c r="BC6" s="7"/>
      <c r="BD6" s="7"/>
      <c r="BE6" s="7"/>
      <c r="BF6" s="7"/>
      <c r="BG6" s="7"/>
      <c r="BH6" s="7"/>
      <c r="BI6" s="7"/>
      <c r="BJ6" s="7"/>
      <c r="BK6" s="7"/>
      <c r="BL6" s="7"/>
      <c r="CW6" s="10"/>
      <c r="CX6" s="10"/>
      <c r="CY6" s="10"/>
      <c r="DF6" s="10"/>
      <c r="DG6" s="10"/>
      <c r="DH6" s="10"/>
      <c r="DM6" s="1122"/>
      <c r="DN6" s="387">
        <v>1</v>
      </c>
      <c r="DO6" s="998" t="str">
        <f>IF(ISBLANK(WebCntrl20),"",BO23)</f>
        <v>no cavity</v>
      </c>
      <c r="DP6" s="999"/>
      <c r="DQ6" s="999"/>
      <c r="DR6" s="446"/>
      <c r="DS6" s="447" t="str">
        <f>IF(CH23&lt;4,"","depth (mm)  ")</f>
        <v/>
      </c>
      <c r="DT6" s="331">
        <v>0</v>
      </c>
      <c r="DU6" s="471">
        <f>IF(ISBLANK(WebCntrl14),"",DB23)</f>
        <v>0</v>
      </c>
      <c r="DV6" s="385"/>
      <c r="DW6" s="385"/>
      <c r="DX6" s="385"/>
      <c r="DY6" s="385"/>
      <c r="DZ6" s="388"/>
      <c r="EA6" s="389"/>
      <c r="EB6" s="488" t="str">
        <f>IF(W9, "steel thickness  ","")</f>
        <v/>
      </c>
      <c r="EC6" s="337">
        <v>0</v>
      </c>
      <c r="ED6" s="473">
        <f>IF(ISBLANK(WebCntrl4),"",BU23)</f>
        <v>0</v>
      </c>
      <c r="EE6" s="385"/>
      <c r="EF6" s="385"/>
      <c r="EG6" s="385"/>
      <c r="EH6" s="385"/>
      <c r="EI6" s="450"/>
      <c r="EJ6" s="443" t="str">
        <f>IF(Cntrl6&lt;4,"","depth (mm)  ")</f>
        <v/>
      </c>
      <c r="EK6" s="331">
        <v>0</v>
      </c>
      <c r="EL6" s="471">
        <f>IF(ISBLANK(WebCntrl17),"",CS23)</f>
        <v>0</v>
      </c>
      <c r="EM6" s="385"/>
      <c r="EN6" s="385"/>
      <c r="EO6" s="385"/>
      <c r="EP6" s="386"/>
      <c r="EQ6" s="1123"/>
      <c r="ER6" s="7" t="s">
        <v>652</v>
      </c>
      <c r="ES6" s="542">
        <f>ES4*ES5</f>
        <v>24</v>
      </c>
      <c r="ET6" s="106">
        <f>ET4*ET5</f>
        <v>22.892099999999999</v>
      </c>
    </row>
    <row r="7" spans="1:178" ht="18" customHeight="1">
      <c r="A7">
        <v>8.4</v>
      </c>
      <c r="B7" t="s">
        <v>36</v>
      </c>
      <c r="C7" s="142">
        <f>Cntrl17-1</f>
        <v>0</v>
      </c>
      <c r="D7" s="559">
        <f>CR2</f>
        <v>7</v>
      </c>
      <c r="E7" s="172" t="str">
        <f t="shared" si="3"/>
        <v>0000000</v>
      </c>
      <c r="F7" s="555" t="str">
        <f t="shared" si="4"/>
        <v>0000000000000000000011001011001000000001000010100010010011000010</v>
      </c>
      <c r="G7" s="172" t="str">
        <f t="shared" si="5"/>
        <v>000000</v>
      </c>
      <c r="H7">
        <f t="shared" si="6"/>
        <v>0</v>
      </c>
      <c r="I7" s="552" t="str" cm="1">
        <f t="array" ref="I7">IF(H7&lt;&gt;"",INDEX($B$2:$B$66,H7+1),"")</f>
        <v>A</v>
      </c>
      <c r="J7" s="554">
        <f t="shared" si="0"/>
        <v>7</v>
      </c>
      <c r="K7" t="str">
        <f t="shared" si="7"/>
        <v>AAAMsgEKJMI</v>
      </c>
      <c r="L7" s="2" t="str">
        <f t="shared" si="8"/>
        <v>A</v>
      </c>
      <c r="M7" t="b">
        <f t="shared" si="9"/>
        <v>1</v>
      </c>
      <c r="N7" s="2">
        <f t="shared" si="10"/>
        <v>0</v>
      </c>
      <c r="O7" s="172" t="str">
        <f t="shared" si="1"/>
        <v>000000</v>
      </c>
      <c r="P7" s="177" t="str">
        <f t="shared" si="11"/>
        <v>0000000001100101100100000000100001010001001001100001000</v>
      </c>
      <c r="Q7" s="172" t="str">
        <f t="shared" si="2"/>
        <v>0000000</v>
      </c>
      <c r="R7" s="553">
        <f t="shared" si="12"/>
        <v>0</v>
      </c>
      <c r="S7" s="142" t="s">
        <v>104</v>
      </c>
      <c r="T7" s="7"/>
      <c r="U7" s="7"/>
      <c r="V7" s="43"/>
      <c r="W7" s="7"/>
      <c r="X7" s="7"/>
      <c r="Y7" s="7"/>
      <c r="Z7" s="7"/>
      <c r="AA7" s="7"/>
      <c r="AB7" s="7"/>
      <c r="AC7" s="7"/>
      <c r="AD7" s="7"/>
      <c r="AE7" s="7"/>
      <c r="AF7" s="7"/>
      <c r="AG7" s="7"/>
      <c r="AH7" s="7"/>
      <c r="AI7" s="7"/>
      <c r="AJ7" s="7"/>
      <c r="AK7" s="7"/>
      <c r="AL7" s="7"/>
      <c r="AM7" s="7"/>
      <c r="AN7" s="7"/>
      <c r="AO7" s="7"/>
      <c r="AP7" s="7"/>
      <c r="AQ7" s="7"/>
      <c r="AR7" s="7"/>
      <c r="AS7" s="7"/>
      <c r="AT7" s="7"/>
      <c r="AU7" s="7"/>
      <c r="AV7" s="7"/>
      <c r="AW7" s="7"/>
      <c r="AX7" s="7"/>
      <c r="AY7" s="7"/>
      <c r="AZ7" s="7"/>
      <c r="BA7" s="7"/>
      <c r="BB7" s="7"/>
      <c r="BC7" s="7"/>
      <c r="BD7" s="7"/>
      <c r="BE7" s="7"/>
      <c r="BF7" s="7"/>
      <c r="BG7" s="7"/>
      <c r="BH7" s="7"/>
      <c r="BI7" s="7"/>
      <c r="BJ7" s="7"/>
      <c r="BK7" s="7"/>
      <c r="BL7" s="7"/>
      <c r="CW7" s="10"/>
      <c r="CX7" s="10"/>
      <c r="CY7" s="10"/>
      <c r="DC7" s="19" t="b">
        <f>ISBLANK(WebCntrl1)</f>
        <v>0</v>
      </c>
      <c r="DD7" s="10" t="b">
        <f>ISBLANK(WebCntrl21)</f>
        <v>0</v>
      </c>
      <c r="DE7" s="10" t="b">
        <f>ISBLANK(WebCntrl2)</f>
        <v>0</v>
      </c>
      <c r="DF7" s="10" t="b">
        <f>ISBLANK(WebCntrl3)</f>
        <v>0</v>
      </c>
      <c r="DG7" s="10" t="b">
        <f>ISBLANK(WebCntrl5)</f>
        <v>0</v>
      </c>
      <c r="DH7" s="10" t="b">
        <f>ISBLANK(WebCntrl6)</f>
        <v>0</v>
      </c>
      <c r="DI7" s="10" t="b">
        <f>ISBLANK(WebCntrl7)</f>
        <v>0</v>
      </c>
      <c r="DK7" s="10" t="b">
        <f>ISBLANK(WebCntrl10)</f>
        <v>0</v>
      </c>
      <c r="DM7" s="1122"/>
      <c r="DN7" s="384"/>
      <c r="DO7" s="385"/>
      <c r="DP7" s="385"/>
      <c r="DQ7" s="386"/>
      <c r="DR7" s="446"/>
      <c r="DS7" s="448" t="str">
        <f>IF(CH23&lt;4,"","frame %  ")</f>
        <v/>
      </c>
      <c r="DT7" s="340">
        <v>0</v>
      </c>
      <c r="DU7" s="470">
        <f>IF(ISBLANK(WebCntrl15),"",DE23)</f>
        <v>0</v>
      </c>
      <c r="DV7" s="385"/>
      <c r="DW7" s="385"/>
      <c r="DX7" s="385"/>
      <c r="DY7" s="385"/>
      <c r="DZ7" s="390"/>
      <c r="EA7" s="482"/>
      <c r="EB7" s="484"/>
      <c r="EC7" s="484"/>
      <c r="ED7" s="485"/>
      <c r="EE7" s="385"/>
      <c r="EF7" s="385"/>
      <c r="EG7" s="385"/>
      <c r="EH7" s="385"/>
      <c r="EI7" s="450"/>
      <c r="EJ7" s="443" t="str">
        <f>IF(Cntrl6&lt;4,"","frame %  ")</f>
        <v/>
      </c>
      <c r="EK7" s="340">
        <v>0</v>
      </c>
      <c r="EL7" s="470">
        <f>IF(ISBLANK(WebCntrl18),"",CV23)</f>
        <v>0</v>
      </c>
      <c r="EM7" s="385"/>
      <c r="EN7" s="385"/>
      <c r="EO7" s="385"/>
      <c r="EP7" s="386"/>
      <c r="EQ7" s="1123"/>
      <c r="ET7" s="106"/>
      <c r="EU7" s="525"/>
    </row>
    <row r="8" spans="1:178" ht="15" customHeight="1">
      <c r="A8">
        <v>8.3000000000000007</v>
      </c>
      <c r="B8" t="s">
        <v>43</v>
      </c>
      <c r="C8" s="142">
        <f>Cntrl8-1</f>
        <v>12</v>
      </c>
      <c r="D8" s="559">
        <f>CO2</f>
        <v>6</v>
      </c>
      <c r="E8" s="172" t="str">
        <f t="shared" si="3"/>
        <v>001100</v>
      </c>
      <c r="F8" s="555" t="str">
        <f t="shared" si="4"/>
        <v>0000000000000011001011001000000001000010100010010011000010</v>
      </c>
      <c r="G8" s="172" t="str">
        <f t="shared" si="5"/>
        <v>000000</v>
      </c>
      <c r="H8">
        <f t="shared" si="6"/>
        <v>0</v>
      </c>
      <c r="I8" s="552" t="str" cm="1">
        <f t="array" ref="I8">IF(H8&lt;&gt;"",INDEX($B$2:$B$66,H8+1),"")</f>
        <v>A</v>
      </c>
      <c r="J8" s="554">
        <f t="shared" si="0"/>
        <v>6</v>
      </c>
      <c r="K8" t="str">
        <f t="shared" si="7"/>
        <v>AAMsgEKJMI</v>
      </c>
      <c r="L8" s="2" t="str">
        <f t="shared" si="8"/>
        <v>A</v>
      </c>
      <c r="M8" t="b">
        <f t="shared" si="9"/>
        <v>1</v>
      </c>
      <c r="N8" s="2">
        <f t="shared" si="10"/>
        <v>0</v>
      </c>
      <c r="O8" s="172" t="str">
        <f t="shared" si="1"/>
        <v>000000</v>
      </c>
      <c r="P8" s="177" t="str">
        <f t="shared" si="11"/>
        <v>001100101100100000000100001010001001001100001000</v>
      </c>
      <c r="Q8" s="172" t="str">
        <f t="shared" si="2"/>
        <v>001100</v>
      </c>
      <c r="R8" s="553">
        <f t="shared" si="12"/>
        <v>12</v>
      </c>
      <c r="S8" s="142" t="s">
        <v>5</v>
      </c>
      <c r="T8" s="7"/>
      <c r="U8" s="7"/>
      <c r="V8" s="43" t="s">
        <v>653</v>
      </c>
      <c r="W8" s="268">
        <f>IF(AND(W15,AND(W16,NOT(W12))),1,0)</f>
        <v>0</v>
      </c>
      <c r="X8" s="7" t="str">
        <f>IF(W8," &amp; ","")</f>
        <v/>
      </c>
      <c r="Y8" s="7"/>
      <c r="Z8" s="7"/>
      <c r="AA8" s="7"/>
      <c r="AB8" s="7"/>
      <c r="AC8" s="7"/>
      <c r="AD8" s="7"/>
      <c r="AE8" s="7"/>
      <c r="AF8" s="7"/>
      <c r="AG8" s="7"/>
      <c r="AH8" s="7"/>
      <c r="AI8" s="7"/>
      <c r="AJ8" s="7"/>
      <c r="AK8" s="7"/>
      <c r="AL8" s="7"/>
      <c r="AM8" s="7"/>
      <c r="AN8" s="7"/>
      <c r="AO8" s="7"/>
      <c r="AP8" s="7"/>
      <c r="AQ8" s="7"/>
      <c r="AR8" s="7"/>
      <c r="AS8" s="7"/>
      <c r="AT8" s="7"/>
      <c r="AU8" s="7"/>
      <c r="AV8" s="7"/>
      <c r="AW8" s="7"/>
      <c r="AX8" s="7"/>
      <c r="AY8" s="7"/>
      <c r="AZ8" s="7"/>
      <c r="BA8" s="7"/>
      <c r="BB8" s="7"/>
      <c r="BC8" s="7"/>
      <c r="BD8" s="7"/>
      <c r="BE8" s="7"/>
      <c r="BF8" s="7"/>
      <c r="BG8" s="7"/>
      <c r="BH8" s="7"/>
      <c r="BI8" s="7"/>
      <c r="BJ8" s="7"/>
      <c r="BK8" s="7"/>
      <c r="BL8" s="7"/>
      <c r="CW8" s="10"/>
      <c r="CX8" s="10"/>
      <c r="CY8" s="10"/>
      <c r="DC8" s="10" t="b">
        <f>ISBLANK(WebCntrl20)</f>
        <v>0</v>
      </c>
      <c r="DD8" s="10" t="b">
        <f>AND(Cntrl18&gt;=3,ISBLANK(WebCntrl13))</f>
        <v>0</v>
      </c>
      <c r="DF8" s="10" t="b">
        <f>ISBLANK(WebCntrl9)</f>
        <v>0</v>
      </c>
      <c r="DG8" s="10"/>
      <c r="DH8" s="10" t="b">
        <f>AND(Cntrl6&gt;=3,ISBLANK(WebCntrl12))</f>
        <v>0</v>
      </c>
      <c r="DK8" s="10" t="b">
        <f>ISBLANK(WebCntrl8)</f>
        <v>0</v>
      </c>
      <c r="DM8" s="1122"/>
      <c r="DN8" s="391"/>
      <c r="DO8" s="392"/>
      <c r="DP8" s="392"/>
      <c r="DQ8" s="386"/>
      <c r="DR8" s="446"/>
      <c r="DS8" s="448" t="str">
        <f>IF(OR(Cntrl18=5,Cntrl18=7),"steel thickness  ","")</f>
        <v/>
      </c>
      <c r="DT8" s="337">
        <v>0</v>
      </c>
      <c r="DU8" s="477">
        <f>IF(ISBLANK(WebCntrl16),"",CE23)</f>
        <v>0</v>
      </c>
      <c r="DV8" s="385"/>
      <c r="DW8" s="385"/>
      <c r="DX8" s="385"/>
      <c r="DY8" s="385"/>
      <c r="DZ8" s="1135" t="str">
        <f>IF(W21,X21,"")</f>
        <v/>
      </c>
      <c r="EA8" s="1136"/>
      <c r="EB8" s="1136"/>
      <c r="EC8" s="1136"/>
      <c r="ED8" s="1137"/>
      <c r="EE8" s="385"/>
      <c r="EF8" s="385"/>
      <c r="EG8" s="385" t="s">
        <v>654</v>
      </c>
      <c r="EH8" s="385"/>
      <c r="EI8" s="450"/>
      <c r="EJ8" s="483" t="str">
        <f>IF(OR(Cntrl6=5,Cntrl6=7),"steel thickness  ","")</f>
        <v/>
      </c>
      <c r="EK8" s="337">
        <v>0</v>
      </c>
      <c r="EL8" s="477">
        <f>IF(ISBLANK(WebCntrl19),"",CA23)</f>
        <v>0</v>
      </c>
      <c r="EM8" s="385"/>
      <c r="EN8" s="385"/>
      <c r="EO8" s="385"/>
      <c r="EP8" s="386"/>
      <c r="EQ8" s="1123"/>
      <c r="ER8" s="7" t="s">
        <v>655</v>
      </c>
      <c r="ES8" s="543">
        <f>ES10+ES11+ES12</f>
        <v>22</v>
      </c>
      <c r="ET8" s="106">
        <f>ES8*0.045*ET5</f>
        <v>2.2869000000000002</v>
      </c>
      <c r="EU8" s="544">
        <f>ET8/$ES$6</f>
        <v>9.5287500000000011E-2</v>
      </c>
    </row>
    <row r="9" spans="1:178" ht="15" customHeight="1">
      <c r="A9">
        <v>8.1999999999999993</v>
      </c>
      <c r="B9" t="s">
        <v>47</v>
      </c>
      <c r="C9" s="142">
        <f>Cntrl10-1</f>
        <v>11</v>
      </c>
      <c r="D9" s="559">
        <f>CL2</f>
        <v>4</v>
      </c>
      <c r="E9" s="172" t="str">
        <f t="shared" si="3"/>
        <v>1011</v>
      </c>
      <c r="F9" s="555" t="str">
        <f t="shared" si="4"/>
        <v>0000000011001011001000000001000010100010010011000010</v>
      </c>
      <c r="G9" s="172" t="str">
        <f t="shared" si="5"/>
        <v>000000</v>
      </c>
      <c r="H9">
        <f t="shared" si="6"/>
        <v>0</v>
      </c>
      <c r="I9" s="552" t="str" cm="1">
        <f t="array" ref="I9">IF(H9&lt;&gt;"",INDEX($B$2:$B$66,H9+1),"")</f>
        <v>A</v>
      </c>
      <c r="J9" s="554">
        <f t="shared" si="0"/>
        <v>4</v>
      </c>
      <c r="K9" t="str">
        <f t="shared" si="7"/>
        <v>AMsgEKJMI</v>
      </c>
      <c r="L9" s="2" t="str">
        <f t="shared" si="8"/>
        <v>A</v>
      </c>
      <c r="M9" t="b">
        <f t="shared" si="9"/>
        <v>1</v>
      </c>
      <c r="N9" s="2">
        <f t="shared" si="10"/>
        <v>0</v>
      </c>
      <c r="O9" s="172" t="str">
        <f t="shared" si="1"/>
        <v>000000</v>
      </c>
      <c r="P9" s="177" t="str">
        <f t="shared" si="11"/>
        <v>101100100000000100001010001001001100001000</v>
      </c>
      <c r="Q9" s="172" t="str">
        <f t="shared" si="2"/>
        <v>1011</v>
      </c>
      <c r="R9" s="553">
        <f t="shared" si="12"/>
        <v>11</v>
      </c>
      <c r="S9" s="142" t="s">
        <v>51</v>
      </c>
      <c r="T9" s="7"/>
      <c r="U9" s="7"/>
      <c r="V9" s="43" t="s">
        <v>656</v>
      </c>
      <c r="W9" s="268">
        <f>IF(OR(U23=3,U23=4),1,0)</f>
        <v>0</v>
      </c>
      <c r="X9" s="7"/>
      <c r="Y9" s="7"/>
      <c r="Z9" s="7"/>
      <c r="AA9" s="7"/>
      <c r="AB9" s="7"/>
      <c r="AC9" s="7"/>
      <c r="AD9" s="7"/>
      <c r="AE9" s="7"/>
      <c r="AF9" s="7"/>
      <c r="AG9" s="7"/>
      <c r="AH9" s="7"/>
      <c r="AI9" s="7"/>
      <c r="AJ9" s="7"/>
      <c r="AK9" s="7"/>
      <c r="AL9" s="7"/>
      <c r="AM9" s="7"/>
      <c r="AN9" s="7"/>
      <c r="AO9" s="7"/>
      <c r="AP9" s="7"/>
      <c r="AQ9" s="7"/>
      <c r="AR9" s="7"/>
      <c r="AS9" s="7"/>
      <c r="AT9" s="7"/>
      <c r="AU9" s="7"/>
      <c r="AV9" s="7"/>
      <c r="AW9" s="7"/>
      <c r="AX9" s="7"/>
      <c r="AY9" s="7"/>
      <c r="AZ9" s="7"/>
      <c r="BA9" s="7"/>
      <c r="BB9" s="7"/>
      <c r="BC9" s="7"/>
      <c r="BD9" s="7"/>
      <c r="BE9" s="7"/>
      <c r="BF9" s="7"/>
      <c r="BG9" s="7"/>
      <c r="BH9" s="7"/>
      <c r="BI9" s="7"/>
      <c r="BJ9" s="7"/>
      <c r="BK9" s="7"/>
      <c r="BL9" s="7"/>
      <c r="CW9" s="10"/>
      <c r="CX9" s="10"/>
      <c r="CY9" s="10"/>
      <c r="DD9" s="59" t="b">
        <f>AND(CK16,CL16)</f>
        <v>0</v>
      </c>
      <c r="DF9" s="10" t="b">
        <f>AND(BD17,ISBLANK(WebCntrl4))</f>
        <v>0</v>
      </c>
      <c r="DG9" s="10"/>
      <c r="DH9" s="59" t="b">
        <f>AND(BZ16,CA16)</f>
        <v>0</v>
      </c>
      <c r="DK9" s="10" t="b">
        <f>ISBLANK(WebCntrl22)</f>
        <v>0</v>
      </c>
      <c r="DM9" s="1122"/>
      <c r="DN9" s="391"/>
      <c r="DO9" s="392"/>
      <c r="DP9" s="392"/>
      <c r="DQ9" s="386"/>
      <c r="DR9" s="446"/>
      <c r="DS9" s="444"/>
      <c r="DT9" s="444"/>
      <c r="DU9" s="692"/>
      <c r="DV9" s="693"/>
      <c r="DW9" s="693"/>
      <c r="DX9" s="693"/>
      <c r="DY9" s="694"/>
      <c r="DZ9" s="1135"/>
      <c r="EA9" s="1136"/>
      <c r="EB9" s="1136"/>
      <c r="EC9" s="1136"/>
      <c r="ED9" s="1137"/>
      <c r="EE9" s="385"/>
      <c r="EF9" s="385"/>
      <c r="EG9" s="385"/>
      <c r="EH9" s="695"/>
      <c r="EI9" s="696"/>
      <c r="EJ9" s="445"/>
      <c r="EK9" s="445"/>
      <c r="EL9" s="451"/>
      <c r="EM9" s="385"/>
      <c r="EN9" s="385"/>
      <c r="EO9" s="385"/>
      <c r="EP9" s="386"/>
      <c r="EQ9" s="1123"/>
    </row>
    <row r="10" spans="1:178" ht="15" customHeight="1">
      <c r="A10">
        <v>8.1</v>
      </c>
      <c r="B10" t="s">
        <v>50</v>
      </c>
      <c r="C10" s="142">
        <f>Cntrl18-1</f>
        <v>1</v>
      </c>
      <c r="D10" s="559">
        <f>CH2</f>
        <v>3</v>
      </c>
      <c r="E10" s="172" t="str">
        <f t="shared" si="3"/>
        <v>001</v>
      </c>
      <c r="F10" s="555" t="str">
        <f t="shared" si="4"/>
        <v>0011001011001000000001000010100010010011000010</v>
      </c>
      <c r="G10" s="172" t="str">
        <f t="shared" si="5"/>
        <v>001100</v>
      </c>
      <c r="H10">
        <f t="shared" si="6"/>
        <v>12</v>
      </c>
      <c r="I10" s="552" t="str" cm="1">
        <f t="array" ref="I10">IF(H10&lt;&gt;"",INDEX($B$2:$B$66,H10+1),"")</f>
        <v>M</v>
      </c>
      <c r="J10" s="554">
        <f t="shared" si="0"/>
        <v>3</v>
      </c>
      <c r="K10" t="str">
        <f t="shared" si="7"/>
        <v>MsgEKJMI</v>
      </c>
      <c r="L10" s="2" t="str">
        <f t="shared" si="8"/>
        <v>M</v>
      </c>
      <c r="M10" t="b">
        <f t="shared" si="9"/>
        <v>1</v>
      </c>
      <c r="N10" s="2">
        <f t="shared" si="10"/>
        <v>12</v>
      </c>
      <c r="O10" s="172" t="str">
        <f t="shared" si="1"/>
        <v>001100</v>
      </c>
      <c r="P10" s="177" t="str">
        <f t="shared" si="11"/>
        <v>00100000000100001010001001001100001000</v>
      </c>
      <c r="Q10" s="172" t="str">
        <f t="shared" si="2"/>
        <v>001</v>
      </c>
      <c r="R10" s="553">
        <f t="shared" si="12"/>
        <v>1</v>
      </c>
      <c r="S10" s="142" t="s">
        <v>657</v>
      </c>
      <c r="T10" s="7"/>
      <c r="U10" s="7"/>
      <c r="V10" s="43" t="s">
        <v>658</v>
      </c>
      <c r="W10" s="9">
        <f>IF(OR(U23&lt;3,U23&gt;4),1,0)</f>
        <v>1</v>
      </c>
      <c r="X10" s="7"/>
      <c r="Y10" s="7"/>
      <c r="Z10" s="7"/>
      <c r="AA10" s="7"/>
      <c r="AB10" s="7"/>
      <c r="AC10" s="7"/>
      <c r="AD10" s="7"/>
      <c r="AE10" s="7"/>
      <c r="AF10" s="7"/>
      <c r="AG10" s="7"/>
      <c r="AH10" s="7"/>
      <c r="AI10" s="7"/>
      <c r="AJ10" s="7"/>
      <c r="AK10" s="7"/>
      <c r="AL10" s="7"/>
      <c r="AM10" s="7"/>
      <c r="AN10" s="7"/>
      <c r="AO10" s="7"/>
      <c r="AP10" s="7"/>
      <c r="AQ10" s="7"/>
      <c r="AR10" s="7"/>
      <c r="AS10" s="7"/>
      <c r="AT10" s="7"/>
      <c r="AU10" s="7"/>
      <c r="AV10" s="7"/>
      <c r="AW10" s="7"/>
      <c r="AX10" s="7"/>
      <c r="AY10" s="7"/>
      <c r="AZ10" s="7"/>
      <c r="BA10" s="7"/>
      <c r="BB10" s="7"/>
      <c r="BC10" s="7"/>
      <c r="BD10" s="7"/>
      <c r="BE10" s="7"/>
      <c r="BF10" s="7"/>
      <c r="BG10" s="7"/>
      <c r="BH10" s="7"/>
      <c r="BI10" s="7"/>
      <c r="BJ10" s="7"/>
      <c r="BK10" s="7"/>
      <c r="BL10" s="7"/>
      <c r="CW10" s="10"/>
      <c r="CX10" s="10"/>
      <c r="CY10" s="10"/>
      <c r="DD10" s="59" t="b">
        <f>AND(CK17,CL17)</f>
        <v>0</v>
      </c>
      <c r="DF10" s="10"/>
      <c r="DG10" s="10"/>
      <c r="DH10" s="59" t="b">
        <f>AND(BZ17,CA17)</f>
        <v>0</v>
      </c>
      <c r="DK10" s="10" t="b">
        <f>ISBLANK(WebCntrl23)</f>
        <v>0</v>
      </c>
      <c r="DM10" s="393"/>
      <c r="DN10" s="394"/>
      <c r="DO10" s="394"/>
      <c r="DP10" s="394"/>
      <c r="DQ10" s="394"/>
      <c r="DR10" s="394"/>
      <c r="DS10" s="394"/>
      <c r="DT10" s="394"/>
      <c r="DU10" s="698"/>
      <c r="DV10" s="698"/>
      <c r="DW10" s="394"/>
      <c r="DX10" s="394"/>
      <c r="DY10" s="394"/>
      <c r="DZ10" s="394"/>
      <c r="EA10" s="394"/>
      <c r="EB10" s="394"/>
      <c r="EC10" s="394"/>
      <c r="ED10" s="394"/>
      <c r="EE10" s="394"/>
      <c r="EF10" s="394"/>
      <c r="EG10" s="394"/>
      <c r="EH10" s="394"/>
      <c r="EI10" s="394"/>
      <c r="EJ10" s="394"/>
      <c r="EK10" s="394"/>
      <c r="EL10" s="394"/>
      <c r="EM10" s="394"/>
      <c r="EN10" s="394"/>
      <c r="EO10" s="394"/>
      <c r="EP10" s="394"/>
      <c r="EQ10" s="336"/>
      <c r="ER10" s="7" t="s">
        <v>659</v>
      </c>
      <c r="ES10" s="7">
        <f>INT(ET4*1000/ES3)</f>
        <v>16</v>
      </c>
      <c r="ET10" s="106">
        <f>ES10*0.045*ET5</f>
        <v>1.6632</v>
      </c>
      <c r="EU10" s="525">
        <f>ET10/$ES$6</f>
        <v>6.93E-2</v>
      </c>
    </row>
    <row r="11" spans="1:178" ht="15" customHeight="1">
      <c r="A11">
        <v>8</v>
      </c>
      <c r="B11" t="s">
        <v>56</v>
      </c>
      <c r="C11" s="142">
        <f>Cntrl21-1</f>
        <v>0</v>
      </c>
      <c r="D11" s="559">
        <f>CD2</f>
        <v>3</v>
      </c>
      <c r="E11" s="172" t="str">
        <f t="shared" si="3"/>
        <v>000</v>
      </c>
      <c r="F11" s="555" t="str">
        <f t="shared" si="4"/>
        <v>1011001000000001000010100010010011000010</v>
      </c>
      <c r="G11" s="172" t="str">
        <f t="shared" si="5"/>
        <v>101100</v>
      </c>
      <c r="H11">
        <f t="shared" si="6"/>
        <v>44</v>
      </c>
      <c r="I11" s="552" t="str" cm="1">
        <f t="array" ref="I11">IF(H11&lt;&gt;"",INDEX($B$2:$B$66,H11+1),"")</f>
        <v>s</v>
      </c>
      <c r="J11" s="554">
        <f t="shared" si="0"/>
        <v>3</v>
      </c>
      <c r="K11" t="str">
        <f t="shared" si="7"/>
        <v>sgEKJMI</v>
      </c>
      <c r="L11" s="2" t="str">
        <f t="shared" si="8"/>
        <v>s</v>
      </c>
      <c r="M11" t="b">
        <f t="shared" si="9"/>
        <v>0</v>
      </c>
      <c r="N11" s="2">
        <f t="shared" si="10"/>
        <v>44</v>
      </c>
      <c r="O11" s="172" t="str">
        <f t="shared" si="1"/>
        <v>101100</v>
      </c>
      <c r="P11" s="177" t="str">
        <f t="shared" si="11"/>
        <v>00000000100001010001001001100001000</v>
      </c>
      <c r="Q11" s="172" t="str">
        <f t="shared" si="2"/>
        <v>000</v>
      </c>
      <c r="R11" s="553">
        <f t="shared" si="12"/>
        <v>0</v>
      </c>
      <c r="S11" s="142" t="s">
        <v>660</v>
      </c>
      <c r="T11" s="7"/>
      <c r="U11" s="7"/>
      <c r="V11" s="43" t="s">
        <v>661</v>
      </c>
      <c r="W11" s="12">
        <f>IF(Cntrl19&gt;2,1,0)</f>
        <v>0</v>
      </c>
      <c r="X11" s="7"/>
      <c r="Y11" s="7"/>
      <c r="Z11" s="7"/>
      <c r="AA11" s="7"/>
      <c r="AB11" s="7"/>
      <c r="AC11" s="7"/>
      <c r="AD11" s="7"/>
      <c r="AE11" s="7"/>
      <c r="AF11" s="7"/>
      <c r="AG11" s="7"/>
      <c r="AH11" s="7"/>
      <c r="AI11" s="7"/>
      <c r="AJ11" s="7"/>
      <c r="AK11" s="7"/>
      <c r="AL11" s="7"/>
      <c r="AM11" s="7"/>
      <c r="AN11" s="7"/>
      <c r="AO11" s="7"/>
      <c r="AP11" s="7"/>
      <c r="AQ11" s="7"/>
      <c r="AR11" s="7"/>
      <c r="AS11" s="7"/>
      <c r="AT11" s="7"/>
      <c r="AU11" s="7"/>
      <c r="AV11" s="7"/>
      <c r="AW11" s="7"/>
      <c r="AX11" s="7"/>
      <c r="AY11" s="7"/>
      <c r="AZ11" s="7"/>
      <c r="BA11" s="7"/>
      <c r="BB11" s="7"/>
      <c r="BC11" s="7"/>
      <c r="BD11" s="7"/>
      <c r="BE11" s="7"/>
      <c r="BF11" s="7"/>
      <c r="BG11" s="7"/>
      <c r="BH11" s="7"/>
      <c r="BI11" s="7"/>
      <c r="BJ11" s="7"/>
      <c r="BK11" s="7"/>
      <c r="BL11" s="7"/>
      <c r="BP11" s="59"/>
      <c r="BQ11" s="59"/>
      <c r="BR11" s="59"/>
      <c r="BS11" s="59"/>
      <c r="BT11" s="59"/>
      <c r="BU11" s="59"/>
      <c r="BV11" s="59"/>
      <c r="BW11" s="59"/>
      <c r="BX11" s="59"/>
      <c r="BY11" s="59"/>
      <c r="BZ11" s="59"/>
      <c r="CA11" s="59"/>
      <c r="CB11" s="59"/>
      <c r="CC11" s="59"/>
      <c r="CD11" s="59"/>
      <c r="CE11" s="59"/>
      <c r="CF11" s="59"/>
      <c r="CG11" s="59"/>
      <c r="CH11" s="59"/>
      <c r="CI11" s="59"/>
      <c r="CJ11" s="59"/>
      <c r="CW11" s="10"/>
      <c r="CX11" s="10"/>
      <c r="CY11" s="10"/>
      <c r="DF11" s="10"/>
      <c r="DG11" s="10"/>
      <c r="DH11" s="10"/>
      <c r="DM11" s="393"/>
      <c r="DN11" s="394"/>
      <c r="DO11" s="394"/>
      <c r="DP11" s="394"/>
      <c r="DQ11" s="394" t="s">
        <v>662</v>
      </c>
      <c r="DR11" s="394"/>
      <c r="DS11" s="394"/>
      <c r="DT11" s="394"/>
      <c r="DU11" s="394"/>
      <c r="DV11" s="697">
        <v>2</v>
      </c>
      <c r="DW11" s="461">
        <f>DK22</f>
        <v>2</v>
      </c>
      <c r="DX11" s="394"/>
      <c r="DY11" s="394"/>
      <c r="DZ11" s="394"/>
      <c r="EA11" s="394"/>
      <c r="EB11" s="394"/>
      <c r="EC11" s="394"/>
      <c r="ED11" s="394"/>
      <c r="EE11" s="394"/>
      <c r="EF11" s="394"/>
      <c r="EG11" s="394"/>
      <c r="EH11" s="394"/>
      <c r="EI11" s="394"/>
      <c r="EJ11" s="394"/>
      <c r="EK11" s="394"/>
      <c r="EL11" s="394"/>
      <c r="EM11" s="394"/>
      <c r="EN11" s="394"/>
      <c r="EO11" s="394"/>
      <c r="EP11" s="394"/>
      <c r="EQ11" s="336"/>
      <c r="ER11" s="7" t="s">
        <v>663</v>
      </c>
      <c r="ES11" s="7">
        <v>2</v>
      </c>
      <c r="ET11" s="106">
        <f>ES11*0.045*ET5</f>
        <v>0.2079</v>
      </c>
      <c r="EU11" s="525">
        <f>ET11/$ES$6</f>
        <v>8.6625000000000001E-3</v>
      </c>
    </row>
    <row r="12" spans="1:178" ht="15" customHeight="1">
      <c r="A12">
        <v>7.9</v>
      </c>
      <c r="B12" t="s">
        <v>66</v>
      </c>
      <c r="C12" s="142">
        <f>Cntrl20-1</f>
        <v>0</v>
      </c>
      <c r="D12" s="559">
        <f>BZ2</f>
        <v>3</v>
      </c>
      <c r="E12" s="172" t="str">
        <f t="shared" si="3"/>
        <v>000</v>
      </c>
      <c r="F12" s="555" t="str">
        <f t="shared" si="4"/>
        <v>1000000001000010100010010011000010</v>
      </c>
      <c r="G12" s="172" t="str">
        <f t="shared" si="5"/>
        <v>100000</v>
      </c>
      <c r="H12">
        <f t="shared" si="6"/>
        <v>32</v>
      </c>
      <c r="I12" s="552" t="str" cm="1">
        <f t="array" ref="I12">IF(H12&lt;&gt;"",INDEX($B$2:$B$66,H12+1),"")</f>
        <v>g</v>
      </c>
      <c r="J12" s="554">
        <f t="shared" si="0"/>
        <v>3</v>
      </c>
      <c r="K12" t="str">
        <f>IF(LEN(K11)&gt;1,RIGHT(K11,LEN(K11)-1),"")</f>
        <v>gEKJMI</v>
      </c>
      <c r="L12" s="2" t="str">
        <f t="shared" si="8"/>
        <v>g</v>
      </c>
      <c r="M12" t="b">
        <f t="shared" si="9"/>
        <v>0</v>
      </c>
      <c r="N12" s="2">
        <f t="shared" si="10"/>
        <v>32</v>
      </c>
      <c r="O12" s="172" t="str">
        <f t="shared" si="1"/>
        <v>100000</v>
      </c>
      <c r="P12" s="177" t="str">
        <f t="shared" si="11"/>
        <v>00000100001010001001001100001000</v>
      </c>
      <c r="Q12" s="172" t="str">
        <f t="shared" si="2"/>
        <v>000</v>
      </c>
      <c r="R12" s="553">
        <f t="shared" si="12"/>
        <v>0</v>
      </c>
      <c r="S12" s="142" t="s">
        <v>664</v>
      </c>
      <c r="T12" s="7"/>
      <c r="U12" s="7"/>
      <c r="V12" s="43" t="s">
        <v>665</v>
      </c>
      <c r="W12" s="12">
        <f>IF(Cntrl19=4,1,0)</f>
        <v>0</v>
      </c>
      <c r="X12" s="7"/>
      <c r="Y12" s="7"/>
      <c r="Z12" s="7"/>
      <c r="AA12" s="7"/>
      <c r="AB12" s="7"/>
      <c r="AC12" s="7"/>
      <c r="AD12" s="7"/>
      <c r="AE12" s="7"/>
      <c r="AF12" s="7"/>
      <c r="AG12" s="7"/>
      <c r="AH12" s="7"/>
      <c r="AI12" s="7"/>
      <c r="AJ12" s="7"/>
      <c r="AK12" s="7"/>
      <c r="AL12" s="7"/>
      <c r="AM12" s="7"/>
      <c r="AN12" s="7"/>
      <c r="AO12" s="7"/>
      <c r="AP12" s="7"/>
      <c r="AQ12" s="7"/>
      <c r="AR12" s="7"/>
      <c r="AS12" s="7"/>
      <c r="AT12" s="7"/>
      <c r="AU12" s="7"/>
      <c r="AV12" s="7"/>
      <c r="AW12" s="7"/>
      <c r="AX12" s="7"/>
      <c r="AY12" s="7"/>
      <c r="AZ12" s="7"/>
      <c r="BA12" s="7"/>
      <c r="BB12" s="7"/>
      <c r="BC12" s="7"/>
      <c r="BD12" s="7"/>
      <c r="BE12" s="7"/>
      <c r="BF12" s="7"/>
      <c r="BG12" s="7"/>
      <c r="BH12" s="7"/>
      <c r="BI12" s="7"/>
      <c r="BJ12" s="7"/>
      <c r="BK12" s="7"/>
      <c r="BL12" s="7"/>
      <c r="BP12" s="59"/>
      <c r="BQ12" s="59"/>
      <c r="BR12" s="59"/>
      <c r="BS12" s="59"/>
      <c r="BT12" s="59"/>
      <c r="BU12" s="59"/>
      <c r="BV12" s="59"/>
      <c r="BW12" s="59"/>
      <c r="BX12" s="59"/>
      <c r="BY12" s="59"/>
      <c r="BZ12" s="59"/>
      <c r="CA12" s="59"/>
      <c r="CB12" s="59"/>
      <c r="CC12" s="59"/>
      <c r="CD12" s="59"/>
      <c r="CE12" s="59"/>
      <c r="CF12" s="59"/>
      <c r="CG12" s="59"/>
      <c r="CH12" s="59"/>
      <c r="CI12" s="59"/>
      <c r="CJ12" s="59"/>
      <c r="CW12" s="10"/>
      <c r="CX12" s="10"/>
      <c r="CY12" s="10"/>
      <c r="DF12" s="10"/>
      <c r="DG12" s="10"/>
      <c r="DH12" s="10"/>
      <c r="DM12" s="393"/>
      <c r="DN12" s="394"/>
      <c r="DO12" s="394"/>
      <c r="DP12" s="394"/>
      <c r="DQ12" s="394"/>
      <c r="DR12" s="394"/>
      <c r="DS12" s="394"/>
      <c r="DT12" s="394"/>
      <c r="DU12" s="394"/>
      <c r="DV12" s="394"/>
      <c r="DW12" s="394"/>
      <c r="DX12" s="394"/>
      <c r="DY12" s="394"/>
      <c r="DZ12" s="394"/>
      <c r="EA12" s="394"/>
      <c r="EB12" s="394"/>
      <c r="EC12" s="394"/>
      <c r="ED12" s="394"/>
      <c r="EE12" s="394"/>
      <c r="EF12" s="394"/>
      <c r="EG12" s="394"/>
      <c r="EH12" s="394"/>
      <c r="EI12" s="394"/>
      <c r="EJ12" s="394"/>
      <c r="EK12" s="394"/>
      <c r="EL12" s="394"/>
      <c r="EM12" s="394"/>
      <c r="EN12" s="394"/>
      <c r="EO12" s="394"/>
      <c r="EP12" s="394"/>
      <c r="EQ12" s="336"/>
      <c r="ER12" s="7" t="s">
        <v>666</v>
      </c>
      <c r="ES12" s="539">
        <f>FQ23</f>
        <v>4</v>
      </c>
      <c r="ET12" s="106">
        <f>ES12*0.045*ET5</f>
        <v>0.4158</v>
      </c>
      <c r="EU12" s="525">
        <f>ET12/$ES$6</f>
        <v>1.7325E-2</v>
      </c>
    </row>
    <row r="13" spans="1:178" ht="15" customHeight="1">
      <c r="A13">
        <v>7.8</v>
      </c>
      <c r="B13" t="s">
        <v>75</v>
      </c>
      <c r="C13" s="142">
        <f>Cntrl6-1</f>
        <v>1</v>
      </c>
      <c r="D13" s="559">
        <f>BW2</f>
        <v>3</v>
      </c>
      <c r="E13" s="172" t="str">
        <f t="shared" si="3"/>
        <v>001</v>
      </c>
      <c r="F13" s="555" t="str">
        <f t="shared" si="4"/>
        <v>0001000010100010010011000010</v>
      </c>
      <c r="G13" s="172" t="str">
        <f t="shared" si="5"/>
        <v>000100</v>
      </c>
      <c r="H13">
        <f t="shared" si="6"/>
        <v>4</v>
      </c>
      <c r="I13" s="552" t="str" cm="1">
        <f t="array" ref="I13">IF(H13&lt;&gt;"",INDEX($B$2:$B$66,H13+1),"")</f>
        <v>E</v>
      </c>
      <c r="J13" s="554">
        <f t="shared" si="0"/>
        <v>3</v>
      </c>
      <c r="K13" t="str">
        <f t="shared" ref="K13:K27" si="13">IF(LEN(K12)&gt;1,RIGHT(K12,LEN(K12)-1),"")</f>
        <v>EKJMI</v>
      </c>
      <c r="L13" s="2" t="str">
        <f t="shared" si="8"/>
        <v>E</v>
      </c>
      <c r="M13" t="b">
        <f t="shared" si="9"/>
        <v>1</v>
      </c>
      <c r="N13" s="2">
        <f t="shared" si="10"/>
        <v>4</v>
      </c>
      <c r="O13" s="172" t="str">
        <f t="shared" si="1"/>
        <v>000100</v>
      </c>
      <c r="P13" s="177" t="str">
        <f t="shared" si="11"/>
        <v>00100001010001001001100001000</v>
      </c>
      <c r="Q13" s="172" t="str">
        <f t="shared" si="2"/>
        <v>001</v>
      </c>
      <c r="R13" s="553">
        <f t="shared" si="12"/>
        <v>1</v>
      </c>
      <c r="S13" s="142" t="s">
        <v>8</v>
      </c>
      <c r="T13" s="7"/>
      <c r="U13" s="7"/>
      <c r="V13" s="43" t="s">
        <v>667</v>
      </c>
      <c r="W13" s="12">
        <f>IF(Cntrl5&gt;2,1,0)</f>
        <v>0</v>
      </c>
      <c r="X13" s="7"/>
      <c r="Y13" s="7"/>
      <c r="Z13" s="7"/>
      <c r="AA13" s="7"/>
      <c r="AB13" s="7"/>
      <c r="AC13" s="7"/>
      <c r="AD13" s="7"/>
      <c r="AE13" s="7"/>
      <c r="AF13" s="7"/>
      <c r="AG13" s="7"/>
      <c r="AH13" s="7"/>
      <c r="AI13" s="7"/>
      <c r="AJ13" s="7"/>
      <c r="AK13" s="7"/>
      <c r="AL13" s="7"/>
      <c r="AM13" s="7"/>
      <c r="AN13" s="7"/>
      <c r="AO13" s="7"/>
      <c r="AP13" s="7"/>
      <c r="AQ13" s="7"/>
      <c r="AR13" s="7"/>
      <c r="AS13" s="7"/>
      <c r="AT13" s="7"/>
      <c r="AU13" s="7"/>
      <c r="AV13" s="7"/>
      <c r="AW13" s="7"/>
      <c r="AX13" s="7"/>
      <c r="AY13" s="7"/>
      <c r="AZ13" s="7"/>
      <c r="BA13" s="7"/>
      <c r="BB13" s="7"/>
      <c r="BC13" s="7"/>
      <c r="BD13" s="7"/>
      <c r="BE13" s="7"/>
      <c r="BF13" s="7"/>
      <c r="BG13" s="7"/>
      <c r="BH13" s="7"/>
      <c r="BI13" s="7"/>
      <c r="BJ13" s="7"/>
      <c r="BK13" s="7"/>
      <c r="BL13" s="7"/>
      <c r="BP13" s="59"/>
      <c r="BQ13" s="59"/>
      <c r="BR13" s="59"/>
      <c r="BS13" s="59"/>
      <c r="BT13" s="59"/>
      <c r="BU13" s="59"/>
      <c r="BV13" s="59"/>
      <c r="BW13" s="59"/>
      <c r="BX13" s="59"/>
      <c r="BY13" s="59"/>
      <c r="BZ13" s="59"/>
      <c r="CA13" s="59"/>
      <c r="CB13" s="59"/>
      <c r="CC13" s="59"/>
      <c r="CD13" s="59"/>
      <c r="CE13" s="59"/>
      <c r="CF13" s="59"/>
      <c r="CG13" s="59"/>
      <c r="CH13" s="59"/>
      <c r="CI13" s="59"/>
      <c r="CJ13" s="59"/>
      <c r="CW13" s="10"/>
      <c r="CX13" s="10"/>
      <c r="CY13" s="10"/>
      <c r="DF13" s="10"/>
      <c r="DG13" s="10"/>
      <c r="DH13" s="10"/>
      <c r="DM13" s="393"/>
      <c r="DN13" s="396"/>
      <c r="DO13" s="397" t="s">
        <v>668</v>
      </c>
      <c r="DP13" s="398"/>
      <c r="DQ13" s="398"/>
      <c r="DR13" s="398"/>
      <c r="DS13" s="398"/>
      <c r="DT13" s="398"/>
      <c r="DU13" s="398"/>
      <c r="DV13" s="398"/>
      <c r="DW13" s="398"/>
      <c r="DX13" s="398"/>
      <c r="DY13" s="398"/>
      <c r="DZ13" s="398"/>
      <c r="EA13" s="493" t="s">
        <v>668</v>
      </c>
      <c r="EB13" s="1005" t="e" cm="1" vm="7">
        <f t="array" ref="EB13">IF(DL1,"",PIC_walls)</f>
        <v>#VALUE!</v>
      </c>
      <c r="EC13" s="1005"/>
      <c r="ED13" s="1005"/>
      <c r="EE13" s="1005"/>
      <c r="EF13" s="1005"/>
      <c r="EG13" s="1005"/>
      <c r="EH13" s="1167" t="s">
        <v>669</v>
      </c>
      <c r="EI13" s="1168"/>
      <c r="EJ13" s="1168"/>
      <c r="EK13" s="395"/>
      <c r="EL13" s="492"/>
      <c r="EM13" s="492"/>
      <c r="EN13" s="509"/>
      <c r="EO13" s="1188" t="s">
        <v>670</v>
      </c>
      <c r="EP13" s="1189"/>
      <c r="EQ13" s="336"/>
      <c r="ER13" s="7" t="s">
        <v>671</v>
      </c>
      <c r="ES13" s="7">
        <v>2</v>
      </c>
      <c r="ET13" s="106">
        <f>ES13*0.045*ES4</f>
        <v>0.89999999999999991</v>
      </c>
      <c r="EU13" s="544">
        <f>ET13/$ES$6</f>
        <v>3.7499999999999999E-2</v>
      </c>
    </row>
    <row r="14" spans="1:178" ht="15.75" customHeight="1">
      <c r="A14">
        <v>7.7</v>
      </c>
      <c r="B14" t="s">
        <v>82</v>
      </c>
      <c r="C14" s="142">
        <f>Cntrl4-1</f>
        <v>0</v>
      </c>
      <c r="D14" s="559">
        <f>BT2</f>
        <v>3</v>
      </c>
      <c r="E14" s="172" t="str">
        <f t="shared" si="3"/>
        <v>000</v>
      </c>
      <c r="F14" s="555" t="str">
        <f t="shared" si="4"/>
        <v>0010100010010011000010</v>
      </c>
      <c r="G14" s="172" t="str">
        <f t="shared" si="5"/>
        <v>001010</v>
      </c>
      <c r="H14">
        <f t="shared" si="6"/>
        <v>10</v>
      </c>
      <c r="I14" s="552" t="str" cm="1">
        <f t="array" ref="I14">IF(H14&lt;&gt;"",INDEX($B$2:$B$66,H14+1),"")</f>
        <v>K</v>
      </c>
      <c r="J14" s="554">
        <f t="shared" si="0"/>
        <v>3</v>
      </c>
      <c r="K14" t="str">
        <f t="shared" si="13"/>
        <v>KJMI</v>
      </c>
      <c r="L14" s="2" t="str">
        <f t="shared" si="8"/>
        <v>K</v>
      </c>
      <c r="M14" t="b">
        <f t="shared" si="9"/>
        <v>1</v>
      </c>
      <c r="N14" s="2">
        <f t="shared" si="10"/>
        <v>10</v>
      </c>
      <c r="O14" s="172" t="str">
        <f t="shared" si="1"/>
        <v>001010</v>
      </c>
      <c r="P14" s="177" t="str">
        <f t="shared" si="11"/>
        <v>00001010001001001100001000</v>
      </c>
      <c r="Q14" s="172" t="str">
        <f t="shared" si="2"/>
        <v>000</v>
      </c>
      <c r="R14" s="553">
        <f t="shared" si="12"/>
        <v>0</v>
      </c>
      <c r="S14" s="142" t="s">
        <v>89</v>
      </c>
      <c r="T14" s="7"/>
      <c r="U14" s="7"/>
      <c r="V14" s="43" t="s">
        <v>672</v>
      </c>
      <c r="W14" s="12">
        <f>IF(Cntrl2&gt;2,1,0)</f>
        <v>0</v>
      </c>
      <c r="X14" s="7"/>
      <c r="Y14" s="7"/>
      <c r="Z14" s="7"/>
      <c r="AA14" s="7"/>
      <c r="AB14" s="7"/>
      <c r="AC14" s="7"/>
      <c r="AD14" s="7"/>
      <c r="AE14" s="7"/>
      <c r="AF14" s="7"/>
      <c r="AG14" s="7"/>
      <c r="AH14" s="7"/>
      <c r="AI14" s="7"/>
      <c r="AJ14" s="7"/>
      <c r="AK14" s="7"/>
      <c r="AL14" s="7"/>
      <c r="AM14" s="7"/>
      <c r="AN14" s="7"/>
      <c r="AO14" s="7"/>
      <c r="AP14" s="7"/>
      <c r="AQ14" s="7"/>
      <c r="AR14" s="7"/>
      <c r="AS14" s="7"/>
      <c r="AT14" s="7"/>
      <c r="AU14" s="7"/>
      <c r="AV14" s="7"/>
      <c r="AW14" s="7"/>
      <c r="AX14" s="7"/>
      <c r="AY14" s="7"/>
      <c r="AZ14" s="7"/>
      <c r="BA14" s="7"/>
      <c r="BB14" s="7"/>
      <c r="BC14" s="7"/>
      <c r="BD14" s="7"/>
      <c r="BE14" s="7"/>
      <c r="BF14" s="7"/>
      <c r="BG14" s="7"/>
      <c r="BH14" s="7"/>
      <c r="BI14" s="7"/>
      <c r="BJ14" s="7"/>
      <c r="BK14" s="7"/>
      <c r="BL14" s="7"/>
      <c r="BP14" s="59"/>
      <c r="BQ14" s="59"/>
      <c r="BR14" s="59"/>
      <c r="BS14" s="59"/>
      <c r="BT14" s="59"/>
      <c r="BU14" s="59"/>
      <c r="BV14" s="59"/>
      <c r="BW14" s="59"/>
      <c r="BX14" s="59"/>
      <c r="BY14" s="59"/>
      <c r="BZ14" s="59"/>
      <c r="CA14" s="59"/>
      <c r="CB14" s="59"/>
      <c r="CC14" s="59"/>
      <c r="CD14" s="59"/>
      <c r="CE14" s="59"/>
      <c r="CF14" s="59"/>
      <c r="CG14" s="59"/>
      <c r="CH14" s="59"/>
      <c r="CI14" s="59"/>
      <c r="CJ14" s="59"/>
      <c r="CW14" s="10"/>
      <c r="CX14" s="10"/>
      <c r="CY14" s="10"/>
      <c r="DF14" s="10"/>
      <c r="DG14" s="10"/>
      <c r="DH14" s="10"/>
      <c r="DM14" s="393"/>
      <c r="DN14" s="399"/>
      <c r="DO14" s="494" t="s">
        <v>673</v>
      </c>
      <c r="DP14" s="1126" cm="1">
        <f t="array" ref="DP14">IF(Cntrl3=1,0,IF(Cntrl9=2,0.18,INDEX($AM$25:$AM$31,$U$23)+$BQ$29*(Cntrl9-4)))</f>
        <v>0.18</v>
      </c>
      <c r="DQ14" s="1126">
        <f>DP14+$AN$21</f>
        <v>0.18</v>
      </c>
      <c r="DR14" s="1126">
        <f t="shared" ref="DR14:DY14" si="14">DQ14+$AN$21</f>
        <v>0.18</v>
      </c>
      <c r="DS14" s="1126">
        <f t="shared" si="14"/>
        <v>0.18</v>
      </c>
      <c r="DT14" s="1126">
        <f t="shared" si="14"/>
        <v>0.18</v>
      </c>
      <c r="DU14" s="1126">
        <f t="shared" si="14"/>
        <v>0.18</v>
      </c>
      <c r="DV14" s="1126">
        <f t="shared" si="14"/>
        <v>0.18</v>
      </c>
      <c r="DW14" s="1126">
        <f t="shared" si="14"/>
        <v>0.18</v>
      </c>
      <c r="DX14" s="1126">
        <f t="shared" si="14"/>
        <v>0.18</v>
      </c>
      <c r="DY14" s="1126">
        <f t="shared" si="14"/>
        <v>0.18</v>
      </c>
      <c r="DZ14" s="1126">
        <f>DY14+$AN$21</f>
        <v>0.18</v>
      </c>
      <c r="EA14" s="495" t="s">
        <v>673</v>
      </c>
      <c r="EB14" s="1005"/>
      <c r="EC14" s="1005"/>
      <c r="ED14" s="1005"/>
      <c r="EE14" s="1005"/>
      <c r="EF14" s="1005"/>
      <c r="EG14" s="1005"/>
      <c r="EH14" s="1169"/>
      <c r="EI14" s="1170"/>
      <c r="EJ14" s="1170"/>
      <c r="EK14" s="642">
        <v>2.4</v>
      </c>
      <c r="EL14" s="462" t="str">
        <f>IF(ISBLANK(WebCntrl10),"",CM23)</f>
        <v>0.2</v>
      </c>
      <c r="EM14" s="389"/>
      <c r="EN14" s="510"/>
      <c r="EO14" s="1190"/>
      <c r="EP14" s="1191"/>
      <c r="EQ14" s="336"/>
      <c r="ER14" s="7" t="s">
        <v>606</v>
      </c>
      <c r="ES14" s="539">
        <f>FN23</f>
        <v>3</v>
      </c>
      <c r="ET14" s="106">
        <f>ES14*0.045*ET4-ES14*(ES10+ES12)*0.045*0.045</f>
        <v>1.2163500000000003</v>
      </c>
      <c r="EU14" s="544">
        <f>ET14/$ES$6</f>
        <v>5.0681250000000011E-2</v>
      </c>
    </row>
    <row r="15" spans="1:178" ht="15.75" customHeight="1">
      <c r="A15">
        <v>7.6</v>
      </c>
      <c r="B15" t="s">
        <v>88</v>
      </c>
      <c r="C15" s="142">
        <f>Cntrl9-1</f>
        <v>1</v>
      </c>
      <c r="D15" s="559">
        <f>BQ2</f>
        <v>2</v>
      </c>
      <c r="E15" s="172" t="str">
        <f t="shared" si="3"/>
        <v>01</v>
      </c>
      <c r="F15" s="555" t="str">
        <f>IF(LEN(F14)&gt;=6,RIGHT(F14,LEN(F14)-6),"")</f>
        <v>0010010011000010</v>
      </c>
      <c r="G15" s="172" t="str">
        <f t="shared" si="5"/>
        <v>001001</v>
      </c>
      <c r="H15">
        <f t="shared" si="6"/>
        <v>9</v>
      </c>
      <c r="I15" s="552" t="str" cm="1">
        <f t="array" ref="I15">IF(H15&lt;&gt;"",INDEX($B$2:$B$66,H15+1),"")</f>
        <v>J</v>
      </c>
      <c r="J15" s="554">
        <f t="shared" si="0"/>
        <v>2</v>
      </c>
      <c r="K15" t="str">
        <f t="shared" si="13"/>
        <v>JMI</v>
      </c>
      <c r="L15" s="2" t="str">
        <f t="shared" si="8"/>
        <v>J</v>
      </c>
      <c r="M15" t="b">
        <f t="shared" si="9"/>
        <v>1</v>
      </c>
      <c r="N15" s="2">
        <f t="shared" si="10"/>
        <v>9</v>
      </c>
      <c r="O15" s="172" t="str">
        <f t="shared" si="1"/>
        <v>001001</v>
      </c>
      <c r="P15" s="177" t="str">
        <f t="shared" si="11"/>
        <v>01010001001001100001000</v>
      </c>
      <c r="Q15" s="172" t="str">
        <f t="shared" si="2"/>
        <v>01</v>
      </c>
      <c r="R15" s="553">
        <f t="shared" si="12"/>
        <v>1</v>
      </c>
      <c r="S15" s="142" t="s">
        <v>44</v>
      </c>
      <c r="T15" s="7"/>
      <c r="U15" s="7"/>
      <c r="V15" s="43" t="s">
        <v>674</v>
      </c>
      <c r="W15" s="12">
        <f>IF(Cntrl2=10,1,0)</f>
        <v>0</v>
      </c>
      <c r="X15" s="7" t="str">
        <f>IF(W15,"insulated RAB","")</f>
        <v/>
      </c>
      <c r="Y15" s="7"/>
      <c r="Z15" s="7"/>
      <c r="AA15" s="7"/>
      <c r="AB15" s="7"/>
      <c r="AC15" s="7"/>
      <c r="AD15" s="7"/>
      <c r="AE15" s="7"/>
      <c r="AF15" s="7"/>
      <c r="AG15" s="7"/>
      <c r="AH15" s="7"/>
      <c r="AI15" s="7"/>
      <c r="AJ15" s="7"/>
      <c r="AK15" s="7"/>
      <c r="AL15" s="7"/>
      <c r="AM15" s="7"/>
      <c r="AN15" s="7"/>
      <c r="AO15" s="7"/>
      <c r="AP15" s="7"/>
      <c r="AQ15" s="7"/>
      <c r="AR15" s="7"/>
      <c r="AS15" s="7"/>
      <c r="AT15" s="7"/>
      <c r="AU15" s="7"/>
      <c r="AV15" s="7"/>
      <c r="AW15" s="7"/>
      <c r="AX15" s="7"/>
      <c r="AY15" s="7"/>
      <c r="AZ15" s="7"/>
      <c r="BA15" s="7"/>
      <c r="BB15" s="7"/>
      <c r="BC15" s="7"/>
      <c r="BD15" s="7"/>
      <c r="BE15" s="7"/>
      <c r="BF15" s="7"/>
      <c r="BG15" s="7"/>
      <c r="BH15" s="7"/>
      <c r="BI15" s="7"/>
      <c r="BJ15" s="7"/>
      <c r="BK15" s="7"/>
      <c r="BL15" s="7"/>
      <c r="BP15" s="59"/>
      <c r="BQ15" s="59"/>
      <c r="BR15" s="59"/>
      <c r="BS15" s="59"/>
      <c r="BT15" s="59"/>
      <c r="BU15" s="59"/>
      <c r="BV15" s="59"/>
      <c r="BW15" s="59"/>
      <c r="BX15" s="59" t="b">
        <f>AND(Cntrl6&lt;&gt;2,NOT(AND(Cntrl12-1,Cntrl16-1,Cntrl17-1,Cntrl20-1)))</f>
        <v>0</v>
      </c>
      <c r="BY15" s="59"/>
      <c r="BZ15" s="59"/>
      <c r="CA15" s="59"/>
      <c r="CB15" s="59"/>
      <c r="CC15" s="59"/>
      <c r="CD15" s="59"/>
      <c r="CE15" s="59"/>
      <c r="CF15" s="59"/>
      <c r="CG15" s="59"/>
      <c r="CH15" s="59"/>
      <c r="CI15" s="59" t="b">
        <f>AND(Cntrl18&lt;&gt;2,NOT(AND(Cntrl13-1,Cntrl14-1,Cntrl15-1,Cntrl21-1)))</f>
        <v>0</v>
      </c>
      <c r="CJ15" s="59"/>
      <c r="CW15" s="10"/>
      <c r="CX15" s="10"/>
      <c r="CY15" s="10"/>
      <c r="DF15" s="10"/>
      <c r="DG15" s="10"/>
      <c r="DH15" s="10"/>
      <c r="DM15" s="393"/>
      <c r="DN15" s="399"/>
      <c r="DO15" s="496" t="s">
        <v>675</v>
      </c>
      <c r="DP15" s="1126"/>
      <c r="DQ15" s="1126"/>
      <c r="DR15" s="1126"/>
      <c r="DS15" s="1126"/>
      <c r="DT15" s="1126"/>
      <c r="DU15" s="1126"/>
      <c r="DV15" s="1126"/>
      <c r="DW15" s="1126"/>
      <c r="DX15" s="1126"/>
      <c r="DY15" s="1126"/>
      <c r="DZ15" s="1126"/>
      <c r="EA15" s="497" t="s">
        <v>675</v>
      </c>
      <c r="EB15" s="1005"/>
      <c r="EC15" s="1005"/>
      <c r="ED15" s="1005"/>
      <c r="EE15" s="1005"/>
      <c r="EF15" s="1005"/>
      <c r="EG15" s="1005"/>
      <c r="EH15" s="1169"/>
      <c r="EI15" s="1170"/>
      <c r="EJ15" s="1170"/>
      <c r="EK15" s="389"/>
      <c r="EL15" s="389"/>
      <c r="EM15" s="389"/>
      <c r="EN15" s="510"/>
      <c r="EO15" s="1190"/>
      <c r="EP15" s="1191"/>
      <c r="EQ15" s="336"/>
    </row>
    <row r="16" spans="1:178" ht="15.75" customHeight="1">
      <c r="A16">
        <v>7.5</v>
      </c>
      <c r="B16" t="s">
        <v>96</v>
      </c>
      <c r="C16" s="142">
        <f>Cntrl19-1</f>
        <v>1</v>
      </c>
      <c r="D16" s="559">
        <f>BN2</f>
        <v>2</v>
      </c>
      <c r="E16" s="172" t="str">
        <f t="shared" si="3"/>
        <v>01</v>
      </c>
      <c r="F16" s="555" t="str">
        <f t="shared" ref="F16:F27" si="15">IF(LEN(F15)&gt;=6,RIGHT(F15,LEN(F15)-6),"")</f>
        <v>0011000010</v>
      </c>
      <c r="G16" s="172" t="str">
        <f t="shared" si="5"/>
        <v>001100</v>
      </c>
      <c r="H16">
        <f t="shared" si="6"/>
        <v>12</v>
      </c>
      <c r="I16" s="552" t="str" cm="1">
        <f t="array" ref="I16">IF(H16&lt;&gt;"",INDEX($B$2:$B$66,H16+1),"")</f>
        <v>M</v>
      </c>
      <c r="J16" s="554">
        <f t="shared" si="0"/>
        <v>2</v>
      </c>
      <c r="K16" t="str">
        <f t="shared" si="13"/>
        <v>MI</v>
      </c>
      <c r="L16" s="2" t="str">
        <f t="shared" si="8"/>
        <v>M</v>
      </c>
      <c r="M16" t="b">
        <f t="shared" si="9"/>
        <v>1</v>
      </c>
      <c r="N16" s="2">
        <f t="shared" si="10"/>
        <v>12</v>
      </c>
      <c r="O16" s="172" t="str">
        <f t="shared" si="1"/>
        <v>001100</v>
      </c>
      <c r="P16" s="177" t="str">
        <f t="shared" si="11"/>
        <v>010001001001100001000</v>
      </c>
      <c r="Q16" s="172" t="str">
        <f t="shared" si="2"/>
        <v>01</v>
      </c>
      <c r="R16" s="553">
        <f t="shared" si="12"/>
        <v>1</v>
      </c>
      <c r="S16" s="142" t="s">
        <v>676</v>
      </c>
      <c r="T16" s="7"/>
      <c r="U16" s="7"/>
      <c r="V16" s="43" t="s">
        <v>677</v>
      </c>
      <c r="W16" s="12">
        <f>IF(Cntrl18&gt;2,1,0)</f>
        <v>0</v>
      </c>
      <c r="X16" s="290" t="str">
        <f>IF(AND(W16,NOT(W12)),"direct fixed EIL","")</f>
        <v/>
      </c>
      <c r="Y16" s="7"/>
      <c r="Z16" s="7"/>
      <c r="AA16" s="7"/>
      <c r="AB16" s="7"/>
      <c r="AC16" s="7"/>
      <c r="AD16" s="7"/>
      <c r="AE16" s="7"/>
      <c r="AF16" s="7"/>
      <c r="AG16" s="7"/>
      <c r="AH16" s="7"/>
      <c r="AI16" s="7"/>
      <c r="AJ16" s="7"/>
      <c r="AK16" s="7"/>
      <c r="AL16" s="7"/>
      <c r="AM16" s="7"/>
      <c r="AN16" s="7"/>
      <c r="AO16" s="7"/>
      <c r="AP16" s="7"/>
      <c r="AQ16" s="7"/>
      <c r="AR16" s="7"/>
      <c r="AS16" s="7"/>
      <c r="AT16" s="7"/>
      <c r="AU16" s="7"/>
      <c r="AV16" s="7"/>
      <c r="AW16" s="7"/>
      <c r="AX16" s="7"/>
      <c r="AY16" s="7"/>
      <c r="AZ16" s="7"/>
      <c r="BA16" s="7"/>
      <c r="BB16" s="7"/>
      <c r="BC16" s="7"/>
      <c r="BD16" s="7"/>
      <c r="BE16" s="7"/>
      <c r="BF16" s="7"/>
      <c r="BG16" s="7"/>
      <c r="BH16" s="7"/>
      <c r="BI16" s="7"/>
      <c r="BJ16" s="7"/>
      <c r="BK16" s="7"/>
      <c r="BL16" s="7"/>
      <c r="BP16" s="59"/>
      <c r="BQ16" s="59"/>
      <c r="BR16" s="59"/>
      <c r="BS16" s="59"/>
      <c r="BT16" s="59"/>
      <c r="BU16" s="638"/>
      <c r="BV16" s="59"/>
      <c r="BW16" s="59"/>
      <c r="BX16" s="80" t="b">
        <f>OR(BX17,BX18,BX19)</f>
        <v>0</v>
      </c>
      <c r="BY16" s="59" t="s">
        <v>678</v>
      </c>
      <c r="BZ16" s="59" t="b">
        <f>OR(Cntrl6=4,Cntrl6=6)</f>
        <v>0</v>
      </c>
      <c r="CA16" s="59" t="b">
        <f>OR(ISBLANK(WebCntrl17),ISBLANK(WebCntrl18))</f>
        <v>0</v>
      </c>
      <c r="CC16" s="59"/>
      <c r="CD16" s="59"/>
      <c r="CE16" s="59"/>
      <c r="CF16" s="59"/>
      <c r="CG16" s="59"/>
      <c r="CH16" s="59"/>
      <c r="CI16" s="80" t="b">
        <f>OR(CI17,CI18,CI19)</f>
        <v>0</v>
      </c>
      <c r="CJ16" s="59" t="s">
        <v>678</v>
      </c>
      <c r="CK16" s="59" t="b">
        <f>OR(Cntrl18=4,Cntrl18=6)</f>
        <v>0</v>
      </c>
      <c r="CL16" s="59" t="b">
        <f>OR(ISBLANK(WebCntrl14),ISBLANK(WebCntrl15))</f>
        <v>0</v>
      </c>
      <c r="CW16" s="10"/>
      <c r="CX16" s="10"/>
      <c r="CY16" s="10"/>
      <c r="DF16" s="10"/>
      <c r="DG16" s="10"/>
      <c r="DH16" s="10"/>
      <c r="DM16" s="393"/>
      <c r="DN16" s="401"/>
      <c r="DO16" s="498">
        <v>56</v>
      </c>
      <c r="DP16" s="402">
        <f t="shared" ref="DP16:DZ25" si="16">IF($DL$1,"",(aa*DP$14^2+ab*DP$14+ac)*$DO16^2+(ba*DP$14^2+bb*DP$14+bc)*$DO16+(ca*DP$14^2+cb*DP$14+cc)+$AO$1)</f>
        <v>1.0711315016109584</v>
      </c>
      <c r="DQ16" s="402">
        <f t="shared" si="16"/>
        <v>1.0711315016109584</v>
      </c>
      <c r="DR16" s="402">
        <f t="shared" si="16"/>
        <v>1.0711315016109584</v>
      </c>
      <c r="DS16" s="402">
        <f t="shared" si="16"/>
        <v>1.0711315016109584</v>
      </c>
      <c r="DT16" s="402">
        <f t="shared" si="16"/>
        <v>1.0711315016109584</v>
      </c>
      <c r="DU16" s="402">
        <f t="shared" si="16"/>
        <v>1.0711315016109584</v>
      </c>
      <c r="DV16" s="402">
        <f t="shared" si="16"/>
        <v>1.0711315016109584</v>
      </c>
      <c r="DW16" s="402">
        <f t="shared" si="16"/>
        <v>1.0711315016109584</v>
      </c>
      <c r="DX16" s="402">
        <f t="shared" si="16"/>
        <v>1.0711315016109584</v>
      </c>
      <c r="DY16" s="402">
        <f t="shared" si="16"/>
        <v>1.0711315016109584</v>
      </c>
      <c r="DZ16" s="402">
        <f t="shared" si="16"/>
        <v>1.0711315016109584</v>
      </c>
      <c r="EA16" s="499">
        <v>56</v>
      </c>
      <c r="EB16" s="1005"/>
      <c r="EC16" s="1005"/>
      <c r="ED16" s="1005"/>
      <c r="EE16" s="1005"/>
      <c r="EF16" s="1005"/>
      <c r="EG16" s="1005"/>
      <c r="EH16" s="400"/>
      <c r="EI16" s="333"/>
      <c r="EJ16" s="333"/>
      <c r="EK16" s="334"/>
      <c r="EL16" s="334"/>
      <c r="EM16" s="334"/>
      <c r="EN16" s="511"/>
      <c r="EO16" s="1190"/>
      <c r="EP16" s="1191"/>
      <c r="EQ16" s="336"/>
      <c r="ER16" s="7" t="s">
        <v>652</v>
      </c>
      <c r="ET16" s="106">
        <f>SUM(ET10:ET14)</f>
        <v>4.4032499999999999</v>
      </c>
      <c r="EU16" s="526">
        <f>SUM(EU10:EU14)</f>
        <v>0.18346875000000001</v>
      </c>
    </row>
    <row r="17" spans="1:192" ht="15.75" customHeight="1">
      <c r="A17">
        <v>7.4</v>
      </c>
      <c r="B17" t="s">
        <v>103</v>
      </c>
      <c r="C17" s="142">
        <f>Cntrl2-1</f>
        <v>1</v>
      </c>
      <c r="D17" s="559">
        <f>BJ2</f>
        <v>4</v>
      </c>
      <c r="E17" s="172" t="str">
        <f t="shared" si="3"/>
        <v>0001</v>
      </c>
      <c r="F17" s="555" t="str">
        <f t="shared" si="15"/>
        <v>0010</v>
      </c>
      <c r="G17" s="172" t="str">
        <f t="shared" si="5"/>
        <v>001000</v>
      </c>
      <c r="H17">
        <f t="shared" si="6"/>
        <v>8</v>
      </c>
      <c r="I17" s="552" t="str" cm="1">
        <f t="array" ref="I17">IF(H17&lt;&gt;"",INDEX($B$2:$B$66,H17+1),"")</f>
        <v>I</v>
      </c>
      <c r="J17" s="554">
        <f t="shared" si="0"/>
        <v>4</v>
      </c>
      <c r="K17" t="str">
        <f t="shared" si="13"/>
        <v>I</v>
      </c>
      <c r="L17" s="2" t="str">
        <f t="shared" si="8"/>
        <v>I</v>
      </c>
      <c r="M17" t="b">
        <f t="shared" si="9"/>
        <v>1</v>
      </c>
      <c r="N17" s="2">
        <f t="shared" si="10"/>
        <v>8</v>
      </c>
      <c r="O17" s="172" t="str">
        <f t="shared" si="1"/>
        <v>001000</v>
      </c>
      <c r="P17" s="177" t="str">
        <f t="shared" si="11"/>
        <v>0001001001100001000</v>
      </c>
      <c r="Q17" s="172" t="str">
        <f t="shared" si="2"/>
        <v>0001</v>
      </c>
      <c r="R17" s="553">
        <f t="shared" si="12"/>
        <v>1</v>
      </c>
      <c r="S17" s="142" t="s">
        <v>83</v>
      </c>
      <c r="T17" s="7"/>
      <c r="U17" s="7"/>
      <c r="V17" s="43" t="s">
        <v>679</v>
      </c>
      <c r="W17" s="12">
        <f>IF(Cntrl18&gt;5,1,0)</f>
        <v>0</v>
      </c>
      <c r="X17" s="7"/>
      <c r="Y17" s="7"/>
      <c r="Z17" s="7"/>
      <c r="AA17" s="7"/>
      <c r="AB17" s="7"/>
      <c r="AC17" s="7"/>
      <c r="AD17" s="7"/>
      <c r="AE17" s="7"/>
      <c r="AF17" s="7"/>
      <c r="AG17" s="7"/>
      <c r="AH17" s="7"/>
      <c r="AI17" s="7"/>
      <c r="AJ17" s="7"/>
      <c r="AK17" s="7"/>
      <c r="AL17" s="7"/>
      <c r="AM17" s="7"/>
      <c r="AN17" s="7"/>
      <c r="AO17" s="7"/>
      <c r="AP17" s="7"/>
      <c r="AQ17" s="7"/>
      <c r="AR17" s="7"/>
      <c r="AS17" s="7"/>
      <c r="AT17" s="7"/>
      <c r="AU17" s="7"/>
      <c r="AV17" s="7"/>
      <c r="AW17" s="7"/>
      <c r="AX17" s="7"/>
      <c r="AY17" s="7"/>
      <c r="AZ17" s="7"/>
      <c r="BA17" s="7"/>
      <c r="BB17" s="7"/>
      <c r="BC17" s="7" t="s">
        <v>680</v>
      </c>
      <c r="BD17" s="7" t="b">
        <f>OR(Cntrl3=4,Cntrl3=5)</f>
        <v>0</v>
      </c>
      <c r="BE17" s="7"/>
      <c r="BF17" s="7"/>
      <c r="BG17" s="7"/>
      <c r="BH17" s="7"/>
      <c r="BI17" s="7"/>
      <c r="BJ17" s="7"/>
      <c r="BK17" s="7"/>
      <c r="BL17" s="7"/>
      <c r="BP17" s="59"/>
      <c r="BQ17" s="59"/>
      <c r="BR17" s="59"/>
      <c r="BS17" s="59"/>
      <c r="BT17" s="59"/>
      <c r="BU17" s="80" t="b">
        <f>AND(OR(Cntrl3=4,Cntrl3=5),NOT(Cntrl4-1))</f>
        <v>0</v>
      </c>
      <c r="BV17" s="59"/>
      <c r="BW17" s="59"/>
      <c r="BX17" s="638" t="b">
        <f>AND(Cntrl6=3,NOT(Cntrl12-1))</f>
        <v>0</v>
      </c>
      <c r="BY17" s="59" t="s">
        <v>680</v>
      </c>
      <c r="BZ17" s="59" t="b">
        <f>OR(Cntrl6=5,Cntrl6=7)</f>
        <v>0</v>
      </c>
      <c r="CA17" s="59" t="b">
        <f>OR(ISBLANK(WebCntrl17),ISBLANK(WebCntrl18),ISBLANK(WebCntrl19))</f>
        <v>0</v>
      </c>
      <c r="CC17" s="59"/>
      <c r="CD17" s="59"/>
      <c r="CE17" s="59"/>
      <c r="CF17" s="59"/>
      <c r="CG17" s="59"/>
      <c r="CH17" s="59"/>
      <c r="CI17" s="638" t="b">
        <f>AND(Cntrl18=3,NOT(Cntrl13-1))</f>
        <v>0</v>
      </c>
      <c r="CJ17" s="59" t="s">
        <v>680</v>
      </c>
      <c r="CK17" s="59" t="b">
        <f>OR(Cntrl18=5,Cntrl18=7)</f>
        <v>0</v>
      </c>
      <c r="CL17" s="59" t="b">
        <f>OR(ISBLANK(WebCntrl14),ISBLANK(WebCntrl15),ISBLANK(WebCntrl16))</f>
        <v>0</v>
      </c>
      <c r="CW17" s="10"/>
      <c r="CX17" s="10"/>
      <c r="CY17" s="10"/>
      <c r="DF17" s="10"/>
      <c r="DG17" s="10"/>
      <c r="DH17" s="10"/>
      <c r="DM17" s="393"/>
      <c r="DN17" s="401"/>
      <c r="DO17" s="498">
        <v>54</v>
      </c>
      <c r="DP17" s="402">
        <f t="shared" si="16"/>
        <v>1.0676963634725167</v>
      </c>
      <c r="DQ17" s="402">
        <f t="shared" si="16"/>
        <v>1.0676963634725167</v>
      </c>
      <c r="DR17" s="402">
        <f t="shared" si="16"/>
        <v>1.0676963634725167</v>
      </c>
      <c r="DS17" s="402">
        <f t="shared" si="16"/>
        <v>1.0676963634725167</v>
      </c>
      <c r="DT17" s="402">
        <f t="shared" si="16"/>
        <v>1.0676963634725167</v>
      </c>
      <c r="DU17" s="402">
        <f t="shared" si="16"/>
        <v>1.0676963634725167</v>
      </c>
      <c r="DV17" s="402">
        <f t="shared" si="16"/>
        <v>1.0676963634725167</v>
      </c>
      <c r="DW17" s="402">
        <f t="shared" si="16"/>
        <v>1.0676963634725167</v>
      </c>
      <c r="DX17" s="402">
        <f t="shared" si="16"/>
        <v>1.0676963634725167</v>
      </c>
      <c r="DY17" s="402">
        <f t="shared" si="16"/>
        <v>1.0676963634725167</v>
      </c>
      <c r="DZ17" s="402">
        <f t="shared" si="16"/>
        <v>1.0676963634725167</v>
      </c>
      <c r="EA17" s="499">
        <v>54</v>
      </c>
      <c r="EB17" s="1005"/>
      <c r="EC17" s="1005"/>
      <c r="ED17" s="1005"/>
      <c r="EE17" s="1005"/>
      <c r="EF17" s="1005"/>
      <c r="EG17" s="1005"/>
      <c r="EH17" s="1033" t="s">
        <v>681</v>
      </c>
      <c r="EI17" s="1007"/>
      <c r="EJ17" s="1008"/>
      <c r="EK17" s="331">
        <v>30</v>
      </c>
      <c r="EL17" s="466">
        <f>IF(ISBLANK(WebCntrl8),"",CP23)</f>
        <v>34</v>
      </c>
      <c r="EM17" s="334"/>
      <c r="EN17" s="511"/>
      <c r="EO17" s="1192">
        <f>IF($DL$1,"",(aa*CM23^2+ab*CM23+ac)*CP23^2+(ba*CM23^2+bb*CM23+bc)*CP23+(ca*CM23^2+cb*CM23+cc))</f>
        <v>0.97795439702120457</v>
      </c>
      <c r="EP17" s="1193"/>
      <c r="EQ17" s="336"/>
    </row>
    <row r="18" spans="1:192" ht="15.75" customHeight="1">
      <c r="A18">
        <v>7.3</v>
      </c>
      <c r="B18" t="s">
        <v>108</v>
      </c>
      <c r="C18" s="578">
        <f>Cntrl5-1</f>
        <v>1</v>
      </c>
      <c r="D18" s="554">
        <f>BF2</f>
        <v>3</v>
      </c>
      <c r="E18" s="172" t="str">
        <f t="shared" si="3"/>
        <v>001</v>
      </c>
      <c r="F18" s="555" t="str">
        <f t="shared" si="15"/>
        <v/>
      </c>
      <c r="G18" s="172" t="str">
        <f t="shared" si="5"/>
        <v/>
      </c>
      <c r="H18" t="str">
        <f t="shared" si="6"/>
        <v/>
      </c>
      <c r="I18" s="552" t="str" cm="1">
        <f t="array" ref="I18">IF(H18&lt;&gt;"",INDEX($B$2:$B$66,H18+1),"")</f>
        <v/>
      </c>
      <c r="J18" s="554">
        <f t="shared" si="0"/>
        <v>3</v>
      </c>
      <c r="K18" t="str">
        <f t="shared" si="13"/>
        <v/>
      </c>
      <c r="L18" s="2" t="str">
        <f t="shared" si="8"/>
        <v/>
      </c>
      <c r="M18" t="str">
        <f t="shared" si="9"/>
        <v/>
      </c>
      <c r="N18" s="2" t="str">
        <f t="shared" si="10"/>
        <v/>
      </c>
      <c r="O18" s="172" t="str">
        <f t="shared" si="1"/>
        <v/>
      </c>
      <c r="P18" s="177" t="str">
        <f t="shared" si="11"/>
        <v>001001100001000</v>
      </c>
      <c r="Q18" s="172" t="str">
        <f t="shared" si="2"/>
        <v>001</v>
      </c>
      <c r="R18" s="553">
        <f t="shared" si="12"/>
        <v>1</v>
      </c>
      <c r="S18" s="578" t="s">
        <v>57</v>
      </c>
      <c r="T18" s="7"/>
      <c r="U18" s="12"/>
      <c r="V18" s="43" t="s">
        <v>682</v>
      </c>
      <c r="W18" s="12">
        <f>IF(Cntrl6&gt;2,1,0)</f>
        <v>0</v>
      </c>
      <c r="X18" s="77"/>
      <c r="Y18" s="77"/>
      <c r="Z18" s="77"/>
      <c r="AA18" s="77"/>
      <c r="AB18" s="77"/>
      <c r="AC18" s="77"/>
      <c r="AD18" s="77"/>
      <c r="AE18" s="77"/>
      <c r="AF18" s="18"/>
      <c r="AG18" s="7"/>
      <c r="AH18" s="18">
        <f>IF(($AG$26+0.147+0.047*LN($AG$26))&lt;$AG$26,$AG$26,$AG$26+0.147+0.047*LN($AG$26))</f>
        <v>0.21045788636761453</v>
      </c>
      <c r="AI18" s="12"/>
      <c r="AJ18" s="992">
        <f>IF(($AJ$24+0.147+0.047*LN($AJ$24))&lt;$AJ$24,$AJ$24,$AJ$24+0.147+0.047*LN($AJ$24))</f>
        <v>2E-3</v>
      </c>
      <c r="AK18" s="992"/>
      <c r="AL18" s="12"/>
      <c r="AM18" s="63"/>
      <c r="AN18" s="18"/>
      <c r="AO18" s="43"/>
      <c r="AP18" s="43"/>
      <c r="AQ18" s="43"/>
      <c r="AR18" s="43"/>
      <c r="AS18" s="43"/>
      <c r="AT18" s="43"/>
      <c r="AU18" s="43"/>
      <c r="AV18" s="43"/>
      <c r="AW18" s="43"/>
      <c r="AX18" s="43"/>
      <c r="AY18" s="43"/>
      <c r="AZ18" s="43"/>
      <c r="BA18" s="43"/>
      <c r="BB18" s="43"/>
      <c r="BC18" s="43"/>
      <c r="BD18" s="43"/>
      <c r="BE18" s="43"/>
      <c r="BF18" s="43"/>
      <c r="BG18" s="43"/>
      <c r="BH18" s="43"/>
      <c r="BI18" s="43"/>
      <c r="BJ18" s="43"/>
      <c r="BK18" s="43"/>
      <c r="BL18" s="43"/>
      <c r="BP18" s="59"/>
      <c r="BQ18" s="59"/>
      <c r="BR18" s="59"/>
      <c r="BS18" s="59"/>
      <c r="BT18" s="59"/>
      <c r="BV18" s="59"/>
      <c r="BW18" s="59"/>
      <c r="BX18" s="572" t="b">
        <f>AND(OR(Cntrl6=4,Cntrl6=5),NOT(AND(Cntrl12-1,Cntrl16-1,Cntrl17-1)))</f>
        <v>0</v>
      </c>
      <c r="BY18" s="59"/>
      <c r="CA18" s="59"/>
      <c r="CB18" s="59"/>
      <c r="CC18" s="59"/>
      <c r="CD18" s="59"/>
      <c r="CE18" s="59"/>
      <c r="CF18" s="59"/>
      <c r="CG18" s="59"/>
      <c r="CH18" s="59"/>
      <c r="CI18" s="572" t="b">
        <f>AND(OR(Cntrl18=4,Cntrl18=5),NOT(AND(Cntrl13-1,Cntrl14-1,Cntrl15-1)))</f>
        <v>0</v>
      </c>
      <c r="CJ18" s="59"/>
      <c r="CW18" s="10"/>
      <c r="CX18" s="10"/>
      <c r="CY18" s="10"/>
      <c r="DF18" s="10"/>
      <c r="DG18" s="10"/>
      <c r="DH18" s="10"/>
      <c r="DM18" s="393"/>
      <c r="DN18" s="401"/>
      <c r="DO18" s="498">
        <v>52</v>
      </c>
      <c r="DP18" s="402">
        <f t="shared" si="16"/>
        <v>1.0630731954382431</v>
      </c>
      <c r="DQ18" s="402">
        <f t="shared" si="16"/>
        <v>1.0630731954382431</v>
      </c>
      <c r="DR18" s="402">
        <f t="shared" si="16"/>
        <v>1.0630731954382431</v>
      </c>
      <c r="DS18" s="402">
        <f t="shared" si="16"/>
        <v>1.0630731954382431</v>
      </c>
      <c r="DT18" s="402">
        <f t="shared" si="16"/>
        <v>1.0630731954382431</v>
      </c>
      <c r="DU18" s="402">
        <f t="shared" si="16"/>
        <v>1.0630731954382431</v>
      </c>
      <c r="DV18" s="402">
        <f t="shared" si="16"/>
        <v>1.0630731954382431</v>
      </c>
      <c r="DW18" s="402">
        <f t="shared" si="16"/>
        <v>1.0630731954382431</v>
      </c>
      <c r="DX18" s="402">
        <f t="shared" si="16"/>
        <v>1.0630731954382431</v>
      </c>
      <c r="DY18" s="402">
        <f t="shared" si="16"/>
        <v>1.0630731954382431</v>
      </c>
      <c r="DZ18" s="402">
        <f t="shared" si="16"/>
        <v>1.0630731954382431</v>
      </c>
      <c r="EA18" s="499">
        <v>52</v>
      </c>
      <c r="EB18" s="1005"/>
      <c r="EC18" s="1005"/>
      <c r="ED18" s="1005"/>
      <c r="EE18" s="1005"/>
      <c r="EF18" s="1005"/>
      <c r="EG18" s="1005"/>
      <c r="EH18" s="400"/>
      <c r="EI18" s="333"/>
      <c r="EJ18" s="333"/>
      <c r="EK18" s="333"/>
      <c r="EL18" s="334"/>
      <c r="EM18" s="334"/>
      <c r="EN18" s="511"/>
      <c r="EO18" s="1192"/>
      <c r="EP18" s="1193"/>
      <c r="EQ18" s="336"/>
      <c r="ER18" s="7" t="s">
        <v>683</v>
      </c>
      <c r="ET18" s="525">
        <f>(ET10+ET12+ET14)/ET6</f>
        <v>0.14395140681719898</v>
      </c>
    </row>
    <row r="19" spans="1:192" ht="15.75" customHeight="1">
      <c r="A19">
        <v>7.2</v>
      </c>
      <c r="B19" t="s">
        <v>112</v>
      </c>
      <c r="C19" s="578">
        <f>Cntrl3-1</f>
        <v>1</v>
      </c>
      <c r="D19" s="554">
        <f>BC2</f>
        <v>3</v>
      </c>
      <c r="E19" s="172" t="str">
        <f t="shared" si="3"/>
        <v>001</v>
      </c>
      <c r="F19" s="555" t="str">
        <f t="shared" si="15"/>
        <v/>
      </c>
      <c r="G19" s="172" t="str">
        <f t="shared" si="5"/>
        <v/>
      </c>
      <c r="H19" t="str">
        <f t="shared" si="6"/>
        <v/>
      </c>
      <c r="I19" s="552" t="str" cm="1">
        <f t="array" ref="I19">IF(H19&lt;&gt;"",INDEX($B$2:$B$66,H19+1),"")</f>
        <v/>
      </c>
      <c r="J19" s="554">
        <f t="shared" si="0"/>
        <v>3</v>
      </c>
      <c r="K19" t="str">
        <f t="shared" si="13"/>
        <v/>
      </c>
      <c r="L19" s="2" t="str">
        <f t="shared" si="8"/>
        <v/>
      </c>
      <c r="M19" t="str">
        <f t="shared" si="9"/>
        <v/>
      </c>
      <c r="N19" s="2" t="str">
        <f t="shared" si="10"/>
        <v/>
      </c>
      <c r="O19" s="172" t="str">
        <f t="shared" si="1"/>
        <v/>
      </c>
      <c r="P19" s="177" t="str">
        <f t="shared" si="11"/>
        <v>001100001000</v>
      </c>
      <c r="Q19" s="172" t="str">
        <f t="shared" si="2"/>
        <v>001</v>
      </c>
      <c r="R19" s="553">
        <f t="shared" si="12"/>
        <v>1</v>
      </c>
      <c r="S19" s="578" t="s">
        <v>67</v>
      </c>
      <c r="T19" s="7"/>
      <c r="U19" s="12"/>
      <c r="V19" s="43" t="s">
        <v>684</v>
      </c>
      <c r="W19" s="12">
        <f>IF(Cntrl6&gt;5,1,0)</f>
        <v>0</v>
      </c>
      <c r="X19" s="77"/>
      <c r="Y19" s="77"/>
      <c r="Z19" s="77"/>
      <c r="AA19" s="77"/>
      <c r="AB19" s="77"/>
      <c r="AC19" s="77"/>
      <c r="AD19" s="77"/>
      <c r="AE19" s="77"/>
      <c r="AF19" s="18"/>
      <c r="AG19" s="7"/>
      <c r="AH19" s="18">
        <f>IF(($AG$26+0.106+0.0337*LN($AG$26))&lt;$AG$26,$AG$26,$AG$26+0.106+0.0337*LN($AG$26))</f>
        <v>0.1945134206508215</v>
      </c>
      <c r="AI19" s="12"/>
      <c r="AJ19" s="992">
        <f>IF(($AJ$24+0.106+0.0337*LN($AJ$24))&lt;$AJ$24,$AJ$24,$AJ$24+0.106+0.0337*LN($AJ$24))</f>
        <v>2E-3</v>
      </c>
      <c r="AK19" s="992"/>
      <c r="AL19" s="12"/>
      <c r="AM19" s="63"/>
      <c r="AN19" s="18"/>
      <c r="AO19" s="43"/>
      <c r="AP19" s="43"/>
      <c r="AQ19" s="43"/>
      <c r="AR19" s="43"/>
      <c r="AS19" s="43"/>
      <c r="AT19" s="43"/>
      <c r="AU19" s="43"/>
      <c r="AV19" s="43"/>
      <c r="AW19" s="43"/>
      <c r="AX19" s="43"/>
      <c r="AY19" s="43"/>
      <c r="AZ19" s="43"/>
      <c r="BA19" s="43"/>
      <c r="BB19" s="43"/>
      <c r="BC19" s="43"/>
      <c r="BD19" s="43"/>
      <c r="BE19" s="43"/>
      <c r="BF19" s="43"/>
      <c r="BG19" s="43"/>
      <c r="BH19" s="43"/>
      <c r="BI19" s="43"/>
      <c r="BJ19" s="43"/>
      <c r="BK19" s="43"/>
      <c r="BL19" s="43"/>
      <c r="BP19" s="59"/>
      <c r="BQ19" s="59"/>
      <c r="BR19" s="59"/>
      <c r="BS19" s="59"/>
      <c r="BT19" s="59"/>
      <c r="BU19" s="59"/>
      <c r="BV19" s="59"/>
      <c r="BW19" s="59"/>
      <c r="BX19" s="572" t="b">
        <f>AND(OR(Cntrl6=5,Cntrl6=7),NOT(AND(Cntrl12-1,Cntrl16-1,Cntrl17-1,Cntrl20-1)))</f>
        <v>0</v>
      </c>
      <c r="BY19" s="59"/>
      <c r="BZ19" s="59"/>
      <c r="CA19" s="59"/>
      <c r="CB19" s="59"/>
      <c r="CC19" s="59"/>
      <c r="CD19" s="59"/>
      <c r="CE19" s="59"/>
      <c r="CF19" s="59"/>
      <c r="CG19" s="59"/>
      <c r="CH19" s="59"/>
      <c r="CI19" s="53" t="b">
        <f>AND(OR(Cntrl18=5,Cntrl18=7),NOT(AND(Cntrl13-1,Cntrl14-1,Cntrl15-1,Cntrl21-1)))</f>
        <v>0</v>
      </c>
      <c r="CJ19" s="59"/>
      <c r="CW19" s="10"/>
      <c r="CX19" s="10"/>
      <c r="CY19" s="10"/>
      <c r="DF19" s="10"/>
      <c r="DG19" s="10"/>
      <c r="DH19" s="10"/>
      <c r="DM19" s="393"/>
      <c r="DN19" s="401"/>
      <c r="DO19" s="498">
        <v>50</v>
      </c>
      <c r="DP19" s="402">
        <f t="shared" si="16"/>
        <v>1.0572619975081368</v>
      </c>
      <c r="DQ19" s="402">
        <f t="shared" si="16"/>
        <v>1.0572619975081368</v>
      </c>
      <c r="DR19" s="402">
        <f t="shared" si="16"/>
        <v>1.0572619975081368</v>
      </c>
      <c r="DS19" s="402">
        <f t="shared" si="16"/>
        <v>1.0572619975081368</v>
      </c>
      <c r="DT19" s="402">
        <f t="shared" si="16"/>
        <v>1.0572619975081368</v>
      </c>
      <c r="DU19" s="402">
        <f t="shared" si="16"/>
        <v>1.0572619975081368</v>
      </c>
      <c r="DV19" s="402">
        <f t="shared" si="16"/>
        <v>1.0572619975081368</v>
      </c>
      <c r="DW19" s="402">
        <f t="shared" si="16"/>
        <v>1.0572619975081368</v>
      </c>
      <c r="DX19" s="402">
        <f t="shared" si="16"/>
        <v>1.0572619975081368</v>
      </c>
      <c r="DY19" s="402">
        <f t="shared" si="16"/>
        <v>1.0572619975081368</v>
      </c>
      <c r="DZ19" s="402">
        <f t="shared" si="16"/>
        <v>1.0572619975081368</v>
      </c>
      <c r="EA19" s="499">
        <v>50</v>
      </c>
      <c r="EB19" s="1005"/>
      <c r="EC19" s="1005"/>
      <c r="ED19" s="1005"/>
      <c r="EE19" s="1005"/>
      <c r="EF19" s="1005"/>
      <c r="EG19" s="1005"/>
      <c r="EH19" s="1195" t="s">
        <v>685</v>
      </c>
      <c r="EI19" s="1196"/>
      <c r="EJ19" s="505">
        <v>1</v>
      </c>
      <c r="EK19" s="998" t="str">
        <f>IF(ISBLANK(WebCntrl22),"",EY23)</f>
        <v>from plans</v>
      </c>
      <c r="EL19" s="999"/>
      <c r="EM19" s="999"/>
      <c r="EN19" s="511"/>
      <c r="EO19" s="1192"/>
      <c r="EP19" s="1193"/>
      <c r="EQ19" s="336"/>
      <c r="FR19" s="7">
        <v>10</v>
      </c>
    </row>
    <row r="20" spans="1:192" ht="15.75" customHeight="1">
      <c r="A20">
        <v>7.1</v>
      </c>
      <c r="B20" t="s">
        <v>117</v>
      </c>
      <c r="C20" s="578">
        <f>Cntrl7-1</f>
        <v>4</v>
      </c>
      <c r="D20" s="554">
        <f>AX2</f>
        <v>3</v>
      </c>
      <c r="E20" s="172" t="str">
        <f t="shared" si="3"/>
        <v>100</v>
      </c>
      <c r="F20" s="555" t="str">
        <f t="shared" si="15"/>
        <v/>
      </c>
      <c r="G20" s="172" t="str">
        <f t="shared" si="5"/>
        <v/>
      </c>
      <c r="H20" t="str">
        <f t="shared" si="6"/>
        <v/>
      </c>
      <c r="I20" s="552" t="str" cm="1">
        <f t="array" ref="I20">IF(H20&lt;&gt;"",INDEX($B$2:$B$66,H20+1),"")</f>
        <v/>
      </c>
      <c r="J20" s="554">
        <f t="shared" si="0"/>
        <v>3</v>
      </c>
      <c r="K20" t="str">
        <f t="shared" si="13"/>
        <v/>
      </c>
      <c r="L20" s="2" t="str">
        <f t="shared" si="8"/>
        <v/>
      </c>
      <c r="M20" t="str">
        <f t="shared" si="9"/>
        <v/>
      </c>
      <c r="N20" s="2" t="str">
        <f t="shared" si="10"/>
        <v/>
      </c>
      <c r="O20" s="172" t="str">
        <f t="shared" si="1"/>
        <v/>
      </c>
      <c r="P20" s="177" t="str">
        <f t="shared" si="11"/>
        <v>100001000</v>
      </c>
      <c r="Q20" s="172" t="str">
        <f t="shared" si="2"/>
        <v>100</v>
      </c>
      <c r="R20" s="553">
        <f t="shared" si="12"/>
        <v>4</v>
      </c>
      <c r="S20" s="578" t="s">
        <v>541</v>
      </c>
      <c r="T20" s="7"/>
      <c r="U20" s="7"/>
      <c r="V20" s="43" t="s">
        <v>686</v>
      </c>
      <c r="W20" s="12">
        <f>IF(Cntrl19=2,1,0)</f>
        <v>1</v>
      </c>
      <c r="X20" s="7"/>
      <c r="Y20" s="7"/>
      <c r="Z20" s="7"/>
      <c r="AA20" s="7"/>
      <c r="AB20" s="7"/>
      <c r="AC20" s="7"/>
      <c r="AD20" s="7"/>
      <c r="AE20" s="7"/>
      <c r="AF20" s="7"/>
      <c r="AG20" s="7"/>
      <c r="AH20" s="18">
        <f>IF(($AG$26+0.084+0.0253*LN($AG$26))&lt;$AG$26,$AG$26,$AG$26+0.084+0.0253*LN($AG$26))</f>
        <v>0.18833796861916272</v>
      </c>
      <c r="AI20" s="7"/>
      <c r="AJ20" s="992">
        <f>IF(($AJ$24+0.084+0.0253*LN($AJ$24))&lt;$AJ$24,$AJ$24,$AJ$24+0.084+0.0253*LN($AJ$24))</f>
        <v>2E-3</v>
      </c>
      <c r="AK20" s="992"/>
      <c r="AL20" s="7"/>
      <c r="AM20" s="7"/>
      <c r="AN20" s="7"/>
      <c r="AO20" s="7"/>
      <c r="AP20" s="7"/>
      <c r="AQ20" s="7"/>
      <c r="AR20" s="7"/>
      <c r="AS20" s="7"/>
      <c r="AT20" s="43"/>
      <c r="AU20" s="82" t="s">
        <v>600</v>
      </c>
      <c r="AV20" s="43" t="b">
        <f>IF(Cntrl6&gt;1,TRUE,FALSE)</f>
        <v>1</v>
      </c>
      <c r="AW20" s="7"/>
      <c r="AX20" s="7"/>
      <c r="AY20" s="7"/>
      <c r="AZ20" s="7"/>
      <c r="BA20" s="7"/>
      <c r="BB20" s="7"/>
      <c r="BC20" s="7"/>
      <c r="BD20" s="7"/>
      <c r="BE20" s="7"/>
      <c r="BF20" s="7"/>
      <c r="BG20" s="7"/>
      <c r="BH20" s="7"/>
      <c r="BI20" s="7"/>
      <c r="BJ20" s="7"/>
      <c r="BK20" s="7"/>
      <c r="BL20" s="7"/>
      <c r="BP20" s="59"/>
      <c r="BQ20" s="59"/>
      <c r="BR20" s="59"/>
      <c r="BS20" s="59"/>
      <c r="BT20" s="59"/>
      <c r="BV20" s="59"/>
      <c r="BW20" s="59"/>
      <c r="BY20" s="59"/>
      <c r="BZ20" s="59"/>
      <c r="CB20" s="59"/>
      <c r="CC20" s="59"/>
      <c r="CD20" s="59"/>
      <c r="CF20" s="59"/>
      <c r="CG20" s="59"/>
      <c r="CH20" s="59"/>
      <c r="CJ20" s="59"/>
      <c r="CW20" s="10"/>
      <c r="CX20" s="10"/>
      <c r="CY20" s="10"/>
      <c r="DF20" s="10"/>
      <c r="DG20" s="10"/>
      <c r="DH20" s="10"/>
      <c r="DM20" s="393"/>
      <c r="DN20" s="401"/>
      <c r="DO20" s="498">
        <v>48</v>
      </c>
      <c r="DP20" s="402">
        <f t="shared" si="16"/>
        <v>1.0502627696821984</v>
      </c>
      <c r="DQ20" s="402">
        <f t="shared" si="16"/>
        <v>1.0502627696821984</v>
      </c>
      <c r="DR20" s="402">
        <f t="shared" si="16"/>
        <v>1.0502627696821984</v>
      </c>
      <c r="DS20" s="402">
        <f t="shared" si="16"/>
        <v>1.0502627696821984</v>
      </c>
      <c r="DT20" s="402">
        <f t="shared" si="16"/>
        <v>1.0502627696821984</v>
      </c>
      <c r="DU20" s="402">
        <f t="shared" si="16"/>
        <v>1.0502627696821984</v>
      </c>
      <c r="DV20" s="402">
        <f t="shared" si="16"/>
        <v>1.0502627696821984</v>
      </c>
      <c r="DW20" s="402">
        <f t="shared" si="16"/>
        <v>1.0502627696821984</v>
      </c>
      <c r="DX20" s="402">
        <f t="shared" si="16"/>
        <v>1.0502627696821984</v>
      </c>
      <c r="DY20" s="402">
        <f t="shared" si="16"/>
        <v>1.0502627696821984</v>
      </c>
      <c r="DZ20" s="402">
        <f t="shared" si="16"/>
        <v>1.0502627696821984</v>
      </c>
      <c r="EA20" s="499">
        <v>48</v>
      </c>
      <c r="EB20" s="1005"/>
      <c r="EC20" s="1005"/>
      <c r="ED20" s="1005"/>
      <c r="EE20" s="1005"/>
      <c r="EF20" s="1005"/>
      <c r="EG20" s="1005"/>
      <c r="EH20" s="400"/>
      <c r="EI20" s="334"/>
      <c r="EJ20" s="334"/>
      <c r="EK20" s="334"/>
      <c r="EL20" s="334"/>
      <c r="EM20" s="334"/>
      <c r="EN20" s="511"/>
      <c r="EO20" s="547"/>
      <c r="EP20" s="548"/>
      <c r="EQ20" s="336"/>
      <c r="ER20" s="7" t="s">
        <v>687</v>
      </c>
      <c r="EU20" s="541">
        <f>FT23/100</f>
        <v>0.25</v>
      </c>
    </row>
    <row r="21" spans="1:192" ht="15.75" customHeight="1" thickBot="1">
      <c r="A21">
        <v>7</v>
      </c>
      <c r="B21" t="s">
        <v>121</v>
      </c>
      <c r="C21" s="578">
        <f>Cntrl1-1</f>
        <v>2</v>
      </c>
      <c r="D21" s="554">
        <f>AS2</f>
        <v>4</v>
      </c>
      <c r="E21" s="172" t="str">
        <f t="shared" si="3"/>
        <v>0010</v>
      </c>
      <c r="F21" s="555" t="str">
        <f t="shared" si="15"/>
        <v/>
      </c>
      <c r="G21" s="172" t="str">
        <f t="shared" si="5"/>
        <v/>
      </c>
      <c r="H21" t="str">
        <f t="shared" si="6"/>
        <v/>
      </c>
      <c r="I21" s="552" t="str" cm="1">
        <f t="array" ref="I21">IF(H21&lt;&gt;"",INDEX($B$2:$B$66,H21+1),"")</f>
        <v/>
      </c>
      <c r="J21" s="554">
        <f t="shared" si="0"/>
        <v>4</v>
      </c>
      <c r="K21" t="str">
        <f t="shared" si="13"/>
        <v/>
      </c>
      <c r="L21" s="2" t="str">
        <f t="shared" si="8"/>
        <v/>
      </c>
      <c r="M21" t="str">
        <f t="shared" si="9"/>
        <v/>
      </c>
      <c r="N21" s="2" t="str">
        <f t="shared" si="10"/>
        <v/>
      </c>
      <c r="O21" s="172" t="str">
        <f t="shared" si="1"/>
        <v/>
      </c>
      <c r="P21" s="177" t="str">
        <f t="shared" si="11"/>
        <v>001000</v>
      </c>
      <c r="Q21" s="172" t="str">
        <f t="shared" si="2"/>
        <v>0010</v>
      </c>
      <c r="R21" s="553">
        <f t="shared" si="12"/>
        <v>2</v>
      </c>
      <c r="S21" s="578" t="s">
        <v>76</v>
      </c>
      <c r="T21" s="7"/>
      <c r="U21" s="7"/>
      <c r="V21" s="43" t="s">
        <v>688</v>
      </c>
      <c r="W21" s="12">
        <f>IF(AND(W9,OR(W15,AND(W16,NOT(W12)))),1,0)</f>
        <v>0</v>
      </c>
      <c r="X21" s="7" t="str">
        <f>IF(W21,"Calculation assumes R 0.25 thermal break is provided by "&amp;X15&amp;X8&amp;X16,"")</f>
        <v/>
      </c>
      <c r="Y21" s="7"/>
      <c r="Z21" s="7"/>
      <c r="AA21" s="7"/>
      <c r="AB21" s="7"/>
      <c r="AC21" s="7"/>
      <c r="AD21" s="7"/>
      <c r="AE21" s="7" cm="1">
        <f t="array" ref="AE21">INDEX(AE25:AE31,$U$23)</f>
        <v>0.123755852049932</v>
      </c>
      <c r="AF21" s="18">
        <f>SUM(AF23:AF28)</f>
        <v>0.1965134206508215</v>
      </c>
      <c r="AG21" s="7"/>
      <c r="AH21" s="12"/>
      <c r="AI21" s="7"/>
      <c r="AJ21" s="114"/>
      <c r="AK21" s="113"/>
      <c r="AL21" s="7"/>
      <c r="AM21" s="7" cm="1">
        <f t="array" ref="AM21">IF(Cntrl9=2,0.18,INDEX($AM$25:$AM$31,MAX(1,$U$23))-Cntrl9+2)</f>
        <v>0.18</v>
      </c>
      <c r="AN21" s="7" cm="1">
        <f t="array" ref="AN21">IF(Cntrl9=2,0,INDEX($AN$25:$AN$31,MAX(1,$U$23)))</f>
        <v>0</v>
      </c>
      <c r="AO21" s="7"/>
      <c r="AP21" s="7"/>
      <c r="AQ21" s="7"/>
      <c r="AR21" s="7"/>
      <c r="AS21" s="7"/>
      <c r="AT21" s="43" t="str">
        <f>IF(Cntrl1&lt;13,"N/A","ESIL R-value m2K/W")</f>
        <v>N/A</v>
      </c>
      <c r="AU21" s="82" t="s">
        <v>689</v>
      </c>
      <c r="AV21" s="43" t="b">
        <f>IF(OR(U23&lt;=6,U23&gt;=13),TRUE,FALSE)</f>
        <v>1</v>
      </c>
      <c r="AW21" s="7"/>
      <c r="AX21" s="7"/>
      <c r="AY21" s="7"/>
      <c r="AZ21" s="7"/>
      <c r="BA21" s="7"/>
      <c r="BB21" s="7"/>
      <c r="BC21" s="45" t="s">
        <v>690</v>
      </c>
      <c r="BD21" s="7"/>
      <c r="BE21" s="7"/>
      <c r="BF21" s="45" t="s">
        <v>691</v>
      </c>
      <c r="BG21" s="7"/>
      <c r="BH21" s="7"/>
      <c r="BI21" s="7"/>
      <c r="BJ21" s="169" t="s">
        <v>692</v>
      </c>
      <c r="BK21" s="7"/>
      <c r="BL21" s="7"/>
      <c r="BN21" s="7" t="s">
        <v>693</v>
      </c>
      <c r="BQ21" s="7" t="b">
        <f>IF(OR(U23=1,U23=2,U23=3,U23=7,U23=8,U23=9),FALSE,TRUE)</f>
        <v>0</v>
      </c>
      <c r="BS21" s="7"/>
      <c r="BT21" s="7" t="s">
        <v>694</v>
      </c>
      <c r="BV21" s="7"/>
      <c r="BW21" s="43" t="s">
        <v>682</v>
      </c>
      <c r="BX21" s="7"/>
      <c r="BY21" s="7"/>
      <c r="BZ21" s="7" t="s">
        <v>695</v>
      </c>
      <c r="CB21" s="7"/>
      <c r="CC21" s="7"/>
      <c r="CD21" s="7" t="s">
        <v>696</v>
      </c>
      <c r="CF21" s="7"/>
      <c r="CG21" s="7"/>
      <c r="CH21" s="43" t="s">
        <v>677</v>
      </c>
      <c r="CI21" s="7" t="str">
        <f>CHOOSE(CH23-1,"none","un-framed insul.","timber frame","steel frame")</f>
        <v>none</v>
      </c>
      <c r="CJ21" s="7"/>
      <c r="CK21" s="7"/>
      <c r="CL21" s="7"/>
      <c r="CM21" s="7"/>
      <c r="CN21" s="7"/>
      <c r="CO21" s="7"/>
      <c r="CP21" s="7"/>
      <c r="CQ21" s="7"/>
      <c r="CR21" s="7" t="s">
        <v>697</v>
      </c>
      <c r="CS21" s="7"/>
      <c r="CT21" s="7"/>
      <c r="CU21" s="7" t="s">
        <v>698</v>
      </c>
      <c r="CV21" s="7"/>
      <c r="CW21" s="7"/>
      <c r="CX21" s="7" t="s">
        <v>699</v>
      </c>
      <c r="CY21" s="7"/>
      <c r="CZ21" s="7"/>
      <c r="DA21" s="7" t="s">
        <v>700</v>
      </c>
      <c r="DB21" s="7"/>
      <c r="DC21" s="7"/>
      <c r="DD21" s="7" t="s">
        <v>701</v>
      </c>
      <c r="DE21" s="7"/>
      <c r="DF21" s="7"/>
      <c r="DG21" s="7" t="s">
        <v>702</v>
      </c>
      <c r="DH21" s="7"/>
      <c r="DI21" s="7"/>
      <c r="DJ21" s="7"/>
      <c r="DK21" s="7"/>
      <c r="DL21" s="7"/>
      <c r="DM21" s="393"/>
      <c r="DN21" s="401"/>
      <c r="DO21" s="498">
        <v>46</v>
      </c>
      <c r="DP21" s="402">
        <f t="shared" si="16"/>
        <v>1.0420755119604284</v>
      </c>
      <c r="DQ21" s="402">
        <f t="shared" si="16"/>
        <v>1.0420755119604284</v>
      </c>
      <c r="DR21" s="402">
        <f t="shared" si="16"/>
        <v>1.0420755119604284</v>
      </c>
      <c r="DS21" s="402">
        <f t="shared" si="16"/>
        <v>1.0420755119604284</v>
      </c>
      <c r="DT21" s="402">
        <f t="shared" si="16"/>
        <v>1.0420755119604284</v>
      </c>
      <c r="DU21" s="402">
        <f t="shared" si="16"/>
        <v>1.0420755119604284</v>
      </c>
      <c r="DV21" s="402">
        <f t="shared" si="16"/>
        <v>1.0420755119604284</v>
      </c>
      <c r="DW21" s="402">
        <f t="shared" si="16"/>
        <v>1.0420755119604284</v>
      </c>
      <c r="DX21" s="402">
        <f t="shared" si="16"/>
        <v>1.0420755119604284</v>
      </c>
      <c r="DY21" s="402">
        <f t="shared" si="16"/>
        <v>1.0420755119604284</v>
      </c>
      <c r="DZ21" s="402">
        <f t="shared" si="16"/>
        <v>1.0420755119604284</v>
      </c>
      <c r="EA21" s="499">
        <v>46</v>
      </c>
      <c r="EB21" s="1005"/>
      <c r="EC21" s="1005"/>
      <c r="ED21" s="1005"/>
      <c r="EE21" s="1005"/>
      <c r="EF21" s="1005"/>
      <c r="EG21" s="1005"/>
      <c r="EH21" s="1195" t="s">
        <v>703</v>
      </c>
      <c r="EI21" s="1196"/>
      <c r="EJ21" s="505">
        <v>2</v>
      </c>
      <c r="EK21" s="1165" t="str">
        <f>IF(ISBLANK(WebCntrl23),"",FB23)</f>
        <v>all framing</v>
      </c>
      <c r="EL21" s="1154"/>
      <c r="EM21" s="1154"/>
      <c r="EN21" s="1166"/>
      <c r="EO21" s="547"/>
      <c r="EP21" s="548"/>
      <c r="EQ21" s="336"/>
      <c r="ER21" s="7" t="s">
        <v>704</v>
      </c>
      <c r="ET21" s="542">
        <f>EU20*ES6</f>
        <v>6</v>
      </c>
      <c r="EW21" s="7" t="s">
        <v>685</v>
      </c>
      <c r="EZ21" s="7" t="s">
        <v>703</v>
      </c>
      <c r="FC21" s="7" t="s">
        <v>705</v>
      </c>
      <c r="FF21" s="7" t="s">
        <v>706</v>
      </c>
      <c r="FI21" s="7" t="s">
        <v>707</v>
      </c>
      <c r="FL21" s="7" t="s">
        <v>708</v>
      </c>
      <c r="FO21" s="7" t="s">
        <v>709</v>
      </c>
      <c r="FR21" s="7" t="s">
        <v>710</v>
      </c>
      <c r="FU21" s="7" t="s">
        <v>711</v>
      </c>
    </row>
    <row r="22" spans="1:192" ht="15.75" customHeight="1" thickBot="1">
      <c r="A22">
        <v>6.9</v>
      </c>
      <c r="B22" t="s">
        <v>125</v>
      </c>
      <c r="C22" s="578"/>
      <c r="D22" s="554"/>
      <c r="E22" s="172" t="str">
        <f t="shared" si="3"/>
        <v/>
      </c>
      <c r="F22" s="555" t="str">
        <f t="shared" si="15"/>
        <v/>
      </c>
      <c r="G22" s="172" t="str">
        <f t="shared" si="5"/>
        <v/>
      </c>
      <c r="H22" t="str">
        <f t="shared" si="6"/>
        <v/>
      </c>
      <c r="I22" s="552" t="str" cm="1">
        <f t="array" ref="I22">IF(H22&lt;&gt;"",INDEX($B$2:$B$66,H22+1),"")</f>
        <v/>
      </c>
      <c r="J22" s="554" t="str">
        <f t="shared" si="0"/>
        <v/>
      </c>
      <c r="K22" t="str">
        <f t="shared" si="13"/>
        <v/>
      </c>
      <c r="L22" s="2" t="str">
        <f t="shared" si="8"/>
        <v/>
      </c>
      <c r="M22" t="str">
        <f t="shared" si="9"/>
        <v/>
      </c>
      <c r="N22" s="2" t="str">
        <f t="shared" si="10"/>
        <v/>
      </c>
      <c r="O22" s="172" t="str">
        <f t="shared" si="1"/>
        <v/>
      </c>
      <c r="P22" s="177" t="str">
        <f t="shared" si="11"/>
        <v/>
      </c>
      <c r="Q22" s="172" t="str">
        <f t="shared" si="2"/>
        <v/>
      </c>
      <c r="R22" s="553" t="str">
        <f t="shared" si="12"/>
        <v/>
      </c>
      <c r="S22" s="578"/>
      <c r="T22" s="7"/>
      <c r="U22" s="7"/>
      <c r="V22" s="41"/>
      <c r="W22" s="7"/>
      <c r="X22" s="7"/>
      <c r="Y22" s="7"/>
      <c r="Z22" s="7"/>
      <c r="AA22" s="7"/>
      <c r="AB22" s="7"/>
      <c r="AC22" s="7"/>
      <c r="AD22" s="7"/>
      <c r="AE22" s="7"/>
      <c r="AF22" s="76" t="s">
        <v>712</v>
      </c>
      <c r="AG22" s="76" t="s">
        <v>601</v>
      </c>
      <c r="AH22" s="76" t="s">
        <v>677</v>
      </c>
      <c r="AI22" s="76" t="s">
        <v>692</v>
      </c>
      <c r="AJ22" s="76" t="s">
        <v>691</v>
      </c>
      <c r="AK22" s="76" t="s">
        <v>682</v>
      </c>
      <c r="AL22" s="76" t="s">
        <v>33</v>
      </c>
      <c r="AM22" s="76" t="s">
        <v>713</v>
      </c>
      <c r="AN22" s="76" t="s">
        <v>714</v>
      </c>
      <c r="AO22" s="7"/>
      <c r="AP22" s="7"/>
      <c r="AQ22" s="7"/>
      <c r="AR22" s="7"/>
      <c r="AS22" s="635">
        <v>1</v>
      </c>
      <c r="AT22" s="45" t="s">
        <v>601</v>
      </c>
      <c r="AU22" s="18" cm="1">
        <f t="array" ref="AU22">INDEX(AU25:AU32,MAX(1,Cntrl1-1))</f>
        <v>0.15</v>
      </c>
      <c r="AV22" s="18">
        <f>IF(Cntrl1=2,0.001,IF(AND($AV$21,$AV$20),$AH$20,IF(OR($AV$21,$AV$20),$AH$19,$AH$18)))</f>
        <v>0.18833796861916272</v>
      </c>
      <c r="AW22" s="7"/>
      <c r="AX22" s="635">
        <v>7</v>
      </c>
      <c r="AY22" s="45" t="s">
        <v>45</v>
      </c>
      <c r="AZ22" s="7"/>
      <c r="BA22" s="7"/>
      <c r="BB22" s="7"/>
      <c r="BC22" s="635">
        <v>3</v>
      </c>
      <c r="BE22" s="7"/>
      <c r="BF22" s="635">
        <v>5</v>
      </c>
      <c r="BH22" s="7"/>
      <c r="BI22" s="7"/>
      <c r="BJ22" s="635">
        <v>2</v>
      </c>
      <c r="BL22" s="164"/>
      <c r="BM22" s="7"/>
      <c r="BN22" s="635">
        <v>19</v>
      </c>
      <c r="BP22" s="7"/>
      <c r="BQ22" s="635">
        <v>9</v>
      </c>
      <c r="BR22" s="7" t="str">
        <f>IF(BQ21,"Insul. R-value range","Insul. R-value range")</f>
        <v>Insul. R-value range</v>
      </c>
      <c r="BT22" s="635">
        <v>4</v>
      </c>
      <c r="BU22" s="289" t="str">
        <f>IF(OR(BC23=4,BC23=5),"steelstud thickness","")</f>
        <v/>
      </c>
      <c r="BV22" s="7"/>
      <c r="BW22" s="635">
        <v>6</v>
      </c>
      <c r="BY22" s="7"/>
      <c r="BZ22" s="635">
        <v>20</v>
      </c>
      <c r="CA22" s="7"/>
      <c r="CB22" s="7"/>
      <c r="CC22" s="7"/>
      <c r="CD22" s="635">
        <v>21</v>
      </c>
      <c r="CE22" s="7"/>
      <c r="CF22" s="7"/>
      <c r="CG22" s="7"/>
      <c r="CH22" s="635">
        <v>18</v>
      </c>
      <c r="CJ22" s="7"/>
      <c r="CL22" s="635">
        <v>10</v>
      </c>
      <c r="CN22" s="7"/>
      <c r="CO22" s="635">
        <v>8</v>
      </c>
      <c r="CP22" s="12">
        <f>IF(WebCntrl11&lt;1.4,47,IF(WebCntrl11&gt;6,1,47-(DV11-1.4)*10))</f>
        <v>41</v>
      </c>
      <c r="CQ22" s="7"/>
      <c r="CR22" s="635">
        <v>17</v>
      </c>
      <c r="CS22" s="12">
        <f>IF(Cntrl6&lt;=3,0,VALUE(CS23))</f>
        <v>0</v>
      </c>
      <c r="CT22" s="7"/>
      <c r="CU22" s="635">
        <v>16</v>
      </c>
      <c r="CV22" s="13">
        <f>IF(Cntrl6&lt;=3,0,VALUE(CV23))</f>
        <v>0</v>
      </c>
      <c r="CW22" s="7"/>
      <c r="CX22" s="635">
        <v>12</v>
      </c>
      <c r="CY22" s="63">
        <f>IF(Cntrl6=2,0.001,VALUE(CY23))</f>
        <v>1E-3</v>
      </c>
      <c r="CZ22" s="7"/>
      <c r="DA22" s="635">
        <v>15</v>
      </c>
      <c r="DB22" s="12">
        <f>IF(CH23&lt;=3,0,VALUE(DB23))</f>
        <v>0</v>
      </c>
      <c r="DC22" s="7"/>
      <c r="DD22" s="635">
        <v>14</v>
      </c>
      <c r="DE22" s="13">
        <f>IF(CH23&lt;=3,0,VALUE(DE23))</f>
        <v>0</v>
      </c>
      <c r="DF22" s="7"/>
      <c r="DG22" s="635">
        <v>13</v>
      </c>
      <c r="DH22" s="63">
        <f>IF(CH23=2,0.001,VALUE(DH23))</f>
        <v>1E-3</v>
      </c>
      <c r="DI22" s="7">
        <v>10</v>
      </c>
      <c r="DJ22" s="635">
        <v>11</v>
      </c>
      <c r="DK22" s="13">
        <f>VALUE(DK23)</f>
        <v>2</v>
      </c>
      <c r="DL22" s="13"/>
      <c r="DM22" s="393"/>
      <c r="DN22" s="401"/>
      <c r="DO22" s="498">
        <v>44</v>
      </c>
      <c r="DP22" s="402">
        <f t="shared" si="16"/>
        <v>1.0327002243428256</v>
      </c>
      <c r="DQ22" s="402">
        <f t="shared" si="16"/>
        <v>1.0327002243428256</v>
      </c>
      <c r="DR22" s="402">
        <f t="shared" si="16"/>
        <v>1.0327002243428256</v>
      </c>
      <c r="DS22" s="402">
        <f t="shared" si="16"/>
        <v>1.0327002243428256</v>
      </c>
      <c r="DT22" s="402">
        <f t="shared" si="16"/>
        <v>1.0327002243428256</v>
      </c>
      <c r="DU22" s="402">
        <f t="shared" si="16"/>
        <v>1.0327002243428256</v>
      </c>
      <c r="DV22" s="402">
        <f t="shared" si="16"/>
        <v>1.0327002243428256</v>
      </c>
      <c r="DW22" s="402">
        <f t="shared" si="16"/>
        <v>1.0327002243428256</v>
      </c>
      <c r="DX22" s="402">
        <f t="shared" si="16"/>
        <v>1.0327002243428256</v>
      </c>
      <c r="DY22" s="402">
        <f t="shared" si="16"/>
        <v>1.0327002243428256</v>
      </c>
      <c r="DZ22" s="402">
        <f t="shared" si="16"/>
        <v>1.0327002243428256</v>
      </c>
      <c r="EA22" s="499">
        <v>44</v>
      </c>
      <c r="EB22" s="1005"/>
      <c r="EC22" s="1005"/>
      <c r="ED22" s="1005"/>
      <c r="EE22" s="1005"/>
      <c r="EF22" s="1005"/>
      <c r="EG22" s="1005"/>
      <c r="EH22" s="403"/>
      <c r="EI22" s="404"/>
      <c r="EJ22" s="490"/>
      <c r="EK22" s="404"/>
      <c r="EL22" s="404"/>
      <c r="EM22" s="491"/>
      <c r="EN22" s="512"/>
      <c r="EO22" s="403"/>
      <c r="EP22" s="549"/>
      <c r="EQ22" s="336"/>
      <c r="ER22" s="7" t="s">
        <v>715</v>
      </c>
      <c r="ET22" s="542">
        <f>ES6-ET21</f>
        <v>18</v>
      </c>
      <c r="EX22" s="7">
        <v>22</v>
      </c>
      <c r="FA22" s="7">
        <v>23</v>
      </c>
      <c r="FD22" s="7">
        <v>24</v>
      </c>
      <c r="FG22" s="7">
        <v>25</v>
      </c>
      <c r="FJ22" s="7">
        <v>26</v>
      </c>
      <c r="FM22" s="7">
        <v>27</v>
      </c>
      <c r="FP22" s="7">
        <v>28</v>
      </c>
      <c r="FS22" s="7">
        <v>29</v>
      </c>
      <c r="FV22" s="7">
        <v>30</v>
      </c>
    </row>
    <row r="23" spans="1:192" ht="15.75" customHeight="1">
      <c r="A23">
        <v>6.8</v>
      </c>
      <c r="B23" t="s">
        <v>129</v>
      </c>
      <c r="C23" s="578"/>
      <c r="D23" s="554"/>
      <c r="E23" s="172" t="str">
        <f t="shared" si="3"/>
        <v/>
      </c>
      <c r="F23" s="555" t="str">
        <f t="shared" si="15"/>
        <v/>
      </c>
      <c r="G23" s="172" t="str">
        <f t="shared" si="5"/>
        <v/>
      </c>
      <c r="H23" t="str">
        <f t="shared" si="6"/>
        <v/>
      </c>
      <c r="I23" s="552" t="str" cm="1">
        <f t="array" ref="I23">IF(H23&lt;&gt;"",INDEX($B$2:$B$66,H23+1),"")</f>
        <v/>
      </c>
      <c r="J23" s="554" t="str">
        <f t="shared" si="0"/>
        <v/>
      </c>
      <c r="K23" t="str">
        <f t="shared" si="13"/>
        <v/>
      </c>
      <c r="L23" s="2" t="str">
        <f t="shared" si="8"/>
        <v/>
      </c>
      <c r="M23" t="str">
        <f t="shared" si="9"/>
        <v/>
      </c>
      <c r="N23" s="2" t="str">
        <f t="shared" si="10"/>
        <v/>
      </c>
      <c r="O23" s="172" t="str">
        <f t="shared" si="1"/>
        <v/>
      </c>
      <c r="P23" s="177" t="str">
        <f t="shared" si="11"/>
        <v/>
      </c>
      <c r="Q23" s="172" t="str">
        <f t="shared" si="2"/>
        <v/>
      </c>
      <c r="R23" s="553" t="str">
        <f t="shared" si="12"/>
        <v/>
      </c>
      <c r="S23" s="578"/>
      <c r="T23" s="7"/>
      <c r="U23" s="1155">
        <f>BC23-1</f>
        <v>1</v>
      </c>
      <c r="V23" s="1157" t="s">
        <v>690</v>
      </c>
      <c r="W23" s="1159" t="s">
        <v>716</v>
      </c>
      <c r="X23" s="1161" t="s">
        <v>717</v>
      </c>
      <c r="Y23" s="1163" t="s">
        <v>718</v>
      </c>
      <c r="Z23" s="1159" t="s">
        <v>719</v>
      </c>
      <c r="AA23" s="1161" t="s">
        <v>720</v>
      </c>
      <c r="AB23" s="1163" t="s">
        <v>721</v>
      </c>
      <c r="AC23" s="1159" t="s">
        <v>722</v>
      </c>
      <c r="AD23" s="1161" t="s">
        <v>723</v>
      </c>
      <c r="AE23" s="1163" t="s">
        <v>724</v>
      </c>
      <c r="AF23" s="280">
        <f>AL23</f>
        <v>0</v>
      </c>
      <c r="AG23" s="116">
        <f>AU22</f>
        <v>0.15</v>
      </c>
      <c r="AH23" s="281">
        <f>$CD$58</f>
        <v>1E-3</v>
      </c>
      <c r="AI23" s="116">
        <f>$BL$23</f>
        <v>1E-3</v>
      </c>
      <c r="AJ23" s="285" cm="1">
        <f t="array" ref="AJ23">INDEX(BH25:BH29,BF23-1)</f>
        <v>1E-3</v>
      </c>
      <c r="AK23" s="285">
        <f>$CD$43</f>
        <v>1E-3</v>
      </c>
      <c r="AL23" s="281" cm="1">
        <f t="array" ref="AL23">INDEX(AZ25:AZ29,AX23-1)</f>
        <v>0</v>
      </c>
      <c r="AM23" s="7"/>
      <c r="AN23" s="7"/>
      <c r="AO23" s="7"/>
      <c r="AP23" s="7"/>
      <c r="AQ23" s="7"/>
      <c r="AR23" s="56">
        <f>IF(WebCntrl1="",1,MIN(9,MAX(2,WebCntrl1+2)))</f>
        <v>3</v>
      </c>
      <c r="AS23" s="51">
        <v>3</v>
      </c>
      <c r="AT23" s="52" t="str" cm="1">
        <f t="array" ref="AT23">INDEX(AT24:AT32,AS23)</f>
        <v>BevelBack WB</v>
      </c>
      <c r="AU23" s="7"/>
      <c r="AV23" s="7"/>
      <c r="AW23" s="56">
        <f>IF(WebCntrl7="",1,MIN(6,MAX(2,WebCntrl7+2)))</f>
        <v>5</v>
      </c>
      <c r="AX23" s="51">
        <v>5</v>
      </c>
      <c r="AY23" s="52" t="str" cm="1">
        <f t="array" ref="AY23">INDEX(AY24:AY29,AX23)</f>
        <v>10 mm plasterboard</v>
      </c>
      <c r="AZ23" s="7"/>
      <c r="BA23" s="7"/>
      <c r="BB23" s="56">
        <f>IF(WebCntrl3="",1,MIN(8,MAX(2,WebCntrl3+1)))</f>
        <v>8</v>
      </c>
      <c r="BC23" s="51">
        <v>2</v>
      </c>
      <c r="BD23" s="52" t="str" cm="1">
        <f t="array" ref="BD23">INDEX(BD24:BD31,BC23)</f>
        <v>Timber 90 mm</v>
      </c>
      <c r="BE23" s="56">
        <f>IF(WebCntrl5="",1,MIN(6,MAX(2,WebCntrl5+2)))</f>
        <v>2</v>
      </c>
      <c r="BF23" s="51">
        <v>2</v>
      </c>
      <c r="BG23" s="52" t="str" cm="1">
        <f t="array" ref="BG23">INDEX(BG24:BG29,BF23)</f>
        <v>none</v>
      </c>
      <c r="BH23" s="7"/>
      <c r="BI23" s="56">
        <f>IF(WebCntrl2="",1,MIN(10,MAX(2,WebCntrl2+2)))</f>
        <v>2</v>
      </c>
      <c r="BJ23" s="51">
        <v>2</v>
      </c>
      <c r="BK23" s="42" t="str" cm="1">
        <f t="array" ref="BK23">INDEX(BK24:BK33,BJ23)</f>
        <v>none</v>
      </c>
      <c r="BL23" s="59" cm="1">
        <f t="array" ref="BL23">INDEX(BL25:BL33,BJ23-1)</f>
        <v>1E-3</v>
      </c>
      <c r="BM23" s="275">
        <f>IF(DN6="",1,MIN(4,MAX(2,MIN(4,MAX(2,DN6+2)))))</f>
        <v>3</v>
      </c>
      <c r="BN23" s="51">
        <v>2</v>
      </c>
      <c r="BO23" s="52" t="str" cm="1">
        <f t="array" ref="BO23">INDEX(BO24:BO27,BN23)</f>
        <v>no cavity</v>
      </c>
      <c r="BP23" s="56">
        <f>IF(WebCntrl9="",1,MIN(4,MAX(2,WebCntrl9+2)))</f>
        <v>3</v>
      </c>
      <c r="BQ23" s="14">
        <v>2</v>
      </c>
      <c r="BR23" s="42" t="str" cm="1">
        <f t="array" ref="BR23">INDEX(BR24:BR27,BQ23)</f>
        <v>no insul.</v>
      </c>
      <c r="BS23" s="56">
        <f>IF(EC6="",1,MIN(5,MAX(2,EC6+1)))</f>
        <v>2</v>
      </c>
      <c r="BT23" s="14">
        <v>1</v>
      </c>
      <c r="BU23" s="538" cm="1">
        <f t="array" ref="BU23">INDEX(BU24:BU28,BT23)</f>
        <v>0</v>
      </c>
      <c r="BV23" s="56">
        <f>IF(WebCntrl6="",1,MIN(7,MAX(2,WebCntrl6+2)))</f>
        <v>2</v>
      </c>
      <c r="BW23" s="51">
        <v>2</v>
      </c>
      <c r="BX23" s="52" t="str" cm="1">
        <f t="array" ref="BX23">INDEX(BX24:BX30,BW23)</f>
        <v>none</v>
      </c>
      <c r="BY23" s="56">
        <f>IF(WebCntrl19="",1,MIN(5,MAX(2,WebCntrl19+1)))</f>
        <v>2</v>
      </c>
      <c r="BZ23" s="14">
        <v>1</v>
      </c>
      <c r="CA23" s="538" cm="1">
        <f t="array" ref="CA23">INDEX(CA24:CA28,BZ23)</f>
        <v>0</v>
      </c>
      <c r="CB23" s="7"/>
      <c r="CC23" s="56">
        <f>IF(WebCntrl16="",1,MIN(5,MAX(2,WebCntrl16+1)))</f>
        <v>2</v>
      </c>
      <c r="CD23" s="14">
        <v>1</v>
      </c>
      <c r="CE23" s="538" cm="1">
        <f t="array" ref="CE23">INDEX(CE24:CE28,CD23)</f>
        <v>0</v>
      </c>
      <c r="CF23" s="7"/>
      <c r="CG23" s="275">
        <f>IF(DR3="",1,MIN(7,MAX(2,DR3+2)))</f>
        <v>2</v>
      </c>
      <c r="CH23" s="51">
        <v>2</v>
      </c>
      <c r="CI23" s="52" t="str" cm="1">
        <f t="array" ref="CI23">INDEX(CI24:CI30,CH23)</f>
        <v>none</v>
      </c>
      <c r="CJ23" s="65"/>
      <c r="CK23" s="275">
        <f>IF(EK14="",1,MIN(12,MAX(2,12-10*(EK14-R_min))))</f>
        <v>2</v>
      </c>
      <c r="CL23" s="14" t="s">
        <v>123</v>
      </c>
      <c r="CM23" s="33" t="str" cm="1">
        <f t="array" ref="CM23">INDEX(CM24:CM35,CL23)</f>
        <v>0.2</v>
      </c>
      <c r="CN23" s="275" cm="1">
        <f t="array" ref="CN23">IF(WebCntrl8="",1,INDEX(CP59:CP115,MIN(56,MAX(0,INT(WebCntrl8+0)))+1)+0)</f>
        <v>17</v>
      </c>
      <c r="CO23" s="71" t="s">
        <v>127</v>
      </c>
      <c r="CP23" s="33" cm="1">
        <f t="array" ref="CP23">INDEX(CP24:CP57,CO23)</f>
        <v>34</v>
      </c>
      <c r="CQ23" s="275">
        <f>IF(EK6="",1,97-(MIN(95,MAX(1,INT(EK6)))))</f>
        <v>96</v>
      </c>
      <c r="CR23" s="14">
        <v>1</v>
      </c>
      <c r="CS23" s="33" cm="1">
        <f t="array" ref="CS23">INDEX(CS24:CS119,CR23)</f>
        <v>0</v>
      </c>
      <c r="CT23" s="275">
        <f>IF(EK7="",1,242-10*(MIN(25,MAX(1,INT(10*EK7)/10))-1))</f>
        <v>242</v>
      </c>
      <c r="CU23" s="71" t="s">
        <v>49</v>
      </c>
      <c r="CV23" s="33" cm="1">
        <f t="array" ref="CV23">INDEX(CV24:CV265,CU23)</f>
        <v>0</v>
      </c>
      <c r="CW23" s="56">
        <f>IF(WebCntrl12="",1,302-100*(INT(100*MIN(3,MAX(0.01,WebCntrl12)))/100))</f>
        <v>301</v>
      </c>
      <c r="CX23" s="14">
        <v>1</v>
      </c>
      <c r="CY23" s="33" cm="1">
        <f t="array" ref="CY23">INDEX(CY24:CY324,Cntrl12)</f>
        <v>0</v>
      </c>
      <c r="CZ23" s="275">
        <f>IF(DT6="",1,97-MIN(95,MAX(1,INT(DT6))))</f>
        <v>96</v>
      </c>
      <c r="DA23" s="14">
        <v>1</v>
      </c>
      <c r="DB23" s="33" cm="1">
        <f t="array" ref="DB23">INDEX(DB24:DB119,DA23)</f>
        <v>0</v>
      </c>
      <c r="DC23" s="275">
        <f>IF(DT7="",1,242-10*(MIN(25,MAX(1,INT(10*DT7)/10))-1))</f>
        <v>242</v>
      </c>
      <c r="DD23" s="71" t="s">
        <v>49</v>
      </c>
      <c r="DE23" s="33" cm="1">
        <f t="array" ref="DE23">INDEX(DE24:DE265,DD23)</f>
        <v>0</v>
      </c>
      <c r="DF23" s="56">
        <f>IF(DT5="",1,302-100*(INT(100*MIN(3,MAX(0.01,DT5)))/100))</f>
        <v>301</v>
      </c>
      <c r="DG23" s="14">
        <v>1</v>
      </c>
      <c r="DH23" s="33" cm="1">
        <f t="array" ref="DH23">INDEX(DH24:DH324,Cntrl13)</f>
        <v>0</v>
      </c>
      <c r="DI23" s="275">
        <f>IF(WebCntrl11="",1,47-10*(MIN(6,MAX(INT(10*WebCntrl11)/10,1.4))-1.4))</f>
        <v>41</v>
      </c>
      <c r="DJ23" s="14">
        <v>41</v>
      </c>
      <c r="DK23" s="44" t="str" cm="1">
        <f t="array" ref="DK23">INDEX(DK24:DK70,DJ23)</f>
        <v>2.0</v>
      </c>
      <c r="DL23" s="59"/>
      <c r="DM23" s="393"/>
      <c r="DN23" s="401"/>
      <c r="DO23" s="498">
        <v>42</v>
      </c>
      <c r="DP23" s="402">
        <f t="shared" si="16"/>
        <v>1.0221369068293908</v>
      </c>
      <c r="DQ23" s="402">
        <f t="shared" si="16"/>
        <v>1.0221369068293908</v>
      </c>
      <c r="DR23" s="402">
        <f t="shared" si="16"/>
        <v>1.0221369068293908</v>
      </c>
      <c r="DS23" s="402">
        <f t="shared" si="16"/>
        <v>1.0221369068293908</v>
      </c>
      <c r="DT23" s="402">
        <f t="shared" si="16"/>
        <v>1.0221369068293908</v>
      </c>
      <c r="DU23" s="402">
        <f t="shared" si="16"/>
        <v>1.0221369068293908</v>
      </c>
      <c r="DV23" s="402">
        <f t="shared" si="16"/>
        <v>1.0221369068293908</v>
      </c>
      <c r="DW23" s="402">
        <f t="shared" si="16"/>
        <v>1.0221369068293908</v>
      </c>
      <c r="DX23" s="402">
        <f t="shared" si="16"/>
        <v>1.0221369068293908</v>
      </c>
      <c r="DY23" s="402">
        <f t="shared" si="16"/>
        <v>1.0221369068293908</v>
      </c>
      <c r="DZ23" s="402">
        <f t="shared" si="16"/>
        <v>1.0221369068293908</v>
      </c>
      <c r="EA23" s="499">
        <v>42</v>
      </c>
      <c r="EB23" s="1005"/>
      <c r="EC23" s="1005"/>
      <c r="ED23" s="1005"/>
      <c r="EE23" s="1005"/>
      <c r="EF23" s="1005"/>
      <c r="EG23" s="1005"/>
      <c r="EH23" s="333"/>
      <c r="EI23" s="333"/>
      <c r="EJ23" s="333"/>
      <c r="EK23" s="333"/>
      <c r="EL23" s="333"/>
      <c r="EM23" s="333"/>
      <c r="EN23" s="333"/>
      <c r="EO23" s="333"/>
      <c r="EP23" s="333"/>
      <c r="EQ23" s="336"/>
      <c r="ER23" s="7" t="s">
        <v>725</v>
      </c>
      <c r="ET23" s="106">
        <f>ET18*ET21</f>
        <v>0.86370844090319387</v>
      </c>
      <c r="EW23" s="551">
        <f>IF(WebCntrl22="",1,MIN(5,MAX(2,WebCntrl22+1)))</f>
        <v>2</v>
      </c>
      <c r="EX23" s="550">
        <v>3</v>
      </c>
      <c r="EY23" s="65" t="str" cm="1">
        <f t="array" ref="EY23">INDEX(EY24:EY28,EX23)</f>
        <v>from plans</v>
      </c>
      <c r="EZ23" s="551">
        <f>IF(WebCntrl23="",1,MIN(4,MAX(2,WebCntrl23+1)))</f>
        <v>3</v>
      </c>
      <c r="FA23" s="550">
        <v>2</v>
      </c>
      <c r="FB23" s="65" t="str" cm="1">
        <f t="array" ref="FB23">INDEX(FB24:FB27,FA23)</f>
        <v>all framing</v>
      </c>
      <c r="FC23" s="56">
        <f>IF(WebCntrl24="",1,MIN(18,MAX(2,42-INT(WebCntrl24*10))))</f>
        <v>18</v>
      </c>
      <c r="FD23" s="550">
        <v>18</v>
      </c>
      <c r="FE23" s="33" cm="1">
        <f t="array" ref="FE23">INDEX(FE24:FE41,FD23)</f>
        <v>2.4</v>
      </c>
      <c r="FF23" s="56">
        <f>IF(WebCntrl25="",1,MIN(178,MAX(2,202-INT(WebCntrl25*10))))</f>
        <v>102</v>
      </c>
      <c r="FG23" s="550">
        <v>102</v>
      </c>
      <c r="FH23" s="15" cm="1">
        <f t="array" ref="FH23">INDEX(FH24:FH201,FG23)</f>
        <v>10</v>
      </c>
      <c r="FI23" s="56">
        <f>IF(WebCntrl26="",1,MIN(97,MAX(2,122-INT(WebCntrl26/10))))</f>
        <v>62</v>
      </c>
      <c r="FJ23" s="550">
        <v>62</v>
      </c>
      <c r="FK23" s="33" cm="1">
        <f t="array" ref="FK23">INDEX(FK24:FK120,FJ23)</f>
        <v>600</v>
      </c>
      <c r="FL23" s="275">
        <f>IF(WebCntrl27="",1,MIN(8,MAX(2,8-WebCntrl27)))</f>
        <v>6</v>
      </c>
      <c r="FM23" s="550">
        <v>5</v>
      </c>
      <c r="FN23" s="33" cm="1">
        <f t="array" ref="FN23">INDEX(FN24:FN31,FM23)</f>
        <v>3</v>
      </c>
      <c r="FO23" s="275">
        <f>IF(WebCntrl28="",1,MIN(12,MAX(2,12-WebCntrl28)))</f>
        <v>8</v>
      </c>
      <c r="FP23" s="550">
        <v>8</v>
      </c>
      <c r="FQ23" s="33" cm="1">
        <f t="array" ref="FQ23">INDEX(FQ24:FQ35,FP23)</f>
        <v>4</v>
      </c>
      <c r="FR23" s="275">
        <f>IF(WebCntrl29="",1,MIN(492,MAX(2,492-INT((WebCntrl29-1)*10))))</f>
        <v>202</v>
      </c>
      <c r="FS23" s="550">
        <v>252</v>
      </c>
      <c r="FT23" s="33" cm="1">
        <f t="array" ref="FT23">INDEX(FT24:FT515,FS23)</f>
        <v>25</v>
      </c>
      <c r="FU23" s="56">
        <f>IF(WebCntrl30="",1,MIN(52,MAX(2,52-INT(WebCntrl30*10))))</f>
        <v>12</v>
      </c>
      <c r="FV23" s="550">
        <v>12</v>
      </c>
      <c r="FW23" s="15" cm="1">
        <f t="array" ref="FW23">INDEX(FW24:FW75,FV23)</f>
        <v>4</v>
      </c>
    </row>
    <row r="24" spans="1:192" ht="15.75" customHeight="1" thickBot="1">
      <c r="A24">
        <v>6.7</v>
      </c>
      <c r="B24" t="s">
        <v>133</v>
      </c>
      <c r="C24" s="553"/>
      <c r="D24" s="554"/>
      <c r="E24" s="172" t="str">
        <f t="shared" si="3"/>
        <v/>
      </c>
      <c r="F24" s="555" t="str">
        <f t="shared" si="15"/>
        <v/>
      </c>
      <c r="G24" s="172" t="str">
        <f t="shared" si="5"/>
        <v/>
      </c>
      <c r="H24" t="str">
        <f t="shared" si="6"/>
        <v/>
      </c>
      <c r="I24" s="552" t="str" cm="1">
        <f t="array" ref="I24">IF(H24&lt;&gt;"",INDEX($B$2:$B$66,H24+1),"")</f>
        <v/>
      </c>
      <c r="J24" s="554" t="str">
        <f t="shared" si="0"/>
        <v/>
      </c>
      <c r="K24" t="str">
        <f t="shared" si="13"/>
        <v/>
      </c>
      <c r="L24" s="2" t="str">
        <f t="shared" si="8"/>
        <v/>
      </c>
      <c r="M24" t="str">
        <f t="shared" si="9"/>
        <v/>
      </c>
      <c r="N24" s="2" t="str">
        <f t="shared" si="10"/>
        <v/>
      </c>
      <c r="O24" s="172" t="str">
        <f t="shared" si="1"/>
        <v/>
      </c>
      <c r="P24" s="177" t="str">
        <f t="shared" si="11"/>
        <v/>
      </c>
      <c r="Q24" s="172" t="str">
        <f t="shared" si="2"/>
        <v/>
      </c>
      <c r="R24" s="553" t="str">
        <f t="shared" si="12"/>
        <v/>
      </c>
      <c r="S24" s="553"/>
      <c r="T24" s="7"/>
      <c r="U24" s="1156"/>
      <c r="V24" s="1158"/>
      <c r="W24" s="1160"/>
      <c r="X24" s="1162"/>
      <c r="Y24" s="1164"/>
      <c r="Z24" s="1160"/>
      <c r="AA24" s="1162"/>
      <c r="AB24" s="1164"/>
      <c r="AC24" s="1160"/>
      <c r="AD24" s="1162"/>
      <c r="AE24" s="1164"/>
      <c r="AF24" s="284">
        <f>SUM(AG24:AH24)</f>
        <v>0</v>
      </c>
      <c r="AG24" s="282">
        <f>IF(OR(W11,W12),0.55*AU22,0)</f>
        <v>0</v>
      </c>
      <c r="AH24" s="282">
        <f>IF(W12,0.55*AH23,0)</f>
        <v>0</v>
      </c>
      <c r="AI24" s="57"/>
      <c r="AJ24" s="1171">
        <f>AJ23+AK23</f>
        <v>2E-3</v>
      </c>
      <c r="AK24" s="1171"/>
      <c r="AL24" s="57"/>
      <c r="AM24" s="7"/>
      <c r="AN24" s="7"/>
      <c r="AO24" s="7"/>
      <c r="AP24" s="7"/>
      <c r="AQ24" s="7"/>
      <c r="AR24" s="7"/>
      <c r="AS24" s="12">
        <v>1</v>
      </c>
      <c r="AT24" s="637"/>
      <c r="AW24" s="7"/>
      <c r="AX24" s="12">
        <v>1</v>
      </c>
      <c r="AY24" s="637"/>
      <c r="BB24" s="7"/>
      <c r="BC24" s="12">
        <v>1</v>
      </c>
      <c r="BD24" s="637"/>
      <c r="BE24" s="7"/>
      <c r="BF24" s="12">
        <v>1</v>
      </c>
      <c r="BG24" s="637"/>
      <c r="BI24" s="7"/>
      <c r="BJ24" s="12">
        <v>1</v>
      </c>
      <c r="BK24" s="637"/>
      <c r="BM24" s="7"/>
      <c r="BN24" s="12">
        <v>1</v>
      </c>
      <c r="BO24" s="637"/>
      <c r="BP24" s="7"/>
      <c r="BQ24" s="12">
        <v>1</v>
      </c>
      <c r="BR24" s="637"/>
      <c r="BS24" s="7"/>
      <c r="BT24" s="115">
        <v>1</v>
      </c>
      <c r="BU24" s="637"/>
      <c r="BV24" s="7"/>
      <c r="BW24" s="12">
        <v>1</v>
      </c>
      <c r="BX24" s="637"/>
      <c r="BY24" s="7"/>
      <c r="BZ24" s="115">
        <v>1</v>
      </c>
      <c r="CA24" s="637"/>
      <c r="CC24" s="7"/>
      <c r="CD24" s="115">
        <v>1</v>
      </c>
      <c r="CE24" s="637"/>
      <c r="CG24" s="7"/>
      <c r="CH24" s="12">
        <v>1</v>
      </c>
      <c r="CI24" s="637"/>
      <c r="CJ24" s="7"/>
      <c r="CK24" s="7"/>
      <c r="CL24" s="12" t="s">
        <v>49</v>
      </c>
      <c r="CM24" s="637"/>
      <c r="CN24" s="32"/>
      <c r="CO24" s="268" t="s">
        <v>49</v>
      </c>
      <c r="CP24" s="637"/>
      <c r="CQ24" s="32"/>
      <c r="CR24" s="291">
        <v>1</v>
      </c>
      <c r="CS24" s="637"/>
      <c r="CU24" s="268" t="s">
        <v>49</v>
      </c>
      <c r="CV24" s="637"/>
      <c r="CX24" s="291">
        <v>1</v>
      </c>
      <c r="CY24" s="637"/>
      <c r="CZ24" s="32"/>
      <c r="DA24" s="291">
        <v>1</v>
      </c>
      <c r="DB24" s="637"/>
      <c r="DD24" s="268" t="s">
        <v>49</v>
      </c>
      <c r="DE24" s="637"/>
      <c r="DG24" s="291">
        <v>1</v>
      </c>
      <c r="DH24" s="637"/>
      <c r="DI24" s="534">
        <v>6</v>
      </c>
      <c r="DJ24" s="291">
        <v>1</v>
      </c>
      <c r="DK24" s="291" t="str">
        <f>TEXT(DI24,"0.0")</f>
        <v>6.0</v>
      </c>
      <c r="DL24" s="59"/>
      <c r="DM24" s="393"/>
      <c r="DN24" s="401"/>
      <c r="DO24" s="498">
        <v>40</v>
      </c>
      <c r="DP24" s="402">
        <f t="shared" si="16"/>
        <v>1.0103855594201241</v>
      </c>
      <c r="DQ24" s="402">
        <f t="shared" si="16"/>
        <v>1.0103855594201241</v>
      </c>
      <c r="DR24" s="402">
        <f t="shared" si="16"/>
        <v>1.0103855594201241</v>
      </c>
      <c r="DS24" s="402">
        <f t="shared" si="16"/>
        <v>1.0103855594201241</v>
      </c>
      <c r="DT24" s="402">
        <f t="shared" si="16"/>
        <v>1.0103855594201241</v>
      </c>
      <c r="DU24" s="402">
        <f t="shared" si="16"/>
        <v>1.0103855594201241</v>
      </c>
      <c r="DV24" s="402">
        <f t="shared" si="16"/>
        <v>1.0103855594201241</v>
      </c>
      <c r="DW24" s="402">
        <f t="shared" si="16"/>
        <v>1.0103855594201241</v>
      </c>
      <c r="DX24" s="402">
        <f t="shared" si="16"/>
        <v>1.0103855594201241</v>
      </c>
      <c r="DY24" s="402">
        <f t="shared" si="16"/>
        <v>1.0103855594201241</v>
      </c>
      <c r="DZ24" s="402">
        <f t="shared" si="16"/>
        <v>1.0103855594201241</v>
      </c>
      <c r="EA24" s="499">
        <v>40</v>
      </c>
      <c r="EB24" s="1005"/>
      <c r="EC24" s="1005"/>
      <c r="ED24" s="1005"/>
      <c r="EE24" s="1005"/>
      <c r="EF24" s="1005"/>
      <c r="EG24" s="1005"/>
      <c r="EH24" s="515"/>
      <c r="EI24" s="516"/>
      <c r="EJ24" s="516"/>
      <c r="EK24" s="516"/>
      <c r="EL24" s="517"/>
      <c r="EM24" s="523"/>
      <c r="EN24" s="516"/>
      <c r="EO24" s="516"/>
      <c r="EP24" s="516"/>
      <c r="EQ24" s="521"/>
      <c r="ER24" s="7" t="s">
        <v>652</v>
      </c>
      <c r="ET24" s="106">
        <f>ET16-ET23</f>
        <v>3.539541559096806</v>
      </c>
      <c r="EU24" s="544">
        <f>ET24/ET22</f>
        <v>0.19664119772760033</v>
      </c>
      <c r="EW24" s="164"/>
      <c r="EX24" s="7">
        <v>1</v>
      </c>
      <c r="EZ24" s="164"/>
      <c r="FA24" s="7">
        <v>1</v>
      </c>
      <c r="FC24" s="106"/>
      <c r="FD24" s="7">
        <v>1</v>
      </c>
      <c r="FG24" s="7">
        <v>1</v>
      </c>
      <c r="FJ24" s="7">
        <v>1</v>
      </c>
      <c r="FM24" s="7">
        <v>1</v>
      </c>
      <c r="FP24" s="7">
        <v>1</v>
      </c>
      <c r="FR24" s="12"/>
      <c r="FS24" s="7">
        <v>1</v>
      </c>
      <c r="FV24" s="7">
        <v>1</v>
      </c>
      <c r="FX24" s="1113" t="e" vm="8">
        <v>#VALUE!</v>
      </c>
      <c r="FY24" s="1114"/>
      <c r="FZ24" s="1114"/>
      <c r="GA24" s="1114"/>
      <c r="GB24" s="1114"/>
      <c r="GC24" s="1114"/>
      <c r="GD24" s="1114"/>
      <c r="GE24" s="1114"/>
      <c r="GF24" s="1114"/>
      <c r="GG24" s="1114"/>
      <c r="GH24" s="1114"/>
      <c r="GI24" s="1114"/>
      <c r="GJ24" s="1115"/>
    </row>
    <row r="25" spans="1:192" ht="15.75" customHeight="1">
      <c r="A25">
        <v>6.6</v>
      </c>
      <c r="B25" t="s">
        <v>139</v>
      </c>
      <c r="C25" s="553"/>
      <c r="D25" s="554"/>
      <c r="E25" s="172" t="str">
        <f t="shared" si="3"/>
        <v/>
      </c>
      <c r="F25" s="555" t="str">
        <f t="shared" si="15"/>
        <v/>
      </c>
      <c r="G25" s="172" t="str">
        <f t="shared" si="5"/>
        <v/>
      </c>
      <c r="H25" t="str">
        <f t="shared" si="6"/>
        <v/>
      </c>
      <c r="I25" s="552" t="str" cm="1">
        <f t="array" ref="I25">IF(H25&lt;&gt;"",INDEX($B$2:$B$66,H25+1),"")</f>
        <v/>
      </c>
      <c r="J25" s="554" t="str">
        <f t="shared" si="0"/>
        <v/>
      </c>
      <c r="K25" t="str">
        <f t="shared" si="13"/>
        <v/>
      </c>
      <c r="L25" s="2" t="str">
        <f t="shared" si="8"/>
        <v/>
      </c>
      <c r="M25" t="str">
        <f t="shared" si="9"/>
        <v/>
      </c>
      <c r="N25" s="2" t="str">
        <f t="shared" si="10"/>
        <v/>
      </c>
      <c r="O25" s="172" t="str">
        <f t="shared" si="1"/>
        <v/>
      </c>
      <c r="P25" s="177" t="str">
        <f t="shared" si="11"/>
        <v/>
      </c>
      <c r="Q25" s="172" t="str">
        <f t="shared" si="2"/>
        <v/>
      </c>
      <c r="R25" s="553" t="str">
        <f t="shared" si="12"/>
        <v/>
      </c>
      <c r="S25" s="553"/>
      <c r="T25" s="7"/>
      <c r="U25" s="12">
        <v>1</v>
      </c>
      <c r="V25" s="43" t="s">
        <v>726</v>
      </c>
      <c r="W25" s="77">
        <v>3.4730455903469518E-5</v>
      </c>
      <c r="X25" s="77">
        <v>1.0814075984551179E-4</v>
      </c>
      <c r="Y25" s="77">
        <v>-1.6909434052248429E-4</v>
      </c>
      <c r="Z25" s="77">
        <v>-1.1060807566335919E-3</v>
      </c>
      <c r="AA25" s="77">
        <v>-2.2295766624998825E-2</v>
      </c>
      <c r="AB25" s="77">
        <v>2.2102055145927769E-2</v>
      </c>
      <c r="AC25" s="77">
        <v>-6.3033743636591394E-2</v>
      </c>
      <c r="AD25" s="77">
        <v>1.1535852983505865</v>
      </c>
      <c r="AE25" s="77">
        <v>0.123755852049932</v>
      </c>
      <c r="AF25" s="18"/>
      <c r="AG25" s="283">
        <f>IF(W20,AG23,0)</f>
        <v>0.15</v>
      </c>
      <c r="AH25" s="283">
        <f>IF(NOT(W12),AH23,0)</f>
        <v>1E-3</v>
      </c>
      <c r="AI25" s="283">
        <f>AI23</f>
        <v>1E-3</v>
      </c>
      <c r="AJ25" s="7"/>
      <c r="AK25" s="7"/>
      <c r="AL25" s="18"/>
      <c r="AM25" s="12">
        <v>1.8</v>
      </c>
      <c r="AN25" s="7">
        <v>0.1</v>
      </c>
      <c r="AO25" s="43"/>
      <c r="AP25" s="43"/>
      <c r="AQ25" s="43"/>
      <c r="AR25" s="7"/>
      <c r="AS25" s="12">
        <v>2</v>
      </c>
      <c r="AT25" s="43" t="s">
        <v>61</v>
      </c>
      <c r="AU25" s="18">
        <v>1E-3</v>
      </c>
      <c r="AV25" s="18">
        <f>AU25</f>
        <v>1E-3</v>
      </c>
      <c r="AW25" s="7"/>
      <c r="AX25" s="12">
        <v>2</v>
      </c>
      <c r="AY25" s="43" t="s">
        <v>61</v>
      </c>
      <c r="AZ25" s="12">
        <v>-4.4999999999999998E-2</v>
      </c>
      <c r="BA25" s="8">
        <f t="shared" ref="BA25:BA29" si="17">AZ25+0.045</f>
        <v>0</v>
      </c>
      <c r="BB25" s="7"/>
      <c r="BC25" s="12">
        <v>2</v>
      </c>
      <c r="BD25" s="43" t="s">
        <v>727</v>
      </c>
      <c r="BE25" s="7"/>
      <c r="BF25" s="12">
        <v>2</v>
      </c>
      <c r="BG25" s="43" t="s">
        <v>61</v>
      </c>
      <c r="BH25" s="12">
        <v>1E-3</v>
      </c>
      <c r="BI25" s="7"/>
      <c r="BJ25" s="12">
        <v>2</v>
      </c>
      <c r="BK25" s="43" t="s">
        <v>61</v>
      </c>
      <c r="BL25" s="12">
        <v>1E-3</v>
      </c>
      <c r="BM25" s="7"/>
      <c r="BN25" s="12">
        <v>2</v>
      </c>
      <c r="BO25" s="43" t="s">
        <v>686</v>
      </c>
      <c r="BP25" s="7"/>
      <c r="BQ25" s="12">
        <v>2</v>
      </c>
      <c r="BR25" s="7" t="s">
        <v>728</v>
      </c>
      <c r="BS25" s="7"/>
      <c r="BT25" s="115">
        <v>2</v>
      </c>
      <c r="BU25" s="70" t="str">
        <f>IF(OR(BC23=4,BC23=5),"0.55 mm","-------")</f>
        <v>-------</v>
      </c>
      <c r="BV25" s="7"/>
      <c r="BW25" s="12">
        <v>2</v>
      </c>
      <c r="BX25" s="43" t="s">
        <v>61</v>
      </c>
      <c r="BY25" s="7"/>
      <c r="BZ25" s="115">
        <v>2</v>
      </c>
      <c r="CA25" s="70" t="str">
        <f>IF(OR(Cntrl6=5,Cntrl6=7),CB25,"---------")</f>
        <v>---------</v>
      </c>
      <c r="CB25" s="70" t="s">
        <v>729</v>
      </c>
      <c r="CC25" s="7"/>
      <c r="CD25" s="115">
        <v>2</v>
      </c>
      <c r="CE25" s="70" t="str">
        <f>IF(OR(Cntrl18=5,Cntrl18=7),CF25,"---------")</f>
        <v>---------</v>
      </c>
      <c r="CF25" s="70" t="s">
        <v>729</v>
      </c>
      <c r="CG25" s="7"/>
      <c r="CH25" s="12">
        <v>2</v>
      </c>
      <c r="CI25" s="43" t="s">
        <v>61</v>
      </c>
      <c r="CJ25" s="7"/>
      <c r="CK25" s="7"/>
      <c r="CL25" s="12" t="s">
        <v>63</v>
      </c>
      <c r="CM25" s="79" t="str">
        <f>TEXT(DZ14,"0.0")</f>
        <v>0.2</v>
      </c>
      <c r="CN25" s="32"/>
      <c r="CO25" s="268" t="s">
        <v>63</v>
      </c>
      <c r="CP25" s="73">
        <f t="shared" ref="CP25:CP57" si="18">DO16</f>
        <v>56</v>
      </c>
      <c r="CQ25" s="32">
        <v>95</v>
      </c>
      <c r="CR25" s="291">
        <v>2</v>
      </c>
      <c r="CS25" s="292" t="str">
        <f t="shared" ref="CS25:CS56" si="19">IF(Cntrl6&lt;4,"---------",CQ25)</f>
        <v>---------</v>
      </c>
      <c r="CT25" s="534">
        <v>25</v>
      </c>
      <c r="CU25" s="268" t="s">
        <v>63</v>
      </c>
      <c r="CV25" s="276" t="str">
        <f t="shared" ref="CV25:CV88" si="20">IF(Cntrl6&gt;3,TEXT(CT25,"0.0"),"---------")</f>
        <v>---------</v>
      </c>
      <c r="CW25" s="535">
        <v>3</v>
      </c>
      <c r="CX25" s="291">
        <v>2</v>
      </c>
      <c r="CY25" s="292" t="str">
        <f t="shared" ref="CY25:CY88" si="21">IF(Cntrl6=2,"---------",TEXT(CW25,"0.00"))</f>
        <v>---------</v>
      </c>
      <c r="CZ25" s="32">
        <v>95</v>
      </c>
      <c r="DA25" s="291">
        <v>2</v>
      </c>
      <c r="DB25" s="292" t="str">
        <f t="shared" ref="DB25:DB56" si="22">IF($CH$23&gt;3,CZ25,"---------")</f>
        <v>---------</v>
      </c>
      <c r="DC25" s="534">
        <v>25</v>
      </c>
      <c r="DD25" s="268" t="s">
        <v>63</v>
      </c>
      <c r="DE25" s="276" t="str">
        <f t="shared" ref="DE25:DE88" si="23">IF($CH$23&gt;3,TEXT(DC25,"0.0"),"---------")</f>
        <v>---------</v>
      </c>
      <c r="DF25" s="535">
        <v>3</v>
      </c>
      <c r="DG25" s="291">
        <v>2</v>
      </c>
      <c r="DH25" s="292" t="str">
        <f t="shared" ref="DH25:DH88" si="24">IF($CH$23=2,"---------",TEXT(DF25,"0.00"))</f>
        <v>---------</v>
      </c>
      <c r="DI25" s="534">
        <v>5.9</v>
      </c>
      <c r="DJ25" s="291">
        <v>2</v>
      </c>
      <c r="DK25" s="291" t="str">
        <f t="shared" ref="DK25:DK70" si="25">TEXT(DI25,"0.0")</f>
        <v>5.9</v>
      </c>
      <c r="DL25" s="59"/>
      <c r="DM25" s="393"/>
      <c r="DN25" s="401"/>
      <c r="DO25" s="498">
        <v>38</v>
      </c>
      <c r="DP25" s="402">
        <f t="shared" si="16"/>
        <v>0.997446182115025</v>
      </c>
      <c r="DQ25" s="402">
        <f t="shared" si="16"/>
        <v>0.997446182115025</v>
      </c>
      <c r="DR25" s="402">
        <f t="shared" si="16"/>
        <v>0.997446182115025</v>
      </c>
      <c r="DS25" s="402">
        <f t="shared" si="16"/>
        <v>0.997446182115025</v>
      </c>
      <c r="DT25" s="402">
        <f t="shared" si="16"/>
        <v>0.997446182115025</v>
      </c>
      <c r="DU25" s="402">
        <f t="shared" si="16"/>
        <v>0.997446182115025</v>
      </c>
      <c r="DV25" s="402">
        <f t="shared" si="16"/>
        <v>0.997446182115025</v>
      </c>
      <c r="DW25" s="402">
        <f t="shared" si="16"/>
        <v>0.997446182115025</v>
      </c>
      <c r="DX25" s="402">
        <f t="shared" si="16"/>
        <v>0.997446182115025</v>
      </c>
      <c r="DY25" s="402">
        <f t="shared" si="16"/>
        <v>0.997446182115025</v>
      </c>
      <c r="DZ25" s="402">
        <f t="shared" si="16"/>
        <v>0.997446182115025</v>
      </c>
      <c r="EA25" s="499">
        <v>38</v>
      </c>
      <c r="EB25" s="1005"/>
      <c r="EC25" s="1005"/>
      <c r="ED25" s="1005"/>
      <c r="EE25" s="1005"/>
      <c r="EF25" s="1005"/>
      <c r="EG25" s="1005"/>
      <c r="EH25" s="1129" t="s">
        <v>730</v>
      </c>
      <c r="EI25" s="1130"/>
      <c r="EJ25" s="1131"/>
      <c r="EK25" s="506">
        <v>2.4</v>
      </c>
      <c r="EL25" s="518">
        <f>IF(ISBLANK(WebCntrl24),"",FE23)</f>
        <v>2.4</v>
      </c>
      <c r="EM25" s="524"/>
      <c r="EN25" s="1181" t="s">
        <v>731</v>
      </c>
      <c r="EO25" s="1181"/>
      <c r="EP25" s="374">
        <f>IF($ES$1,"",ES8)</f>
        <v>22</v>
      </c>
      <c r="EQ25" s="508"/>
      <c r="EW25" s="164"/>
      <c r="EX25" s="7">
        <v>2</v>
      </c>
      <c r="EY25" s="7" t="s">
        <v>732</v>
      </c>
      <c r="EZ25" s="164"/>
      <c r="FA25" s="7">
        <v>2</v>
      </c>
      <c r="FB25" s="7" t="s">
        <v>733</v>
      </c>
      <c r="FC25" s="106"/>
      <c r="FD25" s="7">
        <v>2</v>
      </c>
      <c r="FE25" s="12">
        <v>4</v>
      </c>
      <c r="FG25" s="7">
        <v>2</v>
      </c>
      <c r="FH25" s="12">
        <v>20</v>
      </c>
      <c r="FJ25" s="7">
        <v>2</v>
      </c>
      <c r="FK25" s="9">
        <v>1200</v>
      </c>
      <c r="FM25" s="7">
        <v>2</v>
      </c>
      <c r="FN25" s="12">
        <v>6</v>
      </c>
      <c r="FP25" s="7">
        <v>2</v>
      </c>
      <c r="FQ25" s="12">
        <v>10</v>
      </c>
      <c r="FR25" s="12"/>
      <c r="FS25" s="7">
        <v>2</v>
      </c>
      <c r="FT25" s="12">
        <v>50</v>
      </c>
      <c r="FV25" s="7">
        <v>2</v>
      </c>
      <c r="FW25" s="12">
        <v>5</v>
      </c>
      <c r="FX25" s="1116"/>
      <c r="FY25" s="1117"/>
      <c r="FZ25" s="1117"/>
      <c r="GA25" s="1117"/>
      <c r="GB25" s="1117"/>
      <c r="GC25" s="1117"/>
      <c r="GD25" s="1117"/>
      <c r="GE25" s="1117"/>
      <c r="GF25" s="1117"/>
      <c r="GG25" s="1117"/>
      <c r="GH25" s="1117"/>
      <c r="GI25" s="1117"/>
      <c r="GJ25" s="1118"/>
    </row>
    <row r="26" spans="1:192" ht="15.75" customHeight="1">
      <c r="A26">
        <v>6.5</v>
      </c>
      <c r="B26" t="s">
        <v>144</v>
      </c>
      <c r="C26" s="553"/>
      <c r="D26" s="554"/>
      <c r="E26" s="172" t="str">
        <f t="shared" si="3"/>
        <v/>
      </c>
      <c r="F26" s="555" t="str">
        <f t="shared" si="15"/>
        <v/>
      </c>
      <c r="G26" s="172" t="str">
        <f t="shared" si="5"/>
        <v/>
      </c>
      <c r="H26" t="str">
        <f t="shared" si="6"/>
        <v/>
      </c>
      <c r="I26" s="552" t="str" cm="1">
        <f t="array" ref="I26">IF(H26&lt;&gt;"",INDEX($B$2:$B$66,H26+1),"")</f>
        <v/>
      </c>
      <c r="J26" s="554" t="str">
        <f t="shared" si="0"/>
        <v/>
      </c>
      <c r="K26" t="str">
        <f t="shared" si="13"/>
        <v/>
      </c>
      <c r="L26" s="2" t="str">
        <f t="shared" si="8"/>
        <v/>
      </c>
      <c r="M26" t="str">
        <f t="shared" si="9"/>
        <v/>
      </c>
      <c r="N26" s="2" t="str">
        <f t="shared" si="10"/>
        <v/>
      </c>
      <c r="O26" s="172" t="str">
        <f t="shared" si="1"/>
        <v/>
      </c>
      <c r="P26" s="177" t="str">
        <f t="shared" si="11"/>
        <v/>
      </c>
      <c r="Q26" s="172" t="str">
        <f t="shared" si="2"/>
        <v/>
      </c>
      <c r="R26" s="553" t="str">
        <f t="shared" si="12"/>
        <v/>
      </c>
      <c r="S26" s="553"/>
      <c r="T26" s="7"/>
      <c r="U26" s="12">
        <v>2</v>
      </c>
      <c r="V26" s="43" t="s">
        <v>734</v>
      </c>
      <c r="W26" s="77">
        <v>2.0404453349021541E-5</v>
      </c>
      <c r="X26" s="77">
        <v>1.2914414841213009E-4</v>
      </c>
      <c r="Y26" s="77">
        <v>-2.9515218394113914E-4</v>
      </c>
      <c r="Z26" s="77">
        <v>-5.3436381495439286E-4</v>
      </c>
      <c r="AA26" s="77">
        <v>-2.377400454313422E-2</v>
      </c>
      <c r="AB26" s="77">
        <v>3.6392621349950888E-2</v>
      </c>
      <c r="AC26" s="77">
        <v>-4.35854318352486E-2</v>
      </c>
      <c r="AD26" s="77">
        <v>1.1604930588014977</v>
      </c>
      <c r="AE26" s="77">
        <v>8.2853664885421799E-2</v>
      </c>
      <c r="AF26" s="18"/>
      <c r="AG26" s="992">
        <f>SUM(AG25:AI25)-W21*0.25</f>
        <v>0.152</v>
      </c>
      <c r="AH26" s="992"/>
      <c r="AI26" s="992"/>
      <c r="AJ26" s="12"/>
      <c r="AK26" s="12"/>
      <c r="AL26" s="18"/>
      <c r="AM26" s="12">
        <v>3.4</v>
      </c>
      <c r="AN26" s="7">
        <v>0.1</v>
      </c>
      <c r="AO26" s="43"/>
      <c r="AP26" s="43"/>
      <c r="AQ26" s="43"/>
      <c r="AR26" s="7"/>
      <c r="AS26" s="12">
        <v>3</v>
      </c>
      <c r="AT26" s="43" t="s">
        <v>735</v>
      </c>
      <c r="AU26" s="18">
        <v>0.15</v>
      </c>
      <c r="AV26" s="18"/>
      <c r="AW26" s="7"/>
      <c r="AX26" s="12">
        <v>3</v>
      </c>
      <c r="AY26" s="43" t="s">
        <v>69</v>
      </c>
      <c r="AZ26" s="12">
        <v>5.0000000000000001E-3</v>
      </c>
      <c r="BA26" s="8">
        <f t="shared" si="17"/>
        <v>4.9999999999999996E-2</v>
      </c>
      <c r="BB26" s="7"/>
      <c r="BC26" s="12">
        <v>3</v>
      </c>
      <c r="BD26" s="43" t="s">
        <v>736</v>
      </c>
      <c r="BE26" s="7"/>
      <c r="BF26" s="12">
        <v>3</v>
      </c>
      <c r="BG26" s="43" t="s">
        <v>737</v>
      </c>
      <c r="BH26" s="18">
        <v>0.05</v>
      </c>
      <c r="BI26" s="7"/>
      <c r="BJ26" s="12">
        <v>3</v>
      </c>
      <c r="BK26" s="43" t="s">
        <v>737</v>
      </c>
      <c r="BL26" s="12">
        <v>0.05</v>
      </c>
      <c r="BM26" s="7"/>
      <c r="BN26" s="12">
        <v>3</v>
      </c>
      <c r="BO26" s="43" t="s">
        <v>738</v>
      </c>
      <c r="BP26" s="7"/>
      <c r="BQ26" s="12">
        <v>3</v>
      </c>
      <c r="BR26" s="7" t="str">
        <f>IF(BP29&gt;1.8,TEXT(BP29-1,"0.0")&amp;" - "&amp;TEXT(BP29,"0.0"),BR27)</f>
        <v>1.8 - 2.8</v>
      </c>
      <c r="BS26" s="7"/>
      <c r="BT26" s="12">
        <v>3</v>
      </c>
      <c r="BU26" s="70" t="str">
        <f>IF(OR(BC23=4,BC23=5),"0.75 mm","-------")</f>
        <v>-------</v>
      </c>
      <c r="BV26" s="7"/>
      <c r="BW26" s="12">
        <v>3</v>
      </c>
      <c r="BX26" s="43" t="s">
        <v>739</v>
      </c>
      <c r="BY26" s="7"/>
      <c r="BZ26" s="12">
        <v>3</v>
      </c>
      <c r="CA26" s="70" t="str">
        <f>IF(OR(Cntrl6=5,Cntrl6=7),CB26,"---------")</f>
        <v>---------</v>
      </c>
      <c r="CB26" s="70" t="s">
        <v>740</v>
      </c>
      <c r="CC26" s="7"/>
      <c r="CD26" s="12">
        <v>3</v>
      </c>
      <c r="CE26" s="70" t="str">
        <f>IF(OR(CH23=5,CH23=7),CF26,"---------")</f>
        <v>---------</v>
      </c>
      <c r="CF26" s="70" t="s">
        <v>740</v>
      </c>
      <c r="CG26" s="7"/>
      <c r="CH26" s="12">
        <v>3</v>
      </c>
      <c r="CI26" s="43" t="s">
        <v>739</v>
      </c>
      <c r="CJ26" s="7"/>
      <c r="CK26" s="7"/>
      <c r="CL26" s="12" t="s">
        <v>73</v>
      </c>
      <c r="CM26" s="79" t="str">
        <f>TEXT(CM25-$AN$21,"0.0")</f>
        <v>0.2</v>
      </c>
      <c r="CN26" s="32"/>
      <c r="CO26" s="268" t="s">
        <v>73</v>
      </c>
      <c r="CP26" s="73">
        <f t="shared" si="18"/>
        <v>54</v>
      </c>
      <c r="CQ26" s="32">
        <v>94</v>
      </c>
      <c r="CR26" s="291">
        <v>3</v>
      </c>
      <c r="CS26" s="292" t="str">
        <f t="shared" si="19"/>
        <v>---------</v>
      </c>
      <c r="CT26" s="534">
        <v>24.9</v>
      </c>
      <c r="CU26" s="268" t="s">
        <v>73</v>
      </c>
      <c r="CV26" s="276" t="str">
        <f t="shared" si="20"/>
        <v>---------</v>
      </c>
      <c r="CW26" s="535">
        <v>2.99</v>
      </c>
      <c r="CX26" s="291">
        <v>3</v>
      </c>
      <c r="CY26" s="292" t="str">
        <f t="shared" si="21"/>
        <v>---------</v>
      </c>
      <c r="CZ26" s="32">
        <v>94</v>
      </c>
      <c r="DA26" s="291">
        <v>3</v>
      </c>
      <c r="DB26" s="292" t="str">
        <f t="shared" si="22"/>
        <v>---------</v>
      </c>
      <c r="DC26" s="534">
        <v>24.9</v>
      </c>
      <c r="DD26" s="268" t="s">
        <v>73</v>
      </c>
      <c r="DE26" s="276" t="str">
        <f t="shared" si="23"/>
        <v>---------</v>
      </c>
      <c r="DF26" s="535">
        <v>2.99</v>
      </c>
      <c r="DG26" s="291">
        <v>3</v>
      </c>
      <c r="DH26" s="292" t="str">
        <f t="shared" si="24"/>
        <v>---------</v>
      </c>
      <c r="DI26" s="534">
        <v>5.8</v>
      </c>
      <c r="DJ26" s="291">
        <v>3</v>
      </c>
      <c r="DK26" s="291" t="str">
        <f t="shared" si="25"/>
        <v>5.8</v>
      </c>
      <c r="DL26" s="59"/>
      <c r="DM26" s="393"/>
      <c r="DN26" s="405"/>
      <c r="DO26" s="498">
        <v>36</v>
      </c>
      <c r="DP26" s="402">
        <f t="shared" ref="DP26:DZ35" si="26">IF($DL$1,"",(aa*DP$14^2+ab*DP$14+ac)*$DO26^2+(ba*DP$14^2+bb*DP$14+bc)*$DO26+(ca*DP$14^2+cb*DP$14+cc)+$AO$1)</f>
        <v>0.98331877491409392</v>
      </c>
      <c r="DQ26" s="402">
        <f t="shared" si="26"/>
        <v>0.98331877491409392</v>
      </c>
      <c r="DR26" s="402">
        <f t="shared" si="26"/>
        <v>0.98331877491409392</v>
      </c>
      <c r="DS26" s="402">
        <f t="shared" si="26"/>
        <v>0.98331877491409392</v>
      </c>
      <c r="DT26" s="402">
        <f t="shared" si="26"/>
        <v>0.98331877491409392</v>
      </c>
      <c r="DU26" s="402">
        <f t="shared" si="26"/>
        <v>0.98331877491409392</v>
      </c>
      <c r="DV26" s="402">
        <f t="shared" si="26"/>
        <v>0.98331877491409392</v>
      </c>
      <c r="DW26" s="402">
        <f t="shared" si="26"/>
        <v>0.98331877491409392</v>
      </c>
      <c r="DX26" s="402">
        <f t="shared" si="26"/>
        <v>0.98331877491409392</v>
      </c>
      <c r="DY26" s="402">
        <f t="shared" si="26"/>
        <v>0.98331877491409392</v>
      </c>
      <c r="DZ26" s="402">
        <f t="shared" si="26"/>
        <v>0.98331877491409392</v>
      </c>
      <c r="EA26" s="499">
        <v>36</v>
      </c>
      <c r="EB26" s="1005"/>
      <c r="EC26" s="1005"/>
      <c r="ED26" s="1005"/>
      <c r="EE26" s="1005"/>
      <c r="EF26" s="1005"/>
      <c r="EG26" s="1005"/>
      <c r="EH26" s="1129" t="s">
        <v>741</v>
      </c>
      <c r="EI26" s="1130"/>
      <c r="EJ26" s="1131"/>
      <c r="EK26" s="506">
        <v>10</v>
      </c>
      <c r="EL26" s="518">
        <f>IF(ISBLANK(WebCntrl25),"",FH23)</f>
        <v>10</v>
      </c>
      <c r="EM26" s="409"/>
      <c r="EN26" s="520"/>
      <c r="EO26" s="520"/>
      <c r="EP26" s="520"/>
      <c r="EQ26" s="508"/>
      <c r="ER26" s="7" t="s">
        <v>742</v>
      </c>
      <c r="ET26" s="106">
        <f>0.47*SQRT(ET21)+FW23*(2*(ET5*0.045-ES14*0.045*0.045))</f>
        <v>1.9342601791080938</v>
      </c>
      <c r="EU26" s="544">
        <f>ET26/ET22</f>
        <v>0.10745889883933854</v>
      </c>
      <c r="EW26" s="164"/>
      <c r="EX26" s="7">
        <v>3</v>
      </c>
      <c r="EY26" s="7" t="s">
        <v>743</v>
      </c>
      <c r="EZ26" s="164"/>
      <c r="FA26" s="7">
        <v>3</v>
      </c>
      <c r="FB26" s="7" t="s">
        <v>744</v>
      </c>
      <c r="FC26" s="106"/>
      <c r="FD26" s="7">
        <v>3</v>
      </c>
      <c r="FE26" s="12">
        <v>3.9</v>
      </c>
      <c r="FG26" s="7">
        <v>3</v>
      </c>
      <c r="FH26" s="12">
        <v>19.899999999999999</v>
      </c>
      <c r="FJ26" s="7">
        <v>3</v>
      </c>
      <c r="FK26" s="9">
        <v>1190</v>
      </c>
      <c r="FM26" s="7">
        <v>3</v>
      </c>
      <c r="FN26" s="12">
        <v>5</v>
      </c>
      <c r="FP26" s="7">
        <v>3</v>
      </c>
      <c r="FQ26" s="12">
        <v>9</v>
      </c>
      <c r="FR26" s="12"/>
      <c r="FS26" s="7">
        <v>3</v>
      </c>
      <c r="FT26" s="12">
        <v>49.9</v>
      </c>
      <c r="FV26" s="7">
        <v>3</v>
      </c>
      <c r="FW26" s="12">
        <v>4.9000000000000004</v>
      </c>
      <c r="FX26" s="1116"/>
      <c r="FY26" s="1117"/>
      <c r="FZ26" s="1117"/>
      <c r="GA26" s="1117"/>
      <c r="GB26" s="1117"/>
      <c r="GC26" s="1117"/>
      <c r="GD26" s="1117"/>
      <c r="GE26" s="1117"/>
      <c r="GF26" s="1117"/>
      <c r="GG26" s="1117"/>
      <c r="GH26" s="1117"/>
      <c r="GI26" s="1117"/>
      <c r="GJ26" s="1118"/>
    </row>
    <row r="27" spans="1:192" ht="15.75" customHeight="1">
      <c r="A27">
        <v>6.4</v>
      </c>
      <c r="B27" t="s">
        <v>150</v>
      </c>
      <c r="C27" s="553"/>
      <c r="D27" s="554"/>
      <c r="E27" s="172" t="str">
        <f t="shared" si="3"/>
        <v/>
      </c>
      <c r="F27" s="555" t="str">
        <f t="shared" si="15"/>
        <v/>
      </c>
      <c r="G27" s="172" t="str">
        <f t="shared" si="5"/>
        <v/>
      </c>
      <c r="H27" t="str">
        <f t="shared" si="6"/>
        <v/>
      </c>
      <c r="I27" s="552" t="str" cm="1">
        <f t="array" ref="I27">IF(H27&lt;&gt;"",INDEX($B$2:$B$66,H27+1),"")</f>
        <v/>
      </c>
      <c r="J27" s="554" t="str">
        <f t="shared" si="0"/>
        <v/>
      </c>
      <c r="K27" t="str">
        <f t="shared" si="13"/>
        <v/>
      </c>
      <c r="L27" s="2" t="str">
        <f t="shared" si="8"/>
        <v/>
      </c>
      <c r="M27" t="str">
        <f t="shared" si="9"/>
        <v/>
      </c>
      <c r="N27" s="2" t="str">
        <f t="shared" si="10"/>
        <v/>
      </c>
      <c r="O27" s="172" t="str">
        <f t="shared" si="1"/>
        <v/>
      </c>
      <c r="P27" s="177" t="str">
        <f>IF(J27&lt;&gt;"",RIGHT(P26,LEN(P26)-J26),"")</f>
        <v/>
      </c>
      <c r="Q27" s="172" t="str">
        <f t="shared" si="2"/>
        <v/>
      </c>
      <c r="R27" s="553" t="str">
        <f t="shared" si="12"/>
        <v/>
      </c>
      <c r="S27" s="553"/>
      <c r="T27" s="7"/>
      <c r="U27" s="12">
        <v>3</v>
      </c>
      <c r="V27" s="43" t="s">
        <v>745</v>
      </c>
      <c r="W27" s="77" t="e" cm="1" vm="9">
        <f t="array" aca="1" ref="W27" ca="1">INDEX(Y103:Y106,$BT$23-1)</f>
        <v>#VALUE!</v>
      </c>
      <c r="X27" s="77" t="e" cm="1" vm="9">
        <f t="array" aca="1" ref="X27" ca="1">INDEX(Z103:Z106,$BT$23-1)</f>
        <v>#VALUE!</v>
      </c>
      <c r="Y27" s="77" t="e" cm="1" vm="9">
        <f t="array" aca="1" ref="Y27" ca="1">INDEX(AA103:AA106,$BT$23-1)</f>
        <v>#VALUE!</v>
      </c>
      <c r="Z27" s="77" t="e" cm="1" vm="9">
        <f t="array" aca="1" ref="Z27" ca="1">INDEX(AB103:AB106,$BT$23-1)</f>
        <v>#VALUE!</v>
      </c>
      <c r="AA27" s="77" t="e" cm="1" vm="9">
        <f t="array" aca="1" ref="AA27" ca="1">INDEX(AC103:AC106,$BT$23-1)</f>
        <v>#VALUE!</v>
      </c>
      <c r="AB27" s="77" t="e" cm="1" vm="9">
        <f t="array" aca="1" ref="AB27" ca="1">INDEX(AD103:AD106,$BT$23-1)</f>
        <v>#VALUE!</v>
      </c>
      <c r="AC27" s="77" t="e" cm="1" vm="9">
        <f t="array" aca="1" ref="AC27" ca="1">INDEX(AE103:AE106,$BT$23-1)</f>
        <v>#VALUE!</v>
      </c>
      <c r="AD27" s="77" t="e" cm="1" vm="9">
        <f t="array" aca="1" ref="AD27" ca="1">INDEX(AF103:AF106,$BT$23-1)</f>
        <v>#VALUE!</v>
      </c>
      <c r="AE27" s="77" t="e" cm="1" vm="9">
        <f t="array" aca="1" ref="AE27" ca="1">INDEX(AG103:AG106,$BT$23-1)</f>
        <v>#VALUE!</v>
      </c>
      <c r="AF27" s="18">
        <f>AG27</f>
        <v>0.1945134206508215</v>
      </c>
      <c r="AG27" s="992">
        <f>IF(W18,IF(W10,AH20,AH19),IF(W10,AH19,AH18))</f>
        <v>0.1945134206508215</v>
      </c>
      <c r="AH27" s="992"/>
      <c r="AI27" s="992"/>
      <c r="AJ27" s="7"/>
      <c r="AK27" s="7"/>
      <c r="AL27" s="18"/>
      <c r="AM27" s="12">
        <v>1.8</v>
      </c>
      <c r="AN27" s="7">
        <v>0.1</v>
      </c>
      <c r="AO27" s="43"/>
      <c r="AP27" s="43"/>
      <c r="AQ27" s="43"/>
      <c r="AR27" s="7"/>
      <c r="AS27" s="12">
        <v>4</v>
      </c>
      <c r="AT27" s="43" t="s">
        <v>746</v>
      </c>
      <c r="AU27" s="18">
        <v>0.16</v>
      </c>
      <c r="AV27" s="18"/>
      <c r="AW27" s="7"/>
      <c r="AX27" s="12">
        <v>4</v>
      </c>
      <c r="AY27" s="43" t="s">
        <v>77</v>
      </c>
      <c r="AZ27" s="18">
        <v>5.5E-2</v>
      </c>
      <c r="BA27" s="8">
        <f t="shared" si="17"/>
        <v>0.1</v>
      </c>
      <c r="BB27" s="7"/>
      <c r="BC27" s="12">
        <v>4</v>
      </c>
      <c r="BD27" s="43" t="s">
        <v>747</v>
      </c>
      <c r="BE27" s="7"/>
      <c r="BF27" s="12">
        <v>4</v>
      </c>
      <c r="BG27" s="43" t="s">
        <v>748</v>
      </c>
      <c r="BH27" s="18">
        <v>0.1</v>
      </c>
      <c r="BI27" s="7"/>
      <c r="BJ27" s="12">
        <v>4</v>
      </c>
      <c r="BK27" s="43" t="s">
        <v>748</v>
      </c>
      <c r="BL27" s="63">
        <v>0.1</v>
      </c>
      <c r="BN27" s="12">
        <v>4</v>
      </c>
      <c r="BO27" s="43" t="s">
        <v>749</v>
      </c>
      <c r="BP27" s="7"/>
      <c r="BQ27" s="12">
        <v>4</v>
      </c>
      <c r="BR27" s="7" t="str">
        <f>TEXT(BP29,"0.0")&amp;" - "&amp;TEXT(BP29+1,"0.0")</f>
        <v>1.8 - 2.8</v>
      </c>
      <c r="BS27" s="7"/>
      <c r="BT27" s="12">
        <v>4</v>
      </c>
      <c r="BU27" s="72" t="str">
        <f>IF(OR(BC23=4,BC23=5),"0.95 mm","-------")</f>
        <v>-------</v>
      </c>
      <c r="BV27" s="7"/>
      <c r="BW27" s="12">
        <v>4</v>
      </c>
      <c r="BX27" s="43" t="s">
        <v>750</v>
      </c>
      <c r="BY27" s="7"/>
      <c r="BZ27" s="12">
        <v>4</v>
      </c>
      <c r="CA27" s="70" t="str">
        <f>IF(OR(Cntrl6=5,Cntrl6=7),CB27,"---------")</f>
        <v>---------</v>
      </c>
      <c r="CB27" s="72" t="s">
        <v>751</v>
      </c>
      <c r="CC27" s="7"/>
      <c r="CD27" s="12">
        <v>4</v>
      </c>
      <c r="CE27" s="70" t="str">
        <f>IF(OR(CH23=5,CH23=7),CF27,"---------")</f>
        <v>---------</v>
      </c>
      <c r="CF27" s="72" t="s">
        <v>751</v>
      </c>
      <c r="CG27" s="7"/>
      <c r="CH27" s="12">
        <v>4</v>
      </c>
      <c r="CI27" s="43" t="s">
        <v>658</v>
      </c>
      <c r="CJ27" s="7"/>
      <c r="CK27" s="7"/>
      <c r="CL27" s="12" t="s">
        <v>80</v>
      </c>
      <c r="CM27" s="79" t="str">
        <f t="shared" ref="CM27:CM34" si="27">TEXT(CM26-$AN$21,"0.0")</f>
        <v>0.2</v>
      </c>
      <c r="CN27" s="32"/>
      <c r="CO27" s="268" t="s">
        <v>80</v>
      </c>
      <c r="CP27" s="73">
        <f t="shared" si="18"/>
        <v>52</v>
      </c>
      <c r="CQ27" s="32">
        <v>93</v>
      </c>
      <c r="CR27" s="291">
        <v>4</v>
      </c>
      <c r="CS27" s="292" t="str">
        <f t="shared" si="19"/>
        <v>---------</v>
      </c>
      <c r="CT27" s="534">
        <v>24.8</v>
      </c>
      <c r="CU27" s="268" t="s">
        <v>80</v>
      </c>
      <c r="CV27" s="276" t="str">
        <f t="shared" si="20"/>
        <v>---------</v>
      </c>
      <c r="CW27" s="535">
        <v>2.98</v>
      </c>
      <c r="CX27" s="291">
        <v>4</v>
      </c>
      <c r="CY27" s="292" t="str">
        <f t="shared" si="21"/>
        <v>---------</v>
      </c>
      <c r="CZ27" s="32">
        <v>93</v>
      </c>
      <c r="DA27" s="291">
        <v>4</v>
      </c>
      <c r="DB27" s="292" t="str">
        <f t="shared" si="22"/>
        <v>---------</v>
      </c>
      <c r="DC27" s="534">
        <v>24.8</v>
      </c>
      <c r="DD27" s="268" t="s">
        <v>80</v>
      </c>
      <c r="DE27" s="276" t="str">
        <f t="shared" si="23"/>
        <v>---------</v>
      </c>
      <c r="DF27" s="535">
        <v>2.98</v>
      </c>
      <c r="DG27" s="291">
        <v>4</v>
      </c>
      <c r="DH27" s="292" t="str">
        <f t="shared" si="24"/>
        <v>---------</v>
      </c>
      <c r="DI27" s="534">
        <v>5.7</v>
      </c>
      <c r="DJ27" s="291">
        <v>4</v>
      </c>
      <c r="DK27" s="291" t="str">
        <f t="shared" si="25"/>
        <v>5.7</v>
      </c>
      <c r="DL27" s="59"/>
      <c r="DM27" s="393"/>
      <c r="DN27" s="405"/>
      <c r="DO27" s="498">
        <v>34</v>
      </c>
      <c r="DP27" s="402">
        <f t="shared" si="26"/>
        <v>0.9680033378173305</v>
      </c>
      <c r="DQ27" s="402">
        <f t="shared" si="26"/>
        <v>0.9680033378173305</v>
      </c>
      <c r="DR27" s="402">
        <f t="shared" si="26"/>
        <v>0.9680033378173305</v>
      </c>
      <c r="DS27" s="402">
        <f t="shared" si="26"/>
        <v>0.9680033378173305</v>
      </c>
      <c r="DT27" s="402">
        <f t="shared" si="26"/>
        <v>0.9680033378173305</v>
      </c>
      <c r="DU27" s="402">
        <f t="shared" si="26"/>
        <v>0.9680033378173305</v>
      </c>
      <c r="DV27" s="402">
        <f t="shared" si="26"/>
        <v>0.9680033378173305</v>
      </c>
      <c r="DW27" s="402">
        <f t="shared" si="26"/>
        <v>0.9680033378173305</v>
      </c>
      <c r="DX27" s="402">
        <f t="shared" si="26"/>
        <v>0.9680033378173305</v>
      </c>
      <c r="DY27" s="402">
        <f t="shared" si="26"/>
        <v>0.9680033378173305</v>
      </c>
      <c r="DZ27" s="402">
        <f t="shared" si="26"/>
        <v>0.9680033378173305</v>
      </c>
      <c r="EA27" s="499">
        <v>34</v>
      </c>
      <c r="EB27" s="1005"/>
      <c r="EC27" s="1005"/>
      <c r="ED27" s="1005"/>
      <c r="EE27" s="1005"/>
      <c r="EF27" s="1005"/>
      <c r="EG27" s="1005"/>
      <c r="EH27" s="1129" t="s">
        <v>752</v>
      </c>
      <c r="EI27" s="1130"/>
      <c r="EJ27" s="1131"/>
      <c r="EK27" s="507">
        <v>600</v>
      </c>
      <c r="EL27" s="514">
        <f>IF(ISBLANK(WebCntrl26),"",FK23)</f>
        <v>600</v>
      </c>
      <c r="EM27" s="409"/>
      <c r="EN27" s="1130" t="s">
        <v>753</v>
      </c>
      <c r="EO27" s="1130"/>
      <c r="EP27" s="627">
        <f>IF($ES$1,"",EU8)</f>
        <v>9.5287500000000011E-2</v>
      </c>
      <c r="EQ27" s="508"/>
      <c r="EW27" s="164"/>
      <c r="EX27" s="7">
        <v>4</v>
      </c>
      <c r="EY27" s="7" t="s">
        <v>754</v>
      </c>
      <c r="FA27" s="7">
        <v>4</v>
      </c>
      <c r="FB27" s="7" t="s">
        <v>755</v>
      </c>
      <c r="FC27" s="106"/>
      <c r="FD27" s="7">
        <v>4</v>
      </c>
      <c r="FE27" s="12">
        <v>3.8</v>
      </c>
      <c r="FG27" s="7">
        <v>4</v>
      </c>
      <c r="FH27" s="12">
        <v>19.8</v>
      </c>
      <c r="FJ27" s="7">
        <v>4</v>
      </c>
      <c r="FK27" s="9">
        <v>1180</v>
      </c>
      <c r="FM27" s="7">
        <v>4</v>
      </c>
      <c r="FN27" s="12">
        <v>4</v>
      </c>
      <c r="FP27" s="7">
        <v>4</v>
      </c>
      <c r="FQ27" s="12">
        <v>8</v>
      </c>
      <c r="FR27" s="12"/>
      <c r="FS27" s="7">
        <v>4</v>
      </c>
      <c r="FT27" s="12">
        <v>49.8</v>
      </c>
      <c r="FV27" s="7">
        <v>4</v>
      </c>
      <c r="FW27" s="12">
        <v>4.8</v>
      </c>
      <c r="FX27" s="1116"/>
      <c r="FY27" s="1117"/>
      <c r="FZ27" s="1117"/>
      <c r="GA27" s="1117"/>
      <c r="GB27" s="1117"/>
      <c r="GC27" s="1117"/>
      <c r="GD27" s="1117"/>
      <c r="GE27" s="1117"/>
      <c r="GF27" s="1117"/>
      <c r="GG27" s="1117"/>
      <c r="GH27" s="1117"/>
      <c r="GI27" s="1117"/>
      <c r="GJ27" s="1118"/>
    </row>
    <row r="28" spans="1:192" ht="15.75" customHeight="1">
      <c r="A28">
        <v>6.3</v>
      </c>
      <c r="B28" t="s">
        <v>154</v>
      </c>
      <c r="C28" s="556"/>
      <c r="D28" s="556"/>
      <c r="E28" s="557"/>
      <c r="F28" s="557"/>
      <c r="G28" s="557"/>
      <c r="H28" s="557"/>
      <c r="I28" s="557"/>
      <c r="J28" s="556"/>
      <c r="K28" s="557"/>
      <c r="L28" s="556"/>
      <c r="M28" s="557"/>
      <c r="N28" s="556"/>
      <c r="O28" s="557"/>
      <c r="P28" s="557"/>
      <c r="Q28" s="557"/>
      <c r="R28" s="556"/>
      <c r="S28" s="556"/>
      <c r="T28" s="7"/>
      <c r="U28" s="12">
        <v>4</v>
      </c>
      <c r="V28" s="43" t="s">
        <v>756</v>
      </c>
      <c r="W28" s="77" t="e" cm="1" vm="9">
        <f t="array" aca="1" ref="W28" ca="1">INDEX(Y115:Y118,$BT$23-1)</f>
        <v>#VALUE!</v>
      </c>
      <c r="X28" s="77" t="e" cm="1" vm="9">
        <f t="array" aca="1" ref="X28" ca="1">INDEX(Z115:Z118,$BT$23-1)</f>
        <v>#VALUE!</v>
      </c>
      <c r="Y28" s="77" t="e" cm="1" vm="9">
        <f t="array" aca="1" ref="Y28" ca="1">INDEX(AA115:AA118,$BT$23-1)</f>
        <v>#VALUE!</v>
      </c>
      <c r="Z28" s="77" t="e" cm="1" vm="9">
        <f t="array" aca="1" ref="Z28" ca="1">INDEX(AB115:AB118,$BT$23-1)</f>
        <v>#VALUE!</v>
      </c>
      <c r="AA28" s="77" t="e" cm="1" vm="9">
        <f t="array" aca="1" ref="AA28" ca="1">INDEX(AC115:AC118,$BT$23-1)</f>
        <v>#VALUE!</v>
      </c>
      <c r="AB28" s="77" t="e" cm="1" vm="9">
        <f t="array" aca="1" ref="AB28" ca="1">INDEX(AD115:AD118,$BT$23-1)</f>
        <v>#VALUE!</v>
      </c>
      <c r="AC28" s="77" t="e" cm="1" vm="9">
        <f t="array" aca="1" ref="AC28" ca="1">INDEX(AE115:AE118,$BT$23-1)</f>
        <v>#VALUE!</v>
      </c>
      <c r="AD28" s="77" t="e" cm="1" vm="9">
        <f t="array" aca="1" ref="AD28" ca="1">INDEX(AF115:AF118,$BT$23-1)</f>
        <v>#VALUE!</v>
      </c>
      <c r="AE28" s="77" t="e" cm="1" vm="9">
        <f t="array" aca="1" ref="AE28" ca="1">INDEX(AG115:AG118,$BT$23-1)</f>
        <v>#VALUE!</v>
      </c>
      <c r="AF28" s="18">
        <f>AJ28</f>
        <v>2E-3</v>
      </c>
      <c r="AG28" s="18"/>
      <c r="AH28" s="63"/>
      <c r="AI28" s="12"/>
      <c r="AJ28" s="1171">
        <f>IF(AND(W19,NOT(W13)),AJ24,IF(W10,AJ19,AJ18))</f>
        <v>2E-3</v>
      </c>
      <c r="AK28" s="1171"/>
      <c r="AL28" s="18"/>
      <c r="AM28" s="12">
        <v>3.4</v>
      </c>
      <c r="AN28" s="7">
        <v>0.1</v>
      </c>
      <c r="AO28" s="43"/>
      <c r="AP28" s="43"/>
      <c r="AQ28" s="43"/>
      <c r="AR28" s="7"/>
      <c r="AS28" s="12">
        <v>5</v>
      </c>
      <c r="AT28" s="43" t="s">
        <v>757</v>
      </c>
      <c r="AU28" s="18">
        <v>0.1</v>
      </c>
      <c r="AV28" s="18"/>
      <c r="AW28" s="7"/>
      <c r="AX28" s="12">
        <v>5</v>
      </c>
      <c r="AY28" s="43" t="s">
        <v>84</v>
      </c>
      <c r="AZ28" s="12">
        <v>0</v>
      </c>
      <c r="BA28" s="8">
        <f t="shared" si="17"/>
        <v>4.4999999999999998E-2</v>
      </c>
      <c r="BB28" s="7"/>
      <c r="BC28" s="12">
        <v>5</v>
      </c>
      <c r="BD28" s="43" t="s">
        <v>758</v>
      </c>
      <c r="BE28" s="7"/>
      <c r="BF28" s="12">
        <v>5</v>
      </c>
      <c r="BG28" s="43" t="s">
        <v>84</v>
      </c>
      <c r="BH28" s="12">
        <v>4.4999999999999998E-2</v>
      </c>
      <c r="BI28" s="7"/>
      <c r="BJ28" s="12">
        <v>5</v>
      </c>
      <c r="BK28" s="43" t="s">
        <v>759</v>
      </c>
      <c r="BL28" s="12">
        <v>0.03</v>
      </c>
      <c r="BS28" s="59"/>
      <c r="BT28" s="12">
        <v>5</v>
      </c>
      <c r="BU28" s="75" t="str">
        <f>IF(OR(BC23=4,BC23=5),"1.15 mm","-------")</f>
        <v>-------</v>
      </c>
      <c r="BV28" s="7"/>
      <c r="BW28" s="12">
        <v>5</v>
      </c>
      <c r="BX28" s="43" t="s">
        <v>760</v>
      </c>
      <c r="BY28" s="59"/>
      <c r="BZ28" s="12">
        <v>5</v>
      </c>
      <c r="CA28" s="70" t="str">
        <f>IF(OR(Cntrl6=5,Cntrl6=7),CB28,"---------")</f>
        <v>---------</v>
      </c>
      <c r="CB28" s="75" t="s">
        <v>761</v>
      </c>
      <c r="CC28" s="59"/>
      <c r="CD28" s="12">
        <v>5</v>
      </c>
      <c r="CE28" s="70" t="str">
        <f>IF(OR(CH23=5,CH23=7),CF28,"---------")</f>
        <v>---------</v>
      </c>
      <c r="CF28" s="75" t="s">
        <v>761</v>
      </c>
      <c r="CG28" s="7"/>
      <c r="CH28" s="12">
        <v>5</v>
      </c>
      <c r="CI28" s="43" t="s">
        <v>656</v>
      </c>
      <c r="CJ28" s="7"/>
      <c r="CK28" s="7"/>
      <c r="CL28" s="12" t="s">
        <v>86</v>
      </c>
      <c r="CM28" s="79" t="str">
        <f t="shared" si="27"/>
        <v>0.2</v>
      </c>
      <c r="CN28" s="32"/>
      <c r="CO28" s="268" t="s">
        <v>86</v>
      </c>
      <c r="CP28" s="73">
        <f t="shared" si="18"/>
        <v>50</v>
      </c>
      <c r="CQ28" s="32">
        <v>92</v>
      </c>
      <c r="CR28" s="291">
        <v>5</v>
      </c>
      <c r="CS28" s="292" t="str">
        <f t="shared" si="19"/>
        <v>---------</v>
      </c>
      <c r="CT28" s="534">
        <v>24.7</v>
      </c>
      <c r="CU28" s="268" t="s">
        <v>86</v>
      </c>
      <c r="CV28" s="276" t="str">
        <f t="shared" si="20"/>
        <v>---------</v>
      </c>
      <c r="CW28" s="535">
        <v>2.97</v>
      </c>
      <c r="CX28" s="291">
        <v>5</v>
      </c>
      <c r="CY28" s="292" t="str">
        <f t="shared" si="21"/>
        <v>---------</v>
      </c>
      <c r="CZ28" s="32">
        <v>92</v>
      </c>
      <c r="DA28" s="291">
        <v>5</v>
      </c>
      <c r="DB28" s="292" t="str">
        <f t="shared" si="22"/>
        <v>---------</v>
      </c>
      <c r="DC28" s="534">
        <v>24.7</v>
      </c>
      <c r="DD28" s="268" t="s">
        <v>86</v>
      </c>
      <c r="DE28" s="276" t="str">
        <f t="shared" si="23"/>
        <v>---------</v>
      </c>
      <c r="DF28" s="535">
        <v>2.97</v>
      </c>
      <c r="DG28" s="291">
        <v>5</v>
      </c>
      <c r="DH28" s="292" t="str">
        <f t="shared" si="24"/>
        <v>---------</v>
      </c>
      <c r="DI28" s="534">
        <v>5.6</v>
      </c>
      <c r="DJ28" s="291">
        <v>5</v>
      </c>
      <c r="DK28" s="291" t="str">
        <f t="shared" si="25"/>
        <v>5.6</v>
      </c>
      <c r="DL28" s="59"/>
      <c r="DM28" s="393"/>
      <c r="DN28" s="406"/>
      <c r="DO28" s="500">
        <v>33</v>
      </c>
      <c r="DP28" s="407">
        <f t="shared" si="26"/>
        <v>0.95990010805801174</v>
      </c>
      <c r="DQ28" s="407">
        <f t="shared" si="26"/>
        <v>0.95990010805801174</v>
      </c>
      <c r="DR28" s="407">
        <f t="shared" si="26"/>
        <v>0.95990010805801174</v>
      </c>
      <c r="DS28" s="407">
        <f t="shared" si="26"/>
        <v>0.95990010805801174</v>
      </c>
      <c r="DT28" s="407">
        <f t="shared" si="26"/>
        <v>0.95990010805801174</v>
      </c>
      <c r="DU28" s="407">
        <f t="shared" si="26"/>
        <v>0.95990010805801174</v>
      </c>
      <c r="DV28" s="407">
        <f t="shared" si="26"/>
        <v>0.95990010805801174</v>
      </c>
      <c r="DW28" s="407">
        <f t="shared" si="26"/>
        <v>0.95990010805801174</v>
      </c>
      <c r="DX28" s="407">
        <f t="shared" si="26"/>
        <v>0.95990010805801174</v>
      </c>
      <c r="DY28" s="407">
        <f t="shared" si="26"/>
        <v>0.95990010805801174</v>
      </c>
      <c r="DZ28" s="407">
        <f t="shared" si="26"/>
        <v>0.95990010805801174</v>
      </c>
      <c r="EA28" s="408">
        <v>33</v>
      </c>
      <c r="EB28" s="1005"/>
      <c r="EC28" s="1005"/>
      <c r="ED28" s="1005"/>
      <c r="EE28" s="1005"/>
      <c r="EF28" s="1005"/>
      <c r="EG28" s="1005"/>
      <c r="EH28" s="1129" t="s">
        <v>762</v>
      </c>
      <c r="EI28" s="1130"/>
      <c r="EJ28" s="1131"/>
      <c r="EK28" s="507">
        <v>2</v>
      </c>
      <c r="EL28" s="514">
        <f>IF(ISBLANK(WebCntrl27),"",FN23)</f>
        <v>3</v>
      </c>
      <c r="EM28" s="409"/>
      <c r="EN28" s="1130" t="s">
        <v>763</v>
      </c>
      <c r="EO28" s="1130"/>
      <c r="EP28" s="627">
        <f>IF($ES$1,"",EU14)</f>
        <v>5.0681250000000011E-2</v>
      </c>
      <c r="EQ28" s="508"/>
      <c r="ER28" s="7" t="s">
        <v>652</v>
      </c>
      <c r="EU28" s="545">
        <f>EU24+EU26</f>
        <v>0.30410009656693887</v>
      </c>
      <c r="EX28" s="7">
        <v>5</v>
      </c>
      <c r="EY28" s="7" t="s">
        <v>764</v>
      </c>
      <c r="FC28" s="106"/>
      <c r="FD28" s="7">
        <v>5</v>
      </c>
      <c r="FE28" s="12">
        <v>3.7</v>
      </c>
      <c r="FG28" s="7">
        <v>5</v>
      </c>
      <c r="FH28" s="12">
        <v>19.7</v>
      </c>
      <c r="FJ28" s="7">
        <v>5</v>
      </c>
      <c r="FK28" s="9">
        <v>1170</v>
      </c>
      <c r="FM28" s="7">
        <v>5</v>
      </c>
      <c r="FN28" s="12">
        <v>3</v>
      </c>
      <c r="FP28" s="7">
        <v>5</v>
      </c>
      <c r="FQ28" s="12">
        <v>7</v>
      </c>
      <c r="FR28" s="12"/>
      <c r="FS28" s="7">
        <v>5</v>
      </c>
      <c r="FT28" s="12">
        <v>49.7</v>
      </c>
      <c r="FV28" s="7">
        <v>5</v>
      </c>
      <c r="FW28" s="12">
        <v>4.7</v>
      </c>
      <c r="FX28" s="1116"/>
      <c r="FY28" s="1117"/>
      <c r="FZ28" s="1117"/>
      <c r="GA28" s="1117"/>
      <c r="GB28" s="1117"/>
      <c r="GC28" s="1117"/>
      <c r="GD28" s="1117"/>
      <c r="GE28" s="1117"/>
      <c r="GF28" s="1117"/>
      <c r="GG28" s="1117"/>
      <c r="GH28" s="1117"/>
      <c r="GI28" s="1117"/>
      <c r="GJ28" s="1118"/>
    </row>
    <row r="29" spans="1:192" ht="15.75" customHeight="1">
      <c r="A29">
        <v>6.2</v>
      </c>
      <c r="B29" t="s">
        <v>159</v>
      </c>
      <c r="T29" s="7"/>
      <c r="U29" s="12">
        <v>5</v>
      </c>
      <c r="V29" s="43" t="s">
        <v>765</v>
      </c>
      <c r="W29" s="77">
        <v>1.8394459915494469E-5</v>
      </c>
      <c r="X29" s="77">
        <v>9.7684971937854088E-5</v>
      </c>
      <c r="Y29" s="77">
        <v>-3.1889878159773632E-4</v>
      </c>
      <c r="Z29" s="77">
        <v>-6.018369799393699E-4</v>
      </c>
      <c r="AA29" s="77">
        <v>-2.1700362410909037E-2</v>
      </c>
      <c r="AB29" s="77">
        <v>4.3887876829102113E-2</v>
      </c>
      <c r="AC29" s="77">
        <v>-3.2383830259061372E-2</v>
      </c>
      <c r="AD29" s="77">
        <v>1.1569885618566782</v>
      </c>
      <c r="AE29" s="77">
        <v>2.225015053092827E-2</v>
      </c>
      <c r="AF29" s="18"/>
      <c r="AG29" s="18"/>
      <c r="AH29" s="63"/>
      <c r="AI29" s="12"/>
      <c r="AJ29" s="12"/>
      <c r="AK29" s="12"/>
      <c r="AL29" s="18"/>
      <c r="AM29" s="12">
        <v>4.9000000000000004</v>
      </c>
      <c r="AN29" s="7">
        <v>0.1</v>
      </c>
      <c r="AO29" s="43"/>
      <c r="AP29" s="43"/>
      <c r="AQ29" s="43"/>
      <c r="AR29" s="7"/>
      <c r="AS29" s="12">
        <v>6</v>
      </c>
      <c r="AT29" s="43" t="s">
        <v>766</v>
      </c>
      <c r="AU29" s="18">
        <v>0.02</v>
      </c>
      <c r="AV29" s="18"/>
      <c r="AW29" s="7"/>
      <c r="AX29" s="12">
        <v>6</v>
      </c>
      <c r="AY29" s="43" t="s">
        <v>90</v>
      </c>
      <c r="AZ29" s="12">
        <v>1.4E-2</v>
      </c>
      <c r="BA29" s="8">
        <f t="shared" si="17"/>
        <v>5.8999999999999997E-2</v>
      </c>
      <c r="BB29" s="7"/>
      <c r="BC29" s="12">
        <v>6</v>
      </c>
      <c r="BD29" s="43" t="s">
        <v>767</v>
      </c>
      <c r="BE29"/>
      <c r="BF29" s="12">
        <v>6</v>
      </c>
      <c r="BG29" s="43" t="s">
        <v>90</v>
      </c>
      <c r="BH29" s="12">
        <v>5.8999999999999997E-2</v>
      </c>
      <c r="BI29" s="7"/>
      <c r="BJ29" s="12">
        <v>6</v>
      </c>
      <c r="BK29" s="43" t="s">
        <v>768</v>
      </c>
      <c r="BL29" s="12">
        <v>3.5000000000000003E-2</v>
      </c>
      <c r="BP29" s="7" cm="1">
        <f t="array" ref="BP29">INDEX($AM$25:$AM$31,$U$23)</f>
        <v>1.8</v>
      </c>
      <c r="BQ29" s="536">
        <f>IF(BP29=1.8,0,1)</f>
        <v>0</v>
      </c>
      <c r="BS29" s="59"/>
      <c r="BT29" s="59"/>
      <c r="BU29" s="59"/>
      <c r="BV29" s="7"/>
      <c r="BW29" s="12">
        <v>6</v>
      </c>
      <c r="BX29" s="43" t="s">
        <v>769</v>
      </c>
      <c r="BY29" s="59"/>
      <c r="BZ29" s="59"/>
      <c r="CA29" s="59"/>
      <c r="CB29" s="59"/>
      <c r="CC29" s="59"/>
      <c r="CD29" s="59"/>
      <c r="CE29" s="59"/>
      <c r="CF29" s="59"/>
      <c r="CG29" s="7"/>
      <c r="CH29" s="12">
        <v>6</v>
      </c>
      <c r="CI29" s="43" t="s">
        <v>769</v>
      </c>
      <c r="CJ29" s="7"/>
      <c r="CK29" s="7"/>
      <c r="CL29" s="12" t="s">
        <v>93</v>
      </c>
      <c r="CM29" s="79" t="str">
        <f t="shared" si="27"/>
        <v>0.2</v>
      </c>
      <c r="CN29" s="32"/>
      <c r="CO29" s="268" t="s">
        <v>93</v>
      </c>
      <c r="CP29" s="73">
        <f t="shared" si="18"/>
        <v>48</v>
      </c>
      <c r="CQ29" s="32">
        <v>91</v>
      </c>
      <c r="CR29" s="291">
        <v>6</v>
      </c>
      <c r="CS29" s="292" t="str">
        <f t="shared" si="19"/>
        <v>---------</v>
      </c>
      <c r="CT29" s="534">
        <v>24.6</v>
      </c>
      <c r="CU29" s="268" t="s">
        <v>93</v>
      </c>
      <c r="CV29" s="276" t="str">
        <f t="shared" si="20"/>
        <v>---------</v>
      </c>
      <c r="CW29" s="535">
        <v>2.96</v>
      </c>
      <c r="CX29" s="291">
        <v>6</v>
      </c>
      <c r="CY29" s="292" t="str">
        <f t="shared" si="21"/>
        <v>---------</v>
      </c>
      <c r="CZ29" s="32">
        <v>91</v>
      </c>
      <c r="DA29" s="291">
        <v>6</v>
      </c>
      <c r="DB29" s="292" t="str">
        <f t="shared" si="22"/>
        <v>---------</v>
      </c>
      <c r="DC29" s="534">
        <v>24.6</v>
      </c>
      <c r="DD29" s="268" t="s">
        <v>93</v>
      </c>
      <c r="DE29" s="276" t="str">
        <f t="shared" si="23"/>
        <v>---------</v>
      </c>
      <c r="DF29" s="535">
        <v>2.96</v>
      </c>
      <c r="DG29" s="291">
        <v>6</v>
      </c>
      <c r="DH29" s="292" t="str">
        <f t="shared" si="24"/>
        <v>---------</v>
      </c>
      <c r="DI29" s="534">
        <v>5.5</v>
      </c>
      <c r="DJ29" s="291">
        <v>6</v>
      </c>
      <c r="DK29" s="291" t="str">
        <f t="shared" si="25"/>
        <v>5.5</v>
      </c>
      <c r="DL29" s="59"/>
      <c r="DM29" s="393"/>
      <c r="DN29" s="406"/>
      <c r="DO29" s="500">
        <v>32</v>
      </c>
      <c r="DP29" s="407">
        <f t="shared" si="26"/>
        <v>0.95149987082473508</v>
      </c>
      <c r="DQ29" s="407">
        <f t="shared" si="26"/>
        <v>0.95149987082473508</v>
      </c>
      <c r="DR29" s="407">
        <f t="shared" si="26"/>
        <v>0.95149987082473508</v>
      </c>
      <c r="DS29" s="407">
        <f t="shared" si="26"/>
        <v>0.95149987082473508</v>
      </c>
      <c r="DT29" s="407">
        <f t="shared" si="26"/>
        <v>0.95149987082473508</v>
      </c>
      <c r="DU29" s="407">
        <f t="shared" si="26"/>
        <v>0.95149987082473508</v>
      </c>
      <c r="DV29" s="407">
        <f t="shared" si="26"/>
        <v>0.95149987082473508</v>
      </c>
      <c r="DW29" s="407">
        <f t="shared" si="26"/>
        <v>0.95149987082473508</v>
      </c>
      <c r="DX29" s="407">
        <f t="shared" si="26"/>
        <v>0.95149987082473508</v>
      </c>
      <c r="DY29" s="407">
        <f t="shared" si="26"/>
        <v>0.95149987082473508</v>
      </c>
      <c r="DZ29" s="407">
        <f t="shared" si="26"/>
        <v>0.95149987082473508</v>
      </c>
      <c r="EA29" s="408">
        <v>32</v>
      </c>
      <c r="EB29" s="1005"/>
      <c r="EC29" s="1005"/>
      <c r="ED29" s="1005"/>
      <c r="EE29" s="1005"/>
      <c r="EF29" s="1005"/>
      <c r="EG29" s="1005"/>
      <c r="EH29" s="1129" t="s">
        <v>770</v>
      </c>
      <c r="EI29" s="1130"/>
      <c r="EJ29" s="1131"/>
      <c r="EK29" s="507">
        <v>4</v>
      </c>
      <c r="EL29" s="514">
        <f>IF(ISBLANK(WebCntrl28),"",FQ23)</f>
        <v>4</v>
      </c>
      <c r="EM29" s="409"/>
      <c r="EN29" s="1194" t="s">
        <v>771</v>
      </c>
      <c r="EO29" s="1194"/>
      <c r="EP29" s="629">
        <f>IF($ES$1,"",EU13)</f>
        <v>3.7499999999999999E-2</v>
      </c>
      <c r="EQ29" s="508"/>
      <c r="FC29" s="106"/>
      <c r="FD29" s="7">
        <v>6</v>
      </c>
      <c r="FE29" s="12">
        <v>3.6</v>
      </c>
      <c r="FG29" s="7">
        <v>6</v>
      </c>
      <c r="FH29" s="12">
        <v>19.600000000000001</v>
      </c>
      <c r="FJ29" s="7">
        <v>6</v>
      </c>
      <c r="FK29" s="9">
        <v>1160</v>
      </c>
      <c r="FM29" s="7">
        <v>6</v>
      </c>
      <c r="FN29" s="12">
        <v>2</v>
      </c>
      <c r="FP29" s="7">
        <v>6</v>
      </c>
      <c r="FQ29" s="12">
        <v>6</v>
      </c>
      <c r="FR29" s="12"/>
      <c r="FS29" s="7">
        <v>6</v>
      </c>
      <c r="FT29" s="12">
        <v>49.6</v>
      </c>
      <c r="FV29" s="7">
        <v>6</v>
      </c>
      <c r="FW29" s="12">
        <v>4.5999999999999996</v>
      </c>
      <c r="FX29" s="1116"/>
      <c r="FY29" s="1117"/>
      <c r="FZ29" s="1117"/>
      <c r="GA29" s="1117"/>
      <c r="GB29" s="1117"/>
      <c r="GC29" s="1117"/>
      <c r="GD29" s="1117"/>
      <c r="GE29" s="1117"/>
      <c r="GF29" s="1117"/>
      <c r="GG29" s="1117"/>
      <c r="GH29" s="1117"/>
      <c r="GI29" s="1117"/>
      <c r="GJ29" s="1118"/>
    </row>
    <row r="30" spans="1:192" ht="15.75" customHeight="1">
      <c r="A30">
        <v>6.1</v>
      </c>
      <c r="B30" t="s">
        <v>163</v>
      </c>
      <c r="T30" s="7"/>
      <c r="U30" s="12">
        <v>6</v>
      </c>
      <c r="V30" s="43" t="s">
        <v>772</v>
      </c>
      <c r="W30" s="117">
        <v>2.7522836010186559E-6</v>
      </c>
      <c r="X30" s="117">
        <v>1.2327827515056904E-4</v>
      </c>
      <c r="Y30" s="117">
        <v>-2.1754236726605013E-4</v>
      </c>
      <c r="Z30" s="117">
        <v>1.5020814432623497E-4</v>
      </c>
      <c r="AA30" s="117">
        <v>-2.1147991835544378E-2</v>
      </c>
      <c r="AB30" s="117">
        <v>2.9007385293620826E-2</v>
      </c>
      <c r="AC30" s="117">
        <v>-3.6096075869442086E-2</v>
      </c>
      <c r="AD30" s="117">
        <v>1.1025327614940386</v>
      </c>
      <c r="AE30" s="117">
        <v>0.15588284315467305</v>
      </c>
      <c r="AF30" s="18"/>
      <c r="AG30" s="18"/>
      <c r="AH30" s="63"/>
      <c r="AI30" s="12"/>
      <c r="AJ30" s="12"/>
      <c r="AK30" s="12"/>
      <c r="AL30" s="18"/>
      <c r="AM30" s="12">
        <v>3.4</v>
      </c>
      <c r="AN30" s="7">
        <v>0.1</v>
      </c>
      <c r="AO30" s="43"/>
      <c r="AP30" s="43"/>
      <c r="AQ30" s="43"/>
      <c r="AR30" s="7"/>
      <c r="AS30" s="12">
        <v>7</v>
      </c>
      <c r="AT30" s="43" t="s">
        <v>168</v>
      </c>
      <c r="AU30" s="18">
        <v>0.02</v>
      </c>
      <c r="AV30" s="7"/>
      <c r="AW30" s="43"/>
      <c r="AX30" s="12"/>
      <c r="AY30" s="43"/>
      <c r="AZ30" s="12"/>
      <c r="BA30" s="8"/>
      <c r="BB30" s="7"/>
      <c r="BC30" s="12">
        <v>7</v>
      </c>
      <c r="BD30" s="43" t="s">
        <v>773</v>
      </c>
      <c r="BE30"/>
      <c r="BF30" s="12"/>
      <c r="BG30" s="43"/>
      <c r="BH30" s="18"/>
      <c r="BI30" s="7"/>
      <c r="BJ30" s="12">
        <v>7</v>
      </c>
      <c r="BK30" s="43" t="s">
        <v>774</v>
      </c>
      <c r="BL30" s="12">
        <v>0.04</v>
      </c>
      <c r="BP30" s="7"/>
      <c r="BQ30" s="537">
        <f>IF(OR(Cntrl9=4,NOT(BQ29)),2,1)</f>
        <v>2</v>
      </c>
      <c r="BS30" s="59"/>
      <c r="BT30" s="59"/>
      <c r="BU30" s="59"/>
      <c r="BV30" s="7"/>
      <c r="BW30" s="12">
        <v>7</v>
      </c>
      <c r="BX30" s="43" t="s">
        <v>775</v>
      </c>
      <c r="BY30" s="59"/>
      <c r="BZ30" s="59"/>
      <c r="CA30" s="59"/>
      <c r="CB30" s="59"/>
      <c r="CC30" s="59"/>
      <c r="CD30" s="59"/>
      <c r="CE30" s="59"/>
      <c r="CF30" s="59"/>
      <c r="CG30" s="59"/>
      <c r="CH30" s="12">
        <v>7</v>
      </c>
      <c r="CI30" s="43" t="s">
        <v>775</v>
      </c>
      <c r="CJ30" s="59"/>
      <c r="CK30" s="7"/>
      <c r="CL30" s="12" t="s">
        <v>99</v>
      </c>
      <c r="CM30" s="79" t="str">
        <f t="shared" si="27"/>
        <v>0.2</v>
      </c>
      <c r="CN30" s="7"/>
      <c r="CO30" s="12" t="s">
        <v>99</v>
      </c>
      <c r="CP30" s="73">
        <f t="shared" si="18"/>
        <v>46</v>
      </c>
      <c r="CQ30" s="32">
        <v>90</v>
      </c>
      <c r="CR30" s="59">
        <v>7</v>
      </c>
      <c r="CS30" s="292" t="str">
        <f t="shared" si="19"/>
        <v>---------</v>
      </c>
      <c r="CT30" s="534">
        <v>24.5</v>
      </c>
      <c r="CU30" s="12" t="s">
        <v>99</v>
      </c>
      <c r="CV30" s="276" t="str">
        <f t="shared" si="20"/>
        <v>---------</v>
      </c>
      <c r="CW30" s="535">
        <v>2.95</v>
      </c>
      <c r="CX30" s="59">
        <v>7</v>
      </c>
      <c r="CY30" s="292" t="str">
        <f t="shared" si="21"/>
        <v>---------</v>
      </c>
      <c r="CZ30" s="32">
        <v>90</v>
      </c>
      <c r="DA30" s="59">
        <v>7</v>
      </c>
      <c r="DB30" s="292" t="str">
        <f t="shared" si="22"/>
        <v>---------</v>
      </c>
      <c r="DC30" s="534">
        <v>24.5</v>
      </c>
      <c r="DD30" s="12" t="s">
        <v>99</v>
      </c>
      <c r="DE30" s="276" t="str">
        <f t="shared" si="23"/>
        <v>---------</v>
      </c>
      <c r="DF30" s="535">
        <v>2.95</v>
      </c>
      <c r="DG30" s="59">
        <v>7</v>
      </c>
      <c r="DH30" s="292" t="str">
        <f t="shared" si="24"/>
        <v>---------</v>
      </c>
      <c r="DI30" s="106">
        <v>5.4</v>
      </c>
      <c r="DJ30" s="59">
        <v>7</v>
      </c>
      <c r="DK30" s="74" t="str">
        <f t="shared" si="25"/>
        <v>5.4</v>
      </c>
      <c r="DL30" s="59"/>
      <c r="DM30" s="393"/>
      <c r="DN30" s="406"/>
      <c r="DO30" s="500">
        <v>31</v>
      </c>
      <c r="DP30" s="407">
        <f t="shared" si="26"/>
        <v>0.94280262611750021</v>
      </c>
      <c r="DQ30" s="407">
        <f t="shared" si="26"/>
        <v>0.94280262611750021</v>
      </c>
      <c r="DR30" s="407">
        <f t="shared" si="26"/>
        <v>0.94280262611750021</v>
      </c>
      <c r="DS30" s="407">
        <f t="shared" si="26"/>
        <v>0.94280262611750021</v>
      </c>
      <c r="DT30" s="407">
        <f t="shared" si="26"/>
        <v>0.94280262611750021</v>
      </c>
      <c r="DU30" s="407">
        <f t="shared" si="26"/>
        <v>0.94280262611750021</v>
      </c>
      <c r="DV30" s="407">
        <f t="shared" si="26"/>
        <v>0.94280262611750021</v>
      </c>
      <c r="DW30" s="407">
        <f t="shared" si="26"/>
        <v>0.94280262611750021</v>
      </c>
      <c r="DX30" s="407">
        <f t="shared" si="26"/>
        <v>0.94280262611750021</v>
      </c>
      <c r="DY30" s="407">
        <f t="shared" si="26"/>
        <v>0.94280262611750021</v>
      </c>
      <c r="DZ30" s="407">
        <f t="shared" si="26"/>
        <v>0.94280262611750021</v>
      </c>
      <c r="EA30" s="408">
        <v>31</v>
      </c>
      <c r="EB30" s="993" cm="1">
        <f t="array" ref="EB30">PIC_walls4</f>
        <v>0</v>
      </c>
      <c r="EC30" s="993"/>
      <c r="ED30" s="993"/>
      <c r="EE30" s="1125" cm="1">
        <f t="array" ref="EE30">IF($DL$1,"",PIC_walls3)</f>
        <v>0</v>
      </c>
      <c r="EF30" s="1125"/>
      <c r="EG30" s="1125"/>
      <c r="EH30" s="519"/>
      <c r="EI30" s="528"/>
      <c r="EJ30" s="528"/>
      <c r="EK30" s="528"/>
      <c r="EL30" s="513"/>
      <c r="EM30" s="519"/>
      <c r="EN30" s="520"/>
      <c r="EO30" s="527" t="s">
        <v>776</v>
      </c>
      <c r="EP30" s="627">
        <f>IF($ES$1,"",EU16)</f>
        <v>0.18346875000000001</v>
      </c>
      <c r="EQ30" s="508"/>
      <c r="FC30" s="106"/>
      <c r="FD30" s="7">
        <v>7</v>
      </c>
      <c r="FE30" s="12">
        <v>3.5</v>
      </c>
      <c r="FG30" s="7">
        <v>7</v>
      </c>
      <c r="FH30" s="12">
        <v>19.5</v>
      </c>
      <c r="FJ30" s="7">
        <v>7</v>
      </c>
      <c r="FK30" s="9">
        <v>1150</v>
      </c>
      <c r="FM30" s="7">
        <v>7</v>
      </c>
      <c r="FN30" s="12">
        <v>1</v>
      </c>
      <c r="FP30" s="7">
        <v>7</v>
      </c>
      <c r="FQ30" s="12">
        <v>5</v>
      </c>
      <c r="FR30" s="12"/>
      <c r="FS30" s="7">
        <v>7</v>
      </c>
      <c r="FT30" s="12">
        <v>49.5</v>
      </c>
      <c r="FV30" s="7">
        <v>7</v>
      </c>
      <c r="FW30" s="12">
        <v>4.5</v>
      </c>
      <c r="FX30" s="1116"/>
      <c r="FY30" s="1117"/>
      <c r="FZ30" s="1117"/>
      <c r="GA30" s="1117"/>
      <c r="GB30" s="1117"/>
      <c r="GC30" s="1117"/>
      <c r="GD30" s="1117"/>
      <c r="GE30" s="1117"/>
      <c r="GF30" s="1117"/>
      <c r="GG30" s="1117"/>
      <c r="GH30" s="1117"/>
      <c r="GI30" s="1117"/>
      <c r="GJ30" s="1118"/>
    </row>
    <row r="31" spans="1:192" ht="15.75" customHeight="1">
      <c r="A31">
        <v>6</v>
      </c>
      <c r="B31" t="s">
        <v>167</v>
      </c>
      <c r="T31" s="7"/>
      <c r="U31" s="12">
        <v>7</v>
      </c>
      <c r="V31" s="43" t="s">
        <v>777</v>
      </c>
      <c r="W31" s="117">
        <v>-3.2563745642857896E-7</v>
      </c>
      <c r="X31" s="117">
        <v>1.9105132796010398E-4</v>
      </c>
      <c r="Y31" s="117">
        <v>-3.7891703518946911E-4</v>
      </c>
      <c r="Z31" s="117">
        <v>4.3722457771198074E-4</v>
      </c>
      <c r="AA31" s="117">
        <v>-3.0642032470631561E-2</v>
      </c>
      <c r="AB31" s="117">
        <v>4.6153559117806692E-2</v>
      </c>
      <c r="AC31" s="117">
        <v>-3.8791187859177838E-2</v>
      </c>
      <c r="AD31" s="117">
        <v>1.3831363991922363</v>
      </c>
      <c r="AE31" s="117">
        <v>0.17950356529411571</v>
      </c>
      <c r="AF31" s="18"/>
      <c r="AG31" s="18"/>
      <c r="AH31" s="63"/>
      <c r="AI31" s="12"/>
      <c r="AJ31" s="12"/>
      <c r="AK31" s="12"/>
      <c r="AL31" s="18"/>
      <c r="AM31" s="12">
        <v>4.5999999999999996</v>
      </c>
      <c r="AN31" s="7">
        <v>0.1</v>
      </c>
      <c r="AO31" s="43"/>
      <c r="AP31" s="43"/>
      <c r="AQ31" s="43"/>
      <c r="AR31" s="7"/>
      <c r="AS31" s="12">
        <v>8</v>
      </c>
      <c r="AT31" s="43" t="s">
        <v>778</v>
      </c>
      <c r="AU31" s="12">
        <v>4.3999999999999997E-2</v>
      </c>
      <c r="AV31" s="7"/>
      <c r="AW31" s="43"/>
      <c r="AX31" s="43"/>
      <c r="AY31" s="43"/>
      <c r="AZ31" s="43"/>
      <c r="BA31" s="43"/>
      <c r="BB31"/>
      <c r="BC31" s="12">
        <v>8</v>
      </c>
      <c r="BD31" s="43" t="s">
        <v>779</v>
      </c>
      <c r="BE31"/>
      <c r="BF31"/>
      <c r="BG31" s="2"/>
      <c r="BI31" s="7"/>
      <c r="BJ31" s="12">
        <v>8</v>
      </c>
      <c r="BK31" s="43" t="s">
        <v>780</v>
      </c>
      <c r="BL31" s="12">
        <v>0.04</v>
      </c>
      <c r="BP31" s="59"/>
      <c r="BQ31" s="59"/>
      <c r="BR31" s="59"/>
      <c r="BS31" s="59"/>
      <c r="BT31" s="59"/>
      <c r="BU31" s="59"/>
      <c r="BV31" s="7"/>
      <c r="BY31" s="59"/>
      <c r="BZ31" s="59"/>
      <c r="CA31" s="59"/>
      <c r="CB31" s="59"/>
      <c r="CC31" s="59"/>
      <c r="CD31" s="59"/>
      <c r="CE31" s="59"/>
      <c r="CF31" s="59"/>
      <c r="CG31" s="59"/>
      <c r="CH31" s="59"/>
      <c r="CI31" s="59"/>
      <c r="CJ31" s="59"/>
      <c r="CK31" s="7"/>
      <c r="CL31" s="12" t="s">
        <v>106</v>
      </c>
      <c r="CM31" s="79" t="str">
        <f t="shared" si="27"/>
        <v>0.2</v>
      </c>
      <c r="CN31" s="7"/>
      <c r="CO31" s="12" t="s">
        <v>106</v>
      </c>
      <c r="CP31" s="73">
        <f t="shared" si="18"/>
        <v>44</v>
      </c>
      <c r="CQ31" s="7">
        <v>89</v>
      </c>
      <c r="CR31" s="59">
        <v>8</v>
      </c>
      <c r="CS31" s="292" t="str">
        <f t="shared" si="19"/>
        <v>---------</v>
      </c>
      <c r="CT31" s="106">
        <v>24.4</v>
      </c>
      <c r="CU31" s="12" t="s">
        <v>106</v>
      </c>
      <c r="CV31" s="276" t="str">
        <f t="shared" si="20"/>
        <v>---------</v>
      </c>
      <c r="CW31" s="290">
        <v>2.94</v>
      </c>
      <c r="CX31" s="59">
        <v>8</v>
      </c>
      <c r="CY31" s="292" t="str">
        <f t="shared" si="21"/>
        <v>---------</v>
      </c>
      <c r="CZ31" s="7">
        <v>89</v>
      </c>
      <c r="DA31" s="59">
        <v>8</v>
      </c>
      <c r="DB31" s="292" t="str">
        <f t="shared" si="22"/>
        <v>---------</v>
      </c>
      <c r="DC31" s="106">
        <v>24.4</v>
      </c>
      <c r="DD31" s="12" t="s">
        <v>106</v>
      </c>
      <c r="DE31" s="276" t="str">
        <f t="shared" si="23"/>
        <v>---------</v>
      </c>
      <c r="DF31" s="290">
        <v>2.94</v>
      </c>
      <c r="DG31" s="59">
        <v>8</v>
      </c>
      <c r="DH31" s="292" t="str">
        <f t="shared" si="24"/>
        <v>---------</v>
      </c>
      <c r="DI31" s="106">
        <v>5.3</v>
      </c>
      <c r="DJ31" s="59">
        <v>8</v>
      </c>
      <c r="DK31" s="74" t="str">
        <f t="shared" si="25"/>
        <v>5.3</v>
      </c>
      <c r="DL31" s="59"/>
      <c r="DM31" s="393"/>
      <c r="DN31" s="406"/>
      <c r="DO31" s="500">
        <v>30</v>
      </c>
      <c r="DP31" s="407">
        <f t="shared" si="26"/>
        <v>0.93380837393630745</v>
      </c>
      <c r="DQ31" s="407">
        <f t="shared" si="26"/>
        <v>0.93380837393630745</v>
      </c>
      <c r="DR31" s="407">
        <f t="shared" si="26"/>
        <v>0.93380837393630745</v>
      </c>
      <c r="DS31" s="407">
        <f t="shared" si="26"/>
        <v>0.93380837393630745</v>
      </c>
      <c r="DT31" s="407">
        <f t="shared" si="26"/>
        <v>0.93380837393630745</v>
      </c>
      <c r="DU31" s="407">
        <f t="shared" si="26"/>
        <v>0.93380837393630745</v>
      </c>
      <c r="DV31" s="407">
        <f t="shared" si="26"/>
        <v>0.93380837393630745</v>
      </c>
      <c r="DW31" s="407">
        <f t="shared" si="26"/>
        <v>0.93380837393630745</v>
      </c>
      <c r="DX31" s="407">
        <f t="shared" si="26"/>
        <v>0.93380837393630745</v>
      </c>
      <c r="DY31" s="407">
        <f t="shared" si="26"/>
        <v>0.93380837393630745</v>
      </c>
      <c r="DZ31" s="407">
        <f t="shared" si="26"/>
        <v>0.93380837393630745</v>
      </c>
      <c r="EA31" s="408">
        <v>30</v>
      </c>
      <c r="EB31" s="993"/>
      <c r="EC31" s="993"/>
      <c r="ED31" s="993"/>
      <c r="EE31" s="1125"/>
      <c r="EF31" s="1125"/>
      <c r="EG31" s="1125"/>
      <c r="EH31" s="1127" t="s">
        <v>781</v>
      </c>
      <c r="EI31" s="1128"/>
      <c r="EJ31" s="1128"/>
      <c r="EK31" s="528"/>
      <c r="EL31" s="513"/>
      <c r="EM31" s="519"/>
      <c r="EN31" s="520"/>
      <c r="EO31" s="520"/>
      <c r="EP31" s="520"/>
      <c r="EQ31" s="508"/>
      <c r="FC31" s="106"/>
      <c r="FD31" s="7">
        <v>8</v>
      </c>
      <c r="FE31" s="12">
        <v>3.4</v>
      </c>
      <c r="FG31" s="7">
        <v>8</v>
      </c>
      <c r="FH31" s="12">
        <v>19.399999999999999</v>
      </c>
      <c r="FJ31" s="7">
        <v>8</v>
      </c>
      <c r="FK31" s="9">
        <v>1140</v>
      </c>
      <c r="FM31" s="7">
        <v>8</v>
      </c>
      <c r="FN31" s="12">
        <v>0</v>
      </c>
      <c r="FP31" s="7">
        <v>8</v>
      </c>
      <c r="FQ31" s="12">
        <v>4</v>
      </c>
      <c r="FR31" s="12"/>
      <c r="FS31" s="7">
        <v>8</v>
      </c>
      <c r="FT31" s="12">
        <v>49.4</v>
      </c>
      <c r="FV31" s="7">
        <v>8</v>
      </c>
      <c r="FW31" s="12">
        <v>4.4000000000000004</v>
      </c>
      <c r="FX31" s="1116"/>
      <c r="FY31" s="1117"/>
      <c r="FZ31" s="1117"/>
      <c r="GA31" s="1117"/>
      <c r="GB31" s="1117"/>
      <c r="GC31" s="1117"/>
      <c r="GD31" s="1117"/>
      <c r="GE31" s="1117"/>
      <c r="GF31" s="1117"/>
      <c r="GG31" s="1117"/>
      <c r="GH31" s="1117"/>
      <c r="GI31" s="1117"/>
      <c r="GJ31" s="1118"/>
    </row>
    <row r="32" spans="1:192" ht="15.75" customHeight="1">
      <c r="A32">
        <v>5.9</v>
      </c>
      <c r="B32" t="s">
        <v>173</v>
      </c>
      <c r="C32" s="2">
        <f>SUM(C33:C58)</f>
        <v>455</v>
      </c>
      <c r="D32" s="2">
        <f>SUM(D33:D58)</f>
        <v>47</v>
      </c>
      <c r="F32" s="177" t="str">
        <f>_xlfn.CONCAT(E33:E58)</f>
        <v>01111101101100101011110100101110001011110001001</v>
      </c>
      <c r="G32" t="s">
        <v>0</v>
      </c>
      <c r="I32" s="580" t="str">
        <f>_xlfn.CONCAT(I33:I58)</f>
        <v>fbK9Li8S</v>
      </c>
      <c r="J32" s="580" t="str">
        <f>radix64b</f>
        <v>fbK9Li8S</v>
      </c>
      <c r="K32" t="str">
        <f>J32</f>
        <v>fbK9Li8S</v>
      </c>
      <c r="L32" s="2" t="s">
        <v>0</v>
      </c>
      <c r="O32" t="str">
        <f>_xlfn.CONCAT((O33:O58))</f>
        <v>011111011011001010111101001011100010111100010010</v>
      </c>
      <c r="P32" s="177" t="str">
        <f>O32</f>
        <v>011111011011001010111101001011100010111100010010</v>
      </c>
      <c r="Q32" t="s">
        <v>0</v>
      </c>
      <c r="R32" s="2">
        <f>SUM(R33:R58)</f>
        <v>455</v>
      </c>
      <c r="T32" s="7"/>
      <c r="U32" s="7"/>
      <c r="V32" s="43"/>
      <c r="W32" s="7"/>
      <c r="X32" s="7"/>
      <c r="Y32" s="7"/>
      <c r="Z32" s="7"/>
      <c r="AA32" s="7"/>
      <c r="AB32" s="7"/>
      <c r="AC32" s="7"/>
      <c r="AD32" s="7"/>
      <c r="AE32" s="7"/>
      <c r="AF32" s="7"/>
      <c r="AG32" s="7"/>
      <c r="AH32" s="7"/>
      <c r="AI32" s="7"/>
      <c r="AJ32" s="7"/>
      <c r="AK32" s="7"/>
      <c r="AL32" s="7"/>
      <c r="AM32" s="7"/>
      <c r="AN32" s="7"/>
      <c r="AO32" s="7"/>
      <c r="AP32" s="7"/>
      <c r="AQ32" s="7"/>
      <c r="AR32" s="7"/>
      <c r="AS32" s="12">
        <v>9</v>
      </c>
      <c r="AT32" s="43" t="s">
        <v>782</v>
      </c>
      <c r="AU32" s="18">
        <v>0.03</v>
      </c>
      <c r="AV32" s="7"/>
      <c r="AW32" s="7"/>
      <c r="AX32" s="7"/>
      <c r="AY32" s="7"/>
      <c r="AZ32" s="7"/>
      <c r="BA32" s="7"/>
      <c r="BB32"/>
      <c r="BC32" s="2"/>
      <c r="BD32"/>
      <c r="BE32"/>
      <c r="BF32"/>
      <c r="BG32" s="2"/>
      <c r="BI32" s="7"/>
      <c r="BJ32" s="12">
        <v>9</v>
      </c>
      <c r="BK32" s="43" t="s">
        <v>783</v>
      </c>
      <c r="BL32" s="12">
        <v>5.1999999999999998E-2</v>
      </c>
      <c r="BP32" s="59"/>
      <c r="BQ32" s="59"/>
      <c r="BR32" s="59"/>
      <c r="BS32" s="59"/>
      <c r="BT32" s="59"/>
      <c r="BU32" s="59"/>
      <c r="BW32" s="7" t="str">
        <f>CHOOSE(Cntrl6-1,"none","un-framed insul.","timber offset","steel offset","timber inline","steel inline")</f>
        <v>none</v>
      </c>
      <c r="BX32" s="7"/>
      <c r="BY32" s="59"/>
      <c r="BZ32" s="59"/>
      <c r="CA32" s="59"/>
      <c r="CB32" s="59"/>
      <c r="CC32" s="59"/>
      <c r="CD32" s="59"/>
      <c r="CE32" s="59"/>
      <c r="CF32" s="59"/>
      <c r="CG32" s="59"/>
      <c r="CH32" s="59"/>
      <c r="CI32" s="59"/>
      <c r="CJ32" s="59"/>
      <c r="CK32" s="7"/>
      <c r="CL32" s="12" t="s">
        <v>110</v>
      </c>
      <c r="CM32" s="79" t="str">
        <f t="shared" si="27"/>
        <v>0.2</v>
      </c>
      <c r="CN32" s="7"/>
      <c r="CO32" s="12" t="s">
        <v>110</v>
      </c>
      <c r="CP32" s="73">
        <f t="shared" si="18"/>
        <v>42</v>
      </c>
      <c r="CQ32" s="7">
        <v>88</v>
      </c>
      <c r="CR32" s="59">
        <v>9</v>
      </c>
      <c r="CS32" s="292" t="str">
        <f t="shared" si="19"/>
        <v>---------</v>
      </c>
      <c r="CT32" s="106">
        <v>24.3</v>
      </c>
      <c r="CU32" s="12" t="s">
        <v>110</v>
      </c>
      <c r="CV32" s="276" t="str">
        <f t="shared" si="20"/>
        <v>---------</v>
      </c>
      <c r="CW32" s="290">
        <v>2.93</v>
      </c>
      <c r="CX32" s="59">
        <v>9</v>
      </c>
      <c r="CY32" s="292" t="str">
        <f t="shared" si="21"/>
        <v>---------</v>
      </c>
      <c r="CZ32" s="7">
        <v>88</v>
      </c>
      <c r="DA32" s="59">
        <v>9</v>
      </c>
      <c r="DB32" s="292" t="str">
        <f t="shared" si="22"/>
        <v>---------</v>
      </c>
      <c r="DC32" s="106">
        <v>24.3</v>
      </c>
      <c r="DD32" s="12" t="s">
        <v>110</v>
      </c>
      <c r="DE32" s="276" t="str">
        <f t="shared" si="23"/>
        <v>---------</v>
      </c>
      <c r="DF32" s="290">
        <v>2.93</v>
      </c>
      <c r="DG32" s="59">
        <v>9</v>
      </c>
      <c r="DH32" s="292" t="str">
        <f t="shared" si="24"/>
        <v>---------</v>
      </c>
      <c r="DI32" s="106">
        <v>5.2</v>
      </c>
      <c r="DJ32" s="59">
        <v>9</v>
      </c>
      <c r="DK32" s="74" t="str">
        <f t="shared" si="25"/>
        <v>5.2</v>
      </c>
      <c r="DL32" s="59"/>
      <c r="DM32" s="393"/>
      <c r="DN32" s="406"/>
      <c r="DO32" s="500">
        <v>29</v>
      </c>
      <c r="DP32" s="407">
        <f t="shared" si="26"/>
        <v>0.92451711428115646</v>
      </c>
      <c r="DQ32" s="407">
        <f t="shared" si="26"/>
        <v>0.92451711428115646</v>
      </c>
      <c r="DR32" s="407">
        <f t="shared" si="26"/>
        <v>0.92451711428115646</v>
      </c>
      <c r="DS32" s="407">
        <f t="shared" si="26"/>
        <v>0.92451711428115646</v>
      </c>
      <c r="DT32" s="407">
        <f t="shared" si="26"/>
        <v>0.92451711428115646</v>
      </c>
      <c r="DU32" s="407">
        <f t="shared" si="26"/>
        <v>0.92451711428115646</v>
      </c>
      <c r="DV32" s="407">
        <f t="shared" si="26"/>
        <v>0.92451711428115646</v>
      </c>
      <c r="DW32" s="407">
        <f t="shared" si="26"/>
        <v>0.92451711428115646</v>
      </c>
      <c r="DX32" s="407">
        <f t="shared" si="26"/>
        <v>0.92451711428115646</v>
      </c>
      <c r="DY32" s="407">
        <f t="shared" si="26"/>
        <v>0.92451711428115646</v>
      </c>
      <c r="DZ32" s="407">
        <f t="shared" si="26"/>
        <v>0.92451711428115646</v>
      </c>
      <c r="EA32" s="408">
        <v>29</v>
      </c>
      <c r="EB32" s="993"/>
      <c r="EC32" s="993"/>
      <c r="ED32" s="993"/>
      <c r="EE32" s="1125"/>
      <c r="EF32" s="1125"/>
      <c r="EG32" s="1125"/>
      <c r="EH32" s="1127"/>
      <c r="EI32" s="1128"/>
      <c r="EJ32" s="1128"/>
      <c r="EK32" s="506">
        <v>30</v>
      </c>
      <c r="EL32" s="514">
        <f>IF(ISBLANK(WebCntrl29),"",FT23)</f>
        <v>25</v>
      </c>
      <c r="EM32" s="1133" t="s">
        <v>784</v>
      </c>
      <c r="EN32" s="1134"/>
      <c r="EO32" s="1134"/>
      <c r="EP32" s="628">
        <f>ET21</f>
        <v>6</v>
      </c>
      <c r="EQ32" s="508"/>
      <c r="FC32" s="106"/>
      <c r="FD32" s="7">
        <v>9</v>
      </c>
      <c r="FE32" s="12">
        <v>3.3</v>
      </c>
      <c r="FG32" s="7">
        <v>9</v>
      </c>
      <c r="FH32" s="12">
        <v>19.3</v>
      </c>
      <c r="FJ32" s="7">
        <v>9</v>
      </c>
      <c r="FK32" s="9">
        <v>1130</v>
      </c>
      <c r="FP32" s="7">
        <v>9</v>
      </c>
      <c r="FQ32" s="12">
        <v>3</v>
      </c>
      <c r="FR32" s="12"/>
      <c r="FS32" s="7">
        <v>9</v>
      </c>
      <c r="FT32" s="12">
        <v>49.3</v>
      </c>
      <c r="FV32" s="7">
        <v>9</v>
      </c>
      <c r="FW32" s="12">
        <v>4.3</v>
      </c>
      <c r="FX32" s="1116"/>
      <c r="FY32" s="1117"/>
      <c r="FZ32" s="1117"/>
      <c r="GA32" s="1117"/>
      <c r="GB32" s="1117"/>
      <c r="GC32" s="1117"/>
      <c r="GD32" s="1117"/>
      <c r="GE32" s="1117"/>
      <c r="GF32" s="1117"/>
      <c r="GG32" s="1117"/>
      <c r="GH32" s="1117"/>
      <c r="GI32" s="1117"/>
      <c r="GJ32" s="1118"/>
    </row>
    <row r="33" spans="1:192" ht="15.75" customHeight="1">
      <c r="A33">
        <v>5.8</v>
      </c>
      <c r="B33" t="s">
        <v>180</v>
      </c>
      <c r="C33" s="142">
        <f>Cntrl29-1</f>
        <v>251</v>
      </c>
      <c r="D33" s="559">
        <f>FS2</f>
        <v>9</v>
      </c>
      <c r="E33" s="172" t="str">
        <f>IF(C33&lt;&gt;"",RIGHT("0000000000"&amp;TEXT(DEC2BIN(C33,D33),"0"),D33),"")</f>
        <v>011111011</v>
      </c>
      <c r="F33" s="555" t="str">
        <f>F32</f>
        <v>01111101101100101011110100101110001011110001001</v>
      </c>
      <c r="G33" s="172" t="str">
        <f>IF(F33&lt;&gt;"",IF(LEN(F33)&gt;=6,LEFT(F33,6),LEFT(F33&amp;"000000",6)),"")</f>
        <v>011111</v>
      </c>
      <c r="H33">
        <f>IF(G33&lt;&gt;"",BIN2DEC(G33),"")</f>
        <v>31</v>
      </c>
      <c r="I33" s="552" t="str" cm="1">
        <f t="array" ref="I33">IF(H33&lt;&gt;"",INDEX($B$2:$B$66,H33+1),"")</f>
        <v>f</v>
      </c>
      <c r="J33" s="554">
        <f t="shared" ref="J33:J58" si="28">IF(D33&lt;&gt;"",D33,"")</f>
        <v>9</v>
      </c>
      <c r="K33" t="str">
        <f>J32</f>
        <v>fbK9Li8S</v>
      </c>
      <c r="L33" s="2" t="str">
        <f>LEFT(K33,1)</f>
        <v>f</v>
      </c>
      <c r="M33" t="b">
        <f>IF(L33&lt;&gt;"",EXACT(L33,UPPER(L33)),"")</f>
        <v>0</v>
      </c>
      <c r="N33" s="2">
        <f>IF(M33&lt;&gt;"",IF(M33,MATCH(L33,$B$2:$B$66,0)-1,MATCH(L33,$B$28:$B$66,0)+25),"")</f>
        <v>31</v>
      </c>
      <c r="O33" s="172" t="str">
        <f t="shared" ref="O33:O58" si="29">IF(N33&lt;&gt;"",DEC2BIN(N33,6),"")</f>
        <v>011111</v>
      </c>
      <c r="P33" s="177" t="str">
        <f>P32</f>
        <v>011111011011001010111101001011100010111100010010</v>
      </c>
      <c r="Q33" s="172" t="str">
        <f t="shared" ref="Q33:Q58" si="30">IF(J33&lt;&gt;"",LEFT(P33,J33),"")</f>
        <v>011111011</v>
      </c>
      <c r="R33" s="553">
        <f>IF(Q33&lt;&gt;"",BIN2DEC(Q33),"")</f>
        <v>251</v>
      </c>
      <c r="S33" s="142" t="s">
        <v>785</v>
      </c>
      <c r="T33" s="7"/>
      <c r="U33" s="7"/>
      <c r="V33" s="43"/>
      <c r="W33" s="18"/>
      <c r="X33" s="7"/>
      <c r="Y33" s="7">
        <v>1</v>
      </c>
      <c r="Z33" s="7" t="s">
        <v>786</v>
      </c>
      <c r="AA33" s="7"/>
      <c r="AB33" s="7"/>
      <c r="AC33" s="7"/>
      <c r="AD33" s="7"/>
      <c r="AE33" s="7"/>
      <c r="AF33" s="7"/>
      <c r="AG33" s="7"/>
      <c r="AH33" s="7"/>
      <c r="AI33" s="56">
        <f>MATCH(AJ33,AJ34:AJ82,0)</f>
        <v>1</v>
      </c>
      <c r="AJ33" s="286" t="str">
        <f>AL1</f>
        <v>W_BBWB_C_90T</v>
      </c>
      <c r="AK33" s="286"/>
      <c r="AL33" s="7"/>
      <c r="AM33" s="7"/>
      <c r="AN33" s="7"/>
      <c r="AO33" s="7"/>
      <c r="AP33" s="7"/>
      <c r="AQ33" s="7"/>
      <c r="AR33" s="7"/>
      <c r="AS33" s="7"/>
      <c r="AT33" s="7"/>
      <c r="AU33" s="7"/>
      <c r="AV33" s="7"/>
      <c r="AW33" s="7"/>
      <c r="AX33" s="7"/>
      <c r="AY33" s="7"/>
      <c r="AZ33" s="7"/>
      <c r="BA33" s="7"/>
      <c r="BB33" s="7"/>
      <c r="BC33" s="7"/>
      <c r="BD33" s="7"/>
      <c r="BE33" s="7"/>
      <c r="BF33" s="7"/>
      <c r="BG33" s="7"/>
      <c r="BH33" s="7"/>
      <c r="BI33" s="7"/>
      <c r="BJ33" s="12">
        <v>10</v>
      </c>
      <c r="BK33" s="43" t="s">
        <v>787</v>
      </c>
      <c r="BL33" s="12">
        <v>0.38</v>
      </c>
      <c r="BP33" s="59"/>
      <c r="BQ33" s="59"/>
      <c r="BR33" s="59"/>
      <c r="BS33" s="59"/>
      <c r="BT33" s="59"/>
      <c r="BU33" s="59"/>
      <c r="BV33" s="59"/>
      <c r="BW33" s="65"/>
      <c r="BX33" s="536">
        <f>CHOOSE(Cntrl6,1,3,3,3,2,2)</f>
        <v>3</v>
      </c>
      <c r="BY33" s="59"/>
      <c r="BZ33" s="59"/>
      <c r="CA33" s="59"/>
      <c r="CB33" s="59"/>
      <c r="CC33" s="59"/>
      <c r="CD33" s="59"/>
      <c r="CE33" s="59"/>
      <c r="CF33" s="59"/>
      <c r="CG33" s="59"/>
      <c r="CH33" s="59"/>
      <c r="CI33" s="59"/>
      <c r="CJ33" s="59"/>
      <c r="CK33" s="7"/>
      <c r="CL33" s="12" t="s">
        <v>114</v>
      </c>
      <c r="CM33" s="79" t="str">
        <f t="shared" si="27"/>
        <v>0.2</v>
      </c>
      <c r="CN33" s="7"/>
      <c r="CO33" s="12" t="s">
        <v>114</v>
      </c>
      <c r="CP33" s="73">
        <f t="shared" si="18"/>
        <v>40</v>
      </c>
      <c r="CQ33" s="7">
        <v>87</v>
      </c>
      <c r="CR33" s="59">
        <v>10</v>
      </c>
      <c r="CS33" s="292" t="str">
        <f t="shared" si="19"/>
        <v>---------</v>
      </c>
      <c r="CT33" s="106">
        <v>24.2</v>
      </c>
      <c r="CU33" s="12" t="s">
        <v>114</v>
      </c>
      <c r="CV33" s="276" t="str">
        <f t="shared" si="20"/>
        <v>---------</v>
      </c>
      <c r="CW33" s="290">
        <v>2.92</v>
      </c>
      <c r="CX33" s="59">
        <v>10</v>
      </c>
      <c r="CY33" s="292" t="str">
        <f t="shared" si="21"/>
        <v>---------</v>
      </c>
      <c r="CZ33" s="7">
        <v>87</v>
      </c>
      <c r="DA33" s="59">
        <v>10</v>
      </c>
      <c r="DB33" s="292" t="str">
        <f t="shared" si="22"/>
        <v>---------</v>
      </c>
      <c r="DC33" s="106">
        <v>24.2</v>
      </c>
      <c r="DD33" s="12" t="s">
        <v>114</v>
      </c>
      <c r="DE33" s="276" t="str">
        <f t="shared" si="23"/>
        <v>---------</v>
      </c>
      <c r="DF33" s="290">
        <v>2.92</v>
      </c>
      <c r="DG33" s="59">
        <v>10</v>
      </c>
      <c r="DH33" s="292" t="str">
        <f t="shared" si="24"/>
        <v>---------</v>
      </c>
      <c r="DI33" s="106">
        <v>5.0999999999999996</v>
      </c>
      <c r="DJ33" s="59">
        <v>10</v>
      </c>
      <c r="DK33" s="74" t="str">
        <f t="shared" si="25"/>
        <v>5.1</v>
      </c>
      <c r="DL33" s="59"/>
      <c r="DM33" s="393"/>
      <c r="DN33" s="406"/>
      <c r="DO33" s="500">
        <v>28</v>
      </c>
      <c r="DP33" s="407">
        <f t="shared" si="26"/>
        <v>0.91492884715204759</v>
      </c>
      <c r="DQ33" s="407">
        <f t="shared" si="26"/>
        <v>0.91492884715204759</v>
      </c>
      <c r="DR33" s="407">
        <f t="shared" si="26"/>
        <v>0.91492884715204759</v>
      </c>
      <c r="DS33" s="407">
        <f t="shared" si="26"/>
        <v>0.91492884715204759</v>
      </c>
      <c r="DT33" s="407">
        <f t="shared" si="26"/>
        <v>0.91492884715204759</v>
      </c>
      <c r="DU33" s="407">
        <f t="shared" si="26"/>
        <v>0.91492884715204759</v>
      </c>
      <c r="DV33" s="407">
        <f t="shared" si="26"/>
        <v>0.91492884715204759</v>
      </c>
      <c r="DW33" s="407">
        <f t="shared" si="26"/>
        <v>0.91492884715204759</v>
      </c>
      <c r="DX33" s="407">
        <f t="shared" si="26"/>
        <v>0.91492884715204759</v>
      </c>
      <c r="DY33" s="407">
        <f t="shared" si="26"/>
        <v>0.91492884715204759</v>
      </c>
      <c r="DZ33" s="407">
        <f t="shared" si="26"/>
        <v>0.91492884715204759</v>
      </c>
      <c r="EA33" s="408">
        <v>28</v>
      </c>
      <c r="EB33" s="993"/>
      <c r="EC33" s="993"/>
      <c r="ED33" s="993"/>
      <c r="EE33" s="1125"/>
      <c r="EF33" s="1125"/>
      <c r="EG33" s="1125"/>
      <c r="EH33" s="1127"/>
      <c r="EI33" s="1128"/>
      <c r="EJ33" s="1128"/>
      <c r="EK33" s="528"/>
      <c r="EL33" s="513"/>
      <c r="EM33" s="520"/>
      <c r="EN33" s="520"/>
      <c r="EO33" s="520"/>
      <c r="EP33" s="520"/>
      <c r="EQ33" s="508"/>
      <c r="FC33" s="106"/>
      <c r="FD33" s="7">
        <v>10</v>
      </c>
      <c r="FE33" s="12">
        <v>3.2</v>
      </c>
      <c r="FG33" s="7">
        <v>10</v>
      </c>
      <c r="FH33" s="12">
        <v>19.2</v>
      </c>
      <c r="FJ33" s="7">
        <v>10</v>
      </c>
      <c r="FK33" s="9">
        <v>1120</v>
      </c>
      <c r="FP33" s="7">
        <v>10</v>
      </c>
      <c r="FQ33" s="12">
        <v>2</v>
      </c>
      <c r="FR33" s="12"/>
      <c r="FS33" s="7">
        <v>10</v>
      </c>
      <c r="FT33" s="12">
        <v>49.2</v>
      </c>
      <c r="FV33" s="7">
        <v>10</v>
      </c>
      <c r="FW33" s="12">
        <v>4.2</v>
      </c>
      <c r="FX33" s="1116"/>
      <c r="FY33" s="1117"/>
      <c r="FZ33" s="1117"/>
      <c r="GA33" s="1117"/>
      <c r="GB33" s="1117"/>
      <c r="GC33" s="1117"/>
      <c r="GD33" s="1117"/>
      <c r="GE33" s="1117"/>
      <c r="GF33" s="1117"/>
      <c r="GG33" s="1117"/>
      <c r="GH33" s="1117"/>
      <c r="GI33" s="1117"/>
      <c r="GJ33" s="1118"/>
    </row>
    <row r="34" spans="1:192" ht="15.75" customHeight="1">
      <c r="A34">
        <v>5.7</v>
      </c>
      <c r="B34" t="s">
        <v>186</v>
      </c>
      <c r="C34" s="142">
        <f>Cntrl25-1</f>
        <v>101</v>
      </c>
      <c r="D34" s="559">
        <f>FG2</f>
        <v>8</v>
      </c>
      <c r="E34" s="172" t="str">
        <f t="shared" ref="E34:E58" si="31">IF(C34&lt;&gt;"",RIGHT("0000000000"&amp;TEXT(DEC2BIN(C34,D34),"0"),D34),"")</f>
        <v>01100101</v>
      </c>
      <c r="F34" s="555" t="str">
        <f t="shared" ref="F34:F45" si="32">IF(LEN(F33)&gt;=6,RIGHT(F33,LEN(F33)-6),"")</f>
        <v>01101100101011110100101110001011110001001</v>
      </c>
      <c r="G34" s="172" t="str">
        <f t="shared" ref="G34:G58" si="33">IF(F34&lt;&gt;"",IF(LEN(F34)&gt;=6,LEFT(F34,6),LEFT(F34&amp;"000000",6)),"")</f>
        <v>011011</v>
      </c>
      <c r="H34">
        <f t="shared" ref="H34:H58" si="34">IF(G34&lt;&gt;"",BIN2DEC(G34),"")</f>
        <v>27</v>
      </c>
      <c r="I34" s="552" t="str" cm="1">
        <f t="array" ref="I34">IF(H34&lt;&gt;"",INDEX($B$2:$B$66,H34+1),"")</f>
        <v>b</v>
      </c>
      <c r="J34" s="554">
        <f t="shared" si="28"/>
        <v>8</v>
      </c>
      <c r="K34" t="str">
        <f t="shared" ref="K34:K42" si="35">IF(LEN(K33)&gt;1,RIGHT(K33,LEN(K33)-1),"")</f>
        <v>bK9Li8S</v>
      </c>
      <c r="L34" s="2" t="str">
        <f t="shared" ref="L34:L58" si="36">LEFT(K34,1)</f>
        <v>b</v>
      </c>
      <c r="M34" t="b">
        <f t="shared" ref="M34:M58" si="37">IF(L34&lt;&gt;"",EXACT(L34,UPPER(L34)),"")</f>
        <v>0</v>
      </c>
      <c r="N34" s="2">
        <f t="shared" ref="N34:N58" si="38">IF(M34&lt;&gt;"",IF(M34,MATCH(L34,$B$2:$B$66,0)-1,MATCH(L34,$B$28:$B$66,0)+25),"")</f>
        <v>27</v>
      </c>
      <c r="O34" s="172" t="str">
        <f t="shared" si="29"/>
        <v>011011</v>
      </c>
      <c r="P34" s="177" t="str">
        <f>IF(J34&lt;&gt;"",RIGHT(P33,LEN(P33)-J33),"")</f>
        <v>011001010111101001011100010111100010010</v>
      </c>
      <c r="Q34" s="172" t="str">
        <f t="shared" si="30"/>
        <v>01100101</v>
      </c>
      <c r="R34" s="553">
        <f t="shared" ref="R34:R58" si="39">IF(Q34&lt;&gt;"",BIN2DEC(Q34),"")</f>
        <v>101</v>
      </c>
      <c r="S34" s="142" t="s">
        <v>788</v>
      </c>
      <c r="T34" s="7"/>
      <c r="U34" s="7"/>
      <c r="V34" s="43"/>
      <c r="W34" s="18"/>
      <c r="X34" s="7"/>
      <c r="Y34" s="7">
        <v>2</v>
      </c>
      <c r="Z34" s="7" t="s">
        <v>789</v>
      </c>
      <c r="AA34" s="7"/>
      <c r="AB34" s="7"/>
      <c r="AC34" s="7"/>
      <c r="AD34" s="7"/>
      <c r="AE34" s="7"/>
      <c r="AF34" s="7"/>
      <c r="AG34" s="7"/>
      <c r="AH34" s="7"/>
      <c r="AI34" s="7">
        <v>1</v>
      </c>
      <c r="AJ34" s="7" t="s">
        <v>790</v>
      </c>
      <c r="AK34" s="7"/>
      <c r="AL34" s="7"/>
      <c r="AM34" s="7"/>
      <c r="AN34" s="7"/>
      <c r="AO34" s="7"/>
      <c r="AP34" s="7"/>
      <c r="AQ34" s="7"/>
      <c r="AR34" s="7"/>
      <c r="AS34" s="7"/>
      <c r="AT34" s="7"/>
      <c r="AU34" s="7"/>
      <c r="AV34" s="7"/>
      <c r="AW34" s="7"/>
      <c r="AX34" s="7"/>
      <c r="AY34" s="7"/>
      <c r="AZ34" s="7"/>
      <c r="BA34" s="7"/>
      <c r="BB34" s="7"/>
      <c r="BC34" s="7"/>
      <c r="BD34" s="7"/>
      <c r="BE34" s="7"/>
      <c r="BF34" s="7"/>
      <c r="BG34" s="7"/>
      <c r="BH34" s="7"/>
      <c r="BI34" s="7"/>
      <c r="BJ34" s="7"/>
      <c r="BK34" s="7"/>
      <c r="BL34" s="7"/>
      <c r="BP34" s="59"/>
      <c r="BQ34" s="59"/>
      <c r="BR34" s="59"/>
      <c r="BS34" s="59"/>
      <c r="BT34" s="59"/>
      <c r="BU34" s="59"/>
      <c r="BV34" s="59"/>
      <c r="BW34" s="59"/>
      <c r="BX34" s="59"/>
      <c r="BY34" s="59"/>
      <c r="BZ34" s="59"/>
      <c r="CA34" s="59"/>
      <c r="CB34" s="59"/>
      <c r="CC34" s="59"/>
      <c r="CD34" s="59"/>
      <c r="CE34" s="59"/>
      <c r="CF34" s="59"/>
      <c r="CG34" s="59"/>
      <c r="CH34" s="59"/>
      <c r="CI34" s="59"/>
      <c r="CJ34" s="59"/>
      <c r="CK34" s="7"/>
      <c r="CL34" s="12" t="s">
        <v>119</v>
      </c>
      <c r="CM34" s="79" t="str">
        <f t="shared" si="27"/>
        <v>0.2</v>
      </c>
      <c r="CN34" s="7"/>
      <c r="CO34" s="12" t="s">
        <v>119</v>
      </c>
      <c r="CP34" s="73">
        <f t="shared" si="18"/>
        <v>38</v>
      </c>
      <c r="CQ34" s="7">
        <v>86</v>
      </c>
      <c r="CR34" s="59">
        <v>11</v>
      </c>
      <c r="CS34" s="292" t="str">
        <f t="shared" si="19"/>
        <v>---------</v>
      </c>
      <c r="CT34" s="106">
        <v>24.1</v>
      </c>
      <c r="CU34" s="12" t="s">
        <v>119</v>
      </c>
      <c r="CV34" s="276" t="str">
        <f t="shared" si="20"/>
        <v>---------</v>
      </c>
      <c r="CW34" s="290">
        <v>2.91</v>
      </c>
      <c r="CX34" s="59">
        <v>11</v>
      </c>
      <c r="CY34" s="292" t="str">
        <f t="shared" si="21"/>
        <v>---------</v>
      </c>
      <c r="CZ34" s="7">
        <v>86</v>
      </c>
      <c r="DA34" s="59">
        <v>11</v>
      </c>
      <c r="DB34" s="292" t="str">
        <f t="shared" si="22"/>
        <v>---------</v>
      </c>
      <c r="DC34" s="106">
        <v>24.1</v>
      </c>
      <c r="DD34" s="12" t="s">
        <v>119</v>
      </c>
      <c r="DE34" s="276" t="str">
        <f t="shared" si="23"/>
        <v>---------</v>
      </c>
      <c r="DF34" s="290">
        <v>2.91</v>
      </c>
      <c r="DG34" s="59">
        <v>11</v>
      </c>
      <c r="DH34" s="292" t="str">
        <f t="shared" si="24"/>
        <v>---------</v>
      </c>
      <c r="DI34" s="106">
        <v>5</v>
      </c>
      <c r="DJ34" s="59">
        <v>11</v>
      </c>
      <c r="DK34" s="74" t="str">
        <f t="shared" si="25"/>
        <v>5.0</v>
      </c>
      <c r="DL34" s="59"/>
      <c r="DM34" s="393"/>
      <c r="DN34" s="406"/>
      <c r="DO34" s="500">
        <v>27</v>
      </c>
      <c r="DP34" s="407">
        <f t="shared" si="26"/>
        <v>0.9050435725489806</v>
      </c>
      <c r="DQ34" s="407">
        <f t="shared" si="26"/>
        <v>0.9050435725489806</v>
      </c>
      <c r="DR34" s="407">
        <f t="shared" si="26"/>
        <v>0.9050435725489806</v>
      </c>
      <c r="DS34" s="407">
        <f t="shared" si="26"/>
        <v>0.9050435725489806</v>
      </c>
      <c r="DT34" s="407">
        <f t="shared" si="26"/>
        <v>0.9050435725489806</v>
      </c>
      <c r="DU34" s="407">
        <f t="shared" si="26"/>
        <v>0.9050435725489806</v>
      </c>
      <c r="DV34" s="407">
        <f t="shared" si="26"/>
        <v>0.9050435725489806</v>
      </c>
      <c r="DW34" s="407">
        <f t="shared" si="26"/>
        <v>0.9050435725489806</v>
      </c>
      <c r="DX34" s="407">
        <f t="shared" si="26"/>
        <v>0.9050435725489806</v>
      </c>
      <c r="DY34" s="407">
        <f t="shared" si="26"/>
        <v>0.9050435725489806</v>
      </c>
      <c r="DZ34" s="407">
        <f t="shared" si="26"/>
        <v>0.9050435725489806</v>
      </c>
      <c r="EA34" s="408">
        <v>27</v>
      </c>
      <c r="EB34" s="993"/>
      <c r="EC34" s="993"/>
      <c r="ED34" s="993"/>
      <c r="EE34" s="1125"/>
      <c r="EF34" s="1125"/>
      <c r="EG34" s="1125"/>
      <c r="EH34" s="1182" t="s">
        <v>791</v>
      </c>
      <c r="EI34" s="1183"/>
      <c r="EJ34" s="1183"/>
      <c r="EK34" s="528"/>
      <c r="EL34" s="513"/>
      <c r="EM34" s="546"/>
      <c r="EN34" s="516"/>
      <c r="EO34" s="516"/>
      <c r="EP34" s="516"/>
      <c r="EQ34" s="508"/>
      <c r="FC34" s="106"/>
      <c r="FD34" s="7">
        <v>11</v>
      </c>
      <c r="FE34" s="12">
        <v>3.1</v>
      </c>
      <c r="FG34" s="7">
        <v>11</v>
      </c>
      <c r="FH34" s="12">
        <v>19.100000000000001</v>
      </c>
      <c r="FJ34" s="7">
        <v>11</v>
      </c>
      <c r="FK34" s="9">
        <v>1110</v>
      </c>
      <c r="FP34" s="7">
        <v>11</v>
      </c>
      <c r="FQ34" s="12">
        <v>1</v>
      </c>
      <c r="FR34" s="12"/>
      <c r="FS34" s="7">
        <v>11</v>
      </c>
      <c r="FT34" s="12">
        <v>49.1</v>
      </c>
      <c r="FV34" s="7">
        <v>11</v>
      </c>
      <c r="FW34" s="12">
        <v>4.0999999999999996</v>
      </c>
      <c r="FX34" s="1116"/>
      <c r="FY34" s="1117"/>
      <c r="FZ34" s="1117"/>
      <c r="GA34" s="1117"/>
      <c r="GB34" s="1117"/>
      <c r="GC34" s="1117"/>
      <c r="GD34" s="1117"/>
      <c r="GE34" s="1117"/>
      <c r="GF34" s="1117"/>
      <c r="GG34" s="1117"/>
      <c r="GH34" s="1117"/>
      <c r="GI34" s="1117"/>
      <c r="GJ34" s="1118"/>
    </row>
    <row r="35" spans="1:192" ht="15.75" customHeight="1">
      <c r="A35">
        <v>5.6</v>
      </c>
      <c r="B35" t="s">
        <v>191</v>
      </c>
      <c r="C35" s="142">
        <f>Cntrl26-1</f>
        <v>61</v>
      </c>
      <c r="D35" s="559">
        <f>FJ2</f>
        <v>7</v>
      </c>
      <c r="E35" s="172" t="str">
        <f t="shared" si="31"/>
        <v>0111101</v>
      </c>
      <c r="F35" s="555" t="str">
        <f t="shared" si="32"/>
        <v>00101011110100101110001011110001001</v>
      </c>
      <c r="G35" s="172" t="str">
        <f t="shared" si="33"/>
        <v>001010</v>
      </c>
      <c r="H35">
        <f t="shared" si="34"/>
        <v>10</v>
      </c>
      <c r="I35" s="552" t="str" cm="1">
        <f t="array" ref="I35">IF(H35&lt;&gt;"",INDEX($B$2:$B$66,H35+1),"")</f>
        <v>K</v>
      </c>
      <c r="J35" s="554">
        <f t="shared" si="28"/>
        <v>7</v>
      </c>
      <c r="K35" t="str">
        <f t="shared" si="35"/>
        <v>K9Li8S</v>
      </c>
      <c r="L35" s="2" t="str">
        <f t="shared" si="36"/>
        <v>K</v>
      </c>
      <c r="M35" t="b">
        <f t="shared" si="37"/>
        <v>1</v>
      </c>
      <c r="N35" s="2">
        <f t="shared" si="38"/>
        <v>10</v>
      </c>
      <c r="O35" s="172" t="str">
        <f t="shared" si="29"/>
        <v>001010</v>
      </c>
      <c r="P35" s="177" t="str">
        <f t="shared" ref="P35:P58" si="40">IF(J35&lt;&gt;"",RIGHT(P34,LEN(P34)-J34),"")</f>
        <v>0111101001011100010111100010010</v>
      </c>
      <c r="Q35" s="172" t="str">
        <f t="shared" si="30"/>
        <v>0111101</v>
      </c>
      <c r="R35" s="553">
        <f t="shared" si="39"/>
        <v>61</v>
      </c>
      <c r="S35" s="142" t="s">
        <v>792</v>
      </c>
      <c r="T35" s="7"/>
      <c r="U35" s="7"/>
      <c r="V35" s="43"/>
      <c r="W35" s="18"/>
      <c r="X35" s="77"/>
      <c r="Y35" s="7">
        <v>3</v>
      </c>
      <c r="Z35" s="7" t="s">
        <v>793</v>
      </c>
      <c r="AA35" s="77"/>
      <c r="AB35" s="77"/>
      <c r="AC35" s="77"/>
      <c r="AD35" s="77"/>
      <c r="AE35" s="77"/>
      <c r="AF35" s="12"/>
      <c r="AG35" s="12"/>
      <c r="AH35" s="12"/>
      <c r="AI35" s="7">
        <v>2</v>
      </c>
      <c r="AJ35" s="7" t="s">
        <v>794</v>
      </c>
      <c r="AK35" s="7"/>
      <c r="AL35" s="12"/>
      <c r="AM35" s="7"/>
      <c r="AN35" s="7"/>
      <c r="AO35" s="7"/>
      <c r="AP35" s="7"/>
      <c r="AQ35" s="7"/>
      <c r="AR35" s="7"/>
      <c r="AS35" s="7"/>
      <c r="AT35" s="7"/>
      <c r="AU35" s="7"/>
      <c r="AV35" s="7"/>
      <c r="AW35" s="7"/>
      <c r="AX35" s="7"/>
      <c r="AY35" s="7"/>
      <c r="AZ35" s="7"/>
      <c r="BA35" s="7"/>
      <c r="BB35" s="7"/>
      <c r="BC35" s="7"/>
      <c r="BD35" s="7"/>
      <c r="BE35" s="7"/>
      <c r="BF35" s="7"/>
      <c r="BG35" s="7"/>
      <c r="BH35" s="7"/>
      <c r="BI35" s="7"/>
      <c r="BJ35" s="7"/>
      <c r="BK35" s="7"/>
      <c r="BL35" s="7"/>
      <c r="BP35" s="59"/>
      <c r="BQ35" s="59"/>
      <c r="BR35" s="59"/>
      <c r="BS35" s="59"/>
      <c r="BT35" s="59"/>
      <c r="BU35" s="59"/>
      <c r="BV35" s="59"/>
      <c r="BW35" s="59"/>
      <c r="BX35" s="59"/>
      <c r="BY35" s="59"/>
      <c r="BZ35" s="59"/>
      <c r="CA35" s="59"/>
      <c r="CB35" s="59"/>
      <c r="CC35" s="59"/>
      <c r="CD35" s="59"/>
      <c r="CE35" s="59"/>
      <c r="CF35" s="59"/>
      <c r="CG35" s="59"/>
      <c r="CH35" s="59"/>
      <c r="CI35" s="59"/>
      <c r="CJ35" s="59"/>
      <c r="CK35" s="59"/>
      <c r="CL35" s="12" t="s">
        <v>123</v>
      </c>
      <c r="CM35" s="79" t="str">
        <f>TEXT(CM34-$AN$21,"0.0")</f>
        <v>0.2</v>
      </c>
      <c r="CN35" s="7"/>
      <c r="CO35" s="12" t="s">
        <v>123</v>
      </c>
      <c r="CP35" s="73">
        <f t="shared" si="18"/>
        <v>36</v>
      </c>
      <c r="CQ35" s="7">
        <v>85</v>
      </c>
      <c r="CR35" s="59">
        <v>12</v>
      </c>
      <c r="CS35" s="292" t="str">
        <f t="shared" si="19"/>
        <v>---------</v>
      </c>
      <c r="CT35" s="106">
        <v>24</v>
      </c>
      <c r="CU35" s="12" t="s">
        <v>123</v>
      </c>
      <c r="CV35" s="276" t="str">
        <f t="shared" si="20"/>
        <v>---------</v>
      </c>
      <c r="CW35" s="290">
        <v>2.9</v>
      </c>
      <c r="CX35" s="59">
        <v>12</v>
      </c>
      <c r="CY35" s="292" t="str">
        <f t="shared" si="21"/>
        <v>---------</v>
      </c>
      <c r="CZ35" s="7">
        <v>85</v>
      </c>
      <c r="DA35" s="59">
        <v>12</v>
      </c>
      <c r="DB35" s="292" t="str">
        <f t="shared" si="22"/>
        <v>---------</v>
      </c>
      <c r="DC35" s="106">
        <v>24</v>
      </c>
      <c r="DD35" s="12" t="s">
        <v>123</v>
      </c>
      <c r="DE35" s="276" t="str">
        <f t="shared" si="23"/>
        <v>---------</v>
      </c>
      <c r="DF35" s="290">
        <v>2.9</v>
      </c>
      <c r="DG35" s="59">
        <v>12</v>
      </c>
      <c r="DH35" s="292" t="str">
        <f t="shared" si="24"/>
        <v>---------</v>
      </c>
      <c r="DI35" s="106">
        <v>4.9000000000000004</v>
      </c>
      <c r="DJ35" s="59">
        <v>12</v>
      </c>
      <c r="DK35" s="74" t="str">
        <f t="shared" si="25"/>
        <v>4.9</v>
      </c>
      <c r="DL35" s="59"/>
      <c r="DM35" s="393"/>
      <c r="DN35" s="406"/>
      <c r="DO35" s="500">
        <v>26</v>
      </c>
      <c r="DP35" s="407">
        <f t="shared" si="26"/>
        <v>0.89486129047195562</v>
      </c>
      <c r="DQ35" s="407">
        <f t="shared" si="26"/>
        <v>0.89486129047195562</v>
      </c>
      <c r="DR35" s="407">
        <f t="shared" si="26"/>
        <v>0.89486129047195562</v>
      </c>
      <c r="DS35" s="407">
        <f t="shared" si="26"/>
        <v>0.89486129047195562</v>
      </c>
      <c r="DT35" s="407">
        <f t="shared" si="26"/>
        <v>0.89486129047195562</v>
      </c>
      <c r="DU35" s="407">
        <f t="shared" si="26"/>
        <v>0.89486129047195562</v>
      </c>
      <c r="DV35" s="407">
        <f t="shared" si="26"/>
        <v>0.89486129047195562</v>
      </c>
      <c r="DW35" s="407">
        <f t="shared" si="26"/>
        <v>0.89486129047195562</v>
      </c>
      <c r="DX35" s="407">
        <f t="shared" si="26"/>
        <v>0.89486129047195562</v>
      </c>
      <c r="DY35" s="407">
        <f t="shared" si="26"/>
        <v>0.89486129047195562</v>
      </c>
      <c r="DZ35" s="407">
        <f t="shared" si="26"/>
        <v>0.89486129047195562</v>
      </c>
      <c r="EA35" s="408">
        <v>26</v>
      </c>
      <c r="EB35" s="993"/>
      <c r="EC35" s="993"/>
      <c r="ED35" s="993"/>
      <c r="EE35" s="1125"/>
      <c r="EF35" s="1125"/>
      <c r="EG35" s="1125"/>
      <c r="EH35" s="1182"/>
      <c r="EI35" s="1183"/>
      <c r="EJ35" s="1183"/>
      <c r="EK35" s="506">
        <v>4</v>
      </c>
      <c r="EL35" s="518">
        <f>IF(ISBLANK(WebCntrl30),"",FW23)</f>
        <v>4</v>
      </c>
      <c r="EM35" s="1127" t="s">
        <v>795</v>
      </c>
      <c r="EN35" s="1128"/>
      <c r="EO35" s="1128"/>
      <c r="EP35" s="1132">
        <f>IF($ET$1,"",EU24)</f>
        <v>0.19664119772760033</v>
      </c>
      <c r="EQ35" s="508"/>
      <c r="FC35" s="106"/>
      <c r="FD35" s="7">
        <v>12</v>
      </c>
      <c r="FE35" s="12">
        <v>3</v>
      </c>
      <c r="FG35" s="7">
        <v>12</v>
      </c>
      <c r="FH35" s="12">
        <v>19</v>
      </c>
      <c r="FJ35" s="7">
        <v>12</v>
      </c>
      <c r="FK35" s="9">
        <v>1100</v>
      </c>
      <c r="FP35" s="7">
        <v>12</v>
      </c>
      <c r="FQ35" s="12">
        <v>0</v>
      </c>
      <c r="FR35" s="12"/>
      <c r="FS35" s="7">
        <v>12</v>
      </c>
      <c r="FT35" s="12">
        <v>49</v>
      </c>
      <c r="FV35" s="7">
        <v>12</v>
      </c>
      <c r="FW35" s="12">
        <v>4</v>
      </c>
      <c r="FX35" s="1116"/>
      <c r="FY35" s="1117"/>
      <c r="FZ35" s="1117"/>
      <c r="GA35" s="1117"/>
      <c r="GB35" s="1117"/>
      <c r="GC35" s="1117"/>
      <c r="GD35" s="1117"/>
      <c r="GE35" s="1117"/>
      <c r="GF35" s="1117"/>
      <c r="GG35" s="1117"/>
      <c r="GH35" s="1117"/>
      <c r="GI35" s="1117"/>
      <c r="GJ35" s="1118"/>
    </row>
    <row r="36" spans="1:192" ht="15.75" customHeight="1">
      <c r="A36">
        <v>5.5</v>
      </c>
      <c r="B36" t="s">
        <v>197</v>
      </c>
      <c r="C36" s="142">
        <f>Cntrl30-1</f>
        <v>11</v>
      </c>
      <c r="D36" s="559">
        <f>FV2</f>
        <v>6</v>
      </c>
      <c r="E36" s="172" t="str">
        <f t="shared" si="31"/>
        <v>001011</v>
      </c>
      <c r="F36" s="555" t="str">
        <f t="shared" si="32"/>
        <v>11110100101110001011110001001</v>
      </c>
      <c r="G36" s="172" t="str">
        <f t="shared" si="33"/>
        <v>111101</v>
      </c>
      <c r="H36">
        <f t="shared" si="34"/>
        <v>61</v>
      </c>
      <c r="I36" s="552" t="str" cm="1">
        <f t="array" ref="I36">IF(H36&lt;&gt;"",INDEX($B$2:$B$66,H36+1),"")</f>
        <v>9</v>
      </c>
      <c r="J36" s="554">
        <f t="shared" si="28"/>
        <v>6</v>
      </c>
      <c r="K36" t="str">
        <f t="shared" si="35"/>
        <v>9Li8S</v>
      </c>
      <c r="L36" s="2" t="str">
        <f t="shared" si="36"/>
        <v>9</v>
      </c>
      <c r="M36" t="b">
        <f t="shared" si="37"/>
        <v>1</v>
      </c>
      <c r="N36" s="2">
        <f t="shared" si="38"/>
        <v>61</v>
      </c>
      <c r="O36" s="172" t="str">
        <f t="shared" si="29"/>
        <v>111101</v>
      </c>
      <c r="P36" s="177" t="str">
        <f t="shared" si="40"/>
        <v>001011100010111100010010</v>
      </c>
      <c r="Q36" s="172" t="str">
        <f t="shared" si="30"/>
        <v>001011</v>
      </c>
      <c r="R36" s="553">
        <f t="shared" si="39"/>
        <v>11</v>
      </c>
      <c r="S36" s="142" t="s">
        <v>796</v>
      </c>
      <c r="T36" s="7"/>
      <c r="U36" s="7"/>
      <c r="V36" s="43"/>
      <c r="W36" s="18"/>
      <c r="X36" s="77"/>
      <c r="Y36" s="24"/>
      <c r="Z36" s="7"/>
      <c r="AA36" s="77"/>
      <c r="AB36" s="77"/>
      <c r="AC36" s="77"/>
      <c r="AD36" s="77"/>
      <c r="AE36" s="77"/>
      <c r="AF36" s="12"/>
      <c r="AG36" s="12"/>
      <c r="AH36" s="12"/>
      <c r="AI36" s="7">
        <v>3</v>
      </c>
      <c r="AJ36" s="7" t="s">
        <v>797</v>
      </c>
      <c r="AK36" s="7"/>
      <c r="AL36" s="12"/>
      <c r="AM36" s="7"/>
      <c r="AN36" s="7"/>
      <c r="AO36" s="7"/>
      <c r="AP36" s="7"/>
      <c r="AQ36" s="7"/>
      <c r="AR36" s="7"/>
      <c r="AS36" s="7"/>
      <c r="AT36" s="7"/>
      <c r="AU36" s="7"/>
      <c r="AV36" s="7"/>
      <c r="AW36" s="7"/>
      <c r="AX36" s="7"/>
      <c r="AY36" s="7"/>
      <c r="AZ36" s="7"/>
      <c r="BA36" s="7"/>
      <c r="BB36" s="7"/>
      <c r="BC36" s="7"/>
      <c r="BD36" s="7"/>
      <c r="BE36" s="7"/>
      <c r="BF36" s="7"/>
      <c r="BG36" s="7"/>
      <c r="BH36" s="7"/>
      <c r="BI36" s="7"/>
      <c r="BJ36" s="7"/>
      <c r="BK36" s="7"/>
      <c r="BL36" s="7"/>
      <c r="BP36" s="59"/>
      <c r="BQ36" s="59"/>
      <c r="BR36" s="59"/>
      <c r="BS36" s="59"/>
      <c r="BT36" s="59"/>
      <c r="BU36" s="59"/>
      <c r="BV36" s="59"/>
      <c r="BW36" s="59"/>
      <c r="BX36" s="59"/>
      <c r="BY36" s="59"/>
      <c r="BZ36" s="59"/>
      <c r="CA36" s="59"/>
      <c r="CB36" s="59"/>
      <c r="CC36" s="59"/>
      <c r="CD36" s="59"/>
      <c r="CE36" s="59"/>
      <c r="CF36" s="59"/>
      <c r="CG36" s="59"/>
      <c r="CH36" s="59"/>
      <c r="CI36" s="59"/>
      <c r="CJ36" s="59"/>
      <c r="CK36" s="59"/>
      <c r="CL36" s="59"/>
      <c r="CM36" s="59"/>
      <c r="CN36" s="7"/>
      <c r="CO36" s="12" t="s">
        <v>127</v>
      </c>
      <c r="CP36" s="73">
        <f t="shared" si="18"/>
        <v>34</v>
      </c>
      <c r="CQ36" s="7">
        <v>84</v>
      </c>
      <c r="CR36" s="59">
        <v>13</v>
      </c>
      <c r="CS36" s="292" t="str">
        <f t="shared" si="19"/>
        <v>---------</v>
      </c>
      <c r="CT36" s="106">
        <v>23.9</v>
      </c>
      <c r="CU36" s="12" t="s">
        <v>127</v>
      </c>
      <c r="CV36" s="276" t="str">
        <f t="shared" si="20"/>
        <v>---------</v>
      </c>
      <c r="CW36" s="290">
        <v>2.89</v>
      </c>
      <c r="CX36" s="59">
        <v>13</v>
      </c>
      <c r="CY36" s="292" t="str">
        <f t="shared" si="21"/>
        <v>---------</v>
      </c>
      <c r="CZ36" s="7">
        <v>84</v>
      </c>
      <c r="DA36" s="59">
        <v>13</v>
      </c>
      <c r="DB36" s="292" t="str">
        <f t="shared" si="22"/>
        <v>---------</v>
      </c>
      <c r="DC36" s="106">
        <v>23.9</v>
      </c>
      <c r="DD36" s="12" t="s">
        <v>127</v>
      </c>
      <c r="DE36" s="276" t="str">
        <f t="shared" si="23"/>
        <v>---------</v>
      </c>
      <c r="DF36" s="290">
        <v>2.89</v>
      </c>
      <c r="DG36" s="59">
        <v>13</v>
      </c>
      <c r="DH36" s="292" t="str">
        <f t="shared" si="24"/>
        <v>---------</v>
      </c>
      <c r="DI36" s="106">
        <v>4.8</v>
      </c>
      <c r="DJ36" s="59">
        <v>13</v>
      </c>
      <c r="DK36" s="74" t="str">
        <f t="shared" si="25"/>
        <v>4.8</v>
      </c>
      <c r="DL36" s="59"/>
      <c r="DM36" s="393"/>
      <c r="DN36" s="406"/>
      <c r="DO36" s="500">
        <v>25</v>
      </c>
      <c r="DP36" s="407">
        <f t="shared" ref="DP36:DZ47" si="41">IF($DL$1,"",(aa*DP$14^2+ab*DP$14+ac)*$DO36^2+(ba*DP$14^2+bb*DP$14+bc)*$DO36+(ca*DP$14^2+cb*DP$14+cc)+$AO$1)</f>
        <v>0.88438200092097252</v>
      </c>
      <c r="DQ36" s="407">
        <f t="shared" si="41"/>
        <v>0.88438200092097252</v>
      </c>
      <c r="DR36" s="407">
        <f t="shared" si="41"/>
        <v>0.88438200092097252</v>
      </c>
      <c r="DS36" s="407">
        <f t="shared" si="41"/>
        <v>0.88438200092097252</v>
      </c>
      <c r="DT36" s="407">
        <f t="shared" si="41"/>
        <v>0.88438200092097252</v>
      </c>
      <c r="DU36" s="407">
        <f t="shared" si="41"/>
        <v>0.88438200092097252</v>
      </c>
      <c r="DV36" s="407">
        <f t="shared" si="41"/>
        <v>0.88438200092097252</v>
      </c>
      <c r="DW36" s="407">
        <f t="shared" si="41"/>
        <v>0.88438200092097252</v>
      </c>
      <c r="DX36" s="407">
        <f t="shared" si="41"/>
        <v>0.88438200092097252</v>
      </c>
      <c r="DY36" s="407">
        <f t="shared" si="41"/>
        <v>0.88438200092097252</v>
      </c>
      <c r="DZ36" s="407">
        <f t="shared" si="41"/>
        <v>0.88438200092097252</v>
      </c>
      <c r="EA36" s="408">
        <v>25</v>
      </c>
      <c r="EB36" s="993"/>
      <c r="EC36" s="993"/>
      <c r="ED36" s="993"/>
      <c r="EE36" s="1125"/>
      <c r="EF36" s="1125"/>
      <c r="EG36" s="1125"/>
      <c r="EH36" s="1182"/>
      <c r="EI36" s="1183"/>
      <c r="EJ36" s="1183"/>
      <c r="EK36" s="528"/>
      <c r="EL36" s="513"/>
      <c r="EM36" s="1127"/>
      <c r="EN36" s="1128"/>
      <c r="EO36" s="1128"/>
      <c r="EP36" s="1132"/>
      <c r="EQ36" s="508"/>
      <c r="FC36" s="106"/>
      <c r="FD36" s="7">
        <v>13</v>
      </c>
      <c r="FE36" s="12">
        <v>2.9</v>
      </c>
      <c r="FG36" s="7">
        <v>13</v>
      </c>
      <c r="FH36" s="12">
        <v>18.899999999999999</v>
      </c>
      <c r="FJ36" s="7">
        <v>13</v>
      </c>
      <c r="FK36" s="9">
        <v>1090</v>
      </c>
      <c r="FR36" s="12"/>
      <c r="FS36" s="7">
        <v>13</v>
      </c>
      <c r="FT36" s="12">
        <v>48.9</v>
      </c>
      <c r="FV36" s="7">
        <v>13</v>
      </c>
      <c r="FW36" s="12">
        <v>3.9</v>
      </c>
      <c r="FX36" s="1116"/>
      <c r="FY36" s="1117"/>
      <c r="FZ36" s="1117"/>
      <c r="GA36" s="1117"/>
      <c r="GB36" s="1117"/>
      <c r="GC36" s="1117"/>
      <c r="GD36" s="1117"/>
      <c r="GE36" s="1117"/>
      <c r="GF36" s="1117"/>
      <c r="GG36" s="1117"/>
      <c r="GH36" s="1117"/>
      <c r="GI36" s="1117"/>
      <c r="GJ36" s="1118"/>
    </row>
    <row r="37" spans="1:192" ht="15.75" customHeight="1">
      <c r="A37">
        <v>5.4</v>
      </c>
      <c r="B37" t="s">
        <v>203</v>
      </c>
      <c r="C37" s="142">
        <f>Cntrl24-1</f>
        <v>17</v>
      </c>
      <c r="D37" s="559">
        <f>FD2</f>
        <v>5</v>
      </c>
      <c r="E37" s="172" t="str">
        <f t="shared" si="31"/>
        <v>10001</v>
      </c>
      <c r="F37" s="555" t="str">
        <f t="shared" si="32"/>
        <v>00101110001011110001001</v>
      </c>
      <c r="G37" s="172" t="str">
        <f t="shared" si="33"/>
        <v>001011</v>
      </c>
      <c r="H37">
        <f t="shared" si="34"/>
        <v>11</v>
      </c>
      <c r="I37" s="552" t="str" cm="1">
        <f t="array" ref="I37">IF(H37&lt;&gt;"",INDEX($B$2:$B$66,H37+1),"")</f>
        <v>L</v>
      </c>
      <c r="J37" s="554">
        <f t="shared" si="28"/>
        <v>5</v>
      </c>
      <c r="K37" t="str">
        <f t="shared" si="35"/>
        <v>Li8S</v>
      </c>
      <c r="L37" s="2" t="str">
        <f t="shared" si="36"/>
        <v>L</v>
      </c>
      <c r="M37" t="b">
        <f t="shared" si="37"/>
        <v>1</v>
      </c>
      <c r="N37" s="2">
        <f t="shared" si="38"/>
        <v>11</v>
      </c>
      <c r="O37" s="172" t="str">
        <f t="shared" si="29"/>
        <v>001011</v>
      </c>
      <c r="P37" s="177" t="str">
        <f t="shared" si="40"/>
        <v>100010111100010010</v>
      </c>
      <c r="Q37" s="172" t="str">
        <f t="shared" si="30"/>
        <v>10001</v>
      </c>
      <c r="R37" s="553">
        <f t="shared" si="39"/>
        <v>17</v>
      </c>
      <c r="S37" s="142" t="s">
        <v>798</v>
      </c>
      <c r="T37" s="7"/>
      <c r="U37" s="7"/>
      <c r="V37" s="43"/>
      <c r="W37" s="18"/>
      <c r="X37" s="77"/>
      <c r="Y37" s="7">
        <v>1</v>
      </c>
      <c r="Z37" s="7" t="s">
        <v>799</v>
      </c>
      <c r="AA37" s="77"/>
      <c r="AB37" s="77"/>
      <c r="AC37" s="77"/>
      <c r="AD37" s="7"/>
      <c r="AE37" s="7"/>
      <c r="AF37" s="7"/>
      <c r="AG37" s="7"/>
      <c r="AH37" s="7"/>
      <c r="AI37" s="7">
        <v>4</v>
      </c>
      <c r="AJ37" s="7" t="s">
        <v>800</v>
      </c>
      <c r="AK37" s="7"/>
      <c r="AL37" s="12"/>
      <c r="AM37" s="7"/>
      <c r="AN37" s="7"/>
      <c r="AO37" s="7"/>
      <c r="AP37" s="7"/>
      <c r="AQ37" s="7"/>
      <c r="AR37" s="7"/>
      <c r="AS37" s="7"/>
      <c r="AT37" s="7"/>
      <c r="AU37" s="7"/>
      <c r="AV37" s="7"/>
      <c r="AW37" s="7"/>
      <c r="AX37" s="7"/>
      <c r="AY37" s="7"/>
      <c r="AZ37" s="7"/>
      <c r="BA37" s="7"/>
      <c r="BB37" s="7"/>
      <c r="BC37" s="7"/>
      <c r="BD37" s="7"/>
      <c r="BE37" s="7"/>
      <c r="BF37" s="7"/>
      <c r="BG37" s="7"/>
      <c r="BH37" s="7"/>
      <c r="BI37" s="7"/>
      <c r="BJ37" s="7"/>
      <c r="BK37" s="7"/>
      <c r="BL37" s="7"/>
      <c r="BP37" s="59"/>
      <c r="BQ37" s="59"/>
      <c r="BR37" s="59"/>
      <c r="BS37" s="59"/>
      <c r="BT37" s="59"/>
      <c r="BU37" s="59"/>
      <c r="BV37" s="59"/>
      <c r="BW37" s="59"/>
      <c r="BX37" s="59"/>
      <c r="BY37" s="59"/>
      <c r="BZ37" s="59"/>
      <c r="CA37" s="59"/>
      <c r="CB37" s="59"/>
      <c r="CC37" s="59"/>
      <c r="CD37" s="59"/>
      <c r="CE37" s="59"/>
      <c r="CF37" s="59"/>
      <c r="CG37" s="59"/>
      <c r="CH37" s="59"/>
      <c r="CI37" s="59"/>
      <c r="CJ37" s="59"/>
      <c r="CK37" s="59"/>
      <c r="CL37" s="59"/>
      <c r="CM37" s="59"/>
      <c r="CN37" s="7"/>
      <c r="CO37" s="12" t="s">
        <v>131</v>
      </c>
      <c r="CP37" s="73">
        <f t="shared" si="18"/>
        <v>33</v>
      </c>
      <c r="CQ37" s="7">
        <v>83</v>
      </c>
      <c r="CR37" s="59">
        <v>14</v>
      </c>
      <c r="CS37" s="292" t="str">
        <f t="shared" si="19"/>
        <v>---------</v>
      </c>
      <c r="CT37" s="106">
        <v>23.8</v>
      </c>
      <c r="CU37" s="12" t="s">
        <v>131</v>
      </c>
      <c r="CV37" s="276" t="str">
        <f t="shared" si="20"/>
        <v>---------</v>
      </c>
      <c r="CW37" s="290">
        <v>2.88</v>
      </c>
      <c r="CX37" s="59">
        <v>14</v>
      </c>
      <c r="CY37" s="292" t="str">
        <f t="shared" si="21"/>
        <v>---------</v>
      </c>
      <c r="CZ37" s="7">
        <v>83</v>
      </c>
      <c r="DA37" s="59">
        <v>14</v>
      </c>
      <c r="DB37" s="292" t="str">
        <f t="shared" si="22"/>
        <v>---------</v>
      </c>
      <c r="DC37" s="106">
        <v>23.8</v>
      </c>
      <c r="DD37" s="12" t="s">
        <v>131</v>
      </c>
      <c r="DE37" s="276" t="str">
        <f t="shared" si="23"/>
        <v>---------</v>
      </c>
      <c r="DF37" s="290">
        <v>2.88</v>
      </c>
      <c r="DG37" s="59">
        <v>14</v>
      </c>
      <c r="DH37" s="292" t="str">
        <f t="shared" si="24"/>
        <v>---------</v>
      </c>
      <c r="DI37" s="106">
        <v>4.7</v>
      </c>
      <c r="DJ37" s="59">
        <v>14</v>
      </c>
      <c r="DK37" s="74" t="str">
        <f t="shared" si="25"/>
        <v>4.7</v>
      </c>
      <c r="DL37" s="59"/>
      <c r="DM37" s="393"/>
      <c r="DN37" s="406"/>
      <c r="DO37" s="500">
        <v>24</v>
      </c>
      <c r="DP37" s="407">
        <f t="shared" si="41"/>
        <v>0.87360570389603143</v>
      </c>
      <c r="DQ37" s="407">
        <f t="shared" si="41"/>
        <v>0.87360570389603143</v>
      </c>
      <c r="DR37" s="407">
        <f t="shared" si="41"/>
        <v>0.87360570389603143</v>
      </c>
      <c r="DS37" s="407">
        <f t="shared" si="41"/>
        <v>0.87360570389603143</v>
      </c>
      <c r="DT37" s="407">
        <f t="shared" si="41"/>
        <v>0.87360570389603143</v>
      </c>
      <c r="DU37" s="407">
        <f t="shared" si="41"/>
        <v>0.87360570389603143</v>
      </c>
      <c r="DV37" s="407">
        <f t="shared" si="41"/>
        <v>0.87360570389603143</v>
      </c>
      <c r="DW37" s="407">
        <f t="shared" si="41"/>
        <v>0.87360570389603143</v>
      </c>
      <c r="DX37" s="407">
        <f t="shared" si="41"/>
        <v>0.87360570389603143</v>
      </c>
      <c r="DY37" s="407">
        <f t="shared" si="41"/>
        <v>0.87360570389603143</v>
      </c>
      <c r="DZ37" s="407">
        <f t="shared" si="41"/>
        <v>0.87360570389603143</v>
      </c>
      <c r="EA37" s="408">
        <v>24</v>
      </c>
      <c r="EB37" s="993"/>
      <c r="EC37" s="993"/>
      <c r="ED37" s="993"/>
      <c r="EE37" s="1125"/>
      <c r="EF37" s="1125"/>
      <c r="EG37" s="1125"/>
      <c r="EH37" s="1178" t="s">
        <v>801</v>
      </c>
      <c r="EI37" s="1179"/>
      <c r="EJ37" s="1179"/>
      <c r="EK37" s="528"/>
      <c r="EL37" s="513"/>
      <c r="EM37" s="519"/>
      <c r="EN37" s="520"/>
      <c r="EO37" s="520"/>
      <c r="EP37" s="520"/>
      <c r="EQ37" s="508"/>
      <c r="FC37" s="106"/>
      <c r="FD37" s="7">
        <v>14</v>
      </c>
      <c r="FE37" s="12">
        <v>2.8</v>
      </c>
      <c r="FG37" s="7">
        <v>14</v>
      </c>
      <c r="FH37" s="12">
        <v>18.8</v>
      </c>
      <c r="FJ37" s="7">
        <v>14</v>
      </c>
      <c r="FK37" s="9">
        <v>1080</v>
      </c>
      <c r="FR37" s="12"/>
      <c r="FS37" s="7">
        <v>14</v>
      </c>
      <c r="FT37" s="12">
        <v>48.8</v>
      </c>
      <c r="FV37" s="7">
        <v>14</v>
      </c>
      <c r="FW37" s="12">
        <v>3.8</v>
      </c>
      <c r="FX37" s="1116"/>
      <c r="FY37" s="1117"/>
      <c r="FZ37" s="1117"/>
      <c r="GA37" s="1117"/>
      <c r="GB37" s="1117"/>
      <c r="GC37" s="1117"/>
      <c r="GD37" s="1117"/>
      <c r="GE37" s="1117"/>
      <c r="GF37" s="1117"/>
      <c r="GG37" s="1117"/>
      <c r="GH37" s="1117"/>
      <c r="GI37" s="1117"/>
      <c r="GJ37" s="1118"/>
    </row>
    <row r="38" spans="1:192" ht="15.75" customHeight="1">
      <c r="A38">
        <v>5.3</v>
      </c>
      <c r="B38" t="s">
        <v>207</v>
      </c>
      <c r="C38" s="142">
        <f>Cntrl28-1</f>
        <v>7</v>
      </c>
      <c r="D38" s="559">
        <f>FP2</f>
        <v>4</v>
      </c>
      <c r="E38" s="172" t="str">
        <f t="shared" si="31"/>
        <v>0111</v>
      </c>
      <c r="F38" s="555" t="str">
        <f t="shared" si="32"/>
        <v>10001011110001001</v>
      </c>
      <c r="G38" s="172" t="str">
        <f t="shared" si="33"/>
        <v>100010</v>
      </c>
      <c r="H38">
        <f t="shared" si="34"/>
        <v>34</v>
      </c>
      <c r="I38" s="552" t="str" cm="1">
        <f t="array" ref="I38">IF(H38&lt;&gt;"",INDEX($B$2:$B$66,H38+1),"")</f>
        <v>i</v>
      </c>
      <c r="J38" s="554">
        <f t="shared" si="28"/>
        <v>4</v>
      </c>
      <c r="K38" t="str">
        <f t="shared" si="35"/>
        <v>i8S</v>
      </c>
      <c r="L38" s="2" t="str">
        <f t="shared" si="36"/>
        <v>i</v>
      </c>
      <c r="M38" t="b">
        <f t="shared" si="37"/>
        <v>0</v>
      </c>
      <c r="N38" s="2">
        <f t="shared" si="38"/>
        <v>34</v>
      </c>
      <c r="O38" s="172" t="str">
        <f t="shared" si="29"/>
        <v>100010</v>
      </c>
      <c r="P38" s="177" t="str">
        <f t="shared" si="40"/>
        <v>0111100010010</v>
      </c>
      <c r="Q38" s="172" t="str">
        <f t="shared" si="30"/>
        <v>0111</v>
      </c>
      <c r="R38" s="553">
        <f t="shared" si="39"/>
        <v>7</v>
      </c>
      <c r="S38" s="142" t="s">
        <v>802</v>
      </c>
      <c r="T38" s="7"/>
      <c r="U38" s="7"/>
      <c r="V38" s="43"/>
      <c r="W38" s="18"/>
      <c r="X38" s="7"/>
      <c r="Y38" s="7">
        <v>2</v>
      </c>
      <c r="Z38" s="7" t="s">
        <v>803</v>
      </c>
      <c r="AA38" s="7"/>
      <c r="AB38" s="7"/>
      <c r="AC38" s="7"/>
      <c r="AD38" s="12"/>
      <c r="AE38" s="7"/>
      <c r="AF38" s="7"/>
      <c r="AG38" s="7"/>
      <c r="AH38" s="7"/>
      <c r="AI38" s="7">
        <v>5</v>
      </c>
      <c r="AJ38" s="7" t="s">
        <v>804</v>
      </c>
      <c r="AK38" s="7"/>
      <c r="AL38" s="7"/>
      <c r="AM38" s="7"/>
      <c r="AN38" s="7"/>
      <c r="AO38" s="7"/>
      <c r="AP38" s="7"/>
      <c r="AQ38" s="7"/>
      <c r="AR38" s="7"/>
      <c r="AS38" s="7"/>
      <c r="AT38" s="7"/>
      <c r="AU38" s="7"/>
      <c r="AV38" s="7"/>
      <c r="AW38" s="7"/>
      <c r="AX38" s="7"/>
      <c r="AY38" s="7"/>
      <c r="AZ38" s="7"/>
      <c r="BA38" s="7"/>
      <c r="BB38" s="7"/>
      <c r="BC38" s="7"/>
      <c r="BD38" s="7"/>
      <c r="BE38" s="7"/>
      <c r="BF38" s="7"/>
      <c r="BG38" s="7"/>
      <c r="BH38" s="7"/>
      <c r="BI38" s="7"/>
      <c r="BJ38" s="7"/>
      <c r="BK38" s="7"/>
      <c r="BL38" s="7"/>
      <c r="BP38" s="59"/>
      <c r="BQ38" s="59"/>
      <c r="BR38" s="59"/>
      <c r="BS38" s="59"/>
      <c r="BT38" s="59"/>
      <c r="BU38" s="59"/>
      <c r="BV38" s="59"/>
      <c r="BW38" s="59"/>
      <c r="BX38" s="59"/>
      <c r="BY38" s="59"/>
      <c r="BZ38" s="59"/>
      <c r="CA38" s="59"/>
      <c r="CB38" s="59"/>
      <c r="CC38" s="59"/>
      <c r="CD38" s="59"/>
      <c r="CE38" s="59"/>
      <c r="CF38" s="59"/>
      <c r="CG38" s="59"/>
      <c r="CH38" s="59"/>
      <c r="CI38" s="59"/>
      <c r="CJ38" s="59"/>
      <c r="CK38" s="59"/>
      <c r="CL38" s="59"/>
      <c r="CM38" s="59"/>
      <c r="CN38" s="7"/>
      <c r="CO38" s="12" t="s">
        <v>135</v>
      </c>
      <c r="CP38" s="73">
        <f t="shared" si="18"/>
        <v>32</v>
      </c>
      <c r="CQ38" s="7">
        <v>82</v>
      </c>
      <c r="CR38" s="59">
        <v>15</v>
      </c>
      <c r="CS38" s="292" t="str">
        <f t="shared" si="19"/>
        <v>---------</v>
      </c>
      <c r="CT38" s="106">
        <v>23.7</v>
      </c>
      <c r="CU38" s="12" t="s">
        <v>135</v>
      </c>
      <c r="CV38" s="276" t="str">
        <f t="shared" si="20"/>
        <v>---------</v>
      </c>
      <c r="CW38" s="290">
        <v>2.87</v>
      </c>
      <c r="CX38" s="59">
        <v>15</v>
      </c>
      <c r="CY38" s="292" t="str">
        <f t="shared" si="21"/>
        <v>---------</v>
      </c>
      <c r="CZ38" s="7">
        <v>82</v>
      </c>
      <c r="DA38" s="59">
        <v>15</v>
      </c>
      <c r="DB38" s="292" t="str">
        <f t="shared" si="22"/>
        <v>---------</v>
      </c>
      <c r="DC38" s="106">
        <v>23.7</v>
      </c>
      <c r="DD38" s="12" t="s">
        <v>135</v>
      </c>
      <c r="DE38" s="276" t="str">
        <f t="shared" si="23"/>
        <v>---------</v>
      </c>
      <c r="DF38" s="290">
        <v>2.87</v>
      </c>
      <c r="DG38" s="59">
        <v>15</v>
      </c>
      <c r="DH38" s="292" t="str">
        <f t="shared" si="24"/>
        <v>---------</v>
      </c>
      <c r="DI38" s="106">
        <v>4.5999999999999996</v>
      </c>
      <c r="DJ38" s="59">
        <v>15</v>
      </c>
      <c r="DK38" s="74" t="str">
        <f t="shared" si="25"/>
        <v>4.6</v>
      </c>
      <c r="DL38" s="59"/>
      <c r="DM38" s="393"/>
      <c r="DN38" s="409"/>
      <c r="DO38" s="501">
        <v>23</v>
      </c>
      <c r="DP38" s="410">
        <f t="shared" si="41"/>
        <v>0.86253239939713233</v>
      </c>
      <c r="DQ38" s="410">
        <f t="shared" si="41"/>
        <v>0.86253239939713233</v>
      </c>
      <c r="DR38" s="410">
        <f t="shared" si="41"/>
        <v>0.86253239939713233</v>
      </c>
      <c r="DS38" s="410">
        <f t="shared" si="41"/>
        <v>0.86253239939713233</v>
      </c>
      <c r="DT38" s="410">
        <f t="shared" si="41"/>
        <v>0.86253239939713233</v>
      </c>
      <c r="DU38" s="410">
        <f t="shared" si="41"/>
        <v>0.86253239939713233</v>
      </c>
      <c r="DV38" s="410">
        <f t="shared" si="41"/>
        <v>0.86253239939713233</v>
      </c>
      <c r="DW38" s="410">
        <f t="shared" si="41"/>
        <v>0.86253239939713233</v>
      </c>
      <c r="DX38" s="410">
        <f t="shared" si="41"/>
        <v>0.86253239939713233</v>
      </c>
      <c r="DY38" s="410">
        <f t="shared" si="41"/>
        <v>0.86253239939713233</v>
      </c>
      <c r="DZ38" s="410">
        <f t="shared" si="41"/>
        <v>0.86253239939713233</v>
      </c>
      <c r="EA38" s="411">
        <v>23</v>
      </c>
      <c r="EB38" s="993"/>
      <c r="EC38" s="993"/>
      <c r="ED38" s="993"/>
      <c r="EE38" s="1125"/>
      <c r="EF38" s="1125"/>
      <c r="EG38" s="1125"/>
      <c r="EH38" s="1178"/>
      <c r="EI38" s="1179"/>
      <c r="EJ38" s="1179"/>
      <c r="EK38" s="1184">
        <f>ES6</f>
        <v>24</v>
      </c>
      <c r="EL38" s="1185"/>
      <c r="EM38" s="413"/>
      <c r="EN38" s="414"/>
      <c r="EO38" s="414"/>
      <c r="EP38" s="414"/>
      <c r="EQ38" s="522"/>
      <c r="FC38" s="106"/>
      <c r="FD38" s="7">
        <v>15</v>
      </c>
      <c r="FE38" s="12">
        <v>2.7</v>
      </c>
      <c r="FG38" s="7">
        <v>15</v>
      </c>
      <c r="FH38" s="12">
        <v>18.7</v>
      </c>
      <c r="FJ38" s="7">
        <v>15</v>
      </c>
      <c r="FK38" s="9">
        <v>1070</v>
      </c>
      <c r="FR38" s="12"/>
      <c r="FS38" s="7">
        <v>15</v>
      </c>
      <c r="FT38" s="12">
        <v>48.7</v>
      </c>
      <c r="FV38" s="7">
        <v>15</v>
      </c>
      <c r="FW38" s="12">
        <v>3.7</v>
      </c>
      <c r="FX38" s="1116"/>
      <c r="FY38" s="1117"/>
      <c r="FZ38" s="1117"/>
      <c r="GA38" s="1117"/>
      <c r="GB38" s="1117"/>
      <c r="GC38" s="1117"/>
      <c r="GD38" s="1117"/>
      <c r="GE38" s="1117"/>
      <c r="GF38" s="1117"/>
      <c r="GG38" s="1117"/>
      <c r="GH38" s="1117"/>
      <c r="GI38" s="1117"/>
      <c r="GJ38" s="1118"/>
    </row>
    <row r="39" spans="1:192" ht="15.75" customHeight="1">
      <c r="A39">
        <v>5.2</v>
      </c>
      <c r="B39" t="s">
        <v>211</v>
      </c>
      <c r="C39" s="142">
        <f>Cntrl27-1</f>
        <v>4</v>
      </c>
      <c r="D39" s="559">
        <f>FM2</f>
        <v>3</v>
      </c>
      <c r="E39" s="172" t="str">
        <f t="shared" si="31"/>
        <v>100</v>
      </c>
      <c r="F39" s="555" t="str">
        <f t="shared" si="32"/>
        <v>11110001001</v>
      </c>
      <c r="G39" s="172" t="str">
        <f t="shared" si="33"/>
        <v>111100</v>
      </c>
      <c r="H39">
        <f t="shared" si="34"/>
        <v>60</v>
      </c>
      <c r="I39" s="552" t="str" cm="1">
        <f t="array" ref="I39">IF(H39&lt;&gt;"",INDEX($B$2:$B$66,H39+1),"")</f>
        <v>8</v>
      </c>
      <c r="J39" s="554">
        <f t="shared" si="28"/>
        <v>3</v>
      </c>
      <c r="K39" t="str">
        <f t="shared" si="35"/>
        <v>8S</v>
      </c>
      <c r="L39" s="2" t="str">
        <f t="shared" si="36"/>
        <v>8</v>
      </c>
      <c r="M39" t="b">
        <f t="shared" si="37"/>
        <v>1</v>
      </c>
      <c r="N39" s="2">
        <f t="shared" si="38"/>
        <v>60</v>
      </c>
      <c r="O39" s="172" t="str">
        <f t="shared" si="29"/>
        <v>111100</v>
      </c>
      <c r="P39" s="177" t="str">
        <f t="shared" si="40"/>
        <v>100010010</v>
      </c>
      <c r="Q39" s="172" t="str">
        <f t="shared" si="30"/>
        <v>100</v>
      </c>
      <c r="R39" s="553">
        <f t="shared" si="39"/>
        <v>4</v>
      </c>
      <c r="S39" s="142" t="s">
        <v>805</v>
      </c>
      <c r="T39" s="7"/>
      <c r="U39" s="7"/>
      <c r="V39" s="43"/>
      <c r="W39" s="12"/>
      <c r="X39" s="7"/>
      <c r="Y39" s="7">
        <v>3</v>
      </c>
      <c r="Z39" s="7" t="s">
        <v>806</v>
      </c>
      <c r="AA39" s="7"/>
      <c r="AB39" s="7"/>
      <c r="AC39" s="7"/>
      <c r="AD39" s="12"/>
      <c r="AE39" s="7"/>
      <c r="AF39" s="7"/>
      <c r="AG39" s="7"/>
      <c r="AH39" s="7"/>
      <c r="AI39" s="7">
        <v>6</v>
      </c>
      <c r="AJ39" s="7" t="s">
        <v>807</v>
      </c>
      <c r="AK39" s="7"/>
      <c r="AL39" s="7"/>
      <c r="AM39" s="7"/>
      <c r="AN39" s="7"/>
      <c r="AO39" s="7"/>
      <c r="AP39" s="7"/>
      <c r="AQ39" s="7"/>
      <c r="AR39" s="7"/>
      <c r="AS39" s="7"/>
      <c r="AT39" s="7"/>
      <c r="AU39" s="7"/>
      <c r="AV39" s="7"/>
      <c r="AW39" s="7"/>
      <c r="AX39" s="7"/>
      <c r="AY39" s="7"/>
      <c r="AZ39" s="7"/>
      <c r="BA39" s="7"/>
      <c r="BB39" s="7"/>
      <c r="BC39" s="7"/>
      <c r="BD39" s="7"/>
      <c r="BE39" s="7"/>
      <c r="BF39" s="7"/>
      <c r="BG39" s="7"/>
      <c r="BH39" s="7"/>
      <c r="BI39" s="7"/>
      <c r="BJ39" s="7"/>
      <c r="BK39" s="7"/>
      <c r="BL39" s="7"/>
      <c r="BP39" s="59"/>
      <c r="BQ39" s="59"/>
      <c r="BR39" s="59"/>
      <c r="BS39" s="59"/>
      <c r="BT39" s="59"/>
      <c r="BU39" s="59"/>
      <c r="BV39" s="59"/>
      <c r="BW39" s="59"/>
      <c r="BX39" s="59"/>
      <c r="BY39" s="59"/>
      <c r="BZ39" s="59"/>
      <c r="CA39" s="59"/>
      <c r="CB39" s="59"/>
      <c r="CC39" s="59"/>
      <c r="CD39" s="59"/>
      <c r="CE39" s="59"/>
      <c r="CF39" s="59"/>
      <c r="CG39" s="59"/>
      <c r="CH39" s="59"/>
      <c r="CI39" s="59"/>
      <c r="CJ39" s="59"/>
      <c r="CK39" s="59"/>
      <c r="CL39" s="59"/>
      <c r="CM39" s="59"/>
      <c r="CN39" s="7"/>
      <c r="CO39" s="12" t="s">
        <v>141</v>
      </c>
      <c r="CP39" s="73">
        <f t="shared" si="18"/>
        <v>31</v>
      </c>
      <c r="CQ39" s="7">
        <v>81</v>
      </c>
      <c r="CR39" s="59">
        <v>16</v>
      </c>
      <c r="CS39" s="292" t="str">
        <f t="shared" si="19"/>
        <v>---------</v>
      </c>
      <c r="CT39" s="106">
        <v>23.6</v>
      </c>
      <c r="CU39" s="12" t="s">
        <v>141</v>
      </c>
      <c r="CV39" s="276" t="str">
        <f t="shared" si="20"/>
        <v>---------</v>
      </c>
      <c r="CW39" s="290">
        <v>2.86</v>
      </c>
      <c r="CX39" s="59">
        <v>16</v>
      </c>
      <c r="CY39" s="292" t="str">
        <f t="shared" si="21"/>
        <v>---------</v>
      </c>
      <c r="CZ39" s="7">
        <v>81</v>
      </c>
      <c r="DA39" s="59">
        <v>16</v>
      </c>
      <c r="DB39" s="292" t="str">
        <f t="shared" si="22"/>
        <v>---------</v>
      </c>
      <c r="DC39" s="106">
        <v>23.6</v>
      </c>
      <c r="DD39" s="12" t="s">
        <v>141</v>
      </c>
      <c r="DE39" s="276" t="str">
        <f t="shared" si="23"/>
        <v>---------</v>
      </c>
      <c r="DF39" s="290">
        <v>2.86</v>
      </c>
      <c r="DG39" s="59">
        <v>16</v>
      </c>
      <c r="DH39" s="292" t="str">
        <f t="shared" si="24"/>
        <v>---------</v>
      </c>
      <c r="DI39" s="106">
        <v>4.5</v>
      </c>
      <c r="DJ39" s="59">
        <v>16</v>
      </c>
      <c r="DK39" s="74" t="str">
        <f t="shared" si="25"/>
        <v>4.5</v>
      </c>
      <c r="DL39" s="59"/>
      <c r="DM39" s="393"/>
      <c r="DN39" s="409"/>
      <c r="DO39" s="501">
        <v>22</v>
      </c>
      <c r="DP39" s="410">
        <f t="shared" si="41"/>
        <v>0.85116208742427513</v>
      </c>
      <c r="DQ39" s="410">
        <f t="shared" si="41"/>
        <v>0.85116208742427513</v>
      </c>
      <c r="DR39" s="410">
        <f t="shared" si="41"/>
        <v>0.85116208742427513</v>
      </c>
      <c r="DS39" s="410">
        <f t="shared" si="41"/>
        <v>0.85116208742427513</v>
      </c>
      <c r="DT39" s="410">
        <f t="shared" si="41"/>
        <v>0.85116208742427513</v>
      </c>
      <c r="DU39" s="410">
        <f t="shared" si="41"/>
        <v>0.85116208742427513</v>
      </c>
      <c r="DV39" s="410">
        <f t="shared" si="41"/>
        <v>0.85116208742427513</v>
      </c>
      <c r="DW39" s="410">
        <f t="shared" si="41"/>
        <v>0.85116208742427513</v>
      </c>
      <c r="DX39" s="410">
        <f t="shared" si="41"/>
        <v>0.85116208742427513</v>
      </c>
      <c r="DY39" s="410">
        <f t="shared" si="41"/>
        <v>0.85116208742427513</v>
      </c>
      <c r="DZ39" s="410">
        <f t="shared" si="41"/>
        <v>0.85116208742427513</v>
      </c>
      <c r="EA39" s="411">
        <v>22</v>
      </c>
      <c r="EB39" s="993" cm="1">
        <f t="array" ref="EB39">PIC_walls2</f>
        <v>0</v>
      </c>
      <c r="EC39" s="993"/>
      <c r="ED39" s="993"/>
      <c r="EE39" s="333"/>
      <c r="EF39" s="333"/>
      <c r="EG39" s="333"/>
      <c r="EH39" s="519"/>
      <c r="EI39" s="528"/>
      <c r="EJ39" s="528"/>
      <c r="EK39" s="530"/>
      <c r="EL39" s="513"/>
      <c r="EM39" s="520"/>
      <c r="EN39" s="520"/>
      <c r="EO39" s="520"/>
      <c r="EP39" s="520"/>
      <c r="EQ39" s="521"/>
      <c r="FC39" s="106"/>
      <c r="FD39" s="7">
        <v>16</v>
      </c>
      <c r="FE39" s="12">
        <v>2.6</v>
      </c>
      <c r="FG39" s="7">
        <v>16</v>
      </c>
      <c r="FH39" s="12">
        <v>18.600000000000001</v>
      </c>
      <c r="FJ39" s="7">
        <v>16</v>
      </c>
      <c r="FK39" s="9">
        <v>1060</v>
      </c>
      <c r="FR39" s="12"/>
      <c r="FS39" s="7">
        <v>16</v>
      </c>
      <c r="FT39" s="12">
        <v>48.6</v>
      </c>
      <c r="FV39" s="7">
        <v>16</v>
      </c>
      <c r="FW39" s="12">
        <v>3.6</v>
      </c>
      <c r="FX39" s="1116"/>
      <c r="FY39" s="1117"/>
      <c r="FZ39" s="1117"/>
      <c r="GA39" s="1117"/>
      <c r="GB39" s="1117"/>
      <c r="GC39" s="1117"/>
      <c r="GD39" s="1117"/>
      <c r="GE39" s="1117"/>
      <c r="GF39" s="1117"/>
      <c r="GG39" s="1117"/>
      <c r="GH39" s="1117"/>
      <c r="GI39" s="1117"/>
      <c r="GJ39" s="1118"/>
    </row>
    <row r="40" spans="1:192" ht="15.75" customHeight="1">
      <c r="A40">
        <v>5.0999999999999996</v>
      </c>
      <c r="B40" t="s">
        <v>218</v>
      </c>
      <c r="C40" s="142">
        <f>Cntrl22-1</f>
        <v>2</v>
      </c>
      <c r="D40" s="559">
        <f>FM2</f>
        <v>3</v>
      </c>
      <c r="E40" s="172" t="str">
        <f t="shared" si="31"/>
        <v>010</v>
      </c>
      <c r="F40" s="555" t="str">
        <f t="shared" si="32"/>
        <v>01001</v>
      </c>
      <c r="G40" s="172" t="str">
        <f t="shared" si="33"/>
        <v>010010</v>
      </c>
      <c r="H40">
        <f t="shared" si="34"/>
        <v>18</v>
      </c>
      <c r="I40" s="552" t="str" cm="1">
        <f t="array" ref="I40">IF(H40&lt;&gt;"",INDEX($B$2:$B$66,H40+1),"")</f>
        <v>S</v>
      </c>
      <c r="J40" s="554">
        <f t="shared" si="28"/>
        <v>3</v>
      </c>
      <c r="K40" t="str">
        <f t="shared" si="35"/>
        <v>S</v>
      </c>
      <c r="L40" s="2" t="str">
        <f t="shared" si="36"/>
        <v>S</v>
      </c>
      <c r="M40" t="b">
        <f t="shared" si="37"/>
        <v>1</v>
      </c>
      <c r="N40" s="2">
        <f t="shared" si="38"/>
        <v>18</v>
      </c>
      <c r="O40" s="172" t="str">
        <f t="shared" si="29"/>
        <v>010010</v>
      </c>
      <c r="P40" s="177" t="str">
        <f t="shared" si="40"/>
        <v>010010</v>
      </c>
      <c r="Q40" s="172" t="str">
        <f t="shared" si="30"/>
        <v>010</v>
      </c>
      <c r="R40" s="553">
        <f t="shared" si="39"/>
        <v>2</v>
      </c>
      <c r="S40" s="142" t="s">
        <v>808</v>
      </c>
      <c r="T40" s="7"/>
      <c r="U40" s="7"/>
      <c r="V40" s="43"/>
      <c r="W40" s="18"/>
      <c r="X40" s="7"/>
      <c r="Y40" s="7">
        <v>4</v>
      </c>
      <c r="Z40" s="7" t="s">
        <v>809</v>
      </c>
      <c r="AA40" s="7"/>
      <c r="AB40" s="7"/>
      <c r="AC40" s="7"/>
      <c r="AD40" s="12"/>
      <c r="AE40" s="7"/>
      <c r="AF40" s="7"/>
      <c r="AG40" s="7"/>
      <c r="AH40" s="7"/>
      <c r="AI40" s="7">
        <v>7</v>
      </c>
      <c r="AJ40" s="7" t="s">
        <v>810</v>
      </c>
      <c r="AK40" s="7"/>
      <c r="AL40" s="7"/>
      <c r="AM40" s="7"/>
      <c r="AN40" s="7"/>
      <c r="AO40" s="7"/>
      <c r="AP40" s="7"/>
      <c r="AQ40" s="7"/>
      <c r="AR40" s="7"/>
      <c r="AS40" s="7"/>
      <c r="AT40" s="7"/>
      <c r="AU40" s="7"/>
      <c r="AV40" s="7"/>
      <c r="AW40" s="7"/>
      <c r="AX40" s="7"/>
      <c r="AY40" s="7"/>
      <c r="AZ40" s="7"/>
      <c r="BA40" s="7"/>
      <c r="BB40" s="7"/>
      <c r="BC40" s="7"/>
      <c r="BD40" s="7"/>
      <c r="BE40" s="7"/>
      <c r="BF40" s="7"/>
      <c r="BG40" s="7"/>
      <c r="BH40" s="7"/>
      <c r="BI40" s="7"/>
      <c r="BJ40" s="7"/>
      <c r="BK40" s="7"/>
      <c r="BL40" s="7"/>
      <c r="BP40" s="59"/>
      <c r="BQ40" s="59"/>
      <c r="BR40" s="59"/>
      <c r="BS40" s="59"/>
      <c r="BT40" s="59"/>
      <c r="BU40" s="59"/>
      <c r="BV40" s="59"/>
      <c r="BW40" s="77"/>
      <c r="BX40" s="77"/>
      <c r="BY40" s="77"/>
      <c r="BZ40" s="12">
        <v>0</v>
      </c>
      <c r="CA40" s="18"/>
      <c r="CB40" s="12">
        <v>0</v>
      </c>
      <c r="CC40" s="18"/>
      <c r="CD40" s="7"/>
      <c r="CE40" s="59"/>
      <c r="CF40" s="59"/>
      <c r="CG40" s="59"/>
      <c r="CH40" s="59"/>
      <c r="CI40" s="59"/>
      <c r="CJ40" s="59"/>
      <c r="CK40" s="59"/>
      <c r="CL40" s="59"/>
      <c r="CM40" s="59"/>
      <c r="CN40" s="7"/>
      <c r="CO40" s="12" t="s">
        <v>146</v>
      </c>
      <c r="CP40" s="73">
        <f t="shared" si="18"/>
        <v>30</v>
      </c>
      <c r="CQ40" s="7">
        <v>80</v>
      </c>
      <c r="CR40" s="59">
        <v>17</v>
      </c>
      <c r="CS40" s="292" t="str">
        <f t="shared" si="19"/>
        <v>---------</v>
      </c>
      <c r="CT40" s="106">
        <v>23.5</v>
      </c>
      <c r="CU40" s="12" t="s">
        <v>146</v>
      </c>
      <c r="CV40" s="276" t="str">
        <f t="shared" si="20"/>
        <v>---------</v>
      </c>
      <c r="CW40" s="290">
        <v>2.85</v>
      </c>
      <c r="CX40" s="59">
        <v>17</v>
      </c>
      <c r="CY40" s="292" t="str">
        <f t="shared" si="21"/>
        <v>---------</v>
      </c>
      <c r="CZ40" s="7">
        <v>80</v>
      </c>
      <c r="DA40" s="59">
        <v>17</v>
      </c>
      <c r="DB40" s="292" t="str">
        <f t="shared" si="22"/>
        <v>---------</v>
      </c>
      <c r="DC40" s="106">
        <v>23.5</v>
      </c>
      <c r="DD40" s="12" t="s">
        <v>146</v>
      </c>
      <c r="DE40" s="276" t="str">
        <f t="shared" si="23"/>
        <v>---------</v>
      </c>
      <c r="DF40" s="290">
        <v>2.85</v>
      </c>
      <c r="DG40" s="59">
        <v>17</v>
      </c>
      <c r="DH40" s="292" t="str">
        <f t="shared" si="24"/>
        <v>---------</v>
      </c>
      <c r="DI40" s="106">
        <v>4.4000000000000004</v>
      </c>
      <c r="DJ40" s="59">
        <v>17</v>
      </c>
      <c r="DK40" s="74" t="str">
        <f t="shared" si="25"/>
        <v>4.4</v>
      </c>
      <c r="DL40" s="59"/>
      <c r="DM40" s="393"/>
      <c r="DN40" s="409"/>
      <c r="DO40" s="501">
        <v>21</v>
      </c>
      <c r="DP40" s="410">
        <f t="shared" si="41"/>
        <v>0.83949476797746003</v>
      </c>
      <c r="DQ40" s="410">
        <f t="shared" si="41"/>
        <v>0.83949476797746003</v>
      </c>
      <c r="DR40" s="410">
        <f t="shared" si="41"/>
        <v>0.83949476797746003</v>
      </c>
      <c r="DS40" s="410">
        <f t="shared" si="41"/>
        <v>0.83949476797746003</v>
      </c>
      <c r="DT40" s="410">
        <f t="shared" si="41"/>
        <v>0.83949476797746003</v>
      </c>
      <c r="DU40" s="410">
        <f t="shared" si="41"/>
        <v>0.83949476797746003</v>
      </c>
      <c r="DV40" s="410">
        <f t="shared" si="41"/>
        <v>0.83949476797746003</v>
      </c>
      <c r="DW40" s="410">
        <f t="shared" si="41"/>
        <v>0.83949476797746003</v>
      </c>
      <c r="DX40" s="410">
        <f t="shared" si="41"/>
        <v>0.83949476797746003</v>
      </c>
      <c r="DY40" s="410">
        <f t="shared" si="41"/>
        <v>0.83949476797746003</v>
      </c>
      <c r="DZ40" s="410">
        <f t="shared" si="41"/>
        <v>0.83949476797746003</v>
      </c>
      <c r="EA40" s="411">
        <v>21</v>
      </c>
      <c r="EB40" s="993"/>
      <c r="EC40" s="993"/>
      <c r="ED40" s="993"/>
      <c r="EE40" s="333"/>
      <c r="EF40" s="333"/>
      <c r="EG40" s="333"/>
      <c r="EH40" s="1180" t="s">
        <v>811</v>
      </c>
      <c r="EI40" s="1181"/>
      <c r="EJ40" s="1181"/>
      <c r="EK40" s="1186">
        <f>ET22</f>
        <v>18</v>
      </c>
      <c r="EL40" s="1187"/>
      <c r="EM40" s="1178" t="s">
        <v>812</v>
      </c>
      <c r="EN40" s="1179"/>
      <c r="EO40" s="1179"/>
      <c r="EP40" s="520"/>
      <c r="EQ40" s="508"/>
      <c r="FC40" s="106"/>
      <c r="FD40" s="7">
        <v>17</v>
      </c>
      <c r="FE40" s="12">
        <v>2.5</v>
      </c>
      <c r="FG40" s="7">
        <v>17</v>
      </c>
      <c r="FH40" s="12">
        <v>18.5</v>
      </c>
      <c r="FJ40" s="7">
        <v>17</v>
      </c>
      <c r="FK40" s="9">
        <v>1050</v>
      </c>
      <c r="FR40" s="12"/>
      <c r="FS40" s="7">
        <v>17</v>
      </c>
      <c r="FT40" s="12">
        <v>48.5</v>
      </c>
      <c r="FV40" s="7">
        <v>17</v>
      </c>
      <c r="FW40" s="12">
        <v>3.5</v>
      </c>
      <c r="FX40" s="1116"/>
      <c r="FY40" s="1117"/>
      <c r="FZ40" s="1117"/>
      <c r="GA40" s="1117"/>
      <c r="GB40" s="1117"/>
      <c r="GC40" s="1117"/>
      <c r="GD40" s="1117"/>
      <c r="GE40" s="1117"/>
      <c r="GF40" s="1117"/>
      <c r="GG40" s="1117"/>
      <c r="GH40" s="1117"/>
      <c r="GI40" s="1117"/>
      <c r="GJ40" s="1118"/>
    </row>
    <row r="41" spans="1:192" ht="15.75" customHeight="1">
      <c r="A41">
        <v>5</v>
      </c>
      <c r="B41" t="s">
        <v>225</v>
      </c>
      <c r="C41" s="142">
        <f>Cntrl23-1</f>
        <v>1</v>
      </c>
      <c r="D41" s="559">
        <f>FA2</f>
        <v>2</v>
      </c>
      <c r="E41" s="172" t="str">
        <f t="shared" si="31"/>
        <v>01</v>
      </c>
      <c r="F41" s="555" t="str">
        <f t="shared" si="32"/>
        <v/>
      </c>
      <c r="G41" s="172" t="str">
        <f t="shared" si="33"/>
        <v/>
      </c>
      <c r="H41" t="str">
        <f t="shared" si="34"/>
        <v/>
      </c>
      <c r="I41" s="552" t="str" cm="1">
        <f t="array" ref="I41">IF(H41&lt;&gt;"",INDEX($B$2:$B$66,H41+1),"")</f>
        <v/>
      </c>
      <c r="J41" s="554">
        <f t="shared" si="28"/>
        <v>2</v>
      </c>
      <c r="K41" t="str">
        <f t="shared" si="35"/>
        <v/>
      </c>
      <c r="L41" s="2" t="str">
        <f t="shared" si="36"/>
        <v/>
      </c>
      <c r="M41" t="str">
        <f t="shared" si="37"/>
        <v/>
      </c>
      <c r="N41" s="2" t="str">
        <f t="shared" si="38"/>
        <v/>
      </c>
      <c r="O41" s="172" t="str">
        <f t="shared" si="29"/>
        <v/>
      </c>
      <c r="P41" s="177" t="str">
        <f t="shared" si="40"/>
        <v>010</v>
      </c>
      <c r="Q41" s="172" t="str">
        <f t="shared" si="30"/>
        <v>01</v>
      </c>
      <c r="R41" s="553">
        <f t="shared" si="39"/>
        <v>1</v>
      </c>
      <c r="S41" s="142" t="s">
        <v>813</v>
      </c>
      <c r="T41" s="7"/>
      <c r="U41" s="7"/>
      <c r="V41" s="43"/>
      <c r="W41" s="12"/>
      <c r="X41" s="7"/>
      <c r="Y41" s="7">
        <v>5</v>
      </c>
      <c r="Z41" s="7" t="s">
        <v>814</v>
      </c>
      <c r="AA41" s="7"/>
      <c r="AB41" s="7"/>
      <c r="AC41" s="78"/>
      <c r="AD41" s="12"/>
      <c r="AE41" s="7"/>
      <c r="AF41" s="7"/>
      <c r="AG41" s="7"/>
      <c r="AH41" s="7"/>
      <c r="AI41" s="7">
        <v>8</v>
      </c>
      <c r="AJ41" s="7" t="s">
        <v>815</v>
      </c>
      <c r="AK41" s="7"/>
      <c r="AL41" s="7"/>
      <c r="AM41" s="7"/>
      <c r="AN41" s="7"/>
      <c r="AO41" s="7"/>
      <c r="AP41" s="7"/>
      <c r="AQ41" s="7"/>
      <c r="AR41" s="7"/>
      <c r="AS41" s="7"/>
      <c r="AT41" s="7"/>
      <c r="AU41" s="7"/>
      <c r="AV41" s="7"/>
      <c r="AW41" s="7"/>
      <c r="AX41" s="7"/>
      <c r="AY41" s="7"/>
      <c r="AZ41" s="7"/>
      <c r="BA41" s="7"/>
      <c r="BB41" s="7"/>
      <c r="BC41" s="7"/>
      <c r="BD41" s="7"/>
      <c r="BE41" s="7"/>
      <c r="BF41" s="7"/>
      <c r="BG41" s="7"/>
      <c r="BH41" s="7"/>
      <c r="BI41" s="7"/>
      <c r="BJ41" s="7"/>
      <c r="BK41" s="7"/>
      <c r="BL41" s="7"/>
      <c r="BP41" s="59"/>
      <c r="BQ41" s="59"/>
      <c r="BR41" s="59"/>
      <c r="BS41" s="59"/>
      <c r="BT41" s="59"/>
      <c r="BU41" s="59"/>
      <c r="BV41" s="59"/>
      <c r="BW41" s="7" t="s">
        <v>193</v>
      </c>
      <c r="BX41" s="63">
        <f>VALUE(CS22)/1000/0.13</f>
        <v>0</v>
      </c>
      <c r="BY41" s="13">
        <f>VALUE(CV22)</f>
        <v>0</v>
      </c>
      <c r="BZ41" s="63">
        <f>IF((BX41+BZ40)=0,0,BY41/100/(BX41+BZ40))</f>
        <v>0</v>
      </c>
      <c r="CA41" s="63">
        <f>IF((BZ42+BZ41)=0,0,1/(BZ42+BZ41)-BZ40)</f>
        <v>1E-3</v>
      </c>
      <c r="CB41" s="63">
        <f>IF((BX41+CB40)=0,0,BY41/100/(BX41+CB40))</f>
        <v>0</v>
      </c>
      <c r="CC41" s="63">
        <f>IF((CB42+CB41)=0,0,1/(CB42+CB41)-CB40)</f>
        <v>1E-3</v>
      </c>
      <c r="CD41" s="7"/>
      <c r="CE41" s="59"/>
      <c r="CF41" s="59"/>
      <c r="CG41" s="59"/>
      <c r="CH41" s="59"/>
      <c r="CI41" s="59"/>
      <c r="CJ41" s="59"/>
      <c r="CK41" s="59"/>
      <c r="CL41" s="59"/>
      <c r="CM41" s="59"/>
      <c r="CN41" s="7"/>
      <c r="CO41" s="12" t="s">
        <v>152</v>
      </c>
      <c r="CP41" s="73">
        <f t="shared" si="18"/>
        <v>29</v>
      </c>
      <c r="CQ41" s="7">
        <v>79</v>
      </c>
      <c r="CR41" s="59">
        <v>18</v>
      </c>
      <c r="CS41" s="292" t="str">
        <f t="shared" si="19"/>
        <v>---------</v>
      </c>
      <c r="CT41" s="106">
        <v>23.4</v>
      </c>
      <c r="CU41" s="12" t="s">
        <v>152</v>
      </c>
      <c r="CV41" s="276" t="str">
        <f t="shared" si="20"/>
        <v>---------</v>
      </c>
      <c r="CW41" s="290">
        <v>2.84</v>
      </c>
      <c r="CX41" s="59">
        <v>18</v>
      </c>
      <c r="CY41" s="292" t="str">
        <f t="shared" si="21"/>
        <v>---------</v>
      </c>
      <c r="CZ41" s="7">
        <v>79</v>
      </c>
      <c r="DA41" s="59">
        <v>18</v>
      </c>
      <c r="DB41" s="292" t="str">
        <f t="shared" si="22"/>
        <v>---------</v>
      </c>
      <c r="DC41" s="106">
        <v>23.4</v>
      </c>
      <c r="DD41" s="12" t="s">
        <v>152</v>
      </c>
      <c r="DE41" s="276" t="str">
        <f t="shared" si="23"/>
        <v>---------</v>
      </c>
      <c r="DF41" s="290">
        <v>2.84</v>
      </c>
      <c r="DG41" s="59">
        <v>18</v>
      </c>
      <c r="DH41" s="292" t="str">
        <f t="shared" si="24"/>
        <v>---------</v>
      </c>
      <c r="DI41" s="106">
        <v>4.3</v>
      </c>
      <c r="DJ41" s="59">
        <v>18</v>
      </c>
      <c r="DK41" s="74" t="str">
        <f t="shared" si="25"/>
        <v>4.3</v>
      </c>
      <c r="DL41" s="59"/>
      <c r="DM41" s="393"/>
      <c r="DN41" s="409"/>
      <c r="DO41" s="501">
        <v>20</v>
      </c>
      <c r="DP41" s="410">
        <f t="shared" si="41"/>
        <v>0.82753044105668683</v>
      </c>
      <c r="DQ41" s="410">
        <f t="shared" si="41"/>
        <v>0.82753044105668683</v>
      </c>
      <c r="DR41" s="410">
        <f t="shared" si="41"/>
        <v>0.82753044105668683</v>
      </c>
      <c r="DS41" s="410">
        <f t="shared" si="41"/>
        <v>0.82753044105668683</v>
      </c>
      <c r="DT41" s="410">
        <f t="shared" si="41"/>
        <v>0.82753044105668683</v>
      </c>
      <c r="DU41" s="410">
        <f t="shared" si="41"/>
        <v>0.82753044105668683</v>
      </c>
      <c r="DV41" s="410">
        <f t="shared" si="41"/>
        <v>0.82753044105668683</v>
      </c>
      <c r="DW41" s="410">
        <f t="shared" si="41"/>
        <v>0.82753044105668683</v>
      </c>
      <c r="DX41" s="410">
        <f t="shared" si="41"/>
        <v>0.82753044105668683</v>
      </c>
      <c r="DY41" s="410">
        <f t="shared" si="41"/>
        <v>0.82753044105668683</v>
      </c>
      <c r="DZ41" s="410">
        <f t="shared" si="41"/>
        <v>0.82753044105668683</v>
      </c>
      <c r="EA41" s="411">
        <v>20</v>
      </c>
      <c r="EB41" s="993"/>
      <c r="EC41" s="993"/>
      <c r="ED41" s="993"/>
      <c r="EE41" s="333"/>
      <c r="EF41" s="333"/>
      <c r="EG41" s="333"/>
      <c r="EH41" s="409"/>
      <c r="EI41" s="520"/>
      <c r="EJ41" s="520"/>
      <c r="EK41" s="520"/>
      <c r="EL41" s="529"/>
      <c r="EM41" s="1178"/>
      <c r="EN41" s="1179"/>
      <c r="EO41" s="1179"/>
      <c r="EP41" s="627">
        <f>IF($EU$1,"",EU26)</f>
        <v>0.10745889883933854</v>
      </c>
      <c r="EQ41" s="508"/>
      <c r="FD41" s="7">
        <v>18</v>
      </c>
      <c r="FE41" s="12">
        <v>2.4</v>
      </c>
      <c r="FG41" s="7">
        <v>18</v>
      </c>
      <c r="FH41" s="12">
        <v>18.399999999999999</v>
      </c>
      <c r="FJ41" s="7">
        <v>18</v>
      </c>
      <c r="FK41" s="9">
        <v>1040</v>
      </c>
      <c r="FR41" s="12"/>
      <c r="FS41" s="7">
        <v>18</v>
      </c>
      <c r="FT41" s="12">
        <v>48.4</v>
      </c>
      <c r="FV41" s="7">
        <v>18</v>
      </c>
      <c r="FW41" s="12">
        <v>3.4</v>
      </c>
      <c r="FX41" s="1116"/>
      <c r="FY41" s="1117"/>
      <c r="FZ41" s="1117"/>
      <c r="GA41" s="1117"/>
      <c r="GB41" s="1117"/>
      <c r="GC41" s="1117"/>
      <c r="GD41" s="1117"/>
      <c r="GE41" s="1117"/>
      <c r="GF41" s="1117"/>
      <c r="GG41" s="1117"/>
      <c r="GH41" s="1117"/>
      <c r="GI41" s="1117"/>
      <c r="GJ41" s="1118"/>
    </row>
    <row r="42" spans="1:192" ht="15.75" customHeight="1">
      <c r="A42">
        <v>4.9000000000000004</v>
      </c>
      <c r="B42" t="s">
        <v>231</v>
      </c>
      <c r="C42" s="142"/>
      <c r="D42" s="559"/>
      <c r="E42" s="172" t="str">
        <f t="shared" si="31"/>
        <v/>
      </c>
      <c r="F42" s="555" t="str">
        <f t="shared" si="32"/>
        <v/>
      </c>
      <c r="G42" s="172" t="str">
        <f t="shared" si="33"/>
        <v/>
      </c>
      <c r="H42" t="str">
        <f t="shared" si="34"/>
        <v/>
      </c>
      <c r="I42" s="552" t="str" cm="1">
        <f t="array" ref="I42">IF(H42&lt;&gt;"",INDEX($B$2:$B$66,H42+1),"")</f>
        <v/>
      </c>
      <c r="J42" s="554" t="str">
        <f t="shared" si="28"/>
        <v/>
      </c>
      <c r="K42" t="str">
        <f t="shared" si="35"/>
        <v/>
      </c>
      <c r="L42" s="2" t="str">
        <f t="shared" si="36"/>
        <v/>
      </c>
      <c r="M42" t="str">
        <f t="shared" si="37"/>
        <v/>
      </c>
      <c r="N42" s="2" t="str">
        <f t="shared" si="38"/>
        <v/>
      </c>
      <c r="O42" s="172" t="str">
        <f t="shared" si="29"/>
        <v/>
      </c>
      <c r="P42" s="177" t="str">
        <f t="shared" si="40"/>
        <v/>
      </c>
      <c r="Q42" s="172" t="str">
        <f t="shared" si="30"/>
        <v/>
      </c>
      <c r="R42" s="553" t="str">
        <f t="shared" si="39"/>
        <v/>
      </c>
      <c r="S42" s="142"/>
      <c r="T42" s="7"/>
      <c r="U42" s="7"/>
      <c r="V42" s="43"/>
      <c r="W42" s="12"/>
      <c r="X42" s="7"/>
      <c r="Y42" s="7">
        <v>6</v>
      </c>
      <c r="Z42" s="7" t="s">
        <v>816</v>
      </c>
      <c r="AA42" s="7"/>
      <c r="AB42" s="7"/>
      <c r="AC42" s="78"/>
      <c r="AD42" s="12"/>
      <c r="AE42" s="7"/>
      <c r="AF42" s="7"/>
      <c r="AG42" s="7"/>
      <c r="AH42" s="7"/>
      <c r="AI42" s="7">
        <v>9</v>
      </c>
      <c r="AJ42" s="7" t="s">
        <v>817</v>
      </c>
      <c r="AK42" s="7"/>
      <c r="AL42" s="7"/>
      <c r="AM42" s="7"/>
      <c r="AN42" s="7"/>
      <c r="AO42" s="7"/>
      <c r="AP42" s="7"/>
      <c r="AQ42" s="7"/>
      <c r="AR42" s="7"/>
      <c r="AS42" s="7"/>
      <c r="AT42" s="7"/>
      <c r="AU42" s="7"/>
      <c r="AV42" s="7"/>
      <c r="AW42" s="7"/>
      <c r="AX42" s="7"/>
      <c r="AY42" s="7"/>
      <c r="AZ42" s="7"/>
      <c r="BA42" s="7"/>
      <c r="BB42" s="7"/>
      <c r="BC42" s="7"/>
      <c r="BD42" s="7"/>
      <c r="BE42" s="7"/>
      <c r="BF42" s="7"/>
      <c r="BG42" s="7"/>
      <c r="BH42" s="7"/>
      <c r="BI42" s="7"/>
      <c r="BJ42" s="7"/>
      <c r="BK42" s="7"/>
      <c r="BL42" s="7"/>
      <c r="BP42" s="59"/>
      <c r="BQ42" s="59"/>
      <c r="BR42" s="59"/>
      <c r="BS42" s="59"/>
      <c r="BT42" s="59"/>
      <c r="BU42" s="59"/>
      <c r="BV42" s="59"/>
      <c r="BW42" s="562" t="s">
        <v>199</v>
      </c>
      <c r="BX42" s="563">
        <f>VALUE(CY22)</f>
        <v>1E-3</v>
      </c>
      <c r="BY42" s="13">
        <f>100-BY41</f>
        <v>100</v>
      </c>
      <c r="BZ42" s="63">
        <f>IF((BX42+BZ40)=0,0,BY42/100/(BX42+BZ40))</f>
        <v>1000</v>
      </c>
      <c r="CA42" s="18"/>
      <c r="CB42" s="63">
        <f>IF((BX42+CB40)=0,0,BY42/100/(BX42+CB40))</f>
        <v>1000</v>
      </c>
      <c r="CC42" s="18"/>
      <c r="CD42" s="7"/>
      <c r="CE42" s="59"/>
      <c r="CF42" s="59"/>
      <c r="CG42" s="59"/>
      <c r="CH42" s="59"/>
      <c r="CI42" s="59"/>
      <c r="CJ42" s="59"/>
      <c r="CK42" s="59"/>
      <c r="CL42" s="59"/>
      <c r="CM42" s="59"/>
      <c r="CN42" s="7"/>
      <c r="CO42" s="12" t="s">
        <v>156</v>
      </c>
      <c r="CP42" s="73">
        <f t="shared" si="18"/>
        <v>28</v>
      </c>
      <c r="CQ42" s="7">
        <v>78</v>
      </c>
      <c r="CR42" s="59">
        <v>19</v>
      </c>
      <c r="CS42" s="292" t="str">
        <f t="shared" si="19"/>
        <v>---------</v>
      </c>
      <c r="CT42" s="106">
        <v>23.3</v>
      </c>
      <c r="CU42" s="12" t="s">
        <v>156</v>
      </c>
      <c r="CV42" s="276" t="str">
        <f t="shared" si="20"/>
        <v>---------</v>
      </c>
      <c r="CW42" s="290">
        <v>2.83</v>
      </c>
      <c r="CX42" s="59">
        <v>19</v>
      </c>
      <c r="CY42" s="292" t="str">
        <f t="shared" si="21"/>
        <v>---------</v>
      </c>
      <c r="CZ42" s="7">
        <v>78</v>
      </c>
      <c r="DA42" s="59">
        <v>19</v>
      </c>
      <c r="DB42" s="292" t="str">
        <f t="shared" si="22"/>
        <v>---------</v>
      </c>
      <c r="DC42" s="106">
        <v>23.3</v>
      </c>
      <c r="DD42" s="12" t="s">
        <v>156</v>
      </c>
      <c r="DE42" s="276" t="str">
        <f t="shared" si="23"/>
        <v>---------</v>
      </c>
      <c r="DF42" s="290">
        <v>2.83</v>
      </c>
      <c r="DG42" s="59">
        <v>19</v>
      </c>
      <c r="DH42" s="292" t="str">
        <f t="shared" si="24"/>
        <v>---------</v>
      </c>
      <c r="DI42" s="106">
        <v>4.2</v>
      </c>
      <c r="DJ42" s="59">
        <v>19</v>
      </c>
      <c r="DK42" s="74" t="str">
        <f t="shared" si="25"/>
        <v>4.2</v>
      </c>
      <c r="DL42" s="59"/>
      <c r="DM42" s="393"/>
      <c r="DN42" s="409"/>
      <c r="DO42" s="501">
        <v>19</v>
      </c>
      <c r="DP42" s="410">
        <f t="shared" si="41"/>
        <v>0.81526910666195551</v>
      </c>
      <c r="DQ42" s="410">
        <f t="shared" si="41"/>
        <v>0.81526910666195551</v>
      </c>
      <c r="DR42" s="410">
        <f t="shared" si="41"/>
        <v>0.81526910666195551</v>
      </c>
      <c r="DS42" s="410">
        <f t="shared" si="41"/>
        <v>0.81526910666195551</v>
      </c>
      <c r="DT42" s="410">
        <f t="shared" si="41"/>
        <v>0.81526910666195551</v>
      </c>
      <c r="DU42" s="410">
        <f t="shared" si="41"/>
        <v>0.81526910666195551</v>
      </c>
      <c r="DV42" s="410">
        <f t="shared" si="41"/>
        <v>0.81526910666195551</v>
      </c>
      <c r="DW42" s="410">
        <f t="shared" si="41"/>
        <v>0.81526910666195551</v>
      </c>
      <c r="DX42" s="410">
        <f t="shared" si="41"/>
        <v>0.81526910666195551</v>
      </c>
      <c r="DY42" s="410">
        <f t="shared" si="41"/>
        <v>0.81526910666195551</v>
      </c>
      <c r="DZ42" s="410">
        <f t="shared" si="41"/>
        <v>0.81526910666195551</v>
      </c>
      <c r="EA42" s="411">
        <v>19</v>
      </c>
      <c r="EB42" s="993"/>
      <c r="EC42" s="993"/>
      <c r="ED42" s="993"/>
      <c r="EE42" s="333"/>
      <c r="EF42" s="333"/>
      <c r="EG42" s="333"/>
      <c r="EH42" s="1172" t="s">
        <v>818</v>
      </c>
      <c r="EI42" s="1173"/>
      <c r="EJ42" s="1173"/>
      <c r="EK42" s="1173"/>
      <c r="EL42" s="1174"/>
      <c r="EM42" s="520"/>
      <c r="EN42" s="520"/>
      <c r="EO42" s="520"/>
      <c r="EP42" s="520"/>
      <c r="EQ42" s="508"/>
      <c r="FG42" s="7">
        <v>19</v>
      </c>
      <c r="FH42" s="12">
        <v>18.3</v>
      </c>
      <c r="FJ42" s="7">
        <v>19</v>
      </c>
      <c r="FK42" s="9">
        <v>1030</v>
      </c>
      <c r="FR42" s="12"/>
      <c r="FS42" s="7">
        <v>19</v>
      </c>
      <c r="FT42" s="12">
        <v>48.3</v>
      </c>
      <c r="FV42" s="7">
        <v>19</v>
      </c>
      <c r="FW42" s="12">
        <v>3.3</v>
      </c>
      <c r="FX42" s="1116"/>
      <c r="FY42" s="1117"/>
      <c r="FZ42" s="1117"/>
      <c r="GA42" s="1117"/>
      <c r="GB42" s="1117"/>
      <c r="GC42" s="1117"/>
      <c r="GD42" s="1117"/>
      <c r="GE42" s="1117"/>
      <c r="GF42" s="1117"/>
      <c r="GG42" s="1117"/>
      <c r="GH42" s="1117"/>
      <c r="GI42" s="1117"/>
      <c r="GJ42" s="1118"/>
    </row>
    <row r="43" spans="1:192" ht="15.75" customHeight="1">
      <c r="A43">
        <v>4.8</v>
      </c>
      <c r="B43" t="s">
        <v>236</v>
      </c>
      <c r="C43" s="142"/>
      <c r="D43" s="559"/>
      <c r="E43" s="172" t="str">
        <f t="shared" si="31"/>
        <v/>
      </c>
      <c r="F43" s="555" t="str">
        <f t="shared" si="32"/>
        <v/>
      </c>
      <c r="G43" s="172" t="str">
        <f t="shared" si="33"/>
        <v/>
      </c>
      <c r="H43" t="str">
        <f t="shared" si="34"/>
        <v/>
      </c>
      <c r="I43" s="552" t="str" cm="1">
        <f t="array" ref="I43">IF(H43&lt;&gt;"",INDEX($B$2:$B$66,H43+1),"")</f>
        <v/>
      </c>
      <c r="J43" s="554" t="str">
        <f t="shared" si="28"/>
        <v/>
      </c>
      <c r="K43" t="str">
        <f>IF(LEN(K42)&gt;1,RIGHT(K42,LEN(K42)-1),"")</f>
        <v/>
      </c>
      <c r="L43" s="2" t="str">
        <f t="shared" si="36"/>
        <v/>
      </c>
      <c r="M43" t="str">
        <f t="shared" si="37"/>
        <v/>
      </c>
      <c r="N43" s="2" t="str">
        <f t="shared" si="38"/>
        <v/>
      </c>
      <c r="O43" s="172" t="str">
        <f t="shared" si="29"/>
        <v/>
      </c>
      <c r="P43" s="177" t="str">
        <f t="shared" si="40"/>
        <v/>
      </c>
      <c r="Q43" s="172" t="str">
        <f t="shared" si="30"/>
        <v/>
      </c>
      <c r="R43" s="553" t="str">
        <f t="shared" si="39"/>
        <v/>
      </c>
      <c r="S43" s="142"/>
      <c r="T43" s="7"/>
      <c r="U43" s="7"/>
      <c r="V43" s="45" t="s">
        <v>819</v>
      </c>
      <c r="W43" s="12"/>
      <c r="X43" s="7"/>
      <c r="Y43" s="7">
        <v>7</v>
      </c>
      <c r="Z43" s="7" t="s">
        <v>820</v>
      </c>
      <c r="AA43" s="7"/>
      <c r="AB43" s="7"/>
      <c r="AC43" s="7"/>
      <c r="AD43" s="12"/>
      <c r="AE43" s="7"/>
      <c r="AF43" s="7"/>
      <c r="AG43" s="7"/>
      <c r="AH43" s="7"/>
      <c r="AI43" s="7">
        <v>10</v>
      </c>
      <c r="AJ43" s="7" t="s">
        <v>821</v>
      </c>
      <c r="AK43" s="7"/>
      <c r="AL43" s="7"/>
      <c r="AM43" s="7"/>
      <c r="AN43" s="7"/>
      <c r="AO43" s="7"/>
      <c r="AP43" s="7"/>
      <c r="AQ43" s="7"/>
      <c r="AR43" s="7"/>
      <c r="AS43" s="7"/>
      <c r="AT43" s="7"/>
      <c r="AU43" s="7"/>
      <c r="AV43" s="7"/>
      <c r="AW43" s="7"/>
      <c r="AX43" s="7"/>
      <c r="AY43" s="7"/>
      <c r="AZ43" s="7"/>
      <c r="BA43" s="7"/>
      <c r="BB43" s="7"/>
      <c r="BC43" s="7"/>
      <c r="BD43" s="7"/>
      <c r="BE43" s="7"/>
      <c r="BF43" s="7"/>
      <c r="BG43" s="7"/>
      <c r="BH43" s="7"/>
      <c r="BI43" s="7"/>
      <c r="BJ43" s="7"/>
      <c r="BK43" s="7"/>
      <c r="BL43" s="7"/>
      <c r="BP43" s="59"/>
      <c r="BQ43" s="59"/>
      <c r="BR43" s="59"/>
      <c r="BS43" s="59"/>
      <c r="BT43" s="59"/>
      <c r="BU43" s="59"/>
      <c r="BV43" s="59"/>
      <c r="BW43" s="77"/>
      <c r="BX43" s="77"/>
      <c r="BY43" s="77"/>
      <c r="BZ43" s="77"/>
      <c r="CA43" s="18"/>
      <c r="CB43" s="18"/>
      <c r="CC43" s="12"/>
      <c r="CD43" s="290">
        <f>IF(OR(Cntrl6=5,Cntrl6=7),CC45,CC41)</f>
        <v>1E-3</v>
      </c>
      <c r="CE43" s="59"/>
      <c r="CF43" s="59"/>
      <c r="CG43" s="59"/>
      <c r="CH43" s="59"/>
      <c r="CI43" s="59"/>
      <c r="CJ43" s="59"/>
      <c r="CK43" s="59"/>
      <c r="CL43" s="59"/>
      <c r="CM43" s="59"/>
      <c r="CN43" s="7"/>
      <c r="CO43" s="12" t="s">
        <v>161</v>
      </c>
      <c r="CP43" s="73">
        <f t="shared" si="18"/>
        <v>27</v>
      </c>
      <c r="CQ43" s="7">
        <v>77</v>
      </c>
      <c r="CR43" s="59">
        <v>20</v>
      </c>
      <c r="CS43" s="292" t="str">
        <f t="shared" si="19"/>
        <v>---------</v>
      </c>
      <c r="CT43" s="106">
        <v>23.2</v>
      </c>
      <c r="CU43" s="12" t="s">
        <v>161</v>
      </c>
      <c r="CV43" s="276" t="str">
        <f t="shared" si="20"/>
        <v>---------</v>
      </c>
      <c r="CW43" s="290">
        <v>2.82</v>
      </c>
      <c r="CX43" s="59">
        <v>20</v>
      </c>
      <c r="CY43" s="292" t="str">
        <f t="shared" si="21"/>
        <v>---------</v>
      </c>
      <c r="CZ43" s="7">
        <v>77</v>
      </c>
      <c r="DA43" s="59">
        <v>20</v>
      </c>
      <c r="DB43" s="292" t="str">
        <f t="shared" si="22"/>
        <v>---------</v>
      </c>
      <c r="DC43" s="106">
        <v>23.2</v>
      </c>
      <c r="DD43" s="12" t="s">
        <v>161</v>
      </c>
      <c r="DE43" s="276" t="str">
        <f t="shared" si="23"/>
        <v>---------</v>
      </c>
      <c r="DF43" s="290">
        <v>2.82</v>
      </c>
      <c r="DG43" s="59">
        <v>20</v>
      </c>
      <c r="DH43" s="292" t="str">
        <f t="shared" si="24"/>
        <v>---------</v>
      </c>
      <c r="DI43" s="106">
        <v>4.0999999999999996</v>
      </c>
      <c r="DJ43" s="59">
        <v>20</v>
      </c>
      <c r="DK43" s="74" t="str">
        <f t="shared" si="25"/>
        <v>4.1</v>
      </c>
      <c r="DL43" s="59"/>
      <c r="DM43" s="393"/>
      <c r="DN43" s="409"/>
      <c r="DO43" s="501">
        <v>18</v>
      </c>
      <c r="DP43" s="410">
        <f t="shared" si="41"/>
        <v>0.80271076479326608</v>
      </c>
      <c r="DQ43" s="410">
        <f t="shared" si="41"/>
        <v>0.80271076479326608</v>
      </c>
      <c r="DR43" s="410">
        <f t="shared" si="41"/>
        <v>0.80271076479326608</v>
      </c>
      <c r="DS43" s="410">
        <f t="shared" si="41"/>
        <v>0.80271076479326608</v>
      </c>
      <c r="DT43" s="410">
        <f t="shared" si="41"/>
        <v>0.80271076479326608</v>
      </c>
      <c r="DU43" s="410">
        <f t="shared" si="41"/>
        <v>0.80271076479326608</v>
      </c>
      <c r="DV43" s="410">
        <f t="shared" si="41"/>
        <v>0.80271076479326608</v>
      </c>
      <c r="DW43" s="410">
        <f t="shared" si="41"/>
        <v>0.80271076479326608</v>
      </c>
      <c r="DX43" s="410">
        <f t="shared" si="41"/>
        <v>0.80271076479326608</v>
      </c>
      <c r="DY43" s="410">
        <f t="shared" si="41"/>
        <v>0.80271076479326608</v>
      </c>
      <c r="DZ43" s="410">
        <f t="shared" si="41"/>
        <v>0.80271076479326608</v>
      </c>
      <c r="EA43" s="411">
        <v>18</v>
      </c>
      <c r="EB43" s="993"/>
      <c r="EC43" s="993"/>
      <c r="ED43" s="993"/>
      <c r="EE43" s="333"/>
      <c r="EF43" s="333"/>
      <c r="EG43" s="333"/>
      <c r="EH43" s="1172"/>
      <c r="EI43" s="1173"/>
      <c r="EJ43" s="1173"/>
      <c r="EK43" s="1173"/>
      <c r="EL43" s="1174"/>
      <c r="EM43" s="413"/>
      <c r="EN43" s="414"/>
      <c r="EO43" s="414"/>
      <c r="EP43" s="414"/>
      <c r="EQ43" s="508"/>
      <c r="FG43" s="7">
        <v>20</v>
      </c>
      <c r="FH43" s="12">
        <v>18.2</v>
      </c>
      <c r="FJ43" s="7">
        <v>20</v>
      </c>
      <c r="FK43" s="9">
        <v>1020</v>
      </c>
      <c r="FR43" s="12"/>
      <c r="FS43" s="7">
        <v>20</v>
      </c>
      <c r="FT43" s="12">
        <v>48.2</v>
      </c>
      <c r="FV43" s="7">
        <v>20</v>
      </c>
      <c r="FW43" s="12">
        <v>3.2</v>
      </c>
      <c r="FX43" s="1116"/>
      <c r="FY43" s="1117"/>
      <c r="FZ43" s="1117"/>
      <c r="GA43" s="1117"/>
      <c r="GB43" s="1117"/>
      <c r="GC43" s="1117"/>
      <c r="GD43" s="1117"/>
      <c r="GE43" s="1117"/>
      <c r="GF43" s="1117"/>
      <c r="GG43" s="1117"/>
      <c r="GH43" s="1117"/>
      <c r="GI43" s="1117"/>
      <c r="GJ43" s="1118"/>
    </row>
    <row r="44" spans="1:192" ht="15.75" customHeight="1">
      <c r="A44">
        <v>4.7</v>
      </c>
      <c r="B44" t="s">
        <v>240</v>
      </c>
      <c r="C44" s="142"/>
      <c r="D44" s="559"/>
      <c r="E44" s="172" t="str">
        <f t="shared" si="31"/>
        <v/>
      </c>
      <c r="F44" s="555" t="str">
        <f t="shared" si="32"/>
        <v/>
      </c>
      <c r="G44" s="172" t="str">
        <f t="shared" si="33"/>
        <v/>
      </c>
      <c r="H44" t="str">
        <f t="shared" si="34"/>
        <v/>
      </c>
      <c r="I44" s="552" t="str" cm="1">
        <f t="array" ref="I44">IF(H44&lt;&gt;"",INDEX($B$2:$B$66,H44+1),"")</f>
        <v/>
      </c>
      <c r="J44" s="554" t="str">
        <f t="shared" si="28"/>
        <v/>
      </c>
      <c r="K44" t="str">
        <f t="shared" ref="K44:K58" si="42">IF(LEN(K43)&gt;1,RIGHT(K43,LEN(K43)-1),"")</f>
        <v/>
      </c>
      <c r="L44" s="2" t="str">
        <f t="shared" si="36"/>
        <v/>
      </c>
      <c r="M44" t="str">
        <f t="shared" si="37"/>
        <v/>
      </c>
      <c r="N44" s="2" t="str">
        <f t="shared" si="38"/>
        <v/>
      </c>
      <c r="O44" s="172" t="str">
        <f t="shared" si="29"/>
        <v/>
      </c>
      <c r="P44" s="177" t="str">
        <f t="shared" si="40"/>
        <v/>
      </c>
      <c r="Q44" s="172" t="str">
        <f t="shared" si="30"/>
        <v/>
      </c>
      <c r="R44" s="553" t="str">
        <f t="shared" si="39"/>
        <v/>
      </c>
      <c r="S44" s="142"/>
      <c r="T44" s="7">
        <f>WebCntrl6+1</f>
        <v>1</v>
      </c>
      <c r="U44" s="293">
        <v>1</v>
      </c>
      <c r="V44" s="164" t="str" cm="1">
        <f t="array" ref="V44">INDEX(V45:V46,U44)</f>
        <v>---------</v>
      </c>
      <c r="W44" s="12"/>
      <c r="X44" s="7"/>
      <c r="Y44" s="7">
        <v>8</v>
      </c>
      <c r="Z44" s="7" t="s">
        <v>822</v>
      </c>
      <c r="AA44" s="7"/>
      <c r="AB44" s="7"/>
      <c r="AC44" s="7"/>
      <c r="AD44" s="12"/>
      <c r="AE44" s="7"/>
      <c r="AF44" s="7"/>
      <c r="AG44" s="7"/>
      <c r="AH44" s="7"/>
      <c r="AI44" s="7">
        <v>11</v>
      </c>
      <c r="AJ44" s="7" t="s">
        <v>823</v>
      </c>
      <c r="AK44" s="7"/>
      <c r="AL44" s="7"/>
      <c r="AM44" s="7"/>
      <c r="AN44" s="7"/>
      <c r="AO44" s="7"/>
      <c r="AP44" s="7"/>
      <c r="AQ44" s="7"/>
      <c r="AR44" s="7"/>
      <c r="AS44" s="7"/>
      <c r="AT44" s="7"/>
      <c r="AU44" s="7"/>
      <c r="AV44" s="7"/>
      <c r="AW44" s="7"/>
      <c r="AX44" s="7"/>
      <c r="AY44" s="7"/>
      <c r="AZ44" s="7"/>
      <c r="BA44" s="7"/>
      <c r="BB44" s="7"/>
      <c r="BC44" s="7"/>
      <c r="BD44" s="7"/>
      <c r="BE44" s="7"/>
      <c r="BF44" s="7"/>
      <c r="BG44" s="7"/>
      <c r="BH44" s="7"/>
      <c r="BI44" s="7"/>
      <c r="BJ44" s="7"/>
      <c r="BK44" s="7"/>
      <c r="BL44" s="7"/>
      <c r="BP44" s="59"/>
      <c r="BQ44" s="59"/>
      <c r="BR44" s="59"/>
      <c r="BS44" s="59"/>
      <c r="BT44" s="59"/>
      <c r="BU44" s="59"/>
      <c r="BV44" s="59"/>
      <c r="BW44" s="7"/>
      <c r="BX44" s="12"/>
      <c r="BY44" s="12"/>
      <c r="BZ44" s="12">
        <v>0</v>
      </c>
      <c r="CA44" s="12"/>
      <c r="CB44" s="12">
        <v>0.25</v>
      </c>
      <c r="CC44" s="12"/>
      <c r="CD44" s="7"/>
      <c r="CE44" s="59"/>
      <c r="CF44" s="59"/>
      <c r="CG44" s="59"/>
      <c r="CH44" s="59"/>
      <c r="CI44" s="59"/>
      <c r="CJ44" s="59"/>
      <c r="CK44" s="59"/>
      <c r="CL44" s="59"/>
      <c r="CM44" s="59"/>
      <c r="CN44" s="7"/>
      <c r="CO44" s="12" t="s">
        <v>165</v>
      </c>
      <c r="CP44" s="73">
        <f t="shared" si="18"/>
        <v>26</v>
      </c>
      <c r="CQ44" s="7">
        <v>76</v>
      </c>
      <c r="CR44" s="59">
        <v>21</v>
      </c>
      <c r="CS44" s="292" t="str">
        <f t="shared" si="19"/>
        <v>---------</v>
      </c>
      <c r="CT44" s="106">
        <v>23.1</v>
      </c>
      <c r="CU44" s="12" t="s">
        <v>165</v>
      </c>
      <c r="CV44" s="276" t="str">
        <f t="shared" si="20"/>
        <v>---------</v>
      </c>
      <c r="CW44" s="290">
        <v>2.81</v>
      </c>
      <c r="CX44" s="59">
        <v>21</v>
      </c>
      <c r="CY44" s="292" t="str">
        <f t="shared" si="21"/>
        <v>---------</v>
      </c>
      <c r="CZ44" s="7">
        <v>76</v>
      </c>
      <c r="DA44" s="59">
        <v>21</v>
      </c>
      <c r="DB44" s="292" t="str">
        <f t="shared" si="22"/>
        <v>---------</v>
      </c>
      <c r="DC44" s="106">
        <v>23.1</v>
      </c>
      <c r="DD44" s="12" t="s">
        <v>165</v>
      </c>
      <c r="DE44" s="276" t="str">
        <f t="shared" si="23"/>
        <v>---------</v>
      </c>
      <c r="DF44" s="290">
        <v>2.81</v>
      </c>
      <c r="DG44" s="59">
        <v>21</v>
      </c>
      <c r="DH44" s="292" t="str">
        <f t="shared" si="24"/>
        <v>---------</v>
      </c>
      <c r="DI44" s="106">
        <v>4</v>
      </c>
      <c r="DJ44" s="59">
        <v>21</v>
      </c>
      <c r="DK44" s="74" t="str">
        <f t="shared" si="25"/>
        <v>4.0</v>
      </c>
      <c r="DL44" s="59"/>
      <c r="DM44" s="393"/>
      <c r="DN44" s="409"/>
      <c r="DO44" s="501">
        <v>17</v>
      </c>
      <c r="DP44" s="410">
        <f t="shared" si="41"/>
        <v>0.78985541545061877</v>
      </c>
      <c r="DQ44" s="410">
        <f t="shared" si="41"/>
        <v>0.78985541545061877</v>
      </c>
      <c r="DR44" s="410">
        <f t="shared" si="41"/>
        <v>0.78985541545061877</v>
      </c>
      <c r="DS44" s="410">
        <f t="shared" si="41"/>
        <v>0.78985541545061877</v>
      </c>
      <c r="DT44" s="410">
        <f t="shared" si="41"/>
        <v>0.78985541545061877</v>
      </c>
      <c r="DU44" s="410">
        <f t="shared" si="41"/>
        <v>0.78985541545061877</v>
      </c>
      <c r="DV44" s="410">
        <f t="shared" si="41"/>
        <v>0.78985541545061877</v>
      </c>
      <c r="DW44" s="410">
        <f t="shared" si="41"/>
        <v>0.78985541545061877</v>
      </c>
      <c r="DX44" s="410">
        <f t="shared" si="41"/>
        <v>0.78985541545061877</v>
      </c>
      <c r="DY44" s="410">
        <f t="shared" si="41"/>
        <v>0.78985541545061877</v>
      </c>
      <c r="DZ44" s="410">
        <f t="shared" si="41"/>
        <v>0.78985541545061877</v>
      </c>
      <c r="EA44" s="411">
        <v>17</v>
      </c>
      <c r="EB44" s="993"/>
      <c r="EC44" s="993"/>
      <c r="ED44" s="993"/>
      <c r="EE44" s="333"/>
      <c r="EF44" s="333"/>
      <c r="EG44" s="333"/>
      <c r="EH44" s="1172"/>
      <c r="EI44" s="1173"/>
      <c r="EJ44" s="1173"/>
      <c r="EK44" s="1173"/>
      <c r="EL44" s="1174"/>
      <c r="EM44" s="515"/>
      <c r="EN44" s="516"/>
      <c r="EO44" s="516"/>
      <c r="EP44" s="516"/>
      <c r="EQ44" s="508"/>
      <c r="FG44" s="7">
        <v>21</v>
      </c>
      <c r="FH44" s="12">
        <v>18.100000000000001</v>
      </c>
      <c r="FJ44" s="7">
        <v>21</v>
      </c>
      <c r="FK44" s="9">
        <v>1010</v>
      </c>
      <c r="FR44" s="12"/>
      <c r="FS44" s="7">
        <v>21</v>
      </c>
      <c r="FT44" s="12">
        <v>48.1</v>
      </c>
      <c r="FV44" s="7">
        <v>21</v>
      </c>
      <c r="FW44" s="12">
        <v>3.1</v>
      </c>
      <c r="FX44" s="1116"/>
      <c r="FY44" s="1117"/>
      <c r="FZ44" s="1117"/>
      <c r="GA44" s="1117"/>
      <c r="GB44" s="1117"/>
      <c r="GC44" s="1117"/>
      <c r="GD44" s="1117"/>
      <c r="GE44" s="1117"/>
      <c r="GF44" s="1117"/>
      <c r="GG44" s="1117"/>
      <c r="GH44" s="1117"/>
      <c r="GI44" s="1117"/>
      <c r="GJ44" s="1118"/>
    </row>
    <row r="45" spans="1:192" ht="15.75" customHeight="1">
      <c r="A45">
        <v>4.5999999999999996</v>
      </c>
      <c r="B45" t="s">
        <v>245</v>
      </c>
      <c r="C45" s="142"/>
      <c r="D45" s="559"/>
      <c r="E45" s="172" t="str">
        <f t="shared" si="31"/>
        <v/>
      </c>
      <c r="F45" s="555" t="str">
        <f t="shared" si="32"/>
        <v/>
      </c>
      <c r="G45" s="172" t="str">
        <f t="shared" si="33"/>
        <v/>
      </c>
      <c r="H45" t="str">
        <f t="shared" si="34"/>
        <v/>
      </c>
      <c r="I45" s="552" t="str" cm="1">
        <f t="array" ref="I45">IF(H45&lt;&gt;"",INDEX($B$2:$B$66,H45+1),"")</f>
        <v/>
      </c>
      <c r="J45" s="554" t="str">
        <f t="shared" si="28"/>
        <v/>
      </c>
      <c r="K45" t="str">
        <f t="shared" si="42"/>
        <v/>
      </c>
      <c r="L45" s="2" t="str">
        <f t="shared" si="36"/>
        <v/>
      </c>
      <c r="M45" t="str">
        <f t="shared" si="37"/>
        <v/>
      </c>
      <c r="N45" s="2" t="str">
        <f t="shared" si="38"/>
        <v/>
      </c>
      <c r="O45" s="172" t="str">
        <f t="shared" si="29"/>
        <v/>
      </c>
      <c r="P45" s="177" t="str">
        <f t="shared" si="40"/>
        <v/>
      </c>
      <c r="Q45" s="172" t="str">
        <f t="shared" si="30"/>
        <v/>
      </c>
      <c r="R45" s="553" t="str">
        <f t="shared" si="39"/>
        <v/>
      </c>
      <c r="S45" s="142"/>
      <c r="T45" s="7"/>
      <c r="U45" s="12">
        <v>1</v>
      </c>
      <c r="V45" s="43" t="str">
        <f>IF(Cntrl6&lt;4,"---------","inline")</f>
        <v>---------</v>
      </c>
      <c r="W45" s="7"/>
      <c r="X45" s="7"/>
      <c r="Y45" s="7">
        <v>9</v>
      </c>
      <c r="Z45" s="7" t="s">
        <v>824</v>
      </c>
      <c r="AA45" s="7"/>
      <c r="AB45" s="7"/>
      <c r="AC45" s="7"/>
      <c r="AD45" s="12"/>
      <c r="AE45" s="7"/>
      <c r="AF45" s="7"/>
      <c r="AG45" s="7"/>
      <c r="AH45" s="7"/>
      <c r="AI45" s="7">
        <v>12</v>
      </c>
      <c r="AJ45" s="7" t="s">
        <v>825</v>
      </c>
      <c r="AK45" s="7"/>
      <c r="AL45" s="7"/>
      <c r="AM45" s="7"/>
      <c r="AN45" s="7"/>
      <c r="AO45" s="7"/>
      <c r="AP45" s="7"/>
      <c r="AQ45" s="7"/>
      <c r="AR45" s="7"/>
      <c r="AS45" s="7"/>
      <c r="AT45" s="7"/>
      <c r="AU45" s="7"/>
      <c r="AV45" s="7"/>
      <c r="AW45" s="7"/>
      <c r="AX45" s="7"/>
      <c r="AY45" s="7"/>
      <c r="AZ45" s="7"/>
      <c r="BA45" s="7"/>
      <c r="BB45" s="7"/>
      <c r="BC45" s="7"/>
      <c r="BD45" s="7"/>
      <c r="BE45" s="7"/>
      <c r="BF45" s="7"/>
      <c r="BG45" s="7"/>
      <c r="BH45" s="7"/>
      <c r="BI45" s="7"/>
      <c r="BJ45" s="7"/>
      <c r="BK45" s="7"/>
      <c r="BL45" s="7"/>
      <c r="BP45" s="59"/>
      <c r="BQ45" s="59"/>
      <c r="BR45" s="59"/>
      <c r="BS45" s="59"/>
      <c r="BT45" s="59"/>
      <c r="BU45" s="59"/>
      <c r="BV45" s="59"/>
      <c r="BW45" s="7" t="s">
        <v>826</v>
      </c>
      <c r="BX45" s="63">
        <f>VALUE(CS22)/1000/(VALUE(CS22)/1000*1.2+(0.55+(BZ23-2)*0.2)*0.76-0.036)</f>
        <v>0</v>
      </c>
      <c r="BY45" s="13">
        <f>BY41</f>
        <v>0</v>
      </c>
      <c r="BZ45" s="63">
        <f>IF((BX45+BZ44)=0,0,BY45/100/(BX45+BZ44))</f>
        <v>0</v>
      </c>
      <c r="CA45" s="63">
        <f>IF((BZ46+BZ45)=0,0,1/(BZ46+BZ45)-BZ44)</f>
        <v>1E-3</v>
      </c>
      <c r="CB45" s="63">
        <f>IF((BX45+CB44)=0,0,BY45/100/(BX45+CB44))</f>
        <v>0</v>
      </c>
      <c r="CC45" s="63">
        <f>1/(CB45+CB46)-CB44</f>
        <v>1.0000000000000009E-3</v>
      </c>
      <c r="CD45" s="7"/>
      <c r="CE45" s="59"/>
      <c r="CF45" s="59"/>
      <c r="CG45" s="59"/>
      <c r="CH45" s="59"/>
      <c r="CI45" s="59"/>
      <c r="CJ45" s="59"/>
      <c r="CK45" s="59"/>
      <c r="CL45" s="59"/>
      <c r="CM45" s="59"/>
      <c r="CN45" s="7"/>
      <c r="CO45" s="12" t="s">
        <v>171</v>
      </c>
      <c r="CP45" s="73">
        <f t="shared" si="18"/>
        <v>25</v>
      </c>
      <c r="CQ45" s="7">
        <v>75</v>
      </c>
      <c r="CR45" s="59">
        <v>22</v>
      </c>
      <c r="CS45" s="292" t="str">
        <f t="shared" si="19"/>
        <v>---------</v>
      </c>
      <c r="CT45" s="106">
        <v>23</v>
      </c>
      <c r="CU45" s="12" t="s">
        <v>171</v>
      </c>
      <c r="CV45" s="276" t="str">
        <f t="shared" si="20"/>
        <v>---------</v>
      </c>
      <c r="CW45" s="290">
        <v>2.8</v>
      </c>
      <c r="CX45" s="59">
        <v>22</v>
      </c>
      <c r="CY45" s="292" t="str">
        <f t="shared" si="21"/>
        <v>---------</v>
      </c>
      <c r="CZ45" s="7">
        <v>75</v>
      </c>
      <c r="DA45" s="59">
        <v>22</v>
      </c>
      <c r="DB45" s="292" t="str">
        <f t="shared" si="22"/>
        <v>---------</v>
      </c>
      <c r="DC45" s="106">
        <v>23</v>
      </c>
      <c r="DD45" s="12" t="s">
        <v>171</v>
      </c>
      <c r="DE45" s="276" t="str">
        <f t="shared" si="23"/>
        <v>---------</v>
      </c>
      <c r="DF45" s="290">
        <v>2.8</v>
      </c>
      <c r="DG45" s="59">
        <v>22</v>
      </c>
      <c r="DH45" s="292" t="str">
        <f t="shared" si="24"/>
        <v>---------</v>
      </c>
      <c r="DI45" s="106">
        <v>3.9</v>
      </c>
      <c r="DJ45" s="59">
        <v>22</v>
      </c>
      <c r="DK45" s="74" t="str">
        <f t="shared" si="25"/>
        <v>3.9</v>
      </c>
      <c r="DL45" s="59"/>
      <c r="DM45" s="393"/>
      <c r="DN45" s="409"/>
      <c r="DO45" s="501">
        <v>16</v>
      </c>
      <c r="DP45" s="410">
        <f t="shared" si="41"/>
        <v>0.77670305863401334</v>
      </c>
      <c r="DQ45" s="410">
        <f t="shared" si="41"/>
        <v>0.77670305863401334</v>
      </c>
      <c r="DR45" s="410">
        <f t="shared" si="41"/>
        <v>0.77670305863401334</v>
      </c>
      <c r="DS45" s="410">
        <f t="shared" si="41"/>
        <v>0.77670305863401334</v>
      </c>
      <c r="DT45" s="410">
        <f t="shared" si="41"/>
        <v>0.77670305863401334</v>
      </c>
      <c r="DU45" s="410">
        <f t="shared" si="41"/>
        <v>0.77670305863401334</v>
      </c>
      <c r="DV45" s="410">
        <f t="shared" si="41"/>
        <v>0.77670305863401334</v>
      </c>
      <c r="DW45" s="410">
        <f t="shared" si="41"/>
        <v>0.77670305863401334</v>
      </c>
      <c r="DX45" s="410">
        <f t="shared" si="41"/>
        <v>0.77670305863401334</v>
      </c>
      <c r="DY45" s="410">
        <f t="shared" si="41"/>
        <v>0.77670305863401334</v>
      </c>
      <c r="DZ45" s="410">
        <f t="shared" si="41"/>
        <v>0.77670305863401334</v>
      </c>
      <c r="EA45" s="411">
        <v>16</v>
      </c>
      <c r="EB45" s="993"/>
      <c r="EC45" s="993"/>
      <c r="ED45" s="993"/>
      <c r="EE45" s="333"/>
      <c r="EF45" s="333"/>
      <c r="EG45" s="333"/>
      <c r="EH45" s="1172"/>
      <c r="EI45" s="1173"/>
      <c r="EJ45" s="1173"/>
      <c r="EK45" s="1173"/>
      <c r="EL45" s="1174"/>
      <c r="EM45" s="1127" t="s">
        <v>827</v>
      </c>
      <c r="EN45" s="1128"/>
      <c r="EO45" s="1128"/>
      <c r="EP45" s="1132">
        <f>IF($EU$1,"",EU28)</f>
        <v>0.30410009656693887</v>
      </c>
      <c r="EQ45" s="508"/>
      <c r="FG45" s="7">
        <v>22</v>
      </c>
      <c r="FH45" s="12">
        <v>18</v>
      </c>
      <c r="FJ45" s="7">
        <v>22</v>
      </c>
      <c r="FK45" s="9">
        <v>1000</v>
      </c>
      <c r="FR45" s="12"/>
      <c r="FS45" s="7">
        <v>22</v>
      </c>
      <c r="FT45" s="12">
        <v>48</v>
      </c>
      <c r="FV45" s="7">
        <v>22</v>
      </c>
      <c r="FW45" s="12">
        <v>3</v>
      </c>
      <c r="FX45" s="1116"/>
      <c r="FY45" s="1117"/>
      <c r="FZ45" s="1117"/>
      <c r="GA45" s="1117"/>
      <c r="GB45" s="1117"/>
      <c r="GC45" s="1117"/>
      <c r="GD45" s="1117"/>
      <c r="GE45" s="1117"/>
      <c r="GF45" s="1117"/>
      <c r="GG45" s="1117"/>
      <c r="GH45" s="1117"/>
      <c r="GI45" s="1117"/>
      <c r="GJ45" s="1118"/>
    </row>
    <row r="46" spans="1:192" ht="15.75" customHeight="1">
      <c r="A46">
        <v>4.5</v>
      </c>
      <c r="B46" t="s">
        <v>250</v>
      </c>
      <c r="C46" s="142"/>
      <c r="D46" s="559"/>
      <c r="E46" s="172" t="str">
        <f t="shared" si="31"/>
        <v/>
      </c>
      <c r="F46" s="555" t="str">
        <f>IF(LEN(F45)&gt;=6,RIGHT(F45,LEN(F45)-6),"")</f>
        <v/>
      </c>
      <c r="G46" s="172" t="str">
        <f t="shared" si="33"/>
        <v/>
      </c>
      <c r="H46" t="str">
        <f t="shared" si="34"/>
        <v/>
      </c>
      <c r="I46" s="552" t="str" cm="1">
        <f t="array" ref="I46">IF(H46&lt;&gt;"",INDEX($B$2:$B$66,H46+1),"")</f>
        <v/>
      </c>
      <c r="J46" s="554" t="str">
        <f t="shared" si="28"/>
        <v/>
      </c>
      <c r="K46" t="str">
        <f t="shared" si="42"/>
        <v/>
      </c>
      <c r="L46" s="2" t="str">
        <f t="shared" si="36"/>
        <v/>
      </c>
      <c r="M46" t="str">
        <f t="shared" si="37"/>
        <v/>
      </c>
      <c r="N46" s="2" t="str">
        <f t="shared" si="38"/>
        <v/>
      </c>
      <c r="O46" s="172" t="str">
        <f t="shared" si="29"/>
        <v/>
      </c>
      <c r="P46" s="177" t="str">
        <f t="shared" si="40"/>
        <v/>
      </c>
      <c r="Q46" s="172" t="str">
        <f t="shared" si="30"/>
        <v/>
      </c>
      <c r="R46" s="553" t="str">
        <f t="shared" si="39"/>
        <v/>
      </c>
      <c r="S46" s="142"/>
      <c r="T46" s="7"/>
      <c r="U46" s="12">
        <v>2</v>
      </c>
      <c r="V46" s="43" t="str">
        <f>IF(Cntrl6&lt;4,"---------","offset")</f>
        <v>---------</v>
      </c>
      <c r="W46" s="7"/>
      <c r="X46" s="7"/>
      <c r="Y46" s="7">
        <v>10</v>
      </c>
      <c r="Z46" s="7" t="s">
        <v>828</v>
      </c>
      <c r="AA46" s="7"/>
      <c r="AB46" s="7"/>
      <c r="AC46" s="7"/>
      <c r="AD46" s="12"/>
      <c r="AE46" s="7"/>
      <c r="AF46" s="7"/>
      <c r="AG46" s="7"/>
      <c r="AH46" s="7"/>
      <c r="AI46" s="7">
        <v>13</v>
      </c>
      <c r="AJ46" s="7" t="s">
        <v>829</v>
      </c>
      <c r="AK46" s="7"/>
      <c r="AL46" s="7"/>
      <c r="AM46" s="7"/>
      <c r="AN46" s="7"/>
      <c r="AO46" s="7"/>
      <c r="AP46" s="7"/>
      <c r="AQ46" s="7"/>
      <c r="AR46" s="7"/>
      <c r="AS46" s="7"/>
      <c r="AT46" s="7"/>
      <c r="AU46" s="7"/>
      <c r="AV46" s="7"/>
      <c r="AW46" s="7"/>
      <c r="AX46" s="7"/>
      <c r="AY46" s="7"/>
      <c r="AZ46" s="7"/>
      <c r="BA46" s="7"/>
      <c r="BB46" s="7"/>
      <c r="BC46" s="7"/>
      <c r="BD46" s="7"/>
      <c r="BE46" s="7"/>
      <c r="BF46" s="7"/>
      <c r="BG46" s="7"/>
      <c r="BH46" s="7"/>
      <c r="BI46" s="7"/>
      <c r="BJ46" s="7"/>
      <c r="BK46" s="7"/>
      <c r="BL46" s="7"/>
      <c r="BP46" s="59"/>
      <c r="BQ46" s="59"/>
      <c r="BR46" s="59"/>
      <c r="BS46" s="59"/>
      <c r="BT46" s="59"/>
      <c r="BU46" s="59"/>
      <c r="BV46" s="59"/>
      <c r="BW46" s="562" t="s">
        <v>199</v>
      </c>
      <c r="BX46" s="563">
        <f>BX42</f>
        <v>1E-3</v>
      </c>
      <c r="BY46" s="13">
        <f>100-BY45</f>
        <v>100</v>
      </c>
      <c r="BZ46" s="63">
        <f>IF((BX46+BZ44)=0,0,BY46/100/(BX46+BZ44))</f>
        <v>1000</v>
      </c>
      <c r="CA46" s="12"/>
      <c r="CB46" s="63">
        <f>IF((BX46+CB44)=0,0,BY46/100/(BX46+CB44))</f>
        <v>3.9840637450199203</v>
      </c>
      <c r="CC46" s="18"/>
      <c r="CD46" s="7"/>
      <c r="CE46" s="59"/>
      <c r="CF46" s="59"/>
      <c r="CG46" s="59"/>
      <c r="CH46" s="59"/>
      <c r="CI46" s="59"/>
      <c r="CJ46" s="59"/>
      <c r="CK46" s="59"/>
      <c r="CL46" s="59"/>
      <c r="CM46" s="59"/>
      <c r="CN46" s="7"/>
      <c r="CO46" s="12" t="s">
        <v>177</v>
      </c>
      <c r="CP46" s="73">
        <f t="shared" si="18"/>
        <v>24</v>
      </c>
      <c r="CQ46" s="7">
        <v>74</v>
      </c>
      <c r="CR46" s="59">
        <v>23</v>
      </c>
      <c r="CS46" s="292" t="str">
        <f t="shared" si="19"/>
        <v>---------</v>
      </c>
      <c r="CT46" s="106">
        <v>22.9</v>
      </c>
      <c r="CU46" s="12" t="s">
        <v>177</v>
      </c>
      <c r="CV46" s="276" t="str">
        <f t="shared" si="20"/>
        <v>---------</v>
      </c>
      <c r="CW46" s="290">
        <v>2.79</v>
      </c>
      <c r="CX46" s="59">
        <v>23</v>
      </c>
      <c r="CY46" s="292" t="str">
        <f t="shared" si="21"/>
        <v>---------</v>
      </c>
      <c r="CZ46" s="7">
        <v>74</v>
      </c>
      <c r="DA46" s="59">
        <v>23</v>
      </c>
      <c r="DB46" s="292" t="str">
        <f t="shared" si="22"/>
        <v>---------</v>
      </c>
      <c r="DC46" s="106">
        <v>22.9</v>
      </c>
      <c r="DD46" s="12" t="s">
        <v>177</v>
      </c>
      <c r="DE46" s="276" t="str">
        <f t="shared" si="23"/>
        <v>---------</v>
      </c>
      <c r="DF46" s="290">
        <v>2.79</v>
      </c>
      <c r="DG46" s="59">
        <v>23</v>
      </c>
      <c r="DH46" s="292" t="str">
        <f t="shared" si="24"/>
        <v>---------</v>
      </c>
      <c r="DI46" s="106">
        <v>3.8</v>
      </c>
      <c r="DJ46" s="59">
        <v>23</v>
      </c>
      <c r="DK46" s="74" t="str">
        <f t="shared" si="25"/>
        <v>3.8</v>
      </c>
      <c r="DL46" s="59"/>
      <c r="DM46" s="393"/>
      <c r="DN46" s="409"/>
      <c r="DO46" s="501">
        <v>15</v>
      </c>
      <c r="DP46" s="410">
        <f t="shared" si="41"/>
        <v>0.76325369434344992</v>
      </c>
      <c r="DQ46" s="410">
        <f t="shared" si="41"/>
        <v>0.76325369434344992</v>
      </c>
      <c r="DR46" s="410">
        <f t="shared" si="41"/>
        <v>0.76325369434344992</v>
      </c>
      <c r="DS46" s="410">
        <f t="shared" si="41"/>
        <v>0.76325369434344992</v>
      </c>
      <c r="DT46" s="410">
        <f t="shared" si="41"/>
        <v>0.76325369434344992</v>
      </c>
      <c r="DU46" s="410">
        <f t="shared" si="41"/>
        <v>0.76325369434344992</v>
      </c>
      <c r="DV46" s="410">
        <f t="shared" si="41"/>
        <v>0.76325369434344992</v>
      </c>
      <c r="DW46" s="410">
        <f t="shared" si="41"/>
        <v>0.76325369434344992</v>
      </c>
      <c r="DX46" s="410">
        <f t="shared" si="41"/>
        <v>0.76325369434344992</v>
      </c>
      <c r="DY46" s="410">
        <f t="shared" si="41"/>
        <v>0.76325369434344992</v>
      </c>
      <c r="DZ46" s="410">
        <f t="shared" si="41"/>
        <v>0.76325369434344992</v>
      </c>
      <c r="EA46" s="411">
        <v>15</v>
      </c>
      <c r="EB46" s="993"/>
      <c r="EC46" s="993"/>
      <c r="ED46" s="993"/>
      <c r="EE46" s="333"/>
      <c r="EF46" s="333"/>
      <c r="EG46" s="333"/>
      <c r="EH46" s="1172"/>
      <c r="EI46" s="1173"/>
      <c r="EJ46" s="1173"/>
      <c r="EK46" s="1173"/>
      <c r="EL46" s="1174"/>
      <c r="EM46" s="1127"/>
      <c r="EN46" s="1128"/>
      <c r="EO46" s="1128"/>
      <c r="EP46" s="1132"/>
      <c r="EQ46" s="508"/>
      <c r="FG46" s="7">
        <v>23</v>
      </c>
      <c r="FH46" s="12">
        <v>17.899999999999999</v>
      </c>
      <c r="FJ46" s="7">
        <v>23</v>
      </c>
      <c r="FK46" s="9">
        <v>990</v>
      </c>
      <c r="FR46" s="12"/>
      <c r="FS46" s="7">
        <v>23</v>
      </c>
      <c r="FT46" s="12">
        <v>47.9</v>
      </c>
      <c r="FV46" s="7">
        <v>23</v>
      </c>
      <c r="FW46" s="12">
        <v>2.9</v>
      </c>
      <c r="FX46" s="1116"/>
      <c r="FY46" s="1117"/>
      <c r="FZ46" s="1117"/>
      <c r="GA46" s="1117"/>
      <c r="GB46" s="1117"/>
      <c r="GC46" s="1117"/>
      <c r="GD46" s="1117"/>
      <c r="GE46" s="1117"/>
      <c r="GF46" s="1117"/>
      <c r="GG46" s="1117"/>
      <c r="GH46" s="1117"/>
      <c r="GI46" s="1117"/>
      <c r="GJ46" s="1118"/>
    </row>
    <row r="47" spans="1:192" ht="15.75" customHeight="1">
      <c r="A47">
        <v>4.4000000000000004</v>
      </c>
      <c r="B47" t="s">
        <v>255</v>
      </c>
      <c r="C47" s="142"/>
      <c r="D47" s="559"/>
      <c r="E47" s="172" t="str">
        <f t="shared" si="31"/>
        <v/>
      </c>
      <c r="F47" s="555" t="str">
        <f t="shared" ref="F47:F58" si="43">IF(LEN(F46)&gt;=6,RIGHT(F46,LEN(F46)-6),"")</f>
        <v/>
      </c>
      <c r="G47" s="172" t="str">
        <f t="shared" si="33"/>
        <v/>
      </c>
      <c r="H47" t="str">
        <f t="shared" si="34"/>
        <v/>
      </c>
      <c r="I47" s="552" t="str" cm="1">
        <f t="array" ref="I47">IF(H47&lt;&gt;"",INDEX($B$2:$B$66,H47+1),"")</f>
        <v/>
      </c>
      <c r="J47" s="554" t="str">
        <f t="shared" si="28"/>
        <v/>
      </c>
      <c r="K47" t="str">
        <f t="shared" si="42"/>
        <v/>
      </c>
      <c r="L47" s="2" t="str">
        <f t="shared" si="36"/>
        <v/>
      </c>
      <c r="M47" t="str">
        <f t="shared" si="37"/>
        <v/>
      </c>
      <c r="N47" s="2" t="str">
        <f t="shared" si="38"/>
        <v/>
      </c>
      <c r="O47" s="172" t="str">
        <f t="shared" si="29"/>
        <v/>
      </c>
      <c r="P47" s="177" t="str">
        <f t="shared" si="40"/>
        <v/>
      </c>
      <c r="Q47" s="172" t="str">
        <f t="shared" si="30"/>
        <v/>
      </c>
      <c r="R47" s="553" t="str">
        <f t="shared" si="39"/>
        <v/>
      </c>
      <c r="S47" s="142"/>
      <c r="T47" s="7"/>
      <c r="U47" s="7"/>
      <c r="V47" s="43"/>
      <c r="W47" s="7"/>
      <c r="X47" s="7"/>
      <c r="Y47" s="7">
        <v>11</v>
      </c>
      <c r="Z47" s="7" t="s">
        <v>830</v>
      </c>
      <c r="AA47" s="7"/>
      <c r="AB47" s="7"/>
      <c r="AC47" s="7"/>
      <c r="AD47" s="12"/>
      <c r="AE47" s="7"/>
      <c r="AF47" s="7"/>
      <c r="AG47" s="7"/>
      <c r="AH47" s="7"/>
      <c r="AI47" s="7">
        <v>14</v>
      </c>
      <c r="AJ47" s="7" t="s">
        <v>831</v>
      </c>
      <c r="AK47" s="7"/>
      <c r="AL47" s="7"/>
      <c r="AM47" s="7"/>
      <c r="AN47" s="7"/>
      <c r="AO47" s="7"/>
      <c r="AP47" s="7"/>
      <c r="AQ47" s="7"/>
      <c r="AR47" s="7"/>
      <c r="AS47" s="7"/>
      <c r="AT47" s="7"/>
      <c r="AU47" s="7"/>
      <c r="AV47" s="7"/>
      <c r="AW47" s="7"/>
      <c r="AX47" s="7"/>
      <c r="AY47" s="7"/>
      <c r="AZ47" s="7"/>
      <c r="BA47" s="7"/>
      <c r="BB47" s="7"/>
      <c r="BC47" s="7"/>
      <c r="BD47" s="7"/>
      <c r="BE47" s="7"/>
      <c r="BF47" s="7"/>
      <c r="BG47" s="7"/>
      <c r="BH47" s="7"/>
      <c r="BI47" s="7"/>
      <c r="BJ47" s="7"/>
      <c r="BK47" s="7"/>
      <c r="BL47" s="7"/>
      <c r="BP47" s="59"/>
      <c r="BQ47" s="59"/>
      <c r="BR47" s="59"/>
      <c r="BS47" s="59"/>
      <c r="BT47" s="59"/>
      <c r="BU47" s="59"/>
      <c r="BV47" s="59"/>
      <c r="BW47" s="69"/>
      <c r="BX47" s="12"/>
      <c r="BY47" s="7"/>
      <c r="BZ47" s="7"/>
      <c r="CA47" s="7"/>
      <c r="CB47" s="7"/>
      <c r="CC47" s="7"/>
      <c r="CD47" s="7"/>
      <c r="CE47" s="59"/>
      <c r="CF47" s="59"/>
      <c r="CG47" s="59"/>
      <c r="CH47" s="59"/>
      <c r="CI47" s="59"/>
      <c r="CJ47" s="59"/>
      <c r="CK47" s="59"/>
      <c r="CL47" s="59"/>
      <c r="CM47" s="59"/>
      <c r="CN47" s="7"/>
      <c r="CO47" s="12" t="s">
        <v>184</v>
      </c>
      <c r="CP47" s="73">
        <f t="shared" si="18"/>
        <v>23</v>
      </c>
      <c r="CQ47" s="7">
        <v>73</v>
      </c>
      <c r="CR47" s="59">
        <v>24</v>
      </c>
      <c r="CS47" s="292" t="str">
        <f t="shared" si="19"/>
        <v>---------</v>
      </c>
      <c r="CT47" s="106">
        <v>22.8</v>
      </c>
      <c r="CU47" s="12" t="s">
        <v>184</v>
      </c>
      <c r="CV47" s="276" t="str">
        <f t="shared" si="20"/>
        <v>---------</v>
      </c>
      <c r="CW47" s="290">
        <v>2.78000000000001</v>
      </c>
      <c r="CX47" s="59">
        <v>24</v>
      </c>
      <c r="CY47" s="292" t="str">
        <f t="shared" si="21"/>
        <v>---------</v>
      </c>
      <c r="CZ47" s="7">
        <v>73</v>
      </c>
      <c r="DA47" s="59">
        <v>24</v>
      </c>
      <c r="DB47" s="292" t="str">
        <f t="shared" si="22"/>
        <v>---------</v>
      </c>
      <c r="DC47" s="106">
        <v>22.8</v>
      </c>
      <c r="DD47" s="12" t="s">
        <v>184</v>
      </c>
      <c r="DE47" s="276" t="str">
        <f t="shared" si="23"/>
        <v>---------</v>
      </c>
      <c r="DF47" s="290">
        <v>2.78000000000001</v>
      </c>
      <c r="DG47" s="59">
        <v>24</v>
      </c>
      <c r="DH47" s="292" t="str">
        <f t="shared" si="24"/>
        <v>---------</v>
      </c>
      <c r="DI47" s="106">
        <v>3.7</v>
      </c>
      <c r="DJ47" s="59">
        <v>24</v>
      </c>
      <c r="DK47" s="74" t="str">
        <f t="shared" si="25"/>
        <v>3.7</v>
      </c>
      <c r="DL47" s="59"/>
      <c r="DM47" s="393"/>
      <c r="DN47" s="409"/>
      <c r="DO47" s="501">
        <v>14</v>
      </c>
      <c r="DP47" s="410">
        <f t="shared" si="41"/>
        <v>0.74950732257892838</v>
      </c>
      <c r="DQ47" s="410">
        <f t="shared" si="41"/>
        <v>0.74950732257892838</v>
      </c>
      <c r="DR47" s="410">
        <f t="shared" si="41"/>
        <v>0.74950732257892838</v>
      </c>
      <c r="DS47" s="410">
        <f t="shared" si="41"/>
        <v>0.74950732257892838</v>
      </c>
      <c r="DT47" s="410">
        <f t="shared" si="41"/>
        <v>0.74950732257892838</v>
      </c>
      <c r="DU47" s="410">
        <f t="shared" si="41"/>
        <v>0.74950732257892838</v>
      </c>
      <c r="DV47" s="410">
        <f t="shared" si="41"/>
        <v>0.74950732257892838</v>
      </c>
      <c r="DW47" s="410">
        <f t="shared" si="41"/>
        <v>0.74950732257892838</v>
      </c>
      <c r="DX47" s="410">
        <f t="shared" si="41"/>
        <v>0.74950732257892838</v>
      </c>
      <c r="DY47" s="410">
        <f t="shared" si="41"/>
        <v>0.74950732257892838</v>
      </c>
      <c r="DZ47" s="410">
        <f t="shared" si="41"/>
        <v>0.74950732257892838</v>
      </c>
      <c r="EA47" s="411">
        <v>14</v>
      </c>
      <c r="EB47" s="993"/>
      <c r="EC47" s="993"/>
      <c r="ED47" s="993"/>
      <c r="EE47" s="333"/>
      <c r="EF47" s="333"/>
      <c r="EG47" s="333"/>
      <c r="EH47" s="1172"/>
      <c r="EI47" s="1173"/>
      <c r="EJ47" s="1173"/>
      <c r="EK47" s="1173"/>
      <c r="EL47" s="1174"/>
      <c r="EM47" s="1127"/>
      <c r="EN47" s="1128"/>
      <c r="EO47" s="1128"/>
      <c r="EP47" s="520"/>
      <c r="EQ47" s="508"/>
      <c r="FG47" s="7">
        <v>24</v>
      </c>
      <c r="FH47" s="12">
        <v>17.8</v>
      </c>
      <c r="FJ47" s="7">
        <v>24</v>
      </c>
      <c r="FK47" s="9">
        <v>980</v>
      </c>
      <c r="FR47" s="12"/>
      <c r="FS47" s="7">
        <v>24</v>
      </c>
      <c r="FT47" s="12">
        <v>47.8</v>
      </c>
      <c r="FV47" s="7">
        <v>24</v>
      </c>
      <c r="FW47" s="12">
        <v>2.8</v>
      </c>
      <c r="FX47" s="1116"/>
      <c r="FY47" s="1117"/>
      <c r="FZ47" s="1117"/>
      <c r="GA47" s="1117"/>
      <c r="GB47" s="1117"/>
      <c r="GC47" s="1117"/>
      <c r="GD47" s="1117"/>
      <c r="GE47" s="1117"/>
      <c r="GF47" s="1117"/>
      <c r="GG47" s="1117"/>
      <c r="GH47" s="1117"/>
      <c r="GI47" s="1117"/>
      <c r="GJ47" s="1118"/>
    </row>
    <row r="48" spans="1:192" ht="15.75" customHeight="1">
      <c r="A48">
        <v>4.3</v>
      </c>
      <c r="B48" t="s">
        <v>260</v>
      </c>
      <c r="C48" s="142"/>
      <c r="D48" s="559"/>
      <c r="E48" s="172" t="str">
        <f t="shared" si="31"/>
        <v/>
      </c>
      <c r="F48" s="555" t="str">
        <f t="shared" si="43"/>
        <v/>
      </c>
      <c r="G48" s="172" t="str">
        <f t="shared" si="33"/>
        <v/>
      </c>
      <c r="H48" t="str">
        <f t="shared" si="34"/>
        <v/>
      </c>
      <c r="I48" s="552" t="str" cm="1">
        <f t="array" ref="I48">IF(H48&lt;&gt;"",INDEX($B$2:$B$66,H48+1),"")</f>
        <v/>
      </c>
      <c r="J48" s="554" t="str">
        <f t="shared" si="28"/>
        <v/>
      </c>
      <c r="K48" t="str">
        <f t="shared" si="42"/>
        <v/>
      </c>
      <c r="L48" s="2" t="str">
        <f t="shared" si="36"/>
        <v/>
      </c>
      <c r="M48" t="str">
        <f t="shared" si="37"/>
        <v/>
      </c>
      <c r="N48" s="2" t="str">
        <f t="shared" si="38"/>
        <v/>
      </c>
      <c r="O48" s="172" t="str">
        <f t="shared" si="29"/>
        <v/>
      </c>
      <c r="P48" s="177" t="str">
        <f t="shared" si="40"/>
        <v/>
      </c>
      <c r="Q48" s="172" t="str">
        <f t="shared" si="30"/>
        <v/>
      </c>
      <c r="R48" s="553" t="str">
        <f t="shared" si="39"/>
        <v/>
      </c>
      <c r="S48" s="142"/>
      <c r="W48" s="7"/>
      <c r="X48" s="7"/>
      <c r="Y48" s="7">
        <v>12</v>
      </c>
      <c r="Z48" s="7" t="s">
        <v>832</v>
      </c>
      <c r="AA48" s="7"/>
      <c r="AB48" s="7"/>
      <c r="AC48" s="7"/>
      <c r="AD48" s="12"/>
      <c r="AE48" s="7"/>
      <c r="AF48" s="7"/>
      <c r="AG48" s="7"/>
      <c r="AH48" s="7"/>
      <c r="AI48" s="7">
        <v>15</v>
      </c>
      <c r="AJ48" s="7" t="s">
        <v>833</v>
      </c>
      <c r="AK48" s="7"/>
      <c r="AL48" s="7"/>
      <c r="AM48" s="7"/>
      <c r="AN48" s="7"/>
      <c r="AO48" s="7"/>
      <c r="AP48" s="7"/>
      <c r="AQ48" s="7"/>
      <c r="AR48" s="7"/>
      <c r="AS48" s="7"/>
      <c r="AT48" s="7"/>
      <c r="AU48" s="7"/>
      <c r="AV48" s="7"/>
      <c r="AW48" s="7"/>
      <c r="AX48" s="7"/>
      <c r="AY48" s="7"/>
      <c r="AZ48" s="7"/>
      <c r="BA48" s="7"/>
      <c r="BB48" s="7"/>
      <c r="BC48" s="7"/>
      <c r="BD48" s="7"/>
      <c r="BE48" s="7"/>
      <c r="BF48" s="7"/>
      <c r="BG48" s="7"/>
      <c r="BH48" s="7"/>
      <c r="BI48" s="7"/>
      <c r="BJ48" s="7"/>
      <c r="BK48" s="7"/>
      <c r="BL48" s="7"/>
      <c r="BP48" s="59"/>
      <c r="BQ48" s="59"/>
      <c r="BR48" s="59"/>
      <c r="BS48" s="59"/>
      <c r="BT48" s="59"/>
      <c r="BU48" s="59"/>
      <c r="BV48" s="59"/>
      <c r="BW48" s="69"/>
      <c r="BX48" s="12"/>
      <c r="BY48" s="7"/>
      <c r="BZ48" s="7"/>
      <c r="CE48" s="59"/>
      <c r="CF48" s="59"/>
      <c r="CG48" s="59"/>
      <c r="CH48" s="59"/>
      <c r="CI48" s="59"/>
      <c r="CJ48" s="59"/>
      <c r="CK48" s="59"/>
      <c r="CL48" s="59"/>
      <c r="CM48" s="59"/>
      <c r="CN48" s="7"/>
      <c r="CO48" s="12" t="s">
        <v>188</v>
      </c>
      <c r="CP48" s="73">
        <f t="shared" si="18"/>
        <v>22</v>
      </c>
      <c r="CQ48" s="7">
        <v>72</v>
      </c>
      <c r="CR48" s="59">
        <v>25</v>
      </c>
      <c r="CS48" s="292" t="str">
        <f t="shared" si="19"/>
        <v>---------</v>
      </c>
      <c r="CT48" s="106">
        <v>22.7</v>
      </c>
      <c r="CU48" s="12" t="s">
        <v>188</v>
      </c>
      <c r="CV48" s="276" t="str">
        <f t="shared" si="20"/>
        <v>---------</v>
      </c>
      <c r="CW48" s="290">
        <v>2.77</v>
      </c>
      <c r="CX48" s="59">
        <v>25</v>
      </c>
      <c r="CY48" s="292" t="str">
        <f t="shared" si="21"/>
        <v>---------</v>
      </c>
      <c r="CZ48" s="7">
        <v>72</v>
      </c>
      <c r="DA48" s="59">
        <v>25</v>
      </c>
      <c r="DB48" s="292" t="str">
        <f t="shared" si="22"/>
        <v>---------</v>
      </c>
      <c r="DC48" s="106">
        <v>22.7</v>
      </c>
      <c r="DD48" s="12" t="s">
        <v>188</v>
      </c>
      <c r="DE48" s="276" t="str">
        <f t="shared" si="23"/>
        <v>---------</v>
      </c>
      <c r="DF48" s="290">
        <v>2.77</v>
      </c>
      <c r="DG48" s="59">
        <v>25</v>
      </c>
      <c r="DH48" s="292" t="str">
        <f t="shared" si="24"/>
        <v>---------</v>
      </c>
      <c r="DI48" s="106">
        <v>3.6</v>
      </c>
      <c r="DJ48" s="59">
        <v>25</v>
      </c>
      <c r="DK48" s="74" t="str">
        <f t="shared" si="25"/>
        <v>3.6</v>
      </c>
      <c r="DL48" s="59"/>
      <c r="DM48" s="393"/>
      <c r="DN48" s="409"/>
      <c r="DO48" s="502"/>
      <c r="DP48" s="503">
        <f t="shared" ref="DP48:DZ48" si="44">DP14</f>
        <v>0.18</v>
      </c>
      <c r="DQ48" s="503">
        <f t="shared" si="44"/>
        <v>0.18</v>
      </c>
      <c r="DR48" s="503">
        <f t="shared" si="44"/>
        <v>0.18</v>
      </c>
      <c r="DS48" s="503">
        <f t="shared" si="44"/>
        <v>0.18</v>
      </c>
      <c r="DT48" s="503">
        <f t="shared" si="44"/>
        <v>0.18</v>
      </c>
      <c r="DU48" s="503">
        <f t="shared" si="44"/>
        <v>0.18</v>
      </c>
      <c r="DV48" s="503">
        <f t="shared" si="44"/>
        <v>0.18</v>
      </c>
      <c r="DW48" s="503">
        <f t="shared" si="44"/>
        <v>0.18</v>
      </c>
      <c r="DX48" s="503">
        <f t="shared" si="44"/>
        <v>0.18</v>
      </c>
      <c r="DY48" s="503">
        <f t="shared" si="44"/>
        <v>0.18</v>
      </c>
      <c r="DZ48" s="503">
        <f t="shared" si="44"/>
        <v>0.18</v>
      </c>
      <c r="EA48" s="412"/>
      <c r="EB48" s="333"/>
      <c r="EC48" s="333"/>
      <c r="ED48" s="333"/>
      <c r="EE48" s="333"/>
      <c r="EF48" s="333"/>
      <c r="EG48" s="333"/>
      <c r="EH48" s="1175"/>
      <c r="EI48" s="1176"/>
      <c r="EJ48" s="1176"/>
      <c r="EK48" s="1176"/>
      <c r="EL48" s="1177"/>
      <c r="EM48" s="413"/>
      <c r="EN48" s="414"/>
      <c r="EO48" s="414"/>
      <c r="EP48" s="414"/>
      <c r="EQ48" s="522"/>
      <c r="FG48" s="7">
        <v>25</v>
      </c>
      <c r="FH48" s="12">
        <v>17.7</v>
      </c>
      <c r="FJ48" s="7">
        <v>25</v>
      </c>
      <c r="FK48" s="9">
        <v>970</v>
      </c>
      <c r="FR48" s="12"/>
      <c r="FS48" s="7">
        <v>25</v>
      </c>
      <c r="FT48" s="12">
        <v>47.7</v>
      </c>
      <c r="FV48" s="7">
        <v>25</v>
      </c>
      <c r="FW48" s="12">
        <v>2.7</v>
      </c>
      <c r="FX48" s="1116"/>
      <c r="FY48" s="1117"/>
      <c r="FZ48" s="1117"/>
      <c r="GA48" s="1117"/>
      <c r="GB48" s="1117"/>
      <c r="GC48" s="1117"/>
      <c r="GD48" s="1117"/>
      <c r="GE48" s="1117"/>
      <c r="GF48" s="1117"/>
      <c r="GG48" s="1117"/>
      <c r="GH48" s="1117"/>
      <c r="GI48" s="1117"/>
      <c r="GJ48" s="1118"/>
    </row>
    <row r="49" spans="1:192" ht="15.75" customHeight="1">
      <c r="A49">
        <v>4.2</v>
      </c>
      <c r="B49" t="s">
        <v>266</v>
      </c>
      <c r="C49" s="578"/>
      <c r="D49" s="554"/>
      <c r="E49" s="172" t="str">
        <f t="shared" si="31"/>
        <v/>
      </c>
      <c r="F49" s="555" t="str">
        <f t="shared" si="43"/>
        <v/>
      </c>
      <c r="G49" s="172" t="str">
        <f t="shared" si="33"/>
        <v/>
      </c>
      <c r="H49" t="str">
        <f t="shared" si="34"/>
        <v/>
      </c>
      <c r="I49" s="552" t="str" cm="1">
        <f t="array" ref="I49">IF(H49&lt;&gt;"",INDEX($B$2:$B$66,H49+1),"")</f>
        <v/>
      </c>
      <c r="J49" s="554" t="str">
        <f t="shared" si="28"/>
        <v/>
      </c>
      <c r="K49" t="str">
        <f t="shared" si="42"/>
        <v/>
      </c>
      <c r="L49" s="2" t="str">
        <f t="shared" si="36"/>
        <v/>
      </c>
      <c r="M49" t="str">
        <f t="shared" si="37"/>
        <v/>
      </c>
      <c r="N49" s="2" t="str">
        <f t="shared" si="38"/>
        <v/>
      </c>
      <c r="O49" s="172" t="str">
        <f t="shared" si="29"/>
        <v/>
      </c>
      <c r="P49" s="177" t="str">
        <f t="shared" si="40"/>
        <v/>
      </c>
      <c r="Q49" s="172" t="str">
        <f t="shared" si="30"/>
        <v/>
      </c>
      <c r="R49" s="553" t="str">
        <f t="shared" si="39"/>
        <v/>
      </c>
      <c r="S49" s="578"/>
      <c r="W49" s="7"/>
      <c r="X49" s="7"/>
      <c r="Y49" s="7">
        <v>13</v>
      </c>
      <c r="Z49" s="7" t="s">
        <v>834</v>
      </c>
      <c r="AA49" s="7"/>
      <c r="AB49" s="7"/>
      <c r="AC49" s="7"/>
      <c r="AD49" s="12"/>
      <c r="AE49" s="7"/>
      <c r="AF49" s="7"/>
      <c r="AG49" s="7"/>
      <c r="AH49" s="7"/>
      <c r="AI49" s="7">
        <v>16</v>
      </c>
      <c r="AJ49" s="7" t="s">
        <v>835</v>
      </c>
      <c r="AK49" s="7"/>
      <c r="AL49" s="7"/>
      <c r="AM49" s="7"/>
      <c r="AN49" s="7"/>
      <c r="AO49" s="7"/>
      <c r="AP49" s="7"/>
      <c r="AQ49" s="7"/>
      <c r="AR49" s="7"/>
      <c r="AS49" s="7"/>
      <c r="AT49" s="7"/>
      <c r="AU49" s="7"/>
      <c r="AV49" s="7"/>
      <c r="AW49" s="7"/>
      <c r="AX49" s="7"/>
      <c r="AY49" s="7"/>
      <c r="AZ49" s="7"/>
      <c r="BA49" s="7"/>
      <c r="BB49" s="7"/>
      <c r="BC49" s="7"/>
      <c r="BD49" s="7"/>
      <c r="BE49" s="7"/>
      <c r="BF49" s="7"/>
      <c r="BG49" s="7"/>
      <c r="BH49" s="7"/>
      <c r="BI49" s="7"/>
      <c r="BJ49" s="7"/>
      <c r="BK49" s="7"/>
      <c r="BL49" s="7"/>
      <c r="BP49" s="59"/>
      <c r="BQ49" s="59"/>
      <c r="BR49" s="59"/>
      <c r="BS49" s="59"/>
      <c r="BT49" s="59"/>
      <c r="BU49" s="59"/>
      <c r="BV49" s="59"/>
      <c r="BW49" s="69"/>
      <c r="BX49" s="12"/>
      <c r="BY49" s="7"/>
      <c r="BZ49" s="7"/>
      <c r="CE49" s="59"/>
      <c r="CF49" s="59"/>
      <c r="CG49" s="59"/>
      <c r="CH49" s="59"/>
      <c r="CI49" s="59"/>
      <c r="CJ49" s="59"/>
      <c r="CK49" s="59"/>
      <c r="CL49" s="59"/>
      <c r="CM49" s="59"/>
      <c r="CN49" s="7"/>
      <c r="CO49" s="12" t="s">
        <v>195</v>
      </c>
      <c r="CP49" s="73">
        <f t="shared" si="18"/>
        <v>21</v>
      </c>
      <c r="CQ49" s="7">
        <v>71</v>
      </c>
      <c r="CR49" s="59">
        <v>26</v>
      </c>
      <c r="CS49" s="292" t="str">
        <f t="shared" si="19"/>
        <v>---------</v>
      </c>
      <c r="CT49" s="106">
        <v>22.6</v>
      </c>
      <c r="CU49" s="12" t="s">
        <v>195</v>
      </c>
      <c r="CV49" s="276" t="str">
        <f t="shared" si="20"/>
        <v>---------</v>
      </c>
      <c r="CW49" s="290">
        <v>2.76000000000001</v>
      </c>
      <c r="CX49" s="59">
        <v>26</v>
      </c>
      <c r="CY49" s="292" t="str">
        <f t="shared" si="21"/>
        <v>---------</v>
      </c>
      <c r="CZ49" s="7">
        <v>71</v>
      </c>
      <c r="DA49" s="59">
        <v>26</v>
      </c>
      <c r="DB49" s="292" t="str">
        <f t="shared" si="22"/>
        <v>---------</v>
      </c>
      <c r="DC49" s="106">
        <v>22.6</v>
      </c>
      <c r="DD49" s="12" t="s">
        <v>195</v>
      </c>
      <c r="DE49" s="276" t="str">
        <f t="shared" si="23"/>
        <v>---------</v>
      </c>
      <c r="DF49" s="290">
        <v>2.76000000000001</v>
      </c>
      <c r="DG49" s="59">
        <v>26</v>
      </c>
      <c r="DH49" s="292" t="str">
        <f t="shared" si="24"/>
        <v>---------</v>
      </c>
      <c r="DI49" s="106">
        <v>3.5</v>
      </c>
      <c r="DJ49" s="59">
        <v>26</v>
      </c>
      <c r="DK49" s="74" t="str">
        <f t="shared" si="25"/>
        <v>3.5</v>
      </c>
      <c r="DL49" s="59"/>
      <c r="DM49" s="393"/>
      <c r="DN49" s="413"/>
      <c r="DO49" s="414"/>
      <c r="DP49" s="415"/>
      <c r="DQ49" s="415"/>
      <c r="DR49" s="415"/>
      <c r="DS49" s="415"/>
      <c r="DT49" s="415"/>
      <c r="DU49" s="415"/>
      <c r="DV49" s="415"/>
      <c r="DW49" s="415"/>
      <c r="DX49" s="415"/>
      <c r="DY49" s="415"/>
      <c r="DZ49" s="415"/>
      <c r="EA49" s="416"/>
      <c r="EB49" s="333"/>
      <c r="EC49" s="333"/>
      <c r="ED49" s="333"/>
      <c r="EE49" s="333"/>
      <c r="EF49" s="333"/>
      <c r="EG49" s="333"/>
      <c r="EH49" s="333"/>
      <c r="EI49" s="333"/>
      <c r="EJ49" s="333"/>
      <c r="EK49" s="333"/>
      <c r="EL49" s="333"/>
      <c r="EM49" s="333"/>
      <c r="EN49" s="333"/>
      <c r="EO49" s="333"/>
      <c r="EP49" s="333"/>
      <c r="EQ49" s="336"/>
      <c r="FG49" s="7">
        <v>26</v>
      </c>
      <c r="FH49" s="12">
        <v>17.600000000000001</v>
      </c>
      <c r="FJ49" s="7">
        <v>26</v>
      </c>
      <c r="FK49" s="9">
        <v>960</v>
      </c>
      <c r="FR49" s="12"/>
      <c r="FS49" s="7">
        <v>26</v>
      </c>
      <c r="FT49" s="12">
        <v>47.6</v>
      </c>
      <c r="FV49" s="7">
        <v>26</v>
      </c>
      <c r="FW49" s="12">
        <v>2.6</v>
      </c>
      <c r="FX49" s="1116"/>
      <c r="FY49" s="1117"/>
      <c r="FZ49" s="1117"/>
      <c r="GA49" s="1117"/>
      <c r="GB49" s="1117"/>
      <c r="GC49" s="1117"/>
      <c r="GD49" s="1117"/>
      <c r="GE49" s="1117"/>
      <c r="GF49" s="1117"/>
      <c r="GG49" s="1117"/>
      <c r="GH49" s="1117"/>
      <c r="GI49" s="1117"/>
      <c r="GJ49" s="1118"/>
    </row>
    <row r="50" spans="1:192" ht="15.75" customHeight="1" thickBot="1">
      <c r="A50">
        <v>4.0999999999999996</v>
      </c>
      <c r="B50" t="s">
        <v>251</v>
      </c>
      <c r="C50" s="578"/>
      <c r="D50" s="554"/>
      <c r="E50" s="172" t="str">
        <f t="shared" si="31"/>
        <v/>
      </c>
      <c r="F50" s="555" t="str">
        <f t="shared" si="43"/>
        <v/>
      </c>
      <c r="G50" s="172" t="str">
        <f t="shared" si="33"/>
        <v/>
      </c>
      <c r="H50" t="str">
        <f t="shared" si="34"/>
        <v/>
      </c>
      <c r="I50" s="552" t="str" cm="1">
        <f t="array" ref="I50">IF(H50&lt;&gt;"",INDEX($B$2:$B$66,H50+1),"")</f>
        <v/>
      </c>
      <c r="J50" s="554" t="str">
        <f t="shared" si="28"/>
        <v/>
      </c>
      <c r="K50" t="str">
        <f t="shared" si="42"/>
        <v/>
      </c>
      <c r="L50" s="2" t="str">
        <f t="shared" si="36"/>
        <v/>
      </c>
      <c r="M50" t="str">
        <f t="shared" si="37"/>
        <v/>
      </c>
      <c r="N50" s="2" t="str">
        <f t="shared" si="38"/>
        <v/>
      </c>
      <c r="O50" s="172" t="str">
        <f t="shared" si="29"/>
        <v/>
      </c>
      <c r="P50" s="177" t="str">
        <f t="shared" si="40"/>
        <v/>
      </c>
      <c r="Q50" s="172" t="str">
        <f t="shared" si="30"/>
        <v/>
      </c>
      <c r="R50" s="553" t="str">
        <f t="shared" si="39"/>
        <v/>
      </c>
      <c r="S50" s="578"/>
      <c r="W50" s="7"/>
      <c r="X50" s="7"/>
      <c r="Y50" s="7">
        <v>14</v>
      </c>
      <c r="Z50" s="7" t="s">
        <v>836</v>
      </c>
      <c r="AA50" s="7"/>
      <c r="AB50" s="7"/>
      <c r="AC50" s="7"/>
      <c r="AD50" s="12"/>
      <c r="AE50" s="7"/>
      <c r="AF50" s="7"/>
      <c r="AG50" s="7"/>
      <c r="AH50" s="7"/>
      <c r="AI50" s="7">
        <v>17</v>
      </c>
      <c r="AJ50" s="7" t="s">
        <v>837</v>
      </c>
      <c r="AK50" s="7"/>
      <c r="AL50" s="7"/>
      <c r="AM50" s="7"/>
      <c r="AN50" s="7"/>
      <c r="AO50" s="7"/>
      <c r="AP50" s="7"/>
      <c r="AQ50" s="7"/>
      <c r="AR50" s="7"/>
      <c r="AS50" s="7"/>
      <c r="AT50" s="7"/>
      <c r="AU50" s="7"/>
      <c r="AV50" s="7"/>
      <c r="AW50" s="7"/>
      <c r="AX50" s="7"/>
      <c r="AY50" s="7"/>
      <c r="AZ50" s="7"/>
      <c r="BA50" s="7"/>
      <c r="BB50" s="7"/>
      <c r="BC50" s="7"/>
      <c r="BD50" s="7"/>
      <c r="BE50" s="7"/>
      <c r="BF50" s="7"/>
      <c r="BG50" s="7"/>
      <c r="BH50" s="7"/>
      <c r="BI50" s="7"/>
      <c r="BJ50" s="7"/>
      <c r="BK50" s="7"/>
      <c r="BL50" s="7"/>
      <c r="BP50" s="59"/>
      <c r="BQ50" s="59"/>
      <c r="BR50" s="59"/>
      <c r="BS50" s="59"/>
      <c r="BT50" s="59"/>
      <c r="BU50" s="59"/>
      <c r="BV50" s="59"/>
      <c r="BW50" s="69"/>
      <c r="BX50" s="12"/>
      <c r="BY50" s="7"/>
      <c r="BZ50" s="7"/>
      <c r="CE50" s="59"/>
      <c r="CF50" s="59"/>
      <c r="CG50" s="59"/>
      <c r="CH50" s="59"/>
      <c r="CI50" s="59"/>
      <c r="CJ50" s="59"/>
      <c r="CK50" s="59"/>
      <c r="CL50" s="59"/>
      <c r="CM50" s="59"/>
      <c r="CN50" s="7"/>
      <c r="CO50" s="12" t="s">
        <v>201</v>
      </c>
      <c r="CP50" s="73">
        <f t="shared" si="18"/>
        <v>20</v>
      </c>
      <c r="CQ50" s="7">
        <v>70</v>
      </c>
      <c r="CR50" s="59">
        <v>27</v>
      </c>
      <c r="CS50" s="292" t="str">
        <f t="shared" si="19"/>
        <v>---------</v>
      </c>
      <c r="CT50" s="106">
        <v>22.5</v>
      </c>
      <c r="CU50" s="12" t="s">
        <v>201</v>
      </c>
      <c r="CV50" s="276" t="str">
        <f t="shared" si="20"/>
        <v>---------</v>
      </c>
      <c r="CW50" s="290">
        <v>2.75</v>
      </c>
      <c r="CX50" s="59">
        <v>27</v>
      </c>
      <c r="CY50" s="292" t="str">
        <f t="shared" si="21"/>
        <v>---------</v>
      </c>
      <c r="CZ50" s="7">
        <v>70</v>
      </c>
      <c r="DA50" s="59">
        <v>27</v>
      </c>
      <c r="DB50" s="292" t="str">
        <f t="shared" si="22"/>
        <v>---------</v>
      </c>
      <c r="DC50" s="106">
        <v>22.5</v>
      </c>
      <c r="DD50" s="12" t="s">
        <v>201</v>
      </c>
      <c r="DE50" s="276" t="str">
        <f t="shared" si="23"/>
        <v>---------</v>
      </c>
      <c r="DF50" s="290">
        <v>2.75</v>
      </c>
      <c r="DG50" s="59">
        <v>27</v>
      </c>
      <c r="DH50" s="292" t="str">
        <f t="shared" si="24"/>
        <v>---------</v>
      </c>
      <c r="DI50" s="106">
        <v>3.4</v>
      </c>
      <c r="DJ50" s="59">
        <v>27</v>
      </c>
      <c r="DK50" s="74" t="str">
        <f t="shared" si="25"/>
        <v>3.4</v>
      </c>
      <c r="DL50" s="59"/>
      <c r="DM50" s="393"/>
      <c r="DN50" s="333"/>
      <c r="DO50" s="333"/>
      <c r="DP50" s="333"/>
      <c r="DQ50" s="333"/>
      <c r="DR50" s="333"/>
      <c r="DS50" s="333"/>
      <c r="DT50" s="333"/>
      <c r="DU50" s="333"/>
      <c r="DV50" s="333"/>
      <c r="DW50" s="333"/>
      <c r="DX50" s="333"/>
      <c r="DY50" s="333"/>
      <c r="DZ50" s="333"/>
      <c r="EA50" s="333"/>
      <c r="EB50" s="333"/>
      <c r="EC50" s="333"/>
      <c r="ED50" s="333"/>
      <c r="EE50" s="333"/>
      <c r="EF50" s="333"/>
      <c r="EG50" s="333"/>
      <c r="EH50" s="333"/>
      <c r="EI50" s="333"/>
      <c r="EJ50" s="333"/>
      <c r="EK50" s="333"/>
      <c r="EL50" s="333"/>
      <c r="EM50" s="333"/>
      <c r="EN50" s="333"/>
      <c r="EO50" s="333"/>
      <c r="EP50" s="333"/>
      <c r="EQ50" s="336"/>
      <c r="FG50" s="7">
        <v>27</v>
      </c>
      <c r="FH50" s="12">
        <v>17.5</v>
      </c>
      <c r="FJ50" s="7">
        <v>27</v>
      </c>
      <c r="FK50" s="9">
        <v>950</v>
      </c>
      <c r="FR50" s="12"/>
      <c r="FS50" s="7">
        <v>27</v>
      </c>
      <c r="FT50" s="12">
        <v>47.5</v>
      </c>
      <c r="FV50" s="7">
        <v>27</v>
      </c>
      <c r="FW50" s="12">
        <v>2.5</v>
      </c>
      <c r="FX50" s="1119"/>
      <c r="FY50" s="1120"/>
      <c r="FZ50" s="1120"/>
      <c r="GA50" s="1120"/>
      <c r="GB50" s="1120"/>
      <c r="GC50" s="1120"/>
      <c r="GD50" s="1120"/>
      <c r="GE50" s="1120"/>
      <c r="GF50" s="1120"/>
      <c r="GG50" s="1120"/>
      <c r="GH50" s="1120"/>
      <c r="GI50" s="1120"/>
      <c r="GJ50" s="1121"/>
    </row>
    <row r="51" spans="1:192" ht="15.75" customHeight="1" thickBot="1">
      <c r="A51">
        <v>4</v>
      </c>
      <c r="B51" t="s">
        <v>276</v>
      </c>
      <c r="C51" s="578"/>
      <c r="D51" s="554"/>
      <c r="E51" s="172" t="str">
        <f t="shared" si="31"/>
        <v/>
      </c>
      <c r="F51" s="555" t="str">
        <f t="shared" si="43"/>
        <v/>
      </c>
      <c r="G51" s="172" t="str">
        <f t="shared" si="33"/>
        <v/>
      </c>
      <c r="H51" t="str">
        <f t="shared" si="34"/>
        <v/>
      </c>
      <c r="I51" s="552" t="str" cm="1">
        <f t="array" ref="I51">IF(H51&lt;&gt;"",INDEX($B$2:$B$66,H51+1),"")</f>
        <v/>
      </c>
      <c r="J51" s="554" t="str">
        <f t="shared" si="28"/>
        <v/>
      </c>
      <c r="K51" t="str">
        <f t="shared" si="42"/>
        <v/>
      </c>
      <c r="L51" s="2" t="str">
        <f t="shared" si="36"/>
        <v/>
      </c>
      <c r="M51" t="str">
        <f t="shared" si="37"/>
        <v/>
      </c>
      <c r="N51" s="2" t="str">
        <f t="shared" si="38"/>
        <v/>
      </c>
      <c r="O51" s="172" t="str">
        <f t="shared" si="29"/>
        <v/>
      </c>
      <c r="P51" s="177" t="str">
        <f t="shared" si="40"/>
        <v/>
      </c>
      <c r="Q51" s="172" t="str">
        <f t="shared" si="30"/>
        <v/>
      </c>
      <c r="R51" s="553" t="str">
        <f t="shared" si="39"/>
        <v/>
      </c>
      <c r="S51" s="578"/>
      <c r="U51" s="7"/>
      <c r="V51" s="45" t="s">
        <v>838</v>
      </c>
      <c r="W51" s="7"/>
      <c r="X51" s="7"/>
      <c r="Y51" s="7">
        <v>15</v>
      </c>
      <c r="Z51" s="7" t="s">
        <v>839</v>
      </c>
      <c r="AA51" s="7"/>
      <c r="AB51" s="7"/>
      <c r="AC51" s="7"/>
      <c r="AD51" s="12"/>
      <c r="AE51" s="7"/>
      <c r="AF51" s="7"/>
      <c r="AG51" s="7"/>
      <c r="AH51" s="7"/>
      <c r="AI51" s="7">
        <v>18</v>
      </c>
      <c r="AJ51" s="7" t="s">
        <v>840</v>
      </c>
      <c r="AK51" s="7"/>
      <c r="AL51" s="7"/>
      <c r="AM51" s="7"/>
      <c r="AN51" s="7"/>
      <c r="AO51" s="7"/>
      <c r="AP51" s="7"/>
      <c r="AQ51" s="7"/>
      <c r="AR51" s="7"/>
      <c r="AS51" s="7"/>
      <c r="AT51" s="7"/>
      <c r="AU51" s="7"/>
      <c r="AV51" s="7"/>
      <c r="AW51" s="7"/>
      <c r="AX51" s="7"/>
      <c r="AY51" s="7"/>
      <c r="AZ51" s="7"/>
      <c r="BA51" s="7"/>
      <c r="BB51" s="7"/>
      <c r="BC51" s="7"/>
      <c r="BD51" s="7"/>
      <c r="BE51" s="7"/>
      <c r="BF51" s="7"/>
      <c r="BG51" s="7"/>
      <c r="BH51" s="7"/>
      <c r="BI51" s="7"/>
      <c r="BJ51" s="7"/>
      <c r="BK51" s="7"/>
      <c r="BL51" s="7"/>
      <c r="BM51" s="7"/>
      <c r="BN51" s="7"/>
      <c r="BO51" s="7"/>
      <c r="BP51" s="7"/>
      <c r="BQ51" s="7"/>
      <c r="BR51" s="7"/>
      <c r="BS51" s="7"/>
      <c r="BT51" s="7"/>
      <c r="BU51" s="7"/>
      <c r="BV51" s="7"/>
      <c r="BW51" s="69"/>
      <c r="BX51" s="12"/>
      <c r="BY51" s="7"/>
      <c r="BZ51" s="7"/>
      <c r="CE51" s="7"/>
      <c r="CF51" s="7"/>
      <c r="CG51" s="7"/>
      <c r="CH51" s="7"/>
      <c r="CI51" s="7"/>
      <c r="CJ51" s="7"/>
      <c r="CK51" s="59"/>
      <c r="CL51" s="59"/>
      <c r="CM51" s="59"/>
      <c r="CN51" s="7"/>
      <c r="CO51" s="12" t="s">
        <v>205</v>
      </c>
      <c r="CP51" s="73">
        <f t="shared" si="18"/>
        <v>19</v>
      </c>
      <c r="CQ51" s="7">
        <v>69</v>
      </c>
      <c r="CR51" s="59">
        <v>28</v>
      </c>
      <c r="CS51" s="292" t="str">
        <f t="shared" si="19"/>
        <v>---------</v>
      </c>
      <c r="CT51" s="106">
        <v>22.4</v>
      </c>
      <c r="CU51" s="12" t="s">
        <v>205</v>
      </c>
      <c r="CV51" s="276" t="str">
        <f t="shared" si="20"/>
        <v>---------</v>
      </c>
      <c r="CW51" s="290">
        <v>2.74000000000001</v>
      </c>
      <c r="CX51" s="59">
        <v>28</v>
      </c>
      <c r="CY51" s="292" t="str">
        <f t="shared" si="21"/>
        <v>---------</v>
      </c>
      <c r="CZ51" s="7">
        <v>69</v>
      </c>
      <c r="DA51" s="59">
        <v>28</v>
      </c>
      <c r="DB51" s="292" t="str">
        <f t="shared" si="22"/>
        <v>---------</v>
      </c>
      <c r="DC51" s="106">
        <v>22.4</v>
      </c>
      <c r="DD51" s="12" t="s">
        <v>205</v>
      </c>
      <c r="DE51" s="276" t="str">
        <f t="shared" si="23"/>
        <v>---------</v>
      </c>
      <c r="DF51" s="290">
        <v>2.74000000000001</v>
      </c>
      <c r="DG51" s="59">
        <v>28</v>
      </c>
      <c r="DH51" s="292" t="str">
        <f t="shared" si="24"/>
        <v>---------</v>
      </c>
      <c r="DI51" s="106">
        <v>3.3</v>
      </c>
      <c r="DJ51" s="59">
        <v>28</v>
      </c>
      <c r="DK51" s="74" t="str">
        <f t="shared" si="25"/>
        <v>3.3</v>
      </c>
      <c r="DL51" s="59"/>
      <c r="DM51" s="417"/>
      <c r="DN51" s="354"/>
      <c r="DO51" s="354"/>
      <c r="DP51" s="354"/>
      <c r="DQ51" s="354"/>
      <c r="DR51" s="354"/>
      <c r="DS51" s="354"/>
      <c r="DT51" s="354"/>
      <c r="DU51" s="354"/>
      <c r="DV51" s="354"/>
      <c r="DW51" s="354"/>
      <c r="DX51" s="354"/>
      <c r="DY51" s="354"/>
      <c r="DZ51" s="354"/>
      <c r="EA51" s="354"/>
      <c r="EB51" s="354"/>
      <c r="EC51" s="354"/>
      <c r="ED51" s="354"/>
      <c r="EE51" s="354"/>
      <c r="EF51" s="354"/>
      <c r="EG51" s="354"/>
      <c r="EH51" s="354"/>
      <c r="EI51" s="354"/>
      <c r="EJ51" s="354"/>
      <c r="EK51" s="354"/>
      <c r="EL51" s="354"/>
      <c r="EM51" s="354"/>
      <c r="EN51" s="354"/>
      <c r="EO51" s="354"/>
      <c r="EP51" s="354"/>
      <c r="EQ51" s="355"/>
      <c r="FG51" s="7">
        <v>28</v>
      </c>
      <c r="FH51" s="12">
        <v>17.399999999999999</v>
      </c>
      <c r="FJ51" s="7">
        <v>28</v>
      </c>
      <c r="FK51" s="9">
        <v>940</v>
      </c>
      <c r="FR51" s="12"/>
      <c r="FS51" s="7">
        <v>28</v>
      </c>
      <c r="FT51" s="12">
        <v>47.4</v>
      </c>
      <c r="FV51" s="7">
        <v>28</v>
      </c>
      <c r="FW51" s="12">
        <v>2.4</v>
      </c>
    </row>
    <row r="52" spans="1:192" ht="15.75" customHeight="1">
      <c r="A52">
        <v>3.9</v>
      </c>
      <c r="B52" t="s">
        <v>281</v>
      </c>
      <c r="C52" s="578"/>
      <c r="D52" s="554"/>
      <c r="E52" s="172" t="str">
        <f t="shared" si="31"/>
        <v/>
      </c>
      <c r="F52" s="555" t="str">
        <f t="shared" si="43"/>
        <v/>
      </c>
      <c r="G52" s="172" t="str">
        <f t="shared" si="33"/>
        <v/>
      </c>
      <c r="H52" t="str">
        <f t="shared" si="34"/>
        <v/>
      </c>
      <c r="I52" s="552" t="str" cm="1">
        <f t="array" ref="I52">IF(H52&lt;&gt;"",INDEX($B$2:$B$66,H52+1),"")</f>
        <v/>
      </c>
      <c r="J52" s="554" t="str">
        <f t="shared" si="28"/>
        <v/>
      </c>
      <c r="K52" t="str">
        <f t="shared" si="42"/>
        <v/>
      </c>
      <c r="L52" s="2" t="str">
        <f t="shared" si="36"/>
        <v/>
      </c>
      <c r="M52" t="str">
        <f t="shared" si="37"/>
        <v/>
      </c>
      <c r="N52" s="2" t="str">
        <f t="shared" si="38"/>
        <v/>
      </c>
      <c r="O52" s="172" t="str">
        <f t="shared" si="29"/>
        <v/>
      </c>
      <c r="P52" s="177" t="str">
        <f t="shared" si="40"/>
        <v/>
      </c>
      <c r="Q52" s="172" t="str">
        <f t="shared" si="30"/>
        <v/>
      </c>
      <c r="R52" s="553" t="str">
        <f t="shared" si="39"/>
        <v/>
      </c>
      <c r="S52" s="578"/>
      <c r="U52" s="170">
        <f>1</f>
        <v>1</v>
      </c>
      <c r="V52" s="164" t="str" cm="1">
        <f t="array" ref="V52">INDEX(V53:V57,U52)</f>
        <v>None</v>
      </c>
      <c r="W52" s="7"/>
      <c r="X52" s="7"/>
      <c r="Y52" s="7">
        <v>16</v>
      </c>
      <c r="Z52" s="7" t="s">
        <v>841</v>
      </c>
      <c r="AA52" s="7"/>
      <c r="AB52" s="7"/>
      <c r="AC52" s="7"/>
      <c r="AD52" s="12"/>
      <c r="AE52" s="7"/>
      <c r="AF52" s="7"/>
      <c r="AG52" s="7"/>
      <c r="AH52" s="7"/>
      <c r="AI52" s="7">
        <v>19</v>
      </c>
      <c r="AJ52" s="7" t="s">
        <v>842</v>
      </c>
      <c r="AK52" s="7"/>
      <c r="AL52" s="7"/>
      <c r="AM52" s="7"/>
      <c r="AN52" s="7"/>
      <c r="AO52" s="7"/>
      <c r="AP52" s="7"/>
      <c r="AQ52" s="7"/>
      <c r="AR52" s="7"/>
      <c r="AS52" s="7"/>
      <c r="AT52" s="7"/>
      <c r="AU52" s="7"/>
      <c r="AV52" s="7"/>
      <c r="AW52" s="7"/>
      <c r="AX52" s="7"/>
      <c r="AY52" s="7"/>
      <c r="AZ52" s="7"/>
      <c r="BA52" s="7"/>
      <c r="BB52" s="7"/>
      <c r="BC52" s="7"/>
      <c r="BD52" s="7"/>
      <c r="BE52" s="7"/>
      <c r="BF52" s="7"/>
      <c r="BG52" s="7"/>
      <c r="BH52" s="7"/>
      <c r="BI52" s="7"/>
      <c r="BJ52" s="7"/>
      <c r="BK52" s="7"/>
      <c r="BL52" s="7"/>
      <c r="BM52" s="7"/>
      <c r="BN52" s="7"/>
      <c r="BO52" s="7"/>
      <c r="BP52" s="7"/>
      <c r="BQ52" s="7"/>
      <c r="BR52" s="7"/>
      <c r="BS52" s="7"/>
      <c r="BT52" s="7"/>
      <c r="BU52" s="7"/>
      <c r="BV52" s="7"/>
      <c r="BW52" s="69"/>
      <c r="BX52" s="12"/>
      <c r="BY52" s="7"/>
      <c r="BZ52" s="7"/>
      <c r="CE52" s="7"/>
      <c r="CF52" s="7"/>
      <c r="CG52" s="7"/>
      <c r="CH52" s="7"/>
      <c r="CI52" s="7"/>
      <c r="CJ52" s="7"/>
      <c r="CK52" s="59"/>
      <c r="CL52" s="59"/>
      <c r="CM52" s="59"/>
      <c r="CN52" s="7"/>
      <c r="CO52" s="12" t="s">
        <v>209</v>
      </c>
      <c r="CP52" s="73">
        <f t="shared" si="18"/>
        <v>18</v>
      </c>
      <c r="CQ52" s="7">
        <v>68</v>
      </c>
      <c r="CR52" s="59">
        <v>29</v>
      </c>
      <c r="CS52" s="292" t="str">
        <f t="shared" si="19"/>
        <v>---------</v>
      </c>
      <c r="CT52" s="106">
        <v>22.3</v>
      </c>
      <c r="CU52" s="12" t="s">
        <v>209</v>
      </c>
      <c r="CV52" s="276" t="str">
        <f t="shared" si="20"/>
        <v>---------</v>
      </c>
      <c r="CW52" s="290">
        <v>2.7300000000000102</v>
      </c>
      <c r="CX52" s="59">
        <v>29</v>
      </c>
      <c r="CY52" s="292" t="str">
        <f t="shared" si="21"/>
        <v>---------</v>
      </c>
      <c r="CZ52" s="7">
        <v>68</v>
      </c>
      <c r="DA52" s="59">
        <v>29</v>
      </c>
      <c r="DB52" s="292" t="str">
        <f t="shared" si="22"/>
        <v>---------</v>
      </c>
      <c r="DC52" s="106">
        <v>22.3</v>
      </c>
      <c r="DD52" s="12" t="s">
        <v>209</v>
      </c>
      <c r="DE52" s="276" t="str">
        <f t="shared" si="23"/>
        <v>---------</v>
      </c>
      <c r="DF52" s="290">
        <v>2.7300000000000102</v>
      </c>
      <c r="DG52" s="59">
        <v>29</v>
      </c>
      <c r="DH52" s="292" t="str">
        <f t="shared" si="24"/>
        <v>---------</v>
      </c>
      <c r="DI52" s="106">
        <v>3.2</v>
      </c>
      <c r="DJ52" s="59">
        <v>29</v>
      </c>
      <c r="DK52" s="74" t="str">
        <f t="shared" si="25"/>
        <v>3.2</v>
      </c>
      <c r="DL52" s="59"/>
      <c r="DM52" s="356"/>
      <c r="DN52" s="356"/>
      <c r="DO52" s="356"/>
      <c r="DP52" s="356"/>
      <c r="DQ52" s="356"/>
      <c r="DR52" s="356"/>
      <c r="DS52" s="356"/>
      <c r="DT52" s="356"/>
      <c r="DU52" s="356"/>
      <c r="DV52" s="356"/>
      <c r="DW52" s="356"/>
      <c r="DX52" s="356"/>
      <c r="DY52" s="356"/>
      <c r="DZ52" s="356"/>
      <c r="EA52" s="356"/>
      <c r="EB52" s="356"/>
      <c r="EC52" s="418"/>
      <c r="ED52" s="418"/>
      <c r="EE52" s="356"/>
      <c r="EF52" s="356"/>
      <c r="EG52" s="356"/>
      <c r="EH52" s="356"/>
      <c r="EI52" s="356"/>
      <c r="EJ52" s="356"/>
      <c r="EK52" s="356"/>
      <c r="EL52" s="356"/>
      <c r="EM52" s="356"/>
      <c r="EN52" s="356"/>
      <c r="EO52" s="356"/>
      <c r="EP52" s="356"/>
      <c r="EQ52" s="419"/>
      <c r="FG52" s="7">
        <v>29</v>
      </c>
      <c r="FH52" s="12">
        <v>17.3</v>
      </c>
      <c r="FJ52" s="7">
        <v>29</v>
      </c>
      <c r="FK52" s="9">
        <v>930</v>
      </c>
      <c r="FR52" s="12"/>
      <c r="FS52" s="7">
        <v>29</v>
      </c>
      <c r="FT52" s="12">
        <v>47.3</v>
      </c>
      <c r="FV52" s="7">
        <v>29</v>
      </c>
      <c r="FW52" s="12">
        <v>2.2999999999999998</v>
      </c>
    </row>
    <row r="53" spans="1:192" ht="15.75" customHeight="1">
      <c r="A53">
        <v>3.8</v>
      </c>
      <c r="B53" t="s">
        <v>286</v>
      </c>
      <c r="C53" s="578"/>
      <c r="D53" s="554"/>
      <c r="E53" s="172" t="str">
        <f t="shared" si="31"/>
        <v/>
      </c>
      <c r="F53" s="555" t="str">
        <f t="shared" si="43"/>
        <v/>
      </c>
      <c r="G53" s="172" t="str">
        <f t="shared" si="33"/>
        <v/>
      </c>
      <c r="H53" t="str">
        <f t="shared" si="34"/>
        <v/>
      </c>
      <c r="I53" s="552" t="str" cm="1">
        <f t="array" ref="I53">IF(H53&lt;&gt;"",INDEX($B$2:$B$66,H53+1),"")</f>
        <v/>
      </c>
      <c r="J53" s="554" t="str">
        <f t="shared" si="28"/>
        <v/>
      </c>
      <c r="K53" t="str">
        <f t="shared" si="42"/>
        <v/>
      </c>
      <c r="L53" s="2" t="str">
        <f t="shared" si="36"/>
        <v/>
      </c>
      <c r="M53" t="str">
        <f t="shared" si="37"/>
        <v/>
      </c>
      <c r="N53" s="2" t="str">
        <f t="shared" si="38"/>
        <v/>
      </c>
      <c r="O53" s="172" t="str">
        <f t="shared" si="29"/>
        <v/>
      </c>
      <c r="P53" s="177" t="str">
        <f t="shared" si="40"/>
        <v/>
      </c>
      <c r="Q53" s="172" t="str">
        <f t="shared" si="30"/>
        <v/>
      </c>
      <c r="R53" s="553" t="str">
        <f t="shared" si="39"/>
        <v/>
      </c>
      <c r="S53" s="578"/>
      <c r="U53" s="12">
        <v>1</v>
      </c>
      <c r="V53" s="43" t="s">
        <v>59</v>
      </c>
      <c r="W53" s="12">
        <v>1E-3</v>
      </c>
      <c r="X53" s="7"/>
      <c r="Y53" s="7">
        <v>17</v>
      </c>
      <c r="Z53" s="7" t="s">
        <v>843</v>
      </c>
      <c r="AA53" s="7"/>
      <c r="AB53" s="7"/>
      <c r="AC53" s="7"/>
      <c r="AD53" s="12"/>
      <c r="AE53" s="7"/>
      <c r="AF53" s="7"/>
      <c r="AG53" s="7"/>
      <c r="AH53" s="7"/>
      <c r="AI53" s="7">
        <v>20</v>
      </c>
      <c r="AJ53" s="7" t="s">
        <v>844</v>
      </c>
      <c r="AK53" s="7"/>
      <c r="AL53" s="7"/>
      <c r="AM53" s="7"/>
      <c r="AN53" s="7"/>
      <c r="AO53" s="7"/>
      <c r="AP53" s="7"/>
      <c r="AQ53" s="7"/>
      <c r="AR53" s="7"/>
      <c r="AS53" s="7"/>
      <c r="AT53" s="7"/>
      <c r="AU53" s="7"/>
      <c r="AV53" s="7"/>
      <c r="AW53" s="7"/>
      <c r="AX53" s="7"/>
      <c r="AY53" s="7"/>
      <c r="AZ53" s="7"/>
      <c r="BA53" s="7"/>
      <c r="BB53" s="7"/>
      <c r="BC53" s="7"/>
      <c r="BD53" s="7"/>
      <c r="BE53" s="7"/>
      <c r="BF53" s="7"/>
      <c r="BG53" s="7"/>
      <c r="BH53" s="7"/>
      <c r="BI53" s="7"/>
      <c r="BJ53" s="7"/>
      <c r="BK53" s="7"/>
      <c r="BL53" s="7"/>
      <c r="BO53" s="7"/>
      <c r="BP53" s="7"/>
      <c r="BQ53" s="7"/>
      <c r="BR53" s="7"/>
      <c r="BS53" s="7"/>
      <c r="BT53" s="7"/>
      <c r="BU53" s="7"/>
      <c r="BV53" s="7"/>
      <c r="BW53" s="69"/>
      <c r="BX53" s="12"/>
      <c r="BY53" s="7"/>
      <c r="BZ53" s="7"/>
      <c r="CE53" s="7"/>
      <c r="CF53" s="7"/>
      <c r="CG53" s="7"/>
      <c r="CH53" s="7"/>
      <c r="CI53" s="7"/>
      <c r="CJ53" s="7"/>
      <c r="CK53" s="59"/>
      <c r="CL53" s="59"/>
      <c r="CM53" s="59"/>
      <c r="CN53" s="7"/>
      <c r="CO53" s="12" t="s">
        <v>216</v>
      </c>
      <c r="CP53" s="73">
        <f t="shared" si="18"/>
        <v>17</v>
      </c>
      <c r="CQ53" s="7">
        <v>67</v>
      </c>
      <c r="CR53" s="59">
        <v>30</v>
      </c>
      <c r="CS53" s="292" t="str">
        <f t="shared" si="19"/>
        <v>---------</v>
      </c>
      <c r="CT53" s="106">
        <v>22.2</v>
      </c>
      <c r="CU53" s="12" t="s">
        <v>216</v>
      </c>
      <c r="CV53" s="276" t="str">
        <f t="shared" si="20"/>
        <v>---------</v>
      </c>
      <c r="CW53" s="290">
        <v>2.72000000000001</v>
      </c>
      <c r="CX53" s="59">
        <v>30</v>
      </c>
      <c r="CY53" s="292" t="str">
        <f t="shared" si="21"/>
        <v>---------</v>
      </c>
      <c r="CZ53" s="7">
        <v>67</v>
      </c>
      <c r="DA53" s="59">
        <v>30</v>
      </c>
      <c r="DB53" s="292" t="str">
        <f t="shared" si="22"/>
        <v>---------</v>
      </c>
      <c r="DC53" s="106">
        <v>22.2</v>
      </c>
      <c r="DD53" s="12" t="s">
        <v>216</v>
      </c>
      <c r="DE53" s="276" t="str">
        <f t="shared" si="23"/>
        <v>---------</v>
      </c>
      <c r="DF53" s="290">
        <v>2.72000000000001</v>
      </c>
      <c r="DG53" s="59">
        <v>30</v>
      </c>
      <c r="DH53" s="292" t="str">
        <f t="shared" si="24"/>
        <v>---------</v>
      </c>
      <c r="DI53" s="106">
        <v>3.1</v>
      </c>
      <c r="DJ53" s="59">
        <v>30</v>
      </c>
      <c r="DK53" s="74" t="str">
        <f t="shared" si="25"/>
        <v>3.1</v>
      </c>
      <c r="DL53" s="59"/>
      <c r="DM53" s="356"/>
      <c r="DN53" s="356"/>
      <c r="DO53" s="356"/>
      <c r="DP53" s="356"/>
      <c r="DQ53" s="356"/>
      <c r="DR53" s="356"/>
      <c r="DS53" s="356"/>
      <c r="DT53" s="356"/>
      <c r="DU53" s="356"/>
      <c r="DV53" s="356"/>
      <c r="DW53" s="356"/>
      <c r="DX53" s="356"/>
      <c r="DY53" s="356"/>
      <c r="DZ53" s="356"/>
      <c r="EA53" s="356"/>
      <c r="EB53" s="356"/>
      <c r="EC53" s="356"/>
      <c r="ED53" s="356"/>
      <c r="EE53" s="356"/>
      <c r="EF53" s="356"/>
      <c r="EG53" s="356"/>
      <c r="EH53" s="356"/>
      <c r="EI53" s="356"/>
      <c r="EJ53" s="356"/>
      <c r="EK53" s="356"/>
      <c r="EL53" s="356"/>
      <c r="EM53" s="356"/>
      <c r="EN53" s="356"/>
      <c r="EO53" s="356"/>
      <c r="EP53" s="356"/>
      <c r="EQ53" s="356"/>
      <c r="FG53" s="7">
        <v>30</v>
      </c>
      <c r="FH53" s="12">
        <v>17.2</v>
      </c>
      <c r="FJ53" s="7">
        <v>30</v>
      </c>
      <c r="FK53" s="9">
        <v>920</v>
      </c>
      <c r="FR53" s="12"/>
      <c r="FS53" s="7">
        <v>30</v>
      </c>
      <c r="FT53" s="12">
        <v>47.2</v>
      </c>
      <c r="FV53" s="7">
        <v>30</v>
      </c>
      <c r="FW53" s="12">
        <v>2.2000000000000002</v>
      </c>
    </row>
    <row r="54" spans="1:192" ht="15.75" customHeight="1">
      <c r="A54">
        <v>3.7</v>
      </c>
      <c r="B54" s="558" t="s">
        <v>291</v>
      </c>
      <c r="C54" s="578"/>
      <c r="D54" s="554"/>
      <c r="E54" s="172" t="str">
        <f t="shared" si="31"/>
        <v/>
      </c>
      <c r="F54" s="555" t="str">
        <f t="shared" si="43"/>
        <v/>
      </c>
      <c r="G54" s="172" t="str">
        <f t="shared" si="33"/>
        <v/>
      </c>
      <c r="H54" t="str">
        <f t="shared" si="34"/>
        <v/>
      </c>
      <c r="I54" s="552" t="str" cm="1">
        <f t="array" ref="I54">IF(H54&lt;&gt;"",INDEX($B$2:$B$66,H54+1),"")</f>
        <v/>
      </c>
      <c r="J54" s="554" t="str">
        <f t="shared" si="28"/>
        <v/>
      </c>
      <c r="K54" t="str">
        <f t="shared" si="42"/>
        <v/>
      </c>
      <c r="L54" s="2" t="str">
        <f t="shared" si="36"/>
        <v/>
      </c>
      <c r="M54" t="str">
        <f t="shared" si="37"/>
        <v/>
      </c>
      <c r="N54" s="2" t="str">
        <f t="shared" si="38"/>
        <v/>
      </c>
      <c r="O54" s="172" t="str">
        <f t="shared" si="29"/>
        <v/>
      </c>
      <c r="P54" s="177" t="str">
        <f t="shared" si="40"/>
        <v/>
      </c>
      <c r="Q54" s="172" t="str">
        <f t="shared" si="30"/>
        <v/>
      </c>
      <c r="R54" s="553" t="str">
        <f t="shared" si="39"/>
        <v/>
      </c>
      <c r="S54" s="578"/>
      <c r="U54" s="12">
        <v>2</v>
      </c>
      <c r="V54" s="43" t="s">
        <v>845</v>
      </c>
      <c r="W54" s="12">
        <v>1.95</v>
      </c>
      <c r="X54" s="7"/>
      <c r="Y54" s="7">
        <v>18</v>
      </c>
      <c r="Z54" s="7" t="s">
        <v>846</v>
      </c>
      <c r="AA54" s="7"/>
      <c r="AB54" s="7"/>
      <c r="AC54" s="7"/>
      <c r="AD54" s="12"/>
      <c r="AE54" s="7"/>
      <c r="AF54" s="7"/>
      <c r="AG54" s="7"/>
      <c r="AH54" s="7"/>
      <c r="AI54" s="7">
        <v>21</v>
      </c>
      <c r="AJ54" s="7" t="s">
        <v>847</v>
      </c>
      <c r="AK54" s="7"/>
      <c r="AL54" s="7"/>
      <c r="AM54" s="7"/>
      <c r="AN54" s="7"/>
      <c r="AO54" s="7"/>
      <c r="AP54" s="7"/>
      <c r="AQ54" s="7"/>
      <c r="AR54" s="7"/>
      <c r="AS54" s="7"/>
      <c r="AT54" s="7"/>
      <c r="AU54" s="7"/>
      <c r="AV54" s="7"/>
      <c r="AW54" s="7"/>
      <c r="AX54" s="7"/>
      <c r="AY54" s="7"/>
      <c r="AZ54" s="7"/>
      <c r="BA54" s="7"/>
      <c r="BB54" s="7"/>
      <c r="BC54" s="7"/>
      <c r="BD54" s="7"/>
      <c r="BE54" s="7"/>
      <c r="BF54" s="7"/>
      <c r="BG54" s="7"/>
      <c r="BH54" s="7"/>
      <c r="BI54" s="7"/>
      <c r="BJ54" s="7"/>
      <c r="BK54" s="7"/>
      <c r="BL54" s="7"/>
      <c r="BO54" s="7"/>
      <c r="BP54" s="7"/>
      <c r="BQ54" s="7"/>
      <c r="BR54" s="7"/>
      <c r="BS54" s="7"/>
      <c r="BT54" s="7"/>
      <c r="BU54" s="7"/>
      <c r="BV54" s="7"/>
      <c r="BW54" s="69"/>
      <c r="BX54" s="7"/>
      <c r="BY54" s="7"/>
      <c r="BZ54" s="7"/>
      <c r="CE54" s="7"/>
      <c r="CF54" s="7"/>
      <c r="CG54" s="7"/>
      <c r="CH54" s="7"/>
      <c r="CI54" s="7"/>
      <c r="CJ54" s="7"/>
      <c r="CK54" s="59"/>
      <c r="CL54" s="59"/>
      <c r="CM54" s="59"/>
      <c r="CN54" s="7"/>
      <c r="CO54" s="12" t="s">
        <v>223</v>
      </c>
      <c r="CP54" s="73">
        <f t="shared" si="18"/>
        <v>16</v>
      </c>
      <c r="CQ54" s="7">
        <v>66</v>
      </c>
      <c r="CR54" s="59">
        <v>31</v>
      </c>
      <c r="CS54" s="292" t="str">
        <f t="shared" si="19"/>
        <v>---------</v>
      </c>
      <c r="CT54" s="106">
        <v>22.1</v>
      </c>
      <c r="CU54" s="12" t="s">
        <v>223</v>
      </c>
      <c r="CV54" s="276" t="str">
        <f t="shared" si="20"/>
        <v>---------</v>
      </c>
      <c r="CW54" s="290">
        <v>2.7100000000000102</v>
      </c>
      <c r="CX54" s="59">
        <v>31</v>
      </c>
      <c r="CY54" s="292" t="str">
        <f t="shared" si="21"/>
        <v>---------</v>
      </c>
      <c r="CZ54" s="7">
        <v>66</v>
      </c>
      <c r="DA54" s="59">
        <v>31</v>
      </c>
      <c r="DB54" s="292" t="str">
        <f t="shared" si="22"/>
        <v>---------</v>
      </c>
      <c r="DC54" s="106">
        <v>22.1</v>
      </c>
      <c r="DD54" s="12" t="s">
        <v>223</v>
      </c>
      <c r="DE54" s="276" t="str">
        <f t="shared" si="23"/>
        <v>---------</v>
      </c>
      <c r="DF54" s="290">
        <v>2.7100000000000102</v>
      </c>
      <c r="DG54" s="59">
        <v>31</v>
      </c>
      <c r="DH54" s="292" t="str">
        <f t="shared" si="24"/>
        <v>---------</v>
      </c>
      <c r="DI54" s="106">
        <v>3</v>
      </c>
      <c r="DJ54" s="59">
        <v>31</v>
      </c>
      <c r="DK54" s="74" t="str">
        <f t="shared" si="25"/>
        <v>3.0</v>
      </c>
      <c r="DL54" s="59"/>
      <c r="DM54" s="356"/>
      <c r="DN54" s="356"/>
      <c r="DO54" s="356"/>
      <c r="DP54" s="356"/>
      <c r="DQ54" s="356"/>
      <c r="DR54" s="356"/>
      <c r="DS54" s="356"/>
      <c r="DT54" s="356"/>
      <c r="DU54" s="356"/>
      <c r="DV54" s="356"/>
      <c r="DW54" s="356"/>
      <c r="DX54" s="356"/>
      <c r="DY54" s="356"/>
      <c r="DZ54" s="356"/>
      <c r="EA54" s="356"/>
      <c r="EB54" s="356"/>
      <c r="EC54" s="356"/>
      <c r="ED54" s="356"/>
      <c r="EE54" s="356"/>
      <c r="EF54" s="356"/>
      <c r="EG54" s="356"/>
      <c r="EH54" s="420"/>
      <c r="EI54" s="356"/>
      <c r="EJ54" s="356"/>
      <c r="EK54" s="356"/>
      <c r="EL54" s="356"/>
      <c r="EM54" s="356"/>
      <c r="EN54" s="356"/>
      <c r="EO54" s="356"/>
      <c r="EP54" s="356"/>
      <c r="EQ54" s="356"/>
      <c r="FG54" s="7">
        <v>31</v>
      </c>
      <c r="FH54" s="12">
        <v>17.100000000000001</v>
      </c>
      <c r="FJ54" s="7">
        <v>31</v>
      </c>
      <c r="FK54" s="9">
        <v>910</v>
      </c>
      <c r="FR54" s="12"/>
      <c r="FS54" s="7">
        <v>31</v>
      </c>
      <c r="FT54" s="12">
        <v>47.1</v>
      </c>
      <c r="FV54" s="7">
        <v>31</v>
      </c>
      <c r="FW54" s="12">
        <v>2.1</v>
      </c>
    </row>
    <row r="55" spans="1:192" ht="15.75" customHeight="1">
      <c r="A55">
        <v>3.6</v>
      </c>
      <c r="B55" s="558" t="s">
        <v>49</v>
      </c>
      <c r="C55" s="553"/>
      <c r="D55" s="554"/>
      <c r="E55" s="172" t="str">
        <f t="shared" si="31"/>
        <v/>
      </c>
      <c r="F55" s="555" t="str">
        <f t="shared" si="43"/>
        <v/>
      </c>
      <c r="G55" s="172" t="str">
        <f t="shared" si="33"/>
        <v/>
      </c>
      <c r="H55" t="str">
        <f t="shared" si="34"/>
        <v/>
      </c>
      <c r="I55" s="552" t="str" cm="1">
        <f t="array" ref="I55">IF(H55&lt;&gt;"",INDEX($B$2:$B$66,H55+1),"")</f>
        <v/>
      </c>
      <c r="J55" s="554" t="str">
        <f t="shared" si="28"/>
        <v/>
      </c>
      <c r="K55" t="str">
        <f t="shared" si="42"/>
        <v/>
      </c>
      <c r="L55" s="2" t="str">
        <f t="shared" si="36"/>
        <v/>
      </c>
      <c r="M55" t="str">
        <f t="shared" si="37"/>
        <v/>
      </c>
      <c r="N55" s="2" t="str">
        <f t="shared" si="38"/>
        <v/>
      </c>
      <c r="O55" s="172" t="str">
        <f t="shared" si="29"/>
        <v/>
      </c>
      <c r="P55" s="177" t="str">
        <f t="shared" si="40"/>
        <v/>
      </c>
      <c r="Q55" s="172" t="str">
        <f t="shared" si="30"/>
        <v/>
      </c>
      <c r="R55" s="553" t="str">
        <f t="shared" si="39"/>
        <v/>
      </c>
      <c r="S55" s="553"/>
      <c r="U55" s="12">
        <v>3</v>
      </c>
      <c r="V55" s="43" t="s">
        <v>848</v>
      </c>
      <c r="W55" s="12">
        <v>0.97499999999999998</v>
      </c>
      <c r="X55" s="7"/>
      <c r="Y55" s="7"/>
      <c r="Z55" s="7"/>
      <c r="AA55" s="7"/>
      <c r="AB55" s="7"/>
      <c r="AC55" s="7"/>
      <c r="AD55" s="12"/>
      <c r="AE55" s="7"/>
      <c r="AF55" s="7"/>
      <c r="AG55" s="7"/>
      <c r="AH55" s="7"/>
      <c r="AI55" s="7">
        <v>22</v>
      </c>
      <c r="AJ55" s="7" t="s">
        <v>849</v>
      </c>
      <c r="AK55" s="7"/>
      <c r="AL55" s="7"/>
      <c r="AM55" s="7"/>
      <c r="AN55" s="7"/>
      <c r="AO55" s="7"/>
      <c r="AP55" s="7"/>
      <c r="AQ55" s="7"/>
      <c r="AR55" s="7"/>
      <c r="AS55" s="7"/>
      <c r="AT55" s="7"/>
      <c r="AU55" s="7"/>
      <c r="AV55" s="7"/>
      <c r="AW55" s="7"/>
      <c r="AX55" s="7"/>
      <c r="AY55" s="7"/>
      <c r="AZ55" s="7"/>
      <c r="BA55" s="7"/>
      <c r="BB55" s="7"/>
      <c r="BC55" s="7"/>
      <c r="BD55" s="7"/>
      <c r="BE55" s="7"/>
      <c r="BF55" s="7"/>
      <c r="BG55" s="7"/>
      <c r="BH55" s="7"/>
      <c r="BI55" s="7"/>
      <c r="BJ55" s="7"/>
      <c r="BK55" s="7"/>
      <c r="BL55" s="7"/>
      <c r="BM55" s="7"/>
      <c r="BN55" s="7"/>
      <c r="BO55" s="7"/>
      <c r="BP55" s="7"/>
      <c r="BQ55" s="7"/>
      <c r="BR55" s="7"/>
      <c r="BS55" s="7"/>
      <c r="BT55" s="7"/>
      <c r="BU55" s="7"/>
      <c r="BV55" s="7"/>
      <c r="BW55" s="77"/>
      <c r="BX55" s="77"/>
      <c r="BY55" s="77"/>
      <c r="BZ55" s="12">
        <v>0</v>
      </c>
      <c r="CA55" s="18"/>
      <c r="CB55" s="12">
        <v>0</v>
      </c>
      <c r="CC55" s="18"/>
      <c r="CD55" s="7"/>
      <c r="CE55" s="7"/>
      <c r="CF55" s="7"/>
      <c r="CG55" s="7"/>
      <c r="CH55" s="7"/>
      <c r="CI55" s="7"/>
      <c r="CJ55" s="7"/>
      <c r="CK55" s="59"/>
      <c r="CL55" s="59"/>
      <c r="CM55" s="59"/>
      <c r="CN55" s="7"/>
      <c r="CO55" s="12" t="s">
        <v>229</v>
      </c>
      <c r="CP55" s="73">
        <f t="shared" si="18"/>
        <v>15</v>
      </c>
      <c r="CQ55" s="7">
        <v>65</v>
      </c>
      <c r="CR55" s="59">
        <v>32</v>
      </c>
      <c r="CS55" s="292" t="str">
        <f t="shared" si="19"/>
        <v>---------</v>
      </c>
      <c r="CT55" s="106">
        <v>22</v>
      </c>
      <c r="CU55" s="12" t="s">
        <v>229</v>
      </c>
      <c r="CV55" s="276" t="str">
        <f t="shared" si="20"/>
        <v>---------</v>
      </c>
      <c r="CW55" s="290">
        <v>2.7000000000000099</v>
      </c>
      <c r="CX55" s="59">
        <v>32</v>
      </c>
      <c r="CY55" s="292" t="str">
        <f t="shared" si="21"/>
        <v>---------</v>
      </c>
      <c r="CZ55" s="7">
        <v>65</v>
      </c>
      <c r="DA55" s="59">
        <v>32</v>
      </c>
      <c r="DB55" s="292" t="str">
        <f t="shared" si="22"/>
        <v>---------</v>
      </c>
      <c r="DC55" s="106">
        <v>22</v>
      </c>
      <c r="DD55" s="12" t="s">
        <v>229</v>
      </c>
      <c r="DE55" s="276" t="str">
        <f t="shared" si="23"/>
        <v>---------</v>
      </c>
      <c r="DF55" s="290">
        <v>2.7000000000000099</v>
      </c>
      <c r="DG55" s="59">
        <v>32</v>
      </c>
      <c r="DH55" s="292" t="str">
        <f t="shared" si="24"/>
        <v>---------</v>
      </c>
      <c r="DI55" s="106">
        <v>2.9</v>
      </c>
      <c r="DJ55" s="59">
        <v>32</v>
      </c>
      <c r="DK55" s="74" t="str">
        <f t="shared" si="25"/>
        <v>2.9</v>
      </c>
      <c r="DL55" s="59"/>
      <c r="DM55" s="356"/>
      <c r="DN55" s="358" t="s">
        <v>850</v>
      </c>
      <c r="DO55" s="358"/>
      <c r="DP55" s="358"/>
      <c r="DQ55" s="358"/>
      <c r="DR55" s="358" t="s">
        <v>851</v>
      </c>
      <c r="DS55" s="358"/>
      <c r="DT55" s="358"/>
      <c r="DU55" s="358"/>
      <c r="DV55" s="421"/>
      <c r="DW55" s="421"/>
      <c r="DX55" s="421"/>
      <c r="DY55" s="421"/>
      <c r="DZ55" s="421"/>
      <c r="EA55" s="421"/>
      <c r="EB55" s="421"/>
      <c r="EC55" s="421"/>
      <c r="ED55" s="421"/>
      <c r="EE55" s="356"/>
      <c r="EF55" s="356"/>
      <c r="EG55" s="356"/>
      <c r="EH55" s="356"/>
      <c r="EI55" s="356"/>
      <c r="EJ55" s="356"/>
      <c r="EK55" s="356"/>
      <c r="EL55" s="356"/>
      <c r="EM55" s="356"/>
      <c r="EN55" s="356"/>
      <c r="EO55" s="356"/>
      <c r="EP55" s="356"/>
      <c r="EQ55" s="356"/>
      <c r="FG55" s="7">
        <v>32</v>
      </c>
      <c r="FH55" s="12">
        <v>17</v>
      </c>
      <c r="FI55" s="504"/>
      <c r="FJ55" s="7">
        <v>32</v>
      </c>
      <c r="FK55" s="9">
        <v>900</v>
      </c>
      <c r="FR55" s="12"/>
      <c r="FS55" s="7">
        <v>32</v>
      </c>
      <c r="FT55" s="12">
        <v>47</v>
      </c>
      <c r="FV55" s="7">
        <v>32</v>
      </c>
      <c r="FW55" s="12">
        <v>2</v>
      </c>
    </row>
    <row r="56" spans="1:192" ht="15.75" customHeight="1">
      <c r="A56">
        <v>3.5</v>
      </c>
      <c r="B56" s="558" t="s">
        <v>63</v>
      </c>
      <c r="C56" s="553"/>
      <c r="D56" s="554"/>
      <c r="E56" s="172" t="str">
        <f t="shared" si="31"/>
        <v/>
      </c>
      <c r="F56" s="555" t="str">
        <f t="shared" si="43"/>
        <v/>
      </c>
      <c r="G56" s="172" t="str">
        <f t="shared" si="33"/>
        <v/>
      </c>
      <c r="H56" t="str">
        <f t="shared" si="34"/>
        <v/>
      </c>
      <c r="I56" s="552" t="str" cm="1">
        <f t="array" ref="I56">IF(H56&lt;&gt;"",INDEX($B$2:$B$66,H56+1),"")</f>
        <v/>
      </c>
      <c r="J56" s="554" t="str">
        <f t="shared" si="28"/>
        <v/>
      </c>
      <c r="K56" t="str">
        <f t="shared" si="42"/>
        <v/>
      </c>
      <c r="L56" s="2" t="str">
        <f t="shared" si="36"/>
        <v/>
      </c>
      <c r="M56" t="str">
        <f t="shared" si="37"/>
        <v/>
      </c>
      <c r="N56" s="2" t="str">
        <f t="shared" si="38"/>
        <v/>
      </c>
      <c r="O56" s="172" t="str">
        <f t="shared" si="29"/>
        <v/>
      </c>
      <c r="P56" s="177" t="str">
        <f t="shared" si="40"/>
        <v/>
      </c>
      <c r="Q56" s="172" t="str">
        <f t="shared" si="30"/>
        <v/>
      </c>
      <c r="R56" s="553" t="str">
        <f t="shared" si="39"/>
        <v/>
      </c>
      <c r="S56" s="553"/>
      <c r="U56" s="12">
        <v>4</v>
      </c>
      <c r="V56" s="43" t="s">
        <v>852</v>
      </c>
      <c r="W56" s="12">
        <v>2.44</v>
      </c>
      <c r="X56" s="7"/>
      <c r="Y56" s="7">
        <v>1</v>
      </c>
      <c r="Z56" s="7" t="s">
        <v>853</v>
      </c>
      <c r="AA56" s="7"/>
      <c r="AB56" s="7"/>
      <c r="AC56" s="7"/>
      <c r="AD56" s="12"/>
      <c r="AE56" s="7"/>
      <c r="AF56" s="7"/>
      <c r="AG56" s="7"/>
      <c r="AH56" s="7"/>
      <c r="AI56" s="7">
        <v>23</v>
      </c>
      <c r="AJ56" s="7" t="s">
        <v>854</v>
      </c>
      <c r="AK56" s="7"/>
      <c r="AL56" s="7"/>
      <c r="AM56" s="7"/>
      <c r="AN56" s="7"/>
      <c r="AO56" s="7"/>
      <c r="AP56" s="7"/>
      <c r="AQ56" s="7"/>
      <c r="AR56" s="7"/>
      <c r="AS56" s="7"/>
      <c r="AT56" s="7"/>
      <c r="AU56" s="7"/>
      <c r="AV56" s="7"/>
      <c r="AW56" s="7"/>
      <c r="AX56" s="7"/>
      <c r="AY56" s="7"/>
      <c r="AZ56" s="7"/>
      <c r="BA56" s="7"/>
      <c r="BB56" s="7"/>
      <c r="BC56" s="7"/>
      <c r="BD56" s="7"/>
      <c r="BE56" s="7"/>
      <c r="BF56" s="7"/>
      <c r="BG56" s="7"/>
      <c r="BH56" s="7"/>
      <c r="BI56" s="7"/>
      <c r="BJ56" s="7"/>
      <c r="BK56" s="7"/>
      <c r="BL56" s="7"/>
      <c r="BM56" s="7"/>
      <c r="BN56" s="7"/>
      <c r="BO56" s="7"/>
      <c r="BP56" s="7"/>
      <c r="BQ56" s="7"/>
      <c r="BR56" s="7"/>
      <c r="BS56" s="7"/>
      <c r="BT56" s="7"/>
      <c r="BU56" s="7"/>
      <c r="BV56" s="7"/>
      <c r="BW56" s="7" t="s">
        <v>193</v>
      </c>
      <c r="BX56" s="63">
        <f>VALUE(DB22)/1000/0.13</f>
        <v>0</v>
      </c>
      <c r="BY56" s="13">
        <f>VALUE(DE22)</f>
        <v>0</v>
      </c>
      <c r="BZ56" s="63">
        <f>IF((BX56+BZ55)=0,0,BY56/100/(BX56+BZ55))</f>
        <v>0</v>
      </c>
      <c r="CA56" s="63">
        <f>IF((BZ57+BZ56)=0,0,1/(BZ57+BZ56)-BZ55)</f>
        <v>1E-3</v>
      </c>
      <c r="CB56" s="63">
        <f>IF((BX56+CB55)=0,0,BY56/100/(BX56+CB55))</f>
        <v>0</v>
      </c>
      <c r="CC56" s="63">
        <f>1/(CB57+CB56)-CB55</f>
        <v>1E-3</v>
      </c>
      <c r="CD56" s="290"/>
      <c r="CE56" s="7"/>
      <c r="CF56" s="7"/>
      <c r="CG56" s="7"/>
      <c r="CH56" s="7"/>
      <c r="CI56" s="7"/>
      <c r="CJ56" s="7"/>
      <c r="CK56" s="59"/>
      <c r="CL56" s="59"/>
      <c r="CM56" s="59"/>
      <c r="CN56" s="7"/>
      <c r="CO56" s="12" t="s">
        <v>234</v>
      </c>
      <c r="CP56" s="73">
        <f t="shared" si="18"/>
        <v>14</v>
      </c>
      <c r="CQ56" s="7">
        <v>64</v>
      </c>
      <c r="CR56" s="59">
        <v>33</v>
      </c>
      <c r="CS56" s="292" t="str">
        <f t="shared" si="19"/>
        <v>---------</v>
      </c>
      <c r="CT56" s="106">
        <v>21.9</v>
      </c>
      <c r="CU56" s="12" t="s">
        <v>234</v>
      </c>
      <c r="CV56" s="276" t="str">
        <f t="shared" si="20"/>
        <v>---------</v>
      </c>
      <c r="CW56" s="290">
        <v>2.6900000000000102</v>
      </c>
      <c r="CX56" s="59">
        <v>33</v>
      </c>
      <c r="CY56" s="292" t="str">
        <f t="shared" si="21"/>
        <v>---------</v>
      </c>
      <c r="CZ56" s="7">
        <v>64</v>
      </c>
      <c r="DA56" s="59">
        <v>33</v>
      </c>
      <c r="DB56" s="292" t="str">
        <f t="shared" si="22"/>
        <v>---------</v>
      </c>
      <c r="DC56" s="106">
        <v>21.9</v>
      </c>
      <c r="DD56" s="12" t="s">
        <v>234</v>
      </c>
      <c r="DE56" s="276" t="str">
        <f t="shared" si="23"/>
        <v>---------</v>
      </c>
      <c r="DF56" s="290">
        <v>2.6900000000000102</v>
      </c>
      <c r="DG56" s="59">
        <v>33</v>
      </c>
      <c r="DH56" s="292" t="str">
        <f t="shared" si="24"/>
        <v>---------</v>
      </c>
      <c r="DI56" s="106">
        <v>2.8</v>
      </c>
      <c r="DJ56" s="59">
        <v>33</v>
      </c>
      <c r="DK56" s="74" t="str">
        <f t="shared" si="25"/>
        <v>2.8</v>
      </c>
      <c r="DL56" s="59"/>
      <c r="DM56" s="356"/>
      <c r="DN56" s="358" t="s">
        <v>855</v>
      </c>
      <c r="DO56" s="358"/>
      <c r="DP56" s="358"/>
      <c r="DQ56" s="358"/>
      <c r="DR56" s="358" t="s">
        <v>856</v>
      </c>
      <c r="DS56" s="358"/>
      <c r="DT56" s="358"/>
      <c r="DU56" s="358"/>
      <c r="DV56" s="358"/>
      <c r="DW56" s="358"/>
      <c r="DX56" s="358"/>
      <c r="DY56" s="358"/>
      <c r="DZ56" s="358"/>
      <c r="EA56" s="358"/>
      <c r="EB56" s="358"/>
      <c r="EC56" s="358"/>
      <c r="ED56" s="358"/>
      <c r="EE56" s="356"/>
      <c r="EF56" s="356"/>
      <c r="EG56" s="356"/>
      <c r="EH56" s="356"/>
      <c r="EI56" s="356"/>
      <c r="EJ56" s="356"/>
      <c r="EK56" s="356"/>
      <c r="EL56" s="356"/>
      <c r="EM56" s="356"/>
      <c r="EN56" s="356"/>
      <c r="EO56" s="356"/>
      <c r="EP56" s="356"/>
      <c r="EQ56" s="356"/>
      <c r="FG56" s="7">
        <v>33</v>
      </c>
      <c r="FH56" s="12">
        <v>16.899999999999999</v>
      </c>
      <c r="FI56" s="504"/>
      <c r="FJ56" s="7">
        <v>33</v>
      </c>
      <c r="FK56" s="9">
        <v>890</v>
      </c>
      <c r="FR56" s="12"/>
      <c r="FS56" s="7">
        <v>33</v>
      </c>
      <c r="FT56" s="12">
        <v>46.9</v>
      </c>
      <c r="FV56" s="7">
        <v>33</v>
      </c>
      <c r="FW56" s="12">
        <v>1.9</v>
      </c>
    </row>
    <row r="57" spans="1:192" ht="15" customHeight="1">
      <c r="A57">
        <v>3.4</v>
      </c>
      <c r="B57" s="558" t="s">
        <v>73</v>
      </c>
      <c r="C57" s="553"/>
      <c r="D57" s="554"/>
      <c r="E57" s="172" t="str">
        <f t="shared" si="31"/>
        <v/>
      </c>
      <c r="F57" s="555" t="str">
        <f t="shared" si="43"/>
        <v/>
      </c>
      <c r="G57" s="172" t="str">
        <f t="shared" si="33"/>
        <v/>
      </c>
      <c r="H57" t="str">
        <f t="shared" si="34"/>
        <v/>
      </c>
      <c r="I57" s="552" t="str" cm="1">
        <f t="array" ref="I57">IF(H57&lt;&gt;"",INDEX($B$2:$B$66,H57+1),"")</f>
        <v/>
      </c>
      <c r="J57" s="554" t="str">
        <f t="shared" si="28"/>
        <v/>
      </c>
      <c r="K57" t="str">
        <f t="shared" si="42"/>
        <v/>
      </c>
      <c r="L57" s="2" t="str">
        <f t="shared" si="36"/>
        <v/>
      </c>
      <c r="M57" t="str">
        <f t="shared" si="37"/>
        <v/>
      </c>
      <c r="N57" s="2" t="str">
        <f t="shared" si="38"/>
        <v/>
      </c>
      <c r="O57" s="172" t="str">
        <f t="shared" si="29"/>
        <v/>
      </c>
      <c r="P57" s="177" t="str">
        <f t="shared" si="40"/>
        <v/>
      </c>
      <c r="Q57" s="172" t="str">
        <f t="shared" si="30"/>
        <v/>
      </c>
      <c r="R57" s="553" t="str">
        <f t="shared" si="39"/>
        <v/>
      </c>
      <c r="S57" s="553"/>
      <c r="T57" s="7"/>
      <c r="U57" s="12">
        <v>5</v>
      </c>
      <c r="V57" s="43" t="s">
        <v>857</v>
      </c>
      <c r="W57" s="12">
        <v>1.22</v>
      </c>
      <c r="X57" s="7"/>
      <c r="Y57" s="7">
        <v>2</v>
      </c>
      <c r="Z57" s="7" t="s">
        <v>858</v>
      </c>
      <c r="AA57" s="7"/>
      <c r="AB57" s="7"/>
      <c r="AC57" s="7"/>
      <c r="AD57" s="12"/>
      <c r="AE57" s="7"/>
      <c r="AF57" s="7"/>
      <c r="AG57" s="7"/>
      <c r="AH57" s="7"/>
      <c r="AI57" s="7">
        <v>24</v>
      </c>
      <c r="AJ57" s="7" t="s">
        <v>859</v>
      </c>
      <c r="AK57" s="7"/>
      <c r="AL57" s="7"/>
      <c r="AM57" s="7"/>
      <c r="AN57" s="7"/>
      <c r="AO57" s="7"/>
      <c r="AP57" s="7"/>
      <c r="AQ57" s="7"/>
      <c r="AR57" s="7"/>
      <c r="AS57" s="7"/>
      <c r="AT57" s="7"/>
      <c r="AU57" s="7"/>
      <c r="AV57" s="7"/>
      <c r="AW57" s="7"/>
      <c r="AX57" s="7"/>
      <c r="AY57" s="7"/>
      <c r="AZ57" s="7"/>
      <c r="BA57" s="7"/>
      <c r="BB57" s="7"/>
      <c r="BC57" s="7"/>
      <c r="BD57" s="7"/>
      <c r="BE57" s="7"/>
      <c r="BF57" s="7"/>
      <c r="BG57" s="7"/>
      <c r="BH57" s="7"/>
      <c r="BI57" s="7"/>
      <c r="BJ57" s="7"/>
      <c r="BK57" s="7"/>
      <c r="BL57" s="7"/>
      <c r="BM57" s="7"/>
      <c r="BN57" s="7"/>
      <c r="BO57" s="7"/>
      <c r="BP57" s="7"/>
      <c r="BQ57" s="7"/>
      <c r="BR57" s="7"/>
      <c r="BS57" s="7"/>
      <c r="BT57" s="7"/>
      <c r="BU57" s="7"/>
      <c r="BV57" s="7"/>
      <c r="BW57" s="562" t="s">
        <v>199</v>
      </c>
      <c r="BX57" s="563">
        <f>VALUE(DH22)</f>
        <v>1E-3</v>
      </c>
      <c r="BY57" s="13">
        <f>100-BY56</f>
        <v>100</v>
      </c>
      <c r="BZ57" s="63">
        <f>IF((BX57+BZ55)=0,0,BY57/100/(BX57+BZ55))</f>
        <v>1000</v>
      </c>
      <c r="CA57" s="18"/>
      <c r="CB57" s="63">
        <f>IF((BX57+CB55)=0,0,BY57/100/(BX57+CB55))</f>
        <v>1000</v>
      </c>
      <c r="CC57" s="18"/>
      <c r="CD57" s="7"/>
      <c r="CE57" s="7"/>
      <c r="CF57" s="7"/>
      <c r="CG57" s="7"/>
      <c r="CH57" s="7"/>
      <c r="CI57" s="7"/>
      <c r="CJ57" s="7"/>
      <c r="CK57" s="59"/>
      <c r="CL57" s="59"/>
      <c r="CM57" s="59"/>
      <c r="CN57" s="7"/>
      <c r="CO57" s="12" t="s">
        <v>238</v>
      </c>
      <c r="CP57" s="73">
        <f t="shared" si="18"/>
        <v>0</v>
      </c>
      <c r="CQ57" s="7">
        <v>63</v>
      </c>
      <c r="CR57" s="59">
        <v>34</v>
      </c>
      <c r="CS57" s="292" t="str">
        <f t="shared" ref="CS57:CS88" si="45">IF(Cntrl6&lt;4,"---------",CQ57)</f>
        <v>---------</v>
      </c>
      <c r="CT57" s="106">
        <v>21.8</v>
      </c>
      <c r="CU57" s="12" t="s">
        <v>238</v>
      </c>
      <c r="CV57" s="276" t="str">
        <f t="shared" si="20"/>
        <v>---------</v>
      </c>
      <c r="CW57" s="290">
        <v>2.6800000000000099</v>
      </c>
      <c r="CX57" s="59">
        <v>34</v>
      </c>
      <c r="CY57" s="292" t="str">
        <f t="shared" si="21"/>
        <v>---------</v>
      </c>
      <c r="CZ57" s="7">
        <v>63</v>
      </c>
      <c r="DA57" s="59">
        <v>34</v>
      </c>
      <c r="DB57" s="292" t="str">
        <f t="shared" ref="DB57:DB88" si="46">IF($CH$23&gt;3,CZ57,"---------")</f>
        <v>---------</v>
      </c>
      <c r="DC57" s="106">
        <v>21.8</v>
      </c>
      <c r="DD57" s="12" t="s">
        <v>238</v>
      </c>
      <c r="DE57" s="276" t="str">
        <f t="shared" si="23"/>
        <v>---------</v>
      </c>
      <c r="DF57" s="290">
        <v>2.6800000000000099</v>
      </c>
      <c r="DG57" s="59">
        <v>34</v>
      </c>
      <c r="DH57" s="292" t="str">
        <f t="shared" si="24"/>
        <v>---------</v>
      </c>
      <c r="DI57" s="106">
        <v>2.7</v>
      </c>
      <c r="DJ57" s="59">
        <v>34</v>
      </c>
      <c r="DK57" s="74" t="str">
        <f t="shared" si="25"/>
        <v>2.7</v>
      </c>
      <c r="DL57" s="59"/>
      <c r="DM57" s="356"/>
      <c r="DN57" s="358" t="s">
        <v>860</v>
      </c>
      <c r="DO57" s="358"/>
      <c r="DP57" s="358"/>
      <c r="DQ57" s="358"/>
      <c r="DR57" s="358"/>
      <c r="DS57" s="358"/>
      <c r="DT57" s="358"/>
      <c r="DU57" s="358"/>
      <c r="DV57" s="358"/>
      <c r="DW57" s="358"/>
      <c r="DX57" s="358"/>
      <c r="DY57" s="358"/>
      <c r="DZ57" s="358"/>
      <c r="EA57" s="358"/>
      <c r="EB57" s="358"/>
      <c r="EC57" s="358"/>
      <c r="ED57" s="358"/>
      <c r="EE57" s="356"/>
      <c r="EF57" s="356"/>
      <c r="EG57" s="356"/>
      <c r="EH57" s="420"/>
      <c r="EI57" s="356"/>
      <c r="EJ57" s="356"/>
      <c r="EK57" s="356"/>
      <c r="EL57" s="356"/>
      <c r="EM57" s="356"/>
      <c r="EN57" s="356"/>
      <c r="EO57" s="356"/>
      <c r="EP57" s="356"/>
      <c r="EQ57" s="356"/>
      <c r="FG57" s="7">
        <v>34</v>
      </c>
      <c r="FH57" s="12">
        <v>16.8</v>
      </c>
      <c r="FJ57" s="7">
        <v>34</v>
      </c>
      <c r="FK57" s="9">
        <v>880</v>
      </c>
      <c r="FR57" s="12"/>
      <c r="FS57" s="7">
        <v>34</v>
      </c>
      <c r="FT57" s="12">
        <v>46.8</v>
      </c>
      <c r="FV57" s="7">
        <v>34</v>
      </c>
      <c r="FW57" s="12">
        <v>1.8</v>
      </c>
    </row>
    <row r="58" spans="1:192" ht="15" customHeight="1">
      <c r="A58">
        <v>3.3</v>
      </c>
      <c r="B58" s="558" t="s">
        <v>80</v>
      </c>
      <c r="C58" s="553"/>
      <c r="D58" s="554"/>
      <c r="E58" s="172" t="str">
        <f t="shared" si="31"/>
        <v/>
      </c>
      <c r="F58" s="555" t="str">
        <f t="shared" si="43"/>
        <v/>
      </c>
      <c r="G58" s="172" t="str">
        <f t="shared" si="33"/>
        <v/>
      </c>
      <c r="H58" t="str">
        <f t="shared" si="34"/>
        <v/>
      </c>
      <c r="I58" s="552" t="str" cm="1">
        <f t="array" ref="I58">IF(H58&lt;&gt;"",INDEX($B$2:$B$66,H58+1),"")</f>
        <v/>
      </c>
      <c r="J58" s="554" t="str">
        <f t="shared" si="28"/>
        <v/>
      </c>
      <c r="K58" t="str">
        <f t="shared" si="42"/>
        <v/>
      </c>
      <c r="L58" s="2" t="str">
        <f t="shared" si="36"/>
        <v/>
      </c>
      <c r="M58" t="str">
        <f t="shared" si="37"/>
        <v/>
      </c>
      <c r="N58" s="2" t="str">
        <f t="shared" si="38"/>
        <v/>
      </c>
      <c r="O58" s="172" t="str">
        <f t="shared" si="29"/>
        <v/>
      </c>
      <c r="P58" s="177" t="str">
        <f t="shared" si="40"/>
        <v/>
      </c>
      <c r="Q58" s="172" t="str">
        <f t="shared" si="30"/>
        <v/>
      </c>
      <c r="R58" s="553" t="str">
        <f t="shared" si="39"/>
        <v/>
      </c>
      <c r="S58" s="553"/>
      <c r="Y58" s="7">
        <v>3</v>
      </c>
      <c r="Z58" s="7" t="s">
        <v>861</v>
      </c>
      <c r="AA58" s="7"/>
      <c r="AB58" s="7"/>
      <c r="AC58" s="7"/>
      <c r="AD58" s="12"/>
      <c r="AE58" s="7"/>
      <c r="AF58" s="7"/>
      <c r="AG58" s="7"/>
      <c r="AH58" s="7"/>
      <c r="AI58" s="7">
        <v>25</v>
      </c>
      <c r="AJ58" s="7" t="s">
        <v>862</v>
      </c>
      <c r="AK58" s="7"/>
      <c r="AL58" s="7"/>
      <c r="AM58" s="7"/>
      <c r="AN58" s="7"/>
      <c r="AO58" s="7"/>
      <c r="AP58" s="7"/>
      <c r="AQ58" s="7"/>
      <c r="AR58" s="7"/>
      <c r="AS58" s="7"/>
      <c r="AT58" s="7"/>
      <c r="AU58" s="7"/>
      <c r="AV58" s="7"/>
      <c r="AW58" s="7"/>
      <c r="AX58" s="7"/>
      <c r="AY58" s="7"/>
      <c r="AZ58" s="7"/>
      <c r="BA58" s="7"/>
      <c r="BB58" s="7"/>
      <c r="BC58" s="7"/>
      <c r="BD58" s="7"/>
      <c r="BE58" s="7"/>
      <c r="BF58" s="7"/>
      <c r="BG58" s="7"/>
      <c r="BH58" s="7"/>
      <c r="BI58" s="7"/>
      <c r="BJ58" s="7"/>
      <c r="BK58" s="7"/>
      <c r="BL58" s="7"/>
      <c r="BM58" s="7"/>
      <c r="BN58" s="7"/>
      <c r="BO58" s="7"/>
      <c r="BP58" s="7"/>
      <c r="BQ58" s="7"/>
      <c r="BR58" s="7"/>
      <c r="BS58" s="7"/>
      <c r="BT58" s="7"/>
      <c r="BU58" s="7"/>
      <c r="BV58" s="7"/>
      <c r="BW58" s="77"/>
      <c r="BX58" s="77"/>
      <c r="BY58" s="77"/>
      <c r="BZ58" s="77"/>
      <c r="CA58" s="18"/>
      <c r="CB58" s="18"/>
      <c r="CC58" s="12"/>
      <c r="CD58" s="290">
        <f>IF(OR(Cntrl18=5,Cntrl18=7),CC60,CC56)</f>
        <v>1E-3</v>
      </c>
      <c r="CE58" s="7"/>
      <c r="CF58" s="7"/>
      <c r="CG58" s="7"/>
      <c r="CH58" s="7"/>
      <c r="CI58" s="7"/>
      <c r="CJ58" s="7"/>
      <c r="CK58" s="59"/>
      <c r="CL58" s="59"/>
      <c r="CM58" s="59"/>
      <c r="CN58" s="7"/>
      <c r="CO58" s="7"/>
      <c r="CP58" s="7"/>
      <c r="CQ58" s="7">
        <v>62</v>
      </c>
      <c r="CR58" s="59">
        <v>35</v>
      </c>
      <c r="CS58" s="292" t="str">
        <f t="shared" si="45"/>
        <v>---------</v>
      </c>
      <c r="CT58" s="106">
        <v>21.7</v>
      </c>
      <c r="CU58" s="12" t="s">
        <v>243</v>
      </c>
      <c r="CV58" s="276" t="str">
        <f t="shared" si="20"/>
        <v>---------</v>
      </c>
      <c r="CW58" s="290">
        <v>2.6700000000000101</v>
      </c>
      <c r="CX58" s="59">
        <v>35</v>
      </c>
      <c r="CY58" s="292" t="str">
        <f t="shared" si="21"/>
        <v>---------</v>
      </c>
      <c r="CZ58" s="7">
        <v>62</v>
      </c>
      <c r="DA58" s="59">
        <v>35</v>
      </c>
      <c r="DB58" s="292" t="str">
        <f t="shared" si="46"/>
        <v>---------</v>
      </c>
      <c r="DC58" s="106">
        <v>21.7</v>
      </c>
      <c r="DD58" s="12" t="s">
        <v>243</v>
      </c>
      <c r="DE58" s="276" t="str">
        <f t="shared" si="23"/>
        <v>---------</v>
      </c>
      <c r="DF58" s="290">
        <v>2.6700000000000101</v>
      </c>
      <c r="DG58" s="59">
        <v>35</v>
      </c>
      <c r="DH58" s="292" t="str">
        <f t="shared" si="24"/>
        <v>---------</v>
      </c>
      <c r="DI58" s="106">
        <v>2.6</v>
      </c>
      <c r="DJ58" s="59">
        <v>35</v>
      </c>
      <c r="DK58" s="74" t="str">
        <f t="shared" si="25"/>
        <v>2.6</v>
      </c>
      <c r="DL58" s="59"/>
      <c r="DM58" s="356"/>
      <c r="DN58" s="358"/>
      <c r="DO58" s="358"/>
      <c r="DP58" s="358"/>
      <c r="DQ58" s="358"/>
      <c r="DR58" s="358"/>
      <c r="DS58" s="358"/>
      <c r="DT58" s="358"/>
      <c r="DU58" s="358"/>
      <c r="DV58" s="358"/>
      <c r="DW58" s="358"/>
      <c r="DX58" s="358"/>
      <c r="DY58" s="358"/>
      <c r="DZ58" s="358"/>
      <c r="EA58" s="358"/>
      <c r="EB58" s="358"/>
      <c r="EC58" s="358"/>
      <c r="ED58" s="358"/>
      <c r="EE58" s="356"/>
      <c r="EF58" s="356"/>
      <c r="EG58" s="356"/>
      <c r="EH58" s="356"/>
      <c r="EI58" s="356"/>
      <c r="EJ58" s="356"/>
      <c r="EK58" s="356"/>
      <c r="EL58" s="356"/>
      <c r="EM58" s="356"/>
      <c r="EN58" s="356"/>
      <c r="EO58" s="356"/>
      <c r="EP58" s="356"/>
      <c r="EQ58" s="356"/>
      <c r="FG58" s="7">
        <v>35</v>
      </c>
      <c r="FH58" s="12">
        <v>16.7</v>
      </c>
      <c r="FJ58" s="7">
        <v>35</v>
      </c>
      <c r="FK58" s="9">
        <v>870</v>
      </c>
      <c r="FR58" s="12"/>
      <c r="FS58" s="7">
        <v>35</v>
      </c>
      <c r="FT58" s="12">
        <v>46.7</v>
      </c>
      <c r="FV58" s="7">
        <v>35</v>
      </c>
      <c r="FW58" s="12">
        <v>1.7</v>
      </c>
    </row>
    <row r="59" spans="1:192" ht="15" customHeight="1">
      <c r="A59">
        <v>3.2</v>
      </c>
      <c r="B59" s="558" t="s">
        <v>86</v>
      </c>
      <c r="C59" s="556"/>
      <c r="D59" s="556"/>
      <c r="E59" s="557"/>
      <c r="F59" s="557"/>
      <c r="G59" s="557"/>
      <c r="H59" s="557"/>
      <c r="I59" s="557"/>
      <c r="J59" s="556"/>
      <c r="K59" s="557"/>
      <c r="L59" s="556"/>
      <c r="M59" s="557"/>
      <c r="N59" s="556"/>
      <c r="O59" s="557"/>
      <c r="P59" s="557"/>
      <c r="Q59" s="557"/>
      <c r="R59" s="556"/>
      <c r="S59" s="556"/>
      <c r="Y59" s="7">
        <v>4</v>
      </c>
      <c r="Z59" s="7" t="s">
        <v>863</v>
      </c>
      <c r="AA59" s="7"/>
      <c r="AB59" s="7"/>
      <c r="AC59" s="7"/>
      <c r="AD59" s="12"/>
      <c r="AE59" s="7"/>
      <c r="AF59" s="7"/>
      <c r="AG59" s="7"/>
      <c r="AH59" s="7"/>
      <c r="AI59" s="7">
        <v>26</v>
      </c>
      <c r="AJ59" s="7" t="s">
        <v>864</v>
      </c>
      <c r="AK59" s="7"/>
      <c r="AL59" s="7"/>
      <c r="AM59" s="7"/>
      <c r="AN59" s="7"/>
      <c r="AO59" s="7"/>
      <c r="AP59" s="7"/>
      <c r="AQ59" s="7"/>
      <c r="AR59" s="7"/>
      <c r="AS59" s="7"/>
      <c r="AT59" s="7"/>
      <c r="AU59" s="7"/>
      <c r="AV59" s="7"/>
      <c r="AW59" s="7"/>
      <c r="AX59" s="7"/>
      <c r="AY59" s="7"/>
      <c r="AZ59" s="7"/>
      <c r="BA59" s="7"/>
      <c r="BB59" s="7"/>
      <c r="BC59" s="7"/>
      <c r="BD59" s="7"/>
      <c r="BE59" s="7"/>
      <c r="BF59" s="7"/>
      <c r="BG59" s="7"/>
      <c r="BH59" s="7"/>
      <c r="BI59" s="7"/>
      <c r="BJ59" s="7"/>
      <c r="BK59" s="7"/>
      <c r="BL59" s="7"/>
      <c r="BM59" s="7"/>
      <c r="BN59" s="7"/>
      <c r="BO59" s="7"/>
      <c r="BP59" s="7"/>
      <c r="BQ59" s="7"/>
      <c r="BR59" s="7"/>
      <c r="BS59" s="7"/>
      <c r="BT59" s="7"/>
      <c r="BU59" s="7"/>
      <c r="BV59" s="7"/>
      <c r="BW59" s="7"/>
      <c r="BX59" s="12"/>
      <c r="BY59" s="12"/>
      <c r="BZ59" s="12">
        <v>0</v>
      </c>
      <c r="CA59" s="12"/>
      <c r="CB59" s="12">
        <v>0.25</v>
      </c>
      <c r="CC59" s="12"/>
      <c r="CD59" s="7"/>
      <c r="CE59" s="7"/>
      <c r="CF59" s="7"/>
      <c r="CG59" s="7"/>
      <c r="CH59" s="7"/>
      <c r="CI59" s="7"/>
      <c r="CJ59" s="7"/>
      <c r="CK59" s="59"/>
      <c r="CL59" s="59"/>
      <c r="CM59" s="59"/>
      <c r="CN59" s="10" cm="1">
        <f t="array" ref="CN59">INDEX($CP$59:$CP$115,MIN(56,MAX(0,INT(CO59+0)))+1)+0</f>
        <v>34</v>
      </c>
      <c r="CO59" s="7">
        <v>0</v>
      </c>
      <c r="CP59" s="7">
        <v>34</v>
      </c>
      <c r="CQ59" s="7">
        <v>61</v>
      </c>
      <c r="CR59" s="59">
        <v>36</v>
      </c>
      <c r="CS59" s="292" t="str">
        <f t="shared" si="45"/>
        <v>---------</v>
      </c>
      <c r="CT59" s="106">
        <v>21.6</v>
      </c>
      <c r="CU59" s="12" t="s">
        <v>247</v>
      </c>
      <c r="CV59" s="276" t="str">
        <f t="shared" si="20"/>
        <v>---------</v>
      </c>
      <c r="CW59" s="290">
        <v>2.6600000000000099</v>
      </c>
      <c r="CX59" s="59">
        <v>36</v>
      </c>
      <c r="CY59" s="292" t="str">
        <f t="shared" si="21"/>
        <v>---------</v>
      </c>
      <c r="CZ59" s="7">
        <v>61</v>
      </c>
      <c r="DA59" s="59">
        <v>36</v>
      </c>
      <c r="DB59" s="292" t="str">
        <f t="shared" si="46"/>
        <v>---------</v>
      </c>
      <c r="DC59" s="106">
        <v>21.6</v>
      </c>
      <c r="DD59" s="12" t="s">
        <v>247</v>
      </c>
      <c r="DE59" s="276" t="str">
        <f t="shared" si="23"/>
        <v>---------</v>
      </c>
      <c r="DF59" s="290">
        <v>2.6600000000000099</v>
      </c>
      <c r="DG59" s="59">
        <v>36</v>
      </c>
      <c r="DH59" s="292" t="str">
        <f t="shared" si="24"/>
        <v>---------</v>
      </c>
      <c r="DI59" s="106">
        <v>2.5</v>
      </c>
      <c r="DJ59" s="59">
        <v>36</v>
      </c>
      <c r="DK59" s="74" t="str">
        <f t="shared" si="25"/>
        <v>2.5</v>
      </c>
      <c r="DL59" s="59"/>
      <c r="DM59" s="356"/>
      <c r="DN59" s="422" t="s">
        <v>865</v>
      </c>
      <c r="DO59" s="422"/>
      <c r="DP59" s="422"/>
      <c r="DQ59" s="422"/>
      <c r="DR59" s="422"/>
      <c r="DS59" s="422"/>
      <c r="DT59" s="422"/>
      <c r="DU59" s="422"/>
      <c r="DV59" s="422"/>
      <c r="DW59" s="422"/>
      <c r="DX59" s="422"/>
      <c r="DY59" s="422"/>
      <c r="DZ59" s="422"/>
      <c r="EA59" s="422"/>
      <c r="EB59" s="422"/>
      <c r="EC59" s="422"/>
      <c r="ED59" s="422"/>
      <c r="EE59" s="356"/>
      <c r="EF59" s="356"/>
      <c r="EG59" s="356"/>
      <c r="EH59" s="356"/>
      <c r="EI59" s="356"/>
      <c r="EJ59" s="356"/>
      <c r="EK59" s="356"/>
      <c r="EL59" s="356"/>
      <c r="EM59" s="356"/>
      <c r="EN59" s="356"/>
      <c r="EO59" s="356"/>
      <c r="EP59" s="356"/>
      <c r="EQ59" s="356"/>
      <c r="FG59" s="7">
        <v>36</v>
      </c>
      <c r="FH59" s="12">
        <v>16.600000000000001</v>
      </c>
      <c r="FJ59" s="7">
        <v>36</v>
      </c>
      <c r="FK59" s="9">
        <v>860</v>
      </c>
      <c r="FR59" s="12"/>
      <c r="FS59" s="7">
        <v>36</v>
      </c>
      <c r="FT59" s="12">
        <v>46.6</v>
      </c>
      <c r="FV59" s="7">
        <v>36</v>
      </c>
      <c r="FW59" s="12">
        <v>1.6</v>
      </c>
    </row>
    <row r="60" spans="1:192" ht="15" customHeight="1">
      <c r="A60">
        <v>3.1</v>
      </c>
      <c r="B60" s="558" t="s">
        <v>93</v>
      </c>
      <c r="Y60" s="7">
        <v>5</v>
      </c>
      <c r="Z60" s="7" t="s">
        <v>866</v>
      </c>
      <c r="AA60" s="7"/>
      <c r="AB60" s="7"/>
      <c r="AC60" s="7"/>
      <c r="AD60" s="12"/>
      <c r="AE60" s="7"/>
      <c r="AF60" s="7"/>
      <c r="AG60" s="7"/>
      <c r="AH60" s="7"/>
      <c r="AI60" s="7">
        <v>27</v>
      </c>
      <c r="AJ60" s="7" t="s">
        <v>867</v>
      </c>
      <c r="AK60" s="7"/>
      <c r="AL60" s="7"/>
      <c r="AM60" s="7"/>
      <c r="AN60" s="7"/>
      <c r="AO60" s="7"/>
      <c r="AP60" s="7"/>
      <c r="AQ60" s="7"/>
      <c r="AR60" s="7"/>
      <c r="AS60" s="7"/>
      <c r="AT60" s="7"/>
      <c r="AU60" s="7"/>
      <c r="AV60" s="7"/>
      <c r="AW60" s="7"/>
      <c r="AX60" s="7"/>
      <c r="AY60" s="7"/>
      <c r="AZ60" s="7"/>
      <c r="BA60" s="7"/>
      <c r="BB60" s="7"/>
      <c r="BC60" s="7"/>
      <c r="BD60" s="7"/>
      <c r="BE60" s="7"/>
      <c r="BF60" s="7"/>
      <c r="BG60" s="7"/>
      <c r="BH60" s="7"/>
      <c r="BI60" s="7"/>
      <c r="BJ60" s="7"/>
      <c r="BK60" s="7"/>
      <c r="BL60" s="7"/>
      <c r="BM60" s="7"/>
      <c r="BN60" s="7"/>
      <c r="BO60" s="7"/>
      <c r="BP60" s="7"/>
      <c r="BQ60" s="7"/>
      <c r="BR60" s="7"/>
      <c r="BS60" s="7"/>
      <c r="BT60" s="7"/>
      <c r="BU60" s="7"/>
      <c r="BV60" s="7"/>
      <c r="BW60" s="7" t="s">
        <v>826</v>
      </c>
      <c r="BX60" s="63">
        <f>VALUE(DB22)/1000/(VALUE(DB22)/1000*1.2+(0.55+(CD23-2)*0.2)*0.76-0.036)</f>
        <v>0</v>
      </c>
      <c r="BY60" s="13">
        <f>BY56</f>
        <v>0</v>
      </c>
      <c r="BZ60" s="63">
        <f>IF((BX60+BZ59)=0,0,BY60/100/(BX60+BZ59))</f>
        <v>0</v>
      </c>
      <c r="CA60" s="63">
        <f>IF((BZ61+BZ60)=0,0,1/(BZ61+BZ60)-BZ59)</f>
        <v>1E-3</v>
      </c>
      <c r="CB60" s="63">
        <f>IF((BX60+CB59)=0,0,BY60/100/(BX60+CB59))</f>
        <v>0</v>
      </c>
      <c r="CC60" s="63">
        <f>IF((CB60+CB61)=0,0,1/(CB60+CB61)-CB59)</f>
        <v>1.0000000000000009E-3</v>
      </c>
      <c r="CD60" s="290"/>
      <c r="CE60" s="7"/>
      <c r="CF60" s="7"/>
      <c r="CG60" s="7"/>
      <c r="CH60" s="7"/>
      <c r="CI60" s="7"/>
      <c r="CJ60" s="7"/>
      <c r="CK60" s="59"/>
      <c r="CL60" s="59"/>
      <c r="CM60" s="59"/>
      <c r="CN60" s="10" cm="1">
        <f t="array" ref="CN60">INDEX($CP$59:$CP$115,MIN(56,MAX(0,INT(CO60+0)))+1)+0</f>
        <v>33</v>
      </c>
      <c r="CO60" s="7">
        <v>1</v>
      </c>
      <c r="CP60" s="7">
        <v>33</v>
      </c>
      <c r="CQ60" s="7">
        <v>60</v>
      </c>
      <c r="CR60" s="59">
        <v>37</v>
      </c>
      <c r="CS60" s="292" t="str">
        <f t="shared" si="45"/>
        <v>---------</v>
      </c>
      <c r="CT60" s="106">
        <v>21.5</v>
      </c>
      <c r="CU60" s="12" t="s">
        <v>253</v>
      </c>
      <c r="CV60" s="276" t="str">
        <f t="shared" si="20"/>
        <v>---------</v>
      </c>
      <c r="CW60" s="290">
        <v>2.6500000000000101</v>
      </c>
      <c r="CX60" s="59">
        <v>37</v>
      </c>
      <c r="CY60" s="292" t="str">
        <f t="shared" si="21"/>
        <v>---------</v>
      </c>
      <c r="CZ60" s="7">
        <v>60</v>
      </c>
      <c r="DA60" s="59">
        <v>37</v>
      </c>
      <c r="DB60" s="292" t="str">
        <f t="shared" si="46"/>
        <v>---------</v>
      </c>
      <c r="DC60" s="106">
        <v>21.5</v>
      </c>
      <c r="DD60" s="12" t="s">
        <v>253</v>
      </c>
      <c r="DE60" s="276" t="str">
        <f t="shared" si="23"/>
        <v>---------</v>
      </c>
      <c r="DF60" s="290">
        <v>2.6500000000000101</v>
      </c>
      <c r="DG60" s="59">
        <v>37</v>
      </c>
      <c r="DH60" s="292" t="str">
        <f t="shared" si="24"/>
        <v>---------</v>
      </c>
      <c r="DI60" s="106">
        <v>2.4</v>
      </c>
      <c r="DJ60" s="59">
        <v>37</v>
      </c>
      <c r="DK60" s="74" t="str">
        <f t="shared" si="25"/>
        <v>2.4</v>
      </c>
      <c r="DL60" s="59"/>
      <c r="DM60" s="356"/>
      <c r="DN60" s="422" t="s">
        <v>868</v>
      </c>
      <c r="DO60" s="422"/>
      <c r="DP60" s="422"/>
      <c r="DQ60" s="422"/>
      <c r="DR60" s="422"/>
      <c r="DS60" s="422"/>
      <c r="DT60" s="422"/>
      <c r="DU60" s="422"/>
      <c r="DV60" s="422"/>
      <c r="DW60" s="422"/>
      <c r="DX60" s="422"/>
      <c r="DY60" s="422"/>
      <c r="DZ60" s="422"/>
      <c r="EA60" s="422"/>
      <c r="EB60" s="422"/>
      <c r="EC60" s="422"/>
      <c r="ED60" s="422"/>
      <c r="EE60" s="356"/>
      <c r="EF60" s="356"/>
      <c r="EG60" s="356"/>
      <c r="EH60" s="356"/>
      <c r="EI60" s="356"/>
      <c r="EJ60" s="356"/>
      <c r="EK60" s="356"/>
      <c r="EL60" s="356"/>
      <c r="EM60" s="356"/>
      <c r="EN60" s="356"/>
      <c r="EO60" s="356"/>
      <c r="EP60" s="356"/>
      <c r="EQ60" s="356"/>
      <c r="FG60" s="7">
        <v>37</v>
      </c>
      <c r="FH60" s="12">
        <v>16.5</v>
      </c>
      <c r="FJ60" s="7">
        <v>37</v>
      </c>
      <c r="FK60" s="9">
        <v>850</v>
      </c>
      <c r="FR60" s="12"/>
      <c r="FS60" s="7">
        <v>37</v>
      </c>
      <c r="FT60" s="12">
        <v>46.5</v>
      </c>
      <c r="FV60" s="7">
        <v>37</v>
      </c>
      <c r="FW60" s="12">
        <v>1.5</v>
      </c>
    </row>
    <row r="61" spans="1:192" ht="15" customHeight="1">
      <c r="A61">
        <v>3</v>
      </c>
      <c r="B61" s="558" t="s">
        <v>99</v>
      </c>
      <c r="Y61" s="7">
        <v>6</v>
      </c>
      <c r="Z61" s="7" t="s">
        <v>869</v>
      </c>
      <c r="AA61" s="7"/>
      <c r="AB61" s="7"/>
      <c r="AC61" s="7"/>
      <c r="AD61" s="12"/>
      <c r="AE61" s="7"/>
      <c r="AF61" s="7"/>
      <c r="AG61" s="7"/>
      <c r="AH61" s="7"/>
      <c r="AI61" s="7">
        <v>28</v>
      </c>
      <c r="AJ61" s="7" t="s">
        <v>870</v>
      </c>
      <c r="AK61" s="7"/>
      <c r="AL61" s="7"/>
      <c r="AM61" s="7"/>
      <c r="AN61" s="7"/>
      <c r="AO61" s="7"/>
      <c r="AP61" s="7"/>
      <c r="AQ61" s="7"/>
      <c r="AR61" s="7"/>
      <c r="AS61" s="7"/>
      <c r="AT61" s="7"/>
      <c r="AU61" s="7"/>
      <c r="AV61" s="7"/>
      <c r="AW61" s="7"/>
      <c r="AX61" s="7"/>
      <c r="AY61" s="7"/>
      <c r="AZ61" s="7"/>
      <c r="BA61" s="7"/>
      <c r="BB61" s="7"/>
      <c r="BC61" s="7"/>
      <c r="BD61" s="7"/>
      <c r="BE61" s="7"/>
      <c r="BF61" s="7"/>
      <c r="BG61" s="7"/>
      <c r="BH61" s="7"/>
      <c r="BI61" s="7"/>
      <c r="BJ61" s="7"/>
      <c r="BK61" s="7"/>
      <c r="BL61" s="7"/>
      <c r="BM61" s="7"/>
      <c r="BN61" s="7"/>
      <c r="BO61" s="7"/>
      <c r="BP61" s="7"/>
      <c r="BQ61" s="7"/>
      <c r="BR61" s="7"/>
      <c r="BS61" s="7"/>
      <c r="BT61" s="7"/>
      <c r="BU61" s="7"/>
      <c r="BV61" s="7"/>
      <c r="BW61" s="562" t="s">
        <v>199</v>
      </c>
      <c r="BX61" s="563">
        <f>BX57</f>
        <v>1E-3</v>
      </c>
      <c r="BY61" s="13">
        <f>100-BY60</f>
        <v>100</v>
      </c>
      <c r="BZ61" s="63">
        <f>IF((BX61+BZ59)=0,0,BY61/100/(BX61+BZ59))</f>
        <v>1000</v>
      </c>
      <c r="CA61" s="12"/>
      <c r="CB61" s="63">
        <f>IF((BX61+CB59)=0,0,BY61/100/(BX61+CB59))</f>
        <v>3.9840637450199203</v>
      </c>
      <c r="CC61" s="18"/>
      <c r="CD61" s="7"/>
      <c r="CE61" s="7"/>
      <c r="CF61" s="7"/>
      <c r="CG61" s="7"/>
      <c r="CH61" s="7"/>
      <c r="CI61" s="7"/>
      <c r="CJ61" s="7"/>
      <c r="CK61" s="59"/>
      <c r="CL61" s="59"/>
      <c r="CM61" s="59"/>
      <c r="CN61" s="10" cm="1">
        <f t="array" ref="CN61">INDEX($CP$59:$CP$115,MIN(56,MAX(0,INT(CO61+0)))+1)+0</f>
        <v>33</v>
      </c>
      <c r="CO61" s="7">
        <v>2</v>
      </c>
      <c r="CP61" s="7">
        <v>33</v>
      </c>
      <c r="CQ61" s="7">
        <v>59</v>
      </c>
      <c r="CR61" s="59">
        <v>38</v>
      </c>
      <c r="CS61" s="292" t="str">
        <f t="shared" si="45"/>
        <v>---------</v>
      </c>
      <c r="CT61" s="106">
        <v>21.4</v>
      </c>
      <c r="CU61" s="12" t="s">
        <v>258</v>
      </c>
      <c r="CV61" s="276" t="str">
        <f t="shared" si="20"/>
        <v>---------</v>
      </c>
      <c r="CW61" s="290">
        <v>2.6400000000000099</v>
      </c>
      <c r="CX61" s="59">
        <v>38</v>
      </c>
      <c r="CY61" s="292" t="str">
        <f t="shared" si="21"/>
        <v>---------</v>
      </c>
      <c r="CZ61" s="7">
        <v>59</v>
      </c>
      <c r="DA61" s="59">
        <v>38</v>
      </c>
      <c r="DB61" s="292" t="str">
        <f t="shared" si="46"/>
        <v>---------</v>
      </c>
      <c r="DC61" s="106">
        <v>21.4</v>
      </c>
      <c r="DD61" s="12" t="s">
        <v>258</v>
      </c>
      <c r="DE61" s="276" t="str">
        <f t="shared" si="23"/>
        <v>---------</v>
      </c>
      <c r="DF61" s="290">
        <v>2.6400000000000099</v>
      </c>
      <c r="DG61" s="59">
        <v>38</v>
      </c>
      <c r="DH61" s="292" t="str">
        <f t="shared" si="24"/>
        <v>---------</v>
      </c>
      <c r="DI61" s="106">
        <v>2.2999999999999998</v>
      </c>
      <c r="DJ61" s="59">
        <v>38</v>
      </c>
      <c r="DK61" s="74" t="str">
        <f t="shared" si="25"/>
        <v>2.3</v>
      </c>
      <c r="DL61" s="59"/>
      <c r="DM61" s="356"/>
      <c r="DN61" s="422"/>
      <c r="DO61" s="422"/>
      <c r="DP61" s="422"/>
      <c r="DQ61" s="422"/>
      <c r="DR61" s="422"/>
      <c r="DS61" s="422"/>
      <c r="DT61" s="422"/>
      <c r="DU61" s="422"/>
      <c r="DV61" s="422"/>
      <c r="DW61" s="422"/>
      <c r="DX61" s="422"/>
      <c r="DY61" s="422"/>
      <c r="DZ61" s="422"/>
      <c r="EA61" s="422"/>
      <c r="EB61" s="422"/>
      <c r="EC61" s="422"/>
      <c r="ED61" s="422"/>
      <c r="EE61" s="356"/>
      <c r="EF61" s="356"/>
      <c r="EG61" s="356"/>
      <c r="EH61" s="356"/>
      <c r="EI61" s="356"/>
      <c r="EJ61" s="356"/>
      <c r="EK61" s="356"/>
      <c r="EL61" s="356"/>
      <c r="EM61" s="356"/>
      <c r="EN61" s="356"/>
      <c r="EO61" s="356"/>
      <c r="EP61" s="356"/>
      <c r="EQ61" s="356"/>
      <c r="FG61" s="7">
        <v>38</v>
      </c>
      <c r="FH61" s="12">
        <v>16.399999999999999</v>
      </c>
      <c r="FJ61" s="7">
        <v>38</v>
      </c>
      <c r="FK61" s="9">
        <v>840</v>
      </c>
      <c r="FR61" s="12"/>
      <c r="FS61" s="7">
        <v>38</v>
      </c>
      <c r="FT61" s="12">
        <v>46.4</v>
      </c>
      <c r="FV61" s="7">
        <v>38</v>
      </c>
      <c r="FW61" s="12">
        <v>1.4</v>
      </c>
    </row>
    <row r="62" spans="1:192" ht="15" customHeight="1">
      <c r="A62">
        <v>2.9</v>
      </c>
      <c r="B62" s="558" t="s">
        <v>106</v>
      </c>
      <c r="Y62" s="7">
        <v>7</v>
      </c>
      <c r="Z62" s="7" t="s">
        <v>871</v>
      </c>
      <c r="AA62" s="7"/>
      <c r="AB62" s="7"/>
      <c r="AC62" s="7"/>
      <c r="AD62" s="12"/>
      <c r="AE62" s="7"/>
      <c r="AF62" s="7"/>
      <c r="AG62" s="7"/>
      <c r="AH62" s="7"/>
      <c r="AI62" s="7">
        <v>29</v>
      </c>
      <c r="AJ62" s="7" t="s">
        <v>872</v>
      </c>
      <c r="AK62" s="7"/>
      <c r="AL62" s="7"/>
      <c r="AM62" s="7"/>
      <c r="AN62" s="7"/>
      <c r="AO62" s="7"/>
      <c r="AP62" s="7"/>
      <c r="AQ62" s="7"/>
      <c r="AR62" s="7"/>
      <c r="AS62" s="7"/>
      <c r="AT62" s="7"/>
      <c r="AU62" s="7"/>
      <c r="AV62" s="7"/>
      <c r="AW62" s="7"/>
      <c r="AX62" s="7"/>
      <c r="AY62" s="7"/>
      <c r="AZ62" s="7"/>
      <c r="BA62" s="7"/>
      <c r="BB62" s="7"/>
      <c r="BC62" s="7"/>
      <c r="BD62" s="7"/>
      <c r="BE62" s="7"/>
      <c r="BF62" s="7"/>
      <c r="BG62" s="7"/>
      <c r="BH62" s="7"/>
      <c r="BI62" s="7"/>
      <c r="BJ62" s="7"/>
      <c r="BK62" s="7"/>
      <c r="BL62" s="7"/>
      <c r="BM62" s="7"/>
      <c r="BN62" s="7"/>
      <c r="BO62" s="7"/>
      <c r="BP62" s="7"/>
      <c r="BQ62" s="7"/>
      <c r="BR62" s="7"/>
      <c r="BS62" s="7"/>
      <c r="BT62" s="7"/>
      <c r="BU62" s="7"/>
      <c r="BV62" s="7"/>
      <c r="BW62" s="7"/>
      <c r="BX62" s="7"/>
      <c r="BY62" s="7"/>
      <c r="BZ62" s="7"/>
      <c r="CA62" s="7"/>
      <c r="CB62" s="7"/>
      <c r="CC62" s="7"/>
      <c r="CD62" s="7"/>
      <c r="CE62" s="7"/>
      <c r="CF62" s="7"/>
      <c r="CG62" s="7"/>
      <c r="CH62" s="7"/>
      <c r="CI62" s="7"/>
      <c r="CJ62" s="7"/>
      <c r="CK62" s="59"/>
      <c r="CL62" s="59"/>
      <c r="CM62" s="59"/>
      <c r="CN62" s="10" cm="1">
        <f t="array" ref="CN62">INDEX($CP$59:$CP$115,MIN(56,MAX(0,INT(CO62+0)))+1)+0</f>
        <v>33</v>
      </c>
      <c r="CO62" s="7">
        <v>3</v>
      </c>
      <c r="CP62" s="7">
        <v>33</v>
      </c>
      <c r="CQ62" s="7">
        <v>58</v>
      </c>
      <c r="CR62" s="59">
        <v>39</v>
      </c>
      <c r="CS62" s="292" t="str">
        <f t="shared" si="45"/>
        <v>---------</v>
      </c>
      <c r="CT62" s="106">
        <v>21.3</v>
      </c>
      <c r="CU62" s="12" t="s">
        <v>263</v>
      </c>
      <c r="CV62" s="276" t="str">
        <f t="shared" si="20"/>
        <v>---------</v>
      </c>
      <c r="CW62" s="290">
        <v>2.6300000000000101</v>
      </c>
      <c r="CX62" s="59">
        <v>39</v>
      </c>
      <c r="CY62" s="292" t="str">
        <f t="shared" si="21"/>
        <v>---------</v>
      </c>
      <c r="CZ62" s="7">
        <v>58</v>
      </c>
      <c r="DA62" s="59">
        <v>39</v>
      </c>
      <c r="DB62" s="292" t="str">
        <f t="shared" si="46"/>
        <v>---------</v>
      </c>
      <c r="DC62" s="106">
        <v>21.3</v>
      </c>
      <c r="DD62" s="12" t="s">
        <v>263</v>
      </c>
      <c r="DE62" s="276" t="str">
        <f t="shared" si="23"/>
        <v>---------</v>
      </c>
      <c r="DF62" s="290">
        <v>2.6300000000000101</v>
      </c>
      <c r="DG62" s="59">
        <v>39</v>
      </c>
      <c r="DH62" s="292" t="str">
        <f t="shared" si="24"/>
        <v>---------</v>
      </c>
      <c r="DI62" s="106">
        <v>2.2000000000000002</v>
      </c>
      <c r="DJ62" s="59">
        <v>39</v>
      </c>
      <c r="DK62" s="74" t="str">
        <f t="shared" si="25"/>
        <v>2.2</v>
      </c>
      <c r="DL62" s="59"/>
      <c r="DM62" s="356"/>
      <c r="DN62" s="422"/>
      <c r="DO62" s="422"/>
      <c r="DP62" s="422"/>
      <c r="DQ62" s="422"/>
      <c r="DR62" s="422"/>
      <c r="DS62" s="422"/>
      <c r="DT62" s="422"/>
      <c r="DU62" s="422"/>
      <c r="DV62" s="422"/>
      <c r="DW62" s="422"/>
      <c r="DX62" s="422"/>
      <c r="DY62" s="422"/>
      <c r="DZ62" s="422"/>
      <c r="EA62" s="422"/>
      <c r="EB62" s="422"/>
      <c r="EC62" s="422"/>
      <c r="ED62" s="422"/>
      <c r="EE62" s="356"/>
      <c r="EF62" s="356"/>
      <c r="EG62" s="356"/>
      <c r="EH62" s="356"/>
      <c r="EI62" s="356"/>
      <c r="EJ62" s="356"/>
      <c r="EK62" s="356"/>
      <c r="EL62" s="356"/>
      <c r="EM62" s="356"/>
      <c r="EN62" s="356"/>
      <c r="EO62" s="356"/>
      <c r="EP62" s="356"/>
      <c r="EQ62" s="356"/>
      <c r="FG62" s="7">
        <v>39</v>
      </c>
      <c r="FH62" s="12">
        <v>16.3</v>
      </c>
      <c r="FJ62" s="7">
        <v>39</v>
      </c>
      <c r="FK62" s="9">
        <v>830</v>
      </c>
      <c r="FR62" s="12"/>
      <c r="FS62" s="7">
        <v>39</v>
      </c>
      <c r="FT62" s="12">
        <v>46.3</v>
      </c>
      <c r="FV62" s="7">
        <v>39</v>
      </c>
      <c r="FW62" s="12">
        <v>1.3</v>
      </c>
    </row>
    <row r="63" spans="1:192" ht="15" customHeight="1">
      <c r="A63">
        <v>2.8</v>
      </c>
      <c r="B63" s="558" t="s">
        <v>110</v>
      </c>
      <c r="Y63" s="7">
        <v>8</v>
      </c>
      <c r="Z63" s="7" t="s">
        <v>873</v>
      </c>
      <c r="AA63" s="7"/>
      <c r="AB63" s="7"/>
      <c r="AC63" s="7"/>
      <c r="AD63" s="12"/>
      <c r="AE63" s="7"/>
      <c r="AF63" s="7"/>
      <c r="AG63" s="7"/>
      <c r="AH63" s="7"/>
      <c r="AI63" s="7">
        <v>30</v>
      </c>
      <c r="AJ63" s="7" t="s">
        <v>874</v>
      </c>
      <c r="AK63" s="7"/>
      <c r="AL63" s="54">
        <f>MATCH(AM63,AM64:AM78,0)</f>
        <v>3</v>
      </c>
      <c r="AM63" s="286" t="str">
        <f>AL2</f>
        <v>P_blank3</v>
      </c>
      <c r="AN63" s="7"/>
      <c r="AO63" s="7"/>
      <c r="AP63" s="7"/>
      <c r="AQ63" s="7"/>
      <c r="AR63" s="7"/>
      <c r="AS63" s="7"/>
      <c r="AT63" s="7"/>
      <c r="AU63" s="7"/>
      <c r="AV63" s="7"/>
      <c r="AW63" s="7"/>
      <c r="AX63" s="7"/>
      <c r="AY63" s="7"/>
      <c r="AZ63" s="7"/>
      <c r="BA63" s="7"/>
      <c r="BB63" s="7"/>
      <c r="BC63" s="7"/>
      <c r="BD63" s="7"/>
      <c r="BE63" s="7"/>
      <c r="BF63" s="7"/>
      <c r="BG63" s="7"/>
      <c r="BH63" s="7"/>
      <c r="BI63" s="7"/>
      <c r="BJ63" s="7"/>
      <c r="BK63" s="7"/>
      <c r="BL63" s="7"/>
      <c r="BM63" s="7"/>
      <c r="BN63" s="7"/>
      <c r="BO63" s="7"/>
      <c r="BP63" s="7"/>
      <c r="BQ63" s="7"/>
      <c r="BR63" s="7"/>
      <c r="BS63" s="7"/>
      <c r="BT63" s="7"/>
      <c r="BU63" s="7"/>
      <c r="BV63" s="7"/>
      <c r="BW63" s="7"/>
      <c r="BX63" s="7"/>
      <c r="BY63" s="7"/>
      <c r="BZ63" s="7"/>
      <c r="CA63" s="7"/>
      <c r="CB63" s="7"/>
      <c r="CC63" s="7"/>
      <c r="CD63" s="7"/>
      <c r="CE63" s="7"/>
      <c r="CF63" s="7"/>
      <c r="CG63" s="7"/>
      <c r="CH63" s="7"/>
      <c r="CI63" s="7"/>
      <c r="CJ63" s="7"/>
      <c r="CK63" s="59"/>
      <c r="CL63" s="59"/>
      <c r="CM63" s="59"/>
      <c r="CN63" s="10" cm="1">
        <f t="array" ref="CN63">INDEX($CP$59:$CP$115,MIN(56,MAX(0,INT(CO63+0)))+1)+0</f>
        <v>33</v>
      </c>
      <c r="CO63" s="7">
        <v>4</v>
      </c>
      <c r="CP63" s="7">
        <v>33</v>
      </c>
      <c r="CQ63" s="7">
        <v>57</v>
      </c>
      <c r="CR63" s="59">
        <v>40</v>
      </c>
      <c r="CS63" s="292" t="str">
        <f t="shared" si="45"/>
        <v>---------</v>
      </c>
      <c r="CT63" s="106">
        <v>21.2</v>
      </c>
      <c r="CU63" s="12" t="s">
        <v>269</v>
      </c>
      <c r="CV63" s="276" t="str">
        <f t="shared" si="20"/>
        <v>---------</v>
      </c>
      <c r="CW63" s="290">
        <v>2.6200000000000099</v>
      </c>
      <c r="CX63" s="59">
        <v>40</v>
      </c>
      <c r="CY63" s="292" t="str">
        <f t="shared" si="21"/>
        <v>---------</v>
      </c>
      <c r="CZ63" s="7">
        <v>57</v>
      </c>
      <c r="DA63" s="59">
        <v>40</v>
      </c>
      <c r="DB63" s="292" t="str">
        <f t="shared" si="46"/>
        <v>---------</v>
      </c>
      <c r="DC63" s="106">
        <v>21.2</v>
      </c>
      <c r="DD63" s="12" t="s">
        <v>269</v>
      </c>
      <c r="DE63" s="276" t="str">
        <f t="shared" si="23"/>
        <v>---------</v>
      </c>
      <c r="DF63" s="290">
        <v>2.6200000000000099</v>
      </c>
      <c r="DG63" s="59">
        <v>40</v>
      </c>
      <c r="DH63" s="292" t="str">
        <f t="shared" si="24"/>
        <v>---------</v>
      </c>
      <c r="DI63" s="106">
        <v>2.1</v>
      </c>
      <c r="DJ63" s="59">
        <v>40</v>
      </c>
      <c r="DK63" s="74" t="str">
        <f t="shared" si="25"/>
        <v>2.1</v>
      </c>
      <c r="DL63" s="59"/>
      <c r="DM63" s="356"/>
      <c r="DN63" s="358" t="s">
        <v>875</v>
      </c>
      <c r="DO63" s="358"/>
      <c r="DP63" s="358"/>
      <c r="DQ63" s="358"/>
      <c r="DR63" s="358"/>
      <c r="DS63" s="358"/>
      <c r="DT63" s="358"/>
      <c r="DU63" s="358"/>
      <c r="DV63" s="358"/>
      <c r="DW63" s="358"/>
      <c r="DX63" s="358"/>
      <c r="DY63" s="358"/>
      <c r="DZ63" s="358"/>
      <c r="EA63" s="358"/>
      <c r="EB63" s="358"/>
      <c r="EC63" s="358"/>
      <c r="ED63" s="358"/>
      <c r="EE63" s="356"/>
      <c r="EF63" s="356"/>
      <c r="EG63" s="356"/>
      <c r="EH63" s="356"/>
      <c r="EI63" s="356"/>
      <c r="EJ63" s="356"/>
      <c r="EK63" s="356"/>
      <c r="EL63" s="356"/>
      <c r="EM63" s="356"/>
      <c r="EN63" s="356"/>
      <c r="EO63" s="356"/>
      <c r="EP63" s="356"/>
      <c r="EQ63" s="356"/>
      <c r="FG63" s="7">
        <v>40</v>
      </c>
      <c r="FH63" s="12">
        <v>16.2</v>
      </c>
      <c r="FJ63" s="7">
        <v>40</v>
      </c>
      <c r="FK63" s="9">
        <v>820</v>
      </c>
      <c r="FR63" s="12"/>
      <c r="FS63" s="7">
        <v>40</v>
      </c>
      <c r="FT63" s="12">
        <v>46.2</v>
      </c>
      <c r="FV63" s="7">
        <v>40</v>
      </c>
      <c r="FW63" s="12">
        <v>1.2</v>
      </c>
    </row>
    <row r="64" spans="1:192" ht="15" customHeight="1">
      <c r="A64">
        <v>2.7</v>
      </c>
      <c r="B64" s="558" t="s">
        <v>317</v>
      </c>
      <c r="Y64" s="7">
        <v>9</v>
      </c>
      <c r="Z64" s="7" t="s">
        <v>876</v>
      </c>
      <c r="AA64" s="7"/>
      <c r="AB64" s="7"/>
      <c r="AC64" s="7"/>
      <c r="AD64" s="12"/>
      <c r="AE64" s="7"/>
      <c r="AF64" s="7"/>
      <c r="AG64" s="7"/>
      <c r="AH64" s="7"/>
      <c r="AI64" s="7">
        <v>31</v>
      </c>
      <c r="AJ64" s="7" t="s">
        <v>877</v>
      </c>
      <c r="AK64" s="7"/>
      <c r="AL64" s="7">
        <v>1</v>
      </c>
      <c r="AM64" s="7" t="s">
        <v>272</v>
      </c>
      <c r="AN64" s="7"/>
      <c r="AO64" s="7"/>
      <c r="AP64" s="7"/>
      <c r="AQ64" s="7"/>
      <c r="AR64" s="7"/>
      <c r="AS64" s="7"/>
      <c r="AT64" s="7"/>
      <c r="AU64" s="7"/>
      <c r="AV64" s="7"/>
      <c r="AW64" s="7"/>
      <c r="AX64" s="7"/>
      <c r="AY64" s="7"/>
      <c r="AZ64" s="7"/>
      <c r="BA64" s="7"/>
      <c r="BB64" s="7"/>
      <c r="BC64" s="7"/>
      <c r="BD64" s="7"/>
      <c r="BE64" s="7"/>
      <c r="BF64" s="7"/>
      <c r="BG64" s="7"/>
      <c r="BH64" s="7"/>
      <c r="BI64" s="7"/>
      <c r="BJ64" s="7"/>
      <c r="BK64" s="7"/>
      <c r="BL64" s="7"/>
      <c r="BM64" s="7"/>
      <c r="BN64" s="7"/>
      <c r="BO64" s="7"/>
      <c r="BP64" s="7"/>
      <c r="BQ64" s="7"/>
      <c r="BR64" s="7"/>
      <c r="BS64" s="7"/>
      <c r="BT64" s="7"/>
      <c r="BU64" s="7"/>
      <c r="BV64" s="7"/>
      <c r="BW64" s="7"/>
      <c r="BX64" s="7"/>
      <c r="BY64" s="7"/>
      <c r="BZ64" s="7"/>
      <c r="CA64" s="7"/>
      <c r="CB64" s="7"/>
      <c r="CC64" s="7"/>
      <c r="CD64" s="7"/>
      <c r="CE64" s="7"/>
      <c r="CF64" s="7"/>
      <c r="CG64" s="7"/>
      <c r="CH64" s="7"/>
      <c r="CI64" s="7"/>
      <c r="CJ64" s="7"/>
      <c r="CK64" s="59"/>
      <c r="CL64" s="59"/>
      <c r="CM64" s="59"/>
      <c r="CN64" s="10" cm="1">
        <f t="array" ref="CN64">INDEX($CP$59:$CP$115,MIN(56,MAX(0,INT(CO64+0)))+1)+0</f>
        <v>33</v>
      </c>
      <c r="CO64" s="7">
        <v>5</v>
      </c>
      <c r="CP64" s="7">
        <v>33</v>
      </c>
      <c r="CQ64" s="7">
        <v>56</v>
      </c>
      <c r="CR64" s="59">
        <v>41</v>
      </c>
      <c r="CS64" s="292" t="str">
        <f t="shared" si="45"/>
        <v>---------</v>
      </c>
      <c r="CT64" s="106">
        <v>21.1</v>
      </c>
      <c r="CU64" s="12" t="s">
        <v>275</v>
      </c>
      <c r="CV64" s="276" t="str">
        <f t="shared" si="20"/>
        <v>---------</v>
      </c>
      <c r="CW64" s="290">
        <v>2.6100000000000101</v>
      </c>
      <c r="CX64" s="59">
        <v>41</v>
      </c>
      <c r="CY64" s="292" t="str">
        <f t="shared" si="21"/>
        <v>---------</v>
      </c>
      <c r="CZ64" s="7">
        <v>56</v>
      </c>
      <c r="DA64" s="59">
        <v>41</v>
      </c>
      <c r="DB64" s="292" t="str">
        <f t="shared" si="46"/>
        <v>---------</v>
      </c>
      <c r="DC64" s="106">
        <v>21.1</v>
      </c>
      <c r="DD64" s="12" t="s">
        <v>275</v>
      </c>
      <c r="DE64" s="276" t="str">
        <f t="shared" si="23"/>
        <v>---------</v>
      </c>
      <c r="DF64" s="290">
        <v>2.6100000000000101</v>
      </c>
      <c r="DG64" s="59">
        <v>41</v>
      </c>
      <c r="DH64" s="292" t="str">
        <f t="shared" si="24"/>
        <v>---------</v>
      </c>
      <c r="DI64" s="106">
        <v>2</v>
      </c>
      <c r="DJ64" s="59">
        <v>41</v>
      </c>
      <c r="DK64" s="74" t="str">
        <f t="shared" si="25"/>
        <v>2.0</v>
      </c>
      <c r="DL64" s="59"/>
      <c r="DM64" s="356"/>
      <c r="DN64" s="358" t="s">
        <v>878</v>
      </c>
      <c r="DO64" s="358"/>
      <c r="DP64" s="358"/>
      <c r="DQ64" s="358"/>
      <c r="DR64" s="358"/>
      <c r="DS64" s="358"/>
      <c r="DT64" s="358"/>
      <c r="DU64" s="358"/>
      <c r="DV64" s="358"/>
      <c r="DW64" s="358"/>
      <c r="DX64" s="358"/>
      <c r="DY64" s="358"/>
      <c r="DZ64" s="358"/>
      <c r="EA64" s="358"/>
      <c r="EB64" s="358"/>
      <c r="EC64" s="358"/>
      <c r="ED64" s="358"/>
      <c r="EE64" s="356"/>
      <c r="EF64" s="356"/>
      <c r="EG64" s="356"/>
      <c r="EH64" s="356"/>
      <c r="EI64" s="356"/>
      <c r="EJ64" s="356"/>
      <c r="EK64" s="356"/>
      <c r="EL64" s="356"/>
      <c r="EM64" s="356"/>
      <c r="EN64" s="356"/>
      <c r="EO64" s="356"/>
      <c r="EP64" s="356"/>
      <c r="EQ64" s="356"/>
      <c r="FG64" s="7">
        <v>41</v>
      </c>
      <c r="FH64" s="12">
        <v>16.100000000000001</v>
      </c>
      <c r="FJ64" s="7">
        <v>41</v>
      </c>
      <c r="FK64" s="9">
        <v>810</v>
      </c>
      <c r="FR64" s="12"/>
      <c r="FS64" s="7">
        <v>41</v>
      </c>
      <c r="FT64" s="12">
        <v>46.1</v>
      </c>
      <c r="FV64" s="7">
        <v>41</v>
      </c>
      <c r="FW64" s="12">
        <v>1.1000000000000001</v>
      </c>
    </row>
    <row r="65" spans="1:179" ht="15" customHeight="1">
      <c r="A65">
        <v>2.6</v>
      </c>
      <c r="B65" s="558" t="s">
        <v>320</v>
      </c>
      <c r="F65" s="53" t="s">
        <v>879</v>
      </c>
      <c r="G65" s="53"/>
      <c r="Y65" s="7">
        <v>10</v>
      </c>
      <c r="Z65" s="7" t="s">
        <v>880</v>
      </c>
      <c r="AA65" s="7"/>
      <c r="AB65" s="7"/>
      <c r="AC65" s="7"/>
      <c r="AD65" s="12"/>
      <c r="AE65" s="7"/>
      <c r="AF65" s="7"/>
      <c r="AG65" s="7"/>
      <c r="AH65" s="7"/>
      <c r="AI65" s="7">
        <v>32</v>
      </c>
      <c r="AJ65" s="7" t="s">
        <v>881</v>
      </c>
      <c r="AK65" s="7"/>
      <c r="AL65" s="7">
        <v>2</v>
      </c>
      <c r="AM65" s="7" t="s">
        <v>278</v>
      </c>
      <c r="AN65" s="7"/>
      <c r="AO65" s="7"/>
      <c r="AP65" s="7"/>
      <c r="AQ65" s="7"/>
      <c r="AR65" s="7"/>
      <c r="AS65" s="7"/>
      <c r="AT65" s="7"/>
      <c r="AU65" s="7"/>
      <c r="AV65" s="7"/>
      <c r="AW65" s="7"/>
      <c r="AX65" s="7"/>
      <c r="AY65" s="7"/>
      <c r="AZ65" s="7"/>
      <c r="BA65" s="7"/>
      <c r="BB65" s="7"/>
      <c r="BC65" s="7"/>
      <c r="BD65" s="7"/>
      <c r="BE65" s="7"/>
      <c r="BF65" s="7"/>
      <c r="BG65" s="7"/>
      <c r="BH65" s="7"/>
      <c r="BI65" s="7"/>
      <c r="BJ65" s="7"/>
      <c r="BK65" s="7"/>
      <c r="BL65" s="7"/>
      <c r="BO65" s="7"/>
      <c r="BP65" s="7"/>
      <c r="BQ65" s="7"/>
      <c r="BR65" s="7"/>
      <c r="BS65" s="7"/>
      <c r="BT65" s="7"/>
      <c r="BU65" s="7"/>
      <c r="BV65" s="7"/>
      <c r="BW65" s="7"/>
      <c r="BX65" s="7"/>
      <c r="BY65" s="7"/>
      <c r="BZ65" s="7"/>
      <c r="CA65" s="7"/>
      <c r="CB65" s="7"/>
      <c r="CC65" s="7"/>
      <c r="CD65" s="7"/>
      <c r="CE65" s="7"/>
      <c r="CF65" s="7"/>
      <c r="CG65" s="7"/>
      <c r="CH65" s="7"/>
      <c r="CI65" s="7"/>
      <c r="CJ65" s="7"/>
      <c r="CK65" s="59"/>
      <c r="CL65" s="59"/>
      <c r="CM65" s="59"/>
      <c r="CN65" s="10" cm="1">
        <f t="array" ref="CN65">INDEX($CP$59:$CP$115,MIN(56,MAX(0,INT(CO65+0)))+1)+0</f>
        <v>33</v>
      </c>
      <c r="CO65" s="7">
        <v>6</v>
      </c>
      <c r="CP65" s="7">
        <v>33</v>
      </c>
      <c r="CQ65" s="7">
        <v>55</v>
      </c>
      <c r="CR65" s="59">
        <v>42</v>
      </c>
      <c r="CS65" s="292" t="str">
        <f t="shared" si="45"/>
        <v>---------</v>
      </c>
      <c r="CT65" s="106">
        <v>21</v>
      </c>
      <c r="CU65" s="12" t="s">
        <v>280</v>
      </c>
      <c r="CV65" s="276" t="str">
        <f t="shared" si="20"/>
        <v>---------</v>
      </c>
      <c r="CW65" s="290">
        <v>2.6000000000000099</v>
      </c>
      <c r="CX65" s="59">
        <v>42</v>
      </c>
      <c r="CY65" s="292" t="str">
        <f t="shared" si="21"/>
        <v>---------</v>
      </c>
      <c r="CZ65" s="7">
        <v>55</v>
      </c>
      <c r="DA65" s="59">
        <v>42</v>
      </c>
      <c r="DB65" s="292" t="str">
        <f t="shared" si="46"/>
        <v>---------</v>
      </c>
      <c r="DC65" s="106">
        <v>21</v>
      </c>
      <c r="DD65" s="12" t="s">
        <v>280</v>
      </c>
      <c r="DE65" s="276" t="str">
        <f t="shared" si="23"/>
        <v>---------</v>
      </c>
      <c r="DF65" s="290">
        <v>2.6000000000000099</v>
      </c>
      <c r="DG65" s="59">
        <v>42</v>
      </c>
      <c r="DH65" s="292" t="str">
        <f t="shared" si="24"/>
        <v>---------</v>
      </c>
      <c r="DI65" s="106">
        <v>1.9</v>
      </c>
      <c r="DJ65" s="59">
        <v>42</v>
      </c>
      <c r="DK65" s="74" t="str">
        <f t="shared" si="25"/>
        <v>1.9</v>
      </c>
      <c r="DL65" s="59"/>
      <c r="DM65" s="356"/>
      <c r="DN65" s="358" t="s">
        <v>350</v>
      </c>
      <c r="DO65" s="358"/>
      <c r="DP65" s="358"/>
      <c r="DQ65" s="358"/>
      <c r="DR65" s="358"/>
      <c r="DS65" s="358"/>
      <c r="DT65" s="358"/>
      <c r="DU65" s="358"/>
      <c r="DV65" s="358"/>
      <c r="DW65" s="358"/>
      <c r="DX65" s="358"/>
      <c r="DY65" s="358"/>
      <c r="DZ65" s="358"/>
      <c r="EA65" s="358"/>
      <c r="EB65" s="358"/>
      <c r="EC65" s="358"/>
      <c r="ED65" s="358"/>
      <c r="EE65" s="356"/>
      <c r="EF65" s="356"/>
      <c r="EG65" s="356"/>
      <c r="EH65" s="356"/>
      <c r="EI65" s="356"/>
      <c r="EJ65" s="356"/>
      <c r="EK65" s="356"/>
      <c r="EL65" s="356"/>
      <c r="EM65" s="356"/>
      <c r="EN65" s="356"/>
      <c r="EO65" s="356"/>
      <c r="EP65" s="356"/>
      <c r="EQ65" s="356"/>
      <c r="FG65" s="7">
        <v>42</v>
      </c>
      <c r="FH65" s="12">
        <v>16</v>
      </c>
      <c r="FJ65" s="7">
        <v>42</v>
      </c>
      <c r="FK65" s="9">
        <v>800</v>
      </c>
      <c r="FR65" s="12"/>
      <c r="FS65" s="7">
        <v>42</v>
      </c>
      <c r="FT65" s="12">
        <v>46</v>
      </c>
      <c r="FV65" s="7">
        <v>42</v>
      </c>
      <c r="FW65" s="12">
        <v>1</v>
      </c>
    </row>
    <row r="66" spans="1:179" ht="15" customHeight="1">
      <c r="A66">
        <v>2.5</v>
      </c>
      <c r="B66" s="558" t="s">
        <v>15</v>
      </c>
      <c r="F66" s="850" t="s">
        <v>198</v>
      </c>
      <c r="G66" s="850" t="str">
        <f>J1</f>
        <v>AAAAAAAAMsgEKJMI</v>
      </c>
      <c r="Y66" s="7">
        <v>11</v>
      </c>
      <c r="Z66" s="7" t="s">
        <v>882</v>
      </c>
      <c r="AA66" s="7"/>
      <c r="AB66" s="7"/>
      <c r="AC66" s="7"/>
      <c r="AD66" s="12"/>
      <c r="AE66" s="7"/>
      <c r="AF66" s="7"/>
      <c r="AG66" s="7"/>
      <c r="AH66" s="7"/>
      <c r="AI66" s="7">
        <v>33</v>
      </c>
      <c r="AJ66" s="7" t="s">
        <v>883</v>
      </c>
      <c r="AK66" s="7"/>
      <c r="AL66" s="7">
        <v>3</v>
      </c>
      <c r="AM66" s="7" t="s">
        <v>283</v>
      </c>
      <c r="AN66" s="7"/>
      <c r="AO66" s="7"/>
      <c r="AP66" s="7"/>
      <c r="AQ66" s="7"/>
      <c r="AR66" s="7"/>
      <c r="AS66" s="7"/>
      <c r="AT66" s="7"/>
      <c r="AU66" s="7"/>
      <c r="AV66" s="7"/>
      <c r="AW66" s="7"/>
      <c r="AX66" s="7"/>
      <c r="AY66" s="7"/>
      <c r="AZ66" s="7"/>
      <c r="BA66" s="7"/>
      <c r="BB66" s="7"/>
      <c r="BC66" s="7"/>
      <c r="BD66" s="7"/>
      <c r="BE66" s="7"/>
      <c r="BF66" s="7"/>
      <c r="BG66" s="7"/>
      <c r="BH66" s="7"/>
      <c r="BI66" s="7"/>
      <c r="BJ66" s="7"/>
      <c r="BK66" s="7"/>
      <c r="BL66" s="7"/>
      <c r="BO66" s="7"/>
      <c r="BP66" s="7"/>
      <c r="BQ66" s="7"/>
      <c r="BR66" s="7"/>
      <c r="BS66" s="7"/>
      <c r="BT66" s="7"/>
      <c r="BU66" s="7"/>
      <c r="BV66" s="7"/>
      <c r="BW66" s="7"/>
      <c r="BX66" s="7"/>
      <c r="BY66" s="7"/>
      <c r="BZ66" s="7"/>
      <c r="CA66" s="7"/>
      <c r="CB66" s="7"/>
      <c r="CC66" s="7"/>
      <c r="CD66" s="7"/>
      <c r="CE66" s="7"/>
      <c r="CF66" s="7"/>
      <c r="CG66" s="7"/>
      <c r="CH66" s="7"/>
      <c r="CI66" s="7"/>
      <c r="CJ66" s="7"/>
      <c r="CK66" s="59"/>
      <c r="CL66" s="59"/>
      <c r="CM66" s="59"/>
      <c r="CN66" s="10" cm="1">
        <f t="array" ref="CN66">INDEX($CP$59:$CP$115,MIN(56,MAX(0,INT(CO66+0)))+1)+0</f>
        <v>33</v>
      </c>
      <c r="CO66" s="7">
        <v>7</v>
      </c>
      <c r="CP66" s="7">
        <v>33</v>
      </c>
      <c r="CQ66" s="7">
        <v>54</v>
      </c>
      <c r="CR66" s="59">
        <v>43</v>
      </c>
      <c r="CS66" s="292" t="str">
        <f t="shared" si="45"/>
        <v>---------</v>
      </c>
      <c r="CT66" s="106">
        <v>20.9</v>
      </c>
      <c r="CU66" s="12" t="s">
        <v>285</v>
      </c>
      <c r="CV66" s="276" t="str">
        <f t="shared" si="20"/>
        <v>---------</v>
      </c>
      <c r="CW66" s="290">
        <v>2.5900000000000101</v>
      </c>
      <c r="CX66" s="59">
        <v>43</v>
      </c>
      <c r="CY66" s="292" t="str">
        <f t="shared" si="21"/>
        <v>---------</v>
      </c>
      <c r="CZ66" s="7">
        <v>54</v>
      </c>
      <c r="DA66" s="59">
        <v>43</v>
      </c>
      <c r="DB66" s="292" t="str">
        <f t="shared" si="46"/>
        <v>---------</v>
      </c>
      <c r="DC66" s="106">
        <v>20.9</v>
      </c>
      <c r="DD66" s="12" t="s">
        <v>285</v>
      </c>
      <c r="DE66" s="276" t="str">
        <f t="shared" si="23"/>
        <v>---------</v>
      </c>
      <c r="DF66" s="290">
        <v>2.5900000000000101</v>
      </c>
      <c r="DG66" s="59">
        <v>43</v>
      </c>
      <c r="DH66" s="292" t="str">
        <f t="shared" si="24"/>
        <v>---------</v>
      </c>
      <c r="DI66" s="106">
        <v>1.8</v>
      </c>
      <c r="DJ66" s="59">
        <v>43</v>
      </c>
      <c r="DK66" s="74" t="str">
        <f t="shared" si="25"/>
        <v>1.8</v>
      </c>
      <c r="DL66" s="59"/>
      <c r="DM66" s="356"/>
      <c r="DN66" s="358" t="s">
        <v>884</v>
      </c>
      <c r="DO66" s="358"/>
      <c r="DP66" s="358"/>
      <c r="DQ66" s="358"/>
      <c r="DR66" s="358"/>
      <c r="DS66" s="358"/>
      <c r="DT66" s="358"/>
      <c r="DU66" s="358"/>
      <c r="DV66" s="358"/>
      <c r="DW66" s="358"/>
      <c r="DX66" s="358"/>
      <c r="DY66" s="358"/>
      <c r="DZ66" s="358"/>
      <c r="EA66" s="358"/>
      <c r="EB66" s="358"/>
      <c r="EC66" s="358"/>
      <c r="ED66" s="358"/>
      <c r="EE66" s="356"/>
      <c r="EF66" s="356"/>
      <c r="EG66" s="356"/>
      <c r="EH66" s="356"/>
      <c r="EI66" s="356"/>
      <c r="EJ66" s="356"/>
      <c r="EK66" s="356"/>
      <c r="EL66" s="356"/>
      <c r="EM66" s="356"/>
      <c r="EN66" s="356"/>
      <c r="EO66" s="356"/>
      <c r="EP66" s="356"/>
      <c r="EQ66" s="356"/>
      <c r="FG66" s="7">
        <v>43</v>
      </c>
      <c r="FH66" s="12">
        <v>15.9</v>
      </c>
      <c r="FJ66" s="7">
        <v>43</v>
      </c>
      <c r="FK66" s="9">
        <v>790</v>
      </c>
      <c r="FR66" s="12"/>
      <c r="FS66" s="7">
        <v>43</v>
      </c>
      <c r="FT66" s="12">
        <v>45.9</v>
      </c>
      <c r="FV66" s="7">
        <v>43</v>
      </c>
      <c r="FW66" s="13">
        <v>0.9</v>
      </c>
    </row>
    <row r="67" spans="1:179" ht="15" customHeight="1">
      <c r="A67">
        <v>2.4</v>
      </c>
      <c r="F67" s="53" t="str">
        <f>DN2</f>
        <v>Cladding</v>
      </c>
      <c r="G67" s="53" t="str">
        <f>AT23</f>
        <v>BevelBack WB</v>
      </c>
      <c r="Y67" s="7">
        <v>12</v>
      </c>
      <c r="Z67" s="7" t="s">
        <v>885</v>
      </c>
      <c r="AA67" s="7"/>
      <c r="AB67" s="7"/>
      <c r="AC67" s="7"/>
      <c r="AD67" s="12"/>
      <c r="AE67" s="7"/>
      <c r="AF67" s="7"/>
      <c r="AG67" s="7"/>
      <c r="AH67" s="7"/>
      <c r="AI67" s="7">
        <v>34</v>
      </c>
      <c r="AJ67" s="7" t="s">
        <v>886</v>
      </c>
      <c r="AK67" s="7"/>
      <c r="AL67" s="7">
        <v>4</v>
      </c>
      <c r="AM67" s="7" t="s">
        <v>288</v>
      </c>
      <c r="AN67" s="7"/>
      <c r="AO67" s="7"/>
      <c r="AP67" s="7"/>
      <c r="AQ67" s="7"/>
      <c r="AR67" s="7"/>
      <c r="AS67" s="7"/>
      <c r="AT67" s="7"/>
      <c r="AU67" s="7"/>
      <c r="AV67" s="7"/>
      <c r="AW67" s="7"/>
      <c r="AX67" s="7"/>
      <c r="AY67" s="7"/>
      <c r="AZ67" s="7"/>
      <c r="BA67" s="7"/>
      <c r="BB67" s="7"/>
      <c r="BC67" s="7"/>
      <c r="BD67" s="7"/>
      <c r="BE67" s="7"/>
      <c r="BF67" s="7"/>
      <c r="BG67" s="7"/>
      <c r="BH67" s="7"/>
      <c r="BI67" s="7"/>
      <c r="BJ67" s="7"/>
      <c r="BK67" s="7"/>
      <c r="BL67" s="7"/>
      <c r="BM67" s="7"/>
      <c r="BN67" s="7"/>
      <c r="BO67" s="7"/>
      <c r="BP67" s="7"/>
      <c r="BQ67" s="7"/>
      <c r="BR67" s="7"/>
      <c r="BS67" s="7"/>
      <c r="BT67" s="7"/>
      <c r="BU67" s="7"/>
      <c r="BV67" s="7"/>
      <c r="BW67" s="7"/>
      <c r="BX67" s="7"/>
      <c r="BY67" s="7"/>
      <c r="BZ67" s="7"/>
      <c r="CA67" s="7"/>
      <c r="CB67" s="7"/>
      <c r="CC67" s="7"/>
      <c r="CD67" s="7"/>
      <c r="CE67" s="7"/>
      <c r="CF67" s="7"/>
      <c r="CG67" s="7"/>
      <c r="CH67" s="7"/>
      <c r="CI67" s="7"/>
      <c r="CJ67" s="7"/>
      <c r="CK67" s="59"/>
      <c r="CL67" s="59"/>
      <c r="CM67" s="59"/>
      <c r="CN67" s="10" cm="1">
        <f t="array" ref="CN67">INDEX($CP$59:$CP$115,MIN(56,MAX(0,INT(CO67+0)))+1)+0</f>
        <v>33</v>
      </c>
      <c r="CO67" s="7">
        <v>8</v>
      </c>
      <c r="CP67" s="7">
        <v>33</v>
      </c>
      <c r="CQ67" s="7">
        <v>53</v>
      </c>
      <c r="CR67" s="59">
        <v>44</v>
      </c>
      <c r="CS67" s="292" t="str">
        <f t="shared" si="45"/>
        <v>---------</v>
      </c>
      <c r="CT67" s="106">
        <v>20.8</v>
      </c>
      <c r="CU67" s="12" t="s">
        <v>290</v>
      </c>
      <c r="CV67" s="276" t="str">
        <f t="shared" si="20"/>
        <v>---------</v>
      </c>
      <c r="CW67" s="290">
        <v>2.5800000000000098</v>
      </c>
      <c r="CX67" s="59">
        <v>44</v>
      </c>
      <c r="CY67" s="292" t="str">
        <f t="shared" si="21"/>
        <v>---------</v>
      </c>
      <c r="CZ67" s="7">
        <v>53</v>
      </c>
      <c r="DA67" s="59">
        <v>44</v>
      </c>
      <c r="DB67" s="292" t="str">
        <f t="shared" si="46"/>
        <v>---------</v>
      </c>
      <c r="DC67" s="106">
        <v>20.8</v>
      </c>
      <c r="DD67" s="12" t="s">
        <v>290</v>
      </c>
      <c r="DE67" s="276" t="str">
        <f t="shared" si="23"/>
        <v>---------</v>
      </c>
      <c r="DF67" s="290">
        <v>2.5800000000000098</v>
      </c>
      <c r="DG67" s="59">
        <v>44</v>
      </c>
      <c r="DH67" s="292" t="str">
        <f t="shared" si="24"/>
        <v>---------</v>
      </c>
      <c r="DI67" s="106">
        <v>1.7</v>
      </c>
      <c r="DJ67" s="59">
        <v>44</v>
      </c>
      <c r="DK67" s="74" t="str">
        <f t="shared" si="25"/>
        <v>1.7</v>
      </c>
      <c r="DL67" s="59"/>
      <c r="DM67" s="356"/>
      <c r="DN67" s="358" t="s">
        <v>887</v>
      </c>
      <c r="DO67" s="358"/>
      <c r="DP67" s="358"/>
      <c r="DQ67" s="358"/>
      <c r="DR67" s="358"/>
      <c r="DS67" s="358"/>
      <c r="DT67" s="358"/>
      <c r="DU67" s="358"/>
      <c r="DV67" s="358"/>
      <c r="DW67" s="358"/>
      <c r="DX67" s="358"/>
      <c r="DY67" s="358"/>
      <c r="DZ67" s="358"/>
      <c r="EA67" s="358"/>
      <c r="EB67" s="358"/>
      <c r="EC67" s="358"/>
      <c r="ED67" s="358"/>
      <c r="EE67" s="356"/>
      <c r="EF67" s="356"/>
      <c r="EG67" s="356"/>
      <c r="EH67" s="356"/>
      <c r="EI67" s="356"/>
      <c r="EJ67" s="356"/>
      <c r="EK67" s="356"/>
      <c r="EL67" s="356"/>
      <c r="EM67" s="356"/>
      <c r="EN67" s="356"/>
      <c r="EO67" s="356"/>
      <c r="EP67" s="356"/>
      <c r="EQ67" s="356"/>
      <c r="FG67" s="7">
        <v>44</v>
      </c>
      <c r="FH67" s="12">
        <v>15.8</v>
      </c>
      <c r="FJ67" s="7">
        <v>44</v>
      </c>
      <c r="FK67" s="9">
        <v>780</v>
      </c>
      <c r="FR67" s="12"/>
      <c r="FS67" s="7">
        <v>44</v>
      </c>
      <c r="FT67" s="12">
        <v>45.8</v>
      </c>
      <c r="FV67" s="7">
        <v>44</v>
      </c>
      <c r="FW67" s="13">
        <v>0.8</v>
      </c>
    </row>
    <row r="68" spans="1:179" ht="15" customHeight="1">
      <c r="A68">
        <v>2.2999999999999998</v>
      </c>
      <c r="F68" s="53" t="str">
        <f>DN5</f>
        <v>cavity?</v>
      </c>
      <c r="G68" s="53" t="str">
        <f>BO23</f>
        <v>no cavity</v>
      </c>
      <c r="Y68" s="7">
        <v>13</v>
      </c>
      <c r="Z68" s="7" t="s">
        <v>888</v>
      </c>
      <c r="AA68" s="7"/>
      <c r="AB68" s="7"/>
      <c r="AC68" s="7"/>
      <c r="AD68" s="12"/>
      <c r="AE68" s="7"/>
      <c r="AF68" s="7"/>
      <c r="AG68" s="7"/>
      <c r="AH68" s="7"/>
      <c r="AI68" s="7">
        <v>35</v>
      </c>
      <c r="AJ68" s="7" t="s">
        <v>889</v>
      </c>
      <c r="AK68" s="7"/>
      <c r="AL68" s="7">
        <v>5</v>
      </c>
      <c r="AM68" s="7" t="s">
        <v>293</v>
      </c>
      <c r="AN68" s="7"/>
      <c r="AO68" s="7"/>
      <c r="AP68" s="7"/>
      <c r="AQ68" s="7"/>
      <c r="AR68" s="7"/>
      <c r="AS68" s="7"/>
      <c r="AT68" s="7"/>
      <c r="AU68" s="7"/>
      <c r="AV68" s="7"/>
      <c r="AW68" s="7"/>
      <c r="AX68" s="7"/>
      <c r="AY68" s="7"/>
      <c r="AZ68" s="7"/>
      <c r="BA68" s="7"/>
      <c r="BB68" s="7"/>
      <c r="BC68" s="7"/>
      <c r="BD68" s="7"/>
      <c r="BE68" s="7"/>
      <c r="BF68" s="7"/>
      <c r="BG68" s="7"/>
      <c r="BH68" s="7"/>
      <c r="BI68" s="7"/>
      <c r="BJ68" s="7"/>
      <c r="BK68" s="7"/>
      <c r="BL68" s="7"/>
      <c r="BM68" s="7"/>
      <c r="BN68" s="7"/>
      <c r="BO68" s="7"/>
      <c r="BP68" s="7"/>
      <c r="BQ68" s="7"/>
      <c r="BR68" s="7"/>
      <c r="BS68" s="7"/>
      <c r="BT68" s="7"/>
      <c r="BU68" s="7"/>
      <c r="BV68" s="7"/>
      <c r="BW68" s="7"/>
      <c r="BX68" s="7"/>
      <c r="BY68" s="7"/>
      <c r="BZ68" s="7"/>
      <c r="CA68" s="7"/>
      <c r="CB68" s="7"/>
      <c r="CC68" s="7"/>
      <c r="CD68" s="7"/>
      <c r="CE68" s="7"/>
      <c r="CF68" s="7"/>
      <c r="CG68" s="7"/>
      <c r="CH68" s="7"/>
      <c r="CI68" s="7"/>
      <c r="CJ68" s="7"/>
      <c r="CK68" s="59"/>
      <c r="CL68" s="59"/>
      <c r="CM68" s="59"/>
      <c r="CN68" s="10" cm="1">
        <f t="array" ref="CN68">INDEX($CP$59:$CP$115,MIN(56,MAX(0,INT(CO68+0)))+1)+0</f>
        <v>33</v>
      </c>
      <c r="CO68" s="7">
        <v>9</v>
      </c>
      <c r="CP68" s="7">
        <v>33</v>
      </c>
      <c r="CQ68" s="7">
        <v>52</v>
      </c>
      <c r="CR68" s="59">
        <v>45</v>
      </c>
      <c r="CS68" s="292" t="str">
        <f t="shared" si="45"/>
        <v>---------</v>
      </c>
      <c r="CT68" s="106">
        <v>20.7</v>
      </c>
      <c r="CU68" s="12" t="s">
        <v>295</v>
      </c>
      <c r="CV68" s="276" t="str">
        <f t="shared" si="20"/>
        <v>---------</v>
      </c>
      <c r="CW68" s="290">
        <v>2.5700000000000101</v>
      </c>
      <c r="CX68" s="59">
        <v>45</v>
      </c>
      <c r="CY68" s="292" t="str">
        <f t="shared" si="21"/>
        <v>---------</v>
      </c>
      <c r="CZ68" s="7">
        <v>52</v>
      </c>
      <c r="DA68" s="59">
        <v>45</v>
      </c>
      <c r="DB68" s="292" t="str">
        <f t="shared" si="46"/>
        <v>---------</v>
      </c>
      <c r="DC68" s="106">
        <v>20.7</v>
      </c>
      <c r="DD68" s="12" t="s">
        <v>295</v>
      </c>
      <c r="DE68" s="276" t="str">
        <f t="shared" si="23"/>
        <v>---------</v>
      </c>
      <c r="DF68" s="290">
        <v>2.5700000000000101</v>
      </c>
      <c r="DG68" s="59">
        <v>45</v>
      </c>
      <c r="DH68" s="292" t="str">
        <f t="shared" si="24"/>
        <v>---------</v>
      </c>
      <c r="DI68" s="106">
        <v>1.6</v>
      </c>
      <c r="DJ68" s="59">
        <v>45</v>
      </c>
      <c r="DK68" s="74" t="str">
        <f t="shared" si="25"/>
        <v>1.6</v>
      </c>
      <c r="DL68" s="59"/>
      <c r="DM68" s="356"/>
      <c r="DN68" s="358"/>
      <c r="DO68" s="358"/>
      <c r="DP68" s="358"/>
      <c r="DQ68" s="358"/>
      <c r="DR68" s="358"/>
      <c r="DS68" s="358"/>
      <c r="DT68" s="358"/>
      <c r="DU68" s="358"/>
      <c r="DV68" s="358"/>
      <c r="DW68" s="358"/>
      <c r="DX68" s="358"/>
      <c r="DY68" s="358"/>
      <c r="DZ68" s="358"/>
      <c r="EA68" s="358"/>
      <c r="EB68" s="358"/>
      <c r="EC68" s="358"/>
      <c r="ED68" s="358"/>
      <c r="EE68" s="356"/>
      <c r="EF68" s="356"/>
      <c r="EG68" s="356"/>
      <c r="EH68" s="356"/>
      <c r="EI68" s="356"/>
      <c r="EJ68" s="356"/>
      <c r="EK68" s="356"/>
      <c r="EL68" s="356"/>
      <c r="EM68" s="356"/>
      <c r="EN68" s="356"/>
      <c r="EO68" s="356"/>
      <c r="EP68" s="356"/>
      <c r="EQ68" s="356"/>
      <c r="FG68" s="7">
        <v>45</v>
      </c>
      <c r="FH68" s="12">
        <v>15.7</v>
      </c>
      <c r="FJ68" s="7">
        <v>45</v>
      </c>
      <c r="FK68" s="9">
        <v>770</v>
      </c>
      <c r="FR68" s="12"/>
      <c r="FS68" s="7">
        <v>45</v>
      </c>
      <c r="FT68" s="12">
        <v>45.7</v>
      </c>
      <c r="FV68" s="7">
        <v>45</v>
      </c>
      <c r="FW68" s="13">
        <v>0.7</v>
      </c>
    </row>
    <row r="69" spans="1:179" ht="15" customHeight="1">
      <c r="A69">
        <v>2.2000000000000002</v>
      </c>
      <c r="F69" s="53" t="str">
        <f>DR2</f>
        <v>Exterior Insulation</v>
      </c>
      <c r="G69" s="53" t="str">
        <f>CI23</f>
        <v>none</v>
      </c>
      <c r="Y69" s="7">
        <v>14</v>
      </c>
      <c r="Z69" s="7" t="s">
        <v>890</v>
      </c>
      <c r="AA69" s="7"/>
      <c r="AB69" s="7"/>
      <c r="AC69" s="7"/>
      <c r="AD69" s="12"/>
      <c r="AE69" s="7"/>
      <c r="AF69" s="7"/>
      <c r="AG69" s="7"/>
      <c r="AH69" s="7"/>
      <c r="AI69" s="7">
        <v>36</v>
      </c>
      <c r="AJ69" s="7" t="s">
        <v>891</v>
      </c>
      <c r="AK69" s="7"/>
      <c r="AL69" s="7">
        <v>6</v>
      </c>
      <c r="AM69" s="7" t="s">
        <v>297</v>
      </c>
      <c r="AN69" s="7"/>
      <c r="AO69" s="7"/>
      <c r="AP69" s="7"/>
      <c r="AQ69" s="7"/>
      <c r="AR69" s="7"/>
      <c r="AS69" s="7"/>
      <c r="AT69" s="7"/>
      <c r="AU69" s="7"/>
      <c r="AV69" s="7"/>
      <c r="AW69" s="7"/>
      <c r="AX69" s="7"/>
      <c r="AY69" s="7"/>
      <c r="AZ69" s="7"/>
      <c r="BA69" s="7"/>
      <c r="BB69" s="7"/>
      <c r="BC69" s="7"/>
      <c r="BD69" s="7"/>
      <c r="BE69" s="7"/>
      <c r="BF69" s="7"/>
      <c r="BG69" s="7"/>
      <c r="BH69" s="7"/>
      <c r="BI69" s="7"/>
      <c r="BJ69" s="7"/>
      <c r="BK69" s="7"/>
      <c r="BL69" s="7"/>
      <c r="BM69" s="7"/>
      <c r="BN69" s="7"/>
      <c r="BO69" s="7"/>
      <c r="BP69" s="7"/>
      <c r="BQ69" s="7"/>
      <c r="BR69" s="7"/>
      <c r="BS69" s="7"/>
      <c r="BT69" s="7"/>
      <c r="BU69" s="7"/>
      <c r="BV69" s="7"/>
      <c r="BW69" s="7"/>
      <c r="BX69" s="7"/>
      <c r="BY69" s="7"/>
      <c r="BZ69" s="7"/>
      <c r="CA69" s="7"/>
      <c r="CB69" s="7"/>
      <c r="CC69" s="7"/>
      <c r="CD69" s="7"/>
      <c r="CE69" s="7"/>
      <c r="CF69" s="7"/>
      <c r="CG69" s="7"/>
      <c r="CH69" s="7"/>
      <c r="CI69" s="7"/>
      <c r="CJ69" s="7"/>
      <c r="CK69" s="59"/>
      <c r="CL69" s="59"/>
      <c r="CM69" s="59"/>
      <c r="CN69" s="10" cm="1">
        <f t="array" ref="CN69">INDEX($CP$59:$CP$115,MIN(56,MAX(0,INT(CO69+0)))+1)+0</f>
        <v>33</v>
      </c>
      <c r="CO69" s="7">
        <v>10</v>
      </c>
      <c r="CP69" s="7">
        <v>33</v>
      </c>
      <c r="CQ69" s="7">
        <v>51</v>
      </c>
      <c r="CR69" s="59">
        <v>46</v>
      </c>
      <c r="CS69" s="292" t="str">
        <f t="shared" si="45"/>
        <v>---------</v>
      </c>
      <c r="CT69" s="106">
        <v>20.6</v>
      </c>
      <c r="CU69" s="12" t="s">
        <v>299</v>
      </c>
      <c r="CV69" s="276" t="str">
        <f t="shared" si="20"/>
        <v>---------</v>
      </c>
      <c r="CW69" s="290">
        <v>2.5600000000000098</v>
      </c>
      <c r="CX69" s="59">
        <v>46</v>
      </c>
      <c r="CY69" s="292" t="str">
        <f t="shared" si="21"/>
        <v>---------</v>
      </c>
      <c r="CZ69" s="7">
        <v>51</v>
      </c>
      <c r="DA69" s="59">
        <v>46</v>
      </c>
      <c r="DB69" s="292" t="str">
        <f t="shared" si="46"/>
        <v>---------</v>
      </c>
      <c r="DC69" s="106">
        <v>20.6</v>
      </c>
      <c r="DD69" s="12" t="s">
        <v>299</v>
      </c>
      <c r="DE69" s="276" t="str">
        <f t="shared" si="23"/>
        <v>---------</v>
      </c>
      <c r="DF69" s="290">
        <v>2.5600000000000098</v>
      </c>
      <c r="DG69" s="59">
        <v>46</v>
      </c>
      <c r="DH69" s="292" t="str">
        <f t="shared" si="24"/>
        <v>---------</v>
      </c>
      <c r="DI69" s="106">
        <v>1.5</v>
      </c>
      <c r="DJ69" s="59">
        <v>46</v>
      </c>
      <c r="DK69" s="74" t="str">
        <f t="shared" si="25"/>
        <v>1.5</v>
      </c>
      <c r="DL69" s="59"/>
      <c r="DM69" s="356"/>
      <c r="DN69" s="422" t="s">
        <v>892</v>
      </c>
      <c r="DO69" s="422"/>
      <c r="DP69" s="422"/>
      <c r="DQ69" s="422"/>
      <c r="DR69" s="422"/>
      <c r="DS69" s="422"/>
      <c r="DT69" s="422"/>
      <c r="DU69" s="422"/>
      <c r="DV69" s="422"/>
      <c r="DW69" s="422"/>
      <c r="DX69" s="422"/>
      <c r="DY69" s="422"/>
      <c r="DZ69" s="422"/>
      <c r="EA69" s="422"/>
      <c r="EB69" s="422"/>
      <c r="EC69" s="422"/>
      <c r="ED69" s="422"/>
      <c r="EE69" s="356"/>
      <c r="EF69" s="356"/>
      <c r="EG69" s="356"/>
      <c r="EH69" s="356"/>
      <c r="EI69" s="356"/>
      <c r="EJ69" s="356"/>
      <c r="EK69" s="356"/>
      <c r="EL69" s="356"/>
      <c r="EM69" s="356"/>
      <c r="EN69" s="356"/>
      <c r="EO69" s="356"/>
      <c r="EP69" s="356"/>
      <c r="EQ69" s="356"/>
      <c r="FG69" s="7">
        <v>46</v>
      </c>
      <c r="FH69" s="12">
        <v>15.6</v>
      </c>
      <c r="FJ69" s="7">
        <v>46</v>
      </c>
      <c r="FK69" s="9">
        <v>760</v>
      </c>
      <c r="FR69" s="12"/>
      <c r="FS69" s="7">
        <v>46</v>
      </c>
      <c r="FT69" s="12">
        <v>45.6</v>
      </c>
      <c r="FV69" s="7">
        <v>46</v>
      </c>
      <c r="FW69" s="13">
        <v>0.6</v>
      </c>
    </row>
    <row r="70" spans="1:179" ht="15" customHeight="1">
      <c r="A70">
        <v>2.1</v>
      </c>
      <c r="F70" s="53" t="str">
        <f>IF(DS5&lt;&gt;"",DS5,"----------")</f>
        <v>----------</v>
      </c>
      <c r="G70" s="53">
        <f>DH23</f>
        <v>0</v>
      </c>
      <c r="T70" s="7"/>
      <c r="U70" s="12"/>
      <c r="V70" s="43"/>
      <c r="W70" s="18"/>
      <c r="X70" s="7"/>
      <c r="Y70" s="7">
        <v>15</v>
      </c>
      <c r="Z70" s="7" t="s">
        <v>890</v>
      </c>
      <c r="AA70" s="7"/>
      <c r="AB70" s="7"/>
      <c r="AC70" s="7"/>
      <c r="AD70" s="12"/>
      <c r="AE70" s="7"/>
      <c r="AF70" s="7"/>
      <c r="AG70" s="7"/>
      <c r="AH70" s="7"/>
      <c r="AI70" s="7">
        <v>37</v>
      </c>
      <c r="AJ70" s="7" t="s">
        <v>893</v>
      </c>
      <c r="AK70" s="7"/>
      <c r="AL70" s="7">
        <v>7</v>
      </c>
      <c r="AM70" s="7" t="s">
        <v>300</v>
      </c>
      <c r="AN70" s="7"/>
      <c r="AO70" s="7"/>
      <c r="AP70" s="7"/>
      <c r="AQ70" s="7"/>
      <c r="AR70" s="7"/>
      <c r="AS70" s="7"/>
      <c r="AT70" s="7"/>
      <c r="AU70" s="7"/>
      <c r="AV70" s="7"/>
      <c r="AW70" s="7"/>
      <c r="AX70" s="7"/>
      <c r="AY70" s="7"/>
      <c r="AZ70" s="7"/>
      <c r="BA70" s="7"/>
      <c r="BB70" s="7"/>
      <c r="BC70" s="7"/>
      <c r="BD70" s="7"/>
      <c r="BE70" s="7"/>
      <c r="BF70" s="7"/>
      <c r="BG70" s="7"/>
      <c r="BH70" s="7"/>
      <c r="BI70" s="7"/>
      <c r="BJ70" s="7"/>
      <c r="BK70" s="7"/>
      <c r="BL70" s="7"/>
      <c r="BM70" s="7"/>
      <c r="BN70" s="7"/>
      <c r="BO70" s="7"/>
      <c r="BP70" s="7"/>
      <c r="BQ70" s="7"/>
      <c r="BR70" s="7"/>
      <c r="BS70" s="7"/>
      <c r="BT70" s="7"/>
      <c r="BU70" s="7"/>
      <c r="BV70" s="7"/>
      <c r="BW70" s="7"/>
      <c r="BX70" s="7"/>
      <c r="BY70" s="7"/>
      <c r="BZ70" s="7"/>
      <c r="CA70" s="7"/>
      <c r="CB70" s="7"/>
      <c r="CC70" s="7"/>
      <c r="CD70" s="7"/>
      <c r="CE70" s="7"/>
      <c r="CF70" s="7"/>
      <c r="CG70" s="7"/>
      <c r="CH70" s="7"/>
      <c r="CI70" s="7"/>
      <c r="CJ70" s="7"/>
      <c r="CK70" s="59"/>
      <c r="CL70" s="59"/>
      <c r="CM70" s="59"/>
      <c r="CN70" s="10" cm="1">
        <f t="array" ref="CN70">INDEX($CP$59:$CP$115,MIN(56,MAX(0,INT(CO70+0)))+1)+0</f>
        <v>33</v>
      </c>
      <c r="CO70" s="7">
        <v>11</v>
      </c>
      <c r="CP70" s="7">
        <v>33</v>
      </c>
      <c r="CQ70" s="7">
        <v>50</v>
      </c>
      <c r="CR70" s="59">
        <v>47</v>
      </c>
      <c r="CS70" s="292" t="str">
        <f t="shared" si="45"/>
        <v>---------</v>
      </c>
      <c r="CT70" s="106">
        <v>20.5</v>
      </c>
      <c r="CU70" s="12" t="s">
        <v>302</v>
      </c>
      <c r="CV70" s="276" t="str">
        <f t="shared" si="20"/>
        <v>---------</v>
      </c>
      <c r="CW70" s="290">
        <v>2.55000000000001</v>
      </c>
      <c r="CX70" s="59">
        <v>47</v>
      </c>
      <c r="CY70" s="292" t="str">
        <f t="shared" si="21"/>
        <v>---------</v>
      </c>
      <c r="CZ70" s="7">
        <v>50</v>
      </c>
      <c r="DA70" s="59">
        <v>47</v>
      </c>
      <c r="DB70" s="292" t="str">
        <f t="shared" si="46"/>
        <v>---------</v>
      </c>
      <c r="DC70" s="106">
        <v>20.5</v>
      </c>
      <c r="DD70" s="12" t="s">
        <v>302</v>
      </c>
      <c r="DE70" s="276" t="str">
        <f t="shared" si="23"/>
        <v>---------</v>
      </c>
      <c r="DF70" s="290">
        <v>2.55000000000001</v>
      </c>
      <c r="DG70" s="59">
        <v>47</v>
      </c>
      <c r="DH70" s="292" t="str">
        <f t="shared" si="24"/>
        <v>---------</v>
      </c>
      <c r="DI70" s="106">
        <v>1.4</v>
      </c>
      <c r="DJ70" s="59">
        <v>47</v>
      </c>
      <c r="DK70" s="74" t="str">
        <f t="shared" si="25"/>
        <v>1.4</v>
      </c>
      <c r="DL70" s="59"/>
      <c r="DM70" s="356"/>
      <c r="DN70" s="422" t="s">
        <v>894</v>
      </c>
      <c r="DO70" s="422"/>
      <c r="DP70" s="422"/>
      <c r="DQ70" s="422"/>
      <c r="DR70" s="422"/>
      <c r="DS70" s="422"/>
      <c r="DT70" s="422"/>
      <c r="DU70" s="422"/>
      <c r="DV70" s="422"/>
      <c r="DW70" s="422"/>
      <c r="DX70" s="422"/>
      <c r="DY70" s="422"/>
      <c r="DZ70" s="422"/>
      <c r="EA70" s="422"/>
      <c r="EB70" s="422"/>
      <c r="EC70" s="422"/>
      <c r="ED70" s="422"/>
      <c r="EE70" s="356"/>
      <c r="EF70" s="356"/>
      <c r="EG70" s="356"/>
      <c r="EH70" s="356"/>
      <c r="EI70" s="356"/>
      <c r="EJ70" s="356"/>
      <c r="EK70" s="356"/>
      <c r="EL70" s="356"/>
      <c r="EM70" s="356"/>
      <c r="EN70" s="356"/>
      <c r="EO70" s="356"/>
      <c r="EP70" s="356"/>
      <c r="EQ70" s="356"/>
      <c r="FG70" s="7">
        <v>47</v>
      </c>
      <c r="FH70" s="12">
        <v>15.5</v>
      </c>
      <c r="FJ70" s="7">
        <v>47</v>
      </c>
      <c r="FK70" s="9">
        <v>750</v>
      </c>
      <c r="FR70" s="12"/>
      <c r="FS70" s="7">
        <v>47</v>
      </c>
      <c r="FT70" s="12">
        <v>45.5</v>
      </c>
      <c r="FV70" s="7">
        <v>47</v>
      </c>
      <c r="FW70" s="13">
        <v>0.5</v>
      </c>
    </row>
    <row r="71" spans="1:179" ht="15" customHeight="1">
      <c r="A71">
        <v>2</v>
      </c>
      <c r="F71" s="53" t="str">
        <f t="shared" ref="F71:F72" si="47">IF(DS6&lt;&gt;"",DS6,"----------")</f>
        <v>----------</v>
      </c>
      <c r="G71" s="53">
        <f>DB23</f>
        <v>0</v>
      </c>
      <c r="T71" s="7"/>
      <c r="U71" s="12"/>
      <c r="V71" s="43"/>
      <c r="W71" s="18"/>
      <c r="X71" s="7"/>
      <c r="Y71" s="7">
        <v>16</v>
      </c>
      <c r="Z71" s="7" t="s">
        <v>895</v>
      </c>
      <c r="AA71" s="7"/>
      <c r="AB71" s="7"/>
      <c r="AC71" s="7"/>
      <c r="AD71" s="12"/>
      <c r="AE71" s="7"/>
      <c r="AF71" s="7"/>
      <c r="AG71" s="7"/>
      <c r="AH71" s="7"/>
      <c r="AI71" s="7">
        <v>38</v>
      </c>
      <c r="AJ71" s="7" t="s">
        <v>896</v>
      </c>
      <c r="AK71" s="7"/>
      <c r="AL71" s="7">
        <v>8</v>
      </c>
      <c r="AM71" s="7" t="s">
        <v>303</v>
      </c>
      <c r="AN71" s="7"/>
      <c r="AO71" s="7"/>
      <c r="AP71" s="7"/>
      <c r="AQ71" s="7"/>
      <c r="AR71" s="7"/>
      <c r="AS71" s="7"/>
      <c r="AT71" s="7"/>
      <c r="AU71" s="7"/>
      <c r="AV71" s="7"/>
      <c r="AW71" s="7"/>
      <c r="AX71" s="7"/>
      <c r="AY71" s="7"/>
      <c r="AZ71" s="7"/>
      <c r="BA71" s="7"/>
      <c r="BB71" s="7"/>
      <c r="BC71" s="7"/>
      <c r="BD71" s="7"/>
      <c r="BE71" s="7"/>
      <c r="BF71" s="7"/>
      <c r="BG71" s="7"/>
      <c r="BH71" s="7"/>
      <c r="BI71" s="7"/>
      <c r="BJ71" s="7"/>
      <c r="BK71" s="7"/>
      <c r="BL71" s="7"/>
      <c r="BM71" s="7"/>
      <c r="BN71" s="7"/>
      <c r="BO71" s="7"/>
      <c r="BP71" s="7"/>
      <c r="BQ71" s="7"/>
      <c r="BR71" s="7"/>
      <c r="BS71" s="7"/>
      <c r="BT71" s="7"/>
      <c r="BU71" s="7"/>
      <c r="BV71" s="7"/>
      <c r="BW71" s="7"/>
      <c r="BX71" s="7"/>
      <c r="BY71" s="7"/>
      <c r="BZ71" s="7"/>
      <c r="CA71" s="7"/>
      <c r="CB71" s="7"/>
      <c r="CC71" s="7"/>
      <c r="CD71" s="7"/>
      <c r="CE71" s="7"/>
      <c r="CF71" s="7"/>
      <c r="CG71" s="7"/>
      <c r="CH71" s="7"/>
      <c r="CI71" s="7"/>
      <c r="CJ71" s="7"/>
      <c r="CK71" s="7"/>
      <c r="CL71" s="7"/>
      <c r="CM71" s="7"/>
      <c r="CN71" s="10" cm="1">
        <f t="array" ref="CN71">INDEX($CP$59:$CP$115,MIN(56,MAX(0,INT(CO71+0)))+1)+0</f>
        <v>33</v>
      </c>
      <c r="CO71" s="7">
        <v>12</v>
      </c>
      <c r="CP71" s="7">
        <v>33</v>
      </c>
      <c r="CQ71" s="7">
        <v>49</v>
      </c>
      <c r="CR71" s="59">
        <v>48</v>
      </c>
      <c r="CS71" s="292" t="str">
        <f t="shared" si="45"/>
        <v>---------</v>
      </c>
      <c r="CT71" s="106">
        <v>20.399999999999999</v>
      </c>
      <c r="CU71" s="12" t="s">
        <v>304</v>
      </c>
      <c r="CV71" s="276" t="str">
        <f t="shared" si="20"/>
        <v>---------</v>
      </c>
      <c r="CW71" s="290">
        <v>2.5400000000000098</v>
      </c>
      <c r="CX71" s="59">
        <v>48</v>
      </c>
      <c r="CY71" s="292" t="str">
        <f t="shared" si="21"/>
        <v>---------</v>
      </c>
      <c r="CZ71" s="7">
        <v>49</v>
      </c>
      <c r="DA71" s="59">
        <v>48</v>
      </c>
      <c r="DB71" s="292" t="str">
        <f t="shared" si="46"/>
        <v>---------</v>
      </c>
      <c r="DC71" s="106">
        <v>20.399999999999999</v>
      </c>
      <c r="DD71" s="12" t="s">
        <v>304</v>
      </c>
      <c r="DE71" s="276" t="str">
        <f t="shared" si="23"/>
        <v>---------</v>
      </c>
      <c r="DF71" s="290">
        <v>2.5400000000000098</v>
      </c>
      <c r="DG71" s="59">
        <v>48</v>
      </c>
      <c r="DH71" s="292" t="str">
        <f t="shared" si="24"/>
        <v>---------</v>
      </c>
      <c r="DI71" s="7"/>
      <c r="DJ71" s="7"/>
      <c r="DK71" s="7"/>
      <c r="DL71" s="7"/>
      <c r="DM71" s="356"/>
      <c r="DN71" s="422" t="s">
        <v>897</v>
      </c>
      <c r="DO71" s="422"/>
      <c r="DP71" s="422"/>
      <c r="DQ71" s="422"/>
      <c r="DR71" s="422"/>
      <c r="DS71" s="422"/>
      <c r="DT71" s="422"/>
      <c r="DU71" s="422"/>
      <c r="DV71" s="422"/>
      <c r="DW71" s="422"/>
      <c r="DX71" s="422"/>
      <c r="DY71" s="422"/>
      <c r="DZ71" s="422"/>
      <c r="EA71" s="422"/>
      <c r="EB71" s="422"/>
      <c r="EC71" s="422"/>
      <c r="ED71" s="422"/>
      <c r="EE71" s="356"/>
      <c r="EF71" s="356"/>
      <c r="EG71" s="356"/>
      <c r="EH71" s="356"/>
      <c r="EI71" s="356"/>
      <c r="EJ71" s="356"/>
      <c r="EK71" s="356"/>
      <c r="EL71" s="356"/>
      <c r="EM71" s="356"/>
      <c r="EN71" s="356"/>
      <c r="EO71" s="356"/>
      <c r="EP71" s="356"/>
      <c r="EQ71" s="356"/>
      <c r="FG71" s="7">
        <v>48</v>
      </c>
      <c r="FH71" s="12">
        <v>15.4</v>
      </c>
      <c r="FJ71" s="7">
        <v>48</v>
      </c>
      <c r="FK71" s="9">
        <v>740</v>
      </c>
      <c r="FR71" s="12"/>
      <c r="FS71" s="7">
        <v>48</v>
      </c>
      <c r="FT71" s="12">
        <v>45.4</v>
      </c>
      <c r="FV71" s="7">
        <v>48</v>
      </c>
      <c r="FW71" s="13">
        <v>0.4</v>
      </c>
    </row>
    <row r="72" spans="1:179" ht="15" customHeight="1">
      <c r="A72">
        <v>1.9</v>
      </c>
      <c r="F72" s="53" t="str">
        <f t="shared" si="47"/>
        <v>----------</v>
      </c>
      <c r="G72" s="53">
        <f>DE23</f>
        <v>0</v>
      </c>
      <c r="T72" s="7"/>
      <c r="U72" s="12"/>
      <c r="V72" s="43"/>
      <c r="W72" s="18"/>
      <c r="X72" s="7"/>
      <c r="Y72" s="7">
        <v>17</v>
      </c>
      <c r="Z72" s="7" t="s">
        <v>898</v>
      </c>
      <c r="AA72" s="7"/>
      <c r="AB72" s="7"/>
      <c r="AC72" s="7"/>
      <c r="AD72" s="12"/>
      <c r="AE72" s="7"/>
      <c r="AF72" s="7"/>
      <c r="AG72" s="7"/>
      <c r="AH72" s="7"/>
      <c r="AI72" s="7">
        <v>39</v>
      </c>
      <c r="AJ72" s="7" t="s">
        <v>899</v>
      </c>
      <c r="AK72" s="7"/>
      <c r="AL72" s="7">
        <v>9</v>
      </c>
      <c r="AM72" s="7" t="s">
        <v>305</v>
      </c>
      <c r="AN72" s="7"/>
      <c r="AO72" s="7"/>
      <c r="AP72" s="7"/>
      <c r="AQ72" s="7"/>
      <c r="AR72" s="7"/>
      <c r="AS72" s="7"/>
      <c r="AT72" s="7"/>
      <c r="AU72" s="7"/>
      <c r="AV72" s="7"/>
      <c r="AW72" s="7"/>
      <c r="AX72" s="7"/>
      <c r="AY72" s="7"/>
      <c r="AZ72" s="7"/>
      <c r="BA72" s="7"/>
      <c r="BB72" s="7"/>
      <c r="BC72" s="7"/>
      <c r="BD72" s="7"/>
      <c r="BE72" s="7"/>
      <c r="BF72" s="7"/>
      <c r="BG72" s="7"/>
      <c r="BH72" s="7"/>
      <c r="BI72" s="7"/>
      <c r="BJ72" s="7"/>
      <c r="BK72" s="7"/>
      <c r="BL72" s="7"/>
      <c r="BM72" s="7"/>
      <c r="BN72" s="7"/>
      <c r="BO72" s="7"/>
      <c r="BP72" s="7"/>
      <c r="BQ72" s="7"/>
      <c r="BR72" s="7"/>
      <c r="BS72" s="7"/>
      <c r="BT72" s="7"/>
      <c r="BU72" s="7"/>
      <c r="BV72" s="7"/>
      <c r="BW72" s="7"/>
      <c r="BX72" s="7"/>
      <c r="BY72" s="7"/>
      <c r="BZ72" s="7"/>
      <c r="CA72" s="7"/>
      <c r="CB72" s="7"/>
      <c r="CC72" s="7"/>
      <c r="CD72" s="7"/>
      <c r="CE72" s="7"/>
      <c r="CF72" s="7"/>
      <c r="CG72" s="7"/>
      <c r="CH72" s="7"/>
      <c r="CI72" s="7"/>
      <c r="CJ72" s="7"/>
      <c r="CK72" s="7"/>
      <c r="CL72" s="7"/>
      <c r="CM72" s="7"/>
      <c r="CN72" s="10" cm="1">
        <f t="array" ref="CN72">INDEX($CP$59:$CP$115,MIN(56,MAX(0,INT(CO72+0)))+1)+0</f>
        <v>33</v>
      </c>
      <c r="CO72" s="7">
        <v>13</v>
      </c>
      <c r="CP72" s="7">
        <v>33</v>
      </c>
      <c r="CQ72" s="7">
        <v>48</v>
      </c>
      <c r="CR72" s="59">
        <v>49</v>
      </c>
      <c r="CS72" s="292" t="str">
        <f t="shared" si="45"/>
        <v>---------</v>
      </c>
      <c r="CT72" s="106">
        <v>20.3</v>
      </c>
      <c r="CU72" s="12" t="s">
        <v>306</v>
      </c>
      <c r="CV72" s="276" t="str">
        <f t="shared" si="20"/>
        <v>---------</v>
      </c>
      <c r="CW72" s="290">
        <v>2.53000000000001</v>
      </c>
      <c r="CX72" s="59">
        <v>49</v>
      </c>
      <c r="CY72" s="292" t="str">
        <f t="shared" si="21"/>
        <v>---------</v>
      </c>
      <c r="CZ72" s="7">
        <v>48</v>
      </c>
      <c r="DA72" s="59">
        <v>49</v>
      </c>
      <c r="DB72" s="292" t="str">
        <f t="shared" si="46"/>
        <v>---------</v>
      </c>
      <c r="DC72" s="106">
        <v>20.3</v>
      </c>
      <c r="DD72" s="12" t="s">
        <v>306</v>
      </c>
      <c r="DE72" s="276" t="str">
        <f t="shared" si="23"/>
        <v>---------</v>
      </c>
      <c r="DF72" s="290">
        <v>2.53000000000001</v>
      </c>
      <c r="DG72" s="59">
        <v>49</v>
      </c>
      <c r="DH72" s="292" t="str">
        <f t="shared" si="24"/>
        <v>---------</v>
      </c>
      <c r="DI72" s="7"/>
      <c r="DJ72" s="7"/>
      <c r="DK72" s="7"/>
      <c r="DL72" s="7"/>
      <c r="DM72" s="356"/>
      <c r="DN72" s="422" t="s">
        <v>900</v>
      </c>
      <c r="DO72" s="422"/>
      <c r="DP72" s="422"/>
      <c r="DQ72" s="422"/>
      <c r="DR72" s="422"/>
      <c r="DS72" s="422"/>
      <c r="DT72" s="422"/>
      <c r="DU72" s="422"/>
      <c r="DV72" s="422"/>
      <c r="DW72" s="422"/>
      <c r="DX72" s="422"/>
      <c r="DY72" s="422"/>
      <c r="DZ72" s="422"/>
      <c r="EA72" s="422"/>
      <c r="EB72" s="422"/>
      <c r="EC72" s="422"/>
      <c r="ED72" s="422"/>
      <c r="EE72" s="356"/>
      <c r="EF72" s="356"/>
      <c r="EG72" s="356"/>
      <c r="EH72" s="356"/>
      <c r="EI72" s="356"/>
      <c r="EJ72" s="356"/>
      <c r="EK72" s="356"/>
      <c r="EL72" s="356"/>
      <c r="EM72" s="356"/>
      <c r="EN72" s="356"/>
      <c r="EO72" s="356"/>
      <c r="EP72" s="356"/>
      <c r="EQ72" s="356"/>
      <c r="FG72" s="7">
        <v>49</v>
      </c>
      <c r="FH72" s="12">
        <v>15.3</v>
      </c>
      <c r="FJ72" s="7">
        <v>49</v>
      </c>
      <c r="FK72" s="9">
        <v>730</v>
      </c>
      <c r="FR72" s="12"/>
      <c r="FS72" s="7">
        <v>49</v>
      </c>
      <c r="FT72" s="12">
        <v>45.3</v>
      </c>
      <c r="FV72" s="7">
        <v>49</v>
      </c>
      <c r="FW72" s="13">
        <v>0.3</v>
      </c>
    </row>
    <row r="73" spans="1:179" ht="15" customHeight="1">
      <c r="A73">
        <v>1.8</v>
      </c>
      <c r="F73" s="53" t="str">
        <f>IF(DS8&lt;&gt;"",DS8,"----------")</f>
        <v>----------</v>
      </c>
      <c r="G73" s="53">
        <f>CE23</f>
        <v>0</v>
      </c>
      <c r="T73" s="7"/>
      <c r="U73" s="12"/>
      <c r="V73" s="43"/>
      <c r="W73" s="12"/>
      <c r="X73" s="7"/>
      <c r="Y73" s="7">
        <v>18</v>
      </c>
      <c r="Z73" s="7" t="s">
        <v>901</v>
      </c>
      <c r="AA73" s="7"/>
      <c r="AB73" s="7"/>
      <c r="AC73" s="7"/>
      <c r="AD73" s="12"/>
      <c r="AE73" s="7"/>
      <c r="AF73" s="7"/>
      <c r="AG73" s="7"/>
      <c r="AH73" s="7"/>
      <c r="AI73" s="7">
        <v>40</v>
      </c>
      <c r="AJ73" s="7" t="s">
        <v>902</v>
      </c>
      <c r="AK73" s="7"/>
      <c r="AL73" s="7">
        <v>10</v>
      </c>
      <c r="AM73" s="7" t="s">
        <v>307</v>
      </c>
      <c r="AN73" s="7"/>
      <c r="AO73" s="7"/>
      <c r="AP73" s="7"/>
      <c r="AQ73" s="7"/>
      <c r="AR73" s="7"/>
      <c r="AS73" s="7"/>
      <c r="AT73" s="7"/>
      <c r="AU73" s="7"/>
      <c r="AV73" s="7"/>
      <c r="AW73" s="7"/>
      <c r="AX73" s="7"/>
      <c r="AY73" s="7"/>
      <c r="AZ73" s="7"/>
      <c r="BA73" s="7"/>
      <c r="BB73" s="7"/>
      <c r="BC73" s="7"/>
      <c r="BD73" s="7"/>
      <c r="BE73" s="7"/>
      <c r="BF73" s="7"/>
      <c r="BG73" s="7"/>
      <c r="BH73" s="7"/>
      <c r="BI73" s="7"/>
      <c r="BJ73" s="7"/>
      <c r="BK73" s="7"/>
      <c r="BL73" s="7"/>
      <c r="BM73" s="7"/>
      <c r="BN73" s="7"/>
      <c r="BO73" s="7"/>
      <c r="BP73" s="7"/>
      <c r="BQ73" s="7"/>
      <c r="BR73" s="7"/>
      <c r="BS73" s="7"/>
      <c r="BT73" s="7"/>
      <c r="BU73" s="7"/>
      <c r="BV73" s="7"/>
      <c r="BW73" s="7"/>
      <c r="BX73" s="7"/>
      <c r="BY73" s="7"/>
      <c r="BZ73" s="7"/>
      <c r="CA73" s="7"/>
      <c r="CB73" s="7"/>
      <c r="CC73" s="7"/>
      <c r="CD73" s="7"/>
      <c r="CE73" s="7"/>
      <c r="CF73" s="7"/>
      <c r="CG73" s="7"/>
      <c r="CH73" s="7"/>
      <c r="CI73" s="7"/>
      <c r="CJ73" s="7"/>
      <c r="CK73" s="7"/>
      <c r="CL73" s="7"/>
      <c r="CM73" s="7"/>
      <c r="CN73" s="10" cm="1">
        <f t="array" ref="CN73">INDEX($CP$59:$CP$115,MIN(56,MAX(0,INT(CO73+0)))+1)+0</f>
        <v>33</v>
      </c>
      <c r="CO73" s="7">
        <v>14</v>
      </c>
      <c r="CP73" s="7">
        <v>33</v>
      </c>
      <c r="CQ73" s="7">
        <v>47</v>
      </c>
      <c r="CR73" s="59">
        <v>50</v>
      </c>
      <c r="CS73" s="292" t="str">
        <f t="shared" si="45"/>
        <v>---------</v>
      </c>
      <c r="CT73" s="106">
        <v>20.2</v>
      </c>
      <c r="CU73" s="12" t="s">
        <v>308</v>
      </c>
      <c r="CV73" s="276" t="str">
        <f t="shared" si="20"/>
        <v>---------</v>
      </c>
      <c r="CW73" s="290">
        <v>2.5200000000000098</v>
      </c>
      <c r="CX73" s="59">
        <v>50</v>
      </c>
      <c r="CY73" s="292" t="str">
        <f t="shared" si="21"/>
        <v>---------</v>
      </c>
      <c r="CZ73" s="7">
        <v>47</v>
      </c>
      <c r="DA73" s="59">
        <v>50</v>
      </c>
      <c r="DB73" s="292" t="str">
        <f t="shared" si="46"/>
        <v>---------</v>
      </c>
      <c r="DC73" s="106">
        <v>20.2</v>
      </c>
      <c r="DD73" s="12" t="s">
        <v>308</v>
      </c>
      <c r="DE73" s="276" t="str">
        <f t="shared" si="23"/>
        <v>---------</v>
      </c>
      <c r="DF73" s="290">
        <v>2.5200000000000098</v>
      </c>
      <c r="DG73" s="59">
        <v>50</v>
      </c>
      <c r="DH73" s="292" t="str">
        <f t="shared" si="24"/>
        <v>---------</v>
      </c>
      <c r="DI73" s="7"/>
      <c r="DJ73" s="7"/>
      <c r="DK73" s="7"/>
      <c r="DL73" s="7"/>
      <c r="DM73" s="356"/>
      <c r="DN73" s="422" t="s">
        <v>903</v>
      </c>
      <c r="DO73" s="422"/>
      <c r="DP73" s="422"/>
      <c r="DQ73" s="422"/>
      <c r="DR73" s="422"/>
      <c r="DS73" s="422"/>
      <c r="DT73" s="422"/>
      <c r="DU73" s="422"/>
      <c r="DV73" s="422"/>
      <c r="DW73" s="422"/>
      <c r="DX73" s="422"/>
      <c r="DY73" s="422"/>
      <c r="DZ73" s="422"/>
      <c r="EA73" s="422"/>
      <c r="EB73" s="422"/>
      <c r="EC73" s="422"/>
      <c r="ED73" s="422"/>
      <c r="EE73" s="356"/>
      <c r="EF73" s="356"/>
      <c r="EG73" s="356"/>
      <c r="EH73" s="356"/>
      <c r="EI73" s="356"/>
      <c r="EJ73" s="356"/>
      <c r="EK73" s="356"/>
      <c r="EL73" s="356"/>
      <c r="EM73" s="356"/>
      <c r="EN73" s="356"/>
      <c r="EO73" s="356"/>
      <c r="EP73" s="356"/>
      <c r="EQ73" s="356"/>
      <c r="FG73" s="7">
        <v>50</v>
      </c>
      <c r="FH73" s="12">
        <v>15.2</v>
      </c>
      <c r="FJ73" s="7">
        <v>50</v>
      </c>
      <c r="FK73" s="9">
        <v>720</v>
      </c>
      <c r="FR73" s="12"/>
      <c r="FS73" s="7">
        <v>50</v>
      </c>
      <c r="FT73" s="12">
        <v>45.2</v>
      </c>
      <c r="FV73" s="7">
        <v>50</v>
      </c>
      <c r="FW73" s="13">
        <v>0.2</v>
      </c>
    </row>
    <row r="74" spans="1:179" ht="15" customHeight="1">
      <c r="A74">
        <v>1.7</v>
      </c>
      <c r="F74" s="53" t="str">
        <f>DV2</f>
        <v>Exterior Bracing / RAB</v>
      </c>
      <c r="G74" s="53" t="str">
        <f>BK23</f>
        <v>none</v>
      </c>
      <c r="T74" s="7"/>
      <c r="U74" s="12"/>
      <c r="V74" s="43"/>
      <c r="W74" s="18"/>
      <c r="X74" s="7"/>
      <c r="Y74" s="7">
        <v>19</v>
      </c>
      <c r="Z74" s="7" t="s">
        <v>904</v>
      </c>
      <c r="AA74" s="7"/>
      <c r="AB74" s="7"/>
      <c r="AC74" s="7"/>
      <c r="AD74" s="12"/>
      <c r="AE74" s="7"/>
      <c r="AF74" s="7"/>
      <c r="AG74" s="7"/>
      <c r="AH74" s="7"/>
      <c r="AI74" s="7">
        <v>41</v>
      </c>
      <c r="AJ74" s="7" t="s">
        <v>905</v>
      </c>
      <c r="AK74" s="7"/>
      <c r="AL74" s="7">
        <v>11</v>
      </c>
      <c r="AM74" s="7" t="s">
        <v>309</v>
      </c>
      <c r="AN74" s="7"/>
      <c r="AO74" s="7"/>
      <c r="AP74" s="7"/>
      <c r="AQ74" s="7"/>
      <c r="AR74" s="7"/>
      <c r="AS74" s="7"/>
      <c r="AT74" s="7"/>
      <c r="AU74" s="7"/>
      <c r="AV74" s="7"/>
      <c r="AW74" s="7"/>
      <c r="AX74" s="7"/>
      <c r="AY74" s="7"/>
      <c r="AZ74" s="7"/>
      <c r="BA74" s="7"/>
      <c r="BB74" s="7"/>
      <c r="BC74" s="7"/>
      <c r="BD74" s="7"/>
      <c r="BE74" s="7"/>
      <c r="BF74" s="7"/>
      <c r="BG74" s="7"/>
      <c r="BH74" s="7"/>
      <c r="BI74" s="7"/>
      <c r="BJ74" s="7"/>
      <c r="BK74" s="7"/>
      <c r="BL74" s="7"/>
      <c r="BM74" s="7"/>
      <c r="BN74" s="7"/>
      <c r="BO74" s="7"/>
      <c r="BP74" s="7"/>
      <c r="BQ74" s="7"/>
      <c r="BR74" s="7"/>
      <c r="BS74" s="7"/>
      <c r="BT74" s="7"/>
      <c r="BU74" s="7"/>
      <c r="BV74" s="7"/>
      <c r="BW74" s="7"/>
      <c r="BX74" s="7"/>
      <c r="BY74" s="7"/>
      <c r="BZ74" s="7"/>
      <c r="CA74" s="7"/>
      <c r="CB74" s="7"/>
      <c r="CC74" s="7"/>
      <c r="CD74" s="7"/>
      <c r="CE74" s="7"/>
      <c r="CF74" s="7"/>
      <c r="CG74" s="7"/>
      <c r="CH74" s="7"/>
      <c r="CI74" s="7"/>
      <c r="CJ74" s="7"/>
      <c r="CK74" s="7"/>
      <c r="CL74" s="7"/>
      <c r="CM74" s="7"/>
      <c r="CN74" s="10" cm="1">
        <f t="array" ref="CN74">INDEX($CP$59:$CP$115,MIN(56,MAX(0,INT(CO74+0)))+1)+0</f>
        <v>32</v>
      </c>
      <c r="CO74" s="7">
        <v>15</v>
      </c>
      <c r="CP74" s="7">
        <v>32</v>
      </c>
      <c r="CQ74" s="7">
        <v>46</v>
      </c>
      <c r="CR74" s="59">
        <v>51</v>
      </c>
      <c r="CS74" s="292" t="str">
        <f t="shared" si="45"/>
        <v>---------</v>
      </c>
      <c r="CT74" s="106">
        <v>20.100000000000001</v>
      </c>
      <c r="CU74" s="12" t="s">
        <v>310</v>
      </c>
      <c r="CV74" s="276" t="str">
        <f t="shared" si="20"/>
        <v>---------</v>
      </c>
      <c r="CW74" s="290">
        <v>2.51000000000001</v>
      </c>
      <c r="CX74" s="59">
        <v>51</v>
      </c>
      <c r="CY74" s="292" t="str">
        <f t="shared" si="21"/>
        <v>---------</v>
      </c>
      <c r="CZ74" s="7">
        <v>46</v>
      </c>
      <c r="DA74" s="59">
        <v>51</v>
      </c>
      <c r="DB74" s="292" t="str">
        <f t="shared" si="46"/>
        <v>---------</v>
      </c>
      <c r="DC74" s="106">
        <v>20.100000000000001</v>
      </c>
      <c r="DD74" s="12" t="s">
        <v>310</v>
      </c>
      <c r="DE74" s="276" t="str">
        <f t="shared" si="23"/>
        <v>---------</v>
      </c>
      <c r="DF74" s="290">
        <v>2.51000000000001</v>
      </c>
      <c r="DG74" s="59">
        <v>51</v>
      </c>
      <c r="DH74" s="292" t="str">
        <f t="shared" si="24"/>
        <v>---------</v>
      </c>
      <c r="DI74" s="7"/>
      <c r="DJ74" s="7"/>
      <c r="DK74" s="7"/>
      <c r="DL74" s="7"/>
      <c r="DM74" s="356"/>
      <c r="DN74" s="358" t="s">
        <v>906</v>
      </c>
      <c r="DO74" s="358"/>
      <c r="DP74" s="358"/>
      <c r="DQ74" s="358"/>
      <c r="DR74" s="358"/>
      <c r="DS74" s="358"/>
      <c r="DT74" s="358"/>
      <c r="DU74" s="358"/>
      <c r="DV74" s="358"/>
      <c r="DW74" s="358"/>
      <c r="DX74" s="358"/>
      <c r="DY74" s="358"/>
      <c r="DZ74" s="358"/>
      <c r="EA74" s="358"/>
      <c r="EB74" s="358"/>
      <c r="EC74" s="358"/>
      <c r="ED74" s="358"/>
      <c r="EE74" s="356"/>
      <c r="EF74" s="356"/>
      <c r="EG74" s="356"/>
      <c r="EH74" s="356"/>
      <c r="EI74" s="356"/>
      <c r="EJ74" s="356"/>
      <c r="EK74" s="356"/>
      <c r="EL74" s="356"/>
      <c r="EM74" s="356"/>
      <c r="EN74" s="356"/>
      <c r="EO74" s="356"/>
      <c r="EP74" s="356"/>
      <c r="EQ74" s="356"/>
      <c r="FG74" s="7">
        <v>51</v>
      </c>
      <c r="FH74" s="12">
        <v>15.1</v>
      </c>
      <c r="FJ74" s="7">
        <v>51</v>
      </c>
      <c r="FK74" s="9">
        <v>710</v>
      </c>
      <c r="FR74" s="12"/>
      <c r="FS74" s="7">
        <v>51</v>
      </c>
      <c r="FT74" s="12">
        <v>45.1</v>
      </c>
      <c r="FV74" s="7">
        <v>51</v>
      </c>
      <c r="FW74" s="13">
        <v>0.1</v>
      </c>
    </row>
    <row r="75" spans="1:179" ht="15" customHeight="1">
      <c r="A75">
        <v>1.6</v>
      </c>
      <c r="F75" s="53" t="str">
        <f>DZ2</f>
        <v>Primary frame</v>
      </c>
      <c r="G75" s="53" t="str">
        <f>CI23</f>
        <v>none</v>
      </c>
      <c r="T75" s="7"/>
      <c r="U75" s="12"/>
      <c r="V75" s="43"/>
      <c r="W75" s="18"/>
      <c r="X75" s="7"/>
      <c r="Y75" s="7">
        <v>20</v>
      </c>
      <c r="Z75" s="7" t="s">
        <v>907</v>
      </c>
      <c r="AA75" s="7"/>
      <c r="AB75" s="7"/>
      <c r="AC75" s="7"/>
      <c r="AD75" s="12"/>
      <c r="AE75" s="7"/>
      <c r="AF75" s="7"/>
      <c r="AG75" s="7"/>
      <c r="AH75" s="7"/>
      <c r="AI75" s="7">
        <v>42</v>
      </c>
      <c r="AJ75" s="7" t="s">
        <v>908</v>
      </c>
      <c r="AK75" s="7"/>
      <c r="AL75" s="7">
        <v>12</v>
      </c>
      <c r="AM75" s="7" t="s">
        <v>311</v>
      </c>
      <c r="AN75" s="7"/>
      <c r="AO75" s="7"/>
      <c r="AP75" s="7"/>
      <c r="AQ75" s="7"/>
      <c r="AR75" s="7"/>
      <c r="AS75" s="7"/>
      <c r="AT75" s="7"/>
      <c r="AU75" s="7"/>
      <c r="AV75" s="7"/>
      <c r="AW75" s="7"/>
      <c r="AX75" s="7"/>
      <c r="AY75" s="7"/>
      <c r="AZ75" s="7"/>
      <c r="BA75" s="7"/>
      <c r="BB75" s="7"/>
      <c r="BC75" s="7"/>
      <c r="BD75" s="7"/>
      <c r="BE75" s="7"/>
      <c r="BF75" s="7"/>
      <c r="BG75" s="7"/>
      <c r="BH75" s="7"/>
      <c r="BI75" s="7"/>
      <c r="BJ75" s="7"/>
      <c r="BK75" s="7"/>
      <c r="BL75" s="7"/>
      <c r="BN75" s="7"/>
      <c r="BO75" s="7"/>
      <c r="BP75" s="7"/>
      <c r="BQ75" s="7"/>
      <c r="BR75" s="7"/>
      <c r="BS75" s="7"/>
      <c r="BT75" s="7"/>
      <c r="BU75" s="7"/>
      <c r="BV75" s="7"/>
      <c r="BW75" s="7"/>
      <c r="BX75" s="7"/>
      <c r="BY75" s="7"/>
      <c r="BZ75" s="7"/>
      <c r="CA75" s="7"/>
      <c r="CB75" s="7"/>
      <c r="CC75" s="7"/>
      <c r="CD75" s="7"/>
      <c r="CE75" s="7"/>
      <c r="CF75" s="7"/>
      <c r="CG75" s="7"/>
      <c r="CH75" s="7"/>
      <c r="CI75" s="7"/>
      <c r="CJ75" s="7"/>
      <c r="CK75" s="7"/>
      <c r="CL75" s="7"/>
      <c r="CM75" s="7"/>
      <c r="CN75" s="10" cm="1">
        <f t="array" ref="CN75">INDEX($CP$59:$CP$115,MIN(56,MAX(0,INT(CO75+0)))+1)+0</f>
        <v>31</v>
      </c>
      <c r="CO75" s="7">
        <v>16</v>
      </c>
      <c r="CP75" s="7">
        <v>31</v>
      </c>
      <c r="CQ75" s="7">
        <v>45</v>
      </c>
      <c r="CR75" s="59">
        <v>52</v>
      </c>
      <c r="CS75" s="292" t="str">
        <f t="shared" si="45"/>
        <v>---------</v>
      </c>
      <c r="CT75" s="106">
        <v>20</v>
      </c>
      <c r="CU75" s="12" t="s">
        <v>312</v>
      </c>
      <c r="CV75" s="276" t="str">
        <f t="shared" si="20"/>
        <v>---------</v>
      </c>
      <c r="CW75" s="290">
        <v>2.5000000000000102</v>
      </c>
      <c r="CX75" s="59">
        <v>52</v>
      </c>
      <c r="CY75" s="292" t="str">
        <f t="shared" si="21"/>
        <v>---------</v>
      </c>
      <c r="CZ75" s="7">
        <v>45</v>
      </c>
      <c r="DA75" s="59">
        <v>52</v>
      </c>
      <c r="DB75" s="292" t="str">
        <f t="shared" si="46"/>
        <v>---------</v>
      </c>
      <c r="DC75" s="106">
        <v>20</v>
      </c>
      <c r="DD75" s="12" t="s">
        <v>312</v>
      </c>
      <c r="DE75" s="276" t="str">
        <f t="shared" si="23"/>
        <v>---------</v>
      </c>
      <c r="DF75" s="290">
        <v>2.5000000000000102</v>
      </c>
      <c r="DG75" s="59">
        <v>52</v>
      </c>
      <c r="DH75" s="292" t="str">
        <f t="shared" si="24"/>
        <v>---------</v>
      </c>
      <c r="DI75" s="7"/>
      <c r="DJ75" s="7"/>
      <c r="DK75" s="7"/>
      <c r="DL75" s="7"/>
      <c r="DM75" s="356"/>
      <c r="DN75" s="358"/>
      <c r="DO75" s="358"/>
      <c r="DP75" s="358"/>
      <c r="DQ75" s="358"/>
      <c r="DR75" s="358"/>
      <c r="DS75" s="358"/>
      <c r="DT75" s="358"/>
      <c r="DU75" s="358"/>
      <c r="DV75" s="358"/>
      <c r="DW75" s="358"/>
      <c r="DX75" s="358"/>
      <c r="DY75" s="358"/>
      <c r="DZ75" s="358"/>
      <c r="EA75" s="358"/>
      <c r="EB75" s="358"/>
      <c r="EC75" s="358"/>
      <c r="ED75" s="358"/>
      <c r="EE75" s="356"/>
      <c r="EF75" s="356"/>
      <c r="EG75" s="356"/>
      <c r="EH75" s="356"/>
      <c r="EI75" s="356"/>
      <c r="EJ75" s="356"/>
      <c r="EK75" s="356"/>
      <c r="EL75" s="356"/>
      <c r="EM75" s="356"/>
      <c r="EN75" s="356"/>
      <c r="EO75" s="356"/>
      <c r="EP75" s="356"/>
      <c r="EQ75" s="356"/>
      <c r="FG75" s="7">
        <v>52</v>
      </c>
      <c r="FH75" s="12">
        <v>15</v>
      </c>
      <c r="FJ75" s="7">
        <v>52</v>
      </c>
      <c r="FK75" s="9">
        <v>700</v>
      </c>
      <c r="FR75" s="12"/>
      <c r="FS75" s="7">
        <v>52</v>
      </c>
      <c r="FT75" s="12">
        <v>45</v>
      </c>
      <c r="FV75" s="7">
        <v>52</v>
      </c>
      <c r="FW75" s="9">
        <v>0</v>
      </c>
    </row>
    <row r="76" spans="1:179" ht="15" customHeight="1">
      <c r="A76">
        <v>1.5</v>
      </c>
      <c r="F76" s="53" t="str">
        <f>EB5</f>
        <v xml:space="preserve">Insul. R-value range  </v>
      </c>
      <c r="G76" s="53" t="str">
        <f>BR23</f>
        <v>no insul.</v>
      </c>
      <c r="T76" s="7"/>
      <c r="U76" s="7"/>
      <c r="V76" s="43"/>
      <c r="W76" s="7"/>
      <c r="X76" s="7"/>
      <c r="Y76" s="7">
        <v>21</v>
      </c>
      <c r="Z76" s="7" t="s">
        <v>909</v>
      </c>
      <c r="AA76" s="7"/>
      <c r="AB76" s="7"/>
      <c r="AC76" s="7"/>
      <c r="AD76" s="12"/>
      <c r="AE76" s="7"/>
      <c r="AF76" s="7"/>
      <c r="AG76" s="7"/>
      <c r="AH76" s="7"/>
      <c r="AI76" s="7">
        <v>43</v>
      </c>
      <c r="AJ76" s="7" t="s">
        <v>910</v>
      </c>
      <c r="AK76" s="7"/>
      <c r="AL76" s="7">
        <v>13</v>
      </c>
      <c r="AM76" s="7" t="s">
        <v>313</v>
      </c>
      <c r="AN76" s="7"/>
      <c r="AO76" s="7"/>
      <c r="AP76" s="7"/>
      <c r="AQ76" s="7"/>
      <c r="AR76" s="7"/>
      <c r="AS76" s="7"/>
      <c r="AT76" s="7"/>
      <c r="AU76" s="7"/>
      <c r="AV76" s="7"/>
      <c r="AW76" s="7"/>
      <c r="AX76" s="7"/>
      <c r="AY76" s="7"/>
      <c r="AZ76" s="7"/>
      <c r="BA76" s="7"/>
      <c r="BB76" s="7"/>
      <c r="BC76" s="7"/>
      <c r="BD76" s="7"/>
      <c r="BE76" s="7"/>
      <c r="BF76" s="7"/>
      <c r="BG76" s="7"/>
      <c r="BH76" s="7"/>
      <c r="BI76" s="7"/>
      <c r="BJ76" s="7"/>
      <c r="BK76" s="7"/>
      <c r="BL76" s="7"/>
      <c r="BN76" s="7"/>
      <c r="BO76" s="7"/>
      <c r="BP76" s="7"/>
      <c r="BQ76" s="7"/>
      <c r="BR76" s="7"/>
      <c r="BS76" s="7"/>
      <c r="BT76" s="7"/>
      <c r="BU76" s="7"/>
      <c r="BV76" s="7"/>
      <c r="BW76" s="7"/>
      <c r="BX76" s="7"/>
      <c r="BY76" s="7"/>
      <c r="BZ76" s="7"/>
      <c r="CA76" s="7"/>
      <c r="CB76" s="7"/>
      <c r="CC76" s="7"/>
      <c r="CD76" s="7"/>
      <c r="CE76" s="7"/>
      <c r="CF76" s="7"/>
      <c r="CG76" s="7"/>
      <c r="CH76" s="7"/>
      <c r="CI76" s="7"/>
      <c r="CJ76" s="7"/>
      <c r="CK76" s="7"/>
      <c r="CL76" s="7"/>
      <c r="CM76" s="7"/>
      <c r="CN76" s="10" cm="1">
        <f t="array" ref="CN76">INDEX($CP$59:$CP$115,MIN(56,MAX(0,INT(CO76+0)))+1)+0</f>
        <v>30</v>
      </c>
      <c r="CO76" s="7">
        <v>17</v>
      </c>
      <c r="CP76" s="7">
        <v>30</v>
      </c>
      <c r="CQ76" s="7">
        <v>44</v>
      </c>
      <c r="CR76" s="59">
        <v>53</v>
      </c>
      <c r="CS76" s="292" t="str">
        <f t="shared" si="45"/>
        <v>---------</v>
      </c>
      <c r="CT76" s="106">
        <v>19.899999999999999</v>
      </c>
      <c r="CU76" s="12" t="s">
        <v>314</v>
      </c>
      <c r="CV76" s="276" t="str">
        <f t="shared" si="20"/>
        <v>---------</v>
      </c>
      <c r="CW76" s="290">
        <v>2.49000000000001</v>
      </c>
      <c r="CX76" s="59">
        <v>53</v>
      </c>
      <c r="CY76" s="292" t="str">
        <f t="shared" si="21"/>
        <v>---------</v>
      </c>
      <c r="CZ76" s="7">
        <v>44</v>
      </c>
      <c r="DA76" s="59">
        <v>53</v>
      </c>
      <c r="DB76" s="292" t="str">
        <f t="shared" si="46"/>
        <v>---------</v>
      </c>
      <c r="DC76" s="106">
        <v>19.899999999999999</v>
      </c>
      <c r="DD76" s="12" t="s">
        <v>314</v>
      </c>
      <c r="DE76" s="276" t="str">
        <f t="shared" si="23"/>
        <v>---------</v>
      </c>
      <c r="DF76" s="290">
        <v>2.49000000000001</v>
      </c>
      <c r="DG76" s="59">
        <v>53</v>
      </c>
      <c r="DH76" s="292" t="str">
        <f t="shared" si="24"/>
        <v>---------</v>
      </c>
      <c r="DI76" s="7"/>
      <c r="DJ76" s="7"/>
      <c r="DK76" s="7"/>
      <c r="DL76" s="7"/>
      <c r="DM76" s="356"/>
      <c r="DN76" s="423"/>
      <c r="DO76" s="358"/>
      <c r="DP76" s="358"/>
      <c r="DQ76" s="358"/>
      <c r="DR76" s="358"/>
      <c r="DS76" s="358"/>
      <c r="DT76" s="358"/>
      <c r="DU76" s="358"/>
      <c r="DV76" s="358"/>
      <c r="DW76" s="358"/>
      <c r="DX76" s="358"/>
      <c r="DY76" s="358"/>
      <c r="DZ76" s="358"/>
      <c r="EA76" s="358"/>
      <c r="EB76" s="358"/>
      <c r="EC76" s="358"/>
      <c r="ED76" s="358"/>
      <c r="EE76" s="356"/>
      <c r="EF76" s="356"/>
      <c r="EG76" s="356"/>
      <c r="EH76" s="356"/>
      <c r="EI76" s="356"/>
      <c r="EJ76" s="356"/>
      <c r="EK76" s="356"/>
      <c r="EL76" s="356"/>
      <c r="EM76" s="356"/>
      <c r="EN76" s="356"/>
      <c r="EO76" s="356"/>
      <c r="EP76" s="356"/>
      <c r="EQ76" s="356"/>
      <c r="FG76" s="7">
        <v>53</v>
      </c>
      <c r="FH76" s="12">
        <v>14.9</v>
      </c>
      <c r="FJ76" s="7">
        <v>53</v>
      </c>
      <c r="FK76" s="9">
        <v>690</v>
      </c>
      <c r="FR76" s="12"/>
      <c r="FS76" s="7">
        <v>53</v>
      </c>
      <c r="FT76" s="12">
        <v>44.9</v>
      </c>
    </row>
    <row r="77" spans="1:179" ht="15" customHeight="1">
      <c r="F77" s="53" t="str">
        <f>IF(EB6&lt;&gt;"",EB6,"----------")</f>
        <v>----------</v>
      </c>
      <c r="G77" s="53">
        <f>BU23</f>
        <v>0</v>
      </c>
      <c r="T77" s="7"/>
      <c r="U77" s="7"/>
      <c r="V77" s="43"/>
      <c r="W77" s="7"/>
      <c r="X77" s="7"/>
      <c r="Y77" s="7">
        <v>22</v>
      </c>
      <c r="Z77" s="7" t="s">
        <v>911</v>
      </c>
      <c r="AA77" s="7"/>
      <c r="AB77" s="7"/>
      <c r="AC77" s="7"/>
      <c r="AD77" s="12"/>
      <c r="AE77" s="7"/>
      <c r="AF77" s="7"/>
      <c r="AG77" s="7"/>
      <c r="AH77" s="7"/>
      <c r="AI77" s="7">
        <v>44</v>
      </c>
      <c r="AJ77" s="7" t="s">
        <v>912</v>
      </c>
      <c r="AK77" s="7"/>
      <c r="AL77" s="7">
        <v>14</v>
      </c>
      <c r="AM77" s="7" t="s">
        <v>315</v>
      </c>
      <c r="AN77" s="7"/>
      <c r="AO77" s="7"/>
      <c r="AP77" s="7"/>
      <c r="AQ77" s="7"/>
      <c r="AR77" s="7"/>
      <c r="AS77" s="7"/>
      <c r="AT77" s="7"/>
      <c r="AU77" s="7"/>
      <c r="AV77" s="7"/>
      <c r="AW77" s="7"/>
      <c r="AX77" s="7"/>
      <c r="AY77" s="7"/>
      <c r="AZ77" s="7"/>
      <c r="BA77" s="7"/>
      <c r="BB77" s="7"/>
      <c r="BC77" s="7"/>
      <c r="BD77" s="7"/>
      <c r="BE77" s="7"/>
      <c r="BF77" s="7"/>
      <c r="BG77" s="7"/>
      <c r="BH77" s="7"/>
      <c r="BI77" s="7"/>
      <c r="BJ77" s="7"/>
      <c r="BK77" s="7"/>
      <c r="BL77" s="7"/>
      <c r="BN77" s="7"/>
      <c r="BO77" s="7"/>
      <c r="BP77" s="7"/>
      <c r="BQ77" s="7"/>
      <c r="BR77" s="7"/>
      <c r="BS77" s="7"/>
      <c r="BT77" s="7"/>
      <c r="BU77" s="7"/>
      <c r="BV77" s="7"/>
      <c r="BW77" s="7"/>
      <c r="BX77" s="7"/>
      <c r="BY77" s="7"/>
      <c r="BZ77" s="7"/>
      <c r="CA77" s="7"/>
      <c r="CB77" s="7"/>
      <c r="CC77" s="7"/>
      <c r="CD77" s="7"/>
      <c r="CE77" s="7"/>
      <c r="CF77" s="7"/>
      <c r="CG77" s="7"/>
      <c r="CH77" s="7"/>
      <c r="CI77" s="7"/>
      <c r="CJ77" s="7"/>
      <c r="CK77" s="7"/>
      <c r="CL77" s="7"/>
      <c r="CM77" s="7"/>
      <c r="CN77" s="10" cm="1">
        <f t="array" ref="CN77">INDEX($CP$59:$CP$115,MIN(56,MAX(0,INT(CO77+0)))+1)+0</f>
        <v>29</v>
      </c>
      <c r="CO77" s="7">
        <v>18</v>
      </c>
      <c r="CP77" s="7">
        <v>29</v>
      </c>
      <c r="CQ77" s="7">
        <v>43</v>
      </c>
      <c r="CR77" s="59">
        <v>54</v>
      </c>
      <c r="CS77" s="292" t="str">
        <f t="shared" si="45"/>
        <v>---------</v>
      </c>
      <c r="CT77" s="106">
        <v>19.8</v>
      </c>
      <c r="CU77" s="12" t="s">
        <v>316</v>
      </c>
      <c r="CV77" s="276" t="str">
        <f t="shared" si="20"/>
        <v>---------</v>
      </c>
      <c r="CW77" s="290">
        <v>2.4800000000000102</v>
      </c>
      <c r="CX77" s="59">
        <v>54</v>
      </c>
      <c r="CY77" s="292" t="str">
        <f t="shared" si="21"/>
        <v>---------</v>
      </c>
      <c r="CZ77" s="7">
        <v>43</v>
      </c>
      <c r="DA77" s="59">
        <v>54</v>
      </c>
      <c r="DB77" s="292" t="str">
        <f t="shared" si="46"/>
        <v>---------</v>
      </c>
      <c r="DC77" s="106">
        <v>19.8</v>
      </c>
      <c r="DD77" s="12" t="s">
        <v>316</v>
      </c>
      <c r="DE77" s="276" t="str">
        <f t="shared" si="23"/>
        <v>---------</v>
      </c>
      <c r="DF77" s="290">
        <v>2.4800000000000102</v>
      </c>
      <c r="DG77" s="59">
        <v>54</v>
      </c>
      <c r="DH77" s="292" t="str">
        <f t="shared" si="24"/>
        <v>---------</v>
      </c>
      <c r="DI77" s="7"/>
      <c r="DJ77" s="7"/>
      <c r="DK77" s="7"/>
      <c r="DL77" s="7"/>
      <c r="FG77" s="7">
        <v>54</v>
      </c>
      <c r="FH77" s="12">
        <v>14.8</v>
      </c>
      <c r="FJ77" s="7">
        <v>54</v>
      </c>
      <c r="FK77" s="9">
        <v>680</v>
      </c>
      <c r="FR77" s="12"/>
      <c r="FS77" s="7">
        <v>54</v>
      </c>
      <c r="FT77" s="12">
        <v>44.8</v>
      </c>
    </row>
    <row r="78" spans="1:179" ht="15" customHeight="1">
      <c r="F78" s="53" t="str">
        <f>EE2</f>
        <v>Interior  Bracing / RAB</v>
      </c>
      <c r="G78" s="53" t="str">
        <f>BG23</f>
        <v>none</v>
      </c>
      <c r="T78" s="7"/>
      <c r="U78" s="7"/>
      <c r="V78" s="43"/>
      <c r="W78" s="7"/>
      <c r="X78" s="7"/>
      <c r="Y78" s="7">
        <v>23</v>
      </c>
      <c r="Z78" s="7" t="s">
        <v>913</v>
      </c>
      <c r="AA78" s="7"/>
      <c r="AB78" s="7"/>
      <c r="AC78" s="7"/>
      <c r="AD78" s="12"/>
      <c r="AE78" s="7"/>
      <c r="AF78" s="7"/>
      <c r="AG78" s="7"/>
      <c r="AH78" s="7"/>
      <c r="AI78" s="7">
        <v>45</v>
      </c>
      <c r="AJ78" s="7" t="s">
        <v>914</v>
      </c>
      <c r="AK78" s="7"/>
      <c r="AL78" s="7">
        <v>15</v>
      </c>
      <c r="AM78" s="7" t="s">
        <v>318</v>
      </c>
      <c r="AN78" s="7"/>
      <c r="AO78" s="7"/>
      <c r="AP78" s="7"/>
      <c r="AQ78" s="7"/>
      <c r="AR78" s="7"/>
      <c r="AS78" s="7"/>
      <c r="AT78" s="7"/>
      <c r="AU78" s="7"/>
      <c r="AV78" s="7"/>
      <c r="AW78" s="7"/>
      <c r="AX78" s="7"/>
      <c r="AY78" s="7"/>
      <c r="AZ78" s="7"/>
      <c r="BA78" s="7"/>
      <c r="BB78" s="7"/>
      <c r="BC78" s="7"/>
      <c r="BD78" s="7"/>
      <c r="BE78" s="7"/>
      <c r="BF78" s="7"/>
      <c r="BG78" s="7"/>
      <c r="BH78" s="7"/>
      <c r="BI78" s="7"/>
      <c r="BJ78" s="7"/>
      <c r="BK78" s="7"/>
      <c r="BL78" s="7"/>
      <c r="BN78" s="7"/>
      <c r="BO78" s="7"/>
      <c r="BP78" s="7"/>
      <c r="BQ78" s="7"/>
      <c r="BR78" s="7"/>
      <c r="BS78" s="7"/>
      <c r="BT78" s="7"/>
      <c r="BU78" s="7"/>
      <c r="BV78" s="7"/>
      <c r="BW78" s="7"/>
      <c r="BX78" s="7"/>
      <c r="BY78" s="7"/>
      <c r="BZ78" s="7"/>
      <c r="CA78" s="7"/>
      <c r="CB78" s="7"/>
      <c r="CC78" s="7"/>
      <c r="CD78" s="7"/>
      <c r="CE78" s="7"/>
      <c r="CF78" s="7"/>
      <c r="CG78" s="7"/>
      <c r="CH78" s="7"/>
      <c r="CI78" s="7"/>
      <c r="CJ78" s="7"/>
      <c r="CK78" s="7"/>
      <c r="CL78" s="7"/>
      <c r="CM78" s="7"/>
      <c r="CN78" s="10" cm="1">
        <f t="array" ref="CN78">INDEX($CP$59:$CP$115,MIN(56,MAX(0,INT(CO78+0)))+1)+0</f>
        <v>28</v>
      </c>
      <c r="CO78" s="7">
        <v>19</v>
      </c>
      <c r="CP78" s="7">
        <v>28</v>
      </c>
      <c r="CQ78" s="7">
        <v>42</v>
      </c>
      <c r="CR78" s="59">
        <v>55</v>
      </c>
      <c r="CS78" s="292" t="str">
        <f t="shared" si="45"/>
        <v>---------</v>
      </c>
      <c r="CT78" s="106">
        <v>19.7</v>
      </c>
      <c r="CU78" s="12" t="s">
        <v>319</v>
      </c>
      <c r="CV78" s="276" t="str">
        <f t="shared" si="20"/>
        <v>---------</v>
      </c>
      <c r="CW78" s="290">
        <v>2.47000000000001</v>
      </c>
      <c r="CX78" s="59">
        <v>55</v>
      </c>
      <c r="CY78" s="292" t="str">
        <f t="shared" si="21"/>
        <v>---------</v>
      </c>
      <c r="CZ78" s="7">
        <v>42</v>
      </c>
      <c r="DA78" s="59">
        <v>55</v>
      </c>
      <c r="DB78" s="292" t="str">
        <f t="shared" si="46"/>
        <v>---------</v>
      </c>
      <c r="DC78" s="106">
        <v>19.7</v>
      </c>
      <c r="DD78" s="12" t="s">
        <v>319</v>
      </c>
      <c r="DE78" s="276" t="str">
        <f t="shared" si="23"/>
        <v>---------</v>
      </c>
      <c r="DF78" s="290">
        <v>2.47000000000001</v>
      </c>
      <c r="DG78" s="59">
        <v>55</v>
      </c>
      <c r="DH78" s="292" t="str">
        <f t="shared" si="24"/>
        <v>---------</v>
      </c>
      <c r="DI78" s="7"/>
      <c r="DJ78" s="7"/>
      <c r="DK78" s="7"/>
      <c r="DL78" s="7"/>
      <c r="FG78" s="7">
        <v>55</v>
      </c>
      <c r="FH78" s="12">
        <v>14.7</v>
      </c>
      <c r="FJ78" s="7">
        <v>55</v>
      </c>
      <c r="FK78" s="9">
        <v>670</v>
      </c>
      <c r="FR78" s="12"/>
      <c r="FS78" s="7">
        <v>55</v>
      </c>
      <c r="FT78" s="12">
        <v>44.7</v>
      </c>
      <c r="FW78" s="9"/>
    </row>
    <row r="79" spans="1:179" ht="15" customHeight="1">
      <c r="F79" s="53" t="str">
        <f>EI2</f>
        <v>Interior Insulation</v>
      </c>
      <c r="G79" s="53" t="str">
        <f>BX23</f>
        <v>none</v>
      </c>
      <c r="X79" s="7"/>
      <c r="Y79" s="7"/>
      <c r="Z79" s="7"/>
      <c r="AA79" s="7"/>
      <c r="AB79" s="7"/>
      <c r="AC79" s="7"/>
      <c r="AD79" s="12"/>
      <c r="AE79" s="7"/>
      <c r="AF79" s="7"/>
      <c r="AG79" s="7"/>
      <c r="AH79" s="7"/>
      <c r="AI79" s="7">
        <v>46</v>
      </c>
      <c r="AJ79" s="7" t="s">
        <v>915</v>
      </c>
      <c r="AK79" s="7"/>
      <c r="AL79" s="7"/>
      <c r="AM79" s="7"/>
      <c r="AN79" s="7"/>
      <c r="AO79" s="7"/>
      <c r="AP79" s="7"/>
      <c r="AQ79" s="7"/>
      <c r="AR79" s="7"/>
      <c r="AS79" s="7"/>
      <c r="AT79" s="7"/>
      <c r="AU79" s="7"/>
      <c r="AV79" s="7"/>
      <c r="AW79" s="7"/>
      <c r="AX79" s="7"/>
      <c r="AY79" s="7"/>
      <c r="AZ79" s="7"/>
      <c r="BA79" s="7"/>
      <c r="BB79" s="7"/>
      <c r="BC79" s="7"/>
      <c r="BD79" s="7"/>
      <c r="BE79" s="7"/>
      <c r="BF79" s="7"/>
      <c r="BG79" s="7"/>
      <c r="BH79" s="7"/>
      <c r="BI79" s="7"/>
      <c r="BJ79" s="7"/>
      <c r="BK79" s="7"/>
      <c r="BL79" s="7"/>
      <c r="BN79" s="7"/>
      <c r="BO79" s="7"/>
      <c r="BP79" s="7"/>
      <c r="BQ79" s="7"/>
      <c r="BR79" s="7"/>
      <c r="BS79" s="7"/>
      <c r="BT79" s="7"/>
      <c r="BU79" s="7"/>
      <c r="BV79" s="7"/>
      <c r="BW79" s="7"/>
      <c r="BX79" s="7"/>
      <c r="BY79" s="7"/>
      <c r="BZ79" s="7"/>
      <c r="CA79" s="7"/>
      <c r="CB79" s="7"/>
      <c r="CC79" s="7"/>
      <c r="CD79" s="7"/>
      <c r="CE79" s="7"/>
      <c r="CF79" s="7"/>
      <c r="CG79" s="7"/>
      <c r="CH79" s="7"/>
      <c r="CI79" s="7"/>
      <c r="CJ79" s="7"/>
      <c r="CK79" s="7"/>
      <c r="CL79" s="7"/>
      <c r="CM79" s="7"/>
      <c r="CN79" s="10" cm="1">
        <f t="array" ref="CN79">INDEX($CP$59:$CP$115,MIN(56,MAX(0,INT(CO79+0)))+1)+0</f>
        <v>27</v>
      </c>
      <c r="CO79" s="7">
        <v>20</v>
      </c>
      <c r="CP79" s="7">
        <v>27</v>
      </c>
      <c r="CQ79" s="7">
        <v>41</v>
      </c>
      <c r="CR79" s="59">
        <v>56</v>
      </c>
      <c r="CS79" s="292" t="str">
        <f t="shared" si="45"/>
        <v>---------</v>
      </c>
      <c r="CT79" s="106">
        <v>19.600000000000001</v>
      </c>
      <c r="CU79" s="12" t="s">
        <v>321</v>
      </c>
      <c r="CV79" s="276" t="str">
        <f t="shared" si="20"/>
        <v>---------</v>
      </c>
      <c r="CW79" s="290">
        <v>2.4600000000000102</v>
      </c>
      <c r="CX79" s="59">
        <v>56</v>
      </c>
      <c r="CY79" s="292" t="str">
        <f t="shared" si="21"/>
        <v>---------</v>
      </c>
      <c r="CZ79" s="7">
        <v>41</v>
      </c>
      <c r="DA79" s="59">
        <v>56</v>
      </c>
      <c r="DB79" s="292" t="str">
        <f t="shared" si="46"/>
        <v>---------</v>
      </c>
      <c r="DC79" s="106">
        <v>19.600000000000001</v>
      </c>
      <c r="DD79" s="12" t="s">
        <v>321</v>
      </c>
      <c r="DE79" s="276" t="str">
        <f t="shared" si="23"/>
        <v>---------</v>
      </c>
      <c r="DF79" s="290">
        <v>2.4600000000000102</v>
      </c>
      <c r="DG79" s="59">
        <v>56</v>
      </c>
      <c r="DH79" s="292" t="str">
        <f t="shared" si="24"/>
        <v>---------</v>
      </c>
      <c r="DI79" s="7"/>
      <c r="DJ79" s="7"/>
      <c r="DK79" s="7"/>
      <c r="DL79" s="7"/>
      <c r="FG79" s="7">
        <v>56</v>
      </c>
      <c r="FH79" s="12">
        <v>14.6</v>
      </c>
      <c r="FJ79" s="7">
        <v>56</v>
      </c>
      <c r="FK79" s="9">
        <v>660</v>
      </c>
      <c r="FR79" s="12"/>
      <c r="FS79" s="7">
        <v>56</v>
      </c>
      <c r="FT79" s="12">
        <v>44.6</v>
      </c>
      <c r="FW79" s="9"/>
    </row>
    <row r="80" spans="1:179" ht="15" customHeight="1">
      <c r="F80" s="53" t="str">
        <f>IF(EJ5&lt;&gt;"",EJ5,"----------")</f>
        <v>----------</v>
      </c>
      <c r="G80" s="53">
        <f>CY23</f>
        <v>0</v>
      </c>
      <c r="X80" s="7"/>
      <c r="Y80" s="286" t="str" cm="1">
        <f t="array" ref="Y80">INDEX(Y81:Y87,MAX(1,BC23-1))</f>
        <v>W_BBWB_C_90T</v>
      </c>
      <c r="Z80" s="286"/>
      <c r="AA80" s="7"/>
      <c r="AB80" s="7" t="s">
        <v>916</v>
      </c>
      <c r="AC80" s="7" t="s">
        <v>917</v>
      </c>
      <c r="AD80" s="7" t="s">
        <v>918</v>
      </c>
      <c r="AE80" s="7" t="s">
        <v>919</v>
      </c>
      <c r="AF80" s="7"/>
      <c r="AG80" s="7"/>
      <c r="AH80" s="7"/>
      <c r="AI80" s="7">
        <v>47</v>
      </c>
      <c r="AJ80" s="7" t="s">
        <v>920</v>
      </c>
      <c r="AK80" s="7"/>
      <c r="AL80" s="163">
        <f>MATCH(AM80,AM64:AM78,0)</f>
        <v>3</v>
      </c>
      <c r="AM80" s="7" t="str">
        <f>AL3</f>
        <v>P_blank3</v>
      </c>
      <c r="AN80" s="7"/>
      <c r="AO80" s="7"/>
      <c r="AP80" s="7"/>
      <c r="AQ80" s="7"/>
      <c r="AR80" s="7"/>
      <c r="AS80" s="7"/>
      <c r="AT80" s="7"/>
      <c r="AU80" s="7"/>
      <c r="AV80" s="7"/>
      <c r="AW80" s="7"/>
      <c r="AX80" s="7"/>
      <c r="AY80" s="7"/>
      <c r="AZ80" s="7"/>
      <c r="BA80" s="7"/>
      <c r="BB80" s="7"/>
      <c r="BC80" s="7"/>
      <c r="BD80" s="7"/>
      <c r="BE80" s="7"/>
      <c r="BF80" s="7"/>
      <c r="BG80" s="7"/>
      <c r="BH80" s="7"/>
      <c r="BI80" s="7"/>
      <c r="BJ80" s="7"/>
      <c r="BK80" s="7"/>
      <c r="BL80" s="7"/>
      <c r="BN80" s="7"/>
      <c r="BO80" s="7"/>
      <c r="BP80" s="7"/>
      <c r="BQ80" s="7"/>
      <c r="BR80" s="7"/>
      <c r="BS80" s="7"/>
      <c r="BT80" s="7"/>
      <c r="BU80" s="7"/>
      <c r="BV80" s="7"/>
      <c r="BW80" s="7"/>
      <c r="BX80" s="7"/>
      <c r="BY80" s="7"/>
      <c r="BZ80" s="7"/>
      <c r="CA80" s="7"/>
      <c r="CB80" s="7"/>
      <c r="CC80" s="7"/>
      <c r="CD80" s="7"/>
      <c r="CE80" s="7"/>
      <c r="CF80" s="7"/>
      <c r="CG80" s="7"/>
      <c r="CH80" s="7"/>
      <c r="CI80" s="7"/>
      <c r="CJ80" s="7"/>
      <c r="CK80" s="7"/>
      <c r="CL80" s="7"/>
      <c r="CM80" s="7"/>
      <c r="CN80" s="10" cm="1">
        <f t="array" ref="CN80">INDEX($CP$59:$CP$115,MIN(56,MAX(0,INT(CO80+0)))+1)+0</f>
        <v>26</v>
      </c>
      <c r="CO80" s="7">
        <v>21</v>
      </c>
      <c r="CP80" s="7">
        <v>26</v>
      </c>
      <c r="CQ80" s="7">
        <v>40</v>
      </c>
      <c r="CR80" s="59">
        <v>57</v>
      </c>
      <c r="CS80" s="292" t="str">
        <f t="shared" si="45"/>
        <v>---------</v>
      </c>
      <c r="CT80" s="106">
        <v>19.5</v>
      </c>
      <c r="CU80" s="12" t="s">
        <v>322</v>
      </c>
      <c r="CV80" s="276" t="str">
        <f t="shared" si="20"/>
        <v>---------</v>
      </c>
      <c r="CW80" s="290">
        <v>2.4500000000000099</v>
      </c>
      <c r="CX80" s="59">
        <v>57</v>
      </c>
      <c r="CY80" s="292" t="str">
        <f t="shared" si="21"/>
        <v>---------</v>
      </c>
      <c r="CZ80" s="7">
        <v>40</v>
      </c>
      <c r="DA80" s="59">
        <v>57</v>
      </c>
      <c r="DB80" s="292" t="str">
        <f t="shared" si="46"/>
        <v>---------</v>
      </c>
      <c r="DC80" s="106">
        <v>19.5</v>
      </c>
      <c r="DD80" s="12" t="s">
        <v>322</v>
      </c>
      <c r="DE80" s="276" t="str">
        <f t="shared" si="23"/>
        <v>---------</v>
      </c>
      <c r="DF80" s="290">
        <v>2.4500000000000099</v>
      </c>
      <c r="DG80" s="59">
        <v>57</v>
      </c>
      <c r="DH80" s="292" t="str">
        <f t="shared" si="24"/>
        <v>---------</v>
      </c>
      <c r="DI80" s="7"/>
      <c r="DJ80" s="7"/>
      <c r="DK80" s="7"/>
      <c r="DL80" s="7"/>
      <c r="FG80" s="7">
        <v>57</v>
      </c>
      <c r="FH80" s="12">
        <v>14.5</v>
      </c>
      <c r="FJ80" s="7">
        <v>57</v>
      </c>
      <c r="FK80" s="9">
        <v>650</v>
      </c>
      <c r="FR80" s="12"/>
      <c r="FS80" s="7">
        <v>57</v>
      </c>
      <c r="FT80" s="12">
        <v>44.5</v>
      </c>
      <c r="FW80" s="9"/>
    </row>
    <row r="81" spans="6:179" ht="15" customHeight="1">
      <c r="F81" s="53" t="str">
        <f>IF(EJ6&lt;&gt;"",EJ6,"----------")</f>
        <v>----------</v>
      </c>
      <c r="G81" s="53">
        <f>CS23</f>
        <v>0</v>
      </c>
      <c r="X81" s="7"/>
      <c r="Y81" s="286" t="str" cm="1">
        <f t="array" ref="Y81">INDEX(AB81:AB97,MAX(1,$AS23-1))</f>
        <v>W_BBWB_C_90T</v>
      </c>
      <c r="Z81" s="286"/>
      <c r="AA81" s="7"/>
      <c r="AB81" s="7" t="s">
        <v>272</v>
      </c>
      <c r="AC81" s="7" t="s">
        <v>272</v>
      </c>
      <c r="AD81" s="7" t="s">
        <v>272</v>
      </c>
      <c r="AE81" s="7" t="s">
        <v>272</v>
      </c>
      <c r="AF81" s="7"/>
      <c r="AG81" s="7"/>
      <c r="AH81" s="7"/>
      <c r="AI81" s="7">
        <v>48</v>
      </c>
      <c r="AJ81" s="7" t="s">
        <v>921</v>
      </c>
      <c r="AK81" s="7"/>
      <c r="AL81" s="7"/>
      <c r="AM81" s="7"/>
      <c r="AN81" s="7"/>
      <c r="AO81" s="7"/>
      <c r="AP81" s="7"/>
      <c r="AQ81" s="7"/>
      <c r="AR81" s="7"/>
      <c r="AS81" s="7"/>
      <c r="AT81" s="7"/>
      <c r="AU81" s="7"/>
      <c r="AV81" s="7"/>
      <c r="AW81" s="7"/>
      <c r="AX81" s="7"/>
      <c r="AY81" s="7"/>
      <c r="AZ81" s="7"/>
      <c r="BA81" s="7"/>
      <c r="BB81" s="7"/>
      <c r="BC81" s="7"/>
      <c r="BD81" s="7"/>
      <c r="BE81" s="7"/>
      <c r="BF81" s="7"/>
      <c r="BG81" s="7"/>
      <c r="BH81" s="7"/>
      <c r="BI81" s="7"/>
      <c r="BJ81" s="7"/>
      <c r="BK81" s="7"/>
      <c r="BL81" s="7"/>
      <c r="BN81" s="7"/>
      <c r="BO81" s="7"/>
      <c r="BP81" s="7"/>
      <c r="BQ81" s="7"/>
      <c r="BR81" s="7"/>
      <c r="BS81" s="7"/>
      <c r="BT81" s="7"/>
      <c r="BU81" s="7"/>
      <c r="BV81" s="7"/>
      <c r="BW81" s="7"/>
      <c r="BX81" s="7"/>
      <c r="BY81" s="7"/>
      <c r="BZ81" s="7"/>
      <c r="CA81" s="7"/>
      <c r="CB81" s="7"/>
      <c r="CC81" s="7"/>
      <c r="CD81" s="7"/>
      <c r="CE81" s="7"/>
      <c r="CF81" s="7"/>
      <c r="CG81" s="7"/>
      <c r="CH81" s="7"/>
      <c r="CI81" s="7"/>
      <c r="CJ81" s="7"/>
      <c r="CK81" s="7"/>
      <c r="CL81" s="7"/>
      <c r="CM81" s="7"/>
      <c r="CN81" s="10" cm="1">
        <f t="array" ref="CN81">INDEX($CP$59:$CP$115,MIN(56,MAX(0,INT(CO81+0)))+1)+0</f>
        <v>25</v>
      </c>
      <c r="CO81" s="7">
        <v>22</v>
      </c>
      <c r="CP81" s="7">
        <v>25</v>
      </c>
      <c r="CQ81" s="7">
        <v>39</v>
      </c>
      <c r="CR81" s="59">
        <v>58</v>
      </c>
      <c r="CS81" s="292" t="str">
        <f t="shared" si="45"/>
        <v>---------</v>
      </c>
      <c r="CT81" s="106">
        <v>19.399999999999999</v>
      </c>
      <c r="CU81" s="12" t="s">
        <v>323</v>
      </c>
      <c r="CV81" s="276" t="str">
        <f t="shared" si="20"/>
        <v>---------</v>
      </c>
      <c r="CW81" s="290">
        <v>2.4400000000000102</v>
      </c>
      <c r="CX81" s="59">
        <v>58</v>
      </c>
      <c r="CY81" s="292" t="str">
        <f t="shared" si="21"/>
        <v>---------</v>
      </c>
      <c r="CZ81" s="7">
        <v>39</v>
      </c>
      <c r="DA81" s="59">
        <v>58</v>
      </c>
      <c r="DB81" s="292" t="str">
        <f t="shared" si="46"/>
        <v>---------</v>
      </c>
      <c r="DC81" s="106">
        <v>19.399999999999999</v>
      </c>
      <c r="DD81" s="12" t="s">
        <v>323</v>
      </c>
      <c r="DE81" s="276" t="str">
        <f t="shared" si="23"/>
        <v>---------</v>
      </c>
      <c r="DF81" s="290">
        <v>2.4400000000000102</v>
      </c>
      <c r="DG81" s="59">
        <v>58</v>
      </c>
      <c r="DH81" s="292" t="str">
        <f t="shared" si="24"/>
        <v>---------</v>
      </c>
      <c r="DI81" s="7"/>
      <c r="DJ81" s="7"/>
      <c r="DK81" s="7"/>
      <c r="DL81" s="7"/>
      <c r="FG81" s="7">
        <v>58</v>
      </c>
      <c r="FH81" s="12">
        <v>14.4</v>
      </c>
      <c r="FJ81" s="7">
        <v>58</v>
      </c>
      <c r="FK81" s="9">
        <v>640</v>
      </c>
      <c r="FR81" s="12"/>
      <c r="FS81" s="7">
        <v>58</v>
      </c>
      <c r="FT81" s="12">
        <v>44.4</v>
      </c>
      <c r="FW81" s="9"/>
    </row>
    <row r="82" spans="6:179" ht="15" customHeight="1">
      <c r="F82" s="53" t="str">
        <f>IF(EJ7&lt;&gt;"",EJ7,"----------")</f>
        <v>----------</v>
      </c>
      <c r="G82" s="53">
        <f>CV23</f>
        <v>0</v>
      </c>
      <c r="X82" s="7"/>
      <c r="Y82" s="286" t="str" cm="1">
        <f t="array" ref="Y82">INDEX(AC81:AC97,$AS23-1)</f>
        <v>W_BBWB_C_140T</v>
      </c>
      <c r="Z82" s="286"/>
      <c r="AA82" s="7"/>
      <c r="AB82" s="7" t="s">
        <v>790</v>
      </c>
      <c r="AC82" s="7" t="s">
        <v>829</v>
      </c>
      <c r="AD82" s="7" t="s">
        <v>862</v>
      </c>
      <c r="AE82" s="7" t="s">
        <v>893</v>
      </c>
      <c r="AF82" s="7"/>
      <c r="AG82" s="7"/>
      <c r="AH82" s="7"/>
      <c r="AI82" s="7">
        <v>49</v>
      </c>
      <c r="AJ82" s="7" t="s">
        <v>272</v>
      </c>
      <c r="AK82" s="7"/>
      <c r="AL82" s="163">
        <f>MATCH(AM82,AM64:AM78,0)</f>
        <v>3</v>
      </c>
      <c r="AM82" s="7" t="str">
        <f>AL4</f>
        <v>P_blank3</v>
      </c>
      <c r="AN82" s="7"/>
      <c r="AO82" s="7"/>
      <c r="AP82" s="7"/>
      <c r="AQ82" s="7"/>
      <c r="AR82" s="7"/>
      <c r="AS82" s="7"/>
      <c r="AT82" s="7"/>
      <c r="AU82" s="7"/>
      <c r="AV82" s="7"/>
      <c r="AW82" s="7"/>
      <c r="AX82" s="7"/>
      <c r="AY82" s="7"/>
      <c r="AZ82" s="7"/>
      <c r="BA82" s="7"/>
      <c r="BB82" s="7"/>
      <c r="BC82" s="7"/>
      <c r="BD82" s="7"/>
      <c r="BE82" s="7"/>
      <c r="BF82" s="7"/>
      <c r="BG82" s="7"/>
      <c r="BH82" s="7"/>
      <c r="BI82" s="7"/>
      <c r="BJ82" s="7"/>
      <c r="BK82" s="7"/>
      <c r="BL82" s="7"/>
      <c r="BN82" s="7"/>
      <c r="BO82" s="7"/>
      <c r="BP82" s="7"/>
      <c r="BQ82" s="7"/>
      <c r="BR82" s="7"/>
      <c r="BS82" s="7"/>
      <c r="BT82" s="7"/>
      <c r="BU82" s="7"/>
      <c r="BV82" s="7"/>
      <c r="BW82" s="7"/>
      <c r="BX82" s="7"/>
      <c r="BY82" s="7"/>
      <c r="BZ82" s="7"/>
      <c r="CA82" s="7"/>
      <c r="CB82" s="7"/>
      <c r="CC82" s="7"/>
      <c r="CD82" s="7"/>
      <c r="CE82" s="7"/>
      <c r="CF82" s="7"/>
      <c r="CG82" s="7"/>
      <c r="CH82" s="7"/>
      <c r="CI82" s="7"/>
      <c r="CJ82" s="7"/>
      <c r="CK82" s="7"/>
      <c r="CL82" s="7"/>
      <c r="CM82" s="7"/>
      <c r="CN82" s="10" cm="1">
        <f t="array" ref="CN82">INDEX($CP$59:$CP$115,MIN(56,MAX(0,INT(CO82+0)))+1)+0</f>
        <v>24</v>
      </c>
      <c r="CO82" s="7">
        <v>23</v>
      </c>
      <c r="CP82" s="7">
        <v>24</v>
      </c>
      <c r="CQ82" s="7">
        <v>38</v>
      </c>
      <c r="CR82" s="59">
        <v>59</v>
      </c>
      <c r="CS82" s="292" t="str">
        <f t="shared" si="45"/>
        <v>---------</v>
      </c>
      <c r="CT82" s="106">
        <v>19.3</v>
      </c>
      <c r="CU82" s="12" t="s">
        <v>324</v>
      </c>
      <c r="CV82" s="276" t="str">
        <f t="shared" si="20"/>
        <v>---------</v>
      </c>
      <c r="CW82" s="290">
        <v>2.4300000000000099</v>
      </c>
      <c r="CX82" s="59">
        <v>59</v>
      </c>
      <c r="CY82" s="292" t="str">
        <f t="shared" si="21"/>
        <v>---------</v>
      </c>
      <c r="CZ82" s="7">
        <v>38</v>
      </c>
      <c r="DA82" s="59">
        <v>59</v>
      </c>
      <c r="DB82" s="292" t="str">
        <f t="shared" si="46"/>
        <v>---------</v>
      </c>
      <c r="DC82" s="106">
        <v>19.3</v>
      </c>
      <c r="DD82" s="12" t="s">
        <v>324</v>
      </c>
      <c r="DE82" s="276" t="str">
        <f t="shared" si="23"/>
        <v>---------</v>
      </c>
      <c r="DF82" s="290">
        <v>2.4300000000000099</v>
      </c>
      <c r="DG82" s="59">
        <v>59</v>
      </c>
      <c r="DH82" s="292" t="str">
        <f t="shared" si="24"/>
        <v>---------</v>
      </c>
      <c r="DI82" s="7"/>
      <c r="DJ82" s="7"/>
      <c r="DK82" s="7"/>
      <c r="DL82" s="7"/>
      <c r="FG82" s="7">
        <v>59</v>
      </c>
      <c r="FH82" s="12">
        <v>14.3</v>
      </c>
      <c r="FJ82" s="7">
        <v>59</v>
      </c>
      <c r="FK82" s="9">
        <v>630</v>
      </c>
      <c r="FR82" s="12"/>
      <c r="FS82" s="7">
        <v>59</v>
      </c>
      <c r="FT82" s="12">
        <v>44.3</v>
      </c>
      <c r="FW82" s="9"/>
    </row>
    <row r="83" spans="6:179" ht="15" customHeight="1">
      <c r="F83" s="53" t="str">
        <f>IF(EJ8&lt;&gt;"",EJ8,"----------")</f>
        <v>----------</v>
      </c>
      <c r="G83" s="53">
        <f>CA23</f>
        <v>0</v>
      </c>
      <c r="X83" s="7"/>
      <c r="Y83" s="286" t="str" cm="1">
        <f t="array" ref="Y83">INDEX(AD81:AD97,$AS23-1)</f>
        <v>W_BBWB_C_90S</v>
      </c>
      <c r="Z83" s="286"/>
      <c r="AA83" s="7"/>
      <c r="AB83" s="7" t="s">
        <v>794</v>
      </c>
      <c r="AC83" s="7" t="s">
        <v>831</v>
      </c>
      <c r="AD83" s="7" t="s">
        <v>864</v>
      </c>
      <c r="AE83" s="7" t="s">
        <v>896</v>
      </c>
      <c r="AF83" s="7"/>
      <c r="AG83" s="7"/>
      <c r="AH83" s="7"/>
      <c r="AI83" s="7"/>
      <c r="AJ83" s="7"/>
      <c r="AK83" s="7"/>
      <c r="AL83" s="7"/>
      <c r="AM83" s="7"/>
      <c r="AN83" s="7"/>
      <c r="AO83" s="7"/>
      <c r="AP83" s="7"/>
      <c r="AQ83" s="7"/>
      <c r="AR83" s="7"/>
      <c r="AS83" s="7"/>
      <c r="AT83" s="7"/>
      <c r="AU83" s="7"/>
      <c r="AV83" s="7"/>
      <c r="AW83" s="7"/>
      <c r="AX83" s="7"/>
      <c r="AY83" s="7"/>
      <c r="AZ83" s="7"/>
      <c r="BA83" s="7"/>
      <c r="BB83" s="7"/>
      <c r="BC83" s="7"/>
      <c r="BD83" s="7"/>
      <c r="BE83" s="7"/>
      <c r="BF83" s="7"/>
      <c r="BG83" s="7"/>
      <c r="BH83" s="7"/>
      <c r="BI83" s="7"/>
      <c r="BJ83" s="7"/>
      <c r="BK83" s="7"/>
      <c r="BL83" s="7"/>
      <c r="BN83" s="7"/>
      <c r="BO83" s="7"/>
      <c r="BP83" s="7"/>
      <c r="BQ83" s="7"/>
      <c r="BR83" s="7"/>
      <c r="BS83" s="7"/>
      <c r="BT83" s="7"/>
      <c r="BU83" s="7"/>
      <c r="BV83" s="7"/>
      <c r="BW83" s="7"/>
      <c r="BX83" s="7"/>
      <c r="BY83" s="7"/>
      <c r="BZ83" s="7"/>
      <c r="CA83" s="7"/>
      <c r="CB83" s="7"/>
      <c r="CC83" s="7"/>
      <c r="CD83" s="7"/>
      <c r="CE83" s="7"/>
      <c r="CF83" s="7"/>
      <c r="CG83" s="7"/>
      <c r="CH83" s="7"/>
      <c r="CI83" s="7"/>
      <c r="CJ83" s="7"/>
      <c r="CK83" s="7"/>
      <c r="CL83" s="7"/>
      <c r="CM83" s="7"/>
      <c r="CN83" s="10" cm="1">
        <f t="array" ref="CN83">INDEX($CP$59:$CP$115,MIN(56,MAX(0,INT(CO83+0)))+1)+0</f>
        <v>23</v>
      </c>
      <c r="CO83" s="7">
        <v>24</v>
      </c>
      <c r="CP83" s="7">
        <v>23</v>
      </c>
      <c r="CQ83" s="7">
        <v>37</v>
      </c>
      <c r="CR83" s="59">
        <v>60</v>
      </c>
      <c r="CS83" s="292" t="str">
        <f t="shared" si="45"/>
        <v>---------</v>
      </c>
      <c r="CT83" s="106">
        <v>19.2</v>
      </c>
      <c r="CU83" s="12" t="s">
        <v>325</v>
      </c>
      <c r="CV83" s="276" t="str">
        <f t="shared" si="20"/>
        <v>---------</v>
      </c>
      <c r="CW83" s="290">
        <v>2.4200000000000101</v>
      </c>
      <c r="CX83" s="59">
        <v>60</v>
      </c>
      <c r="CY83" s="292" t="str">
        <f t="shared" si="21"/>
        <v>---------</v>
      </c>
      <c r="CZ83" s="7">
        <v>37</v>
      </c>
      <c r="DA83" s="59">
        <v>60</v>
      </c>
      <c r="DB83" s="292" t="str">
        <f t="shared" si="46"/>
        <v>---------</v>
      </c>
      <c r="DC83" s="106">
        <v>19.2</v>
      </c>
      <c r="DD83" s="12" t="s">
        <v>325</v>
      </c>
      <c r="DE83" s="276" t="str">
        <f t="shared" si="23"/>
        <v>---------</v>
      </c>
      <c r="DF83" s="290">
        <v>2.4200000000000101</v>
      </c>
      <c r="DG83" s="59">
        <v>60</v>
      </c>
      <c r="DH83" s="292" t="str">
        <f t="shared" si="24"/>
        <v>---------</v>
      </c>
      <c r="DI83" s="7"/>
      <c r="DJ83" s="7"/>
      <c r="DK83" s="7"/>
      <c r="DL83" s="7"/>
      <c r="FG83" s="7">
        <v>60</v>
      </c>
      <c r="FH83" s="12">
        <v>14.2</v>
      </c>
      <c r="FJ83" s="7">
        <v>60</v>
      </c>
      <c r="FK83" s="9">
        <v>620</v>
      </c>
      <c r="FR83" s="12"/>
      <c r="FS83" s="7">
        <v>60</v>
      </c>
      <c r="FT83" s="12">
        <v>44.2</v>
      </c>
      <c r="FW83" s="9"/>
    </row>
    <row r="84" spans="6:179" ht="15" customHeight="1">
      <c r="F84" s="53" t="str">
        <f>EM2</f>
        <v>Interior lining</v>
      </c>
      <c r="G84" s="53" t="str">
        <f>AY23</f>
        <v>10 mm plasterboard</v>
      </c>
      <c r="X84" s="7"/>
      <c r="Y84" s="286" t="str" cm="1">
        <f t="array" ref="Y84">INDEX(AE81:AE97,$AS23-1)</f>
        <v>W_BBWB_C_140S</v>
      </c>
      <c r="Z84" s="286"/>
      <c r="AA84" s="7"/>
      <c r="AB84" s="7" t="s">
        <v>797</v>
      </c>
      <c r="AC84" s="7" t="s">
        <v>833</v>
      </c>
      <c r="AD84" s="7" t="s">
        <v>867</v>
      </c>
      <c r="AE84" s="7" t="s">
        <v>899</v>
      </c>
      <c r="AF84" s="7"/>
      <c r="AG84" s="7"/>
      <c r="AH84" s="7"/>
      <c r="AI84" s="7"/>
      <c r="AJ84" s="7"/>
      <c r="AK84" s="7"/>
      <c r="AL84" s="7"/>
      <c r="AM84" s="7"/>
      <c r="AN84" s="7"/>
      <c r="AO84" s="7"/>
      <c r="AP84" s="7"/>
      <c r="AQ84" s="7"/>
      <c r="AR84" s="7"/>
      <c r="AS84" s="7"/>
      <c r="AT84" s="7"/>
      <c r="AU84" s="7"/>
      <c r="AV84" s="7"/>
      <c r="AW84" s="7"/>
      <c r="AX84" s="7"/>
      <c r="AY84" s="7"/>
      <c r="AZ84" s="7"/>
      <c r="BA84" s="7"/>
      <c r="BB84" s="7"/>
      <c r="BC84" s="7"/>
      <c r="BD84" s="7"/>
      <c r="BE84" s="7"/>
      <c r="BF84" s="7"/>
      <c r="BG84" s="7"/>
      <c r="BH84" s="7"/>
      <c r="BI84" s="7"/>
      <c r="BJ84" s="7"/>
      <c r="BK84" s="7"/>
      <c r="BL84" s="7"/>
      <c r="BM84" s="7"/>
      <c r="BN84" s="7"/>
      <c r="BO84" s="7"/>
      <c r="BP84" s="7"/>
      <c r="BQ84" s="7"/>
      <c r="BR84" s="7"/>
      <c r="BS84" s="7"/>
      <c r="BT84" s="7"/>
      <c r="BU84" s="7"/>
      <c r="BV84" s="7"/>
      <c r="BW84" s="7"/>
      <c r="BX84" s="7"/>
      <c r="BY84" s="7"/>
      <c r="BZ84" s="7"/>
      <c r="CA84" s="7"/>
      <c r="CB84" s="7"/>
      <c r="CC84" s="7"/>
      <c r="CD84" s="7"/>
      <c r="CE84" s="7"/>
      <c r="CF84" s="7"/>
      <c r="CG84" s="7"/>
      <c r="CH84" s="7"/>
      <c r="CI84" s="7"/>
      <c r="CJ84" s="7"/>
      <c r="CK84" s="7"/>
      <c r="CL84" s="7"/>
      <c r="CM84" s="7"/>
      <c r="CN84" s="10" cm="1">
        <f t="array" ref="CN84">INDEX($CP$59:$CP$115,MIN(56,MAX(0,INT(CO84+0)))+1)+0</f>
        <v>22</v>
      </c>
      <c r="CO84" s="7">
        <v>25</v>
      </c>
      <c r="CP84" s="7">
        <v>22</v>
      </c>
      <c r="CQ84" s="7">
        <v>36</v>
      </c>
      <c r="CR84" s="59">
        <v>61</v>
      </c>
      <c r="CS84" s="292" t="str">
        <f t="shared" si="45"/>
        <v>---------</v>
      </c>
      <c r="CT84" s="106">
        <v>19.100000000000001</v>
      </c>
      <c r="CU84" s="12" t="s">
        <v>327</v>
      </c>
      <c r="CV84" s="276" t="str">
        <f t="shared" si="20"/>
        <v>---------</v>
      </c>
      <c r="CW84" s="290">
        <v>2.4100000000000099</v>
      </c>
      <c r="CX84" s="59">
        <v>61</v>
      </c>
      <c r="CY84" s="292" t="str">
        <f t="shared" si="21"/>
        <v>---------</v>
      </c>
      <c r="CZ84" s="7">
        <v>36</v>
      </c>
      <c r="DA84" s="59">
        <v>61</v>
      </c>
      <c r="DB84" s="292" t="str">
        <f t="shared" si="46"/>
        <v>---------</v>
      </c>
      <c r="DC84" s="106">
        <v>19.100000000000001</v>
      </c>
      <c r="DD84" s="12" t="s">
        <v>327</v>
      </c>
      <c r="DE84" s="276" t="str">
        <f t="shared" si="23"/>
        <v>---------</v>
      </c>
      <c r="DF84" s="290">
        <v>2.4100000000000099</v>
      </c>
      <c r="DG84" s="59">
        <v>61</v>
      </c>
      <c r="DH84" s="292" t="str">
        <f t="shared" si="24"/>
        <v>---------</v>
      </c>
      <c r="DI84" s="7"/>
      <c r="DJ84" s="7"/>
      <c r="DK84" s="7"/>
      <c r="DL84" s="7"/>
      <c r="FG84" s="7">
        <v>61</v>
      </c>
      <c r="FH84" s="12">
        <v>14.1</v>
      </c>
      <c r="FJ84" s="7">
        <v>61</v>
      </c>
      <c r="FK84" s="9">
        <v>610</v>
      </c>
      <c r="FR84" s="12"/>
      <c r="FS84" s="7">
        <v>61</v>
      </c>
      <c r="FT84" s="12">
        <v>44.1</v>
      </c>
      <c r="FW84" s="9"/>
    </row>
    <row r="85" spans="6:179" ht="15" customHeight="1">
      <c r="F85" s="53" t="str">
        <f>EH13</f>
        <v>Insulation thermal resistance  m2.K/W</v>
      </c>
      <c r="G85" s="177" t="str">
        <f>CM23</f>
        <v>0.2</v>
      </c>
      <c r="X85" s="7"/>
      <c r="Y85" s="286" t="str" cm="1">
        <f t="array" ref="Y85">INDEX(AC81:AC97,$AS23-1)</f>
        <v>W_BBWB_C_140T</v>
      </c>
      <c r="Z85" s="286"/>
      <c r="AA85" s="7"/>
      <c r="AB85" s="7" t="s">
        <v>800</v>
      </c>
      <c r="AC85" s="7" t="s">
        <v>835</v>
      </c>
      <c r="AD85" s="7" t="s">
        <v>870</v>
      </c>
      <c r="AE85" s="7" t="s">
        <v>902</v>
      </c>
      <c r="AF85" s="7"/>
      <c r="AG85" s="7"/>
      <c r="AH85" s="7"/>
      <c r="AI85" s="7"/>
      <c r="AJ85" s="7"/>
      <c r="AK85" s="7"/>
      <c r="AL85" s="7"/>
      <c r="AM85" s="7"/>
      <c r="AN85" s="7"/>
      <c r="AO85" s="7"/>
      <c r="AP85" s="7"/>
      <c r="AQ85" s="7"/>
      <c r="AR85" s="7"/>
      <c r="AS85" s="7"/>
      <c r="AT85" s="7"/>
      <c r="AU85" s="7"/>
      <c r="AV85" s="7"/>
      <c r="AW85" s="7"/>
      <c r="AX85" s="7"/>
      <c r="AY85" s="7"/>
      <c r="AZ85" s="7"/>
      <c r="BA85" s="7"/>
      <c r="BB85" s="7"/>
      <c r="BC85" s="7"/>
      <c r="BD85" s="7"/>
      <c r="BE85" s="7"/>
      <c r="BF85" s="7"/>
      <c r="BG85" s="7"/>
      <c r="BH85" s="7"/>
      <c r="BI85" s="7"/>
      <c r="BJ85" s="7"/>
      <c r="BK85" s="7"/>
      <c r="BL85" s="7"/>
      <c r="BM85" s="7"/>
      <c r="BN85" s="7"/>
      <c r="BO85" s="7"/>
      <c r="BP85" s="7"/>
      <c r="BQ85" s="7"/>
      <c r="BR85" s="7"/>
      <c r="BS85" s="7"/>
      <c r="BT85" s="7"/>
      <c r="BU85" s="7"/>
      <c r="BV85" s="7"/>
      <c r="BW85" s="7"/>
      <c r="BX85" s="7"/>
      <c r="BY85" s="7"/>
      <c r="BZ85" s="7"/>
      <c r="CA85" s="7"/>
      <c r="CB85" s="7"/>
      <c r="CC85" s="7"/>
      <c r="CD85" s="7"/>
      <c r="CE85" s="7"/>
      <c r="CF85" s="7"/>
      <c r="CG85" s="7"/>
      <c r="CH85" s="7"/>
      <c r="CI85" s="7"/>
      <c r="CJ85" s="7"/>
      <c r="CK85" s="7"/>
      <c r="CL85" s="7"/>
      <c r="CM85" s="7"/>
      <c r="CN85" s="10" cm="1">
        <f t="array" ref="CN85">INDEX($CP$59:$CP$115,MIN(56,MAX(0,INT(CO85+0)))+1)+0</f>
        <v>21</v>
      </c>
      <c r="CO85" s="7">
        <v>26</v>
      </c>
      <c r="CP85" s="7">
        <v>21</v>
      </c>
      <c r="CQ85" s="7">
        <v>35</v>
      </c>
      <c r="CR85" s="59">
        <v>62</v>
      </c>
      <c r="CS85" s="292" t="str">
        <f t="shared" si="45"/>
        <v>---------</v>
      </c>
      <c r="CT85" s="106">
        <v>19</v>
      </c>
      <c r="CU85" s="12" t="s">
        <v>330</v>
      </c>
      <c r="CV85" s="276" t="str">
        <f t="shared" si="20"/>
        <v>---------</v>
      </c>
      <c r="CW85" s="290">
        <v>2.4000000000000101</v>
      </c>
      <c r="CX85" s="59">
        <v>62</v>
      </c>
      <c r="CY85" s="292" t="str">
        <f t="shared" si="21"/>
        <v>---------</v>
      </c>
      <c r="CZ85" s="7">
        <v>35</v>
      </c>
      <c r="DA85" s="59">
        <v>62</v>
      </c>
      <c r="DB85" s="292" t="str">
        <f t="shared" si="46"/>
        <v>---------</v>
      </c>
      <c r="DC85" s="106">
        <v>19</v>
      </c>
      <c r="DD85" s="12" t="s">
        <v>330</v>
      </c>
      <c r="DE85" s="276" t="str">
        <f t="shared" si="23"/>
        <v>---------</v>
      </c>
      <c r="DF85" s="290">
        <v>2.4000000000000101</v>
      </c>
      <c r="DG85" s="59">
        <v>62</v>
      </c>
      <c r="DH85" s="292" t="str">
        <f t="shared" si="24"/>
        <v>---------</v>
      </c>
      <c r="DI85" s="7"/>
      <c r="DJ85" s="7"/>
      <c r="DK85" s="7"/>
      <c r="DL85" s="7"/>
      <c r="FG85" s="7">
        <v>62</v>
      </c>
      <c r="FH85" s="12">
        <v>14</v>
      </c>
      <c r="FJ85" s="7">
        <v>62</v>
      </c>
      <c r="FK85" s="9">
        <v>600</v>
      </c>
      <c r="FR85" s="12"/>
      <c r="FS85" s="7">
        <v>62</v>
      </c>
      <c r="FT85" s="12">
        <v>44</v>
      </c>
      <c r="FW85" s="9"/>
    </row>
    <row r="86" spans="6:179" ht="15" customHeight="1">
      <c r="F86" t="str">
        <f>EH17</f>
        <v>Frame fraction %</v>
      </c>
      <c r="G86" s="177">
        <f>CP23</f>
        <v>34</v>
      </c>
      <c r="X86" s="7"/>
      <c r="Y86" s="286" t="str" cm="1">
        <f t="array" ref="Y86">INDEX(AC81:AC97,$AS23-1)</f>
        <v>W_BBWB_C_140T</v>
      </c>
      <c r="Z86" s="286"/>
      <c r="AA86" s="7"/>
      <c r="AB86" s="7" t="s">
        <v>804</v>
      </c>
      <c r="AC86" s="7" t="s">
        <v>837</v>
      </c>
      <c r="AD86" s="7" t="s">
        <v>872</v>
      </c>
      <c r="AE86" s="7" t="s">
        <v>905</v>
      </c>
      <c r="AF86" s="7"/>
      <c r="AG86" s="7"/>
      <c r="AH86" s="7"/>
      <c r="AI86" s="7"/>
      <c r="AJ86" s="7"/>
      <c r="AK86" s="7"/>
      <c r="AL86" s="7"/>
      <c r="AM86" s="7"/>
      <c r="AN86" s="7"/>
      <c r="AO86" s="7"/>
      <c r="AP86" s="7"/>
      <c r="AQ86" s="7"/>
      <c r="AR86" s="7"/>
      <c r="AS86" s="7"/>
      <c r="AT86" s="7"/>
      <c r="AU86" s="7"/>
      <c r="AV86" s="7"/>
      <c r="AW86" s="7"/>
      <c r="AX86" s="7"/>
      <c r="AY86" s="7"/>
      <c r="AZ86" s="7"/>
      <c r="BA86" s="7"/>
      <c r="BB86" s="7"/>
      <c r="BC86" s="7"/>
      <c r="BD86" s="7"/>
      <c r="BE86" s="7"/>
      <c r="BF86" s="7"/>
      <c r="BG86" s="7"/>
      <c r="BH86" s="7"/>
      <c r="BI86" s="7"/>
      <c r="BJ86" s="7"/>
      <c r="BK86" s="7"/>
      <c r="BL86" s="7"/>
      <c r="BM86" s="7"/>
      <c r="BN86" s="7"/>
      <c r="BO86" s="7"/>
      <c r="BP86" s="7"/>
      <c r="BQ86" s="7"/>
      <c r="BR86" s="7"/>
      <c r="BS86" s="7"/>
      <c r="BT86" s="7"/>
      <c r="BU86" s="7"/>
      <c r="BV86" s="7"/>
      <c r="BW86" s="7"/>
      <c r="BX86" s="7"/>
      <c r="BY86" s="7"/>
      <c r="BZ86" s="7"/>
      <c r="CA86" s="7"/>
      <c r="CB86" s="7"/>
      <c r="CC86" s="7"/>
      <c r="CD86" s="7"/>
      <c r="CE86" s="7"/>
      <c r="CF86" s="7"/>
      <c r="CG86" s="7"/>
      <c r="CH86" s="7"/>
      <c r="CI86" s="7"/>
      <c r="CJ86" s="7"/>
      <c r="CK86" s="7"/>
      <c r="CL86" s="7"/>
      <c r="CM86" s="7"/>
      <c r="CN86" s="10" cm="1">
        <f t="array" ref="CN86">INDEX($CP$59:$CP$115,MIN(56,MAX(0,INT(CO86+0)))+1)+0</f>
        <v>20</v>
      </c>
      <c r="CO86" s="7">
        <v>27</v>
      </c>
      <c r="CP86" s="7">
        <v>20</v>
      </c>
      <c r="CQ86" s="7">
        <v>34</v>
      </c>
      <c r="CR86" s="59">
        <v>63</v>
      </c>
      <c r="CS86" s="292" t="str">
        <f t="shared" si="45"/>
        <v>---------</v>
      </c>
      <c r="CT86" s="106">
        <v>18.899999999999999</v>
      </c>
      <c r="CU86" s="12" t="s">
        <v>331</v>
      </c>
      <c r="CV86" s="276" t="str">
        <f t="shared" si="20"/>
        <v>---------</v>
      </c>
      <c r="CW86" s="290">
        <v>2.3900000000000099</v>
      </c>
      <c r="CX86" s="59">
        <v>63</v>
      </c>
      <c r="CY86" s="292" t="str">
        <f t="shared" si="21"/>
        <v>---------</v>
      </c>
      <c r="CZ86" s="7">
        <v>34</v>
      </c>
      <c r="DA86" s="59">
        <v>63</v>
      </c>
      <c r="DB86" s="292" t="str">
        <f t="shared" si="46"/>
        <v>---------</v>
      </c>
      <c r="DC86" s="106">
        <v>18.899999999999999</v>
      </c>
      <c r="DD86" s="12" t="s">
        <v>331</v>
      </c>
      <c r="DE86" s="276" t="str">
        <f t="shared" si="23"/>
        <v>---------</v>
      </c>
      <c r="DF86" s="290">
        <v>2.3900000000000099</v>
      </c>
      <c r="DG86" s="59">
        <v>63</v>
      </c>
      <c r="DH86" s="292" t="str">
        <f t="shared" si="24"/>
        <v>---------</v>
      </c>
      <c r="DI86" s="7"/>
      <c r="DJ86" s="7"/>
      <c r="DK86" s="7"/>
      <c r="DL86" s="7"/>
      <c r="FG86" s="7">
        <v>63</v>
      </c>
      <c r="FH86" s="12">
        <v>13.9</v>
      </c>
      <c r="FJ86" s="7">
        <v>63</v>
      </c>
      <c r="FK86" s="9">
        <v>590</v>
      </c>
      <c r="FR86" s="12"/>
      <c r="FS86" s="7">
        <v>63</v>
      </c>
      <c r="FT86" s="12">
        <v>43.9</v>
      </c>
      <c r="FW86" s="9"/>
    </row>
    <row r="87" spans="6:179" ht="15" customHeight="1">
      <c r="F87" s="600" t="str">
        <f>EO13</f>
        <v>Wall thermal resistance   m2.K/W</v>
      </c>
      <c r="G87" s="854">
        <f>EO17</f>
        <v>0.97795439702120457</v>
      </c>
      <c r="X87" s="7"/>
      <c r="Y87" s="286" t="str" cm="1">
        <f t="array" ref="Y87">INDEX(AC81:AC97,$AS23-1)</f>
        <v>W_BBWB_C_140T</v>
      </c>
      <c r="Z87" s="286"/>
      <c r="AA87" s="7"/>
      <c r="AB87" s="7" t="s">
        <v>807</v>
      </c>
      <c r="AC87" s="7" t="s">
        <v>840</v>
      </c>
      <c r="AD87" s="7" t="s">
        <v>874</v>
      </c>
      <c r="AE87" s="7" t="s">
        <v>908</v>
      </c>
      <c r="AF87" s="12"/>
      <c r="AG87" s="7"/>
      <c r="AH87" s="7"/>
      <c r="AI87" s="7"/>
      <c r="AJ87" s="7"/>
      <c r="AK87" s="7"/>
      <c r="AL87" s="7"/>
      <c r="AM87" s="7"/>
      <c r="AN87" s="7"/>
      <c r="AO87" s="7"/>
      <c r="AP87" s="7"/>
      <c r="AQ87" s="7"/>
      <c r="AR87" s="7"/>
      <c r="AS87" s="7"/>
      <c r="AT87" s="7"/>
      <c r="AU87" s="7"/>
      <c r="AV87" s="7"/>
      <c r="AW87" s="7"/>
      <c r="AX87" s="7"/>
      <c r="AY87" s="7"/>
      <c r="AZ87" s="7"/>
      <c r="BA87" s="7"/>
      <c r="BB87" s="7"/>
      <c r="BC87" s="7"/>
      <c r="BD87" s="7"/>
      <c r="BE87" s="7"/>
      <c r="BF87" s="7"/>
      <c r="BG87" s="7"/>
      <c r="BH87" s="7"/>
      <c r="BI87" s="7"/>
      <c r="BJ87" s="7"/>
      <c r="BK87" s="7"/>
      <c r="BL87" s="7"/>
      <c r="BM87" s="7"/>
      <c r="BN87" s="7"/>
      <c r="BO87" s="7"/>
      <c r="BP87" s="7"/>
      <c r="BQ87" s="7"/>
      <c r="BR87" s="7"/>
      <c r="BS87" s="7"/>
      <c r="BT87" s="7"/>
      <c r="BU87" s="7"/>
      <c r="BV87" s="7"/>
      <c r="BW87" s="7"/>
      <c r="BX87" s="7"/>
      <c r="BY87" s="7"/>
      <c r="BZ87" s="7"/>
      <c r="CA87" s="7"/>
      <c r="CB87" s="7"/>
      <c r="CC87" s="7"/>
      <c r="CD87" s="7"/>
      <c r="CE87" s="7"/>
      <c r="CF87" s="7"/>
      <c r="CG87" s="7"/>
      <c r="CH87" s="7"/>
      <c r="CI87" s="7"/>
      <c r="CJ87" s="7"/>
      <c r="CK87" s="7"/>
      <c r="CL87" s="7"/>
      <c r="CM87" s="7"/>
      <c r="CN87" s="10" cm="1">
        <f t="array" ref="CN87">INDEX($CP$59:$CP$115,MIN(56,MAX(0,INT(CO87+0)))+1)+0</f>
        <v>19</v>
      </c>
      <c r="CO87" s="7">
        <v>28</v>
      </c>
      <c r="CP87" s="7">
        <v>19</v>
      </c>
      <c r="CQ87" s="7">
        <v>33</v>
      </c>
      <c r="CR87" s="59">
        <v>64</v>
      </c>
      <c r="CS87" s="292" t="str">
        <f t="shared" si="45"/>
        <v>---------</v>
      </c>
      <c r="CT87" s="106">
        <v>18.8</v>
      </c>
      <c r="CU87" s="12" t="s">
        <v>334</v>
      </c>
      <c r="CV87" s="276" t="str">
        <f t="shared" si="20"/>
        <v>---------</v>
      </c>
      <c r="CW87" s="290">
        <v>2.3800000000000101</v>
      </c>
      <c r="CX87" s="59">
        <v>64</v>
      </c>
      <c r="CY87" s="292" t="str">
        <f t="shared" si="21"/>
        <v>---------</v>
      </c>
      <c r="CZ87" s="7">
        <v>33</v>
      </c>
      <c r="DA87" s="59">
        <v>64</v>
      </c>
      <c r="DB87" s="292" t="str">
        <f t="shared" si="46"/>
        <v>---------</v>
      </c>
      <c r="DC87" s="106">
        <v>18.8</v>
      </c>
      <c r="DD87" s="12" t="s">
        <v>334</v>
      </c>
      <c r="DE87" s="276" t="str">
        <f t="shared" si="23"/>
        <v>---------</v>
      </c>
      <c r="DF87" s="290">
        <v>2.3800000000000101</v>
      </c>
      <c r="DG87" s="59">
        <v>64</v>
      </c>
      <c r="DH87" s="292" t="str">
        <f t="shared" si="24"/>
        <v>---------</v>
      </c>
      <c r="DI87" s="7"/>
      <c r="DJ87" s="7"/>
      <c r="DK87" s="7"/>
      <c r="DL87" s="7"/>
      <c r="FG87" s="7">
        <v>64</v>
      </c>
      <c r="FH87" s="12">
        <v>13.8</v>
      </c>
      <c r="FJ87" s="7">
        <v>64</v>
      </c>
      <c r="FK87" s="9">
        <v>580</v>
      </c>
      <c r="FR87" s="12"/>
      <c r="FS87" s="7">
        <v>64</v>
      </c>
      <c r="FT87" s="12">
        <v>43.8</v>
      </c>
      <c r="FW87" s="9"/>
    </row>
    <row r="88" spans="6:179" ht="15" customHeight="1">
      <c r="X88" s="7"/>
      <c r="Y88" s="7"/>
      <c r="Z88" s="7"/>
      <c r="AA88" s="7"/>
      <c r="AB88" s="7" t="s">
        <v>810</v>
      </c>
      <c r="AC88" s="7" t="s">
        <v>842</v>
      </c>
      <c r="AD88" s="7" t="s">
        <v>877</v>
      </c>
      <c r="AE88" s="7" t="s">
        <v>910</v>
      </c>
      <c r="AF88" s="12"/>
      <c r="AG88" s="7"/>
      <c r="AH88" s="7"/>
      <c r="AI88" s="7"/>
      <c r="AJ88" s="7"/>
      <c r="AK88" s="7"/>
      <c r="AL88" s="7"/>
      <c r="AM88" s="7"/>
      <c r="AN88" s="7"/>
      <c r="AO88" s="7"/>
      <c r="AP88" s="7"/>
      <c r="AQ88" s="7"/>
      <c r="AR88" s="7"/>
      <c r="AS88" s="7"/>
      <c r="AT88" s="7"/>
      <c r="AU88" s="7"/>
      <c r="AV88" s="7"/>
      <c r="AW88" s="7"/>
      <c r="AX88" s="7"/>
      <c r="AY88" s="7"/>
      <c r="AZ88" s="7"/>
      <c r="BA88" s="7"/>
      <c r="BB88" s="7"/>
      <c r="BC88" s="7"/>
      <c r="BD88" s="7"/>
      <c r="BE88" s="7"/>
      <c r="BF88" s="7"/>
      <c r="BG88" s="7"/>
      <c r="BH88" s="7"/>
      <c r="BI88" s="7"/>
      <c r="BJ88" s="7"/>
      <c r="BK88" s="7"/>
      <c r="BL88" s="7"/>
      <c r="BM88" s="7"/>
      <c r="BN88" s="7"/>
      <c r="BO88" s="7"/>
      <c r="BP88" s="7"/>
      <c r="BQ88" s="7"/>
      <c r="BR88" s="7"/>
      <c r="BS88" s="7"/>
      <c r="BT88" s="7"/>
      <c r="BU88" s="7"/>
      <c r="BV88" s="7"/>
      <c r="BW88" s="7"/>
      <c r="BX88" s="7"/>
      <c r="BY88" s="7"/>
      <c r="BZ88" s="7"/>
      <c r="CA88" s="7"/>
      <c r="CB88" s="7"/>
      <c r="CC88" s="7"/>
      <c r="CD88" s="7"/>
      <c r="CE88" s="7"/>
      <c r="CF88" s="7"/>
      <c r="CG88" s="7"/>
      <c r="CH88" s="7"/>
      <c r="CI88" s="7"/>
      <c r="CJ88" s="7"/>
      <c r="CK88" s="7"/>
      <c r="CL88" s="7"/>
      <c r="CM88" s="7"/>
      <c r="CN88" s="10" cm="1">
        <f t="array" ref="CN88">INDEX($CP$59:$CP$115,MIN(56,MAX(0,INT(CO88+0)))+1)+0</f>
        <v>18</v>
      </c>
      <c r="CO88" s="7">
        <v>29</v>
      </c>
      <c r="CP88" s="7">
        <v>18</v>
      </c>
      <c r="CQ88" s="7">
        <v>32</v>
      </c>
      <c r="CR88" s="59">
        <v>65</v>
      </c>
      <c r="CS88" s="292" t="str">
        <f t="shared" si="45"/>
        <v>---------</v>
      </c>
      <c r="CT88" s="106">
        <v>18.7</v>
      </c>
      <c r="CU88" s="12" t="s">
        <v>336</v>
      </c>
      <c r="CV88" s="276" t="str">
        <f t="shared" si="20"/>
        <v>---------</v>
      </c>
      <c r="CW88" s="290">
        <v>2.3700000000000099</v>
      </c>
      <c r="CX88" s="59">
        <v>65</v>
      </c>
      <c r="CY88" s="292" t="str">
        <f t="shared" si="21"/>
        <v>---------</v>
      </c>
      <c r="CZ88" s="7">
        <v>32</v>
      </c>
      <c r="DA88" s="59">
        <v>65</v>
      </c>
      <c r="DB88" s="292" t="str">
        <f t="shared" si="46"/>
        <v>---------</v>
      </c>
      <c r="DC88" s="106">
        <v>18.7</v>
      </c>
      <c r="DD88" s="12" t="s">
        <v>336</v>
      </c>
      <c r="DE88" s="276" t="str">
        <f t="shared" si="23"/>
        <v>---------</v>
      </c>
      <c r="DF88" s="290">
        <v>2.3700000000000099</v>
      </c>
      <c r="DG88" s="59">
        <v>65</v>
      </c>
      <c r="DH88" s="292" t="str">
        <f t="shared" si="24"/>
        <v>---------</v>
      </c>
      <c r="DI88" s="7"/>
      <c r="DJ88" s="7"/>
      <c r="DK88" s="7"/>
      <c r="DL88" s="7"/>
      <c r="FG88" s="7">
        <v>65</v>
      </c>
      <c r="FH88" s="12">
        <v>13.7</v>
      </c>
      <c r="FJ88" s="7">
        <v>65</v>
      </c>
      <c r="FK88" s="9">
        <v>570</v>
      </c>
      <c r="FR88" s="12"/>
      <c r="FS88" s="7">
        <v>65</v>
      </c>
      <c r="FT88" s="12">
        <v>43.7</v>
      </c>
      <c r="FW88" s="9"/>
    </row>
    <row r="89" spans="6:179" ht="15" customHeight="1">
      <c r="X89" s="7"/>
      <c r="Y89" s="7"/>
      <c r="Z89" s="7"/>
      <c r="AA89" s="7"/>
      <c r="AB89" s="7" t="s">
        <v>815</v>
      </c>
      <c r="AC89" s="7" t="s">
        <v>844</v>
      </c>
      <c r="AD89" s="7" t="s">
        <v>881</v>
      </c>
      <c r="AE89" s="7" t="s">
        <v>912</v>
      </c>
      <c r="AF89" s="12"/>
      <c r="AG89" s="286" t="str">
        <f>IF($BC$23&gt;=7,AG90,"P_blank3")</f>
        <v>P_blank3</v>
      </c>
      <c r="AH89" s="7"/>
      <c r="AI89" s="286" t="str">
        <f>IF(BW23-2,AI90,"P_blank3")</f>
        <v>P_blank3</v>
      </c>
      <c r="AJ89" s="7"/>
      <c r="AK89" s="286" t="str">
        <f>IF(BJ23&gt;2,AK90,"P_blank3")</f>
        <v>P_blank3</v>
      </c>
      <c r="AL89" s="7"/>
      <c r="AM89" s="7"/>
      <c r="AN89" s="7"/>
      <c r="AO89" s="7"/>
      <c r="AP89" s="7"/>
      <c r="AQ89" s="7"/>
      <c r="AR89" s="7"/>
      <c r="AS89" s="7"/>
      <c r="AT89" s="7"/>
      <c r="AU89" s="7"/>
      <c r="AV89" s="7"/>
      <c r="AW89" s="7"/>
      <c r="AX89" s="7"/>
      <c r="AY89" s="7"/>
      <c r="AZ89" s="7"/>
      <c r="BA89" s="7"/>
      <c r="BB89" s="7"/>
      <c r="BC89" s="7"/>
      <c r="BD89" s="7"/>
      <c r="BE89" s="7"/>
      <c r="BF89" s="7"/>
      <c r="BG89" s="7"/>
      <c r="BH89" s="7"/>
      <c r="BI89" s="7"/>
      <c r="BJ89" s="7"/>
      <c r="BK89" s="7"/>
      <c r="BL89" s="7"/>
      <c r="BM89" s="7"/>
      <c r="BN89" s="7"/>
      <c r="BO89" s="7"/>
      <c r="BP89" s="7"/>
      <c r="BQ89" s="7"/>
      <c r="BR89" s="7"/>
      <c r="BS89" s="7"/>
      <c r="BT89" s="7"/>
      <c r="BU89" s="7"/>
      <c r="BV89" s="7"/>
      <c r="BW89" s="7"/>
      <c r="BX89" s="7"/>
      <c r="BY89" s="7"/>
      <c r="BZ89" s="7"/>
      <c r="CA89" s="7"/>
      <c r="CB89" s="7"/>
      <c r="CC89" s="7"/>
      <c r="CD89" s="7"/>
      <c r="CE89" s="7"/>
      <c r="CF89" s="7"/>
      <c r="CG89" s="7"/>
      <c r="CH89" s="7"/>
      <c r="CI89" s="7"/>
      <c r="CJ89" s="7"/>
      <c r="CK89" s="7"/>
      <c r="CL89" s="7"/>
      <c r="CM89" s="7"/>
      <c r="CN89" s="10" cm="1">
        <f t="array" ref="CN89">INDEX($CP$59:$CP$115,MIN(56,MAX(0,INT(CO89+0)))+1)+0</f>
        <v>17</v>
      </c>
      <c r="CO89" s="7">
        <v>30</v>
      </c>
      <c r="CP89" s="7">
        <v>17</v>
      </c>
      <c r="CQ89" s="7">
        <v>31</v>
      </c>
      <c r="CR89" s="59">
        <v>66</v>
      </c>
      <c r="CS89" s="292" t="str">
        <f t="shared" ref="CS89:CS119" si="48">IF(Cntrl6&lt;4,"---------",CQ89)</f>
        <v>---------</v>
      </c>
      <c r="CT89" s="106">
        <v>18.600000000000001</v>
      </c>
      <c r="CU89" s="12" t="s">
        <v>340</v>
      </c>
      <c r="CV89" s="276" t="str">
        <f t="shared" ref="CV89:CV152" si="49">IF(Cntrl6&gt;3,TEXT(CT89,"0.0"),"---------")</f>
        <v>---------</v>
      </c>
      <c r="CW89" s="290">
        <v>2.3600000000000101</v>
      </c>
      <c r="CX89" s="59">
        <v>66</v>
      </c>
      <c r="CY89" s="292" t="str">
        <f t="shared" ref="CY89:CY152" si="50">IF(Cntrl6=2,"---------",TEXT(CW89,"0.00"))</f>
        <v>---------</v>
      </c>
      <c r="CZ89" s="7">
        <v>31</v>
      </c>
      <c r="DA89" s="59">
        <v>66</v>
      </c>
      <c r="DB89" s="292" t="str">
        <f t="shared" ref="DB89:DB119" si="51">IF($CH$23&gt;3,CZ89,"---------")</f>
        <v>---------</v>
      </c>
      <c r="DC89" s="106">
        <v>18.600000000000001</v>
      </c>
      <c r="DD89" s="12" t="s">
        <v>340</v>
      </c>
      <c r="DE89" s="276" t="str">
        <f t="shared" ref="DE89:DE152" si="52">IF($CH$23&gt;3,TEXT(DC89,"0.0"),"---------")</f>
        <v>---------</v>
      </c>
      <c r="DF89" s="290">
        <v>2.3600000000000101</v>
      </c>
      <c r="DG89" s="59">
        <v>66</v>
      </c>
      <c r="DH89" s="292" t="str">
        <f t="shared" ref="DH89:DH152" si="53">IF($CH$23=2,"---------",TEXT(DF89,"0.00"))</f>
        <v>---------</v>
      </c>
      <c r="DI89" s="7"/>
      <c r="DJ89" s="7"/>
      <c r="DK89" s="7"/>
      <c r="DL89" s="7"/>
      <c r="FG89" s="7">
        <v>66</v>
      </c>
      <c r="FH89" s="12">
        <v>13.6</v>
      </c>
      <c r="FJ89" s="7">
        <v>66</v>
      </c>
      <c r="FK89" s="9">
        <v>560</v>
      </c>
      <c r="FR89" s="12"/>
      <c r="FS89" s="7">
        <v>66</v>
      </c>
      <c r="FT89" s="12">
        <v>43.6</v>
      </c>
      <c r="FW89" s="9"/>
    </row>
    <row r="90" spans="6:179" ht="15" customHeight="1">
      <c r="T90" s="7"/>
      <c r="U90" s="7"/>
      <c r="V90" s="43"/>
      <c r="W90" s="7"/>
      <c r="X90" s="7"/>
      <c r="Y90" s="7"/>
      <c r="Z90" s="7"/>
      <c r="AA90" s="7"/>
      <c r="AB90" s="7" t="s">
        <v>817</v>
      </c>
      <c r="AC90" s="7" t="s">
        <v>847</v>
      </c>
      <c r="AD90" s="7" t="s">
        <v>883</v>
      </c>
      <c r="AE90" s="7" t="s">
        <v>914</v>
      </c>
      <c r="AF90" s="12"/>
      <c r="AG90" s="7" t="s">
        <v>307</v>
      </c>
      <c r="AH90" s="7"/>
      <c r="AI90" s="286" t="str">
        <f>IF($BF$23-2,AI92,AI91)</f>
        <v>W_ISIL_M</v>
      </c>
      <c r="AJ90" s="7"/>
      <c r="AK90" s="286" t="str">
        <f>IF(OR((BC23=4),(BC23=5)),AK91,AK92)</f>
        <v>W_T_RAB</v>
      </c>
      <c r="AL90" s="7"/>
      <c r="AM90" s="7"/>
      <c r="AN90" s="7"/>
      <c r="AO90" s="7"/>
      <c r="AP90" s="7"/>
      <c r="AQ90" s="7"/>
      <c r="AR90" s="7"/>
      <c r="AS90" s="7"/>
      <c r="AT90" s="7"/>
      <c r="AU90" s="7"/>
      <c r="AV90" s="7"/>
      <c r="AW90" s="7"/>
      <c r="AX90" s="7"/>
      <c r="AY90" s="7"/>
      <c r="AZ90" s="7"/>
      <c r="BA90" s="7"/>
      <c r="BB90" s="7"/>
      <c r="BC90" s="7"/>
      <c r="BD90" s="7"/>
      <c r="BE90" s="7"/>
      <c r="BF90" s="7"/>
      <c r="BG90" s="7"/>
      <c r="BH90" s="7"/>
      <c r="BI90" s="7"/>
      <c r="BJ90" s="7"/>
      <c r="BK90" s="7"/>
      <c r="BL90" s="7"/>
      <c r="BM90" s="7"/>
      <c r="BN90" s="7"/>
      <c r="BO90" s="7"/>
      <c r="BP90" s="7"/>
      <c r="BQ90" s="7"/>
      <c r="BR90" s="7"/>
      <c r="BS90" s="7"/>
      <c r="BT90" s="7"/>
      <c r="BU90" s="7"/>
      <c r="BV90" s="7"/>
      <c r="BW90" s="7"/>
      <c r="BX90" s="7"/>
      <c r="BY90" s="7"/>
      <c r="BZ90" s="7"/>
      <c r="CA90" s="7"/>
      <c r="CB90" s="7"/>
      <c r="CC90" s="7"/>
      <c r="CD90" s="7"/>
      <c r="CE90" s="7"/>
      <c r="CF90" s="7"/>
      <c r="CG90" s="7"/>
      <c r="CH90" s="7"/>
      <c r="CI90" s="7"/>
      <c r="CJ90" s="7"/>
      <c r="CK90" s="7"/>
      <c r="CL90" s="7"/>
      <c r="CM90" s="7"/>
      <c r="CN90" s="10" cm="1">
        <f t="array" ref="CN90">INDEX($CP$59:$CP$115,MIN(56,MAX(0,INT(CO90+0)))+1)+0</f>
        <v>16</v>
      </c>
      <c r="CO90" s="7">
        <v>31</v>
      </c>
      <c r="CP90" s="7">
        <v>16</v>
      </c>
      <c r="CQ90" s="7">
        <v>30</v>
      </c>
      <c r="CR90" s="59">
        <v>67</v>
      </c>
      <c r="CS90" s="292" t="str">
        <f t="shared" si="48"/>
        <v>---------</v>
      </c>
      <c r="CT90" s="106">
        <v>18.5</v>
      </c>
      <c r="CU90" s="12" t="s">
        <v>343</v>
      </c>
      <c r="CV90" s="276" t="str">
        <f t="shared" si="49"/>
        <v>---------</v>
      </c>
      <c r="CW90" s="290">
        <v>2.3500000000000099</v>
      </c>
      <c r="CX90" s="59">
        <v>67</v>
      </c>
      <c r="CY90" s="292" t="str">
        <f t="shared" si="50"/>
        <v>---------</v>
      </c>
      <c r="CZ90" s="7">
        <v>30</v>
      </c>
      <c r="DA90" s="59">
        <v>67</v>
      </c>
      <c r="DB90" s="292" t="str">
        <f t="shared" si="51"/>
        <v>---------</v>
      </c>
      <c r="DC90" s="106">
        <v>18.5</v>
      </c>
      <c r="DD90" s="12" t="s">
        <v>343</v>
      </c>
      <c r="DE90" s="276" t="str">
        <f t="shared" si="52"/>
        <v>---------</v>
      </c>
      <c r="DF90" s="290">
        <v>2.3500000000000099</v>
      </c>
      <c r="DG90" s="59">
        <v>67</v>
      </c>
      <c r="DH90" s="292" t="str">
        <f t="shared" si="53"/>
        <v>---------</v>
      </c>
      <c r="DI90" s="7"/>
      <c r="DJ90" s="7"/>
      <c r="DK90" s="7"/>
      <c r="DL90" s="7"/>
      <c r="FG90" s="7">
        <v>67</v>
      </c>
      <c r="FH90" s="12">
        <v>13.5</v>
      </c>
      <c r="FJ90" s="7">
        <v>67</v>
      </c>
      <c r="FK90" s="9">
        <v>550</v>
      </c>
      <c r="FR90" s="12"/>
      <c r="FS90" s="7">
        <v>67</v>
      </c>
      <c r="FT90" s="12">
        <v>43.5</v>
      </c>
      <c r="FW90" s="9"/>
    </row>
    <row r="91" spans="6:179" ht="15" customHeight="1">
      <c r="T91" s="7"/>
      <c r="U91" s="7"/>
      <c r="V91" s="43"/>
      <c r="W91" s="7"/>
      <c r="X91" s="7"/>
      <c r="Y91" s="7"/>
      <c r="Z91" s="7"/>
      <c r="AA91" s="7"/>
      <c r="AB91" s="7" t="s">
        <v>821</v>
      </c>
      <c r="AC91" s="7" t="s">
        <v>849</v>
      </c>
      <c r="AD91" s="7" t="s">
        <v>886</v>
      </c>
      <c r="AE91" s="7" t="s">
        <v>915</v>
      </c>
      <c r="AF91" s="7"/>
      <c r="AG91" s="7" t="s">
        <v>307</v>
      </c>
      <c r="AH91" s="7"/>
      <c r="AI91" s="7" t="s">
        <v>309</v>
      </c>
      <c r="AJ91" s="7"/>
      <c r="AK91" s="7" t="s">
        <v>318</v>
      </c>
      <c r="AL91" s="7"/>
      <c r="AM91" s="7"/>
      <c r="AN91" s="7"/>
      <c r="AO91" s="7"/>
      <c r="AP91" s="7"/>
      <c r="AQ91" s="7"/>
      <c r="AR91" s="7"/>
      <c r="AS91" s="7"/>
      <c r="AT91" s="7"/>
      <c r="AU91" s="7"/>
      <c r="AV91" s="7"/>
      <c r="AW91" s="7"/>
      <c r="AX91" s="7"/>
      <c r="AY91" s="7"/>
      <c r="AZ91" s="7"/>
      <c r="BA91" s="7"/>
      <c r="BB91" s="7"/>
      <c r="BC91" s="7"/>
      <c r="BD91" s="7"/>
      <c r="BE91" s="7"/>
      <c r="BF91" s="7"/>
      <c r="BG91" s="7"/>
      <c r="BH91" s="7"/>
      <c r="BI91" s="7"/>
      <c r="BJ91" s="7"/>
      <c r="BK91" s="7"/>
      <c r="BL91" s="7"/>
      <c r="BM91" s="7"/>
      <c r="BN91" s="7"/>
      <c r="BO91" s="7"/>
      <c r="BP91" s="7"/>
      <c r="BQ91" s="7"/>
      <c r="BR91" s="7"/>
      <c r="BS91" s="7"/>
      <c r="BT91" s="7"/>
      <c r="BU91" s="7"/>
      <c r="BV91" s="7"/>
      <c r="BW91" s="7"/>
      <c r="BX91" s="7"/>
      <c r="BY91" s="7"/>
      <c r="BZ91" s="7"/>
      <c r="CA91" s="7"/>
      <c r="CB91" s="7"/>
      <c r="CC91" s="7"/>
      <c r="CD91" s="7"/>
      <c r="CE91" s="7"/>
      <c r="CF91" s="7"/>
      <c r="CG91" s="7"/>
      <c r="CH91" s="7"/>
      <c r="CI91" s="7"/>
      <c r="CJ91" s="7"/>
      <c r="CK91" s="7"/>
      <c r="CL91" s="7"/>
      <c r="CM91" s="7"/>
      <c r="CN91" s="10" cm="1">
        <f t="array" ref="CN91">INDEX($CP$59:$CP$115,MIN(56,MAX(0,INT(CO91+0)))+1)+0</f>
        <v>15</v>
      </c>
      <c r="CO91" s="7">
        <v>32</v>
      </c>
      <c r="CP91" s="7">
        <v>15</v>
      </c>
      <c r="CQ91" s="7">
        <v>29</v>
      </c>
      <c r="CR91" s="59">
        <v>68</v>
      </c>
      <c r="CS91" s="292" t="str">
        <f t="shared" si="48"/>
        <v>---------</v>
      </c>
      <c r="CT91" s="106">
        <v>18.399999999999999</v>
      </c>
      <c r="CU91" s="12" t="s">
        <v>347</v>
      </c>
      <c r="CV91" s="276" t="str">
        <f t="shared" si="49"/>
        <v>---------</v>
      </c>
      <c r="CW91" s="290">
        <v>2.3400000000000101</v>
      </c>
      <c r="CX91" s="59">
        <v>68</v>
      </c>
      <c r="CY91" s="292" t="str">
        <f t="shared" si="50"/>
        <v>---------</v>
      </c>
      <c r="CZ91" s="7">
        <v>29</v>
      </c>
      <c r="DA91" s="59">
        <v>68</v>
      </c>
      <c r="DB91" s="292" t="str">
        <f t="shared" si="51"/>
        <v>---------</v>
      </c>
      <c r="DC91" s="106">
        <v>18.399999999999999</v>
      </c>
      <c r="DD91" s="12" t="s">
        <v>347</v>
      </c>
      <c r="DE91" s="276" t="str">
        <f t="shared" si="52"/>
        <v>---------</v>
      </c>
      <c r="DF91" s="290">
        <v>2.3400000000000101</v>
      </c>
      <c r="DG91" s="59">
        <v>68</v>
      </c>
      <c r="DH91" s="292" t="str">
        <f t="shared" si="53"/>
        <v>---------</v>
      </c>
      <c r="DI91" s="7"/>
      <c r="DJ91" s="7"/>
      <c r="DK91" s="7"/>
      <c r="DL91" s="7"/>
      <c r="FG91" s="7">
        <v>68</v>
      </c>
      <c r="FH91" s="12">
        <v>13.4</v>
      </c>
      <c r="FJ91" s="7">
        <v>68</v>
      </c>
      <c r="FK91" s="9">
        <v>540</v>
      </c>
      <c r="FR91" s="12"/>
      <c r="FS91" s="7">
        <v>68</v>
      </c>
      <c r="FT91" s="12">
        <v>43.4</v>
      </c>
      <c r="FW91" s="9"/>
    </row>
    <row r="92" spans="6:179" ht="15" customHeight="1">
      <c r="Y92" s="7"/>
      <c r="Z92" s="7"/>
      <c r="AA92" s="7"/>
      <c r="AB92" s="7" t="s">
        <v>823</v>
      </c>
      <c r="AC92" s="7" t="s">
        <v>854</v>
      </c>
      <c r="AD92" s="7" t="s">
        <v>889</v>
      </c>
      <c r="AE92" s="7" t="s">
        <v>920</v>
      </c>
      <c r="AF92" s="7"/>
      <c r="AG92" s="7"/>
      <c r="AH92" s="7"/>
      <c r="AI92" s="7" t="s">
        <v>315</v>
      </c>
      <c r="AJ92" s="7"/>
      <c r="AK92" s="7" t="s">
        <v>311</v>
      </c>
      <c r="AL92" s="7"/>
      <c r="AM92" s="7"/>
      <c r="AN92" s="7"/>
      <c r="AO92" s="7"/>
      <c r="AP92" s="7"/>
      <c r="AQ92" s="7"/>
      <c r="AR92" s="7"/>
      <c r="AS92" s="7"/>
      <c r="AT92" s="7"/>
      <c r="AU92" s="7"/>
      <c r="AV92" s="7"/>
      <c r="AW92" s="7"/>
      <c r="AX92" s="7"/>
      <c r="AY92" s="7"/>
      <c r="AZ92" s="7"/>
      <c r="BA92" s="7"/>
      <c r="BB92" s="7"/>
      <c r="BC92" s="7"/>
      <c r="BD92" s="7"/>
      <c r="BE92" s="7"/>
      <c r="BF92" s="7"/>
      <c r="BG92" s="7"/>
      <c r="BH92" s="7"/>
      <c r="BI92" s="7"/>
      <c r="BJ92" s="7"/>
      <c r="BK92" s="7"/>
      <c r="BL92" s="7"/>
      <c r="BM92" s="7"/>
      <c r="BN92" s="7"/>
      <c r="BO92" s="7"/>
      <c r="BP92" s="7"/>
      <c r="BQ92" s="7"/>
      <c r="BR92" s="7"/>
      <c r="BS92" s="7"/>
      <c r="BT92" s="7"/>
      <c r="BU92" s="7"/>
      <c r="BV92" s="7"/>
      <c r="BW92" s="7"/>
      <c r="BX92" s="7"/>
      <c r="BY92" s="7"/>
      <c r="BZ92" s="7"/>
      <c r="CA92" s="7"/>
      <c r="CB92" s="7"/>
      <c r="CC92" s="7"/>
      <c r="CD92" s="7"/>
      <c r="CE92" s="7"/>
      <c r="CF92" s="7"/>
      <c r="CG92" s="7"/>
      <c r="CH92" s="7"/>
      <c r="CI92" s="7"/>
      <c r="CJ92" s="7"/>
      <c r="CK92" s="7"/>
      <c r="CL92" s="7"/>
      <c r="CM92" s="7"/>
      <c r="CN92" s="10" cm="1">
        <f t="array" ref="CN92">INDEX($CP$59:$CP$115,MIN(56,MAX(0,INT(CO92+0)))+1)+0</f>
        <v>14</v>
      </c>
      <c r="CO92" s="7">
        <v>33</v>
      </c>
      <c r="CP92" s="7">
        <v>14</v>
      </c>
      <c r="CQ92" s="7">
        <v>28</v>
      </c>
      <c r="CR92" s="59">
        <v>69</v>
      </c>
      <c r="CS92" s="292" t="str">
        <f t="shared" si="48"/>
        <v>---------</v>
      </c>
      <c r="CT92" s="106">
        <v>18.3</v>
      </c>
      <c r="CU92" s="12" t="s">
        <v>349</v>
      </c>
      <c r="CV92" s="276" t="str">
        <f t="shared" si="49"/>
        <v>---------</v>
      </c>
      <c r="CW92" s="290">
        <v>2.3300000000000098</v>
      </c>
      <c r="CX92" s="59">
        <v>69</v>
      </c>
      <c r="CY92" s="292" t="str">
        <f t="shared" si="50"/>
        <v>---------</v>
      </c>
      <c r="CZ92" s="7">
        <v>28</v>
      </c>
      <c r="DA92" s="59">
        <v>69</v>
      </c>
      <c r="DB92" s="292" t="str">
        <f t="shared" si="51"/>
        <v>---------</v>
      </c>
      <c r="DC92" s="106">
        <v>18.3</v>
      </c>
      <c r="DD92" s="12" t="s">
        <v>349</v>
      </c>
      <c r="DE92" s="276" t="str">
        <f t="shared" si="52"/>
        <v>---------</v>
      </c>
      <c r="DF92" s="290">
        <v>2.3300000000000098</v>
      </c>
      <c r="DG92" s="59">
        <v>69</v>
      </c>
      <c r="DH92" s="292" t="str">
        <f t="shared" si="53"/>
        <v>---------</v>
      </c>
      <c r="DI92" s="7"/>
      <c r="DJ92" s="7"/>
      <c r="DK92" s="7"/>
      <c r="DL92" s="7"/>
      <c r="FG92" s="7">
        <v>69</v>
      </c>
      <c r="FH92" s="12">
        <v>13.3</v>
      </c>
      <c r="FJ92" s="7">
        <v>69</v>
      </c>
      <c r="FK92" s="9">
        <v>530</v>
      </c>
      <c r="FR92" s="12"/>
      <c r="FS92" s="7">
        <v>69</v>
      </c>
      <c r="FT92" s="12">
        <v>43.3</v>
      </c>
      <c r="FW92" s="9"/>
    </row>
    <row r="93" spans="6:179" ht="15" customHeight="1">
      <c r="Y93" s="7"/>
      <c r="Z93" s="7"/>
      <c r="AA93" s="7"/>
      <c r="AB93" s="7" t="s">
        <v>825</v>
      </c>
      <c r="AC93" s="7" t="s">
        <v>859</v>
      </c>
      <c r="AD93" s="7" t="s">
        <v>891</v>
      </c>
      <c r="AE93" s="7" t="s">
        <v>921</v>
      </c>
      <c r="AF93" s="7"/>
      <c r="AG93" s="7"/>
      <c r="AH93" s="7"/>
      <c r="AI93" s="7"/>
      <c r="AJ93" s="7"/>
      <c r="AK93" s="7"/>
      <c r="AL93" s="7"/>
      <c r="AM93" s="7"/>
      <c r="AN93" s="7"/>
      <c r="AO93" s="7"/>
      <c r="AP93" s="7"/>
      <c r="AQ93" s="7"/>
      <c r="AR93" s="7"/>
      <c r="AS93" s="7"/>
      <c r="AT93" s="7"/>
      <c r="AU93" s="7"/>
      <c r="AV93" s="7"/>
      <c r="AW93" s="7"/>
      <c r="AX93" s="7"/>
      <c r="AY93" s="7"/>
      <c r="AZ93" s="7"/>
      <c r="BA93" s="7"/>
      <c r="BB93" s="7"/>
      <c r="BC93" s="7"/>
      <c r="BD93" s="7"/>
      <c r="BE93" s="7"/>
      <c r="BF93" s="7"/>
      <c r="BG93" s="7"/>
      <c r="BH93" s="7"/>
      <c r="BI93" s="7"/>
      <c r="BJ93" s="7"/>
      <c r="BK93" s="7"/>
      <c r="BL93" s="7"/>
      <c r="BM93" s="7"/>
      <c r="BN93" s="7"/>
      <c r="BO93" s="7"/>
      <c r="BP93" s="7"/>
      <c r="BQ93" s="7"/>
      <c r="BR93" s="7"/>
      <c r="BS93" s="7"/>
      <c r="BT93" s="7"/>
      <c r="BU93" s="7"/>
      <c r="BV93" s="7"/>
      <c r="BW93" s="7"/>
      <c r="BX93" s="7"/>
      <c r="BY93" s="7"/>
      <c r="BZ93" s="7"/>
      <c r="CA93" s="7"/>
      <c r="CB93" s="7"/>
      <c r="CC93" s="7"/>
      <c r="CD93" s="7"/>
      <c r="CE93" s="7"/>
      <c r="CF93" s="7"/>
      <c r="CG93" s="7"/>
      <c r="CH93" s="7"/>
      <c r="CI93" s="7"/>
      <c r="CJ93" s="7"/>
      <c r="CK93" s="7"/>
      <c r="CL93" s="7"/>
      <c r="CM93" s="7"/>
      <c r="CN93" s="10" cm="1">
        <f t="array" ref="CN93">INDEX($CP$59:$CP$115,MIN(56,MAX(0,INT(CO93+0)))+1)+0</f>
        <v>13</v>
      </c>
      <c r="CO93" s="7">
        <v>34</v>
      </c>
      <c r="CP93" s="7">
        <v>13</v>
      </c>
      <c r="CQ93" s="7">
        <v>27</v>
      </c>
      <c r="CR93" s="59">
        <v>70</v>
      </c>
      <c r="CS93" s="292" t="str">
        <f t="shared" si="48"/>
        <v>---------</v>
      </c>
      <c r="CT93" s="106">
        <v>18.2</v>
      </c>
      <c r="CU93" s="12" t="s">
        <v>353</v>
      </c>
      <c r="CV93" s="276" t="str">
        <f t="shared" si="49"/>
        <v>---------</v>
      </c>
      <c r="CW93" s="290">
        <v>2.3200000000000101</v>
      </c>
      <c r="CX93" s="59">
        <v>70</v>
      </c>
      <c r="CY93" s="292" t="str">
        <f t="shared" si="50"/>
        <v>---------</v>
      </c>
      <c r="CZ93" s="7">
        <v>27</v>
      </c>
      <c r="DA93" s="59">
        <v>70</v>
      </c>
      <c r="DB93" s="292" t="str">
        <f t="shared" si="51"/>
        <v>---------</v>
      </c>
      <c r="DC93" s="106">
        <v>18.2</v>
      </c>
      <c r="DD93" s="12" t="s">
        <v>353</v>
      </c>
      <c r="DE93" s="276" t="str">
        <f t="shared" si="52"/>
        <v>---------</v>
      </c>
      <c r="DF93" s="290">
        <v>2.3200000000000101</v>
      </c>
      <c r="DG93" s="59">
        <v>70</v>
      </c>
      <c r="DH93" s="292" t="str">
        <f t="shared" si="53"/>
        <v>---------</v>
      </c>
      <c r="DI93" s="7"/>
      <c r="DJ93" s="7"/>
      <c r="DK93" s="7"/>
      <c r="DL93" s="7"/>
      <c r="FG93" s="7">
        <v>70</v>
      </c>
      <c r="FH93" s="12">
        <v>13.2</v>
      </c>
      <c r="FJ93" s="7">
        <v>70</v>
      </c>
      <c r="FK93" s="9">
        <v>520</v>
      </c>
      <c r="FR93" s="12"/>
      <c r="FS93" s="7">
        <v>70</v>
      </c>
      <c r="FT93" s="12">
        <v>43.2</v>
      </c>
      <c r="FW93" s="9"/>
    </row>
    <row r="94" spans="6:179" ht="15" customHeight="1">
      <c r="Y94" s="7" t="s">
        <v>0</v>
      </c>
      <c r="Z94" s="7"/>
      <c r="AA94" s="7"/>
      <c r="AB94" s="7" t="s">
        <v>825</v>
      </c>
      <c r="AC94" s="7" t="s">
        <v>859</v>
      </c>
      <c r="AD94" s="7" t="s">
        <v>891</v>
      </c>
      <c r="AE94" s="7" t="s">
        <v>921</v>
      </c>
      <c r="AF94" s="7"/>
      <c r="AG94" s="7"/>
      <c r="AH94" s="7"/>
      <c r="AI94" s="7"/>
      <c r="AJ94" s="7"/>
      <c r="AK94" s="7"/>
      <c r="AL94" s="7"/>
      <c r="AM94" s="7"/>
      <c r="AN94" s="7"/>
      <c r="AO94" s="7"/>
      <c r="AP94" s="7"/>
      <c r="AQ94" s="7"/>
      <c r="AR94" s="7"/>
      <c r="AS94" s="7"/>
      <c r="AT94" s="7"/>
      <c r="AU94" s="7"/>
      <c r="AV94" s="7"/>
      <c r="AW94" s="7"/>
      <c r="AX94" s="7"/>
      <c r="AY94" s="7"/>
      <c r="AZ94" s="7"/>
      <c r="BA94" s="7"/>
      <c r="BB94" s="7"/>
      <c r="BC94" s="7"/>
      <c r="BD94" s="7"/>
      <c r="BE94" s="7"/>
      <c r="BF94" s="7"/>
      <c r="BG94" s="7"/>
      <c r="BH94" s="7"/>
      <c r="BI94" s="7"/>
      <c r="BJ94" s="7"/>
      <c r="BK94" s="7"/>
      <c r="BL94" s="7"/>
      <c r="BN94" s="7"/>
      <c r="BO94" s="7"/>
      <c r="BP94" s="7"/>
      <c r="BQ94" s="7"/>
      <c r="BR94" s="7"/>
      <c r="BS94" s="7"/>
      <c r="BT94" s="7"/>
      <c r="BU94" s="7"/>
      <c r="BV94" s="7"/>
      <c r="BW94" s="7"/>
      <c r="BX94" s="7"/>
      <c r="BY94" s="7"/>
      <c r="BZ94" s="7"/>
      <c r="CA94" s="7"/>
      <c r="CB94" s="7"/>
      <c r="CC94" s="7"/>
      <c r="CD94" s="7"/>
      <c r="CE94" s="7"/>
      <c r="CF94" s="7"/>
      <c r="CG94" s="7"/>
      <c r="CH94" s="7"/>
      <c r="CI94" s="7"/>
      <c r="CJ94" s="7"/>
      <c r="CK94" s="7"/>
      <c r="CL94" s="7"/>
      <c r="CM94" s="7"/>
      <c r="CN94" s="10" cm="1">
        <f t="array" ref="CN94">INDEX($CP$59:$CP$115,MIN(56,MAX(0,INT(CO94+0)))+1)+0</f>
        <v>12</v>
      </c>
      <c r="CO94" s="7">
        <v>35</v>
      </c>
      <c r="CP94" s="7">
        <v>12</v>
      </c>
      <c r="CQ94" s="7">
        <v>26</v>
      </c>
      <c r="CR94" s="59">
        <v>71</v>
      </c>
      <c r="CS94" s="292" t="str">
        <f t="shared" si="48"/>
        <v>---------</v>
      </c>
      <c r="CT94" s="106">
        <v>18.100000000000001</v>
      </c>
      <c r="CU94" s="12" t="s">
        <v>355</v>
      </c>
      <c r="CV94" s="276" t="str">
        <f t="shared" si="49"/>
        <v>---------</v>
      </c>
      <c r="CW94" s="290">
        <v>2.31000000000002</v>
      </c>
      <c r="CX94" s="59">
        <v>71</v>
      </c>
      <c r="CY94" s="292" t="str">
        <f t="shared" si="50"/>
        <v>---------</v>
      </c>
      <c r="CZ94" s="7">
        <v>26</v>
      </c>
      <c r="DA94" s="59">
        <v>71</v>
      </c>
      <c r="DB94" s="292" t="str">
        <f t="shared" si="51"/>
        <v>---------</v>
      </c>
      <c r="DC94" s="106">
        <v>18.100000000000001</v>
      </c>
      <c r="DD94" s="12" t="s">
        <v>355</v>
      </c>
      <c r="DE94" s="276" t="str">
        <f t="shared" si="52"/>
        <v>---------</v>
      </c>
      <c r="DF94" s="290">
        <v>2.31000000000002</v>
      </c>
      <c r="DG94" s="59">
        <v>71</v>
      </c>
      <c r="DH94" s="292" t="str">
        <f t="shared" si="53"/>
        <v>---------</v>
      </c>
      <c r="DI94" s="7"/>
      <c r="DJ94" s="7"/>
      <c r="DK94" s="7"/>
      <c r="DL94" s="7"/>
      <c r="FG94" s="7">
        <v>71</v>
      </c>
      <c r="FH94" s="12">
        <v>13.1</v>
      </c>
      <c r="FJ94" s="7">
        <v>71</v>
      </c>
      <c r="FK94" s="9">
        <v>510</v>
      </c>
      <c r="FR94" s="12"/>
      <c r="FS94" s="7">
        <v>71</v>
      </c>
      <c r="FT94" s="12">
        <v>43.1</v>
      </c>
      <c r="FW94" s="9"/>
    </row>
    <row r="95" spans="6:179" ht="15" customHeight="1">
      <c r="Y95" s="7" t="s">
        <v>0</v>
      </c>
      <c r="Z95" s="7"/>
      <c r="AA95" s="7"/>
      <c r="AB95" s="7" t="s">
        <v>825</v>
      </c>
      <c r="AC95" s="7" t="s">
        <v>859</v>
      </c>
      <c r="AD95" s="7" t="s">
        <v>891</v>
      </c>
      <c r="AE95" s="7" t="s">
        <v>921</v>
      </c>
      <c r="AF95" s="7"/>
      <c r="AG95" s="7"/>
      <c r="AH95" s="7"/>
      <c r="AI95" s="7"/>
      <c r="AJ95" s="11"/>
      <c r="AK95" s="12"/>
      <c r="AL95" s="69"/>
      <c r="AM95" s="12"/>
      <c r="AN95" s="7"/>
      <c r="AO95" s="7"/>
      <c r="AP95" s="7"/>
      <c r="AQ95" s="7"/>
      <c r="AR95" s="7"/>
      <c r="AS95" s="7"/>
      <c r="AT95" s="7"/>
      <c r="AU95" s="7"/>
      <c r="AV95" s="7"/>
      <c r="AW95" s="7"/>
      <c r="AX95" s="7"/>
      <c r="AY95" s="7"/>
      <c r="AZ95" s="7"/>
      <c r="BA95" s="7"/>
      <c r="BB95" s="7"/>
      <c r="BC95" s="7"/>
      <c r="BD95" s="7"/>
      <c r="BE95" s="7"/>
      <c r="BF95" s="7"/>
      <c r="BG95" s="7"/>
      <c r="BH95" s="7"/>
      <c r="BI95" s="7"/>
      <c r="BJ95" s="7"/>
      <c r="BK95" s="7"/>
      <c r="BL95" s="7"/>
      <c r="BN95" s="7"/>
      <c r="BO95" s="7"/>
      <c r="BP95" s="7"/>
      <c r="BQ95" s="7"/>
      <c r="BR95" s="7"/>
      <c r="BS95" s="7"/>
      <c r="BT95" s="7"/>
      <c r="BU95" s="7"/>
      <c r="BV95" s="7"/>
      <c r="BW95" s="7"/>
      <c r="BX95" s="7"/>
      <c r="BY95" s="7"/>
      <c r="BZ95" s="7"/>
      <c r="CA95" s="7"/>
      <c r="CB95" s="7"/>
      <c r="CC95" s="7"/>
      <c r="CD95" s="7"/>
      <c r="CE95" s="7"/>
      <c r="CF95" s="7"/>
      <c r="CG95" s="7"/>
      <c r="CH95" s="7"/>
      <c r="CI95" s="7"/>
      <c r="CJ95" s="7"/>
      <c r="CK95" s="7"/>
      <c r="CL95" s="7"/>
      <c r="CM95" s="7"/>
      <c r="CN95" s="10" cm="1">
        <f t="array" ref="CN95">INDEX($CP$59:$CP$115,MIN(56,MAX(0,INT(CO95+0)))+1)+0</f>
        <v>12</v>
      </c>
      <c r="CO95" s="7">
        <v>36</v>
      </c>
      <c r="CP95" s="7">
        <v>12</v>
      </c>
      <c r="CQ95" s="7">
        <v>25</v>
      </c>
      <c r="CR95" s="59">
        <v>72</v>
      </c>
      <c r="CS95" s="292" t="str">
        <f t="shared" si="48"/>
        <v>---------</v>
      </c>
      <c r="CT95" s="106">
        <v>18</v>
      </c>
      <c r="CU95" s="12" t="s">
        <v>358</v>
      </c>
      <c r="CV95" s="276" t="str">
        <f t="shared" si="49"/>
        <v>---------</v>
      </c>
      <c r="CW95" s="290">
        <v>2.30000000000001</v>
      </c>
      <c r="CX95" s="59">
        <v>72</v>
      </c>
      <c r="CY95" s="292" t="str">
        <f t="shared" si="50"/>
        <v>---------</v>
      </c>
      <c r="CZ95" s="7">
        <v>25</v>
      </c>
      <c r="DA95" s="59">
        <v>72</v>
      </c>
      <c r="DB95" s="292" t="str">
        <f t="shared" si="51"/>
        <v>---------</v>
      </c>
      <c r="DC95" s="106">
        <v>18</v>
      </c>
      <c r="DD95" s="12" t="s">
        <v>358</v>
      </c>
      <c r="DE95" s="276" t="str">
        <f t="shared" si="52"/>
        <v>---------</v>
      </c>
      <c r="DF95" s="290">
        <v>2.30000000000001</v>
      </c>
      <c r="DG95" s="59">
        <v>72</v>
      </c>
      <c r="DH95" s="292" t="str">
        <f t="shared" si="53"/>
        <v>---------</v>
      </c>
      <c r="DI95" s="7"/>
      <c r="DJ95" s="7"/>
      <c r="DK95" s="7"/>
      <c r="DL95" s="7"/>
      <c r="FG95" s="7">
        <v>72</v>
      </c>
      <c r="FH95" s="12">
        <v>13</v>
      </c>
      <c r="FJ95" s="7">
        <v>72</v>
      </c>
      <c r="FK95" s="9">
        <v>500</v>
      </c>
      <c r="FR95" s="12"/>
      <c r="FS95" s="7">
        <v>72</v>
      </c>
      <c r="FT95" s="12">
        <v>43</v>
      </c>
      <c r="FW95" s="9"/>
    </row>
    <row r="96" spans="6:179" ht="15" customHeight="1">
      <c r="Y96" s="7" t="s">
        <v>0</v>
      </c>
      <c r="Z96" s="7"/>
      <c r="AA96" s="7"/>
      <c r="AB96" s="7" t="s">
        <v>825</v>
      </c>
      <c r="AC96" s="7" t="s">
        <v>859</v>
      </c>
      <c r="AD96" s="7" t="s">
        <v>891</v>
      </c>
      <c r="AE96" s="7" t="s">
        <v>921</v>
      </c>
      <c r="AF96" s="7"/>
      <c r="AG96" s="7"/>
      <c r="AH96" s="7"/>
      <c r="AI96" s="7"/>
      <c r="AJ96" s="11"/>
      <c r="AK96" s="12"/>
      <c r="AL96" s="69"/>
      <c r="AM96" s="12"/>
      <c r="AN96" s="7"/>
      <c r="AO96" s="7"/>
      <c r="AP96" s="7"/>
      <c r="AQ96" s="7"/>
      <c r="AR96" s="7"/>
      <c r="AS96" s="7"/>
      <c r="AT96" s="7"/>
      <c r="AU96" s="7"/>
      <c r="AV96" s="7"/>
      <c r="AW96" s="7"/>
      <c r="AX96" s="7"/>
      <c r="AY96" s="7"/>
      <c r="AZ96" s="7"/>
      <c r="BA96" s="7"/>
      <c r="BB96" s="7"/>
      <c r="BC96" s="7"/>
      <c r="BD96" s="7"/>
      <c r="BE96" s="7"/>
      <c r="BF96" s="7"/>
      <c r="BG96" s="7"/>
      <c r="BH96" s="7"/>
      <c r="BI96" s="7"/>
      <c r="BJ96" s="7"/>
      <c r="BK96" s="7"/>
      <c r="BL96" s="7"/>
      <c r="BN96" s="7"/>
      <c r="BO96" s="7"/>
      <c r="BP96" s="7"/>
      <c r="BQ96" s="7"/>
      <c r="BR96" s="7"/>
      <c r="BS96" s="7"/>
      <c r="BT96" s="7"/>
      <c r="BU96" s="7"/>
      <c r="BV96" s="7"/>
      <c r="BW96" s="7"/>
      <c r="BX96" s="7"/>
      <c r="BY96" s="7"/>
      <c r="BZ96" s="7"/>
      <c r="CA96" s="7"/>
      <c r="CB96" s="7"/>
      <c r="CC96" s="7"/>
      <c r="CD96" s="7"/>
      <c r="CE96" s="7"/>
      <c r="CF96" s="7"/>
      <c r="CG96" s="7"/>
      <c r="CH96" s="7"/>
      <c r="CI96" s="7"/>
      <c r="CJ96" s="7"/>
      <c r="CK96" s="7"/>
      <c r="CL96" s="7"/>
      <c r="CM96" s="7"/>
      <c r="CN96" s="10" cm="1">
        <f t="array" ref="CN96">INDEX($CP$59:$CP$115,MIN(56,MAX(0,INT(CO96+0)))+1)+0</f>
        <v>11</v>
      </c>
      <c r="CO96" s="7">
        <v>37</v>
      </c>
      <c r="CP96" s="7">
        <v>11</v>
      </c>
      <c r="CQ96" s="7">
        <v>24</v>
      </c>
      <c r="CR96" s="59">
        <v>73</v>
      </c>
      <c r="CS96" s="292" t="str">
        <f t="shared" si="48"/>
        <v>---------</v>
      </c>
      <c r="CT96" s="106">
        <v>17.899999999999999</v>
      </c>
      <c r="CU96" s="12" t="s">
        <v>360</v>
      </c>
      <c r="CV96" s="276" t="str">
        <f t="shared" si="49"/>
        <v>---------</v>
      </c>
      <c r="CW96" s="290">
        <v>2.29000000000002</v>
      </c>
      <c r="CX96" s="59">
        <v>73</v>
      </c>
      <c r="CY96" s="292" t="str">
        <f t="shared" si="50"/>
        <v>---------</v>
      </c>
      <c r="CZ96" s="7">
        <v>24</v>
      </c>
      <c r="DA96" s="59">
        <v>73</v>
      </c>
      <c r="DB96" s="292" t="str">
        <f t="shared" si="51"/>
        <v>---------</v>
      </c>
      <c r="DC96" s="106">
        <v>17.899999999999999</v>
      </c>
      <c r="DD96" s="12" t="s">
        <v>360</v>
      </c>
      <c r="DE96" s="276" t="str">
        <f t="shared" si="52"/>
        <v>---------</v>
      </c>
      <c r="DF96" s="290">
        <v>2.29000000000002</v>
      </c>
      <c r="DG96" s="59">
        <v>73</v>
      </c>
      <c r="DH96" s="292" t="str">
        <f t="shared" si="53"/>
        <v>---------</v>
      </c>
      <c r="DI96" s="7"/>
      <c r="DJ96" s="7"/>
      <c r="DK96" s="7"/>
      <c r="DL96" s="7"/>
      <c r="FG96" s="7">
        <v>73</v>
      </c>
      <c r="FH96" s="12">
        <v>12.9</v>
      </c>
      <c r="FJ96" s="7">
        <v>73</v>
      </c>
      <c r="FK96" s="9">
        <v>490</v>
      </c>
      <c r="FR96" s="12"/>
      <c r="FS96" s="7">
        <v>73</v>
      </c>
      <c r="FT96" s="12">
        <v>42.9</v>
      </c>
      <c r="FW96" s="9"/>
    </row>
    <row r="97" spans="20:179" ht="15" customHeight="1">
      <c r="Y97" s="7" t="s">
        <v>0</v>
      </c>
      <c r="Z97" s="7"/>
      <c r="AA97" s="7"/>
      <c r="AB97" s="7" t="s">
        <v>825</v>
      </c>
      <c r="AC97" s="7" t="s">
        <v>859</v>
      </c>
      <c r="AD97" s="7" t="s">
        <v>891</v>
      </c>
      <c r="AE97" s="7" t="s">
        <v>921</v>
      </c>
      <c r="AF97" s="7"/>
      <c r="AG97" s="7"/>
      <c r="AH97" s="7"/>
      <c r="AI97" s="7"/>
      <c r="AJ97" s="11"/>
      <c r="AK97" s="12"/>
      <c r="AL97" s="69"/>
      <c r="AM97" s="12"/>
      <c r="AN97" s="7"/>
      <c r="AO97" s="7"/>
      <c r="AP97" s="7"/>
      <c r="AQ97" s="7"/>
      <c r="AR97" s="7"/>
      <c r="AS97" s="7"/>
      <c r="AT97" s="7"/>
      <c r="AU97" s="7"/>
      <c r="AV97" s="7"/>
      <c r="AW97" s="7"/>
      <c r="AX97" s="7"/>
      <c r="AY97" s="7"/>
      <c r="AZ97" s="7"/>
      <c r="BA97" s="7"/>
      <c r="BB97" s="7"/>
      <c r="BC97" s="7"/>
      <c r="BD97" s="7"/>
      <c r="BE97" s="7"/>
      <c r="BF97" s="7"/>
      <c r="BG97" s="7"/>
      <c r="BH97" s="7"/>
      <c r="BI97" s="7"/>
      <c r="BJ97" s="7"/>
      <c r="BK97" s="7"/>
      <c r="BL97" s="7"/>
      <c r="BN97" s="7"/>
      <c r="BO97" s="7"/>
      <c r="BP97" s="7"/>
      <c r="BQ97" s="7"/>
      <c r="BR97" s="7"/>
      <c r="BS97" s="7"/>
      <c r="BT97" s="7"/>
      <c r="BU97" s="7"/>
      <c r="BV97" s="7"/>
      <c r="BW97" s="7"/>
      <c r="BX97" s="7"/>
      <c r="BY97" s="7"/>
      <c r="BZ97" s="7"/>
      <c r="CA97" s="7"/>
      <c r="CB97" s="7"/>
      <c r="CC97" s="7"/>
      <c r="CD97" s="7"/>
      <c r="CE97" s="7"/>
      <c r="CF97" s="7"/>
      <c r="CG97" s="7"/>
      <c r="CH97" s="7"/>
      <c r="CI97" s="7"/>
      <c r="CJ97" s="7"/>
      <c r="CK97" s="7"/>
      <c r="CL97" s="7"/>
      <c r="CM97" s="7"/>
      <c r="CN97" s="10" cm="1">
        <f t="array" ref="CN97">INDEX($CP$59:$CP$115,MIN(56,MAX(0,INT(CO97+0)))+1)+0</f>
        <v>11</v>
      </c>
      <c r="CO97" s="7">
        <v>38</v>
      </c>
      <c r="CP97" s="7">
        <v>11</v>
      </c>
      <c r="CQ97" s="7">
        <v>23</v>
      </c>
      <c r="CR97" s="59">
        <v>74</v>
      </c>
      <c r="CS97" s="292" t="str">
        <f t="shared" si="48"/>
        <v>---------</v>
      </c>
      <c r="CT97" s="106">
        <v>17.8</v>
      </c>
      <c r="CU97" s="12" t="s">
        <v>362</v>
      </c>
      <c r="CV97" s="276" t="str">
        <f t="shared" si="49"/>
        <v>---------</v>
      </c>
      <c r="CW97" s="290">
        <v>2.28000000000001</v>
      </c>
      <c r="CX97" s="59">
        <v>74</v>
      </c>
      <c r="CY97" s="292" t="str">
        <f t="shared" si="50"/>
        <v>---------</v>
      </c>
      <c r="CZ97" s="7">
        <v>23</v>
      </c>
      <c r="DA97" s="59">
        <v>74</v>
      </c>
      <c r="DB97" s="292" t="str">
        <f t="shared" si="51"/>
        <v>---------</v>
      </c>
      <c r="DC97" s="106">
        <v>17.8</v>
      </c>
      <c r="DD97" s="12" t="s">
        <v>362</v>
      </c>
      <c r="DE97" s="276" t="str">
        <f t="shared" si="52"/>
        <v>---------</v>
      </c>
      <c r="DF97" s="290">
        <v>2.28000000000001</v>
      </c>
      <c r="DG97" s="59">
        <v>74</v>
      </c>
      <c r="DH97" s="292" t="str">
        <f t="shared" si="53"/>
        <v>---------</v>
      </c>
      <c r="DI97" s="7"/>
      <c r="DJ97" s="7"/>
      <c r="DK97" s="7"/>
      <c r="DL97" s="7"/>
      <c r="FG97" s="7">
        <v>74</v>
      </c>
      <c r="FH97" s="12">
        <v>12.8</v>
      </c>
      <c r="FJ97" s="7">
        <v>74</v>
      </c>
      <c r="FK97" s="9">
        <v>480</v>
      </c>
      <c r="FR97" s="12"/>
      <c r="FS97" s="7">
        <v>74</v>
      </c>
      <c r="FT97" s="12">
        <v>42.8</v>
      </c>
      <c r="FW97" s="9"/>
    </row>
    <row r="98" spans="20:179">
      <c r="Y98" s="7" t="s">
        <v>0</v>
      </c>
      <c r="Z98" s="7"/>
      <c r="AA98" s="7"/>
      <c r="AB98" s="7"/>
      <c r="AC98" s="7"/>
      <c r="AD98" s="7"/>
      <c r="AE98" s="7"/>
      <c r="AF98" s="7"/>
      <c r="AG98" s="7"/>
      <c r="AH98" s="7"/>
      <c r="AI98" s="7"/>
      <c r="AJ98" s="11"/>
      <c r="AK98" s="12"/>
      <c r="AL98" s="69"/>
      <c r="AM98" s="12"/>
      <c r="AN98" s="7"/>
      <c r="AO98" s="7"/>
      <c r="AP98" s="7"/>
      <c r="AQ98" s="7"/>
      <c r="AR98" s="7"/>
      <c r="AS98" s="7"/>
      <c r="AT98" s="7"/>
      <c r="AU98" s="7"/>
      <c r="AV98" s="7"/>
      <c r="AW98" s="7"/>
      <c r="AX98" s="7"/>
      <c r="AY98" s="7"/>
      <c r="AZ98" s="7"/>
      <c r="BA98" s="7"/>
      <c r="BB98" s="7"/>
      <c r="BC98" s="7"/>
      <c r="BD98" s="7"/>
      <c r="BE98" s="7"/>
      <c r="BF98" s="7"/>
      <c r="BG98" s="7"/>
      <c r="BH98" s="7"/>
      <c r="BI98" s="7"/>
      <c r="BJ98" s="7"/>
      <c r="BK98" s="7"/>
      <c r="BL98" s="7"/>
      <c r="BN98" s="7"/>
      <c r="BO98" s="7"/>
      <c r="BP98" s="7"/>
      <c r="BQ98" s="7"/>
      <c r="BR98" s="7"/>
      <c r="BS98" s="7"/>
      <c r="BT98" s="7"/>
      <c r="BU98" s="7"/>
      <c r="BV98" s="7"/>
      <c r="BW98" s="7"/>
      <c r="BX98" s="7"/>
      <c r="BY98" s="7"/>
      <c r="BZ98" s="7"/>
      <c r="CA98" s="7"/>
      <c r="CB98" s="7"/>
      <c r="CC98" s="7"/>
      <c r="CD98" s="7"/>
      <c r="CE98" s="7"/>
      <c r="CF98" s="7"/>
      <c r="CG98" s="7"/>
      <c r="CH98" s="7"/>
      <c r="CI98" s="7"/>
      <c r="CJ98" s="7"/>
      <c r="CK98" s="7"/>
      <c r="CL98" s="7"/>
      <c r="CM98" s="7"/>
      <c r="CN98" s="10" cm="1">
        <f t="array" ref="CN98">INDEX($CP$59:$CP$115,MIN(56,MAX(0,INT(CO98+0)))+1)+0</f>
        <v>10</v>
      </c>
      <c r="CO98" s="7">
        <v>39</v>
      </c>
      <c r="CP98" s="7">
        <v>10</v>
      </c>
      <c r="CQ98" s="7">
        <v>22</v>
      </c>
      <c r="CR98" s="59">
        <v>75</v>
      </c>
      <c r="CS98" s="292" t="str">
        <f t="shared" si="48"/>
        <v>---------</v>
      </c>
      <c r="CT98" s="106">
        <v>17.7</v>
      </c>
      <c r="CU98" s="12" t="s">
        <v>364</v>
      </c>
      <c r="CV98" s="276" t="str">
        <f t="shared" si="49"/>
        <v>---------</v>
      </c>
      <c r="CW98" s="290">
        <v>2.27000000000002</v>
      </c>
      <c r="CX98" s="59">
        <v>75</v>
      </c>
      <c r="CY98" s="292" t="str">
        <f t="shared" si="50"/>
        <v>---------</v>
      </c>
      <c r="CZ98" s="7">
        <v>22</v>
      </c>
      <c r="DA98" s="59">
        <v>75</v>
      </c>
      <c r="DB98" s="292" t="str">
        <f t="shared" si="51"/>
        <v>---------</v>
      </c>
      <c r="DC98" s="106">
        <v>17.7</v>
      </c>
      <c r="DD98" s="12" t="s">
        <v>364</v>
      </c>
      <c r="DE98" s="276" t="str">
        <f t="shared" si="52"/>
        <v>---------</v>
      </c>
      <c r="DF98" s="290">
        <v>2.27000000000002</v>
      </c>
      <c r="DG98" s="59">
        <v>75</v>
      </c>
      <c r="DH98" s="292" t="str">
        <f t="shared" si="53"/>
        <v>---------</v>
      </c>
      <c r="DI98" s="7"/>
      <c r="DJ98" s="7"/>
      <c r="DK98" s="7"/>
      <c r="DL98" s="7"/>
      <c r="FG98" s="7">
        <v>75</v>
      </c>
      <c r="FH98" s="12">
        <v>12.7</v>
      </c>
      <c r="FJ98" s="7">
        <v>75</v>
      </c>
      <c r="FK98" s="9">
        <v>470</v>
      </c>
      <c r="FR98" s="12"/>
      <c r="FS98" s="7">
        <v>75</v>
      </c>
      <c r="FT98" s="12">
        <v>42.7</v>
      </c>
      <c r="FW98" s="9"/>
    </row>
    <row r="99" spans="20:179">
      <c r="Y99" s="7" t="s">
        <v>0</v>
      </c>
      <c r="Z99" s="7"/>
      <c r="AA99" s="7"/>
      <c r="AB99" s="7"/>
      <c r="AC99" s="7"/>
      <c r="AD99" s="7"/>
      <c r="AE99" s="7"/>
      <c r="AF99" s="7"/>
      <c r="AG99" s="7"/>
      <c r="AH99" s="7"/>
      <c r="AI99" s="7"/>
      <c r="AJ99" s="11"/>
      <c r="AK99" s="12"/>
      <c r="AL99" s="69"/>
      <c r="AM99" s="12"/>
      <c r="AN99" s="7"/>
      <c r="AO99" s="7"/>
      <c r="AP99" s="7"/>
      <c r="AQ99" s="7"/>
      <c r="AR99" s="7"/>
      <c r="AS99" s="7"/>
      <c r="AT99" s="7"/>
      <c r="AU99" s="7"/>
      <c r="AV99" s="7"/>
      <c r="AW99" s="7"/>
      <c r="AX99" s="7"/>
      <c r="AY99" s="7"/>
      <c r="AZ99" s="7"/>
      <c r="BA99" s="7"/>
      <c r="BB99" s="7"/>
      <c r="BC99" s="7"/>
      <c r="BD99" s="7"/>
      <c r="BE99" s="7"/>
      <c r="BF99" s="7"/>
      <c r="BG99" s="7"/>
      <c r="BH99" s="7"/>
      <c r="BI99" s="7"/>
      <c r="BJ99" s="7"/>
      <c r="BK99" s="7"/>
      <c r="BL99" s="7"/>
      <c r="BN99" s="7"/>
      <c r="BO99" s="7"/>
      <c r="BP99" s="7"/>
      <c r="BQ99" s="7"/>
      <c r="BR99" s="7"/>
      <c r="BS99" s="7"/>
      <c r="BT99" s="7"/>
      <c r="BU99" s="7"/>
      <c r="BV99" s="7"/>
      <c r="BW99" s="7"/>
      <c r="BX99" s="7"/>
      <c r="BY99" s="7"/>
      <c r="BZ99" s="7"/>
      <c r="CA99" s="7"/>
      <c r="CB99" s="7"/>
      <c r="CC99" s="7"/>
      <c r="CD99" s="7"/>
      <c r="CE99" s="7"/>
      <c r="CF99" s="7"/>
      <c r="CG99" s="7"/>
      <c r="CH99" s="7"/>
      <c r="CI99" s="7"/>
      <c r="CJ99" s="7"/>
      <c r="CK99" s="7"/>
      <c r="CL99" s="7"/>
      <c r="CM99" s="7"/>
      <c r="CN99" s="10" cm="1">
        <f t="array" ref="CN99">INDEX($CP$59:$CP$115,MIN(56,MAX(0,INT(CO99+0)))+1)+0</f>
        <v>10</v>
      </c>
      <c r="CO99" s="7">
        <v>40</v>
      </c>
      <c r="CP99" s="7">
        <v>10</v>
      </c>
      <c r="CQ99" s="7">
        <v>21</v>
      </c>
      <c r="CR99" s="59">
        <v>76</v>
      </c>
      <c r="CS99" s="292" t="str">
        <f t="shared" si="48"/>
        <v>---------</v>
      </c>
      <c r="CT99" s="106">
        <v>17.600000000000001</v>
      </c>
      <c r="CU99" s="12" t="s">
        <v>365</v>
      </c>
      <c r="CV99" s="276" t="str">
        <f t="shared" si="49"/>
        <v>---------</v>
      </c>
      <c r="CW99" s="290">
        <v>2.2600000000000202</v>
      </c>
      <c r="CX99" s="59">
        <v>76</v>
      </c>
      <c r="CY99" s="292" t="str">
        <f t="shared" si="50"/>
        <v>---------</v>
      </c>
      <c r="CZ99" s="7">
        <v>21</v>
      </c>
      <c r="DA99" s="59">
        <v>76</v>
      </c>
      <c r="DB99" s="292" t="str">
        <f t="shared" si="51"/>
        <v>---------</v>
      </c>
      <c r="DC99" s="106">
        <v>17.600000000000001</v>
      </c>
      <c r="DD99" s="12" t="s">
        <v>365</v>
      </c>
      <c r="DE99" s="276" t="str">
        <f t="shared" si="52"/>
        <v>---------</v>
      </c>
      <c r="DF99" s="290">
        <v>2.2600000000000202</v>
      </c>
      <c r="DG99" s="59">
        <v>76</v>
      </c>
      <c r="DH99" s="292" t="str">
        <f t="shared" si="53"/>
        <v>---------</v>
      </c>
      <c r="DI99" s="7"/>
      <c r="DJ99" s="7"/>
      <c r="DK99" s="7"/>
      <c r="DL99" s="7"/>
      <c r="FG99" s="7">
        <v>76</v>
      </c>
      <c r="FH99" s="12">
        <v>12.6</v>
      </c>
      <c r="FJ99" s="7">
        <v>76</v>
      </c>
      <c r="FK99" s="9">
        <v>460</v>
      </c>
      <c r="FR99" s="12"/>
      <c r="FS99" s="7">
        <v>76</v>
      </c>
      <c r="FT99" s="12">
        <v>42.6</v>
      </c>
      <c r="FW99" s="9"/>
    </row>
    <row r="100" spans="20:179">
      <c r="T100" s="7"/>
      <c r="U100" s="7"/>
      <c r="V100" s="43"/>
      <c r="W100" s="7"/>
      <c r="X100" s="7"/>
      <c r="Y100" s="7" t="s">
        <v>0</v>
      </c>
      <c r="Z100" s="7"/>
      <c r="AA100" s="7"/>
      <c r="AB100" s="7"/>
      <c r="AC100" s="7"/>
      <c r="AD100" s="7"/>
      <c r="AE100" s="7"/>
      <c r="AF100" s="7"/>
      <c r="AG100" s="7"/>
      <c r="AH100" s="7"/>
      <c r="AI100" s="7"/>
      <c r="AJ100" s="11"/>
      <c r="AK100" s="12"/>
      <c r="AL100" s="69"/>
      <c r="AM100" s="12"/>
      <c r="AN100" s="7"/>
      <c r="AO100" s="7"/>
      <c r="AP100" s="7"/>
      <c r="AQ100" s="7"/>
      <c r="AR100" s="7"/>
      <c r="AS100" s="7"/>
      <c r="AT100" s="7"/>
      <c r="AU100" s="7"/>
      <c r="AV100" s="7"/>
      <c r="AW100" s="7"/>
      <c r="AX100" s="7"/>
      <c r="AY100" s="7"/>
      <c r="AZ100" s="7"/>
      <c r="BA100" s="7"/>
      <c r="BB100" s="7"/>
      <c r="BC100" s="7"/>
      <c r="BD100" s="7"/>
      <c r="BE100" s="7"/>
      <c r="BF100" s="7"/>
      <c r="BG100" s="7"/>
      <c r="BH100" s="7"/>
      <c r="BI100" s="7"/>
      <c r="BJ100" s="7"/>
      <c r="BK100" s="7"/>
      <c r="BL100" s="7"/>
      <c r="BN100" s="7"/>
      <c r="BO100" s="7"/>
      <c r="BP100" s="7"/>
      <c r="BQ100" s="7"/>
      <c r="BR100" s="7"/>
      <c r="BS100" s="7"/>
      <c r="BT100" s="7"/>
      <c r="BU100" s="7"/>
      <c r="BV100" s="7"/>
      <c r="BW100" s="7"/>
      <c r="BX100" s="7"/>
      <c r="BY100" s="7"/>
      <c r="BZ100" s="7"/>
      <c r="CA100" s="7"/>
      <c r="CB100" s="7"/>
      <c r="CC100" s="7"/>
      <c r="CD100" s="7"/>
      <c r="CE100" s="7"/>
      <c r="CF100" s="7"/>
      <c r="CG100" s="7"/>
      <c r="CH100" s="7"/>
      <c r="CI100" s="7"/>
      <c r="CJ100" s="7"/>
      <c r="CK100" s="7"/>
      <c r="CL100" s="7"/>
      <c r="CM100" s="7"/>
      <c r="CN100" s="10" cm="1">
        <f t="array" ref="CN100">INDEX($CP$59:$CP$115,MIN(56,MAX(0,INT(CO100+0)))+1)+0</f>
        <v>9</v>
      </c>
      <c r="CO100" s="7">
        <v>41</v>
      </c>
      <c r="CP100" s="7">
        <v>9</v>
      </c>
      <c r="CQ100" s="7">
        <v>20</v>
      </c>
      <c r="CR100" s="59">
        <v>77</v>
      </c>
      <c r="CS100" s="292" t="str">
        <f t="shared" si="48"/>
        <v>---------</v>
      </c>
      <c r="CT100" s="106">
        <v>17.5</v>
      </c>
      <c r="CU100" s="12" t="s">
        <v>366</v>
      </c>
      <c r="CV100" s="276" t="str">
        <f t="shared" si="49"/>
        <v>---------</v>
      </c>
      <c r="CW100" s="290">
        <v>2.25000000000002</v>
      </c>
      <c r="CX100" s="59">
        <v>77</v>
      </c>
      <c r="CY100" s="292" t="str">
        <f t="shared" si="50"/>
        <v>---------</v>
      </c>
      <c r="CZ100" s="7">
        <v>20</v>
      </c>
      <c r="DA100" s="59">
        <v>77</v>
      </c>
      <c r="DB100" s="292" t="str">
        <f t="shared" si="51"/>
        <v>---------</v>
      </c>
      <c r="DC100" s="106">
        <v>17.5</v>
      </c>
      <c r="DD100" s="12" t="s">
        <v>366</v>
      </c>
      <c r="DE100" s="276" t="str">
        <f t="shared" si="52"/>
        <v>---------</v>
      </c>
      <c r="DF100" s="290">
        <v>2.25000000000002</v>
      </c>
      <c r="DG100" s="59">
        <v>77</v>
      </c>
      <c r="DH100" s="292" t="str">
        <f t="shared" si="53"/>
        <v>---------</v>
      </c>
      <c r="DI100" s="7"/>
      <c r="DJ100" s="7"/>
      <c r="DK100" s="7"/>
      <c r="DL100" s="7"/>
      <c r="FG100" s="7">
        <v>77</v>
      </c>
      <c r="FH100" s="12">
        <v>12.5</v>
      </c>
      <c r="FJ100" s="7">
        <v>77</v>
      </c>
      <c r="FK100" s="9">
        <v>450</v>
      </c>
      <c r="FR100" s="12"/>
      <c r="FS100" s="7">
        <v>77</v>
      </c>
      <c r="FT100" s="12">
        <v>42.5</v>
      </c>
      <c r="FW100" s="9"/>
    </row>
    <row r="101" spans="20:179">
      <c r="W101" s="7"/>
      <c r="X101" s="43"/>
      <c r="Y101" s="77">
        <v>-1.3038009861135952E-5</v>
      </c>
      <c r="Z101" s="77">
        <v>3.3437721078365769E-4</v>
      </c>
      <c r="AA101" s="77">
        <v>-1.9830939203465059E-4</v>
      </c>
      <c r="AB101" s="77">
        <v>1.9596896626860988E-3</v>
      </c>
      <c r="AC101" s="77">
        <v>-3.2970455094114115E-2</v>
      </c>
      <c r="AD101" s="77">
        <v>1.411386607694648E-2</v>
      </c>
      <c r="AE101" s="77">
        <v>-8.1113605050812596E-2</v>
      </c>
      <c r="AF101" s="77">
        <v>0.98439362772141104</v>
      </c>
      <c r="AG101" s="77">
        <v>0.54433604002001801</v>
      </c>
      <c r="AH101" s="7"/>
      <c r="AI101" s="7"/>
      <c r="AJ101" s="11"/>
      <c r="AK101" s="12"/>
      <c r="BN101" s="7"/>
      <c r="BO101" s="7"/>
      <c r="BP101" s="7"/>
      <c r="BQ101" s="7"/>
      <c r="BR101" s="7"/>
      <c r="BS101" s="7"/>
      <c r="BT101" s="7"/>
      <c r="BU101" s="7"/>
      <c r="BV101" s="7"/>
      <c r="BW101" s="7"/>
      <c r="BX101" s="7"/>
      <c r="BY101" s="7"/>
      <c r="BZ101" s="7"/>
      <c r="CA101" s="7"/>
      <c r="CB101" s="7"/>
      <c r="CC101" s="7"/>
      <c r="CD101" s="7"/>
      <c r="CE101" s="7"/>
      <c r="CF101" s="7"/>
      <c r="CG101" s="7"/>
      <c r="CH101" s="7"/>
      <c r="CI101" s="7"/>
      <c r="CJ101" s="7"/>
      <c r="CK101" s="7"/>
      <c r="CL101" s="7"/>
      <c r="CM101" s="7"/>
      <c r="CN101" s="10" cm="1">
        <f t="array" ref="CN101">INDEX($CP$59:$CP$115,MIN(56,MAX(0,INT(CO101+0)))+1)+0</f>
        <v>9</v>
      </c>
      <c r="CO101" s="7">
        <v>42</v>
      </c>
      <c r="CP101" s="7">
        <v>9</v>
      </c>
      <c r="CQ101" s="7">
        <v>19</v>
      </c>
      <c r="CR101" s="59">
        <v>78</v>
      </c>
      <c r="CS101" s="292" t="str">
        <f t="shared" si="48"/>
        <v>---------</v>
      </c>
      <c r="CT101" s="106">
        <v>17.399999999999999</v>
      </c>
      <c r="CU101" s="12" t="s">
        <v>367</v>
      </c>
      <c r="CV101" s="276" t="str">
        <f t="shared" si="49"/>
        <v>---------</v>
      </c>
      <c r="CW101" s="290">
        <v>2.2400000000000202</v>
      </c>
      <c r="CX101" s="59">
        <v>78</v>
      </c>
      <c r="CY101" s="292" t="str">
        <f t="shared" si="50"/>
        <v>---------</v>
      </c>
      <c r="CZ101" s="7">
        <v>19</v>
      </c>
      <c r="DA101" s="59">
        <v>78</v>
      </c>
      <c r="DB101" s="292" t="str">
        <f t="shared" si="51"/>
        <v>---------</v>
      </c>
      <c r="DC101" s="106">
        <v>17.399999999999999</v>
      </c>
      <c r="DD101" s="12" t="s">
        <v>367</v>
      </c>
      <c r="DE101" s="276" t="str">
        <f t="shared" si="52"/>
        <v>---------</v>
      </c>
      <c r="DF101" s="290">
        <v>2.2400000000000202</v>
      </c>
      <c r="DG101" s="59">
        <v>78</v>
      </c>
      <c r="DH101" s="292" t="str">
        <f t="shared" si="53"/>
        <v>---------</v>
      </c>
      <c r="DI101" s="7"/>
      <c r="DJ101" s="7"/>
      <c r="DK101" s="7"/>
      <c r="DL101" s="7"/>
      <c r="FG101" s="7">
        <v>78</v>
      </c>
      <c r="FH101" s="12">
        <v>12.4</v>
      </c>
      <c r="FJ101" s="7">
        <v>78</v>
      </c>
      <c r="FK101" s="9">
        <v>440</v>
      </c>
      <c r="FR101" s="12"/>
      <c r="FS101" s="7">
        <v>78</v>
      </c>
      <c r="FT101" s="12">
        <v>42.4</v>
      </c>
      <c r="FW101" s="9"/>
    </row>
    <row r="102" spans="20:179">
      <c r="W102" s="7"/>
      <c r="X102" s="43"/>
      <c r="Y102" s="77">
        <v>-1.3778170556856157E-5</v>
      </c>
      <c r="Z102" s="77">
        <v>3.3610612095937996E-4</v>
      </c>
      <c r="AA102" s="77">
        <v>-1.9649847101990608E-4</v>
      </c>
      <c r="AB102" s="77">
        <v>2.0141303910420467E-3</v>
      </c>
      <c r="AC102" s="77">
        <v>-3.2971774878366361E-2</v>
      </c>
      <c r="AD102" s="77">
        <v>1.387789207419371E-2</v>
      </c>
      <c r="AE102" s="77">
        <v>-8.1600056844444588E-2</v>
      </c>
      <c r="AF102" s="77">
        <v>0.9756247783865023</v>
      </c>
      <c r="AG102" s="77">
        <v>0.54333385729093608</v>
      </c>
      <c r="AH102" s="7"/>
      <c r="AI102" s="7"/>
      <c r="AJ102" s="11"/>
      <c r="AK102" s="12"/>
      <c r="BN102" s="7"/>
      <c r="BO102" s="7"/>
      <c r="BP102" s="7"/>
      <c r="BQ102" s="7"/>
      <c r="BR102" s="7"/>
      <c r="BS102" s="7"/>
      <c r="BT102" s="7"/>
      <c r="BU102" s="7"/>
      <c r="BV102" s="7"/>
      <c r="BW102" s="7"/>
      <c r="BX102" s="7"/>
      <c r="BY102" s="7"/>
      <c r="BZ102" s="7"/>
      <c r="CA102" s="7"/>
      <c r="CB102" s="7"/>
      <c r="CC102" s="7"/>
      <c r="CD102" s="7"/>
      <c r="CE102" s="7"/>
      <c r="CF102" s="7"/>
      <c r="CG102" s="7"/>
      <c r="CH102" s="7"/>
      <c r="CI102" s="7"/>
      <c r="CJ102" s="7"/>
      <c r="CK102" s="7"/>
      <c r="CL102" s="7"/>
      <c r="CM102" s="7"/>
      <c r="CN102" s="10" cm="1">
        <f t="array" ref="CN102">INDEX($CP$59:$CP$115,MIN(56,MAX(0,INT(CO102+0)))+1)+0</f>
        <v>8</v>
      </c>
      <c r="CO102" s="7">
        <v>43</v>
      </c>
      <c r="CP102" s="7">
        <v>8</v>
      </c>
      <c r="CQ102" s="7">
        <v>18</v>
      </c>
      <c r="CR102" s="59">
        <v>79</v>
      </c>
      <c r="CS102" s="292" t="str">
        <f t="shared" si="48"/>
        <v>---------</v>
      </c>
      <c r="CT102" s="106">
        <v>17.3</v>
      </c>
      <c r="CU102" s="12" t="s">
        <v>368</v>
      </c>
      <c r="CV102" s="276" t="str">
        <f t="shared" si="49"/>
        <v>---------</v>
      </c>
      <c r="CW102" s="290">
        <v>2.23000000000002</v>
      </c>
      <c r="CX102" s="59">
        <v>79</v>
      </c>
      <c r="CY102" s="292" t="str">
        <f t="shared" si="50"/>
        <v>---------</v>
      </c>
      <c r="CZ102" s="7">
        <v>18</v>
      </c>
      <c r="DA102" s="59">
        <v>79</v>
      </c>
      <c r="DB102" s="292" t="str">
        <f t="shared" si="51"/>
        <v>---------</v>
      </c>
      <c r="DC102" s="106">
        <v>17.3</v>
      </c>
      <c r="DD102" s="12" t="s">
        <v>368</v>
      </c>
      <c r="DE102" s="276" t="str">
        <f t="shared" si="52"/>
        <v>---------</v>
      </c>
      <c r="DF102" s="290">
        <v>2.23000000000002</v>
      </c>
      <c r="DG102" s="59">
        <v>79</v>
      </c>
      <c r="DH102" s="292" t="str">
        <f t="shared" si="53"/>
        <v>---------</v>
      </c>
      <c r="DI102" s="7"/>
      <c r="DJ102" s="7"/>
      <c r="DK102" s="7"/>
      <c r="DL102" s="7"/>
      <c r="FG102" s="7">
        <v>79</v>
      </c>
      <c r="FH102" s="12">
        <v>12.3</v>
      </c>
      <c r="FJ102" s="7">
        <v>79</v>
      </c>
      <c r="FK102" s="9">
        <v>430</v>
      </c>
      <c r="FR102" s="12"/>
      <c r="FS102" s="7">
        <v>79</v>
      </c>
      <c r="FT102" s="12">
        <v>42.3</v>
      </c>
      <c r="FW102" s="9"/>
    </row>
    <row r="103" spans="20:179">
      <c r="W103" s="171" t="s">
        <v>922</v>
      </c>
      <c r="X103" s="43" t="s">
        <v>745</v>
      </c>
      <c r="Y103" s="77">
        <v>-1.3778170556856157E-5</v>
      </c>
      <c r="Z103" s="77">
        <v>3.3610612095937996E-4</v>
      </c>
      <c r="AA103" s="77">
        <v>-1.9649847101990608E-4</v>
      </c>
      <c r="AB103" s="77">
        <v>2.0141303910420467E-3</v>
      </c>
      <c r="AC103" s="77">
        <v>-3.2971774878366361E-2</v>
      </c>
      <c r="AD103" s="77">
        <v>1.387789207419371E-2</v>
      </c>
      <c r="AE103" s="77">
        <v>-8.1600056844444588E-2</v>
      </c>
      <c r="AF103" s="77">
        <v>0.9756247783865023</v>
      </c>
      <c r="AG103" s="77">
        <v>0.54333385729093608</v>
      </c>
      <c r="AH103" s="7"/>
      <c r="AI103" s="7"/>
      <c r="AJ103" s="11"/>
      <c r="AK103" s="12"/>
      <c r="BN103" s="7"/>
      <c r="BO103" s="7"/>
      <c r="BP103" s="7"/>
      <c r="BQ103" s="7"/>
      <c r="BR103" s="7"/>
      <c r="BS103" s="7"/>
      <c r="BT103" s="7"/>
      <c r="BU103" s="7"/>
      <c r="BV103" s="7"/>
      <c r="BW103" s="7"/>
      <c r="BX103" s="7"/>
      <c r="BY103" s="7"/>
      <c r="BZ103" s="7"/>
      <c r="CA103" s="7"/>
      <c r="CB103" s="7"/>
      <c r="CC103" s="7"/>
      <c r="CD103" s="7"/>
      <c r="CE103" s="7"/>
      <c r="CF103" s="7"/>
      <c r="CG103" s="7"/>
      <c r="CH103" s="7"/>
      <c r="CI103" s="7"/>
      <c r="CJ103" s="7"/>
      <c r="CK103" s="7"/>
      <c r="CL103" s="7"/>
      <c r="CM103" s="7"/>
      <c r="CN103" s="10" cm="1">
        <f t="array" ref="CN103">INDEX($CP$59:$CP$115,MIN(56,MAX(0,INT(CO103+0)))+1)+0</f>
        <v>8</v>
      </c>
      <c r="CO103" s="7">
        <v>44</v>
      </c>
      <c r="CP103" s="7">
        <v>8</v>
      </c>
      <c r="CQ103" s="7">
        <v>17</v>
      </c>
      <c r="CR103" s="59">
        <v>80</v>
      </c>
      <c r="CS103" s="292" t="str">
        <f t="shared" si="48"/>
        <v>---------</v>
      </c>
      <c r="CT103" s="106">
        <v>17.2</v>
      </c>
      <c r="CU103" s="12" t="s">
        <v>369</v>
      </c>
      <c r="CV103" s="276" t="str">
        <f t="shared" si="49"/>
        <v>---------</v>
      </c>
      <c r="CW103" s="290">
        <v>2.2200000000000202</v>
      </c>
      <c r="CX103" s="59">
        <v>80</v>
      </c>
      <c r="CY103" s="292" t="str">
        <f t="shared" si="50"/>
        <v>---------</v>
      </c>
      <c r="CZ103" s="7">
        <v>17</v>
      </c>
      <c r="DA103" s="59">
        <v>80</v>
      </c>
      <c r="DB103" s="292" t="str">
        <f t="shared" si="51"/>
        <v>---------</v>
      </c>
      <c r="DC103" s="106">
        <v>17.2</v>
      </c>
      <c r="DD103" s="12" t="s">
        <v>369</v>
      </c>
      <c r="DE103" s="276" t="str">
        <f t="shared" si="52"/>
        <v>---------</v>
      </c>
      <c r="DF103" s="290">
        <v>2.2200000000000202</v>
      </c>
      <c r="DG103" s="59">
        <v>80</v>
      </c>
      <c r="DH103" s="292" t="str">
        <f t="shared" si="53"/>
        <v>---------</v>
      </c>
      <c r="DI103" s="7"/>
      <c r="DJ103" s="7"/>
      <c r="DK103" s="7"/>
      <c r="DL103" s="7"/>
      <c r="FG103" s="7">
        <v>80</v>
      </c>
      <c r="FH103" s="12">
        <v>12.2</v>
      </c>
      <c r="FJ103" s="7">
        <v>80</v>
      </c>
      <c r="FK103" s="9">
        <v>420</v>
      </c>
      <c r="FR103" s="12"/>
      <c r="FS103" s="7">
        <v>80</v>
      </c>
      <c r="FT103" s="12">
        <v>42.2</v>
      </c>
      <c r="FW103" s="9"/>
    </row>
    <row r="104" spans="20:179">
      <c r="W104" s="43" t="s">
        <v>923</v>
      </c>
      <c r="X104" s="43"/>
      <c r="Y104" s="77">
        <v>-1.6742831493112912E-5</v>
      </c>
      <c r="Z104" s="77">
        <v>3.4321308699194759E-4</v>
      </c>
      <c r="AA104" s="77">
        <v>-1.7368350434336693E-4</v>
      </c>
      <c r="AB104" s="77">
        <v>2.1769126492405147E-3</v>
      </c>
      <c r="AC104" s="77">
        <v>-3.2720501094024995E-2</v>
      </c>
      <c r="AD104" s="77">
        <v>1.1077467467411171E-2</v>
      </c>
      <c r="AE104" s="77">
        <v>-8.0130528160526918E-2</v>
      </c>
      <c r="AF104" s="77">
        <v>0.92735013994648274</v>
      </c>
      <c r="AG104" s="77">
        <v>0.58082106972326963</v>
      </c>
      <c r="AH104" s="7"/>
      <c r="AI104" s="7"/>
      <c r="AJ104" s="11"/>
      <c r="AK104" s="12"/>
      <c r="BN104" s="7"/>
      <c r="BO104" s="7"/>
      <c r="BP104" s="7"/>
      <c r="BQ104" s="7"/>
      <c r="BR104" s="7"/>
      <c r="BS104" s="7"/>
      <c r="BT104" s="7"/>
      <c r="BU104" s="7"/>
      <c r="BV104" s="7"/>
      <c r="BW104" s="7"/>
      <c r="BX104" s="7"/>
      <c r="BY104" s="7"/>
      <c r="BZ104" s="7"/>
      <c r="CA104" s="7"/>
      <c r="CB104" s="7"/>
      <c r="CC104" s="7"/>
      <c r="CD104" s="7"/>
      <c r="CE104" s="7"/>
      <c r="CF104" s="7"/>
      <c r="CG104" s="7"/>
      <c r="CH104" s="7"/>
      <c r="CI104" s="7"/>
      <c r="CJ104" s="7"/>
      <c r="CK104" s="7"/>
      <c r="CL104" s="7"/>
      <c r="CM104" s="7"/>
      <c r="CN104" s="10" cm="1">
        <f t="array" ref="CN104">INDEX($CP$59:$CP$115,MIN(56,MAX(0,INT(CO104+0)))+1)+0</f>
        <v>7</v>
      </c>
      <c r="CO104" s="7">
        <v>45</v>
      </c>
      <c r="CP104" s="7">
        <v>7</v>
      </c>
      <c r="CQ104" s="7">
        <v>16</v>
      </c>
      <c r="CR104" s="59">
        <v>81</v>
      </c>
      <c r="CS104" s="292" t="str">
        <f t="shared" si="48"/>
        <v>---------</v>
      </c>
      <c r="CT104" s="106">
        <v>17.100000000000001</v>
      </c>
      <c r="CU104" s="12" t="s">
        <v>370</v>
      </c>
      <c r="CV104" s="276" t="str">
        <f t="shared" si="49"/>
        <v>---------</v>
      </c>
      <c r="CW104" s="290">
        <v>2.2100000000000199</v>
      </c>
      <c r="CX104" s="59">
        <v>81</v>
      </c>
      <c r="CY104" s="292" t="str">
        <f t="shared" si="50"/>
        <v>---------</v>
      </c>
      <c r="CZ104" s="7">
        <v>16</v>
      </c>
      <c r="DA104" s="59">
        <v>81</v>
      </c>
      <c r="DB104" s="292" t="str">
        <f t="shared" si="51"/>
        <v>---------</v>
      </c>
      <c r="DC104" s="106">
        <v>17.100000000000001</v>
      </c>
      <c r="DD104" s="12" t="s">
        <v>370</v>
      </c>
      <c r="DE104" s="276" t="str">
        <f t="shared" si="52"/>
        <v>---------</v>
      </c>
      <c r="DF104" s="290">
        <v>2.2100000000000199</v>
      </c>
      <c r="DG104" s="59">
        <v>81</v>
      </c>
      <c r="DH104" s="292" t="str">
        <f t="shared" si="53"/>
        <v>---------</v>
      </c>
      <c r="DI104" s="7"/>
      <c r="DJ104" s="7"/>
      <c r="DK104" s="7"/>
      <c r="DL104" s="7"/>
      <c r="FG104" s="7">
        <v>81</v>
      </c>
      <c r="FH104" s="12">
        <v>12.1</v>
      </c>
      <c r="FJ104" s="7">
        <v>81</v>
      </c>
      <c r="FK104" s="9">
        <v>410</v>
      </c>
      <c r="FR104" s="12"/>
      <c r="FS104" s="7">
        <v>81</v>
      </c>
      <c r="FT104" s="12">
        <v>42.1</v>
      </c>
      <c r="FW104" s="9"/>
    </row>
    <row r="105" spans="20:179">
      <c r="W105" s="171" t="s">
        <v>924</v>
      </c>
      <c r="X105" s="43"/>
      <c r="Y105" s="77">
        <v>-2.1025958269866886E-5</v>
      </c>
      <c r="Z105" s="77">
        <v>3.5632915392767948E-4</v>
      </c>
      <c r="AA105" s="77">
        <v>-1.679584403973929E-4</v>
      </c>
      <c r="AB105" s="77">
        <v>2.4008024072770676E-3</v>
      </c>
      <c r="AC105" s="77">
        <v>-3.2949031719082353E-2</v>
      </c>
      <c r="AD105" s="77">
        <v>9.808598751797076E-3</v>
      </c>
      <c r="AE105" s="77">
        <v>-8.0518727129374995E-2</v>
      </c>
      <c r="AF105" s="77">
        <v>0.90089310981729565</v>
      </c>
      <c r="AG105" s="77">
        <v>0.59532976679968408</v>
      </c>
      <c r="AH105" s="7"/>
      <c r="AI105" s="7"/>
      <c r="AJ105" s="11"/>
      <c r="AK105" s="12"/>
      <c r="BN105" s="7"/>
      <c r="BO105" s="7"/>
      <c r="BP105" s="7"/>
      <c r="BQ105" s="7"/>
      <c r="BR105" s="7"/>
      <c r="BS105" s="7"/>
      <c r="BT105" s="7"/>
      <c r="BU105" s="7"/>
      <c r="BV105" s="7"/>
      <c r="BW105" s="7"/>
      <c r="BX105" s="7"/>
      <c r="BY105" s="7"/>
      <c r="BZ105" s="7"/>
      <c r="CA105" s="7"/>
      <c r="CB105" s="7"/>
      <c r="CC105" s="7"/>
      <c r="CD105" s="7"/>
      <c r="CE105" s="7"/>
      <c r="CF105" s="7"/>
      <c r="CG105" s="7"/>
      <c r="CH105" s="7"/>
      <c r="CI105" s="7"/>
      <c r="CJ105" s="7"/>
      <c r="CK105" s="7"/>
      <c r="CL105" s="7"/>
      <c r="CM105" s="7"/>
      <c r="CN105" s="10" cm="1">
        <f t="array" ref="CN105">INDEX($CP$59:$CP$115,MIN(56,MAX(0,INT(CO105+0)))+1)+0</f>
        <v>7</v>
      </c>
      <c r="CO105" s="7">
        <v>46</v>
      </c>
      <c r="CP105" s="7">
        <v>7</v>
      </c>
      <c r="CQ105" s="7">
        <v>15</v>
      </c>
      <c r="CR105" s="59">
        <v>82</v>
      </c>
      <c r="CS105" s="292" t="str">
        <f t="shared" si="48"/>
        <v>---------</v>
      </c>
      <c r="CT105" s="106">
        <v>17</v>
      </c>
      <c r="CU105" s="12" t="s">
        <v>371</v>
      </c>
      <c r="CV105" s="276" t="str">
        <f t="shared" si="49"/>
        <v>---------</v>
      </c>
      <c r="CW105" s="290">
        <v>2.2000000000000202</v>
      </c>
      <c r="CX105" s="59">
        <v>82</v>
      </c>
      <c r="CY105" s="292" t="str">
        <f t="shared" si="50"/>
        <v>---------</v>
      </c>
      <c r="CZ105" s="7">
        <v>15</v>
      </c>
      <c r="DA105" s="59">
        <v>82</v>
      </c>
      <c r="DB105" s="292" t="str">
        <f t="shared" si="51"/>
        <v>---------</v>
      </c>
      <c r="DC105" s="106">
        <v>17</v>
      </c>
      <c r="DD105" s="12" t="s">
        <v>371</v>
      </c>
      <c r="DE105" s="276" t="str">
        <f t="shared" si="52"/>
        <v>---------</v>
      </c>
      <c r="DF105" s="290">
        <v>2.2000000000000202</v>
      </c>
      <c r="DG105" s="59">
        <v>82</v>
      </c>
      <c r="DH105" s="292" t="str">
        <f t="shared" si="53"/>
        <v>---------</v>
      </c>
      <c r="DI105" s="7"/>
      <c r="DJ105" s="7"/>
      <c r="DK105" s="7"/>
      <c r="DL105" s="7"/>
      <c r="FG105" s="7">
        <v>82</v>
      </c>
      <c r="FH105" s="12">
        <v>12</v>
      </c>
      <c r="FJ105" s="7">
        <v>82</v>
      </c>
      <c r="FK105" s="9">
        <v>400</v>
      </c>
      <c r="FR105" s="12"/>
      <c r="FS105" s="7">
        <v>82</v>
      </c>
      <c r="FT105" s="12">
        <v>42</v>
      </c>
      <c r="FW105" s="9"/>
    </row>
    <row r="106" spans="20:179">
      <c r="W106" s="43" t="s">
        <v>925</v>
      </c>
      <c r="X106" s="43"/>
      <c r="Y106" s="77">
        <v>-2.2718117884093954E-5</v>
      </c>
      <c r="Z106" s="77">
        <v>3.583424740388629E-4</v>
      </c>
      <c r="AA106" s="77">
        <v>-1.558708312255945E-4</v>
      </c>
      <c r="AB106" s="77">
        <v>2.4679311402051795E-3</v>
      </c>
      <c r="AC106" s="77">
        <v>-3.2624400889875782E-2</v>
      </c>
      <c r="AD106" s="77">
        <v>8.439331427504887E-3</v>
      </c>
      <c r="AE106" s="77">
        <v>-7.9370621142965045E-2</v>
      </c>
      <c r="AF106" s="77">
        <v>0.87520029274349209</v>
      </c>
      <c r="AG106" s="77">
        <v>0.61127417665110562</v>
      </c>
      <c r="AH106" s="7"/>
      <c r="AI106" s="7"/>
      <c r="AJ106" s="11"/>
      <c r="AK106" s="12"/>
      <c r="BN106" s="7"/>
      <c r="BO106" s="7"/>
      <c r="BP106" s="7"/>
      <c r="BQ106" s="7"/>
      <c r="BR106" s="7"/>
      <c r="BS106" s="7"/>
      <c r="BT106" s="7"/>
      <c r="BU106" s="7"/>
      <c r="BV106" s="7"/>
      <c r="BW106" s="7"/>
      <c r="BX106" s="7"/>
      <c r="BY106" s="7"/>
      <c r="BZ106" s="7"/>
      <c r="CA106" s="7"/>
      <c r="CB106" s="7"/>
      <c r="CC106" s="7"/>
      <c r="CD106" s="7"/>
      <c r="CE106" s="7"/>
      <c r="CF106" s="7"/>
      <c r="CG106" s="7"/>
      <c r="CH106" s="7"/>
      <c r="CI106" s="7"/>
      <c r="CJ106" s="7"/>
      <c r="CK106" s="7"/>
      <c r="CL106" s="7"/>
      <c r="CM106" s="7"/>
      <c r="CN106" s="10" cm="1">
        <f t="array" ref="CN106">INDEX($CP$59:$CP$115,MIN(56,MAX(0,INT(CO106+0)))+1)+0</f>
        <v>6</v>
      </c>
      <c r="CO106" s="7">
        <v>47</v>
      </c>
      <c r="CP106" s="7">
        <v>6</v>
      </c>
      <c r="CQ106" s="7">
        <v>14</v>
      </c>
      <c r="CR106" s="59">
        <v>83</v>
      </c>
      <c r="CS106" s="292" t="str">
        <f t="shared" si="48"/>
        <v>---------</v>
      </c>
      <c r="CT106" s="106">
        <v>16.899999999999999</v>
      </c>
      <c r="CU106" s="12" t="s">
        <v>372</v>
      </c>
      <c r="CV106" s="276" t="str">
        <f t="shared" si="49"/>
        <v>---------</v>
      </c>
      <c r="CW106" s="290">
        <v>2.1900000000000199</v>
      </c>
      <c r="CX106" s="59">
        <v>83</v>
      </c>
      <c r="CY106" s="292" t="str">
        <f t="shared" si="50"/>
        <v>---------</v>
      </c>
      <c r="CZ106" s="7">
        <v>14</v>
      </c>
      <c r="DA106" s="59">
        <v>83</v>
      </c>
      <c r="DB106" s="292" t="str">
        <f t="shared" si="51"/>
        <v>---------</v>
      </c>
      <c r="DC106" s="106">
        <v>16.899999999999999</v>
      </c>
      <c r="DD106" s="12" t="s">
        <v>372</v>
      </c>
      <c r="DE106" s="276" t="str">
        <f t="shared" si="52"/>
        <v>---------</v>
      </c>
      <c r="DF106" s="290">
        <v>2.1900000000000199</v>
      </c>
      <c r="DG106" s="59">
        <v>83</v>
      </c>
      <c r="DH106" s="292" t="str">
        <f t="shared" si="53"/>
        <v>---------</v>
      </c>
      <c r="DI106" s="7"/>
      <c r="DJ106" s="7"/>
      <c r="DK106" s="7"/>
      <c r="DL106" s="7"/>
      <c r="FG106" s="7">
        <v>83</v>
      </c>
      <c r="FH106" s="12">
        <v>11.9</v>
      </c>
      <c r="FJ106" s="7">
        <v>83</v>
      </c>
      <c r="FK106" s="9">
        <v>390</v>
      </c>
      <c r="FR106" s="12"/>
      <c r="FS106" s="7">
        <v>83</v>
      </c>
      <c r="FT106" s="12">
        <v>41.9</v>
      </c>
      <c r="FW106" s="9"/>
    </row>
    <row r="107" spans="20:179">
      <c r="W107" s="43" t="s">
        <v>926</v>
      </c>
      <c r="X107" s="43" t="s">
        <v>927</v>
      </c>
      <c r="Y107" s="77">
        <v>9.2233877585853399E-6</v>
      </c>
      <c r="Z107" s="77">
        <v>2.383261587145318E-4</v>
      </c>
      <c r="AA107" s="77">
        <v>-1.7537688698046952E-4</v>
      </c>
      <c r="AB107" s="77">
        <v>3.8672513470009053E-4</v>
      </c>
      <c r="AC107" s="77">
        <v>-2.90936613138305E-2</v>
      </c>
      <c r="AD107" s="77">
        <v>1.5108145056738832E-2</v>
      </c>
      <c r="AE107" s="77">
        <v>-6.3110399226174882E-2</v>
      </c>
      <c r="AF107" s="77">
        <v>1.1481515118045578</v>
      </c>
      <c r="AG107" s="77">
        <v>1.4931781010595873</v>
      </c>
      <c r="AH107" s="7"/>
      <c r="AI107" s="7"/>
      <c r="AJ107" s="11"/>
      <c r="AK107" s="12"/>
      <c r="BN107" s="7"/>
      <c r="BO107" s="7"/>
      <c r="BP107" s="7"/>
      <c r="BQ107" s="7"/>
      <c r="BR107" s="7"/>
      <c r="BS107" s="7"/>
      <c r="BT107" s="7"/>
      <c r="BU107" s="7"/>
      <c r="BV107" s="7"/>
      <c r="BW107" s="7"/>
      <c r="BX107" s="7"/>
      <c r="BY107" s="7"/>
      <c r="BZ107" s="7"/>
      <c r="CA107" s="7"/>
      <c r="CB107" s="7"/>
      <c r="CC107" s="7"/>
      <c r="CD107" s="7"/>
      <c r="CE107" s="7"/>
      <c r="CF107" s="7"/>
      <c r="CG107" s="7"/>
      <c r="CH107" s="7"/>
      <c r="CI107" s="7"/>
      <c r="CJ107" s="7"/>
      <c r="CK107" s="7"/>
      <c r="CL107" s="7"/>
      <c r="CM107" s="7"/>
      <c r="CN107" s="10" cm="1">
        <f t="array" ref="CN107">INDEX($CP$59:$CP$115,MIN(56,MAX(0,INT(CO107+0)))+1)+0</f>
        <v>6</v>
      </c>
      <c r="CO107" s="7">
        <v>48</v>
      </c>
      <c r="CP107" s="7">
        <v>6</v>
      </c>
      <c r="CQ107" s="7">
        <v>13</v>
      </c>
      <c r="CR107" s="59">
        <v>84</v>
      </c>
      <c r="CS107" s="292" t="str">
        <f t="shared" si="48"/>
        <v>---------</v>
      </c>
      <c r="CT107" s="106">
        <v>16.8</v>
      </c>
      <c r="CU107" s="12" t="s">
        <v>373</v>
      </c>
      <c r="CV107" s="276" t="str">
        <f t="shared" si="49"/>
        <v>---------</v>
      </c>
      <c r="CW107" s="290">
        <v>2.1800000000000201</v>
      </c>
      <c r="CX107" s="59">
        <v>84</v>
      </c>
      <c r="CY107" s="292" t="str">
        <f t="shared" si="50"/>
        <v>---------</v>
      </c>
      <c r="CZ107" s="7">
        <v>13</v>
      </c>
      <c r="DA107" s="59">
        <v>84</v>
      </c>
      <c r="DB107" s="292" t="str">
        <f t="shared" si="51"/>
        <v>---------</v>
      </c>
      <c r="DC107" s="106">
        <v>16.8</v>
      </c>
      <c r="DD107" s="12" t="s">
        <v>373</v>
      </c>
      <c r="DE107" s="276" t="str">
        <f t="shared" si="52"/>
        <v>---------</v>
      </c>
      <c r="DF107" s="290">
        <v>2.1800000000000201</v>
      </c>
      <c r="DG107" s="59">
        <v>84</v>
      </c>
      <c r="DH107" s="292" t="str">
        <f t="shared" si="53"/>
        <v>---------</v>
      </c>
      <c r="DI107" s="7"/>
      <c r="DJ107" s="7"/>
      <c r="DK107" s="7"/>
      <c r="DL107" s="7"/>
      <c r="FG107" s="7">
        <v>84</v>
      </c>
      <c r="FH107" s="12">
        <v>11.8</v>
      </c>
      <c r="FJ107" s="7">
        <v>84</v>
      </c>
      <c r="FK107" s="9">
        <v>380</v>
      </c>
      <c r="FR107" s="12"/>
      <c r="FS107" s="7">
        <v>84</v>
      </c>
      <c r="FT107" s="12">
        <v>41.8</v>
      </c>
      <c r="FW107" s="9"/>
    </row>
    <row r="108" spans="20:179">
      <c r="T108" s="7"/>
      <c r="U108" s="7"/>
      <c r="V108" s="43"/>
      <c r="W108" s="43" t="s">
        <v>928</v>
      </c>
      <c r="X108" s="43"/>
      <c r="Y108" s="77">
        <v>6.2858750377817185E-6</v>
      </c>
      <c r="Z108" s="77">
        <v>2.5544124410550043E-4</v>
      </c>
      <c r="AA108" s="77">
        <v>-1.7291714650267509E-4</v>
      </c>
      <c r="AB108" s="77">
        <v>5.8314478161694007E-4</v>
      </c>
      <c r="AC108" s="77">
        <v>-2.9916543082572841E-2</v>
      </c>
      <c r="AD108" s="77">
        <v>1.3696804319555772E-2</v>
      </c>
      <c r="AE108" s="77">
        <v>-6.4072652021573043E-2</v>
      </c>
      <c r="AF108" s="77">
        <v>1.1330744760124953</v>
      </c>
      <c r="AG108" s="77">
        <v>1.505863219634378</v>
      </c>
      <c r="AH108" s="7"/>
      <c r="AI108" s="7"/>
      <c r="AJ108" s="11"/>
      <c r="AK108" s="12"/>
      <c r="BN108" s="7"/>
      <c r="BO108" s="7"/>
      <c r="BP108" s="7"/>
      <c r="BQ108" s="7"/>
      <c r="BR108" s="7"/>
      <c r="BS108" s="7"/>
      <c r="BT108" s="7"/>
      <c r="BU108" s="7"/>
      <c r="BV108" s="7"/>
      <c r="BW108" s="7"/>
      <c r="BX108" s="7"/>
      <c r="BY108" s="7"/>
      <c r="BZ108" s="7"/>
      <c r="CA108" s="7"/>
      <c r="CB108" s="7"/>
      <c r="CC108" s="7"/>
      <c r="CD108" s="7"/>
      <c r="CE108" s="7"/>
      <c r="CF108" s="7"/>
      <c r="CG108" s="7"/>
      <c r="CH108" s="7"/>
      <c r="CI108" s="7"/>
      <c r="CJ108" s="7"/>
      <c r="CK108" s="7"/>
      <c r="CL108" s="7"/>
      <c r="CM108" s="7"/>
      <c r="CN108" s="10" cm="1">
        <f t="array" ref="CN108">INDEX($CP$59:$CP$115,MIN(56,MAX(0,INT(CO108+0)))+1)+0</f>
        <v>5</v>
      </c>
      <c r="CO108" s="7">
        <v>49</v>
      </c>
      <c r="CP108" s="7">
        <v>5</v>
      </c>
      <c r="CQ108" s="7">
        <v>12</v>
      </c>
      <c r="CR108" s="59">
        <v>85</v>
      </c>
      <c r="CS108" s="292" t="str">
        <f t="shared" si="48"/>
        <v>---------</v>
      </c>
      <c r="CT108" s="106">
        <v>16.7</v>
      </c>
      <c r="CU108" s="12" t="s">
        <v>374</v>
      </c>
      <c r="CV108" s="276" t="str">
        <f t="shared" si="49"/>
        <v>---------</v>
      </c>
      <c r="CW108" s="290">
        <v>2.1700000000000199</v>
      </c>
      <c r="CX108" s="59">
        <v>85</v>
      </c>
      <c r="CY108" s="292" t="str">
        <f t="shared" si="50"/>
        <v>---------</v>
      </c>
      <c r="CZ108" s="7">
        <v>12</v>
      </c>
      <c r="DA108" s="59">
        <v>85</v>
      </c>
      <c r="DB108" s="292" t="str">
        <f t="shared" si="51"/>
        <v>---------</v>
      </c>
      <c r="DC108" s="106">
        <v>16.7</v>
      </c>
      <c r="DD108" s="12" t="s">
        <v>374</v>
      </c>
      <c r="DE108" s="276" t="str">
        <f t="shared" si="52"/>
        <v>---------</v>
      </c>
      <c r="DF108" s="290">
        <v>2.1700000000000199</v>
      </c>
      <c r="DG108" s="59">
        <v>85</v>
      </c>
      <c r="DH108" s="292" t="str">
        <f t="shared" si="53"/>
        <v>---------</v>
      </c>
      <c r="DI108" s="7"/>
      <c r="DJ108" s="7"/>
      <c r="DK108" s="7"/>
      <c r="DL108" s="7"/>
      <c r="FG108" s="7">
        <v>85</v>
      </c>
      <c r="FH108" s="12">
        <v>11.7</v>
      </c>
      <c r="FJ108" s="7">
        <v>85</v>
      </c>
      <c r="FK108" s="9">
        <v>370</v>
      </c>
      <c r="FR108" s="12"/>
      <c r="FS108" s="7">
        <v>85</v>
      </c>
      <c r="FT108" s="12">
        <v>41.7</v>
      </c>
      <c r="FW108" s="9"/>
    </row>
    <row r="109" spans="20:179">
      <c r="T109" s="7"/>
      <c r="U109" s="7"/>
      <c r="V109" s="43"/>
      <c r="W109" s="43" t="s">
        <v>929</v>
      </c>
      <c r="X109" s="43"/>
      <c r="Y109" s="77">
        <v>3.2227931149918401E-6</v>
      </c>
      <c r="Z109" s="77">
        <v>2.7120206564302054E-4</v>
      </c>
      <c r="AA109" s="77">
        <v>-1.7494865187754307E-4</v>
      </c>
      <c r="AB109" s="77">
        <v>7.8067024364643703E-4</v>
      </c>
      <c r="AC109" s="77">
        <v>-3.0717668270863613E-2</v>
      </c>
      <c r="AD109" s="77">
        <v>1.3066487312416688E-2</v>
      </c>
      <c r="AE109" s="77">
        <v>-6.5691090842962555E-2</v>
      </c>
      <c r="AF109" s="77">
        <v>1.1275689563073519</v>
      </c>
      <c r="AG109" s="77">
        <v>1.5079133218308529</v>
      </c>
      <c r="AH109" s="7"/>
      <c r="AI109" s="7"/>
      <c r="AJ109" s="11"/>
      <c r="AK109" s="12"/>
      <c r="BN109" s="7"/>
      <c r="BO109" s="7"/>
      <c r="BP109" s="7"/>
      <c r="BQ109" s="7"/>
      <c r="BR109" s="7"/>
      <c r="BS109" s="7"/>
      <c r="BT109" s="7"/>
      <c r="BU109" s="7"/>
      <c r="BV109" s="7"/>
      <c r="BW109" s="7"/>
      <c r="BX109" s="7"/>
      <c r="BY109" s="7"/>
      <c r="BZ109" s="7"/>
      <c r="CA109" s="7"/>
      <c r="CB109" s="7"/>
      <c r="CC109" s="7"/>
      <c r="CD109" s="7"/>
      <c r="CE109" s="7"/>
      <c r="CF109" s="7"/>
      <c r="CG109" s="7"/>
      <c r="CH109" s="7"/>
      <c r="CI109" s="7"/>
      <c r="CJ109" s="7"/>
      <c r="CK109" s="7"/>
      <c r="CL109" s="7"/>
      <c r="CM109" s="7"/>
      <c r="CN109" s="10" cm="1">
        <f t="array" ref="CN109">INDEX($CP$59:$CP$115,MIN(56,MAX(0,INT(CO109+0)))+1)+0</f>
        <v>5</v>
      </c>
      <c r="CO109" s="7">
        <v>50</v>
      </c>
      <c r="CP109" s="7">
        <v>5</v>
      </c>
      <c r="CQ109" s="7">
        <v>11</v>
      </c>
      <c r="CR109" s="59">
        <v>86</v>
      </c>
      <c r="CS109" s="292" t="str">
        <f t="shared" si="48"/>
        <v>---------</v>
      </c>
      <c r="CT109" s="106">
        <v>16.600000000000001</v>
      </c>
      <c r="CU109" s="12" t="s">
        <v>375</v>
      </c>
      <c r="CV109" s="276" t="str">
        <f t="shared" si="49"/>
        <v>---------</v>
      </c>
      <c r="CW109" s="290">
        <v>2.1600000000000201</v>
      </c>
      <c r="CX109" s="59">
        <v>86</v>
      </c>
      <c r="CY109" s="292" t="str">
        <f t="shared" si="50"/>
        <v>---------</v>
      </c>
      <c r="CZ109" s="7">
        <v>11</v>
      </c>
      <c r="DA109" s="59">
        <v>86</v>
      </c>
      <c r="DB109" s="292" t="str">
        <f t="shared" si="51"/>
        <v>---------</v>
      </c>
      <c r="DC109" s="106">
        <v>16.600000000000001</v>
      </c>
      <c r="DD109" s="12" t="s">
        <v>375</v>
      </c>
      <c r="DE109" s="276" t="str">
        <f t="shared" si="52"/>
        <v>---------</v>
      </c>
      <c r="DF109" s="290">
        <v>2.1600000000000201</v>
      </c>
      <c r="DG109" s="59">
        <v>86</v>
      </c>
      <c r="DH109" s="292" t="str">
        <f t="shared" si="53"/>
        <v>---------</v>
      </c>
      <c r="DI109" s="7"/>
      <c r="DJ109" s="7"/>
      <c r="DK109" s="7"/>
      <c r="DL109" s="7"/>
      <c r="FG109" s="7">
        <v>86</v>
      </c>
      <c r="FH109" s="12">
        <v>11.6</v>
      </c>
      <c r="FJ109" s="7">
        <v>86</v>
      </c>
      <c r="FK109" s="9">
        <v>360</v>
      </c>
      <c r="FR109" s="12"/>
      <c r="FS109" s="7">
        <v>86</v>
      </c>
      <c r="FT109" s="12">
        <v>41.6</v>
      </c>
      <c r="FW109" s="9"/>
    </row>
    <row r="110" spans="20:179">
      <c r="T110" s="7"/>
      <c r="W110" s="43" t="s">
        <v>930</v>
      </c>
      <c r="X110" s="43"/>
      <c r="Y110" s="77">
        <v>3.0317735785936227E-6</v>
      </c>
      <c r="Z110" s="77">
        <v>2.7245406965301181E-4</v>
      </c>
      <c r="AA110" s="77">
        <v>-1.6411104329014985E-4</v>
      </c>
      <c r="AB110" s="77">
        <v>8.0151196015864983E-4</v>
      </c>
      <c r="AC110" s="77">
        <v>-3.0680492658203842E-2</v>
      </c>
      <c r="AD110" s="77">
        <v>1.1908919676176074E-2</v>
      </c>
      <c r="AE110" s="77">
        <v>-6.5257828130832071E-2</v>
      </c>
      <c r="AF110" s="77">
        <v>1.1159311999501542</v>
      </c>
      <c r="AG110" s="77">
        <v>1.5178671138858375</v>
      </c>
      <c r="AH110" s="7"/>
      <c r="AI110" s="7"/>
      <c r="AJ110" s="11"/>
      <c r="AK110" s="12"/>
      <c r="BN110" s="7"/>
      <c r="BO110" s="7"/>
      <c r="BP110" s="7"/>
      <c r="BQ110" s="7"/>
      <c r="BR110" s="7"/>
      <c r="BS110" s="7"/>
      <c r="BT110" s="7"/>
      <c r="BU110" s="7"/>
      <c r="BV110" s="7"/>
      <c r="BW110" s="7"/>
      <c r="BX110" s="7"/>
      <c r="BY110" s="7"/>
      <c r="BZ110" s="7"/>
      <c r="CA110" s="7"/>
      <c r="CB110" s="7"/>
      <c r="CC110" s="7"/>
      <c r="CD110" s="7"/>
      <c r="CE110" s="7"/>
      <c r="CF110" s="7"/>
      <c r="CG110" s="7"/>
      <c r="CH110" s="7"/>
      <c r="CI110" s="7"/>
      <c r="CJ110" s="7"/>
      <c r="CK110" s="7"/>
      <c r="CL110" s="7"/>
      <c r="CM110" s="7"/>
      <c r="CN110" s="10" cm="1">
        <f t="array" ref="CN110">INDEX($CP$59:$CP$115,MIN(56,MAX(0,INT(CO110+0)))+1)+0</f>
        <v>4</v>
      </c>
      <c r="CO110" s="7">
        <v>51</v>
      </c>
      <c r="CP110" s="7">
        <v>4</v>
      </c>
      <c r="CQ110" s="7">
        <v>10</v>
      </c>
      <c r="CR110" s="59">
        <v>87</v>
      </c>
      <c r="CS110" s="292" t="str">
        <f t="shared" si="48"/>
        <v>---------</v>
      </c>
      <c r="CT110" s="106">
        <v>16.5</v>
      </c>
      <c r="CU110" s="12" t="s">
        <v>376</v>
      </c>
      <c r="CV110" s="276" t="str">
        <f t="shared" si="49"/>
        <v>---------</v>
      </c>
      <c r="CW110" s="290">
        <v>2.1500000000000199</v>
      </c>
      <c r="CX110" s="59">
        <v>87</v>
      </c>
      <c r="CY110" s="292" t="str">
        <f t="shared" si="50"/>
        <v>---------</v>
      </c>
      <c r="CZ110" s="7">
        <v>10</v>
      </c>
      <c r="DA110" s="59">
        <v>87</v>
      </c>
      <c r="DB110" s="292" t="str">
        <f t="shared" si="51"/>
        <v>---------</v>
      </c>
      <c r="DC110" s="106">
        <v>16.5</v>
      </c>
      <c r="DD110" s="12" t="s">
        <v>376</v>
      </c>
      <c r="DE110" s="276" t="str">
        <f t="shared" si="52"/>
        <v>---------</v>
      </c>
      <c r="DF110" s="290">
        <v>2.1500000000000199</v>
      </c>
      <c r="DG110" s="59">
        <v>87</v>
      </c>
      <c r="DH110" s="292" t="str">
        <f t="shared" si="53"/>
        <v>---------</v>
      </c>
      <c r="DI110" s="7"/>
      <c r="DJ110" s="7"/>
      <c r="DK110" s="7"/>
      <c r="DL110" s="7"/>
      <c r="FG110" s="7">
        <v>87</v>
      </c>
      <c r="FH110" s="12">
        <v>11.5</v>
      </c>
      <c r="FJ110" s="7">
        <v>87</v>
      </c>
      <c r="FK110" s="9">
        <v>350</v>
      </c>
      <c r="FR110" s="12"/>
      <c r="FS110" s="7">
        <v>87</v>
      </c>
      <c r="FT110" s="12">
        <v>41.5</v>
      </c>
      <c r="FW110" s="9"/>
    </row>
    <row r="111" spans="20:179">
      <c r="T111" s="7"/>
      <c r="W111" s="43" t="s">
        <v>931</v>
      </c>
      <c r="X111" s="43" t="s">
        <v>932</v>
      </c>
      <c r="Y111" s="77">
        <v>8.8854070298298006E-6</v>
      </c>
      <c r="Z111" s="77">
        <v>2.3604464126888579E-4</v>
      </c>
      <c r="AA111" s="77">
        <v>-1.7326786706768084E-4</v>
      </c>
      <c r="AB111" s="77">
        <v>3.6687232916341031E-4</v>
      </c>
      <c r="AC111" s="77">
        <v>-2.8942097159237814E-2</v>
      </c>
      <c r="AD111" s="77">
        <v>1.4794932161068452E-2</v>
      </c>
      <c r="AE111" s="77">
        <v>-6.2151352808277077E-2</v>
      </c>
      <c r="AF111" s="77">
        <v>1.1532811088855635</v>
      </c>
      <c r="AG111" s="77">
        <v>1.6903602250562773</v>
      </c>
      <c r="AH111" s="7"/>
      <c r="AI111" s="7"/>
      <c r="AJ111" s="11"/>
      <c r="AK111" s="12"/>
      <c r="BN111" s="7"/>
      <c r="BO111" s="7"/>
      <c r="BP111" s="7"/>
      <c r="BQ111" s="7"/>
      <c r="BR111" s="7"/>
      <c r="BS111" s="7"/>
      <c r="BT111" s="7"/>
      <c r="BU111" s="7"/>
      <c r="BV111" s="7"/>
      <c r="BW111" s="7"/>
      <c r="BX111" s="7"/>
      <c r="BY111" s="7"/>
      <c r="BZ111" s="7"/>
      <c r="CA111" s="7"/>
      <c r="CB111" s="7"/>
      <c r="CC111" s="7"/>
      <c r="CD111" s="7"/>
      <c r="CE111" s="7"/>
      <c r="CF111" s="7"/>
      <c r="CG111" s="7"/>
      <c r="CH111" s="7"/>
      <c r="CI111" s="7"/>
      <c r="CJ111" s="7"/>
      <c r="CK111" s="7"/>
      <c r="CL111" s="7"/>
      <c r="CM111" s="7"/>
      <c r="CN111" s="10" cm="1">
        <f t="array" ref="CN111">INDEX($CP$59:$CP$115,MIN(56,MAX(0,INT(CO111+0)))+1)+0</f>
        <v>4</v>
      </c>
      <c r="CO111" s="7">
        <v>52</v>
      </c>
      <c r="CP111" s="7">
        <v>4</v>
      </c>
      <c r="CQ111" s="7">
        <v>9</v>
      </c>
      <c r="CR111" s="59">
        <v>88</v>
      </c>
      <c r="CS111" s="292" t="str">
        <f t="shared" si="48"/>
        <v>---------</v>
      </c>
      <c r="CT111" s="106">
        <v>16.399999999999999</v>
      </c>
      <c r="CU111" s="12" t="s">
        <v>377</v>
      </c>
      <c r="CV111" s="276" t="str">
        <f t="shared" si="49"/>
        <v>---------</v>
      </c>
      <c r="CW111" s="290">
        <v>2.1400000000000201</v>
      </c>
      <c r="CX111" s="59">
        <v>88</v>
      </c>
      <c r="CY111" s="292" t="str">
        <f t="shared" si="50"/>
        <v>---------</v>
      </c>
      <c r="CZ111" s="7">
        <v>9</v>
      </c>
      <c r="DA111" s="59">
        <v>88</v>
      </c>
      <c r="DB111" s="292" t="str">
        <f t="shared" si="51"/>
        <v>---------</v>
      </c>
      <c r="DC111" s="106">
        <v>16.399999999999999</v>
      </c>
      <c r="DD111" s="12" t="s">
        <v>377</v>
      </c>
      <c r="DE111" s="276" t="str">
        <f t="shared" si="52"/>
        <v>---------</v>
      </c>
      <c r="DF111" s="290">
        <v>2.1400000000000201</v>
      </c>
      <c r="DG111" s="59">
        <v>88</v>
      </c>
      <c r="DH111" s="292" t="str">
        <f t="shared" si="53"/>
        <v>---------</v>
      </c>
      <c r="DI111" s="7"/>
      <c r="DJ111" s="7"/>
      <c r="DK111" s="7"/>
      <c r="DL111" s="7"/>
      <c r="FG111" s="7">
        <v>88</v>
      </c>
      <c r="FH111" s="12">
        <v>11.4</v>
      </c>
      <c r="FJ111" s="7">
        <v>88</v>
      </c>
      <c r="FK111" s="9">
        <v>340</v>
      </c>
      <c r="FR111" s="12"/>
      <c r="FS111" s="7">
        <v>88</v>
      </c>
      <c r="FT111" s="12">
        <v>41.4</v>
      </c>
      <c r="FW111" s="9"/>
    </row>
    <row r="112" spans="20:179">
      <c r="T112" s="7"/>
      <c r="W112" s="43" t="s">
        <v>933</v>
      </c>
      <c r="X112" s="43"/>
      <c r="Y112" s="77">
        <v>7.5238981335542467E-6</v>
      </c>
      <c r="Z112" s="77">
        <v>2.4697432330232345E-4</v>
      </c>
      <c r="AA112" s="77">
        <v>-1.6450189067395441E-4</v>
      </c>
      <c r="AB112" s="77">
        <v>4.9083922261739009E-4</v>
      </c>
      <c r="AC112" s="77">
        <v>-2.9511975464574982E-2</v>
      </c>
      <c r="AD112" s="77">
        <v>1.3098288310275583E-2</v>
      </c>
      <c r="AE112" s="77">
        <v>-6.2379128179511877E-2</v>
      </c>
      <c r="AF112" s="77">
        <v>1.1362973876305122</v>
      </c>
      <c r="AG112" s="77">
        <v>1.7042881834739079</v>
      </c>
      <c r="AH112" s="7"/>
      <c r="AI112" s="7"/>
      <c r="AJ112" s="11"/>
      <c r="AK112" s="12"/>
      <c r="BN112" s="7"/>
      <c r="BO112" s="7"/>
      <c r="BP112" s="7"/>
      <c r="BQ112" s="7"/>
      <c r="BR112" s="7"/>
      <c r="BS112" s="7"/>
      <c r="BT112" s="7"/>
      <c r="BU112" s="7"/>
      <c r="BV112" s="7"/>
      <c r="BW112" s="7"/>
      <c r="BX112" s="7"/>
      <c r="BY112" s="7"/>
      <c r="BZ112" s="7"/>
      <c r="CA112" s="7"/>
      <c r="CB112" s="7"/>
      <c r="CC112" s="7"/>
      <c r="CD112" s="7"/>
      <c r="CE112" s="7"/>
      <c r="CF112" s="7"/>
      <c r="CG112" s="7"/>
      <c r="CH112" s="7"/>
      <c r="CI112" s="7"/>
      <c r="CJ112" s="7"/>
      <c r="CK112" s="7"/>
      <c r="CL112" s="7"/>
      <c r="CM112" s="7"/>
      <c r="CN112" s="10" cm="1">
        <f t="array" ref="CN112">INDEX($CP$59:$CP$115,MIN(56,MAX(0,INT(CO112+0)))+1)+0</f>
        <v>3</v>
      </c>
      <c r="CO112" s="7">
        <v>53</v>
      </c>
      <c r="CP112" s="7">
        <v>3</v>
      </c>
      <c r="CQ112" s="7">
        <v>8</v>
      </c>
      <c r="CR112" s="59">
        <v>89</v>
      </c>
      <c r="CS112" s="292" t="str">
        <f t="shared" si="48"/>
        <v>---------</v>
      </c>
      <c r="CT112" s="106">
        <v>16.3</v>
      </c>
      <c r="CU112" s="12" t="s">
        <v>378</v>
      </c>
      <c r="CV112" s="276" t="str">
        <f t="shared" si="49"/>
        <v>---------</v>
      </c>
      <c r="CW112" s="290">
        <v>2.1300000000000199</v>
      </c>
      <c r="CX112" s="59">
        <v>89</v>
      </c>
      <c r="CY112" s="292" t="str">
        <f t="shared" si="50"/>
        <v>---------</v>
      </c>
      <c r="CZ112" s="7">
        <v>8</v>
      </c>
      <c r="DA112" s="59">
        <v>89</v>
      </c>
      <c r="DB112" s="292" t="str">
        <f t="shared" si="51"/>
        <v>---------</v>
      </c>
      <c r="DC112" s="106">
        <v>16.3</v>
      </c>
      <c r="DD112" s="12" t="s">
        <v>378</v>
      </c>
      <c r="DE112" s="276" t="str">
        <f t="shared" si="52"/>
        <v>---------</v>
      </c>
      <c r="DF112" s="290">
        <v>2.1300000000000199</v>
      </c>
      <c r="DG112" s="59">
        <v>89</v>
      </c>
      <c r="DH112" s="292" t="str">
        <f t="shared" si="53"/>
        <v>---------</v>
      </c>
      <c r="DI112" s="7"/>
      <c r="DJ112" s="7"/>
      <c r="DK112" s="7"/>
      <c r="DL112" s="7"/>
      <c r="FG112" s="7">
        <v>89</v>
      </c>
      <c r="FH112" s="12">
        <v>11.3</v>
      </c>
      <c r="FJ112" s="7">
        <v>89</v>
      </c>
      <c r="FK112" s="9">
        <v>330</v>
      </c>
      <c r="FR112" s="12"/>
      <c r="FS112" s="7">
        <v>89</v>
      </c>
      <c r="FT112" s="12">
        <v>41.3</v>
      </c>
      <c r="FW112" s="9"/>
    </row>
    <row r="113" spans="20:179">
      <c r="T113" s="7"/>
      <c r="W113" s="43" t="s">
        <v>934</v>
      </c>
      <c r="X113" s="43"/>
      <c r="Y113" s="77">
        <v>5.0688944453212812E-6</v>
      </c>
      <c r="Z113" s="77">
        <v>2.5977994278332523E-4</v>
      </c>
      <c r="AA113" s="77">
        <v>-1.6249976814038689E-4</v>
      </c>
      <c r="AB113" s="77">
        <v>6.5608661847823223E-4</v>
      </c>
      <c r="AC113" s="77">
        <v>-3.0165688392680214E-2</v>
      </c>
      <c r="AD113" s="77">
        <v>1.2229020588733217E-2</v>
      </c>
      <c r="AE113" s="77">
        <v>-6.3682236563193162E-2</v>
      </c>
      <c r="AF113" s="77">
        <v>1.1295499412465753</v>
      </c>
      <c r="AG113" s="77">
        <v>1.7081085588172555</v>
      </c>
      <c r="AH113" s="7"/>
      <c r="AI113" s="7"/>
      <c r="AJ113" s="11"/>
      <c r="AK113" s="12"/>
      <c r="BN113" s="7"/>
      <c r="BO113" s="7"/>
      <c r="BP113" s="7"/>
      <c r="BQ113" s="7"/>
      <c r="BR113" s="7"/>
      <c r="BS113" s="7"/>
      <c r="BT113" s="7"/>
      <c r="BU113" s="7"/>
      <c r="BV113" s="7"/>
      <c r="BW113" s="7"/>
      <c r="BX113" s="7"/>
      <c r="BY113" s="7"/>
      <c r="BZ113" s="7"/>
      <c r="CA113" s="7"/>
      <c r="CB113" s="7"/>
      <c r="CC113" s="7"/>
      <c r="CD113" s="7"/>
      <c r="CE113" s="7"/>
      <c r="CF113" s="7"/>
      <c r="CG113" s="7"/>
      <c r="CH113" s="7"/>
      <c r="CI113" s="7"/>
      <c r="CJ113" s="7"/>
      <c r="CK113" s="7"/>
      <c r="CL113" s="7"/>
      <c r="CM113" s="7"/>
      <c r="CN113" s="10" cm="1">
        <f t="array" ref="CN113">INDEX($CP$59:$CP$115,MIN(56,MAX(0,INT(CO113+0)))+1)+0</f>
        <v>3</v>
      </c>
      <c r="CO113" s="7">
        <v>54</v>
      </c>
      <c r="CP113" s="7">
        <v>3</v>
      </c>
      <c r="CQ113" s="7">
        <v>7</v>
      </c>
      <c r="CR113" s="59">
        <v>90</v>
      </c>
      <c r="CS113" s="292" t="str">
        <f t="shared" si="48"/>
        <v>---------</v>
      </c>
      <c r="CT113" s="106">
        <v>16.2</v>
      </c>
      <c r="CU113" s="12" t="s">
        <v>379</v>
      </c>
      <c r="CV113" s="276" t="str">
        <f t="shared" si="49"/>
        <v>---------</v>
      </c>
      <c r="CW113" s="290">
        <v>2.1200000000000201</v>
      </c>
      <c r="CX113" s="59">
        <v>90</v>
      </c>
      <c r="CY113" s="292" t="str">
        <f t="shared" si="50"/>
        <v>---------</v>
      </c>
      <c r="CZ113" s="7">
        <v>7</v>
      </c>
      <c r="DA113" s="59">
        <v>90</v>
      </c>
      <c r="DB113" s="292" t="str">
        <f t="shared" si="51"/>
        <v>---------</v>
      </c>
      <c r="DC113" s="106">
        <v>16.2</v>
      </c>
      <c r="DD113" s="12" t="s">
        <v>379</v>
      </c>
      <c r="DE113" s="276" t="str">
        <f t="shared" si="52"/>
        <v>---------</v>
      </c>
      <c r="DF113" s="290">
        <v>2.1200000000000201</v>
      </c>
      <c r="DG113" s="59">
        <v>90</v>
      </c>
      <c r="DH113" s="292" t="str">
        <f t="shared" si="53"/>
        <v>---------</v>
      </c>
      <c r="DI113" s="7"/>
      <c r="DJ113" s="7"/>
      <c r="DK113" s="7"/>
      <c r="DL113" s="7"/>
      <c r="FG113" s="7">
        <v>90</v>
      </c>
      <c r="FH113" s="12">
        <v>11.2</v>
      </c>
      <c r="FJ113" s="7">
        <v>90</v>
      </c>
      <c r="FK113" s="9">
        <v>320</v>
      </c>
      <c r="FR113" s="12"/>
      <c r="FS113" s="7">
        <v>90</v>
      </c>
      <c r="FT113" s="12">
        <v>41.2</v>
      </c>
      <c r="FW113" s="9"/>
    </row>
    <row r="114" spans="20:179">
      <c r="T114" s="7"/>
      <c r="W114" s="43" t="s">
        <v>935</v>
      </c>
      <c r="X114" s="43"/>
      <c r="Y114" s="77">
        <v>3.9902690473434877E-6</v>
      </c>
      <c r="Z114" s="77">
        <v>2.6571148143638925E-4</v>
      </c>
      <c r="AA114" s="77">
        <v>-1.5708500377307956E-4</v>
      </c>
      <c r="AB114" s="77">
        <v>7.1546072023151723E-4</v>
      </c>
      <c r="AC114" s="77">
        <v>-3.0347818179569514E-2</v>
      </c>
      <c r="AD114" s="77">
        <v>1.1305814942725725E-2</v>
      </c>
      <c r="AE114" s="77">
        <v>-6.3646530408729196E-2</v>
      </c>
      <c r="AF114" s="77">
        <v>1.120365426042728</v>
      </c>
      <c r="AG114" s="77">
        <v>1.7150160005046937</v>
      </c>
      <c r="AH114" s="7"/>
      <c r="AI114" s="7"/>
      <c r="AJ114" s="11"/>
      <c r="AK114" s="12"/>
      <c r="BN114" s="7"/>
      <c r="BO114" s="7"/>
      <c r="BP114" s="7"/>
      <c r="BQ114" s="7"/>
      <c r="BR114" s="7"/>
      <c r="BS114" s="7"/>
      <c r="BT114" s="7"/>
      <c r="BU114" s="7"/>
      <c r="BV114" s="7"/>
      <c r="BW114" s="7"/>
      <c r="BX114" s="7"/>
      <c r="BY114" s="7"/>
      <c r="BZ114" s="7"/>
      <c r="CA114" s="7"/>
      <c r="CB114" s="7"/>
      <c r="CC114" s="7"/>
      <c r="CD114" s="7"/>
      <c r="CE114" s="7"/>
      <c r="CF114" s="7"/>
      <c r="CG114" s="7"/>
      <c r="CH114" s="7"/>
      <c r="CI114" s="7"/>
      <c r="CJ114" s="7"/>
      <c r="CK114" s="7"/>
      <c r="CL114" s="7"/>
      <c r="CM114" s="7"/>
      <c r="CN114" s="10" cm="1">
        <f t="array" ref="CN114">INDEX($CP$59:$CP$115,MIN(56,MAX(0,INT(CO114+0)))+1)+0</f>
        <v>2</v>
      </c>
      <c r="CO114" s="7">
        <v>55</v>
      </c>
      <c r="CP114" s="7">
        <v>2</v>
      </c>
      <c r="CQ114" s="7">
        <v>6</v>
      </c>
      <c r="CR114" s="59">
        <v>91</v>
      </c>
      <c r="CS114" s="292" t="str">
        <f t="shared" si="48"/>
        <v>---------</v>
      </c>
      <c r="CT114" s="106">
        <v>16.100000000000001</v>
      </c>
      <c r="CU114" s="12" t="s">
        <v>380</v>
      </c>
      <c r="CV114" s="276" t="str">
        <f t="shared" si="49"/>
        <v>---------</v>
      </c>
      <c r="CW114" s="290">
        <v>2.1100000000000199</v>
      </c>
      <c r="CX114" s="59">
        <v>91</v>
      </c>
      <c r="CY114" s="292" t="str">
        <f t="shared" si="50"/>
        <v>---------</v>
      </c>
      <c r="CZ114" s="7">
        <v>6</v>
      </c>
      <c r="DA114" s="59">
        <v>91</v>
      </c>
      <c r="DB114" s="292" t="str">
        <f t="shared" si="51"/>
        <v>---------</v>
      </c>
      <c r="DC114" s="106">
        <v>16.100000000000001</v>
      </c>
      <c r="DD114" s="12" t="s">
        <v>380</v>
      </c>
      <c r="DE114" s="276" t="str">
        <f t="shared" si="52"/>
        <v>---------</v>
      </c>
      <c r="DF114" s="290">
        <v>2.1100000000000199</v>
      </c>
      <c r="DG114" s="59">
        <v>91</v>
      </c>
      <c r="DH114" s="292" t="str">
        <f t="shared" si="53"/>
        <v>---------</v>
      </c>
      <c r="DI114" s="7"/>
      <c r="DJ114" s="7"/>
      <c r="DK114" s="7"/>
      <c r="DL114" s="7"/>
      <c r="FG114" s="7">
        <v>91</v>
      </c>
      <c r="FH114" s="12">
        <v>11.1</v>
      </c>
      <c r="FJ114" s="7">
        <v>91</v>
      </c>
      <c r="FK114" s="9">
        <v>310</v>
      </c>
      <c r="FR114" s="12"/>
      <c r="FS114" s="7">
        <v>91</v>
      </c>
      <c r="FT114" s="12">
        <v>41.1</v>
      </c>
      <c r="FW114" s="9"/>
    </row>
    <row r="115" spans="20:179">
      <c r="T115" s="7"/>
      <c r="W115" s="43" t="s">
        <v>936</v>
      </c>
      <c r="X115" s="43" t="s">
        <v>756</v>
      </c>
      <c r="Y115" s="77">
        <v>-1.6122279277836496E-5</v>
      </c>
      <c r="Z115" s="77">
        <v>3.6106559747459528E-4</v>
      </c>
      <c r="AA115" s="77">
        <v>-2.792592477868245E-4</v>
      </c>
      <c r="AB115" s="77">
        <v>1.7006079666915511E-3</v>
      </c>
      <c r="AC115" s="77">
        <v>-3.2680766476603423E-2</v>
      </c>
      <c r="AD115" s="77">
        <v>1.7131611353438735E-2</v>
      </c>
      <c r="AE115" s="77">
        <v>-5.3421075913498491E-2</v>
      </c>
      <c r="AF115" s="77">
        <v>0.87248603826099669</v>
      </c>
      <c r="AG115" s="77">
        <v>0.72102414843540474</v>
      </c>
      <c r="AH115" s="7"/>
      <c r="AI115" s="7"/>
      <c r="AJ115" s="11"/>
      <c r="AK115" s="12"/>
      <c r="BN115" s="7"/>
      <c r="BO115" s="7"/>
      <c r="BP115" s="7"/>
      <c r="BQ115" s="7"/>
      <c r="BR115" s="7"/>
      <c r="BS115" s="7"/>
      <c r="BT115" s="7"/>
      <c r="BU115" s="7"/>
      <c r="BV115" s="7"/>
      <c r="BW115" s="7"/>
      <c r="BX115" s="7"/>
      <c r="BY115" s="7"/>
      <c r="BZ115" s="7"/>
      <c r="CA115" s="7"/>
      <c r="CB115" s="7"/>
      <c r="CC115" s="7"/>
      <c r="CD115" s="7"/>
      <c r="CE115" s="7"/>
      <c r="CF115" s="7"/>
      <c r="CG115" s="7"/>
      <c r="CH115" s="7"/>
      <c r="CI115" s="7"/>
      <c r="CJ115" s="7"/>
      <c r="CK115" s="7"/>
      <c r="CL115" s="7"/>
      <c r="CM115" s="7"/>
      <c r="CN115" s="10" cm="1">
        <f t="array" ref="CN115">INDEX($CP$59:$CP$115,MIN(56,MAX(0,INT(CO115+0)))+1)+0</f>
        <v>2</v>
      </c>
      <c r="CO115" s="7">
        <v>56</v>
      </c>
      <c r="CP115" s="7">
        <v>2</v>
      </c>
      <c r="CQ115" s="7">
        <v>5</v>
      </c>
      <c r="CR115" s="59">
        <v>92</v>
      </c>
      <c r="CS115" s="292" t="str">
        <f t="shared" si="48"/>
        <v>---------</v>
      </c>
      <c r="CT115" s="106">
        <v>16</v>
      </c>
      <c r="CU115" s="12" t="s">
        <v>381</v>
      </c>
      <c r="CV115" s="276" t="str">
        <f t="shared" si="49"/>
        <v>---------</v>
      </c>
      <c r="CW115" s="290">
        <v>2.1000000000000201</v>
      </c>
      <c r="CX115" s="59">
        <v>92</v>
      </c>
      <c r="CY115" s="292" t="str">
        <f t="shared" si="50"/>
        <v>---------</v>
      </c>
      <c r="CZ115" s="7">
        <v>5</v>
      </c>
      <c r="DA115" s="59">
        <v>92</v>
      </c>
      <c r="DB115" s="292" t="str">
        <f t="shared" si="51"/>
        <v>---------</v>
      </c>
      <c r="DC115" s="106">
        <v>16</v>
      </c>
      <c r="DD115" s="12" t="s">
        <v>381</v>
      </c>
      <c r="DE115" s="276" t="str">
        <f t="shared" si="52"/>
        <v>---------</v>
      </c>
      <c r="DF115" s="290">
        <v>2.1000000000000201</v>
      </c>
      <c r="DG115" s="59">
        <v>92</v>
      </c>
      <c r="DH115" s="292" t="str">
        <f t="shared" si="53"/>
        <v>---------</v>
      </c>
      <c r="DI115" s="7"/>
      <c r="DJ115" s="7"/>
      <c r="DK115" s="7"/>
      <c r="DL115" s="7"/>
      <c r="FG115" s="7">
        <v>92</v>
      </c>
      <c r="FH115" s="12">
        <v>11</v>
      </c>
      <c r="FJ115" s="7">
        <v>92</v>
      </c>
      <c r="FK115" s="9">
        <v>300</v>
      </c>
      <c r="FR115" s="12"/>
      <c r="FS115" s="7">
        <v>92</v>
      </c>
      <c r="FT115" s="12">
        <v>41</v>
      </c>
      <c r="FW115" s="9"/>
    </row>
    <row r="116" spans="20:179">
      <c r="T116" s="7"/>
      <c r="W116" s="43" t="s">
        <v>937</v>
      </c>
      <c r="X116" s="43"/>
      <c r="Y116" s="77">
        <v>-1.8031579464344503E-5</v>
      </c>
      <c r="Z116" s="77">
        <v>3.6050035837149994E-4</v>
      </c>
      <c r="AA116" s="77">
        <v>-2.3256840397020142E-4</v>
      </c>
      <c r="AB116" s="77">
        <v>1.7657838855715177E-3</v>
      </c>
      <c r="AC116" s="77">
        <v>-3.1637524022864426E-2</v>
      </c>
      <c r="AD116" s="77">
        <v>1.2109531003378346E-2</v>
      </c>
      <c r="AE116" s="77">
        <v>-5.1195457963960432E-2</v>
      </c>
      <c r="AF116" s="77">
        <v>0.80922028372267085</v>
      </c>
      <c r="AG116" s="77">
        <v>0.78237833774031063</v>
      </c>
      <c r="AH116" s="7"/>
      <c r="AI116" s="7"/>
      <c r="AJ116" s="11"/>
      <c r="AK116" s="12"/>
      <c r="BN116" s="7"/>
      <c r="BO116" s="7"/>
      <c r="BP116" s="7"/>
      <c r="BQ116" s="7"/>
      <c r="BR116" s="7"/>
      <c r="BS116" s="7"/>
      <c r="BT116" s="7"/>
      <c r="BU116" s="7"/>
      <c r="BV116" s="7"/>
      <c r="BW116" s="7"/>
      <c r="BX116" s="7"/>
      <c r="BY116" s="7"/>
      <c r="BZ116" s="7"/>
      <c r="CA116" s="7"/>
      <c r="CB116" s="7"/>
      <c r="CC116" s="7"/>
      <c r="CD116" s="7"/>
      <c r="CE116" s="7"/>
      <c r="CF116" s="7"/>
      <c r="CG116" s="7"/>
      <c r="CH116" s="7"/>
      <c r="CI116" s="7"/>
      <c r="CJ116" s="7"/>
      <c r="CK116" s="7"/>
      <c r="CL116" s="7"/>
      <c r="CM116" s="7"/>
      <c r="CN116" s="7"/>
      <c r="CO116" s="7"/>
      <c r="CP116" s="7"/>
      <c r="CQ116" s="7">
        <v>4</v>
      </c>
      <c r="CR116" s="59">
        <v>93</v>
      </c>
      <c r="CS116" s="292" t="str">
        <f t="shared" si="48"/>
        <v>---------</v>
      </c>
      <c r="CT116" s="106">
        <v>15.9</v>
      </c>
      <c r="CU116" s="12" t="s">
        <v>382</v>
      </c>
      <c r="CV116" s="276" t="str">
        <f t="shared" si="49"/>
        <v>---------</v>
      </c>
      <c r="CW116" s="290">
        <v>2.0900000000000198</v>
      </c>
      <c r="CX116" s="59">
        <v>93</v>
      </c>
      <c r="CY116" s="292" t="str">
        <f t="shared" si="50"/>
        <v>---------</v>
      </c>
      <c r="CZ116" s="7">
        <v>4</v>
      </c>
      <c r="DA116" s="59">
        <v>93</v>
      </c>
      <c r="DB116" s="292" t="str">
        <f t="shared" si="51"/>
        <v>---------</v>
      </c>
      <c r="DC116" s="106">
        <v>15.9</v>
      </c>
      <c r="DD116" s="12" t="s">
        <v>382</v>
      </c>
      <c r="DE116" s="276" t="str">
        <f t="shared" si="52"/>
        <v>---------</v>
      </c>
      <c r="DF116" s="290">
        <v>2.0900000000000198</v>
      </c>
      <c r="DG116" s="59">
        <v>93</v>
      </c>
      <c r="DH116" s="292" t="str">
        <f t="shared" si="53"/>
        <v>---------</v>
      </c>
      <c r="DI116" s="7"/>
      <c r="DJ116" s="7"/>
      <c r="DK116" s="7"/>
      <c r="DL116" s="7"/>
      <c r="FG116" s="7">
        <v>93</v>
      </c>
      <c r="FH116" s="12">
        <v>10.9</v>
      </c>
      <c r="FJ116" s="7">
        <v>93</v>
      </c>
      <c r="FK116" s="9">
        <v>290</v>
      </c>
      <c r="FR116" s="12"/>
      <c r="FS116" s="7">
        <v>93</v>
      </c>
      <c r="FT116" s="12">
        <v>40.9</v>
      </c>
      <c r="FW116" s="9"/>
    </row>
    <row r="117" spans="20:179">
      <c r="T117" s="7"/>
      <c r="U117" s="7"/>
      <c r="V117" s="43"/>
      <c r="W117" s="43" t="s">
        <v>938</v>
      </c>
      <c r="X117" s="43"/>
      <c r="Y117" s="77">
        <v>-1.8596210112758565E-5</v>
      </c>
      <c r="Z117" s="77">
        <v>3.5246354925544816E-4</v>
      </c>
      <c r="AA117" s="77">
        <v>-1.8948612019146328E-4</v>
      </c>
      <c r="AB117" s="77">
        <v>1.761777740655667E-3</v>
      </c>
      <c r="AC117" s="77">
        <v>-3.0452250937536098E-2</v>
      </c>
      <c r="AD117" s="77">
        <v>8.2366204096331608E-3</v>
      </c>
      <c r="AE117" s="77">
        <v>-4.9064481164528918E-2</v>
      </c>
      <c r="AF117" s="77">
        <v>0.76146000642091771</v>
      </c>
      <c r="AG117" s="77">
        <v>0.82349299402194343</v>
      </c>
      <c r="AH117" s="7"/>
      <c r="AI117" s="7"/>
      <c r="AJ117" s="11"/>
      <c r="AK117" s="12"/>
      <c r="BN117" s="290"/>
      <c r="BO117" s="290"/>
      <c r="BP117" s="290"/>
      <c r="BQ117" s="290"/>
      <c r="BR117" s="290"/>
      <c r="BS117" s="290"/>
      <c r="BT117" s="290"/>
      <c r="BU117" s="290"/>
      <c r="BV117" s="290"/>
      <c r="BW117" s="290"/>
      <c r="BX117" s="290"/>
      <c r="BY117" s="290"/>
      <c r="BZ117" s="290"/>
      <c r="CA117" s="290"/>
      <c r="CB117" s="290"/>
      <c r="CC117" s="290"/>
      <c r="CD117" s="290"/>
      <c r="CE117" s="290"/>
      <c r="CF117" s="290"/>
      <c r="CG117" s="290"/>
      <c r="CH117" s="290"/>
      <c r="CI117" s="290"/>
      <c r="CJ117" s="290"/>
      <c r="CK117" s="7"/>
      <c r="CL117" s="7"/>
      <c r="CM117" s="7"/>
      <c r="CN117" s="7"/>
      <c r="CO117" s="7"/>
      <c r="CP117" s="7"/>
      <c r="CQ117" s="7">
        <v>3</v>
      </c>
      <c r="CR117" s="59">
        <v>94</v>
      </c>
      <c r="CS117" s="292" t="str">
        <f t="shared" si="48"/>
        <v>---------</v>
      </c>
      <c r="CT117" s="106">
        <v>15.8</v>
      </c>
      <c r="CU117" s="12" t="s">
        <v>383</v>
      </c>
      <c r="CV117" s="276" t="str">
        <f t="shared" si="49"/>
        <v>---------</v>
      </c>
      <c r="CW117" s="290">
        <v>2.0800000000000201</v>
      </c>
      <c r="CX117" s="59">
        <v>94</v>
      </c>
      <c r="CY117" s="292" t="str">
        <f t="shared" si="50"/>
        <v>---------</v>
      </c>
      <c r="CZ117" s="7">
        <v>3</v>
      </c>
      <c r="DA117" s="59">
        <v>94</v>
      </c>
      <c r="DB117" s="292" t="str">
        <f t="shared" si="51"/>
        <v>---------</v>
      </c>
      <c r="DC117" s="106">
        <v>15.8</v>
      </c>
      <c r="DD117" s="12" t="s">
        <v>383</v>
      </c>
      <c r="DE117" s="276" t="str">
        <f t="shared" si="52"/>
        <v>---------</v>
      </c>
      <c r="DF117" s="290">
        <v>2.0800000000000201</v>
      </c>
      <c r="DG117" s="59">
        <v>94</v>
      </c>
      <c r="DH117" s="292" t="str">
        <f t="shared" si="53"/>
        <v>---------</v>
      </c>
      <c r="DI117" s="7"/>
      <c r="DJ117" s="7"/>
      <c r="DK117" s="7"/>
      <c r="DL117" s="7"/>
      <c r="FG117" s="7">
        <v>94</v>
      </c>
      <c r="FH117" s="12">
        <v>10.8</v>
      </c>
      <c r="FJ117" s="7">
        <v>94</v>
      </c>
      <c r="FK117" s="9">
        <v>280</v>
      </c>
      <c r="FR117" s="12"/>
      <c r="FS117" s="7">
        <v>94</v>
      </c>
      <c r="FT117" s="12">
        <v>40.799999999999997</v>
      </c>
      <c r="FW117" s="9"/>
    </row>
    <row r="118" spans="20:179" ht="15" customHeight="1">
      <c r="T118" s="7"/>
      <c r="W118" s="43" t="s">
        <v>939</v>
      </c>
      <c r="X118" s="43"/>
      <c r="Y118" s="77">
        <v>-1.9283814587052625E-5</v>
      </c>
      <c r="Z118" s="77">
        <v>3.4794788214889563E-4</v>
      </c>
      <c r="AA118" s="77">
        <v>-1.6310803250782664E-4</v>
      </c>
      <c r="AB118" s="77">
        <v>1.76951183317595E-3</v>
      </c>
      <c r="AC118" s="77">
        <v>-2.9635636702604395E-2</v>
      </c>
      <c r="AD118" s="77">
        <v>5.7752565435872337E-3</v>
      </c>
      <c r="AE118" s="77">
        <v>-4.768417279333375E-2</v>
      </c>
      <c r="AF118" s="77">
        <v>0.7282531855691603</v>
      </c>
      <c r="AG118" s="77">
        <v>0.84536180920525728</v>
      </c>
      <c r="AH118" s="7"/>
      <c r="AI118" s="7"/>
      <c r="AJ118" s="11"/>
      <c r="AK118" s="12"/>
      <c r="BN118" s="7"/>
      <c r="BO118" s="7"/>
      <c r="BP118" s="7"/>
      <c r="BQ118" s="7"/>
      <c r="BR118" s="7"/>
      <c r="BS118" s="7"/>
      <c r="BT118" s="7"/>
      <c r="BU118" s="7"/>
      <c r="BV118" s="7"/>
      <c r="BW118" s="7"/>
      <c r="BX118" s="7"/>
      <c r="BY118" s="7"/>
      <c r="BZ118" s="7"/>
      <c r="CA118" s="7"/>
      <c r="CB118" s="7"/>
      <c r="CC118" s="7"/>
      <c r="CD118" s="7"/>
      <c r="CE118" s="7"/>
      <c r="CF118" s="7"/>
      <c r="CG118" s="7"/>
      <c r="CH118" s="7"/>
      <c r="CI118" s="7"/>
      <c r="CJ118" s="7"/>
      <c r="CK118" s="7"/>
      <c r="CL118" s="7"/>
      <c r="CM118" s="7"/>
      <c r="CN118" s="7"/>
      <c r="CO118" s="7"/>
      <c r="CP118" s="7"/>
      <c r="CQ118" s="7">
        <v>2</v>
      </c>
      <c r="CR118" s="59">
        <v>95</v>
      </c>
      <c r="CS118" s="292" t="str">
        <f t="shared" si="48"/>
        <v>---------</v>
      </c>
      <c r="CT118" s="106">
        <v>15.7</v>
      </c>
      <c r="CU118" s="12" t="s">
        <v>384</v>
      </c>
      <c r="CV118" s="276" t="str">
        <f t="shared" si="49"/>
        <v>---------</v>
      </c>
      <c r="CW118" s="290">
        <v>2.0700000000000198</v>
      </c>
      <c r="CX118" s="59">
        <v>95</v>
      </c>
      <c r="CY118" s="292" t="str">
        <f t="shared" si="50"/>
        <v>---------</v>
      </c>
      <c r="CZ118" s="7">
        <v>2</v>
      </c>
      <c r="DA118" s="59">
        <v>95</v>
      </c>
      <c r="DB118" s="292" t="str">
        <f t="shared" si="51"/>
        <v>---------</v>
      </c>
      <c r="DC118" s="106">
        <v>15.7</v>
      </c>
      <c r="DD118" s="12" t="s">
        <v>384</v>
      </c>
      <c r="DE118" s="276" t="str">
        <f t="shared" si="52"/>
        <v>---------</v>
      </c>
      <c r="DF118" s="290">
        <v>2.0700000000000198</v>
      </c>
      <c r="DG118" s="59">
        <v>95</v>
      </c>
      <c r="DH118" s="292" t="str">
        <f t="shared" si="53"/>
        <v>---------</v>
      </c>
      <c r="DI118" s="7"/>
      <c r="DJ118" s="7"/>
      <c r="DK118" s="7"/>
      <c r="DL118" s="7"/>
      <c r="FG118" s="7">
        <v>95</v>
      </c>
      <c r="FH118" s="12">
        <v>10.7</v>
      </c>
      <c r="FJ118" s="7">
        <v>95</v>
      </c>
      <c r="FK118" s="9">
        <v>270</v>
      </c>
      <c r="FR118" s="12"/>
      <c r="FS118" s="7">
        <v>95</v>
      </c>
      <c r="FT118" s="12">
        <v>40.700000000000003</v>
      </c>
      <c r="FW118" s="9"/>
    </row>
    <row r="119" spans="20:179" ht="15.75" customHeight="1">
      <c r="T119" s="7"/>
      <c r="W119" s="43" t="s">
        <v>940</v>
      </c>
      <c r="X119" s="43" t="s">
        <v>941</v>
      </c>
      <c r="Y119" s="77">
        <v>-3.6890692069179752E-6</v>
      </c>
      <c r="Z119" s="77">
        <v>3.043337525379264E-4</v>
      </c>
      <c r="AA119" s="77">
        <v>-2.8918842630838444E-4</v>
      </c>
      <c r="AB119" s="77">
        <v>9.1995063921639368E-4</v>
      </c>
      <c r="AC119" s="77">
        <v>-3.1946550021331468E-2</v>
      </c>
      <c r="AD119" s="77">
        <v>2.1665195350297234E-2</v>
      </c>
      <c r="AE119" s="77">
        <v>-4.694127596616627E-2</v>
      </c>
      <c r="AF119" s="77">
        <v>1.0536359216491138</v>
      </c>
      <c r="AG119" s="77">
        <v>1.5827530040204827</v>
      </c>
      <c r="AH119" s="7"/>
      <c r="AI119" s="7"/>
      <c r="AJ119" s="11"/>
      <c r="AK119" s="12"/>
      <c r="BN119" s="7"/>
      <c r="BO119" s="7"/>
      <c r="BP119" s="7"/>
      <c r="BQ119" s="7"/>
      <c r="BR119" s="7"/>
      <c r="BS119" s="7"/>
      <c r="BT119" s="7"/>
      <c r="BU119" s="7"/>
      <c r="BV119" s="7"/>
      <c r="BW119" s="7"/>
      <c r="BX119" s="7"/>
      <c r="BY119" s="7"/>
      <c r="BZ119" s="7"/>
      <c r="CA119" s="7"/>
      <c r="CB119" s="7"/>
      <c r="CC119" s="7"/>
      <c r="CD119" s="7"/>
      <c r="CE119" s="7"/>
      <c r="CF119" s="7"/>
      <c r="CG119" s="7"/>
      <c r="CH119" s="7"/>
      <c r="CI119" s="7"/>
      <c r="CJ119" s="7"/>
      <c r="CK119" s="7"/>
      <c r="CL119" s="7"/>
      <c r="CM119" s="7"/>
      <c r="CN119" s="7"/>
      <c r="CO119" s="7"/>
      <c r="CP119" s="7"/>
      <c r="CQ119" s="7">
        <v>1</v>
      </c>
      <c r="CR119" s="59">
        <v>96</v>
      </c>
      <c r="CS119" s="292" t="str">
        <f t="shared" si="48"/>
        <v>---------</v>
      </c>
      <c r="CT119" s="106">
        <v>15.6</v>
      </c>
      <c r="CU119" s="12" t="s">
        <v>385</v>
      </c>
      <c r="CV119" s="276" t="str">
        <f t="shared" si="49"/>
        <v>---------</v>
      </c>
      <c r="CW119" s="290">
        <v>2.06000000000002</v>
      </c>
      <c r="CX119" s="59">
        <v>96</v>
      </c>
      <c r="CY119" s="292" t="str">
        <f t="shared" si="50"/>
        <v>---------</v>
      </c>
      <c r="CZ119" s="7">
        <v>1</v>
      </c>
      <c r="DA119" s="59">
        <v>96</v>
      </c>
      <c r="DB119" s="292" t="str">
        <f t="shared" si="51"/>
        <v>---------</v>
      </c>
      <c r="DC119" s="106">
        <v>15.6</v>
      </c>
      <c r="DD119" s="12" t="s">
        <v>385</v>
      </c>
      <c r="DE119" s="276" t="str">
        <f t="shared" si="52"/>
        <v>---------</v>
      </c>
      <c r="DF119" s="290">
        <v>2.06000000000002</v>
      </c>
      <c r="DG119" s="59">
        <v>96</v>
      </c>
      <c r="DH119" s="292" t="str">
        <f t="shared" si="53"/>
        <v>---------</v>
      </c>
      <c r="DI119" s="7"/>
      <c r="DJ119" s="7"/>
      <c r="DK119" s="7"/>
      <c r="DL119" s="7"/>
      <c r="FG119" s="7">
        <v>96</v>
      </c>
      <c r="FH119" s="12">
        <v>10.6</v>
      </c>
      <c r="FJ119" s="7">
        <v>96</v>
      </c>
      <c r="FK119" s="9">
        <v>260</v>
      </c>
      <c r="FR119" s="12"/>
      <c r="FS119" s="7">
        <v>96</v>
      </c>
      <c r="FT119" s="12">
        <v>40.6</v>
      </c>
      <c r="FW119" s="9"/>
    </row>
    <row r="120" spans="20:179">
      <c r="T120" s="7"/>
      <c r="W120" s="43" t="s">
        <v>942</v>
      </c>
      <c r="X120" s="43"/>
      <c r="Y120" s="77">
        <v>-6.2628464919071797E-6</v>
      </c>
      <c r="Z120" s="77">
        <v>3.2043463033870775E-4</v>
      </c>
      <c r="AA120" s="77">
        <v>-2.7646972403079056E-4</v>
      </c>
      <c r="AB120" s="77">
        <v>1.0676911210631135E-3</v>
      </c>
      <c r="AC120" s="77">
        <v>-3.2444624192061983E-2</v>
      </c>
      <c r="AD120" s="77">
        <v>1.8953495292713014E-2</v>
      </c>
      <c r="AE120" s="77">
        <v>-4.7299994070026781E-2</v>
      </c>
      <c r="AF120" s="77">
        <v>1.0286232150654253</v>
      </c>
      <c r="AG120" s="77">
        <v>1.6064550967838247</v>
      </c>
      <c r="AH120" s="7"/>
      <c r="AI120" s="7"/>
      <c r="AJ120" s="11"/>
      <c r="AK120" s="12"/>
      <c r="BN120" s="7"/>
      <c r="BO120" s="7"/>
      <c r="BP120" s="7"/>
      <c r="BQ120" s="7"/>
      <c r="BR120" s="7"/>
      <c r="BS120" s="7"/>
      <c r="BT120" s="7"/>
      <c r="BU120" s="7"/>
      <c r="BV120" s="7"/>
      <c r="BW120" s="7"/>
      <c r="BX120" s="7"/>
      <c r="BY120" s="7"/>
      <c r="BZ120" s="7"/>
      <c r="CA120" s="7"/>
      <c r="CB120" s="7"/>
      <c r="CC120" s="7"/>
      <c r="CD120" s="7"/>
      <c r="CE120" s="7"/>
      <c r="CF120" s="7"/>
      <c r="CG120" s="7"/>
      <c r="CH120" s="7"/>
      <c r="CI120" s="7"/>
      <c r="CJ120" s="7"/>
      <c r="CK120" s="7"/>
      <c r="CL120" s="7"/>
      <c r="CM120" s="7"/>
      <c r="CN120" s="7"/>
      <c r="CO120" s="7"/>
      <c r="CP120" s="7"/>
      <c r="CQ120" s="7"/>
      <c r="CR120" s="7"/>
      <c r="CS120" s="7"/>
      <c r="CT120" s="106">
        <v>15.5</v>
      </c>
      <c r="CU120" s="12" t="s">
        <v>386</v>
      </c>
      <c r="CV120" s="276" t="str">
        <f t="shared" si="49"/>
        <v>---------</v>
      </c>
      <c r="CW120" s="290">
        <v>2.0500000000000198</v>
      </c>
      <c r="CX120" s="59">
        <v>97</v>
      </c>
      <c r="CY120" s="292" t="str">
        <f t="shared" si="50"/>
        <v>---------</v>
      </c>
      <c r="CZ120" s="7"/>
      <c r="DA120" s="7"/>
      <c r="DB120" s="7"/>
      <c r="DC120" s="106">
        <v>15.5</v>
      </c>
      <c r="DD120" s="12" t="s">
        <v>386</v>
      </c>
      <c r="DE120" s="276" t="str">
        <f t="shared" si="52"/>
        <v>---------</v>
      </c>
      <c r="DF120" s="290">
        <v>2.0500000000000198</v>
      </c>
      <c r="DG120" s="59">
        <v>97</v>
      </c>
      <c r="DH120" s="292" t="str">
        <f t="shared" si="53"/>
        <v>---------</v>
      </c>
      <c r="DI120" s="7"/>
      <c r="DJ120" s="7"/>
      <c r="DK120" s="7"/>
      <c r="DL120" s="7"/>
      <c r="FG120" s="7">
        <v>97</v>
      </c>
      <c r="FH120" s="12">
        <v>10.5</v>
      </c>
      <c r="FJ120" s="7">
        <v>97</v>
      </c>
      <c r="FK120" s="9">
        <v>250</v>
      </c>
      <c r="FR120" s="12"/>
      <c r="FS120" s="7">
        <v>97</v>
      </c>
      <c r="FT120" s="12">
        <v>40.5</v>
      </c>
    </row>
    <row r="121" spans="20:179">
      <c r="T121" s="7"/>
      <c r="W121" s="43" t="s">
        <v>943</v>
      </c>
      <c r="X121" s="43"/>
      <c r="Y121" s="77">
        <v>-7.2152713622277107E-6</v>
      </c>
      <c r="Z121" s="77">
        <v>3.2452163777744515E-4</v>
      </c>
      <c r="AA121" s="77">
        <v>-2.5521631740502035E-4</v>
      </c>
      <c r="AB121" s="77">
        <v>1.1205510408506352E-3</v>
      </c>
      <c r="AC121" s="77">
        <v>-3.2370995935867813E-2</v>
      </c>
      <c r="AD121" s="77">
        <v>1.6521384126466209E-2</v>
      </c>
      <c r="AE121" s="77">
        <v>-4.6957917389213094E-2</v>
      </c>
      <c r="AF121" s="77">
        <v>1.0074014063853911</v>
      </c>
      <c r="AG121" s="77">
        <v>1.6261185660779813</v>
      </c>
      <c r="AH121" s="7"/>
      <c r="AI121" s="7"/>
      <c r="AJ121" s="11"/>
      <c r="AK121" s="12"/>
      <c r="BN121" s="290"/>
      <c r="BO121" s="290"/>
      <c r="BP121" s="290"/>
      <c r="BQ121" s="290"/>
      <c r="BR121" s="290"/>
      <c r="BS121" s="290"/>
      <c r="BT121" s="290"/>
      <c r="BU121" s="290"/>
      <c r="BV121" s="290"/>
      <c r="BW121" s="290"/>
      <c r="BX121" s="290"/>
      <c r="BY121" s="290"/>
      <c r="BZ121" s="290"/>
      <c r="CA121" s="290"/>
      <c r="CB121" s="290"/>
      <c r="CC121" s="290"/>
      <c r="CD121" s="290"/>
      <c r="CE121" s="290"/>
      <c r="CF121" s="290"/>
      <c r="CG121" s="290"/>
      <c r="CH121" s="290"/>
      <c r="CI121" s="290"/>
      <c r="CJ121" s="290"/>
      <c r="CK121" s="7"/>
      <c r="CL121" s="7"/>
      <c r="CM121" s="7"/>
      <c r="CN121" s="7"/>
      <c r="CO121" s="7"/>
      <c r="CP121" s="7"/>
      <c r="CQ121" s="7"/>
      <c r="CR121" s="7"/>
      <c r="CS121" s="7"/>
      <c r="CT121" s="106">
        <v>15.4</v>
      </c>
      <c r="CU121" s="12" t="s">
        <v>387</v>
      </c>
      <c r="CV121" s="276" t="str">
        <f t="shared" si="49"/>
        <v>---------</v>
      </c>
      <c r="CW121" s="290">
        <v>2.04000000000002</v>
      </c>
      <c r="CX121" s="59">
        <v>98</v>
      </c>
      <c r="CY121" s="292" t="str">
        <f t="shared" si="50"/>
        <v>---------</v>
      </c>
      <c r="CZ121" s="7"/>
      <c r="DA121" s="7"/>
      <c r="DB121" s="7"/>
      <c r="DC121" s="106">
        <v>15.4</v>
      </c>
      <c r="DD121" s="12" t="s">
        <v>387</v>
      </c>
      <c r="DE121" s="276" t="str">
        <f t="shared" si="52"/>
        <v>---------</v>
      </c>
      <c r="DF121" s="290">
        <v>2.04000000000002</v>
      </c>
      <c r="DG121" s="59">
        <v>98</v>
      </c>
      <c r="DH121" s="292" t="str">
        <f t="shared" si="53"/>
        <v>---------</v>
      </c>
      <c r="DI121" s="7"/>
      <c r="DJ121" s="7"/>
      <c r="DK121" s="7"/>
      <c r="DL121" s="7"/>
      <c r="FG121" s="7">
        <v>98</v>
      </c>
      <c r="FH121" s="12">
        <v>10.4</v>
      </c>
      <c r="FR121" s="12"/>
      <c r="FS121" s="7">
        <v>98</v>
      </c>
      <c r="FT121" s="12">
        <v>40.4</v>
      </c>
    </row>
    <row r="122" spans="20:179">
      <c r="T122" s="7"/>
      <c r="W122" s="43" t="s">
        <v>944</v>
      </c>
      <c r="X122" s="43"/>
      <c r="Y122" s="77">
        <v>-8.3575988099208261E-6</v>
      </c>
      <c r="Z122" s="77">
        <v>3.2972350553662561E-4</v>
      </c>
      <c r="AA122" s="77">
        <v>-2.4265833013616993E-4</v>
      </c>
      <c r="AB122" s="77">
        <v>1.1805628391133045E-3</v>
      </c>
      <c r="AC122" s="77">
        <v>-3.2418527021987692E-2</v>
      </c>
      <c r="AD122" s="77">
        <v>1.4961400925918474E-2</v>
      </c>
      <c r="AE122" s="77">
        <v>-4.6996162102029088E-2</v>
      </c>
      <c r="AF122" s="77">
        <v>0.99386934566460516</v>
      </c>
      <c r="AG122" s="77">
        <v>1.6356597796063785</v>
      </c>
      <c r="AH122" s="7"/>
      <c r="AI122" s="7"/>
      <c r="AJ122" s="11"/>
      <c r="AK122" s="12"/>
      <c r="BN122" s="7"/>
      <c r="BO122" s="7"/>
      <c r="BP122" s="7"/>
      <c r="BQ122" s="7"/>
      <c r="BR122" s="7"/>
      <c r="BS122" s="7"/>
      <c r="BT122" s="7"/>
      <c r="BU122" s="7"/>
      <c r="BV122" s="7"/>
      <c r="BW122" s="7"/>
      <c r="BX122" s="7"/>
      <c r="BY122" s="7"/>
      <c r="BZ122" s="7"/>
      <c r="CA122" s="7"/>
      <c r="CB122" s="7"/>
      <c r="CC122" s="7"/>
      <c r="CD122" s="7"/>
      <c r="CE122" s="7"/>
      <c r="CF122" s="7"/>
      <c r="CG122" s="7"/>
      <c r="CH122" s="7"/>
      <c r="CI122" s="7"/>
      <c r="CJ122" s="7"/>
      <c r="CK122" s="7"/>
      <c r="CL122" s="7"/>
      <c r="CM122" s="7"/>
      <c r="CN122" s="7"/>
      <c r="CO122" s="7"/>
      <c r="CP122" s="7"/>
      <c r="CQ122" s="7"/>
      <c r="CR122" s="7"/>
      <c r="CS122" s="7"/>
      <c r="CT122" s="106">
        <v>15.3</v>
      </c>
      <c r="CU122" s="12" t="s">
        <v>388</v>
      </c>
      <c r="CV122" s="276" t="str">
        <f t="shared" si="49"/>
        <v>---------</v>
      </c>
      <c r="CW122" s="290">
        <v>2.0300000000000198</v>
      </c>
      <c r="CX122" s="59">
        <v>99</v>
      </c>
      <c r="CY122" s="292" t="str">
        <f t="shared" si="50"/>
        <v>---------</v>
      </c>
      <c r="CZ122" s="7"/>
      <c r="DA122" s="7"/>
      <c r="DB122" s="7"/>
      <c r="DC122" s="106">
        <v>15.3</v>
      </c>
      <c r="DD122" s="12" t="s">
        <v>388</v>
      </c>
      <c r="DE122" s="276" t="str">
        <f t="shared" si="52"/>
        <v>---------</v>
      </c>
      <c r="DF122" s="290">
        <v>2.0300000000000198</v>
      </c>
      <c r="DG122" s="59">
        <v>99</v>
      </c>
      <c r="DH122" s="292" t="str">
        <f t="shared" si="53"/>
        <v>---------</v>
      </c>
      <c r="DI122" s="7"/>
      <c r="DJ122" s="7"/>
      <c r="DK122" s="7"/>
      <c r="DL122" s="7"/>
      <c r="FG122" s="7">
        <v>99</v>
      </c>
      <c r="FH122" s="12">
        <v>10.3</v>
      </c>
      <c r="FR122" s="12"/>
      <c r="FS122" s="7">
        <v>99</v>
      </c>
      <c r="FT122" s="12">
        <v>40.299999999999997</v>
      </c>
    </row>
    <row r="123" spans="20:179">
      <c r="T123" s="7"/>
      <c r="W123" s="43" t="s">
        <v>945</v>
      </c>
      <c r="X123" s="43" t="s">
        <v>946</v>
      </c>
      <c r="Y123" s="77">
        <v>-3.4104592511749291E-6</v>
      </c>
      <c r="Z123" s="77">
        <v>3.0139988480218648E-4</v>
      </c>
      <c r="AA123" s="77">
        <v>-2.8716380432357926E-4</v>
      </c>
      <c r="AB123" s="77">
        <v>8.8840929731834448E-4</v>
      </c>
      <c r="AC123" s="77">
        <v>-3.1852195708288192E-2</v>
      </c>
      <c r="AD123" s="77">
        <v>2.1499855166711851E-2</v>
      </c>
      <c r="AE123" s="77">
        <v>-4.6254868612694511E-2</v>
      </c>
      <c r="AF123" s="77">
        <v>1.0596585777637233</v>
      </c>
      <c r="AG123" s="77">
        <v>1.7728448444626745</v>
      </c>
      <c r="AH123" s="7"/>
      <c r="AI123" s="7"/>
      <c r="AJ123" s="11"/>
      <c r="AK123" s="12"/>
      <c r="AL123" s="69"/>
      <c r="AM123" s="7"/>
      <c r="AN123" s="7"/>
      <c r="AO123" s="7"/>
      <c r="AP123" s="7"/>
      <c r="AQ123" s="7"/>
      <c r="AR123" s="7"/>
      <c r="AS123" s="7"/>
      <c r="AT123" s="7"/>
      <c r="AU123" s="7"/>
      <c r="AV123" s="7"/>
      <c r="AW123" s="7"/>
      <c r="AX123" s="7"/>
      <c r="AY123" s="7"/>
      <c r="AZ123" s="7"/>
      <c r="BA123" s="7"/>
      <c r="BB123" s="7"/>
      <c r="BC123" s="7"/>
      <c r="BD123" s="7"/>
      <c r="BE123" s="7"/>
      <c r="BF123" s="7"/>
      <c r="BG123" s="7"/>
      <c r="BH123" s="7"/>
      <c r="BI123" s="7"/>
      <c r="BJ123" s="7"/>
      <c r="BK123" s="7"/>
      <c r="BL123" s="7"/>
      <c r="BM123" s="7"/>
      <c r="BN123" s="7"/>
      <c r="BO123" s="7"/>
      <c r="BP123" s="7"/>
      <c r="BQ123" s="7"/>
      <c r="BR123" s="7"/>
      <c r="BS123" s="7"/>
      <c r="BT123" s="7"/>
      <c r="BU123" s="7"/>
      <c r="BV123" s="7"/>
      <c r="BW123" s="7"/>
      <c r="BX123" s="7"/>
      <c r="BY123" s="7"/>
      <c r="BZ123" s="7"/>
      <c r="CA123" s="7"/>
      <c r="CB123" s="7"/>
      <c r="CC123" s="7"/>
      <c r="CD123" s="7"/>
      <c r="CE123" s="7"/>
      <c r="CF123" s="7"/>
      <c r="CG123" s="7"/>
      <c r="CH123" s="7"/>
      <c r="CI123" s="7"/>
      <c r="CJ123" s="7"/>
      <c r="CK123" s="7"/>
      <c r="CL123" s="7"/>
      <c r="CM123" s="7"/>
      <c r="CN123" s="7"/>
      <c r="CO123" s="7"/>
      <c r="CP123" s="7"/>
      <c r="CS123" s="7"/>
      <c r="CT123" s="106">
        <v>15.2</v>
      </c>
      <c r="CU123" s="12" t="s">
        <v>389</v>
      </c>
      <c r="CV123" s="276" t="str">
        <f t="shared" si="49"/>
        <v>---------</v>
      </c>
      <c r="CW123" s="290">
        <v>2.02000000000002</v>
      </c>
      <c r="CX123" s="59">
        <v>100</v>
      </c>
      <c r="CY123" s="292" t="str">
        <f t="shared" si="50"/>
        <v>---------</v>
      </c>
      <c r="CZ123" s="7"/>
      <c r="DA123" s="7"/>
      <c r="DB123" s="7"/>
      <c r="DC123" s="106">
        <v>15.2</v>
      </c>
      <c r="DD123" s="12" t="s">
        <v>389</v>
      </c>
      <c r="DE123" s="276" t="str">
        <f t="shared" si="52"/>
        <v>---------</v>
      </c>
      <c r="DF123" s="290">
        <v>2.02000000000002</v>
      </c>
      <c r="DG123" s="59">
        <v>100</v>
      </c>
      <c r="DH123" s="292" t="str">
        <f t="shared" si="53"/>
        <v>---------</v>
      </c>
      <c r="DI123" s="7"/>
      <c r="DJ123" s="7"/>
      <c r="DK123" s="7"/>
      <c r="DL123" s="7"/>
      <c r="FG123" s="7">
        <v>100</v>
      </c>
      <c r="FH123" s="12">
        <v>10.199999999999999</v>
      </c>
      <c r="FR123" s="12"/>
      <c r="FS123" s="7">
        <v>100</v>
      </c>
      <c r="FT123" s="12">
        <v>40.200000000000003</v>
      </c>
    </row>
    <row r="124" spans="20:179">
      <c r="T124" s="7"/>
      <c r="W124" s="43" t="s">
        <v>947</v>
      </c>
      <c r="X124" s="43"/>
      <c r="Y124" s="77">
        <v>-5.5006198500959723E-6</v>
      </c>
      <c r="Z124" s="77">
        <v>3.1461671094918698E-4</v>
      </c>
      <c r="AA124" s="77">
        <v>-2.6934936921218464E-4</v>
      </c>
      <c r="AB124" s="77">
        <v>1.0136715908775889E-3</v>
      </c>
      <c r="AC124" s="77">
        <v>-3.2238090512825862E-2</v>
      </c>
      <c r="AD124" s="77">
        <v>1.853918204403952E-2</v>
      </c>
      <c r="AE124" s="77">
        <v>-4.6404589974023351E-2</v>
      </c>
      <c r="AF124" s="77">
        <v>1.0341682434495028</v>
      </c>
      <c r="AG124" s="77">
        <v>1.7975541527105854</v>
      </c>
      <c r="AH124" s="7"/>
      <c r="AI124" s="7"/>
      <c r="AJ124" s="11"/>
      <c r="AK124" s="12"/>
      <c r="AL124" s="69"/>
      <c r="AM124" s="7"/>
      <c r="AN124" s="7"/>
      <c r="AO124" s="7"/>
      <c r="AP124" s="7"/>
      <c r="AQ124" s="7"/>
      <c r="AR124" s="7"/>
      <c r="AS124" s="7"/>
      <c r="AT124" s="7"/>
      <c r="AU124" s="7"/>
      <c r="AV124" s="7"/>
      <c r="AW124" s="7"/>
      <c r="AX124" s="7"/>
      <c r="AY124" s="7"/>
      <c r="AZ124" s="7"/>
      <c r="BA124" s="7"/>
      <c r="BB124" s="7"/>
      <c r="BC124" s="7"/>
      <c r="BD124" s="7"/>
      <c r="BE124" s="7"/>
      <c r="BF124" s="7"/>
      <c r="BG124" s="7"/>
      <c r="BH124" s="7"/>
      <c r="BI124" s="7"/>
      <c r="BJ124" s="7"/>
      <c r="BK124" s="7"/>
      <c r="BL124" s="7"/>
      <c r="BM124" s="7"/>
      <c r="BN124" s="7"/>
      <c r="BO124" s="7"/>
      <c r="BP124" s="7"/>
      <c r="BQ124" s="7"/>
      <c r="BR124" s="7"/>
      <c r="BS124" s="7"/>
      <c r="BT124" s="7"/>
      <c r="BU124" s="7"/>
      <c r="BV124" s="7"/>
      <c r="BW124" s="7"/>
      <c r="BX124" s="7"/>
      <c r="BY124" s="7"/>
      <c r="BZ124" s="7"/>
      <c r="CA124" s="7"/>
      <c r="CB124" s="7"/>
      <c r="CC124" s="7"/>
      <c r="CD124" s="7"/>
      <c r="CE124" s="7"/>
      <c r="CF124" s="7"/>
      <c r="CG124" s="7"/>
      <c r="CH124" s="7"/>
      <c r="CI124" s="7"/>
      <c r="CJ124" s="7"/>
      <c r="CK124" s="7"/>
      <c r="CL124" s="7"/>
      <c r="CM124" s="7"/>
      <c r="CN124" s="7"/>
      <c r="CO124" s="7"/>
      <c r="CP124" s="7"/>
      <c r="CS124" s="7"/>
      <c r="CT124" s="106">
        <v>15.1</v>
      </c>
      <c r="CU124" s="12" t="s">
        <v>390</v>
      </c>
      <c r="CV124" s="276" t="str">
        <f t="shared" si="49"/>
        <v>---------</v>
      </c>
      <c r="CW124" s="290">
        <v>2.0100000000000202</v>
      </c>
      <c r="CX124" s="59">
        <v>101</v>
      </c>
      <c r="CY124" s="292" t="str">
        <f t="shared" si="50"/>
        <v>---------</v>
      </c>
      <c r="CZ124" s="7"/>
      <c r="DA124" s="7"/>
      <c r="DB124" s="7"/>
      <c r="DC124" s="106">
        <v>15.1</v>
      </c>
      <c r="DD124" s="12" t="s">
        <v>390</v>
      </c>
      <c r="DE124" s="276" t="str">
        <f t="shared" si="52"/>
        <v>---------</v>
      </c>
      <c r="DF124" s="290">
        <v>2.0100000000000202</v>
      </c>
      <c r="DG124" s="59">
        <v>101</v>
      </c>
      <c r="DH124" s="292" t="str">
        <f t="shared" si="53"/>
        <v>---------</v>
      </c>
      <c r="DI124" s="7"/>
      <c r="DJ124" s="7"/>
      <c r="DK124" s="7"/>
      <c r="DL124" s="7"/>
      <c r="FG124" s="7">
        <v>101</v>
      </c>
      <c r="FH124" s="12">
        <v>10.1</v>
      </c>
      <c r="FR124" s="12"/>
      <c r="FS124" s="7">
        <v>101</v>
      </c>
      <c r="FT124" s="12">
        <v>40.1</v>
      </c>
    </row>
    <row r="125" spans="20:179">
      <c r="T125" s="7"/>
      <c r="W125" s="43" t="s">
        <v>948</v>
      </c>
      <c r="X125" s="43"/>
      <c r="Y125" s="77">
        <v>-7.0485337372399198E-6</v>
      </c>
      <c r="Z125" s="77">
        <v>3.2352881124652152E-4</v>
      </c>
      <c r="AA125" s="77">
        <v>-2.5640100382550671E-4</v>
      </c>
      <c r="AB125" s="77">
        <v>1.0945868383180951E-3</v>
      </c>
      <c r="AC125" s="77">
        <v>-3.2409504806343623E-2</v>
      </c>
      <c r="AD125" s="77">
        <v>1.6495018961906385E-2</v>
      </c>
      <c r="AE125" s="77">
        <v>-4.6423031157689823E-2</v>
      </c>
      <c r="AF125" s="77">
        <v>1.0163352245206314</v>
      </c>
      <c r="AG125" s="77">
        <v>1.8114222788139882</v>
      </c>
      <c r="AH125" s="7"/>
      <c r="AI125" s="7"/>
      <c r="AJ125" s="11"/>
      <c r="AK125" s="12"/>
      <c r="AL125" s="69"/>
      <c r="AM125" s="7"/>
      <c r="AN125" s="7"/>
      <c r="AO125" s="7"/>
      <c r="AP125" s="7"/>
      <c r="AQ125" s="7"/>
      <c r="AR125" s="7"/>
      <c r="AS125" s="7"/>
      <c r="AT125" s="7"/>
      <c r="AU125" s="7"/>
      <c r="AV125" s="7"/>
      <c r="AW125" s="7"/>
      <c r="AX125" s="7"/>
      <c r="AY125" s="7"/>
      <c r="AZ125" s="7"/>
      <c r="BA125" s="7"/>
      <c r="BB125" s="7"/>
      <c r="BC125" s="7"/>
      <c r="BD125" s="7"/>
      <c r="BE125" s="7"/>
      <c r="BF125" s="7"/>
      <c r="BG125" s="7"/>
      <c r="BH125" s="7"/>
      <c r="BI125" s="7"/>
      <c r="BJ125" s="7"/>
      <c r="BK125" s="7"/>
      <c r="BL125" s="7"/>
      <c r="BM125" s="7"/>
      <c r="BN125" s="7"/>
      <c r="BO125" s="7"/>
      <c r="BP125" s="7"/>
      <c r="BQ125" s="7"/>
      <c r="BR125" s="7"/>
      <c r="BS125" s="7"/>
      <c r="BT125" s="7"/>
      <c r="BU125" s="7"/>
      <c r="BV125" s="7"/>
      <c r="BW125" s="7"/>
      <c r="BX125" s="7"/>
      <c r="BY125" s="7"/>
      <c r="BZ125" s="7"/>
      <c r="CA125" s="7"/>
      <c r="CB125" s="7"/>
      <c r="CC125" s="7"/>
      <c r="CD125" s="7"/>
      <c r="CE125" s="7"/>
      <c r="CF125" s="7"/>
      <c r="CG125" s="7"/>
      <c r="CH125" s="7"/>
      <c r="CI125" s="7"/>
      <c r="CJ125" s="7"/>
      <c r="CK125" s="7"/>
      <c r="CL125" s="7"/>
      <c r="CM125" s="7"/>
      <c r="CN125" s="7"/>
      <c r="CO125" s="7"/>
      <c r="CP125" s="7"/>
      <c r="CS125" s="7"/>
      <c r="CT125" s="106">
        <v>15</v>
      </c>
      <c r="CU125" s="12" t="s">
        <v>391</v>
      </c>
      <c r="CV125" s="276" t="str">
        <f t="shared" si="49"/>
        <v>---------</v>
      </c>
      <c r="CW125" s="290">
        <v>2.00000000000002</v>
      </c>
      <c r="CX125" s="59">
        <v>102</v>
      </c>
      <c r="CY125" s="292" t="str">
        <f t="shared" si="50"/>
        <v>---------</v>
      </c>
      <c r="CZ125" s="7"/>
      <c r="DA125" s="7"/>
      <c r="DB125" s="7"/>
      <c r="DC125" s="106">
        <v>15</v>
      </c>
      <c r="DD125" s="12" t="s">
        <v>391</v>
      </c>
      <c r="DE125" s="276" t="str">
        <f t="shared" si="52"/>
        <v>---------</v>
      </c>
      <c r="DF125" s="290">
        <v>2.00000000000002</v>
      </c>
      <c r="DG125" s="59">
        <v>102</v>
      </c>
      <c r="DH125" s="292" t="str">
        <f t="shared" si="53"/>
        <v>---------</v>
      </c>
      <c r="DI125" s="7"/>
      <c r="DJ125" s="7"/>
      <c r="DK125" s="7"/>
      <c r="DL125" s="7"/>
      <c r="FG125" s="7">
        <v>102</v>
      </c>
      <c r="FH125" s="12">
        <v>10</v>
      </c>
      <c r="FR125" s="12"/>
      <c r="FS125" s="7">
        <v>102</v>
      </c>
      <c r="FT125" s="12">
        <v>40</v>
      </c>
    </row>
    <row r="126" spans="20:179">
      <c r="T126" s="7"/>
      <c r="W126" s="43" t="s">
        <v>949</v>
      </c>
      <c r="X126" s="43"/>
      <c r="Y126" s="77">
        <v>-7.3663482320892355E-6</v>
      </c>
      <c r="Z126" s="77">
        <v>3.2326514108615051E-4</v>
      </c>
      <c r="AA126" s="77">
        <v>-2.3422654402493765E-4</v>
      </c>
      <c r="AB126" s="77">
        <v>1.1120424380609943E-3</v>
      </c>
      <c r="AC126" s="77">
        <v>-3.2185074982159542E-2</v>
      </c>
      <c r="AD126" s="77">
        <v>1.4430872117652862E-2</v>
      </c>
      <c r="AE126" s="77">
        <v>-4.5976505066482112E-2</v>
      </c>
      <c r="AF126" s="77">
        <v>0.9999222391159196</v>
      </c>
      <c r="AG126" s="77">
        <v>1.8260425991869047</v>
      </c>
      <c r="AH126" s="7"/>
      <c r="AI126" s="7"/>
      <c r="AJ126" s="11"/>
      <c r="AK126" s="12"/>
      <c r="AL126" s="69"/>
      <c r="AM126" s="7"/>
      <c r="AN126" s="7"/>
      <c r="AO126" s="7"/>
      <c r="AP126" s="7"/>
      <c r="AQ126" s="7"/>
      <c r="AR126" s="7"/>
      <c r="AS126" s="7"/>
      <c r="AT126" s="7"/>
      <c r="AU126" s="7"/>
      <c r="AV126" s="7"/>
      <c r="AW126" s="7"/>
      <c r="AX126" s="7"/>
      <c r="AY126" s="7"/>
      <c r="AZ126" s="7"/>
      <c r="BA126" s="7"/>
      <c r="BB126" s="7"/>
      <c r="BC126" s="7"/>
      <c r="BD126" s="7"/>
      <c r="BE126" s="7"/>
      <c r="BF126" s="7"/>
      <c r="BG126" s="7"/>
      <c r="BH126" s="7"/>
      <c r="BI126" s="7"/>
      <c r="BJ126" s="7"/>
      <c r="BK126" s="7"/>
      <c r="BL126" s="7"/>
      <c r="BM126" s="7"/>
      <c r="BN126" s="7"/>
      <c r="BO126" s="7"/>
      <c r="BP126" s="7"/>
      <c r="BQ126" s="7"/>
      <c r="BR126" s="7"/>
      <c r="BS126" s="7"/>
      <c r="BT126" s="7"/>
      <c r="BU126" s="7"/>
      <c r="BV126" s="7"/>
      <c r="BW126" s="7"/>
      <c r="BX126" s="7"/>
      <c r="BY126" s="7"/>
      <c r="BZ126" s="7"/>
      <c r="CA126" s="7"/>
      <c r="CB126" s="7"/>
      <c r="CC126" s="7"/>
      <c r="CD126" s="7"/>
      <c r="CE126" s="7"/>
      <c r="CF126" s="7"/>
      <c r="CG126" s="7"/>
      <c r="CH126" s="7"/>
      <c r="CI126" s="7"/>
      <c r="CJ126" s="7"/>
      <c r="CK126" s="7"/>
      <c r="CL126" s="7"/>
      <c r="CM126" s="7"/>
      <c r="CN126" s="7"/>
      <c r="CO126" s="7"/>
      <c r="CP126" s="7"/>
      <c r="CS126" s="7"/>
      <c r="CT126" s="106">
        <v>14.9</v>
      </c>
      <c r="CU126" s="12" t="s">
        <v>392</v>
      </c>
      <c r="CV126" s="276" t="str">
        <f t="shared" si="49"/>
        <v>---------</v>
      </c>
      <c r="CW126" s="290">
        <v>1.99000000000002</v>
      </c>
      <c r="CX126" s="59">
        <v>103</v>
      </c>
      <c r="CY126" s="292" t="str">
        <f t="shared" si="50"/>
        <v>---------</v>
      </c>
      <c r="CZ126" s="7"/>
      <c r="DA126" s="7"/>
      <c r="DB126" s="7"/>
      <c r="DC126" s="106">
        <v>14.9</v>
      </c>
      <c r="DD126" s="12" t="s">
        <v>392</v>
      </c>
      <c r="DE126" s="276" t="str">
        <f t="shared" si="52"/>
        <v>---------</v>
      </c>
      <c r="DF126" s="290">
        <v>1.99000000000002</v>
      </c>
      <c r="DG126" s="59">
        <v>103</v>
      </c>
      <c r="DH126" s="292" t="str">
        <f t="shared" si="53"/>
        <v>---------</v>
      </c>
      <c r="DI126" s="7"/>
      <c r="DJ126" s="7"/>
      <c r="DK126" s="7"/>
      <c r="DL126" s="7"/>
      <c r="FG126" s="7">
        <v>103</v>
      </c>
      <c r="FH126" s="12">
        <v>9.9</v>
      </c>
      <c r="FR126" s="12"/>
      <c r="FS126" s="7">
        <v>103</v>
      </c>
      <c r="FT126" s="12">
        <v>39.9</v>
      </c>
    </row>
    <row r="127" spans="20:179">
      <c r="T127" s="7"/>
      <c r="W127" s="7"/>
      <c r="X127" s="43"/>
      <c r="Y127" s="7"/>
      <c r="Z127" s="7"/>
      <c r="AA127" s="7"/>
      <c r="AB127" s="7"/>
      <c r="AC127" s="7"/>
      <c r="AD127" s="7"/>
      <c r="AE127" s="7"/>
      <c r="AF127" s="7"/>
      <c r="AG127" s="7"/>
      <c r="AH127" s="7"/>
      <c r="AI127" s="7"/>
      <c r="AJ127" s="11"/>
      <c r="AK127" s="12"/>
      <c r="AL127" s="69"/>
      <c r="AM127" s="7"/>
      <c r="AN127" s="7"/>
      <c r="AO127" s="7"/>
      <c r="AP127" s="7"/>
      <c r="AQ127" s="7"/>
      <c r="AR127" s="7"/>
      <c r="AS127" s="7"/>
      <c r="AT127" s="7"/>
      <c r="AU127" s="7"/>
      <c r="AV127" s="7"/>
      <c r="AW127" s="7"/>
      <c r="AX127" s="7"/>
      <c r="AY127" s="7"/>
      <c r="AZ127" s="7"/>
      <c r="BA127" s="7"/>
      <c r="BB127" s="7"/>
      <c r="BC127" s="7"/>
      <c r="BD127" s="7"/>
      <c r="BE127" s="7"/>
      <c r="BF127" s="7"/>
      <c r="BG127" s="7"/>
      <c r="BH127" s="7"/>
      <c r="BI127" s="7"/>
      <c r="BJ127" s="7"/>
      <c r="BK127" s="7"/>
      <c r="BL127" s="7"/>
      <c r="BM127" s="7"/>
      <c r="BN127" s="7"/>
      <c r="BO127" s="7"/>
      <c r="BP127" s="7"/>
      <c r="BQ127" s="7"/>
      <c r="BR127" s="7"/>
      <c r="BS127" s="7"/>
      <c r="BT127" s="7"/>
      <c r="BU127" s="7"/>
      <c r="BV127" s="7"/>
      <c r="BW127" s="7"/>
      <c r="BX127" s="7"/>
      <c r="BY127" s="7"/>
      <c r="BZ127" s="7"/>
      <c r="CA127" s="7"/>
      <c r="CB127" s="7"/>
      <c r="CC127" s="7"/>
      <c r="CD127" s="7"/>
      <c r="CE127" s="7"/>
      <c r="CF127" s="7"/>
      <c r="CG127" s="7"/>
      <c r="CH127" s="7"/>
      <c r="CI127" s="7"/>
      <c r="CJ127" s="7"/>
      <c r="CK127" s="7"/>
      <c r="CL127" s="7"/>
      <c r="CM127" s="7"/>
      <c r="CN127" s="7"/>
      <c r="CO127" s="7"/>
      <c r="CP127" s="7"/>
      <c r="CS127" s="7"/>
      <c r="CT127" s="106">
        <v>14.8</v>
      </c>
      <c r="CU127" s="12" t="s">
        <v>393</v>
      </c>
      <c r="CV127" s="276" t="str">
        <f t="shared" si="49"/>
        <v>---------</v>
      </c>
      <c r="CW127" s="290">
        <v>1.98000000000002</v>
      </c>
      <c r="CX127" s="59">
        <v>104</v>
      </c>
      <c r="CY127" s="292" t="str">
        <f t="shared" si="50"/>
        <v>---------</v>
      </c>
      <c r="CZ127" s="7"/>
      <c r="DA127" s="7"/>
      <c r="DB127" s="7"/>
      <c r="DC127" s="106">
        <v>14.8</v>
      </c>
      <c r="DD127" s="12" t="s">
        <v>393</v>
      </c>
      <c r="DE127" s="276" t="str">
        <f t="shared" si="52"/>
        <v>---------</v>
      </c>
      <c r="DF127" s="290">
        <v>1.98000000000002</v>
      </c>
      <c r="DG127" s="59">
        <v>104</v>
      </c>
      <c r="DH127" s="292" t="str">
        <f t="shared" si="53"/>
        <v>---------</v>
      </c>
      <c r="DI127" s="7"/>
      <c r="DJ127" s="7"/>
      <c r="DK127" s="7"/>
      <c r="DL127" s="7"/>
      <c r="FG127" s="7">
        <v>104</v>
      </c>
      <c r="FH127" s="12">
        <v>9.8000000000000007</v>
      </c>
      <c r="FR127" s="12"/>
      <c r="FS127" s="7">
        <v>104</v>
      </c>
      <c r="FT127" s="12">
        <v>39.799999999999997</v>
      </c>
    </row>
    <row r="128" spans="20:179">
      <c r="T128" s="7"/>
      <c r="W128" s="7"/>
      <c r="X128" s="43"/>
      <c r="Y128" s="77">
        <v>-1.3038009861135952E-5</v>
      </c>
      <c r="Z128" s="77">
        <v>3.3437721078365769E-4</v>
      </c>
      <c r="AA128" s="77">
        <v>-1.9830939203465059E-4</v>
      </c>
      <c r="AB128" s="77">
        <v>1.9596896626860988E-3</v>
      </c>
      <c r="AC128" s="77">
        <v>-3.2970455094114115E-2</v>
      </c>
      <c r="AD128" s="77">
        <v>1.411386607694648E-2</v>
      </c>
      <c r="AE128" s="77">
        <v>-8.1113605050812596E-2</v>
      </c>
      <c r="AF128" s="77">
        <v>0.98439362772141104</v>
      </c>
      <c r="AG128" s="77">
        <v>0.54433604002001801</v>
      </c>
      <c r="AH128" s="7"/>
      <c r="AI128" s="7"/>
      <c r="AJ128" s="11"/>
      <c r="AK128" s="12"/>
      <c r="AL128" s="69"/>
      <c r="AM128" s="7"/>
      <c r="AN128" s="7"/>
      <c r="AO128" s="7"/>
      <c r="AP128" s="7"/>
      <c r="AQ128" s="7"/>
      <c r="AR128" s="7"/>
      <c r="AS128" s="7"/>
      <c r="AT128" s="7"/>
      <c r="AU128" s="7"/>
      <c r="AV128" s="7"/>
      <c r="AW128" s="7"/>
      <c r="AX128" s="7"/>
      <c r="AY128" s="7"/>
      <c r="AZ128" s="7"/>
      <c r="BA128" s="7"/>
      <c r="BB128" s="7"/>
      <c r="BC128" s="7"/>
      <c r="BD128" s="7"/>
      <c r="BE128" s="7"/>
      <c r="BF128" s="7"/>
      <c r="BG128" s="7"/>
      <c r="BH128" s="7"/>
      <c r="BI128" s="7"/>
      <c r="BJ128" s="7"/>
      <c r="BK128" s="7"/>
      <c r="BL128" s="7"/>
      <c r="BM128" s="7"/>
      <c r="BN128" s="7"/>
      <c r="BO128" s="7"/>
      <c r="BP128" s="7"/>
      <c r="BQ128" s="7"/>
      <c r="BR128" s="7"/>
      <c r="BS128" s="7"/>
      <c r="BT128" s="7"/>
      <c r="BU128" s="7"/>
      <c r="BV128" s="7"/>
      <c r="BW128" s="7"/>
      <c r="BX128" s="7"/>
      <c r="BY128" s="7"/>
      <c r="BZ128" s="7"/>
      <c r="CA128" s="7"/>
      <c r="CB128" s="7"/>
      <c r="CC128" s="7"/>
      <c r="CD128" s="7"/>
      <c r="CE128" s="7"/>
      <c r="CF128" s="7"/>
      <c r="CG128" s="7"/>
      <c r="CH128" s="7"/>
      <c r="CI128" s="7"/>
      <c r="CJ128" s="7"/>
      <c r="CK128" s="7"/>
      <c r="CL128" s="7"/>
      <c r="CM128" s="7"/>
      <c r="CN128" s="7"/>
      <c r="CO128" s="7"/>
      <c r="CP128" s="7"/>
      <c r="CS128" s="7"/>
      <c r="CT128" s="106">
        <v>14.7</v>
      </c>
      <c r="CU128" s="12" t="s">
        <v>394</v>
      </c>
      <c r="CV128" s="276" t="str">
        <f t="shared" si="49"/>
        <v>---------</v>
      </c>
      <c r="CW128" s="290">
        <v>1.97000000000002</v>
      </c>
      <c r="CX128" s="59">
        <v>105</v>
      </c>
      <c r="CY128" s="292" t="str">
        <f t="shared" si="50"/>
        <v>---------</v>
      </c>
      <c r="CZ128" s="7"/>
      <c r="DA128" s="7"/>
      <c r="DB128" s="7"/>
      <c r="DC128" s="106">
        <v>14.7</v>
      </c>
      <c r="DD128" s="12" t="s">
        <v>394</v>
      </c>
      <c r="DE128" s="276" t="str">
        <f t="shared" si="52"/>
        <v>---------</v>
      </c>
      <c r="DF128" s="290">
        <v>1.97000000000002</v>
      </c>
      <c r="DG128" s="59">
        <v>105</v>
      </c>
      <c r="DH128" s="292" t="str">
        <f t="shared" si="53"/>
        <v>---------</v>
      </c>
      <c r="DI128" s="7"/>
      <c r="DJ128" s="7"/>
      <c r="DK128" s="7"/>
      <c r="DL128" s="7"/>
      <c r="FG128" s="7">
        <v>105</v>
      </c>
      <c r="FH128" s="12">
        <v>9.6999999999999993</v>
      </c>
      <c r="FR128" s="12"/>
      <c r="FS128" s="7">
        <v>105</v>
      </c>
      <c r="FT128" s="12">
        <v>39.700000000000003</v>
      </c>
    </row>
    <row r="129" spans="20:176">
      <c r="T129" s="7"/>
      <c r="W129" s="7"/>
      <c r="X129" s="43"/>
      <c r="Y129" s="77">
        <v>2.8959859507009845E-6</v>
      </c>
      <c r="Z129" s="77">
        <v>2.7154515531065267E-4</v>
      </c>
      <c r="AA129" s="77">
        <v>-2.0537847467693457E-4</v>
      </c>
      <c r="AB129" s="77">
        <v>8.6878858506323191E-4</v>
      </c>
      <c r="AC129" s="77">
        <v>-3.082683234999653E-2</v>
      </c>
      <c r="AD129" s="77">
        <v>1.6306297605239994E-2</v>
      </c>
      <c r="AE129" s="77">
        <v>-7.2983523130256869E-2</v>
      </c>
      <c r="AF129" s="77">
        <v>1.1469053375186564</v>
      </c>
      <c r="AG129" s="77">
        <v>1.2620524011003038</v>
      </c>
      <c r="AH129" s="7"/>
      <c r="AI129" s="7"/>
      <c r="AJ129" s="11"/>
      <c r="AK129" s="12"/>
      <c r="AL129" s="69"/>
      <c r="AM129" s="7"/>
      <c r="AN129" s="7"/>
      <c r="AO129" s="7"/>
      <c r="AP129" s="7"/>
      <c r="AQ129" s="7"/>
      <c r="AR129" s="7"/>
      <c r="AS129" s="7"/>
      <c r="AT129" s="7"/>
      <c r="AU129" s="7"/>
      <c r="AV129" s="7"/>
      <c r="AW129" s="7"/>
      <c r="AX129" s="7"/>
      <c r="AY129" s="7"/>
      <c r="AZ129" s="7"/>
      <c r="BA129" s="7"/>
      <c r="BB129" s="7"/>
      <c r="BC129" s="7"/>
      <c r="BD129" s="7"/>
      <c r="BE129" s="7"/>
      <c r="BF129" s="7"/>
      <c r="BG129" s="7"/>
      <c r="BH129" s="7"/>
      <c r="BI129" s="7"/>
      <c r="BJ129" s="7"/>
      <c r="BK129" s="7"/>
      <c r="BL129" s="7"/>
      <c r="BM129" s="7"/>
      <c r="BN129" s="7"/>
      <c r="BO129" s="7"/>
      <c r="BP129" s="7"/>
      <c r="BQ129" s="7"/>
      <c r="BR129" s="7"/>
      <c r="BS129" s="7"/>
      <c r="BT129" s="7"/>
      <c r="BU129" s="7"/>
      <c r="BV129" s="7"/>
      <c r="BW129" s="7"/>
      <c r="BX129" s="7"/>
      <c r="BY129" s="7"/>
      <c r="BZ129" s="7"/>
      <c r="CA129" s="7"/>
      <c r="CB129" s="7"/>
      <c r="CC129" s="7"/>
      <c r="CD129" s="7"/>
      <c r="CE129" s="7"/>
      <c r="CF129" s="7"/>
      <c r="CG129" s="7"/>
      <c r="CH129" s="7"/>
      <c r="CI129" s="7"/>
      <c r="CJ129" s="7"/>
      <c r="CK129" s="7"/>
      <c r="CL129" s="7"/>
      <c r="CM129" s="7"/>
      <c r="CN129" s="7"/>
      <c r="CO129" s="7"/>
      <c r="CP129" s="7"/>
      <c r="CS129" s="7"/>
      <c r="CT129" s="106">
        <v>14.6</v>
      </c>
      <c r="CU129" s="12" t="s">
        <v>395</v>
      </c>
      <c r="CV129" s="276" t="str">
        <f t="shared" si="49"/>
        <v>---------</v>
      </c>
      <c r="CW129" s="290">
        <v>1.9600000000000199</v>
      </c>
      <c r="CX129" s="59">
        <v>106</v>
      </c>
      <c r="CY129" s="292" t="str">
        <f t="shared" si="50"/>
        <v>---------</v>
      </c>
      <c r="CZ129" s="7"/>
      <c r="DA129" s="7"/>
      <c r="DB129" s="7"/>
      <c r="DC129" s="106">
        <v>14.6</v>
      </c>
      <c r="DD129" s="12" t="s">
        <v>395</v>
      </c>
      <c r="DE129" s="276" t="str">
        <f t="shared" si="52"/>
        <v>---------</v>
      </c>
      <c r="DF129" s="290">
        <v>1.9600000000000199</v>
      </c>
      <c r="DG129" s="59">
        <v>106</v>
      </c>
      <c r="DH129" s="292" t="str">
        <f t="shared" si="53"/>
        <v>---------</v>
      </c>
      <c r="DI129" s="7"/>
      <c r="DJ129" s="7"/>
      <c r="DK129" s="7"/>
      <c r="DL129" s="7"/>
      <c r="FG129" s="7">
        <v>106</v>
      </c>
      <c r="FH129" s="12">
        <v>9.6</v>
      </c>
      <c r="FR129" s="12"/>
      <c r="FS129" s="7">
        <v>106</v>
      </c>
      <c r="FT129" s="12">
        <v>39.6</v>
      </c>
    </row>
    <row r="130" spans="20:176">
      <c r="T130" s="7"/>
      <c r="W130" s="7"/>
      <c r="X130" s="43"/>
      <c r="Y130" s="77">
        <v>5.5636855065777243E-6</v>
      </c>
      <c r="Z130" s="77">
        <v>2.5582231247352102E-4</v>
      </c>
      <c r="AA130" s="77">
        <v>-1.9004202207709454E-4</v>
      </c>
      <c r="AB130" s="77">
        <v>6.8608915430903156E-4</v>
      </c>
      <c r="AC130" s="77">
        <v>-2.9977565240438063E-2</v>
      </c>
      <c r="AD130" s="77">
        <v>1.5353922797588255E-2</v>
      </c>
      <c r="AE130" s="77">
        <v>-6.9931768555390669E-2</v>
      </c>
      <c r="AF130" s="77">
        <v>1.1440810077319474</v>
      </c>
      <c r="AG130" s="77">
        <v>1.465419963475862</v>
      </c>
      <c r="AH130" s="7"/>
      <c r="AI130" s="7"/>
      <c r="AJ130" s="11"/>
      <c r="AK130" s="12"/>
      <c r="AL130" s="69"/>
      <c r="AM130" s="7"/>
      <c r="AN130" s="7"/>
      <c r="AO130" s="7"/>
      <c r="AP130" s="7"/>
      <c r="AQ130" s="7"/>
      <c r="AR130" s="7"/>
      <c r="AS130" s="7"/>
      <c r="AT130" s="7"/>
      <c r="AU130" s="7"/>
      <c r="AV130" s="7"/>
      <c r="AW130" s="7"/>
      <c r="AX130" s="7"/>
      <c r="AY130" s="7"/>
      <c r="AZ130" s="7"/>
      <c r="BA130" s="7"/>
      <c r="BB130" s="7"/>
      <c r="BC130" s="7"/>
      <c r="BD130" s="7"/>
      <c r="BE130" s="7"/>
      <c r="BF130" s="7"/>
      <c r="BG130" s="7"/>
      <c r="BH130" s="7"/>
      <c r="BI130" s="7"/>
      <c r="BJ130" s="7"/>
      <c r="BK130" s="7"/>
      <c r="BL130" s="7"/>
      <c r="BM130" s="7"/>
      <c r="BN130" s="7"/>
      <c r="BO130" s="7"/>
      <c r="BP130" s="7"/>
      <c r="BQ130" s="7"/>
      <c r="BR130" s="7"/>
      <c r="BS130" s="7"/>
      <c r="BT130" s="7"/>
      <c r="BU130" s="7"/>
      <c r="BV130" s="7"/>
      <c r="BW130" s="7"/>
      <c r="BX130" s="7"/>
      <c r="BY130" s="7"/>
      <c r="BZ130" s="7"/>
      <c r="CA130" s="7"/>
      <c r="CB130" s="7"/>
      <c r="CC130" s="7"/>
      <c r="CD130" s="7"/>
      <c r="CE130" s="7"/>
      <c r="CF130" s="7"/>
      <c r="CG130" s="7"/>
      <c r="CH130" s="7"/>
      <c r="CI130" s="7"/>
      <c r="CJ130" s="7"/>
      <c r="CK130" s="7"/>
      <c r="CL130" s="7"/>
      <c r="CM130" s="7"/>
      <c r="CN130" s="7"/>
      <c r="CO130" s="7"/>
      <c r="CP130" s="7"/>
      <c r="CS130" s="7"/>
      <c r="CT130" s="106">
        <v>14.5</v>
      </c>
      <c r="CU130" s="12" t="s">
        <v>396</v>
      </c>
      <c r="CV130" s="276" t="str">
        <f t="shared" si="49"/>
        <v>---------</v>
      </c>
      <c r="CW130" s="290">
        <v>1.9500000000000199</v>
      </c>
      <c r="CX130" s="59">
        <v>107</v>
      </c>
      <c r="CY130" s="292" t="str">
        <f t="shared" si="50"/>
        <v>---------</v>
      </c>
      <c r="CZ130" s="7"/>
      <c r="DA130" s="7"/>
      <c r="DB130" s="7"/>
      <c r="DC130" s="106">
        <v>14.5</v>
      </c>
      <c r="DD130" s="12" t="s">
        <v>396</v>
      </c>
      <c r="DE130" s="276" t="str">
        <f t="shared" si="52"/>
        <v>---------</v>
      </c>
      <c r="DF130" s="290">
        <v>1.9500000000000199</v>
      </c>
      <c r="DG130" s="59">
        <v>107</v>
      </c>
      <c r="DH130" s="292" t="str">
        <f t="shared" si="53"/>
        <v>---------</v>
      </c>
      <c r="DI130" s="7"/>
      <c r="DJ130" s="7"/>
      <c r="DK130" s="7"/>
      <c r="DL130" s="7"/>
      <c r="FG130" s="7">
        <v>107</v>
      </c>
      <c r="FH130" s="12">
        <v>9.5</v>
      </c>
      <c r="FR130" s="12"/>
      <c r="FS130" s="7">
        <v>107</v>
      </c>
      <c r="FT130" s="12">
        <v>39.5</v>
      </c>
    </row>
    <row r="131" spans="20:176">
      <c r="T131" s="7"/>
      <c r="W131" s="7"/>
      <c r="X131" s="43"/>
      <c r="Y131" s="7"/>
      <c r="Z131" s="7"/>
      <c r="AA131" s="7"/>
      <c r="AB131" s="7"/>
      <c r="AC131" s="7"/>
      <c r="AD131" s="7"/>
      <c r="AE131" s="7"/>
      <c r="AF131" s="7"/>
      <c r="AG131" s="7"/>
      <c r="AH131" s="7"/>
      <c r="AI131" s="7"/>
      <c r="AJ131" s="11"/>
      <c r="AK131" s="12"/>
      <c r="AL131" s="69"/>
      <c r="AM131" s="7"/>
      <c r="AN131" s="7"/>
      <c r="AO131" s="7"/>
      <c r="AP131" s="7"/>
      <c r="AQ131" s="7"/>
      <c r="AR131" s="7"/>
      <c r="AS131" s="7"/>
      <c r="AT131" s="7"/>
      <c r="AU131" s="7"/>
      <c r="AV131" s="7"/>
      <c r="AW131" s="7"/>
      <c r="AX131" s="7"/>
      <c r="AY131" s="7"/>
      <c r="AZ131" s="7"/>
      <c r="BA131" s="7"/>
      <c r="BB131" s="7"/>
      <c r="BC131" s="7"/>
      <c r="BD131" s="7"/>
      <c r="BE131" s="7"/>
      <c r="BF131" s="7"/>
      <c r="BG131" s="7"/>
      <c r="BH131" s="7"/>
      <c r="BI131" s="7"/>
      <c r="BJ131" s="7"/>
      <c r="BK131" s="7"/>
      <c r="BL131" s="7"/>
      <c r="BM131" s="7"/>
      <c r="BN131" s="7"/>
      <c r="BO131" s="7"/>
      <c r="BP131" s="7"/>
      <c r="BQ131" s="7"/>
      <c r="BR131" s="7"/>
      <c r="BS131" s="7"/>
      <c r="BT131" s="7"/>
      <c r="BU131" s="7"/>
      <c r="BV131" s="7"/>
      <c r="BW131" s="7"/>
      <c r="BX131" s="7"/>
      <c r="BY131" s="7"/>
      <c r="BZ131" s="7"/>
      <c r="CA131" s="7"/>
      <c r="CB131" s="7"/>
      <c r="CC131" s="7"/>
      <c r="CD131" s="7"/>
      <c r="CE131" s="7"/>
      <c r="CF131" s="7"/>
      <c r="CG131" s="7"/>
      <c r="CH131" s="7"/>
      <c r="CI131" s="7"/>
      <c r="CJ131" s="7"/>
      <c r="CK131" s="7"/>
      <c r="CL131" s="7"/>
      <c r="CM131" s="7"/>
      <c r="CN131" s="7"/>
      <c r="CO131" s="7"/>
      <c r="CP131" s="7"/>
      <c r="CS131" s="7"/>
      <c r="CT131" s="106">
        <v>14.4</v>
      </c>
      <c r="CU131" s="12" t="s">
        <v>397</v>
      </c>
      <c r="CV131" s="276" t="str">
        <f t="shared" si="49"/>
        <v>---------</v>
      </c>
      <c r="CW131" s="290">
        <v>1.9400000000000199</v>
      </c>
      <c r="CX131" s="59">
        <v>108</v>
      </c>
      <c r="CY131" s="292" t="str">
        <f t="shared" si="50"/>
        <v>---------</v>
      </c>
      <c r="CZ131" s="7"/>
      <c r="DA131" s="7"/>
      <c r="DB131" s="7"/>
      <c r="DC131" s="106">
        <v>14.4</v>
      </c>
      <c r="DD131" s="12" t="s">
        <v>397</v>
      </c>
      <c r="DE131" s="276" t="str">
        <f t="shared" si="52"/>
        <v>---------</v>
      </c>
      <c r="DF131" s="290">
        <v>1.9400000000000199</v>
      </c>
      <c r="DG131" s="59">
        <v>108</v>
      </c>
      <c r="DH131" s="292" t="str">
        <f t="shared" si="53"/>
        <v>---------</v>
      </c>
      <c r="DI131" s="7"/>
      <c r="DJ131" s="7"/>
      <c r="DK131" s="7"/>
      <c r="DL131" s="7"/>
      <c r="FG131" s="7">
        <v>108</v>
      </c>
      <c r="FH131" s="12">
        <v>9.4</v>
      </c>
      <c r="FR131" s="12"/>
      <c r="FS131" s="7">
        <v>108</v>
      </c>
      <c r="FT131" s="12">
        <v>39.4</v>
      </c>
    </row>
    <row r="132" spans="20:176">
      <c r="T132" s="7"/>
      <c r="W132" s="7"/>
      <c r="X132" s="43"/>
      <c r="Y132" s="77">
        <v>-1.5249846580281679E-5</v>
      </c>
      <c r="Z132" s="77">
        <v>3.5759743003606451E-4</v>
      </c>
      <c r="AA132" s="77">
        <v>-2.7800882899559195E-4</v>
      </c>
      <c r="AB132" s="77">
        <v>1.6431858950175045E-3</v>
      </c>
      <c r="AC132" s="77">
        <v>-3.2559547550758794E-2</v>
      </c>
      <c r="AD132" s="77">
        <v>1.7181515264078698E-2</v>
      </c>
      <c r="AE132" s="77">
        <v>-5.2815463952721471E-2</v>
      </c>
      <c r="AF132" s="77">
        <v>0.87780964487349045</v>
      </c>
      <c r="AG132" s="77">
        <v>0.72412693198140499</v>
      </c>
      <c r="AH132" s="7"/>
      <c r="AI132" s="7"/>
      <c r="AJ132" s="11"/>
      <c r="AK132" s="12"/>
      <c r="AL132" s="69"/>
      <c r="AM132" s="7"/>
      <c r="AN132" s="7"/>
      <c r="AO132" s="7"/>
      <c r="AP132" s="7"/>
      <c r="AQ132" s="7"/>
      <c r="AR132" s="7"/>
      <c r="AS132" s="7"/>
      <c r="AT132" s="7"/>
      <c r="AU132" s="7"/>
      <c r="AV132" s="7"/>
      <c r="AW132" s="7"/>
      <c r="AX132" s="7"/>
      <c r="AY132" s="7"/>
      <c r="AZ132" s="7"/>
      <c r="BA132" s="7"/>
      <c r="BB132" s="7"/>
      <c r="BC132" s="7"/>
      <c r="BD132" s="7"/>
      <c r="BE132" s="7"/>
      <c r="BF132" s="7"/>
      <c r="BG132" s="7"/>
      <c r="BH132" s="7"/>
      <c r="BI132" s="7"/>
      <c r="BJ132" s="7"/>
      <c r="BK132" s="7"/>
      <c r="BL132" s="7"/>
      <c r="BM132" s="7"/>
      <c r="BN132" s="7"/>
      <c r="BO132" s="7"/>
      <c r="BP132" s="7"/>
      <c r="BQ132" s="7"/>
      <c r="BR132" s="7"/>
      <c r="BS132" s="7"/>
      <c r="BT132" s="7"/>
      <c r="BU132" s="7"/>
      <c r="BV132" s="7"/>
      <c r="BW132" s="7"/>
      <c r="BX132" s="7"/>
      <c r="BY132" s="7"/>
      <c r="BZ132" s="7"/>
      <c r="CA132" s="7"/>
      <c r="CB132" s="7"/>
      <c r="CC132" s="7"/>
      <c r="CD132" s="7"/>
      <c r="CE132" s="7"/>
      <c r="CF132" s="7"/>
      <c r="CG132" s="7"/>
      <c r="CH132" s="7"/>
      <c r="CI132" s="7"/>
      <c r="CJ132" s="7"/>
      <c r="CK132" s="7"/>
      <c r="CL132" s="7"/>
      <c r="CM132" s="7"/>
      <c r="CN132" s="7"/>
      <c r="CO132" s="7"/>
      <c r="CP132" s="7"/>
      <c r="CS132" s="7"/>
      <c r="CT132" s="106">
        <v>14.3</v>
      </c>
      <c r="CU132" s="12" t="s">
        <v>398</v>
      </c>
      <c r="CV132" s="276" t="str">
        <f t="shared" si="49"/>
        <v>---------</v>
      </c>
      <c r="CW132" s="290">
        <v>1.9300000000000199</v>
      </c>
      <c r="CX132" s="59">
        <v>109</v>
      </c>
      <c r="CY132" s="292" t="str">
        <f t="shared" si="50"/>
        <v>---------</v>
      </c>
      <c r="CZ132" s="7"/>
      <c r="DA132" s="7"/>
      <c r="DB132" s="7"/>
      <c r="DC132" s="106">
        <v>14.3</v>
      </c>
      <c r="DD132" s="12" t="s">
        <v>398</v>
      </c>
      <c r="DE132" s="276" t="str">
        <f t="shared" si="52"/>
        <v>---------</v>
      </c>
      <c r="DF132" s="290">
        <v>1.9300000000000199</v>
      </c>
      <c r="DG132" s="59">
        <v>109</v>
      </c>
      <c r="DH132" s="292" t="str">
        <f t="shared" si="53"/>
        <v>---------</v>
      </c>
      <c r="DI132" s="7"/>
      <c r="DJ132" s="7"/>
      <c r="DK132" s="7"/>
      <c r="DL132" s="7"/>
      <c r="FG132" s="7">
        <v>109</v>
      </c>
      <c r="FH132" s="12">
        <v>9.3000000000000007</v>
      </c>
      <c r="FR132" s="12"/>
      <c r="FS132" s="7">
        <v>109</v>
      </c>
      <c r="FT132" s="12">
        <v>39.299999999999997</v>
      </c>
    </row>
    <row r="133" spans="20:176">
      <c r="T133" s="7"/>
      <c r="W133" s="7"/>
      <c r="X133" s="43"/>
      <c r="Y133" s="77">
        <v>-7.8697201170332632E-6</v>
      </c>
      <c r="Z133" s="77">
        <v>3.2862717880881667E-4</v>
      </c>
      <c r="AA133" s="77">
        <v>-3.1244587610049435E-4</v>
      </c>
      <c r="AB133" s="77">
        <v>1.2054193174232176E-3</v>
      </c>
      <c r="AC133" s="77">
        <v>-3.2901492125828477E-2</v>
      </c>
      <c r="AD133" s="77">
        <v>2.203948390313841E-2</v>
      </c>
      <c r="AE133" s="77">
        <v>-5.1574212280501665E-2</v>
      </c>
      <c r="AF133" s="77">
        <v>1.0375795708651756</v>
      </c>
      <c r="AG133" s="77">
        <v>1.3762127520074936</v>
      </c>
      <c r="AH133" s="7"/>
      <c r="AI133" s="7"/>
      <c r="AJ133" s="11"/>
      <c r="AK133" s="12"/>
      <c r="AL133" s="69"/>
      <c r="AM133" s="7"/>
      <c r="AN133" s="7"/>
      <c r="AO133" s="7"/>
      <c r="AP133" s="7"/>
      <c r="AQ133" s="7"/>
      <c r="AR133" s="7"/>
      <c r="AS133" s="7"/>
      <c r="AT133" s="7"/>
      <c r="AU133" s="7"/>
      <c r="AV133" s="7"/>
      <c r="AW133" s="7"/>
      <c r="AX133" s="7"/>
      <c r="AY133" s="7"/>
      <c r="AZ133" s="7"/>
      <c r="BA133" s="7"/>
      <c r="BB133" s="7"/>
      <c r="BC133" s="7"/>
      <c r="BD133" s="7"/>
      <c r="BE133" s="7"/>
      <c r="BF133" s="7"/>
      <c r="BG133" s="7"/>
      <c r="BH133" s="7"/>
      <c r="BI133" s="7"/>
      <c r="BJ133" s="7"/>
      <c r="BK133" s="7"/>
      <c r="BL133" s="7"/>
      <c r="BM133" s="7"/>
      <c r="BN133" s="7"/>
      <c r="BO133" s="7"/>
      <c r="BP133" s="7"/>
      <c r="BQ133" s="7"/>
      <c r="BR133" s="7"/>
      <c r="BS133" s="7"/>
      <c r="BT133" s="7"/>
      <c r="BU133" s="7"/>
      <c r="BV133" s="7"/>
      <c r="BW133" s="7"/>
      <c r="BX133" s="7"/>
      <c r="BY133" s="7"/>
      <c r="BZ133" s="7"/>
      <c r="CA133" s="7"/>
      <c r="CB133" s="7"/>
      <c r="CC133" s="7"/>
      <c r="CD133" s="7"/>
      <c r="CE133" s="7"/>
      <c r="CF133" s="7"/>
      <c r="CG133" s="7"/>
      <c r="CH133" s="7"/>
      <c r="CI133" s="7"/>
      <c r="CJ133" s="7"/>
      <c r="CK133" s="7"/>
      <c r="CL133" s="7"/>
      <c r="CM133" s="7"/>
      <c r="CN133" s="7"/>
      <c r="CO133" s="7"/>
      <c r="CP133" s="7"/>
      <c r="CS133" s="7"/>
      <c r="CT133" s="106">
        <v>14.2</v>
      </c>
      <c r="CU133" s="12" t="s">
        <v>399</v>
      </c>
      <c r="CV133" s="276" t="str">
        <f t="shared" si="49"/>
        <v>---------</v>
      </c>
      <c r="CW133" s="290">
        <v>1.9200000000000199</v>
      </c>
      <c r="CX133" s="59">
        <v>110</v>
      </c>
      <c r="CY133" s="292" t="str">
        <f t="shared" si="50"/>
        <v>---------</v>
      </c>
      <c r="CZ133" s="7"/>
      <c r="DA133" s="7"/>
      <c r="DB133" s="7"/>
      <c r="DC133" s="106">
        <v>14.2</v>
      </c>
      <c r="DD133" s="12" t="s">
        <v>399</v>
      </c>
      <c r="DE133" s="276" t="str">
        <f t="shared" si="52"/>
        <v>---------</v>
      </c>
      <c r="DF133" s="290">
        <v>1.9200000000000199</v>
      </c>
      <c r="DG133" s="59">
        <v>110</v>
      </c>
      <c r="DH133" s="292" t="str">
        <f t="shared" si="53"/>
        <v>---------</v>
      </c>
      <c r="DI133" s="7"/>
      <c r="DJ133" s="7"/>
      <c r="DK133" s="7"/>
      <c r="DL133" s="7"/>
      <c r="FG133" s="7">
        <v>110</v>
      </c>
      <c r="FH133" s="12">
        <v>9.1999999999999993</v>
      </c>
      <c r="FR133" s="12"/>
      <c r="FS133" s="7">
        <v>110</v>
      </c>
      <c r="FT133" s="12">
        <v>39.200000000000003</v>
      </c>
    </row>
    <row r="134" spans="20:176">
      <c r="T134" s="7"/>
      <c r="W134" s="7"/>
      <c r="X134" s="43"/>
      <c r="Y134" s="77">
        <v>-6.5653659457624638E-6</v>
      </c>
      <c r="Z134" s="77">
        <v>3.1864599262186236E-4</v>
      </c>
      <c r="AA134" s="77">
        <v>-2.9956305352787129E-4</v>
      </c>
      <c r="AB134" s="77">
        <v>1.1180664533385822E-3</v>
      </c>
      <c r="AC134" s="77">
        <v>-3.2443038338257839E-2</v>
      </c>
      <c r="AD134" s="77">
        <v>2.1341850755777582E-2</v>
      </c>
      <c r="AE134" s="77">
        <v>-5.0209727457680209E-2</v>
      </c>
      <c r="AF134" s="77">
        <v>1.0397233404989252</v>
      </c>
      <c r="AG134" s="77">
        <v>1.5718114525172919</v>
      </c>
      <c r="AH134" s="7"/>
      <c r="AI134" s="7"/>
      <c r="AJ134" s="11"/>
      <c r="AK134" s="12"/>
      <c r="AL134" s="69"/>
      <c r="AM134" s="7"/>
      <c r="AN134" s="7"/>
      <c r="AO134" s="7"/>
      <c r="AP134" s="7"/>
      <c r="AQ134" s="7"/>
      <c r="AR134" s="7"/>
      <c r="AS134" s="7"/>
      <c r="AT134" s="7"/>
      <c r="AU134" s="7"/>
      <c r="AV134" s="7"/>
      <c r="AW134" s="7"/>
      <c r="AX134" s="7"/>
      <c r="AY134" s="7"/>
      <c r="AZ134" s="7"/>
      <c r="BA134" s="7"/>
      <c r="BB134" s="7"/>
      <c r="BC134" s="7"/>
      <c r="BD134" s="7"/>
      <c r="BE134" s="7"/>
      <c r="BF134" s="7"/>
      <c r="BG134" s="7"/>
      <c r="BH134" s="7"/>
      <c r="BI134" s="7"/>
      <c r="BJ134" s="7"/>
      <c r="BK134" s="7"/>
      <c r="BL134" s="7"/>
      <c r="BM134" s="7"/>
      <c r="BN134" s="7"/>
      <c r="BO134" s="7"/>
      <c r="BP134" s="7"/>
      <c r="BQ134" s="7"/>
      <c r="BR134" s="7"/>
      <c r="BS134" s="7"/>
      <c r="BT134" s="7"/>
      <c r="BU134" s="7"/>
      <c r="BV134" s="7"/>
      <c r="BW134" s="7"/>
      <c r="BX134" s="7"/>
      <c r="BY134" s="7"/>
      <c r="BZ134" s="7"/>
      <c r="CA134" s="7"/>
      <c r="CB134" s="7"/>
      <c r="CC134" s="7"/>
      <c r="CD134" s="7"/>
      <c r="CE134" s="7"/>
      <c r="CF134" s="7"/>
      <c r="CG134" s="7"/>
      <c r="CH134" s="7"/>
      <c r="CI134" s="7"/>
      <c r="CJ134" s="7"/>
      <c r="CK134" s="7"/>
      <c r="CL134" s="7"/>
      <c r="CM134" s="7"/>
      <c r="CN134" s="7"/>
      <c r="CO134" s="7"/>
      <c r="CP134" s="7"/>
      <c r="CS134" s="7"/>
      <c r="CT134" s="106">
        <v>14.1</v>
      </c>
      <c r="CU134" s="12" t="s">
        <v>400</v>
      </c>
      <c r="CV134" s="276" t="str">
        <f t="shared" si="49"/>
        <v>---------</v>
      </c>
      <c r="CW134" s="290">
        <v>1.9100000000000199</v>
      </c>
      <c r="CX134" s="59">
        <v>111</v>
      </c>
      <c r="CY134" s="292" t="str">
        <f t="shared" si="50"/>
        <v>---------</v>
      </c>
      <c r="CZ134" s="7"/>
      <c r="DA134" s="7"/>
      <c r="DB134" s="7"/>
      <c r="DC134" s="106">
        <v>14.1</v>
      </c>
      <c r="DD134" s="12" t="s">
        <v>400</v>
      </c>
      <c r="DE134" s="276" t="str">
        <f t="shared" si="52"/>
        <v>---------</v>
      </c>
      <c r="DF134" s="290">
        <v>1.9100000000000199</v>
      </c>
      <c r="DG134" s="59">
        <v>111</v>
      </c>
      <c r="DH134" s="292" t="str">
        <f t="shared" si="53"/>
        <v>---------</v>
      </c>
      <c r="DI134" s="7"/>
      <c r="DJ134" s="7"/>
      <c r="DK134" s="7"/>
      <c r="DL134" s="7"/>
      <c r="FG134" s="7">
        <v>111</v>
      </c>
      <c r="FH134" s="12">
        <v>9.1</v>
      </c>
      <c r="FR134" s="12"/>
      <c r="FS134" s="7">
        <v>111</v>
      </c>
      <c r="FT134" s="12">
        <v>39.1</v>
      </c>
    </row>
    <row r="135" spans="20:176">
      <c r="T135" s="7"/>
      <c r="AF135" s="18"/>
      <c r="AG135" s="7"/>
      <c r="AH135" s="7"/>
      <c r="AI135" s="7"/>
      <c r="AJ135" s="11"/>
      <c r="AK135" s="12"/>
      <c r="AL135" s="69"/>
      <c r="AM135" s="7"/>
      <c r="AN135" s="7"/>
      <c r="AO135" s="7"/>
      <c r="AP135" s="7"/>
      <c r="AQ135" s="7"/>
      <c r="AR135" s="7"/>
      <c r="AS135" s="7"/>
      <c r="AT135" s="7"/>
      <c r="AU135" s="7"/>
      <c r="AV135" s="7"/>
      <c r="AW135" s="7"/>
      <c r="AX135" s="7"/>
      <c r="AY135" s="7"/>
      <c r="AZ135" s="7"/>
      <c r="BA135" s="7"/>
      <c r="BB135" s="7"/>
      <c r="BC135" s="7"/>
      <c r="BD135" s="7"/>
      <c r="BE135" s="7"/>
      <c r="BF135" s="7"/>
      <c r="BG135" s="7"/>
      <c r="BH135" s="7"/>
      <c r="BI135" s="7"/>
      <c r="BJ135" s="7"/>
      <c r="BK135" s="7"/>
      <c r="BL135" s="7"/>
      <c r="BM135" s="7"/>
      <c r="BN135" s="7"/>
      <c r="BO135" s="7"/>
      <c r="BP135" s="7"/>
      <c r="BQ135" s="7"/>
      <c r="BR135" s="7"/>
      <c r="BS135" s="7"/>
      <c r="BT135" s="7"/>
      <c r="BU135" s="7"/>
      <c r="BV135" s="7"/>
      <c r="BW135" s="7"/>
      <c r="BX135" s="7"/>
      <c r="BY135" s="7"/>
      <c r="BZ135" s="7"/>
      <c r="CA135" s="7"/>
      <c r="CB135" s="7"/>
      <c r="CC135" s="7"/>
      <c r="CD135" s="7"/>
      <c r="CE135" s="7"/>
      <c r="CF135" s="7"/>
      <c r="CG135" s="7"/>
      <c r="CH135" s="7"/>
      <c r="CI135" s="7"/>
      <c r="CJ135" s="7"/>
      <c r="CK135" s="7"/>
      <c r="CL135" s="7"/>
      <c r="CM135" s="7"/>
      <c r="CN135" s="7"/>
      <c r="CO135" s="7"/>
      <c r="CP135" s="7"/>
      <c r="CS135" s="7"/>
      <c r="CT135" s="106">
        <v>14</v>
      </c>
      <c r="CU135" s="12" t="s">
        <v>401</v>
      </c>
      <c r="CV135" s="276" t="str">
        <f t="shared" si="49"/>
        <v>---------</v>
      </c>
      <c r="CW135" s="290">
        <v>1.9000000000000199</v>
      </c>
      <c r="CX135" s="59">
        <v>112</v>
      </c>
      <c r="CY135" s="292" t="str">
        <f t="shared" si="50"/>
        <v>---------</v>
      </c>
      <c r="CZ135" s="7"/>
      <c r="DA135" s="7"/>
      <c r="DB135" s="7"/>
      <c r="DC135" s="106">
        <v>14</v>
      </c>
      <c r="DD135" s="12" t="s">
        <v>401</v>
      </c>
      <c r="DE135" s="276" t="str">
        <f t="shared" si="52"/>
        <v>---------</v>
      </c>
      <c r="DF135" s="290">
        <v>1.9000000000000199</v>
      </c>
      <c r="DG135" s="59">
        <v>112</v>
      </c>
      <c r="DH135" s="292" t="str">
        <f t="shared" si="53"/>
        <v>---------</v>
      </c>
      <c r="DI135" s="7"/>
      <c r="DJ135" s="7"/>
      <c r="DK135" s="7"/>
      <c r="DL135" s="7"/>
      <c r="FG135" s="7">
        <v>112</v>
      </c>
      <c r="FH135" s="12">
        <v>9</v>
      </c>
      <c r="FR135" s="12"/>
      <c r="FS135" s="7">
        <v>112</v>
      </c>
      <c r="FT135" s="12">
        <v>39</v>
      </c>
    </row>
    <row r="136" spans="20:176">
      <c r="T136" s="7"/>
      <c r="AF136" s="18"/>
      <c r="AG136" s="7"/>
      <c r="AH136" s="7"/>
      <c r="AI136" s="7"/>
      <c r="AJ136" s="11"/>
      <c r="AK136" s="12"/>
      <c r="AL136" s="69"/>
      <c r="AM136" s="7"/>
      <c r="AN136" s="7"/>
      <c r="AO136" s="7"/>
      <c r="AP136" s="7"/>
      <c r="AQ136" s="7"/>
      <c r="AR136" s="7"/>
      <c r="AS136" s="7"/>
      <c r="AT136" s="7"/>
      <c r="AU136" s="7"/>
      <c r="AV136" s="7"/>
      <c r="AW136" s="7"/>
      <c r="AX136" s="7"/>
      <c r="AY136" s="7"/>
      <c r="AZ136" s="7"/>
      <c r="BA136" s="7"/>
      <c r="BB136" s="7"/>
      <c r="BC136" s="7"/>
      <c r="BD136" s="7"/>
      <c r="BE136" s="7"/>
      <c r="BF136" s="7"/>
      <c r="BG136" s="7"/>
      <c r="BH136" s="7"/>
      <c r="BI136" s="7"/>
      <c r="BJ136" s="7"/>
      <c r="BK136" s="7"/>
      <c r="BL136" s="7"/>
      <c r="BM136" s="7"/>
      <c r="BN136" s="7"/>
      <c r="BO136" s="7"/>
      <c r="BP136" s="7"/>
      <c r="BQ136" s="7"/>
      <c r="BR136" s="7"/>
      <c r="BS136" s="7"/>
      <c r="BT136" s="7"/>
      <c r="BU136" s="7"/>
      <c r="BV136" s="7"/>
      <c r="BW136" s="7"/>
      <c r="BX136" s="7"/>
      <c r="BY136" s="7"/>
      <c r="BZ136" s="7"/>
      <c r="CA136" s="7"/>
      <c r="CB136" s="7"/>
      <c r="CC136" s="7"/>
      <c r="CD136" s="7"/>
      <c r="CE136" s="7"/>
      <c r="CF136" s="7"/>
      <c r="CG136" s="7"/>
      <c r="CH136" s="7"/>
      <c r="CI136" s="7"/>
      <c r="CJ136" s="7"/>
      <c r="CK136" s="7"/>
      <c r="CL136" s="7"/>
      <c r="CM136" s="7"/>
      <c r="CN136" s="7"/>
      <c r="CO136" s="7"/>
      <c r="CP136" s="7"/>
      <c r="CS136" s="7"/>
      <c r="CT136" s="106">
        <v>13.9</v>
      </c>
      <c r="CU136" s="12" t="s">
        <v>402</v>
      </c>
      <c r="CV136" s="276" t="str">
        <f t="shared" si="49"/>
        <v>---------</v>
      </c>
      <c r="CW136" s="290">
        <v>1.8900000000000201</v>
      </c>
      <c r="CX136" s="59">
        <v>113</v>
      </c>
      <c r="CY136" s="292" t="str">
        <f t="shared" si="50"/>
        <v>---------</v>
      </c>
      <c r="CZ136" s="7"/>
      <c r="DA136" s="7"/>
      <c r="DB136" s="7"/>
      <c r="DC136" s="106">
        <v>13.9</v>
      </c>
      <c r="DD136" s="12" t="s">
        <v>402</v>
      </c>
      <c r="DE136" s="276" t="str">
        <f t="shared" si="52"/>
        <v>---------</v>
      </c>
      <c r="DF136" s="290">
        <v>1.8900000000000201</v>
      </c>
      <c r="DG136" s="59">
        <v>113</v>
      </c>
      <c r="DH136" s="292" t="str">
        <f t="shared" si="53"/>
        <v>---------</v>
      </c>
      <c r="DI136" s="7"/>
      <c r="DJ136" s="7"/>
      <c r="DK136" s="7"/>
      <c r="DL136" s="7"/>
      <c r="FG136" s="7">
        <v>113</v>
      </c>
      <c r="FH136" s="12">
        <v>8.9</v>
      </c>
      <c r="FR136" s="12"/>
      <c r="FS136" s="7">
        <v>113</v>
      </c>
      <c r="FT136" s="12">
        <v>38.9</v>
      </c>
    </row>
    <row r="137" spans="20:176">
      <c r="T137" s="7"/>
      <c r="AF137" s="18"/>
      <c r="AG137" s="7"/>
      <c r="AH137" s="7"/>
      <c r="AI137" s="7"/>
      <c r="AJ137" s="11"/>
      <c r="AK137" s="12"/>
      <c r="AL137" s="69"/>
      <c r="AM137" s="7"/>
      <c r="AN137" s="7"/>
      <c r="AO137" s="7"/>
      <c r="AP137" s="7"/>
      <c r="AQ137" s="7"/>
      <c r="AR137" s="7"/>
      <c r="AS137" s="7"/>
      <c r="AT137" s="7"/>
      <c r="AU137" s="7"/>
      <c r="AV137" s="7"/>
      <c r="AW137" s="7"/>
      <c r="AX137" s="7"/>
      <c r="AY137" s="7"/>
      <c r="AZ137" s="7"/>
      <c r="BA137" s="7"/>
      <c r="BB137" s="7"/>
      <c r="BC137" s="7"/>
      <c r="BD137" s="7"/>
      <c r="BE137" s="7"/>
      <c r="BF137" s="7"/>
      <c r="BG137" s="7"/>
      <c r="BH137" s="7"/>
      <c r="BI137" s="7"/>
      <c r="BJ137" s="7"/>
      <c r="BK137" s="7"/>
      <c r="BL137" s="7"/>
      <c r="BM137" s="7"/>
      <c r="BN137" s="7"/>
      <c r="BO137" s="7"/>
      <c r="BP137" s="7"/>
      <c r="BQ137" s="7"/>
      <c r="BR137" s="7"/>
      <c r="BS137" s="7"/>
      <c r="BT137" s="7"/>
      <c r="BU137" s="7"/>
      <c r="BV137" s="7"/>
      <c r="BW137" s="7"/>
      <c r="BX137" s="7"/>
      <c r="BY137" s="7"/>
      <c r="BZ137" s="7"/>
      <c r="CA137" s="7"/>
      <c r="CB137" s="7"/>
      <c r="CC137" s="7"/>
      <c r="CD137" s="7"/>
      <c r="CE137" s="7"/>
      <c r="CF137" s="7"/>
      <c r="CG137" s="7"/>
      <c r="CH137" s="7"/>
      <c r="CI137" s="7"/>
      <c r="CJ137" s="7"/>
      <c r="CK137" s="290"/>
      <c r="CL137" s="290"/>
      <c r="CM137" s="290"/>
      <c r="CN137" s="290"/>
      <c r="CO137" s="290"/>
      <c r="CP137" s="290"/>
      <c r="CS137" s="7"/>
      <c r="CT137" s="106">
        <v>13.8</v>
      </c>
      <c r="CU137" s="12" t="s">
        <v>403</v>
      </c>
      <c r="CV137" s="276" t="str">
        <f t="shared" si="49"/>
        <v>---------</v>
      </c>
      <c r="CW137" s="290">
        <v>1.8800000000000201</v>
      </c>
      <c r="CX137" s="59">
        <v>114</v>
      </c>
      <c r="CY137" s="292" t="str">
        <f t="shared" si="50"/>
        <v>---------</v>
      </c>
      <c r="CZ137" s="7"/>
      <c r="DA137" s="7"/>
      <c r="DB137" s="7"/>
      <c r="DC137" s="106">
        <v>13.8</v>
      </c>
      <c r="DD137" s="12" t="s">
        <v>403</v>
      </c>
      <c r="DE137" s="276" t="str">
        <f t="shared" si="52"/>
        <v>---------</v>
      </c>
      <c r="DF137" s="290">
        <v>1.8800000000000201</v>
      </c>
      <c r="DG137" s="59">
        <v>114</v>
      </c>
      <c r="DH137" s="292" t="str">
        <f t="shared" si="53"/>
        <v>---------</v>
      </c>
      <c r="DI137" s="290"/>
      <c r="DJ137" s="290"/>
      <c r="DK137" s="290"/>
      <c r="DL137" s="290"/>
      <c r="FG137" s="7">
        <v>114</v>
      </c>
      <c r="FH137" s="12">
        <v>8.8000000000000007</v>
      </c>
      <c r="FR137" s="12"/>
      <c r="FS137" s="7">
        <v>114</v>
      </c>
      <c r="FT137" s="12">
        <v>38.799999999999997</v>
      </c>
    </row>
    <row r="138" spans="20:176">
      <c r="T138" s="7"/>
      <c r="AF138" s="18"/>
      <c r="AG138" s="7"/>
      <c r="AH138" s="7"/>
      <c r="AI138" s="7"/>
      <c r="AJ138" s="11"/>
      <c r="AK138" s="12"/>
      <c r="AL138" s="69"/>
      <c r="AM138" s="7"/>
      <c r="AN138" s="7"/>
      <c r="AO138" s="7"/>
      <c r="AP138" s="7"/>
      <c r="AQ138" s="7"/>
      <c r="AR138" s="7"/>
      <c r="AS138" s="7"/>
      <c r="AT138" s="7"/>
      <c r="AU138" s="7"/>
      <c r="AV138" s="7"/>
      <c r="AW138" s="7"/>
      <c r="AX138" s="7"/>
      <c r="AY138" s="7"/>
      <c r="AZ138" s="7"/>
      <c r="BA138" s="7"/>
      <c r="BB138" s="7"/>
      <c r="BC138" s="7"/>
      <c r="BD138" s="7"/>
      <c r="BE138" s="7"/>
      <c r="BF138" s="7"/>
      <c r="BG138" s="7"/>
      <c r="BH138" s="7"/>
      <c r="BI138" s="7"/>
      <c r="BJ138" s="7"/>
      <c r="BK138" s="7"/>
      <c r="BL138" s="7"/>
      <c r="BM138" s="7"/>
      <c r="BN138" s="7"/>
      <c r="BO138" s="7"/>
      <c r="BP138" s="7"/>
      <c r="BQ138" s="7"/>
      <c r="BR138" s="7"/>
      <c r="BS138" s="7"/>
      <c r="BT138" s="7"/>
      <c r="BU138" s="7"/>
      <c r="BV138" s="7"/>
      <c r="BW138" s="7"/>
      <c r="BX138" s="7"/>
      <c r="BY138" s="7"/>
      <c r="BZ138" s="7"/>
      <c r="CA138" s="7"/>
      <c r="CB138" s="7"/>
      <c r="CC138" s="7"/>
      <c r="CD138" s="7"/>
      <c r="CE138" s="7"/>
      <c r="CF138" s="7"/>
      <c r="CG138" s="7"/>
      <c r="CH138" s="7"/>
      <c r="CI138" s="7"/>
      <c r="CJ138" s="7"/>
      <c r="CK138" s="7"/>
      <c r="CL138" s="7"/>
      <c r="CM138" s="7"/>
      <c r="CN138" s="7"/>
      <c r="CO138" s="7"/>
      <c r="CP138" s="7"/>
      <c r="CS138" s="7"/>
      <c r="CT138" s="106">
        <v>13.7</v>
      </c>
      <c r="CU138" s="12" t="s">
        <v>404</v>
      </c>
      <c r="CV138" s="276" t="str">
        <f t="shared" si="49"/>
        <v>---------</v>
      </c>
      <c r="CW138" s="290">
        <v>1.8700000000000201</v>
      </c>
      <c r="CX138" s="59">
        <v>115</v>
      </c>
      <c r="CY138" s="292" t="str">
        <f t="shared" si="50"/>
        <v>---------</v>
      </c>
      <c r="CZ138" s="7"/>
      <c r="DA138" s="7"/>
      <c r="DB138" s="7"/>
      <c r="DC138" s="106">
        <v>13.7</v>
      </c>
      <c r="DD138" s="12" t="s">
        <v>404</v>
      </c>
      <c r="DE138" s="276" t="str">
        <f t="shared" si="52"/>
        <v>---------</v>
      </c>
      <c r="DF138" s="290">
        <v>1.8700000000000201</v>
      </c>
      <c r="DG138" s="59">
        <v>115</v>
      </c>
      <c r="DH138" s="292" t="str">
        <f t="shared" si="53"/>
        <v>---------</v>
      </c>
      <c r="DI138" s="7"/>
      <c r="DJ138" s="7"/>
      <c r="DK138" s="7"/>
      <c r="DL138" s="7"/>
      <c r="FG138" s="7">
        <v>115</v>
      </c>
      <c r="FH138" s="12">
        <v>8.6999999999999993</v>
      </c>
      <c r="FR138" s="12"/>
      <c r="FS138" s="7">
        <v>115</v>
      </c>
      <c r="FT138" s="12">
        <v>38.700000000000003</v>
      </c>
    </row>
    <row r="139" spans="20:176">
      <c r="T139" s="7"/>
      <c r="AF139" s="18"/>
      <c r="AG139" s="7"/>
      <c r="AH139" s="7"/>
      <c r="AI139" s="7"/>
      <c r="AJ139" s="11"/>
      <c r="AK139" s="12"/>
      <c r="AL139" s="69"/>
      <c r="AM139" s="7"/>
      <c r="AN139" s="7"/>
      <c r="AO139" s="7"/>
      <c r="AP139" s="7"/>
      <c r="AQ139" s="7"/>
      <c r="AR139" s="7"/>
      <c r="AS139" s="7"/>
      <c r="AT139" s="7"/>
      <c r="AU139" s="7"/>
      <c r="AV139" s="7"/>
      <c r="AW139" s="7"/>
      <c r="AX139" s="7"/>
      <c r="AY139" s="7"/>
      <c r="AZ139" s="7"/>
      <c r="BA139" s="7"/>
      <c r="BB139" s="7"/>
      <c r="BC139" s="7"/>
      <c r="BD139" s="7"/>
      <c r="BE139" s="7"/>
      <c r="BF139" s="7"/>
      <c r="BG139" s="7"/>
      <c r="BH139" s="7"/>
      <c r="BI139" s="7"/>
      <c r="BJ139" s="7"/>
      <c r="BK139" s="7"/>
      <c r="BL139" s="7"/>
      <c r="BM139" s="7"/>
      <c r="BN139" s="7"/>
      <c r="BO139" s="7"/>
      <c r="BP139" s="7"/>
      <c r="BQ139" s="7"/>
      <c r="BR139" s="7"/>
      <c r="BS139" s="7"/>
      <c r="BT139" s="7"/>
      <c r="BU139" s="7"/>
      <c r="BV139" s="7"/>
      <c r="BW139" s="7"/>
      <c r="BX139" s="7"/>
      <c r="BY139" s="7"/>
      <c r="BZ139" s="7"/>
      <c r="CA139" s="7"/>
      <c r="CB139" s="7"/>
      <c r="CC139" s="7"/>
      <c r="CD139" s="7"/>
      <c r="CE139" s="7"/>
      <c r="CF139" s="7"/>
      <c r="CG139" s="7"/>
      <c r="CH139" s="7"/>
      <c r="CI139" s="7"/>
      <c r="CJ139" s="7"/>
      <c r="CK139" s="7"/>
      <c r="CL139" s="7"/>
      <c r="CM139" s="7"/>
      <c r="CN139" s="7"/>
      <c r="CO139" s="7"/>
      <c r="CP139" s="7"/>
      <c r="CS139" s="7"/>
      <c r="CT139" s="106">
        <v>13.6</v>
      </c>
      <c r="CU139" s="12" t="s">
        <v>405</v>
      </c>
      <c r="CV139" s="276" t="str">
        <f t="shared" si="49"/>
        <v>---------</v>
      </c>
      <c r="CW139" s="290">
        <v>1.8600000000000201</v>
      </c>
      <c r="CX139" s="59">
        <v>116</v>
      </c>
      <c r="CY139" s="292" t="str">
        <f t="shared" si="50"/>
        <v>---------</v>
      </c>
      <c r="CZ139" s="7"/>
      <c r="DA139" s="7"/>
      <c r="DB139" s="7"/>
      <c r="DC139" s="106">
        <v>13.6</v>
      </c>
      <c r="DD139" s="12" t="s">
        <v>405</v>
      </c>
      <c r="DE139" s="276" t="str">
        <f t="shared" si="52"/>
        <v>---------</v>
      </c>
      <c r="DF139" s="290">
        <v>1.8600000000000201</v>
      </c>
      <c r="DG139" s="59">
        <v>116</v>
      </c>
      <c r="DH139" s="292" t="str">
        <f t="shared" si="53"/>
        <v>---------</v>
      </c>
      <c r="DI139" s="7"/>
      <c r="DJ139" s="7"/>
      <c r="DK139" s="7"/>
      <c r="DL139" s="7"/>
      <c r="FG139" s="7">
        <v>116</v>
      </c>
      <c r="FH139" s="12">
        <v>8.6</v>
      </c>
      <c r="FR139" s="12"/>
      <c r="FS139" s="7">
        <v>116</v>
      </c>
      <c r="FT139" s="12">
        <v>38.6</v>
      </c>
    </row>
    <row r="140" spans="20:176">
      <c r="T140" s="7"/>
      <c r="AF140" s="18"/>
      <c r="AG140" s="7"/>
      <c r="AH140" s="7"/>
      <c r="AI140" s="7"/>
      <c r="AJ140" s="11"/>
      <c r="AK140" s="12"/>
      <c r="AL140" s="69"/>
      <c r="AM140" s="7"/>
      <c r="AN140" s="7"/>
      <c r="AO140" s="7"/>
      <c r="AP140" s="7"/>
      <c r="AQ140" s="7"/>
      <c r="AR140" s="7"/>
      <c r="AS140" s="7"/>
      <c r="AT140" s="7"/>
      <c r="AU140" s="7"/>
      <c r="AV140" s="7"/>
      <c r="AW140" s="7"/>
      <c r="AX140" s="7"/>
      <c r="AY140" s="7"/>
      <c r="AZ140" s="7"/>
      <c r="BA140" s="7"/>
      <c r="BB140" s="7"/>
      <c r="BC140" s="7"/>
      <c r="BD140" s="7"/>
      <c r="BE140" s="7"/>
      <c r="BF140" s="7"/>
      <c r="BG140" s="7"/>
      <c r="BH140" s="7"/>
      <c r="BI140" s="7"/>
      <c r="BJ140" s="7"/>
      <c r="BK140" s="7"/>
      <c r="BL140" s="7"/>
      <c r="BM140" s="7"/>
      <c r="BN140" s="7"/>
      <c r="BO140" s="7"/>
      <c r="BP140" s="7"/>
      <c r="BQ140" s="7"/>
      <c r="BR140" s="7"/>
      <c r="BS140" s="7"/>
      <c r="BT140" s="7"/>
      <c r="BU140" s="7"/>
      <c r="BV140" s="7"/>
      <c r="BW140" s="7"/>
      <c r="BX140" s="7"/>
      <c r="BY140" s="7"/>
      <c r="BZ140" s="7"/>
      <c r="CA140" s="7"/>
      <c r="CB140" s="7"/>
      <c r="CC140" s="7"/>
      <c r="CD140" s="7"/>
      <c r="CE140" s="7"/>
      <c r="CF140" s="7"/>
      <c r="CG140" s="7"/>
      <c r="CH140" s="7"/>
      <c r="CI140" s="7"/>
      <c r="CJ140" s="7"/>
      <c r="CK140" s="7"/>
      <c r="CL140" s="7"/>
      <c r="CM140" s="7"/>
      <c r="CN140" s="7"/>
      <c r="CO140" s="7"/>
      <c r="CP140" s="7"/>
      <c r="CS140" s="7"/>
      <c r="CT140" s="106">
        <v>13.5</v>
      </c>
      <c r="CU140" s="12" t="s">
        <v>406</v>
      </c>
      <c r="CV140" s="276" t="str">
        <f t="shared" si="49"/>
        <v>---------</v>
      </c>
      <c r="CW140" s="290">
        <v>1.8500000000000201</v>
      </c>
      <c r="CX140" s="59">
        <v>117</v>
      </c>
      <c r="CY140" s="292" t="str">
        <f t="shared" si="50"/>
        <v>---------</v>
      </c>
      <c r="CZ140" s="7"/>
      <c r="DA140" s="7"/>
      <c r="DB140" s="7"/>
      <c r="DC140" s="106">
        <v>13.5</v>
      </c>
      <c r="DD140" s="12" t="s">
        <v>406</v>
      </c>
      <c r="DE140" s="276" t="str">
        <f t="shared" si="52"/>
        <v>---------</v>
      </c>
      <c r="DF140" s="290">
        <v>1.8500000000000201</v>
      </c>
      <c r="DG140" s="59">
        <v>117</v>
      </c>
      <c r="DH140" s="292" t="str">
        <f t="shared" si="53"/>
        <v>---------</v>
      </c>
      <c r="DI140" s="7"/>
      <c r="DJ140" s="7"/>
      <c r="DK140" s="7"/>
      <c r="DL140" s="7"/>
      <c r="FG140" s="7">
        <v>117</v>
      </c>
      <c r="FH140" s="12">
        <v>8.5</v>
      </c>
      <c r="FR140" s="12"/>
      <c r="FS140" s="7">
        <v>117</v>
      </c>
      <c r="FT140" s="12">
        <v>38.5</v>
      </c>
    </row>
    <row r="141" spans="20:176">
      <c r="T141" s="7"/>
      <c r="AF141" s="7"/>
      <c r="AG141" s="7"/>
      <c r="AH141" s="7"/>
      <c r="AI141" s="7"/>
      <c r="AJ141" s="11"/>
      <c r="AK141" s="12"/>
      <c r="AL141" s="69"/>
      <c r="AM141" s="7"/>
      <c r="AN141" s="7"/>
      <c r="AO141" s="7"/>
      <c r="AP141" s="7"/>
      <c r="AQ141" s="7"/>
      <c r="AR141" s="7"/>
      <c r="AS141" s="7"/>
      <c r="AT141" s="7"/>
      <c r="AU141" s="7"/>
      <c r="AV141" s="7"/>
      <c r="AW141" s="7"/>
      <c r="AX141" s="7"/>
      <c r="AY141" s="7"/>
      <c r="AZ141" s="7"/>
      <c r="BA141" s="7"/>
      <c r="BB141" s="7"/>
      <c r="BC141" s="7"/>
      <c r="BD141" s="7"/>
      <c r="BE141" s="7"/>
      <c r="BF141" s="7"/>
      <c r="BG141" s="7"/>
      <c r="BH141" s="7"/>
      <c r="BI141" s="7"/>
      <c r="BJ141" s="7"/>
      <c r="BK141" s="7"/>
      <c r="BL141" s="7"/>
      <c r="BM141" s="7"/>
      <c r="BN141" s="7"/>
      <c r="BO141" s="7"/>
      <c r="BP141" s="7"/>
      <c r="BQ141" s="7"/>
      <c r="BR141" s="7"/>
      <c r="BS141" s="7"/>
      <c r="BT141" s="7"/>
      <c r="BU141" s="7"/>
      <c r="BV141" s="7"/>
      <c r="BW141" s="7"/>
      <c r="BX141" s="7"/>
      <c r="BY141" s="7"/>
      <c r="BZ141" s="7"/>
      <c r="CA141" s="7"/>
      <c r="CB141" s="7"/>
      <c r="CC141" s="7"/>
      <c r="CD141" s="7"/>
      <c r="CE141" s="7"/>
      <c r="CF141" s="7"/>
      <c r="CG141" s="7"/>
      <c r="CH141" s="7"/>
      <c r="CI141" s="7"/>
      <c r="CJ141" s="7"/>
      <c r="CK141" s="290"/>
      <c r="CL141" s="290"/>
      <c r="CM141" s="290"/>
      <c r="CN141" s="290"/>
      <c r="CO141" s="290"/>
      <c r="CP141" s="290"/>
      <c r="CS141" s="7"/>
      <c r="CT141" s="106">
        <v>13.4</v>
      </c>
      <c r="CU141" s="12" t="s">
        <v>407</v>
      </c>
      <c r="CV141" s="276" t="str">
        <f t="shared" si="49"/>
        <v>---------</v>
      </c>
      <c r="CW141" s="290">
        <v>1.8400000000000201</v>
      </c>
      <c r="CX141" s="59">
        <v>118</v>
      </c>
      <c r="CY141" s="292" t="str">
        <f t="shared" si="50"/>
        <v>---------</v>
      </c>
      <c r="CZ141" s="7"/>
      <c r="DA141" s="7"/>
      <c r="DB141" s="7"/>
      <c r="DC141" s="106">
        <v>13.4</v>
      </c>
      <c r="DD141" s="12" t="s">
        <v>407</v>
      </c>
      <c r="DE141" s="276" t="str">
        <f t="shared" si="52"/>
        <v>---------</v>
      </c>
      <c r="DF141" s="290">
        <v>1.8400000000000201</v>
      </c>
      <c r="DG141" s="59">
        <v>118</v>
      </c>
      <c r="DH141" s="292" t="str">
        <f t="shared" si="53"/>
        <v>---------</v>
      </c>
      <c r="DI141" s="290"/>
      <c r="DJ141" s="290"/>
      <c r="DK141" s="290"/>
      <c r="DL141" s="290"/>
      <c r="FG141" s="7">
        <v>118</v>
      </c>
      <c r="FH141" s="12">
        <v>8.4</v>
      </c>
      <c r="FR141" s="12"/>
      <c r="FS141" s="7">
        <v>118</v>
      </c>
      <c r="FT141" s="12">
        <v>38.4</v>
      </c>
    </row>
    <row r="142" spans="20:176">
      <c r="T142" s="7"/>
      <c r="AF142" s="7"/>
      <c r="AG142" s="7"/>
      <c r="AH142" s="7"/>
      <c r="AI142" s="7"/>
      <c r="AJ142" s="11"/>
      <c r="AK142" s="12"/>
      <c r="AL142" s="69"/>
      <c r="AM142" s="7"/>
      <c r="AN142" s="7"/>
      <c r="AO142" s="7"/>
      <c r="AP142" s="7"/>
      <c r="AQ142" s="7"/>
      <c r="AR142" s="7"/>
      <c r="AS142" s="7"/>
      <c r="AT142" s="7"/>
      <c r="AU142" s="7"/>
      <c r="AV142" s="7"/>
      <c r="AW142" s="7"/>
      <c r="AX142" s="7"/>
      <c r="AY142" s="7"/>
      <c r="AZ142" s="7"/>
      <c r="BA142" s="7"/>
      <c r="BB142" s="7"/>
      <c r="BC142" s="7"/>
      <c r="BD142" s="7"/>
      <c r="BE142" s="7"/>
      <c r="BF142" s="7"/>
      <c r="BG142" s="7"/>
      <c r="BH142" s="7"/>
      <c r="BI142" s="7"/>
      <c r="BJ142" s="7"/>
      <c r="BK142" s="7"/>
      <c r="BL142" s="7"/>
      <c r="BM142" s="7"/>
      <c r="BN142" s="7"/>
      <c r="BO142" s="7"/>
      <c r="BP142" s="7"/>
      <c r="BQ142" s="7"/>
      <c r="BR142" s="7"/>
      <c r="BS142" s="7"/>
      <c r="BT142" s="7"/>
      <c r="BU142" s="7"/>
      <c r="BV142" s="7"/>
      <c r="BW142" s="7"/>
      <c r="BX142" s="7"/>
      <c r="BY142" s="7"/>
      <c r="BZ142" s="7"/>
      <c r="CA142" s="7"/>
      <c r="CB142" s="7"/>
      <c r="CC142" s="7"/>
      <c r="CD142" s="7"/>
      <c r="CE142" s="7"/>
      <c r="CF142" s="7"/>
      <c r="CG142" s="7"/>
      <c r="CH142" s="7"/>
      <c r="CI142" s="7"/>
      <c r="CJ142" s="7"/>
      <c r="CK142" s="7"/>
      <c r="CL142" s="7"/>
      <c r="CM142" s="7"/>
      <c r="CN142" s="7"/>
      <c r="CO142" s="7"/>
      <c r="CP142" s="7"/>
      <c r="CS142" s="7"/>
      <c r="CT142" s="106">
        <v>13.3</v>
      </c>
      <c r="CU142" s="12" t="s">
        <v>408</v>
      </c>
      <c r="CV142" s="276" t="str">
        <f t="shared" si="49"/>
        <v>---------</v>
      </c>
      <c r="CW142" s="290">
        <v>1.8300000000000201</v>
      </c>
      <c r="CX142" s="59">
        <v>119</v>
      </c>
      <c r="CY142" s="292" t="str">
        <f t="shared" si="50"/>
        <v>---------</v>
      </c>
      <c r="CZ142" s="7"/>
      <c r="DA142" s="7"/>
      <c r="DB142" s="7"/>
      <c r="DC142" s="106">
        <v>13.3</v>
      </c>
      <c r="DD142" s="12" t="s">
        <v>408</v>
      </c>
      <c r="DE142" s="276" t="str">
        <f t="shared" si="52"/>
        <v>---------</v>
      </c>
      <c r="DF142" s="290">
        <v>1.8300000000000201</v>
      </c>
      <c r="DG142" s="59">
        <v>119</v>
      </c>
      <c r="DH142" s="292" t="str">
        <f t="shared" si="53"/>
        <v>---------</v>
      </c>
      <c r="DI142" s="7"/>
      <c r="DJ142" s="7"/>
      <c r="DK142" s="7"/>
      <c r="DL142" s="7"/>
      <c r="FG142" s="7">
        <v>119</v>
      </c>
      <c r="FH142" s="12">
        <v>8.3000000000000007</v>
      </c>
      <c r="FR142" s="12"/>
      <c r="FS142" s="7">
        <v>119</v>
      </c>
      <c r="FT142" s="12">
        <v>38.299999999999997</v>
      </c>
    </row>
    <row r="143" spans="20:176">
      <c r="T143" s="7"/>
      <c r="AF143" s="7"/>
      <c r="AG143" s="7"/>
      <c r="AH143" s="7"/>
      <c r="AI143" s="7"/>
      <c r="AJ143" s="11"/>
      <c r="AK143" s="12"/>
      <c r="AL143" s="69"/>
      <c r="AM143" s="7"/>
      <c r="AN143" s="7"/>
      <c r="AO143" s="7"/>
      <c r="AP143" s="7"/>
      <c r="AQ143" s="7"/>
      <c r="AR143" s="7"/>
      <c r="AS143" s="7"/>
      <c r="AT143" s="7"/>
      <c r="AU143" s="7"/>
      <c r="AV143" s="7"/>
      <c r="AW143" s="7"/>
      <c r="AX143" s="7"/>
      <c r="AY143" s="7"/>
      <c r="AZ143" s="7"/>
      <c r="BA143" s="7"/>
      <c r="BB143" s="7"/>
      <c r="BC143" s="7"/>
      <c r="BD143" s="7"/>
      <c r="BE143" s="7"/>
      <c r="BF143" s="7"/>
      <c r="BG143" s="7"/>
      <c r="BH143" s="7"/>
      <c r="BI143" s="7"/>
      <c r="BJ143" s="7"/>
      <c r="BK143" s="7"/>
      <c r="BL143" s="7"/>
      <c r="BM143" s="7"/>
      <c r="BN143" s="7"/>
      <c r="BO143" s="7"/>
      <c r="BP143" s="7"/>
      <c r="BQ143" s="7"/>
      <c r="BR143" s="7"/>
      <c r="BS143" s="7"/>
      <c r="BT143" s="7"/>
      <c r="BU143" s="7"/>
      <c r="BV143" s="7"/>
      <c r="BW143" s="7"/>
      <c r="BX143" s="7"/>
      <c r="BY143" s="7"/>
      <c r="BZ143" s="7"/>
      <c r="CA143" s="7"/>
      <c r="CB143" s="7"/>
      <c r="CC143" s="7"/>
      <c r="CD143" s="7"/>
      <c r="CE143" s="7"/>
      <c r="CF143" s="7"/>
      <c r="CG143" s="7"/>
      <c r="CH143" s="7"/>
      <c r="CI143" s="7"/>
      <c r="CJ143" s="7"/>
      <c r="CK143" s="7"/>
      <c r="CL143" s="7"/>
      <c r="CM143" s="7"/>
      <c r="CN143" s="7"/>
      <c r="CO143" s="7"/>
      <c r="CP143" s="7"/>
      <c r="CS143" s="7"/>
      <c r="CT143" s="106">
        <v>13.2</v>
      </c>
      <c r="CU143" s="12" t="s">
        <v>409</v>
      </c>
      <c r="CV143" s="276" t="str">
        <f t="shared" si="49"/>
        <v>---------</v>
      </c>
      <c r="CW143" s="290">
        <v>1.82000000000003</v>
      </c>
      <c r="CX143" s="59">
        <v>120</v>
      </c>
      <c r="CY143" s="292" t="str">
        <f t="shared" si="50"/>
        <v>---------</v>
      </c>
      <c r="CZ143" s="7"/>
      <c r="DA143" s="7"/>
      <c r="DB143" s="7"/>
      <c r="DC143" s="106">
        <v>13.2</v>
      </c>
      <c r="DD143" s="12" t="s">
        <v>409</v>
      </c>
      <c r="DE143" s="276" t="str">
        <f t="shared" si="52"/>
        <v>---------</v>
      </c>
      <c r="DF143" s="290">
        <v>1.82000000000003</v>
      </c>
      <c r="DG143" s="59">
        <v>120</v>
      </c>
      <c r="DH143" s="292" t="str">
        <f t="shared" si="53"/>
        <v>---------</v>
      </c>
      <c r="DI143" s="7"/>
      <c r="DJ143" s="7"/>
      <c r="DK143" s="7"/>
      <c r="DL143" s="7"/>
      <c r="FG143" s="7">
        <v>120</v>
      </c>
      <c r="FH143" s="12">
        <v>8.1999999999999993</v>
      </c>
      <c r="FR143" s="12"/>
      <c r="FS143" s="7">
        <v>120</v>
      </c>
      <c r="FT143" s="12">
        <v>38.200000000000003</v>
      </c>
    </row>
    <row r="144" spans="20:176">
      <c r="T144" s="7"/>
      <c r="AF144" s="7"/>
      <c r="AG144" s="7"/>
      <c r="AH144" s="7"/>
      <c r="AI144" s="7"/>
      <c r="AJ144" s="11"/>
      <c r="AK144" s="12"/>
      <c r="AL144" s="69"/>
      <c r="AM144" s="7"/>
      <c r="AN144" s="7"/>
      <c r="AO144" s="7"/>
      <c r="AP144" s="7"/>
      <c r="AQ144" s="7"/>
      <c r="AR144" s="7"/>
      <c r="AS144" s="7"/>
      <c r="AT144" s="7"/>
      <c r="AU144" s="7"/>
      <c r="AV144" s="7"/>
      <c r="AW144" s="7"/>
      <c r="AX144" s="7"/>
      <c r="AY144" s="7"/>
      <c r="AZ144" s="7"/>
      <c r="BA144" s="7"/>
      <c r="BB144" s="7"/>
      <c r="BC144" s="7"/>
      <c r="BD144" s="7"/>
      <c r="BE144" s="7"/>
      <c r="BF144" s="7"/>
      <c r="BG144" s="7"/>
      <c r="BH144" s="7"/>
      <c r="BI144" s="7"/>
      <c r="BJ144" s="7"/>
      <c r="BK144" s="7"/>
      <c r="BL144" s="7"/>
      <c r="BM144" s="7"/>
      <c r="BN144" s="7"/>
      <c r="BO144" s="7"/>
      <c r="BP144" s="7"/>
      <c r="BQ144" s="7"/>
      <c r="BR144" s="7"/>
      <c r="BS144" s="7"/>
      <c r="BT144" s="7"/>
      <c r="BU144" s="7"/>
      <c r="BV144" s="7"/>
      <c r="BW144" s="7"/>
      <c r="BX144" s="7"/>
      <c r="BY144" s="7"/>
      <c r="BZ144" s="7"/>
      <c r="CA144" s="7"/>
      <c r="CB144" s="7"/>
      <c r="CC144" s="7"/>
      <c r="CD144" s="7"/>
      <c r="CE144" s="7"/>
      <c r="CF144" s="7"/>
      <c r="CG144" s="7"/>
      <c r="CH144" s="7"/>
      <c r="CI144" s="7"/>
      <c r="CJ144" s="7"/>
      <c r="CK144" s="7"/>
      <c r="CL144" s="7"/>
      <c r="CM144" s="7"/>
      <c r="CN144" s="7"/>
      <c r="CO144" s="7"/>
      <c r="CP144" s="7"/>
      <c r="CS144" s="7"/>
      <c r="CT144" s="106">
        <v>13.1</v>
      </c>
      <c r="CU144" s="12" t="s">
        <v>410</v>
      </c>
      <c r="CV144" s="276" t="str">
        <f t="shared" si="49"/>
        <v>---------</v>
      </c>
      <c r="CW144" s="290">
        <v>1.81000000000003</v>
      </c>
      <c r="CX144" s="59">
        <v>121</v>
      </c>
      <c r="CY144" s="292" t="str">
        <f t="shared" si="50"/>
        <v>---------</v>
      </c>
      <c r="CZ144" s="7"/>
      <c r="DA144" s="7"/>
      <c r="DB144" s="7"/>
      <c r="DC144" s="106">
        <v>13.1</v>
      </c>
      <c r="DD144" s="12" t="s">
        <v>410</v>
      </c>
      <c r="DE144" s="276" t="str">
        <f t="shared" si="52"/>
        <v>---------</v>
      </c>
      <c r="DF144" s="290">
        <v>1.81000000000003</v>
      </c>
      <c r="DG144" s="59">
        <v>121</v>
      </c>
      <c r="DH144" s="292" t="str">
        <f t="shared" si="53"/>
        <v>---------</v>
      </c>
      <c r="DI144" s="7"/>
      <c r="DJ144" s="7"/>
      <c r="DK144" s="7"/>
      <c r="DL144" s="7"/>
      <c r="FG144" s="7">
        <v>121</v>
      </c>
      <c r="FH144" s="12">
        <v>8.1</v>
      </c>
      <c r="FR144" s="12"/>
      <c r="FS144" s="7">
        <v>121</v>
      </c>
      <c r="FT144" s="12">
        <v>38.1</v>
      </c>
    </row>
    <row r="145" spans="20:176">
      <c r="T145" s="7"/>
      <c r="AF145" s="7"/>
      <c r="AG145" s="7"/>
      <c r="AH145" s="7"/>
      <c r="AI145" s="7"/>
      <c r="AJ145" s="11"/>
      <c r="AK145" s="12"/>
      <c r="AL145" s="69"/>
      <c r="AM145" s="7"/>
      <c r="AN145" s="7"/>
      <c r="AO145" s="7"/>
      <c r="AP145" s="7"/>
      <c r="AQ145" s="7"/>
      <c r="AR145" s="7"/>
      <c r="AS145" s="7"/>
      <c r="AT145" s="7"/>
      <c r="AU145" s="7"/>
      <c r="AV145" s="7"/>
      <c r="AW145" s="7"/>
      <c r="AX145" s="7"/>
      <c r="AY145" s="7"/>
      <c r="AZ145" s="7"/>
      <c r="BA145" s="7"/>
      <c r="BB145" s="7"/>
      <c r="BC145" s="7"/>
      <c r="BD145" s="7"/>
      <c r="BE145" s="7"/>
      <c r="BF145" s="7"/>
      <c r="BG145" s="7"/>
      <c r="BH145" s="7"/>
      <c r="BI145" s="7"/>
      <c r="BJ145" s="7"/>
      <c r="BK145" s="7"/>
      <c r="BL145" s="7"/>
      <c r="BM145" s="7"/>
      <c r="BN145" s="7"/>
      <c r="BO145" s="7"/>
      <c r="BP145" s="7"/>
      <c r="BQ145" s="7"/>
      <c r="BR145" s="7"/>
      <c r="BS145" s="7"/>
      <c r="BT145" s="7"/>
      <c r="BU145" s="7"/>
      <c r="BV145" s="7"/>
      <c r="BW145" s="7"/>
      <c r="BX145" s="7"/>
      <c r="BY145" s="7"/>
      <c r="BZ145" s="7"/>
      <c r="CA145" s="7"/>
      <c r="CB145" s="7"/>
      <c r="CC145" s="7"/>
      <c r="CD145" s="7"/>
      <c r="CE145" s="7"/>
      <c r="CF145" s="7"/>
      <c r="CG145" s="7"/>
      <c r="CH145" s="7"/>
      <c r="CI145" s="7"/>
      <c r="CJ145" s="7"/>
      <c r="CK145" s="7"/>
      <c r="CL145" s="7"/>
      <c r="CM145" s="7"/>
      <c r="CN145" s="7"/>
      <c r="CO145" s="7"/>
      <c r="CP145" s="7"/>
      <c r="CS145" s="7"/>
      <c r="CT145" s="106">
        <v>13</v>
      </c>
      <c r="CU145" s="12" t="s">
        <v>411</v>
      </c>
      <c r="CV145" s="276" t="str">
        <f t="shared" si="49"/>
        <v>---------</v>
      </c>
      <c r="CW145" s="290">
        <v>1.80000000000003</v>
      </c>
      <c r="CX145" s="59">
        <v>122</v>
      </c>
      <c r="CY145" s="292" t="str">
        <f t="shared" si="50"/>
        <v>---------</v>
      </c>
      <c r="CZ145" s="7"/>
      <c r="DA145" s="7"/>
      <c r="DB145" s="7"/>
      <c r="DC145" s="106">
        <v>13</v>
      </c>
      <c r="DD145" s="12" t="s">
        <v>411</v>
      </c>
      <c r="DE145" s="276" t="str">
        <f t="shared" si="52"/>
        <v>---------</v>
      </c>
      <c r="DF145" s="290">
        <v>1.80000000000003</v>
      </c>
      <c r="DG145" s="59">
        <v>122</v>
      </c>
      <c r="DH145" s="292" t="str">
        <f t="shared" si="53"/>
        <v>---------</v>
      </c>
      <c r="DI145" s="7"/>
      <c r="DJ145" s="7"/>
      <c r="DK145" s="7"/>
      <c r="DL145" s="7"/>
      <c r="FG145" s="7">
        <v>122</v>
      </c>
      <c r="FH145" s="12">
        <v>8</v>
      </c>
      <c r="FR145" s="12"/>
      <c r="FS145" s="7">
        <v>122</v>
      </c>
      <c r="FT145" s="12">
        <v>38</v>
      </c>
    </row>
    <row r="146" spans="20:176">
      <c r="T146" s="7"/>
      <c r="AF146" s="7"/>
      <c r="AG146" s="7"/>
      <c r="AH146" s="7"/>
      <c r="AI146" s="7"/>
      <c r="AJ146" s="11"/>
      <c r="AK146" s="12"/>
      <c r="AL146" s="69"/>
      <c r="AM146" s="7"/>
      <c r="AN146" s="7"/>
      <c r="AO146" s="7"/>
      <c r="AP146" s="7"/>
      <c r="AQ146" s="7"/>
      <c r="AR146" s="7"/>
      <c r="AS146" s="7"/>
      <c r="AT146" s="7"/>
      <c r="AU146" s="7"/>
      <c r="AV146" s="7"/>
      <c r="AW146" s="7"/>
      <c r="AX146" s="7"/>
      <c r="AY146" s="7"/>
      <c r="AZ146" s="7"/>
      <c r="BA146" s="7"/>
      <c r="BB146" s="7"/>
      <c r="BC146" s="7"/>
      <c r="BD146" s="7"/>
      <c r="BE146" s="7"/>
      <c r="BF146" s="7"/>
      <c r="BG146" s="7"/>
      <c r="BH146" s="7"/>
      <c r="BI146" s="7"/>
      <c r="BJ146" s="7"/>
      <c r="BK146" s="7"/>
      <c r="BL146" s="7"/>
      <c r="BM146" s="7"/>
      <c r="BN146" s="7"/>
      <c r="BO146" s="7"/>
      <c r="BP146" s="7"/>
      <c r="BQ146" s="7"/>
      <c r="BR146" s="7"/>
      <c r="BS146" s="7"/>
      <c r="BT146" s="7"/>
      <c r="BU146" s="7"/>
      <c r="BV146" s="7"/>
      <c r="BW146" s="7"/>
      <c r="BX146" s="7"/>
      <c r="BY146" s="7"/>
      <c r="BZ146" s="7"/>
      <c r="CA146" s="7"/>
      <c r="CB146" s="7"/>
      <c r="CC146" s="7"/>
      <c r="CD146" s="7"/>
      <c r="CE146" s="7"/>
      <c r="CF146" s="7"/>
      <c r="CG146" s="7"/>
      <c r="CH146" s="7"/>
      <c r="CI146" s="7"/>
      <c r="CJ146" s="7"/>
      <c r="CK146" s="7"/>
      <c r="CL146" s="7"/>
      <c r="CM146" s="7"/>
      <c r="CN146" s="7"/>
      <c r="CO146" s="7"/>
      <c r="CP146" s="7"/>
      <c r="CS146" s="7"/>
      <c r="CT146" s="106">
        <v>12.9</v>
      </c>
      <c r="CU146" s="12" t="s">
        <v>412</v>
      </c>
      <c r="CV146" s="276" t="str">
        <f t="shared" si="49"/>
        <v>---------</v>
      </c>
      <c r="CW146" s="290">
        <v>1.79000000000003</v>
      </c>
      <c r="CX146" s="59">
        <v>123</v>
      </c>
      <c r="CY146" s="292" t="str">
        <f t="shared" si="50"/>
        <v>---------</v>
      </c>
      <c r="CZ146" s="7"/>
      <c r="DA146" s="7"/>
      <c r="DB146" s="7"/>
      <c r="DC146" s="106">
        <v>12.9</v>
      </c>
      <c r="DD146" s="12" t="s">
        <v>412</v>
      </c>
      <c r="DE146" s="276" t="str">
        <f t="shared" si="52"/>
        <v>---------</v>
      </c>
      <c r="DF146" s="290">
        <v>1.79000000000003</v>
      </c>
      <c r="DG146" s="59">
        <v>123</v>
      </c>
      <c r="DH146" s="292" t="str">
        <f t="shared" si="53"/>
        <v>---------</v>
      </c>
      <c r="DI146" s="7"/>
      <c r="DJ146" s="7"/>
      <c r="DK146" s="7"/>
      <c r="DL146" s="7"/>
      <c r="FG146" s="7">
        <v>123</v>
      </c>
      <c r="FH146" s="12">
        <v>7.9</v>
      </c>
      <c r="FR146" s="12"/>
      <c r="FS146" s="7">
        <v>123</v>
      </c>
      <c r="FT146" s="12">
        <v>37.9</v>
      </c>
    </row>
    <row r="147" spans="20:176">
      <c r="T147" s="7"/>
      <c r="AF147" s="7"/>
      <c r="AG147" s="7"/>
      <c r="AH147" s="7"/>
      <c r="AI147" s="7"/>
      <c r="AJ147" s="11"/>
      <c r="AK147" s="12"/>
      <c r="AL147" s="69"/>
      <c r="AM147" s="7"/>
      <c r="AN147" s="7"/>
      <c r="AO147" s="7"/>
      <c r="AP147" s="7"/>
      <c r="AQ147" s="7"/>
      <c r="AR147" s="7"/>
      <c r="AS147" s="7"/>
      <c r="AT147" s="7"/>
      <c r="AU147" s="7"/>
      <c r="AV147" s="7"/>
      <c r="AW147" s="7"/>
      <c r="AX147" s="7"/>
      <c r="AY147" s="7"/>
      <c r="AZ147" s="7"/>
      <c r="BA147" s="7"/>
      <c r="BB147" s="7"/>
      <c r="BC147" s="7"/>
      <c r="BD147" s="7"/>
      <c r="BE147" s="7"/>
      <c r="BF147" s="7"/>
      <c r="BG147" s="7"/>
      <c r="BH147" s="7"/>
      <c r="BI147" s="7"/>
      <c r="BJ147" s="7"/>
      <c r="BK147" s="7"/>
      <c r="BL147" s="7"/>
      <c r="BM147" s="7"/>
      <c r="BN147" s="7"/>
      <c r="BO147" s="7"/>
      <c r="BP147" s="7"/>
      <c r="BQ147" s="7"/>
      <c r="BR147" s="7"/>
      <c r="BS147" s="7"/>
      <c r="BT147" s="7"/>
      <c r="BU147" s="7"/>
      <c r="BV147" s="7"/>
      <c r="BW147" s="7"/>
      <c r="BX147" s="7"/>
      <c r="BY147" s="7"/>
      <c r="BZ147" s="7"/>
      <c r="CA147" s="7"/>
      <c r="CB147" s="7"/>
      <c r="CC147" s="7"/>
      <c r="CD147" s="7"/>
      <c r="CE147" s="7"/>
      <c r="CF147" s="7"/>
      <c r="CG147" s="7"/>
      <c r="CH147" s="7"/>
      <c r="CI147" s="7"/>
      <c r="CJ147" s="7"/>
      <c r="CK147" s="7"/>
      <c r="CL147" s="7"/>
      <c r="CM147" s="7"/>
      <c r="CN147" s="7"/>
      <c r="CO147" s="7"/>
      <c r="CP147" s="7"/>
      <c r="CS147" s="7"/>
      <c r="CT147" s="106">
        <v>12.8</v>
      </c>
      <c r="CU147" s="12" t="s">
        <v>413</v>
      </c>
      <c r="CV147" s="276" t="str">
        <f t="shared" si="49"/>
        <v>---------</v>
      </c>
      <c r="CW147" s="290">
        <v>1.78000000000003</v>
      </c>
      <c r="CX147" s="59">
        <v>124</v>
      </c>
      <c r="CY147" s="292" t="str">
        <f t="shared" si="50"/>
        <v>---------</v>
      </c>
      <c r="CZ147" s="7"/>
      <c r="DA147" s="7"/>
      <c r="DB147" s="7"/>
      <c r="DC147" s="106">
        <v>12.8</v>
      </c>
      <c r="DD147" s="12" t="s">
        <v>413</v>
      </c>
      <c r="DE147" s="276" t="str">
        <f t="shared" si="52"/>
        <v>---------</v>
      </c>
      <c r="DF147" s="290">
        <v>1.78000000000003</v>
      </c>
      <c r="DG147" s="59">
        <v>124</v>
      </c>
      <c r="DH147" s="292" t="str">
        <f t="shared" si="53"/>
        <v>---------</v>
      </c>
      <c r="DI147" s="7"/>
      <c r="DJ147" s="7"/>
      <c r="DK147" s="7"/>
      <c r="DL147" s="7"/>
      <c r="FG147" s="7">
        <v>124</v>
      </c>
      <c r="FH147" s="12">
        <v>7.8</v>
      </c>
      <c r="FR147" s="12"/>
      <c r="FS147" s="7">
        <v>124</v>
      </c>
      <c r="FT147" s="12">
        <v>37.799999999999997</v>
      </c>
    </row>
    <row r="148" spans="20:176">
      <c r="T148" s="7"/>
      <c r="AF148" s="7"/>
      <c r="AG148" s="7"/>
      <c r="AH148" s="7"/>
      <c r="AI148" s="7"/>
      <c r="AJ148" s="11"/>
      <c r="AK148" s="12"/>
      <c r="AL148" s="69"/>
      <c r="AM148" s="7"/>
      <c r="AN148" s="7"/>
      <c r="AO148" s="7"/>
      <c r="AP148" s="7"/>
      <c r="AQ148" s="7"/>
      <c r="AR148" s="7"/>
      <c r="AS148" s="7"/>
      <c r="AT148" s="7"/>
      <c r="AU148" s="7"/>
      <c r="AV148" s="7"/>
      <c r="AW148" s="7"/>
      <c r="AX148" s="7"/>
      <c r="AY148" s="7"/>
      <c r="AZ148" s="7"/>
      <c r="BA148" s="7"/>
      <c r="BB148" s="7"/>
      <c r="BC148" s="7"/>
      <c r="BD148" s="7"/>
      <c r="BE148" s="7"/>
      <c r="BF148" s="7"/>
      <c r="BG148" s="7"/>
      <c r="BH148" s="7"/>
      <c r="BI148" s="7"/>
      <c r="BJ148" s="7"/>
      <c r="BK148" s="7"/>
      <c r="BL148" s="7"/>
      <c r="BM148" s="7"/>
      <c r="BN148" s="7"/>
      <c r="BO148" s="7"/>
      <c r="BP148" s="7"/>
      <c r="BQ148" s="7"/>
      <c r="BR148" s="7"/>
      <c r="BS148" s="7"/>
      <c r="BT148" s="7"/>
      <c r="BU148" s="7"/>
      <c r="BV148" s="7"/>
      <c r="BW148" s="7"/>
      <c r="BX148" s="7"/>
      <c r="BY148" s="7"/>
      <c r="BZ148" s="7"/>
      <c r="CA148" s="7"/>
      <c r="CB148" s="7"/>
      <c r="CC148" s="7"/>
      <c r="CD148" s="7"/>
      <c r="CE148" s="7"/>
      <c r="CF148" s="7"/>
      <c r="CG148" s="7"/>
      <c r="CH148" s="7"/>
      <c r="CI148" s="7"/>
      <c r="CJ148" s="7"/>
      <c r="CK148" s="7"/>
      <c r="CL148" s="7"/>
      <c r="CM148" s="7"/>
      <c r="CN148" s="7"/>
      <c r="CO148" s="7"/>
      <c r="CP148" s="7"/>
      <c r="CS148" s="7"/>
      <c r="CT148" s="106">
        <v>12.7</v>
      </c>
      <c r="CU148" s="12" t="s">
        <v>414</v>
      </c>
      <c r="CV148" s="276" t="str">
        <f t="shared" si="49"/>
        <v>---------</v>
      </c>
      <c r="CW148" s="290">
        <v>1.77000000000003</v>
      </c>
      <c r="CX148" s="59">
        <v>125</v>
      </c>
      <c r="CY148" s="292" t="str">
        <f t="shared" si="50"/>
        <v>---------</v>
      </c>
      <c r="CZ148" s="7"/>
      <c r="DA148" s="7"/>
      <c r="DB148" s="7"/>
      <c r="DC148" s="106">
        <v>12.7</v>
      </c>
      <c r="DD148" s="12" t="s">
        <v>414</v>
      </c>
      <c r="DE148" s="276" t="str">
        <f t="shared" si="52"/>
        <v>---------</v>
      </c>
      <c r="DF148" s="290">
        <v>1.77000000000003</v>
      </c>
      <c r="DG148" s="59">
        <v>125</v>
      </c>
      <c r="DH148" s="292" t="str">
        <f t="shared" si="53"/>
        <v>---------</v>
      </c>
      <c r="DI148" s="7"/>
      <c r="DJ148" s="7"/>
      <c r="DK148" s="7"/>
      <c r="DL148" s="7"/>
      <c r="FG148" s="7">
        <v>125</v>
      </c>
      <c r="FH148" s="12">
        <v>7.7</v>
      </c>
      <c r="FR148" s="12"/>
      <c r="FS148" s="7">
        <v>125</v>
      </c>
      <c r="FT148" s="12">
        <v>37.700000000000003</v>
      </c>
    </row>
    <row r="149" spans="20:176">
      <c r="T149" s="7"/>
      <c r="AF149" s="7"/>
      <c r="AG149" s="7"/>
      <c r="AH149" s="7"/>
      <c r="AI149" s="7"/>
      <c r="AJ149" s="11"/>
      <c r="AK149" s="12"/>
      <c r="AL149" s="69"/>
      <c r="AM149" s="7"/>
      <c r="AN149" s="7"/>
      <c r="AO149" s="7"/>
      <c r="AP149" s="7"/>
      <c r="AQ149" s="7"/>
      <c r="AR149" s="7"/>
      <c r="AS149" s="7"/>
      <c r="AT149" s="7"/>
      <c r="AU149" s="7"/>
      <c r="AV149" s="7"/>
      <c r="AW149" s="7"/>
      <c r="AX149" s="7"/>
      <c r="AY149" s="7"/>
      <c r="AZ149" s="7"/>
      <c r="BA149" s="7"/>
      <c r="BB149" s="7"/>
      <c r="BC149" s="7"/>
      <c r="BD149" s="7"/>
      <c r="BE149" s="7"/>
      <c r="BF149" s="7"/>
      <c r="BG149" s="7"/>
      <c r="BH149" s="7"/>
      <c r="BI149" s="7"/>
      <c r="BJ149" s="7"/>
      <c r="BK149" s="7"/>
      <c r="BL149" s="7"/>
      <c r="BM149" s="7"/>
      <c r="BN149" s="7"/>
      <c r="BO149" s="7"/>
      <c r="BP149" s="7"/>
      <c r="BQ149" s="7"/>
      <c r="BR149" s="7"/>
      <c r="BS149" s="7"/>
      <c r="BT149" s="7"/>
      <c r="BU149" s="7"/>
      <c r="BV149" s="7"/>
      <c r="BW149" s="7"/>
      <c r="BX149" s="7"/>
      <c r="BY149" s="7"/>
      <c r="BZ149" s="7"/>
      <c r="CA149" s="7"/>
      <c r="CB149" s="7"/>
      <c r="CC149" s="7"/>
      <c r="CD149" s="7"/>
      <c r="CE149" s="7"/>
      <c r="CF149" s="7"/>
      <c r="CG149" s="7"/>
      <c r="CH149" s="7"/>
      <c r="CI149" s="7"/>
      <c r="CJ149" s="7"/>
      <c r="CK149" s="7"/>
      <c r="CL149" s="7"/>
      <c r="CM149" s="7"/>
      <c r="CN149" s="7"/>
      <c r="CO149" s="7"/>
      <c r="CP149" s="7"/>
      <c r="CS149" s="7"/>
      <c r="CT149" s="106">
        <v>12.6</v>
      </c>
      <c r="CU149" s="12" t="s">
        <v>415</v>
      </c>
      <c r="CV149" s="276" t="str">
        <f t="shared" si="49"/>
        <v>---------</v>
      </c>
      <c r="CW149" s="290">
        <v>1.76000000000003</v>
      </c>
      <c r="CX149" s="59">
        <v>126</v>
      </c>
      <c r="CY149" s="292" t="str">
        <f t="shared" si="50"/>
        <v>---------</v>
      </c>
      <c r="CZ149" s="7"/>
      <c r="DA149" s="7"/>
      <c r="DB149" s="7"/>
      <c r="DC149" s="106">
        <v>12.6</v>
      </c>
      <c r="DD149" s="12" t="s">
        <v>415</v>
      </c>
      <c r="DE149" s="276" t="str">
        <f t="shared" si="52"/>
        <v>---------</v>
      </c>
      <c r="DF149" s="290">
        <v>1.76000000000003</v>
      </c>
      <c r="DG149" s="59">
        <v>126</v>
      </c>
      <c r="DH149" s="292" t="str">
        <f t="shared" si="53"/>
        <v>---------</v>
      </c>
      <c r="DI149" s="7"/>
      <c r="DJ149" s="7"/>
      <c r="DK149" s="7"/>
      <c r="DL149" s="7"/>
      <c r="FG149" s="7">
        <v>126</v>
      </c>
      <c r="FH149" s="12">
        <v>7.6</v>
      </c>
      <c r="FR149" s="12"/>
      <c r="FS149" s="7">
        <v>126</v>
      </c>
      <c r="FT149" s="12">
        <v>37.6</v>
      </c>
    </row>
    <row r="150" spans="20:176">
      <c r="T150" s="7"/>
      <c r="AF150" s="7"/>
      <c r="AG150" s="7"/>
      <c r="AH150" s="7"/>
      <c r="AI150" s="7"/>
      <c r="AJ150" s="11"/>
      <c r="AK150" s="12"/>
      <c r="AL150" s="69"/>
      <c r="AM150" s="7"/>
      <c r="AN150" s="7"/>
      <c r="AO150" s="7"/>
      <c r="AP150" s="7"/>
      <c r="AQ150" s="7"/>
      <c r="AR150" s="7"/>
      <c r="AS150" s="7"/>
      <c r="AT150" s="7"/>
      <c r="AU150" s="7"/>
      <c r="AV150" s="7"/>
      <c r="AW150" s="7"/>
      <c r="AX150" s="7"/>
      <c r="AY150" s="7"/>
      <c r="AZ150" s="7"/>
      <c r="BA150" s="7"/>
      <c r="BB150" s="7"/>
      <c r="BC150" s="7"/>
      <c r="BD150" s="7"/>
      <c r="BE150" s="7"/>
      <c r="BF150" s="7"/>
      <c r="BG150" s="7"/>
      <c r="BH150" s="7"/>
      <c r="BI150" s="7"/>
      <c r="BJ150" s="7"/>
      <c r="BK150" s="7"/>
      <c r="BL150" s="7"/>
      <c r="BM150" s="7"/>
      <c r="BN150" s="7"/>
      <c r="BO150" s="7"/>
      <c r="BP150" s="7"/>
      <c r="BQ150" s="7"/>
      <c r="BR150" s="7"/>
      <c r="BS150" s="7"/>
      <c r="BT150" s="7"/>
      <c r="BU150" s="7"/>
      <c r="BV150" s="7"/>
      <c r="BW150" s="7"/>
      <c r="BX150" s="7"/>
      <c r="BY150" s="7"/>
      <c r="BZ150" s="7"/>
      <c r="CA150" s="7"/>
      <c r="CB150" s="7"/>
      <c r="CC150" s="7"/>
      <c r="CD150" s="7"/>
      <c r="CE150" s="7"/>
      <c r="CF150" s="7"/>
      <c r="CG150" s="7"/>
      <c r="CH150" s="7"/>
      <c r="CI150" s="7"/>
      <c r="CJ150" s="7"/>
      <c r="CK150" s="7"/>
      <c r="CL150" s="7"/>
      <c r="CM150" s="7"/>
      <c r="CN150" s="7"/>
      <c r="CO150" s="7"/>
      <c r="CP150" s="7"/>
      <c r="CS150" s="7"/>
      <c r="CT150" s="106">
        <v>12.5</v>
      </c>
      <c r="CU150" s="12" t="s">
        <v>416</v>
      </c>
      <c r="CV150" s="276" t="str">
        <f t="shared" si="49"/>
        <v>---------</v>
      </c>
      <c r="CW150" s="290">
        <v>1.75000000000003</v>
      </c>
      <c r="CX150" s="59">
        <v>127</v>
      </c>
      <c r="CY150" s="292" t="str">
        <f t="shared" si="50"/>
        <v>---------</v>
      </c>
      <c r="CZ150" s="7"/>
      <c r="DA150" s="7"/>
      <c r="DB150" s="7"/>
      <c r="DC150" s="106">
        <v>12.5</v>
      </c>
      <c r="DD150" s="12" t="s">
        <v>416</v>
      </c>
      <c r="DE150" s="276" t="str">
        <f t="shared" si="52"/>
        <v>---------</v>
      </c>
      <c r="DF150" s="290">
        <v>1.75000000000003</v>
      </c>
      <c r="DG150" s="59">
        <v>127</v>
      </c>
      <c r="DH150" s="292" t="str">
        <f t="shared" si="53"/>
        <v>---------</v>
      </c>
      <c r="DI150" s="7"/>
      <c r="DJ150" s="7"/>
      <c r="DK150" s="7"/>
      <c r="DL150" s="7"/>
      <c r="FG150" s="7">
        <v>127</v>
      </c>
      <c r="FH150" s="12">
        <v>7.5</v>
      </c>
      <c r="FR150" s="12"/>
      <c r="FS150" s="7">
        <v>127</v>
      </c>
      <c r="FT150" s="12">
        <v>37.5</v>
      </c>
    </row>
    <row r="151" spans="20:176">
      <c r="T151" s="7"/>
      <c r="AF151" s="7"/>
      <c r="AG151" s="7"/>
      <c r="AH151" s="7"/>
      <c r="AI151" s="7"/>
      <c r="AJ151" s="11"/>
      <c r="AK151" s="12"/>
      <c r="AL151" s="69"/>
      <c r="AM151" s="7"/>
      <c r="AN151" s="7"/>
      <c r="AO151" s="7"/>
      <c r="AP151" s="7"/>
      <c r="AQ151" s="7"/>
      <c r="AR151" s="7"/>
      <c r="AS151" s="7"/>
      <c r="AT151" s="7"/>
      <c r="AU151" s="7"/>
      <c r="AV151" s="7"/>
      <c r="AW151" s="7"/>
      <c r="AX151" s="7"/>
      <c r="AY151" s="7"/>
      <c r="AZ151" s="7"/>
      <c r="BA151" s="7"/>
      <c r="BB151" s="7"/>
      <c r="BC151" s="7"/>
      <c r="BD151" s="7"/>
      <c r="BE151" s="7"/>
      <c r="BF151" s="7"/>
      <c r="BG151" s="7"/>
      <c r="BH151" s="7"/>
      <c r="BI151" s="7"/>
      <c r="BJ151" s="7"/>
      <c r="BK151" s="7"/>
      <c r="BL151" s="7"/>
      <c r="BM151" s="7"/>
      <c r="BN151" s="7"/>
      <c r="BO151" s="7"/>
      <c r="BP151" s="7"/>
      <c r="BQ151" s="7"/>
      <c r="BR151" s="7"/>
      <c r="BS151" s="7"/>
      <c r="BT151" s="7"/>
      <c r="BU151" s="7"/>
      <c r="BV151" s="7"/>
      <c r="BW151" s="7"/>
      <c r="BX151" s="7"/>
      <c r="BY151" s="7"/>
      <c r="BZ151" s="7"/>
      <c r="CA151" s="7"/>
      <c r="CB151" s="7"/>
      <c r="CC151" s="7"/>
      <c r="CD151" s="7"/>
      <c r="CE151" s="7"/>
      <c r="CF151" s="7"/>
      <c r="CG151" s="7"/>
      <c r="CH151" s="7"/>
      <c r="CI151" s="7"/>
      <c r="CJ151" s="7"/>
      <c r="CK151" s="7"/>
      <c r="CL151" s="7"/>
      <c r="CM151" s="7"/>
      <c r="CN151" s="7"/>
      <c r="CO151" s="7"/>
      <c r="CP151" s="7"/>
      <c r="CS151" s="7"/>
      <c r="CT151" s="106">
        <v>12.4</v>
      </c>
      <c r="CU151" s="12" t="s">
        <v>417</v>
      </c>
      <c r="CV151" s="276" t="str">
        <f t="shared" si="49"/>
        <v>---------</v>
      </c>
      <c r="CW151" s="290">
        <v>1.74000000000003</v>
      </c>
      <c r="CX151" s="59">
        <v>128</v>
      </c>
      <c r="CY151" s="292" t="str">
        <f t="shared" si="50"/>
        <v>---------</v>
      </c>
      <c r="CZ151" s="7"/>
      <c r="DA151" s="7"/>
      <c r="DB151" s="7"/>
      <c r="DC151" s="106">
        <v>12.4</v>
      </c>
      <c r="DD151" s="12" t="s">
        <v>417</v>
      </c>
      <c r="DE151" s="276" t="str">
        <f t="shared" si="52"/>
        <v>---------</v>
      </c>
      <c r="DF151" s="290">
        <v>1.74000000000003</v>
      </c>
      <c r="DG151" s="59">
        <v>128</v>
      </c>
      <c r="DH151" s="292" t="str">
        <f t="shared" si="53"/>
        <v>---------</v>
      </c>
      <c r="DI151" s="7"/>
      <c r="DJ151" s="7"/>
      <c r="DK151" s="7"/>
      <c r="DL151" s="7"/>
      <c r="FG151" s="7">
        <v>128</v>
      </c>
      <c r="FH151" s="12">
        <v>7.4</v>
      </c>
      <c r="FR151" s="12"/>
      <c r="FS151" s="7">
        <v>128</v>
      </c>
      <c r="FT151" s="12">
        <v>37.4</v>
      </c>
    </row>
    <row r="152" spans="20:176">
      <c r="T152" s="7"/>
      <c r="U152" s="7"/>
      <c r="V152" s="43"/>
      <c r="W152" s="7"/>
      <c r="X152" s="7"/>
      <c r="Y152" s="7"/>
      <c r="Z152" s="7"/>
      <c r="AA152" s="7"/>
      <c r="AB152" s="7"/>
      <c r="AC152" s="7"/>
      <c r="AD152" s="7"/>
      <c r="AE152" s="7"/>
      <c r="AF152" s="7"/>
      <c r="AG152" s="7"/>
      <c r="AH152" s="7"/>
      <c r="AI152" s="7"/>
      <c r="AJ152" s="11"/>
      <c r="AK152" s="12"/>
      <c r="AL152" s="69"/>
      <c r="AM152" s="7"/>
      <c r="AN152" s="7"/>
      <c r="AO152" s="7"/>
      <c r="AP152" s="7"/>
      <c r="AQ152" s="7"/>
      <c r="AR152" s="7"/>
      <c r="AS152" s="7"/>
      <c r="AT152" s="7"/>
      <c r="AU152" s="7"/>
      <c r="AV152" s="7"/>
      <c r="AW152" s="7"/>
      <c r="AX152" s="7"/>
      <c r="AY152" s="7"/>
      <c r="AZ152" s="7"/>
      <c r="BA152" s="7"/>
      <c r="BB152" s="7"/>
      <c r="BC152" s="7"/>
      <c r="BD152" s="7"/>
      <c r="BE152" s="7"/>
      <c r="BF152" s="7"/>
      <c r="BG152" s="7"/>
      <c r="BH152" s="7"/>
      <c r="BI152" s="7"/>
      <c r="BJ152" s="7"/>
      <c r="BK152" s="7"/>
      <c r="BL152" s="7"/>
      <c r="BM152" s="7"/>
      <c r="BN152" s="7"/>
      <c r="BO152" s="7"/>
      <c r="BP152" s="7"/>
      <c r="BQ152" s="7"/>
      <c r="BR152" s="7"/>
      <c r="BS152" s="7"/>
      <c r="BT152" s="7"/>
      <c r="BU152" s="7"/>
      <c r="BV152" s="7"/>
      <c r="BW152" s="7"/>
      <c r="BX152" s="7"/>
      <c r="BY152" s="7"/>
      <c r="BZ152" s="7"/>
      <c r="CA152" s="7"/>
      <c r="CB152" s="7"/>
      <c r="CC152" s="7"/>
      <c r="CD152" s="7"/>
      <c r="CE152" s="7"/>
      <c r="CF152" s="7"/>
      <c r="CG152" s="7"/>
      <c r="CH152" s="7"/>
      <c r="CI152" s="7"/>
      <c r="CJ152" s="7"/>
      <c r="CK152" s="7"/>
      <c r="CL152" s="7"/>
      <c r="CM152" s="7"/>
      <c r="CN152" s="7"/>
      <c r="CO152" s="7"/>
      <c r="CP152" s="7"/>
      <c r="CS152" s="7"/>
      <c r="CT152" s="106">
        <v>12.3</v>
      </c>
      <c r="CU152" s="12" t="s">
        <v>418</v>
      </c>
      <c r="CV152" s="276" t="str">
        <f t="shared" si="49"/>
        <v>---------</v>
      </c>
      <c r="CW152" s="290">
        <v>1.73000000000003</v>
      </c>
      <c r="CX152" s="59">
        <v>129</v>
      </c>
      <c r="CY152" s="292" t="str">
        <f t="shared" si="50"/>
        <v>---------</v>
      </c>
      <c r="CZ152" s="7"/>
      <c r="DA152" s="7"/>
      <c r="DB152" s="7"/>
      <c r="DC152" s="106">
        <v>12.3</v>
      </c>
      <c r="DD152" s="12" t="s">
        <v>418</v>
      </c>
      <c r="DE152" s="276" t="str">
        <f t="shared" si="52"/>
        <v>---------</v>
      </c>
      <c r="DF152" s="290">
        <v>1.73000000000003</v>
      </c>
      <c r="DG152" s="59">
        <v>129</v>
      </c>
      <c r="DH152" s="292" t="str">
        <f t="shared" si="53"/>
        <v>---------</v>
      </c>
      <c r="DI152" s="7"/>
      <c r="DJ152" s="7"/>
      <c r="DK152" s="7"/>
      <c r="DL152" s="7"/>
      <c r="FG152" s="7">
        <v>129</v>
      </c>
      <c r="FH152" s="12">
        <v>7.3</v>
      </c>
      <c r="FR152" s="12"/>
      <c r="FS152" s="7">
        <v>129</v>
      </c>
      <c r="FT152" s="12">
        <v>37.299999999999997</v>
      </c>
    </row>
    <row r="153" spans="20:176">
      <c r="T153" s="7"/>
      <c r="U153" s="7"/>
      <c r="V153" s="43"/>
      <c r="W153" s="7"/>
      <c r="X153" s="7"/>
      <c r="Y153" s="7"/>
      <c r="Z153" s="7"/>
      <c r="AA153" s="7"/>
      <c r="AB153" s="7"/>
      <c r="AC153" s="7"/>
      <c r="AD153" s="7"/>
      <c r="AE153" s="7"/>
      <c r="AF153" s="7"/>
      <c r="AG153" s="7"/>
      <c r="AH153" s="7"/>
      <c r="AI153" s="7"/>
      <c r="AJ153" s="11"/>
      <c r="AK153" s="12"/>
      <c r="AL153" s="69"/>
      <c r="AM153" s="7"/>
      <c r="AN153" s="7"/>
      <c r="AO153" s="7"/>
      <c r="AP153" s="7"/>
      <c r="AQ153" s="7"/>
      <c r="AR153" s="7"/>
      <c r="AS153" s="7"/>
      <c r="AT153" s="7"/>
      <c r="AU153" s="7"/>
      <c r="AV153" s="7"/>
      <c r="AW153" s="7"/>
      <c r="AX153" s="7"/>
      <c r="AY153" s="7"/>
      <c r="AZ153" s="7"/>
      <c r="BA153" s="7"/>
      <c r="BB153" s="7"/>
      <c r="BC153" s="7"/>
      <c r="BD153" s="7"/>
      <c r="BE153" s="7"/>
      <c r="BF153" s="7"/>
      <c r="BG153" s="7"/>
      <c r="BH153" s="7"/>
      <c r="BI153" s="7"/>
      <c r="BJ153" s="7"/>
      <c r="BK153" s="7"/>
      <c r="BL153" s="7"/>
      <c r="BM153" s="7"/>
      <c r="BN153" s="7"/>
      <c r="BO153" s="7"/>
      <c r="BP153" s="7"/>
      <c r="BQ153" s="7"/>
      <c r="BR153" s="7"/>
      <c r="BS153" s="7"/>
      <c r="BT153" s="7"/>
      <c r="BU153" s="7"/>
      <c r="BV153" s="7"/>
      <c r="BW153" s="7"/>
      <c r="BX153" s="7"/>
      <c r="BY153" s="7"/>
      <c r="BZ153" s="7"/>
      <c r="CA153" s="7"/>
      <c r="CB153" s="7"/>
      <c r="CC153" s="7"/>
      <c r="CD153" s="7"/>
      <c r="CE153" s="7"/>
      <c r="CF153" s="7"/>
      <c r="CG153" s="7"/>
      <c r="CH153" s="7"/>
      <c r="CI153" s="7"/>
      <c r="CJ153" s="7"/>
      <c r="CK153" s="7"/>
      <c r="CL153" s="7"/>
      <c r="CM153" s="7"/>
      <c r="CN153" s="7"/>
      <c r="CO153" s="7"/>
      <c r="CP153" s="7"/>
      <c r="CS153" s="7"/>
      <c r="CT153" s="106">
        <v>12.2</v>
      </c>
      <c r="CU153" s="12" t="s">
        <v>419</v>
      </c>
      <c r="CV153" s="276" t="str">
        <f t="shared" ref="CV153:CV216" si="54">IF(Cntrl6&gt;3,TEXT(CT153,"0.0"),"---------")</f>
        <v>---------</v>
      </c>
      <c r="CW153" s="290">
        <v>1.7200000000000299</v>
      </c>
      <c r="CX153" s="59">
        <v>130</v>
      </c>
      <c r="CY153" s="292" t="str">
        <f t="shared" ref="CY153:CY216" si="55">IF(Cntrl6=2,"---------",TEXT(CW153,"0.00"))</f>
        <v>---------</v>
      </c>
      <c r="CZ153" s="7"/>
      <c r="DA153" s="7"/>
      <c r="DB153" s="7"/>
      <c r="DC153" s="106">
        <v>12.2</v>
      </c>
      <c r="DD153" s="12" t="s">
        <v>419</v>
      </c>
      <c r="DE153" s="276" t="str">
        <f t="shared" ref="DE153:DE216" si="56">IF($CH$23&gt;3,TEXT(DC153,"0.0"),"---------")</f>
        <v>---------</v>
      </c>
      <c r="DF153" s="290">
        <v>1.7200000000000299</v>
      </c>
      <c r="DG153" s="59">
        <v>130</v>
      </c>
      <c r="DH153" s="292" t="str">
        <f t="shared" ref="DH153:DH216" si="57">IF($CH$23=2,"---------",TEXT(DF153,"0.00"))</f>
        <v>---------</v>
      </c>
      <c r="DI153" s="7"/>
      <c r="DJ153" s="7"/>
      <c r="DK153" s="7"/>
      <c r="DL153" s="7"/>
      <c r="FG153" s="7">
        <v>130</v>
      </c>
      <c r="FH153" s="12">
        <v>7.2</v>
      </c>
      <c r="FR153" s="12"/>
      <c r="FS153" s="7">
        <v>130</v>
      </c>
      <c r="FT153" s="12">
        <v>37.200000000000003</v>
      </c>
    </row>
    <row r="154" spans="20:176">
      <c r="T154" s="7"/>
      <c r="U154" s="7"/>
      <c r="V154" s="43"/>
      <c r="W154" s="7"/>
      <c r="X154" s="7"/>
      <c r="Y154" s="7"/>
      <c r="Z154" s="7"/>
      <c r="AA154" s="7"/>
      <c r="AB154" s="7"/>
      <c r="AC154" s="7"/>
      <c r="AD154" s="7"/>
      <c r="AE154" s="7"/>
      <c r="AF154" s="7"/>
      <c r="AG154" s="7"/>
      <c r="AH154" s="7"/>
      <c r="AI154" s="7"/>
      <c r="AJ154" s="11"/>
      <c r="AK154" s="12"/>
      <c r="AL154" s="69"/>
      <c r="AM154" s="7"/>
      <c r="AN154" s="7"/>
      <c r="AO154" s="7"/>
      <c r="AP154" s="7"/>
      <c r="AQ154" s="7"/>
      <c r="AR154" s="7"/>
      <c r="AS154" s="7"/>
      <c r="AT154" s="7"/>
      <c r="AU154" s="7"/>
      <c r="AV154" s="7"/>
      <c r="AW154" s="7"/>
      <c r="AX154" s="7"/>
      <c r="AY154" s="7"/>
      <c r="AZ154" s="7"/>
      <c r="BA154" s="7"/>
      <c r="BB154" s="7"/>
      <c r="BC154" s="7"/>
      <c r="BD154" s="7"/>
      <c r="BE154" s="7"/>
      <c r="BF154" s="7"/>
      <c r="BG154" s="7"/>
      <c r="BH154" s="7"/>
      <c r="BI154" s="7"/>
      <c r="BJ154" s="7"/>
      <c r="BK154" s="7"/>
      <c r="BL154" s="7"/>
      <c r="BM154" s="7"/>
      <c r="BN154" s="7"/>
      <c r="BO154" s="7"/>
      <c r="BP154" s="7"/>
      <c r="BQ154" s="7"/>
      <c r="BR154" s="7"/>
      <c r="BS154" s="7"/>
      <c r="BT154" s="7"/>
      <c r="BU154" s="7"/>
      <c r="BV154" s="7"/>
      <c r="BW154" s="7"/>
      <c r="BX154" s="7"/>
      <c r="BY154" s="7"/>
      <c r="BZ154" s="7"/>
      <c r="CA154" s="7"/>
      <c r="CB154" s="7"/>
      <c r="CC154" s="7"/>
      <c r="CD154" s="7"/>
      <c r="CE154" s="7"/>
      <c r="CF154" s="7"/>
      <c r="CG154" s="7"/>
      <c r="CH154" s="7"/>
      <c r="CI154" s="7"/>
      <c r="CJ154" s="7"/>
      <c r="CK154" s="7"/>
      <c r="CL154" s="7"/>
      <c r="CM154" s="7"/>
      <c r="CN154" s="7"/>
      <c r="CO154" s="7"/>
      <c r="CP154" s="7"/>
      <c r="CS154" s="7"/>
      <c r="CT154" s="106">
        <v>12.1</v>
      </c>
      <c r="CU154" s="12" t="s">
        <v>420</v>
      </c>
      <c r="CV154" s="276" t="str">
        <f t="shared" si="54"/>
        <v>---------</v>
      </c>
      <c r="CW154" s="290">
        <v>1.7100000000000299</v>
      </c>
      <c r="CX154" s="59">
        <v>131</v>
      </c>
      <c r="CY154" s="292" t="str">
        <f t="shared" si="55"/>
        <v>---------</v>
      </c>
      <c r="CZ154" s="7"/>
      <c r="DA154" s="7"/>
      <c r="DB154" s="7"/>
      <c r="DC154" s="106">
        <v>12.1</v>
      </c>
      <c r="DD154" s="12" t="s">
        <v>420</v>
      </c>
      <c r="DE154" s="276" t="str">
        <f t="shared" si="56"/>
        <v>---------</v>
      </c>
      <c r="DF154" s="290">
        <v>1.7100000000000299</v>
      </c>
      <c r="DG154" s="59">
        <v>131</v>
      </c>
      <c r="DH154" s="292" t="str">
        <f t="shared" si="57"/>
        <v>---------</v>
      </c>
      <c r="DI154" s="7"/>
      <c r="DJ154" s="7"/>
      <c r="DK154" s="7"/>
      <c r="DL154" s="7"/>
      <c r="FG154" s="7">
        <v>131</v>
      </c>
      <c r="FH154" s="12">
        <v>7.1</v>
      </c>
      <c r="FR154" s="12"/>
      <c r="FS154" s="7">
        <v>131</v>
      </c>
      <c r="FT154" s="12">
        <v>37.1</v>
      </c>
    </row>
    <row r="155" spans="20:176">
      <c r="T155" s="7"/>
      <c r="U155" s="7"/>
      <c r="V155" s="43"/>
      <c r="W155" s="7"/>
      <c r="X155" s="7"/>
      <c r="Y155" s="7"/>
      <c r="Z155" s="7"/>
      <c r="AA155" s="7"/>
      <c r="AB155" s="7"/>
      <c r="AC155" s="7"/>
      <c r="AD155" s="7"/>
      <c r="AE155" s="7"/>
      <c r="AF155" s="7"/>
      <c r="AG155" s="7"/>
      <c r="AH155" s="7"/>
      <c r="AI155" s="7"/>
      <c r="AJ155" s="7"/>
      <c r="AK155" s="7"/>
      <c r="AL155" s="7"/>
      <c r="AM155" s="7"/>
      <c r="AN155" s="7"/>
      <c r="AO155" s="7"/>
      <c r="AP155" s="7"/>
      <c r="AQ155" s="7"/>
      <c r="AR155" s="7"/>
      <c r="AS155" s="7"/>
      <c r="AT155" s="7"/>
      <c r="AU155" s="7"/>
      <c r="AV155" s="7"/>
      <c r="AW155" s="7"/>
      <c r="AX155" s="7"/>
      <c r="AY155" s="7"/>
      <c r="AZ155" s="7"/>
      <c r="BA155" s="7"/>
      <c r="BB155" s="7"/>
      <c r="BC155" s="7"/>
      <c r="BD155" s="7"/>
      <c r="BE155" s="7"/>
      <c r="BF155" s="7"/>
      <c r="BG155" s="7"/>
      <c r="BH155" s="7"/>
      <c r="BI155" s="7"/>
      <c r="BJ155" s="7"/>
      <c r="BK155" s="7"/>
      <c r="BL155" s="7"/>
      <c r="BM155" s="7"/>
      <c r="BN155" s="7"/>
      <c r="BO155" s="7"/>
      <c r="BP155" s="7"/>
      <c r="BQ155" s="7"/>
      <c r="BR155" s="7"/>
      <c r="BS155" s="7"/>
      <c r="BT155" s="7"/>
      <c r="BU155" s="7"/>
      <c r="BV155" s="7"/>
      <c r="BW155" s="7"/>
      <c r="BX155" s="7"/>
      <c r="BY155" s="7"/>
      <c r="BZ155" s="7"/>
      <c r="CA155" s="7"/>
      <c r="CB155" s="7"/>
      <c r="CC155" s="7"/>
      <c r="CD155" s="7"/>
      <c r="CE155" s="7"/>
      <c r="CF155" s="7"/>
      <c r="CG155" s="7"/>
      <c r="CH155" s="7"/>
      <c r="CI155" s="7"/>
      <c r="CJ155" s="7"/>
      <c r="CK155" s="7"/>
      <c r="CL155" s="7"/>
      <c r="CM155" s="7"/>
      <c r="CN155" s="7"/>
      <c r="CO155" s="7"/>
      <c r="CP155" s="7"/>
      <c r="CS155" s="7"/>
      <c r="CT155" s="106">
        <v>12</v>
      </c>
      <c r="CU155" s="12" t="s">
        <v>421</v>
      </c>
      <c r="CV155" s="276" t="str">
        <f t="shared" si="54"/>
        <v>---------</v>
      </c>
      <c r="CW155" s="290">
        <v>1.7000000000000299</v>
      </c>
      <c r="CX155" s="59">
        <v>132</v>
      </c>
      <c r="CY155" s="292" t="str">
        <f t="shared" si="55"/>
        <v>---------</v>
      </c>
      <c r="CZ155" s="7"/>
      <c r="DA155" s="7"/>
      <c r="DB155" s="7"/>
      <c r="DC155" s="106">
        <v>12</v>
      </c>
      <c r="DD155" s="12" t="s">
        <v>421</v>
      </c>
      <c r="DE155" s="276" t="str">
        <f t="shared" si="56"/>
        <v>---------</v>
      </c>
      <c r="DF155" s="290">
        <v>1.7000000000000299</v>
      </c>
      <c r="DG155" s="59">
        <v>132</v>
      </c>
      <c r="DH155" s="292" t="str">
        <f t="shared" si="57"/>
        <v>---------</v>
      </c>
      <c r="DI155" s="7"/>
      <c r="DJ155" s="7"/>
      <c r="DK155" s="7"/>
      <c r="DL155" s="7"/>
      <c r="FG155" s="7">
        <v>132</v>
      </c>
      <c r="FH155" s="12">
        <v>7</v>
      </c>
      <c r="FR155" s="12"/>
      <c r="FS155" s="7">
        <v>132</v>
      </c>
      <c r="FT155" s="12">
        <v>37</v>
      </c>
    </row>
    <row r="156" spans="20:176">
      <c r="T156" s="7"/>
      <c r="U156" s="7"/>
      <c r="V156" s="43"/>
      <c r="W156" s="7"/>
      <c r="X156" s="7"/>
      <c r="Y156" s="7"/>
      <c r="Z156" s="7"/>
      <c r="AA156" s="7"/>
      <c r="AB156" s="7"/>
      <c r="AC156" s="7"/>
      <c r="AD156" s="7"/>
      <c r="AE156" s="7"/>
      <c r="AF156" s="7"/>
      <c r="AG156" s="7"/>
      <c r="AH156" s="7"/>
      <c r="AI156" s="7"/>
      <c r="AJ156" s="7"/>
      <c r="AK156" s="7"/>
      <c r="AL156" s="7"/>
      <c r="AM156" s="7"/>
      <c r="AN156" s="7"/>
      <c r="AO156" s="7"/>
      <c r="AP156" s="7"/>
      <c r="AQ156" s="7"/>
      <c r="AR156" s="7"/>
      <c r="AS156" s="7"/>
      <c r="AT156" s="7"/>
      <c r="AU156" s="7"/>
      <c r="AV156" s="7"/>
      <c r="AW156" s="7"/>
      <c r="AX156" s="7"/>
      <c r="AY156" s="7"/>
      <c r="AZ156" s="7"/>
      <c r="BA156" s="7"/>
      <c r="BB156" s="7"/>
      <c r="BC156" s="7"/>
      <c r="BD156" s="7"/>
      <c r="BE156" s="7"/>
      <c r="BF156" s="7"/>
      <c r="BG156" s="7"/>
      <c r="BH156" s="7"/>
      <c r="BI156" s="7"/>
      <c r="BJ156" s="7"/>
      <c r="BK156" s="7"/>
      <c r="BL156" s="7"/>
      <c r="BM156" s="7"/>
      <c r="BN156" s="7"/>
      <c r="BO156" s="7"/>
      <c r="BP156" s="7"/>
      <c r="BQ156" s="7"/>
      <c r="BR156" s="7"/>
      <c r="BS156" s="7"/>
      <c r="BT156" s="7"/>
      <c r="BU156" s="7"/>
      <c r="BV156" s="7"/>
      <c r="BW156" s="7"/>
      <c r="BX156" s="7"/>
      <c r="BY156" s="7"/>
      <c r="BZ156" s="7"/>
      <c r="CA156" s="7"/>
      <c r="CB156" s="7"/>
      <c r="CC156" s="7"/>
      <c r="CD156" s="7"/>
      <c r="CE156" s="7"/>
      <c r="CF156" s="7"/>
      <c r="CG156" s="7"/>
      <c r="CH156" s="7"/>
      <c r="CI156" s="7"/>
      <c r="CJ156" s="7"/>
      <c r="CK156" s="7"/>
      <c r="CL156" s="7"/>
      <c r="CM156" s="7"/>
      <c r="CN156" s="7"/>
      <c r="CO156" s="7"/>
      <c r="CP156" s="7"/>
      <c r="CS156" s="7"/>
      <c r="CT156" s="106">
        <v>11.9</v>
      </c>
      <c r="CU156" s="12" t="s">
        <v>422</v>
      </c>
      <c r="CV156" s="276" t="str">
        <f t="shared" si="54"/>
        <v>---------</v>
      </c>
      <c r="CW156" s="290">
        <v>1.6900000000000299</v>
      </c>
      <c r="CX156" s="59">
        <v>133</v>
      </c>
      <c r="CY156" s="292" t="str">
        <f t="shared" si="55"/>
        <v>---------</v>
      </c>
      <c r="CZ156" s="7"/>
      <c r="DA156" s="7"/>
      <c r="DB156" s="7"/>
      <c r="DC156" s="106">
        <v>11.9</v>
      </c>
      <c r="DD156" s="12" t="s">
        <v>422</v>
      </c>
      <c r="DE156" s="276" t="str">
        <f t="shared" si="56"/>
        <v>---------</v>
      </c>
      <c r="DF156" s="290">
        <v>1.6900000000000299</v>
      </c>
      <c r="DG156" s="59">
        <v>133</v>
      </c>
      <c r="DH156" s="292" t="str">
        <f t="shared" si="57"/>
        <v>---------</v>
      </c>
      <c r="DI156" s="7"/>
      <c r="DJ156" s="7"/>
      <c r="DK156" s="7"/>
      <c r="DL156" s="7"/>
      <c r="FG156" s="7">
        <v>133</v>
      </c>
      <c r="FH156" s="12">
        <v>6.9</v>
      </c>
      <c r="FR156" s="12"/>
      <c r="FS156" s="7">
        <v>133</v>
      </c>
      <c r="FT156" s="12">
        <v>36.9</v>
      </c>
    </row>
    <row r="157" spans="20:176">
      <c r="T157" s="7"/>
      <c r="U157" s="7"/>
      <c r="V157" s="43"/>
      <c r="W157" s="7"/>
      <c r="X157" s="7"/>
      <c r="Y157" s="7"/>
      <c r="Z157" s="7"/>
      <c r="AA157" s="7"/>
      <c r="AB157" s="7"/>
      <c r="AC157" s="7"/>
      <c r="AD157" s="7"/>
      <c r="AE157" s="7"/>
      <c r="AF157" s="7"/>
      <c r="AG157" s="7"/>
      <c r="AH157" s="7"/>
      <c r="AI157" s="7"/>
      <c r="AJ157" s="7"/>
      <c r="AK157" s="7"/>
      <c r="AL157" s="7"/>
      <c r="AM157" s="7"/>
      <c r="AN157" s="7"/>
      <c r="AO157" s="7"/>
      <c r="AP157" s="7"/>
      <c r="AQ157" s="7"/>
      <c r="AR157" s="7"/>
      <c r="AS157" s="7"/>
      <c r="AT157" s="7"/>
      <c r="AU157" s="7"/>
      <c r="AV157" s="7"/>
      <c r="AW157" s="7"/>
      <c r="AX157" s="7"/>
      <c r="AY157" s="7"/>
      <c r="AZ157" s="7"/>
      <c r="BA157" s="7"/>
      <c r="BB157" s="7"/>
      <c r="BC157" s="7"/>
      <c r="BD157" s="7"/>
      <c r="BE157" s="7"/>
      <c r="BF157" s="7"/>
      <c r="BG157" s="7"/>
      <c r="BH157" s="7"/>
      <c r="BI157" s="7"/>
      <c r="BJ157" s="7"/>
      <c r="BK157" s="7"/>
      <c r="BL157" s="7"/>
      <c r="BM157" s="7"/>
      <c r="BN157" s="7"/>
      <c r="BO157" s="7"/>
      <c r="BP157" s="7"/>
      <c r="BQ157" s="7"/>
      <c r="BR157" s="7"/>
      <c r="BS157" s="7"/>
      <c r="BT157" s="7"/>
      <c r="BU157" s="7"/>
      <c r="BV157" s="7"/>
      <c r="BW157" s="7"/>
      <c r="BX157" s="7"/>
      <c r="BY157" s="7"/>
      <c r="BZ157" s="7"/>
      <c r="CA157" s="7"/>
      <c r="CB157" s="7"/>
      <c r="CC157" s="7"/>
      <c r="CD157" s="7"/>
      <c r="CE157" s="7"/>
      <c r="CF157" s="7"/>
      <c r="CG157" s="7"/>
      <c r="CH157" s="7"/>
      <c r="CI157" s="7"/>
      <c r="CJ157" s="7"/>
      <c r="CK157" s="7"/>
      <c r="CL157" s="7"/>
      <c r="CM157" s="7"/>
      <c r="CN157" s="7"/>
      <c r="CO157" s="7"/>
      <c r="CP157" s="7"/>
      <c r="CS157" s="7"/>
      <c r="CT157" s="106">
        <v>11.8</v>
      </c>
      <c r="CU157" s="12" t="s">
        <v>423</v>
      </c>
      <c r="CV157" s="276" t="str">
        <f t="shared" si="54"/>
        <v>---------</v>
      </c>
      <c r="CW157" s="290">
        <v>1.6800000000000299</v>
      </c>
      <c r="CX157" s="59">
        <v>134</v>
      </c>
      <c r="CY157" s="292" t="str">
        <f t="shared" si="55"/>
        <v>---------</v>
      </c>
      <c r="CZ157" s="7"/>
      <c r="DA157" s="7"/>
      <c r="DB157" s="7"/>
      <c r="DC157" s="106">
        <v>11.8</v>
      </c>
      <c r="DD157" s="12" t="s">
        <v>423</v>
      </c>
      <c r="DE157" s="276" t="str">
        <f t="shared" si="56"/>
        <v>---------</v>
      </c>
      <c r="DF157" s="290">
        <v>1.6800000000000299</v>
      </c>
      <c r="DG157" s="59">
        <v>134</v>
      </c>
      <c r="DH157" s="292" t="str">
        <f t="shared" si="57"/>
        <v>---------</v>
      </c>
      <c r="DI157" s="7"/>
      <c r="DJ157" s="7"/>
      <c r="DK157" s="7"/>
      <c r="DL157" s="7"/>
      <c r="FG157" s="7">
        <v>134</v>
      </c>
      <c r="FH157" s="12">
        <v>6.8</v>
      </c>
      <c r="FR157" s="12"/>
      <c r="FS157" s="7">
        <v>134</v>
      </c>
      <c r="FT157" s="12">
        <v>36.799999999999997</v>
      </c>
    </row>
    <row r="158" spans="20:176">
      <c r="T158" s="7"/>
      <c r="U158" s="7"/>
      <c r="V158" s="43"/>
      <c r="W158" s="7"/>
      <c r="X158" s="7"/>
      <c r="Y158" s="7"/>
      <c r="Z158" s="7"/>
      <c r="AA158" s="7"/>
      <c r="AB158" s="7"/>
      <c r="AC158" s="7"/>
      <c r="AD158" s="7"/>
      <c r="AE158" s="7"/>
      <c r="AF158" s="7"/>
      <c r="AG158" s="7"/>
      <c r="AH158" s="7"/>
      <c r="AI158" s="7"/>
      <c r="AJ158" s="7"/>
      <c r="AK158" s="7"/>
      <c r="AL158" s="7"/>
      <c r="AM158" s="7"/>
      <c r="AN158" s="7"/>
      <c r="AO158" s="7"/>
      <c r="AP158" s="7"/>
      <c r="AQ158" s="7"/>
      <c r="AR158" s="7"/>
      <c r="AS158" s="7"/>
      <c r="AT158" s="7"/>
      <c r="AU158" s="7"/>
      <c r="AV158" s="7"/>
      <c r="AW158" s="7"/>
      <c r="AX158" s="7"/>
      <c r="AY158" s="7"/>
      <c r="AZ158" s="7"/>
      <c r="BA158" s="7"/>
      <c r="BB158" s="7"/>
      <c r="BC158" s="7"/>
      <c r="BD158" s="7"/>
      <c r="BE158" s="7"/>
      <c r="BF158" s="7"/>
      <c r="BG158" s="7"/>
      <c r="BH158" s="7"/>
      <c r="BI158" s="7"/>
      <c r="BJ158" s="7"/>
      <c r="BK158" s="7"/>
      <c r="BL158" s="7"/>
      <c r="BM158" s="7"/>
      <c r="BN158" s="7"/>
      <c r="BO158" s="7"/>
      <c r="BP158" s="7"/>
      <c r="BQ158" s="7"/>
      <c r="BR158" s="7"/>
      <c r="BS158" s="7"/>
      <c r="BT158" s="7"/>
      <c r="BU158" s="7"/>
      <c r="BV158" s="7"/>
      <c r="BW158" s="7"/>
      <c r="BX158" s="7"/>
      <c r="BY158" s="7"/>
      <c r="BZ158" s="7"/>
      <c r="CA158" s="7"/>
      <c r="CB158" s="7"/>
      <c r="CC158" s="7"/>
      <c r="CD158" s="7"/>
      <c r="CE158" s="7"/>
      <c r="CF158" s="7"/>
      <c r="CG158" s="7"/>
      <c r="CH158" s="7"/>
      <c r="CI158" s="7"/>
      <c r="CJ158" s="7"/>
      <c r="CK158" s="7"/>
      <c r="CL158" s="7"/>
      <c r="CM158" s="7"/>
      <c r="CN158" s="7"/>
      <c r="CO158" s="7"/>
      <c r="CP158" s="7"/>
      <c r="CS158" s="7"/>
      <c r="CT158" s="106">
        <v>11.7</v>
      </c>
      <c r="CU158" s="12" t="s">
        <v>424</v>
      </c>
      <c r="CV158" s="276" t="str">
        <f t="shared" si="54"/>
        <v>---------</v>
      </c>
      <c r="CW158" s="290">
        <v>1.6700000000000299</v>
      </c>
      <c r="CX158" s="59">
        <v>135</v>
      </c>
      <c r="CY158" s="292" t="str">
        <f t="shared" si="55"/>
        <v>---------</v>
      </c>
      <c r="CZ158" s="7"/>
      <c r="DA158" s="7"/>
      <c r="DB158" s="7"/>
      <c r="DC158" s="106">
        <v>11.7</v>
      </c>
      <c r="DD158" s="12" t="s">
        <v>424</v>
      </c>
      <c r="DE158" s="276" t="str">
        <f t="shared" si="56"/>
        <v>---------</v>
      </c>
      <c r="DF158" s="290">
        <v>1.6700000000000299</v>
      </c>
      <c r="DG158" s="59">
        <v>135</v>
      </c>
      <c r="DH158" s="292" t="str">
        <f t="shared" si="57"/>
        <v>---------</v>
      </c>
      <c r="DI158" s="7"/>
      <c r="DJ158" s="7"/>
      <c r="DK158" s="7"/>
      <c r="DL158" s="7"/>
      <c r="FG158" s="7">
        <v>135</v>
      </c>
      <c r="FH158" s="12">
        <v>6.7</v>
      </c>
      <c r="FR158" s="12"/>
      <c r="FS158" s="7">
        <v>135</v>
      </c>
      <c r="FT158" s="12">
        <v>36.700000000000003</v>
      </c>
    </row>
    <row r="159" spans="20:176">
      <c r="T159" s="7"/>
      <c r="U159" s="7"/>
      <c r="V159" s="43"/>
      <c r="W159" s="7"/>
      <c r="X159" s="7"/>
      <c r="Y159" s="7"/>
      <c r="Z159" s="7"/>
      <c r="AA159" s="7"/>
      <c r="AB159" s="7"/>
      <c r="AC159" s="7"/>
      <c r="AD159" s="7"/>
      <c r="AE159" s="7"/>
      <c r="AF159" s="7"/>
      <c r="AG159" s="7"/>
      <c r="AH159" s="7"/>
      <c r="AI159" s="7"/>
      <c r="AJ159" s="7"/>
      <c r="AK159" s="7"/>
      <c r="AL159" s="7"/>
      <c r="AM159" s="7"/>
      <c r="AN159" s="7"/>
      <c r="AO159" s="7"/>
      <c r="AP159" s="7"/>
      <c r="AQ159" s="7"/>
      <c r="AR159" s="7"/>
      <c r="AS159" s="7"/>
      <c r="AT159" s="7"/>
      <c r="AU159" s="7"/>
      <c r="AV159" s="7"/>
      <c r="AW159" s="7"/>
      <c r="AX159" s="7"/>
      <c r="AY159" s="7"/>
      <c r="AZ159" s="7"/>
      <c r="BA159" s="7"/>
      <c r="BB159" s="7"/>
      <c r="BC159" s="7"/>
      <c r="BD159" s="7"/>
      <c r="BE159" s="7"/>
      <c r="BF159" s="7"/>
      <c r="BG159" s="7"/>
      <c r="BH159" s="7"/>
      <c r="BI159" s="7"/>
      <c r="BJ159" s="7"/>
      <c r="BK159" s="7"/>
      <c r="BL159" s="7"/>
      <c r="BM159" s="7"/>
      <c r="BN159" s="7"/>
      <c r="BO159" s="7"/>
      <c r="BP159" s="7"/>
      <c r="BQ159" s="7"/>
      <c r="BR159" s="7"/>
      <c r="BS159" s="7"/>
      <c r="BT159" s="7"/>
      <c r="BU159" s="7"/>
      <c r="BV159" s="7"/>
      <c r="BW159" s="7"/>
      <c r="BX159" s="7"/>
      <c r="BY159" s="7"/>
      <c r="BZ159" s="7"/>
      <c r="CA159" s="7"/>
      <c r="CB159" s="7"/>
      <c r="CC159" s="7"/>
      <c r="CD159" s="7"/>
      <c r="CE159" s="7"/>
      <c r="CF159" s="7"/>
      <c r="CG159" s="7"/>
      <c r="CH159" s="7"/>
      <c r="CI159" s="7"/>
      <c r="CJ159" s="7"/>
      <c r="CK159" s="7"/>
      <c r="CL159" s="7"/>
      <c r="CM159" s="7"/>
      <c r="CN159" s="7"/>
      <c r="CO159" s="7"/>
      <c r="CP159" s="7"/>
      <c r="CS159" s="7"/>
      <c r="CT159" s="106">
        <v>11.6</v>
      </c>
      <c r="CU159" s="12" t="s">
        <v>425</v>
      </c>
      <c r="CV159" s="276" t="str">
        <f t="shared" si="54"/>
        <v>---------</v>
      </c>
      <c r="CW159" s="290">
        <v>1.6600000000000299</v>
      </c>
      <c r="CX159" s="59">
        <v>136</v>
      </c>
      <c r="CY159" s="292" t="str">
        <f t="shared" si="55"/>
        <v>---------</v>
      </c>
      <c r="CZ159" s="7"/>
      <c r="DA159" s="7"/>
      <c r="DB159" s="7"/>
      <c r="DC159" s="106">
        <v>11.6</v>
      </c>
      <c r="DD159" s="12" t="s">
        <v>425</v>
      </c>
      <c r="DE159" s="276" t="str">
        <f t="shared" si="56"/>
        <v>---------</v>
      </c>
      <c r="DF159" s="290">
        <v>1.6600000000000299</v>
      </c>
      <c r="DG159" s="59">
        <v>136</v>
      </c>
      <c r="DH159" s="292" t="str">
        <f t="shared" si="57"/>
        <v>---------</v>
      </c>
      <c r="DI159" s="7"/>
      <c r="DJ159" s="7"/>
      <c r="DK159" s="7"/>
      <c r="DL159" s="7"/>
      <c r="FG159" s="7">
        <v>136</v>
      </c>
      <c r="FH159" s="12">
        <v>6.6</v>
      </c>
      <c r="FR159" s="12"/>
      <c r="FS159" s="7">
        <v>136</v>
      </c>
      <c r="FT159" s="12">
        <v>36.6</v>
      </c>
    </row>
    <row r="160" spans="20:176">
      <c r="T160" s="7"/>
      <c r="U160" s="7"/>
      <c r="V160" s="43"/>
      <c r="W160" s="7"/>
      <c r="X160" s="7"/>
      <c r="Y160" s="7"/>
      <c r="Z160" s="7"/>
      <c r="AA160" s="7"/>
      <c r="AB160" s="7"/>
      <c r="AC160" s="7"/>
      <c r="AD160" s="7"/>
      <c r="AE160" s="7"/>
      <c r="AF160" s="7"/>
      <c r="AG160" s="7"/>
      <c r="AH160" s="7"/>
      <c r="AI160" s="7"/>
      <c r="AJ160" s="7"/>
      <c r="AK160" s="7"/>
      <c r="AL160" s="7"/>
      <c r="AM160" s="7"/>
      <c r="AN160" s="7"/>
      <c r="AO160" s="7"/>
      <c r="AP160" s="7"/>
      <c r="AQ160" s="7"/>
      <c r="AR160" s="7"/>
      <c r="AS160" s="7"/>
      <c r="AT160" s="7"/>
      <c r="AU160" s="7"/>
      <c r="AV160" s="7"/>
      <c r="AW160" s="7"/>
      <c r="AX160" s="7"/>
      <c r="AY160" s="7"/>
      <c r="AZ160" s="7"/>
      <c r="BA160" s="7"/>
      <c r="BB160" s="7"/>
      <c r="BC160" s="7"/>
      <c r="BD160" s="7"/>
      <c r="BE160" s="7"/>
      <c r="BF160" s="7"/>
      <c r="BG160" s="7"/>
      <c r="BH160" s="7"/>
      <c r="BI160" s="7"/>
      <c r="BJ160" s="7"/>
      <c r="BK160" s="7"/>
      <c r="BL160" s="7"/>
      <c r="BM160" s="7"/>
      <c r="BN160" s="7"/>
      <c r="BO160" s="7"/>
      <c r="BP160" s="7"/>
      <c r="BQ160" s="7"/>
      <c r="BR160" s="7"/>
      <c r="BS160" s="7"/>
      <c r="BT160" s="7"/>
      <c r="BU160" s="7"/>
      <c r="BV160" s="7"/>
      <c r="BW160" s="7"/>
      <c r="BX160" s="7"/>
      <c r="BY160" s="7"/>
      <c r="BZ160" s="7"/>
      <c r="CA160" s="7"/>
      <c r="CB160" s="7"/>
      <c r="CC160" s="7"/>
      <c r="CD160" s="7"/>
      <c r="CE160" s="7"/>
      <c r="CF160" s="7"/>
      <c r="CG160" s="7"/>
      <c r="CH160" s="7"/>
      <c r="CI160" s="7"/>
      <c r="CJ160" s="7"/>
      <c r="CK160" s="7"/>
      <c r="CL160" s="7"/>
      <c r="CM160" s="7"/>
      <c r="CN160" s="7"/>
      <c r="CO160" s="7"/>
      <c r="CP160" s="7"/>
      <c r="CS160" s="7"/>
      <c r="CT160" s="106">
        <v>11.5</v>
      </c>
      <c r="CU160" s="12" t="s">
        <v>426</v>
      </c>
      <c r="CV160" s="276" t="str">
        <f t="shared" si="54"/>
        <v>---------</v>
      </c>
      <c r="CW160" s="290">
        <v>1.6500000000000301</v>
      </c>
      <c r="CX160" s="59">
        <v>137</v>
      </c>
      <c r="CY160" s="292" t="str">
        <f t="shared" si="55"/>
        <v>---------</v>
      </c>
      <c r="CZ160" s="7"/>
      <c r="DA160" s="7"/>
      <c r="DB160" s="7"/>
      <c r="DC160" s="106">
        <v>11.5</v>
      </c>
      <c r="DD160" s="12" t="s">
        <v>426</v>
      </c>
      <c r="DE160" s="276" t="str">
        <f t="shared" si="56"/>
        <v>---------</v>
      </c>
      <c r="DF160" s="290">
        <v>1.6500000000000301</v>
      </c>
      <c r="DG160" s="59">
        <v>137</v>
      </c>
      <c r="DH160" s="292" t="str">
        <f t="shared" si="57"/>
        <v>---------</v>
      </c>
      <c r="DI160" s="7"/>
      <c r="DJ160" s="7"/>
      <c r="DK160" s="7"/>
      <c r="DL160" s="7"/>
      <c r="FG160" s="7">
        <v>137</v>
      </c>
      <c r="FH160" s="12">
        <v>6.5</v>
      </c>
      <c r="FR160" s="12"/>
      <c r="FS160" s="7">
        <v>137</v>
      </c>
      <c r="FT160" s="12">
        <v>36.5</v>
      </c>
    </row>
    <row r="161" spans="20:176">
      <c r="T161" s="7"/>
      <c r="U161" s="7"/>
      <c r="V161" s="43"/>
      <c r="W161" s="7"/>
      <c r="X161" s="7"/>
      <c r="Y161" s="7"/>
      <c r="Z161" s="7"/>
      <c r="AA161" s="7"/>
      <c r="AB161" s="7"/>
      <c r="AC161" s="7"/>
      <c r="AD161" s="7"/>
      <c r="AE161" s="7"/>
      <c r="AF161" s="7"/>
      <c r="AG161" s="7"/>
      <c r="AH161" s="7"/>
      <c r="AI161" s="7"/>
      <c r="AJ161" s="7"/>
      <c r="AK161" s="7"/>
      <c r="AL161" s="7"/>
      <c r="AM161" s="7"/>
      <c r="AN161" s="7"/>
      <c r="AO161" s="7"/>
      <c r="AP161" s="7"/>
      <c r="AQ161" s="7"/>
      <c r="AR161" s="7"/>
      <c r="AS161" s="7"/>
      <c r="AT161" s="7"/>
      <c r="AU161" s="7"/>
      <c r="AV161" s="7"/>
      <c r="AW161" s="7"/>
      <c r="AX161" s="7"/>
      <c r="AY161" s="7"/>
      <c r="AZ161" s="7"/>
      <c r="BA161" s="7"/>
      <c r="BB161" s="7"/>
      <c r="BC161" s="7"/>
      <c r="BD161" s="7"/>
      <c r="BE161" s="7"/>
      <c r="BF161" s="7"/>
      <c r="BG161" s="7"/>
      <c r="BH161" s="7"/>
      <c r="BI161" s="7"/>
      <c r="BJ161" s="7"/>
      <c r="BK161" s="7"/>
      <c r="BL161" s="7"/>
      <c r="BM161" s="7"/>
      <c r="BN161" s="7"/>
      <c r="BO161" s="7"/>
      <c r="BP161" s="7"/>
      <c r="BQ161" s="7"/>
      <c r="BR161" s="7"/>
      <c r="BS161" s="7"/>
      <c r="BT161" s="7"/>
      <c r="BU161" s="7"/>
      <c r="BV161" s="7"/>
      <c r="BW161" s="7"/>
      <c r="BX161" s="7"/>
      <c r="BY161" s="7"/>
      <c r="BZ161" s="7"/>
      <c r="CA161" s="7"/>
      <c r="CB161" s="7"/>
      <c r="CC161" s="7"/>
      <c r="CD161" s="7"/>
      <c r="CE161" s="7"/>
      <c r="CF161" s="7"/>
      <c r="CG161" s="7"/>
      <c r="CH161" s="7"/>
      <c r="CI161" s="7"/>
      <c r="CJ161" s="7"/>
      <c r="CK161" s="7"/>
      <c r="CL161" s="7"/>
      <c r="CM161" s="7"/>
      <c r="CN161" s="7"/>
      <c r="CO161" s="7"/>
      <c r="CP161" s="7"/>
      <c r="CS161" s="7"/>
      <c r="CT161" s="106">
        <v>11.4</v>
      </c>
      <c r="CU161" s="12" t="s">
        <v>427</v>
      </c>
      <c r="CV161" s="276" t="str">
        <f t="shared" si="54"/>
        <v>---------</v>
      </c>
      <c r="CW161" s="290">
        <v>1.6400000000000301</v>
      </c>
      <c r="CX161" s="59">
        <v>138</v>
      </c>
      <c r="CY161" s="292" t="str">
        <f t="shared" si="55"/>
        <v>---------</v>
      </c>
      <c r="CZ161" s="7"/>
      <c r="DA161" s="7"/>
      <c r="DB161" s="7"/>
      <c r="DC161" s="106">
        <v>11.4</v>
      </c>
      <c r="DD161" s="12" t="s">
        <v>427</v>
      </c>
      <c r="DE161" s="276" t="str">
        <f t="shared" si="56"/>
        <v>---------</v>
      </c>
      <c r="DF161" s="290">
        <v>1.6400000000000301</v>
      </c>
      <c r="DG161" s="59">
        <v>138</v>
      </c>
      <c r="DH161" s="292" t="str">
        <f t="shared" si="57"/>
        <v>---------</v>
      </c>
      <c r="DI161" s="7"/>
      <c r="DJ161" s="7"/>
      <c r="DK161" s="7"/>
      <c r="DL161" s="7"/>
      <c r="FG161" s="7">
        <v>138</v>
      </c>
      <c r="FH161" s="12">
        <v>6.4</v>
      </c>
      <c r="FR161" s="12"/>
      <c r="FS161" s="7">
        <v>138</v>
      </c>
      <c r="FT161" s="12">
        <v>36.4</v>
      </c>
    </row>
    <row r="162" spans="20:176">
      <c r="T162" s="7"/>
      <c r="U162" s="7"/>
      <c r="V162" s="43"/>
      <c r="W162" s="7"/>
      <c r="X162" s="7"/>
      <c r="Y162" s="7"/>
      <c r="Z162" s="7"/>
      <c r="AA162" s="7"/>
      <c r="AB162" s="7"/>
      <c r="AC162" s="7"/>
      <c r="AD162" s="7"/>
      <c r="AE162" s="7"/>
      <c r="AF162" s="7"/>
      <c r="AG162" s="7"/>
      <c r="AH162" s="7"/>
      <c r="AI162" s="7"/>
      <c r="AJ162" s="7"/>
      <c r="AK162" s="7"/>
      <c r="AL162" s="7"/>
      <c r="AM162" s="7"/>
      <c r="AN162" s="7"/>
      <c r="AO162" s="7"/>
      <c r="AP162" s="7"/>
      <c r="AQ162" s="7"/>
      <c r="AR162" s="7"/>
      <c r="AS162" s="7"/>
      <c r="AT162" s="7"/>
      <c r="AU162" s="7"/>
      <c r="AV162" s="7"/>
      <c r="AW162" s="7"/>
      <c r="AX162" s="7"/>
      <c r="AY162" s="7"/>
      <c r="AZ162" s="7"/>
      <c r="BA162" s="7"/>
      <c r="BB162" s="7"/>
      <c r="BC162" s="7"/>
      <c r="BD162" s="7"/>
      <c r="BE162" s="7"/>
      <c r="BF162" s="7"/>
      <c r="BG162" s="7"/>
      <c r="BH162" s="7"/>
      <c r="BI162" s="7"/>
      <c r="BJ162" s="7"/>
      <c r="BK162" s="7"/>
      <c r="BL162" s="7"/>
      <c r="BM162" s="7"/>
      <c r="BN162" s="7"/>
      <c r="BO162" s="7"/>
      <c r="BP162" s="7"/>
      <c r="BQ162" s="7"/>
      <c r="BR162" s="7"/>
      <c r="BS162" s="7"/>
      <c r="BT162" s="7"/>
      <c r="BU162" s="7"/>
      <c r="BV162" s="7"/>
      <c r="BW162" s="7"/>
      <c r="BX162" s="7"/>
      <c r="BY162" s="7"/>
      <c r="BZ162" s="7"/>
      <c r="CA162" s="7"/>
      <c r="CB162" s="7"/>
      <c r="CC162" s="7"/>
      <c r="CD162" s="7"/>
      <c r="CE162" s="7"/>
      <c r="CF162" s="7"/>
      <c r="CG162" s="7"/>
      <c r="CH162" s="7"/>
      <c r="CI162" s="7"/>
      <c r="CJ162" s="7"/>
      <c r="CK162" s="7"/>
      <c r="CL162" s="7"/>
      <c r="CM162" s="7"/>
      <c r="CN162" s="7"/>
      <c r="CO162" s="7"/>
      <c r="CP162" s="7"/>
      <c r="CS162" s="7"/>
      <c r="CT162" s="106">
        <v>11.3</v>
      </c>
      <c r="CU162" s="12" t="s">
        <v>428</v>
      </c>
      <c r="CV162" s="276" t="str">
        <f t="shared" si="54"/>
        <v>---------</v>
      </c>
      <c r="CW162" s="290">
        <v>1.6300000000000301</v>
      </c>
      <c r="CX162" s="59">
        <v>139</v>
      </c>
      <c r="CY162" s="292" t="str">
        <f t="shared" si="55"/>
        <v>---------</v>
      </c>
      <c r="CZ162" s="7"/>
      <c r="DA162" s="7"/>
      <c r="DB162" s="7"/>
      <c r="DC162" s="106">
        <v>11.3</v>
      </c>
      <c r="DD162" s="12" t="s">
        <v>428</v>
      </c>
      <c r="DE162" s="276" t="str">
        <f t="shared" si="56"/>
        <v>---------</v>
      </c>
      <c r="DF162" s="290">
        <v>1.6300000000000301</v>
      </c>
      <c r="DG162" s="59">
        <v>139</v>
      </c>
      <c r="DH162" s="292" t="str">
        <f t="shared" si="57"/>
        <v>---------</v>
      </c>
      <c r="DI162" s="7"/>
      <c r="DJ162" s="7"/>
      <c r="DK162" s="7"/>
      <c r="DL162" s="7"/>
      <c r="FG162" s="7">
        <v>139</v>
      </c>
      <c r="FH162" s="12">
        <v>6.3</v>
      </c>
      <c r="FR162" s="12"/>
      <c r="FS162" s="7">
        <v>139</v>
      </c>
      <c r="FT162" s="12">
        <v>36.299999999999997</v>
      </c>
    </row>
    <row r="163" spans="20:176">
      <c r="T163" s="7"/>
      <c r="U163" s="7"/>
      <c r="V163" s="43"/>
      <c r="W163" s="7"/>
      <c r="X163" s="7"/>
      <c r="Y163" s="7"/>
      <c r="Z163" s="7"/>
      <c r="AA163" s="7"/>
      <c r="AB163" s="7"/>
      <c r="AC163" s="7"/>
      <c r="AD163" s="7"/>
      <c r="AE163" s="7"/>
      <c r="AF163" s="7"/>
      <c r="AG163" s="7"/>
      <c r="AH163" s="7"/>
      <c r="AI163" s="7"/>
      <c r="AJ163" s="7"/>
      <c r="AK163" s="7"/>
      <c r="AL163" s="7"/>
      <c r="AM163" s="7"/>
      <c r="AN163" s="7"/>
      <c r="AO163" s="7"/>
      <c r="AP163" s="7"/>
      <c r="AQ163" s="7"/>
      <c r="AR163" s="7"/>
      <c r="AS163" s="7"/>
      <c r="AT163" s="7"/>
      <c r="AU163" s="7"/>
      <c r="AV163" s="7"/>
      <c r="AW163" s="7"/>
      <c r="AX163" s="7"/>
      <c r="AY163" s="7"/>
      <c r="AZ163" s="7"/>
      <c r="BA163" s="7"/>
      <c r="BB163" s="7"/>
      <c r="BC163" s="7"/>
      <c r="BD163" s="7"/>
      <c r="BE163" s="7"/>
      <c r="BF163" s="7"/>
      <c r="BG163" s="7"/>
      <c r="BH163" s="7"/>
      <c r="BI163" s="7"/>
      <c r="BJ163" s="7"/>
      <c r="BK163" s="7"/>
      <c r="BL163" s="7"/>
      <c r="BM163" s="7"/>
      <c r="BN163" s="7"/>
      <c r="BO163" s="7"/>
      <c r="BP163" s="7"/>
      <c r="BQ163" s="7"/>
      <c r="BR163" s="7"/>
      <c r="BS163" s="7"/>
      <c r="BT163" s="7"/>
      <c r="BU163" s="7"/>
      <c r="BV163" s="7"/>
      <c r="BW163" s="7"/>
      <c r="BX163" s="7"/>
      <c r="BY163" s="7"/>
      <c r="BZ163" s="7"/>
      <c r="CA163" s="7"/>
      <c r="CB163" s="7"/>
      <c r="CC163" s="7"/>
      <c r="CD163" s="7"/>
      <c r="CE163" s="7"/>
      <c r="CF163" s="7"/>
      <c r="CG163" s="7"/>
      <c r="CH163" s="7"/>
      <c r="CI163" s="7"/>
      <c r="CJ163" s="7"/>
      <c r="CK163" s="7"/>
      <c r="CL163" s="7"/>
      <c r="CM163" s="7"/>
      <c r="CN163" s="7"/>
      <c r="CO163" s="7"/>
      <c r="CP163" s="7"/>
      <c r="CS163" s="7"/>
      <c r="CT163" s="106">
        <v>11.2</v>
      </c>
      <c r="CU163" s="12" t="s">
        <v>429</v>
      </c>
      <c r="CV163" s="276" t="str">
        <f t="shared" si="54"/>
        <v>---------</v>
      </c>
      <c r="CW163" s="290">
        <v>1.6200000000000301</v>
      </c>
      <c r="CX163" s="59">
        <v>140</v>
      </c>
      <c r="CY163" s="292" t="str">
        <f t="shared" si="55"/>
        <v>---------</v>
      </c>
      <c r="CZ163" s="7"/>
      <c r="DA163" s="7"/>
      <c r="DB163" s="7"/>
      <c r="DC163" s="106">
        <v>11.2</v>
      </c>
      <c r="DD163" s="12" t="s">
        <v>429</v>
      </c>
      <c r="DE163" s="276" t="str">
        <f t="shared" si="56"/>
        <v>---------</v>
      </c>
      <c r="DF163" s="290">
        <v>1.6200000000000301</v>
      </c>
      <c r="DG163" s="59">
        <v>140</v>
      </c>
      <c r="DH163" s="292" t="str">
        <f t="shared" si="57"/>
        <v>---------</v>
      </c>
      <c r="DI163" s="7"/>
      <c r="DJ163" s="7"/>
      <c r="DK163" s="7"/>
      <c r="DL163" s="7"/>
      <c r="FG163" s="7">
        <v>140</v>
      </c>
      <c r="FH163" s="12">
        <v>6.2</v>
      </c>
      <c r="FR163" s="12"/>
      <c r="FS163" s="7">
        <v>140</v>
      </c>
      <c r="FT163" s="12">
        <v>36.200000000000003</v>
      </c>
    </row>
    <row r="164" spans="20:176">
      <c r="T164" s="7"/>
      <c r="U164" s="7"/>
      <c r="V164" s="43"/>
      <c r="W164" s="7"/>
      <c r="X164" s="7"/>
      <c r="Y164" s="7"/>
      <c r="Z164" s="7"/>
      <c r="AA164" s="7"/>
      <c r="AB164" s="7"/>
      <c r="AC164" s="7"/>
      <c r="AD164" s="7"/>
      <c r="AE164" s="7"/>
      <c r="AF164" s="7"/>
      <c r="AG164" s="7"/>
      <c r="AH164" s="7"/>
      <c r="AI164" s="7"/>
      <c r="AJ164" s="7"/>
      <c r="AK164" s="7"/>
      <c r="AL164" s="7"/>
      <c r="AM164" s="7"/>
      <c r="AN164" s="7"/>
      <c r="AO164" s="7"/>
      <c r="AP164" s="7"/>
      <c r="AQ164" s="7"/>
      <c r="AR164" s="7"/>
      <c r="AS164" s="7"/>
      <c r="AT164" s="7"/>
      <c r="AU164" s="7"/>
      <c r="AV164" s="7"/>
      <c r="AW164" s="7"/>
      <c r="AX164" s="7"/>
      <c r="AY164" s="7"/>
      <c r="AZ164" s="7"/>
      <c r="BA164" s="7"/>
      <c r="BB164" s="7"/>
      <c r="BC164" s="7"/>
      <c r="BD164" s="7"/>
      <c r="BE164" s="7"/>
      <c r="BF164" s="7"/>
      <c r="BG164" s="7"/>
      <c r="BH164" s="7"/>
      <c r="BI164" s="7"/>
      <c r="BJ164" s="7"/>
      <c r="BK164" s="7"/>
      <c r="BL164" s="7"/>
      <c r="BM164" s="7"/>
      <c r="BN164" s="7"/>
      <c r="BO164" s="7"/>
      <c r="BP164" s="7"/>
      <c r="BQ164" s="7"/>
      <c r="BR164" s="7"/>
      <c r="BS164" s="7"/>
      <c r="BT164" s="7"/>
      <c r="BU164" s="7"/>
      <c r="BV164" s="7"/>
      <c r="BW164" s="7"/>
      <c r="BX164" s="7"/>
      <c r="BY164" s="7"/>
      <c r="BZ164" s="7"/>
      <c r="CA164" s="7"/>
      <c r="CB164" s="7"/>
      <c r="CC164" s="7"/>
      <c r="CD164" s="7"/>
      <c r="CE164" s="7"/>
      <c r="CF164" s="7"/>
      <c r="CG164" s="7"/>
      <c r="CH164" s="7"/>
      <c r="CI164" s="7"/>
      <c r="CJ164" s="7"/>
      <c r="CK164" s="7"/>
      <c r="CL164" s="7"/>
      <c r="CM164" s="7"/>
      <c r="CN164" s="7"/>
      <c r="CO164" s="7"/>
      <c r="CP164" s="7"/>
      <c r="CS164" s="7"/>
      <c r="CT164" s="106">
        <v>11.1</v>
      </c>
      <c r="CU164" s="12" t="s">
        <v>430</v>
      </c>
      <c r="CV164" s="276" t="str">
        <f t="shared" si="54"/>
        <v>---------</v>
      </c>
      <c r="CW164" s="290">
        <v>1.6100000000000301</v>
      </c>
      <c r="CX164" s="59">
        <v>141</v>
      </c>
      <c r="CY164" s="292" t="str">
        <f t="shared" si="55"/>
        <v>---------</v>
      </c>
      <c r="CZ164" s="7"/>
      <c r="DA164" s="7"/>
      <c r="DB164" s="7"/>
      <c r="DC164" s="106">
        <v>11.1</v>
      </c>
      <c r="DD164" s="12" t="s">
        <v>430</v>
      </c>
      <c r="DE164" s="276" t="str">
        <f t="shared" si="56"/>
        <v>---------</v>
      </c>
      <c r="DF164" s="290">
        <v>1.6100000000000301</v>
      </c>
      <c r="DG164" s="59">
        <v>141</v>
      </c>
      <c r="DH164" s="292" t="str">
        <f t="shared" si="57"/>
        <v>---------</v>
      </c>
      <c r="DI164" s="7"/>
      <c r="DJ164" s="7"/>
      <c r="DK164" s="7"/>
      <c r="DL164" s="7"/>
      <c r="FG164" s="7">
        <v>141</v>
      </c>
      <c r="FH164" s="12">
        <v>6.1</v>
      </c>
      <c r="FR164" s="12"/>
      <c r="FS164" s="7">
        <v>141</v>
      </c>
      <c r="FT164" s="12">
        <v>36.1</v>
      </c>
    </row>
    <row r="165" spans="20:176">
      <c r="T165" s="7"/>
      <c r="U165" s="7"/>
      <c r="V165" s="43"/>
      <c r="W165" s="7"/>
      <c r="X165" s="7"/>
      <c r="Y165" s="7"/>
      <c r="Z165" s="7"/>
      <c r="AA165" s="7"/>
      <c r="AB165" s="7"/>
      <c r="AC165" s="7"/>
      <c r="AD165" s="7"/>
      <c r="AE165" s="7"/>
      <c r="AF165" s="7"/>
      <c r="AG165" s="7"/>
      <c r="AH165" s="7"/>
      <c r="AI165" s="7"/>
      <c r="AJ165" s="7"/>
      <c r="AK165" s="7"/>
      <c r="AL165" s="7"/>
      <c r="AM165" s="7"/>
      <c r="AN165" s="7"/>
      <c r="AO165" s="7"/>
      <c r="AP165" s="7"/>
      <c r="AQ165" s="7"/>
      <c r="AR165" s="7"/>
      <c r="AS165" s="7"/>
      <c r="AT165" s="7"/>
      <c r="AU165" s="7"/>
      <c r="AV165" s="7"/>
      <c r="AW165" s="7"/>
      <c r="AX165" s="7"/>
      <c r="AY165" s="7"/>
      <c r="AZ165" s="7"/>
      <c r="BA165" s="7"/>
      <c r="BB165" s="7"/>
      <c r="BC165" s="7"/>
      <c r="BD165" s="7"/>
      <c r="BE165" s="7"/>
      <c r="BF165" s="7"/>
      <c r="BG165" s="7"/>
      <c r="BH165" s="7"/>
      <c r="BI165" s="7"/>
      <c r="BJ165" s="7"/>
      <c r="BK165" s="7"/>
      <c r="BL165" s="7"/>
      <c r="BM165" s="7"/>
      <c r="BN165" s="7"/>
      <c r="BO165" s="7"/>
      <c r="BP165" s="7"/>
      <c r="BQ165" s="7"/>
      <c r="BR165" s="7"/>
      <c r="BS165" s="7"/>
      <c r="BT165" s="7"/>
      <c r="BU165" s="7"/>
      <c r="BV165" s="7"/>
      <c r="BW165" s="7"/>
      <c r="BX165" s="7"/>
      <c r="BY165" s="7"/>
      <c r="BZ165" s="7"/>
      <c r="CA165" s="7"/>
      <c r="CB165" s="7"/>
      <c r="CC165" s="7"/>
      <c r="CD165" s="7"/>
      <c r="CE165" s="7"/>
      <c r="CF165" s="7"/>
      <c r="CG165" s="7"/>
      <c r="CH165" s="7"/>
      <c r="CI165" s="7"/>
      <c r="CJ165" s="7"/>
      <c r="CK165" s="7"/>
      <c r="CL165" s="7"/>
      <c r="CM165" s="7"/>
      <c r="CN165" s="7"/>
      <c r="CO165" s="7"/>
      <c r="CP165" s="7"/>
      <c r="CS165" s="7"/>
      <c r="CT165" s="106">
        <v>11</v>
      </c>
      <c r="CU165" s="12" t="s">
        <v>431</v>
      </c>
      <c r="CV165" s="276" t="str">
        <f t="shared" si="54"/>
        <v>---------</v>
      </c>
      <c r="CW165" s="290">
        <v>1.6000000000000301</v>
      </c>
      <c r="CX165" s="59">
        <v>142</v>
      </c>
      <c r="CY165" s="292" t="str">
        <f t="shared" si="55"/>
        <v>---------</v>
      </c>
      <c r="CZ165" s="7"/>
      <c r="DA165" s="7"/>
      <c r="DB165" s="7"/>
      <c r="DC165" s="106">
        <v>11</v>
      </c>
      <c r="DD165" s="12" t="s">
        <v>431</v>
      </c>
      <c r="DE165" s="276" t="str">
        <f t="shared" si="56"/>
        <v>---------</v>
      </c>
      <c r="DF165" s="290">
        <v>1.6000000000000301</v>
      </c>
      <c r="DG165" s="59">
        <v>142</v>
      </c>
      <c r="DH165" s="292" t="str">
        <f t="shared" si="57"/>
        <v>---------</v>
      </c>
      <c r="DI165" s="7"/>
      <c r="DJ165" s="7"/>
      <c r="DK165" s="7"/>
      <c r="DL165" s="7"/>
      <c r="FG165" s="7">
        <v>142</v>
      </c>
      <c r="FH165" s="12">
        <v>6</v>
      </c>
      <c r="FR165" s="12"/>
      <c r="FS165" s="7">
        <v>142</v>
      </c>
      <c r="FT165" s="12">
        <v>36</v>
      </c>
    </row>
    <row r="166" spans="20:176">
      <c r="T166" s="7"/>
      <c r="U166" s="7"/>
      <c r="V166" s="43"/>
      <c r="W166" s="7"/>
      <c r="X166" s="7"/>
      <c r="Y166" s="7"/>
      <c r="Z166" s="7"/>
      <c r="AA166" s="7"/>
      <c r="AB166" s="7"/>
      <c r="AC166" s="7"/>
      <c r="AD166" s="7"/>
      <c r="AE166" s="7"/>
      <c r="AF166" s="7"/>
      <c r="AG166" s="7"/>
      <c r="AH166" s="7"/>
      <c r="AI166" s="7"/>
      <c r="AJ166" s="7"/>
      <c r="AK166" s="7"/>
      <c r="AL166" s="7"/>
      <c r="AM166" s="7"/>
      <c r="AN166" s="7"/>
      <c r="AO166" s="7"/>
      <c r="AP166" s="7"/>
      <c r="AQ166" s="7"/>
      <c r="AR166" s="7"/>
      <c r="AS166" s="7"/>
      <c r="AT166" s="7"/>
      <c r="AU166" s="7"/>
      <c r="AV166" s="7"/>
      <c r="AW166" s="7"/>
      <c r="AX166" s="7"/>
      <c r="AY166" s="7"/>
      <c r="AZ166" s="7"/>
      <c r="BA166" s="7"/>
      <c r="BB166" s="7"/>
      <c r="BC166" s="7"/>
      <c r="BD166" s="7"/>
      <c r="BE166" s="7"/>
      <c r="BF166" s="7"/>
      <c r="BG166" s="7"/>
      <c r="BH166" s="7"/>
      <c r="BI166" s="7"/>
      <c r="BJ166" s="7"/>
      <c r="BK166" s="7"/>
      <c r="BL166" s="7"/>
      <c r="BM166" s="7"/>
      <c r="BN166" s="7"/>
      <c r="BO166" s="7"/>
      <c r="BP166" s="7"/>
      <c r="BQ166" s="7"/>
      <c r="BR166" s="7"/>
      <c r="BS166" s="7"/>
      <c r="BT166" s="7"/>
      <c r="BU166" s="7"/>
      <c r="BV166" s="7"/>
      <c r="BW166" s="7"/>
      <c r="BX166" s="7"/>
      <c r="BY166" s="7"/>
      <c r="BZ166" s="7"/>
      <c r="CA166" s="7"/>
      <c r="CB166" s="7"/>
      <c r="CC166" s="7"/>
      <c r="CD166" s="7"/>
      <c r="CE166" s="7"/>
      <c r="CF166" s="7"/>
      <c r="CG166" s="7"/>
      <c r="CH166" s="7"/>
      <c r="CI166" s="7"/>
      <c r="CJ166" s="7"/>
      <c r="CK166" s="7"/>
      <c r="CL166" s="7"/>
      <c r="CM166" s="7"/>
      <c r="CN166" s="7"/>
      <c r="CO166" s="7"/>
      <c r="CP166" s="7"/>
      <c r="CS166" s="7"/>
      <c r="CT166" s="106">
        <v>10.9</v>
      </c>
      <c r="CU166" s="12" t="s">
        <v>432</v>
      </c>
      <c r="CV166" s="276" t="str">
        <f t="shared" si="54"/>
        <v>---------</v>
      </c>
      <c r="CW166" s="290">
        <v>1.5900000000000301</v>
      </c>
      <c r="CX166" s="59">
        <v>143</v>
      </c>
      <c r="CY166" s="292" t="str">
        <f t="shared" si="55"/>
        <v>---------</v>
      </c>
      <c r="CZ166" s="7"/>
      <c r="DA166" s="7"/>
      <c r="DB166" s="7"/>
      <c r="DC166" s="106">
        <v>10.9</v>
      </c>
      <c r="DD166" s="12" t="s">
        <v>432</v>
      </c>
      <c r="DE166" s="276" t="str">
        <f t="shared" si="56"/>
        <v>---------</v>
      </c>
      <c r="DF166" s="290">
        <v>1.5900000000000301</v>
      </c>
      <c r="DG166" s="59">
        <v>143</v>
      </c>
      <c r="DH166" s="292" t="str">
        <f t="shared" si="57"/>
        <v>---------</v>
      </c>
      <c r="DI166" s="7"/>
      <c r="DJ166" s="7"/>
      <c r="DK166" s="7"/>
      <c r="DL166" s="7"/>
      <c r="FG166" s="7">
        <v>143</v>
      </c>
      <c r="FH166" s="12">
        <v>5.9</v>
      </c>
      <c r="FR166" s="12"/>
      <c r="FS166" s="7">
        <v>143</v>
      </c>
      <c r="FT166" s="12">
        <v>35.9</v>
      </c>
    </row>
    <row r="167" spans="20:176">
      <c r="T167" s="7"/>
      <c r="U167" s="7"/>
      <c r="V167" s="43"/>
      <c r="W167" s="7"/>
      <c r="X167" s="7"/>
      <c r="Y167" s="7"/>
      <c r="Z167" s="7"/>
      <c r="AA167" s="7"/>
      <c r="AB167" s="7"/>
      <c r="AC167" s="7"/>
      <c r="AD167" s="7"/>
      <c r="AE167" s="7"/>
      <c r="AF167" s="7"/>
      <c r="AG167" s="7"/>
      <c r="AH167" s="7"/>
      <c r="AI167" s="7"/>
      <c r="AJ167" s="7"/>
      <c r="AK167" s="7"/>
      <c r="AL167" s="7"/>
      <c r="AM167" s="7"/>
      <c r="AN167" s="7"/>
      <c r="AO167" s="7"/>
      <c r="AP167" s="7"/>
      <c r="AQ167" s="7"/>
      <c r="AR167" s="7"/>
      <c r="AS167" s="7"/>
      <c r="AT167" s="7"/>
      <c r="AU167" s="7"/>
      <c r="AV167" s="7"/>
      <c r="AW167" s="7"/>
      <c r="AX167" s="7"/>
      <c r="AY167" s="7"/>
      <c r="AZ167" s="7"/>
      <c r="BA167" s="7"/>
      <c r="BB167" s="7"/>
      <c r="BC167" s="7"/>
      <c r="BD167" s="7"/>
      <c r="BE167" s="7"/>
      <c r="BF167" s="7"/>
      <c r="BG167" s="7"/>
      <c r="BH167" s="7"/>
      <c r="BI167" s="7"/>
      <c r="BJ167" s="7"/>
      <c r="BK167" s="7"/>
      <c r="BL167" s="7"/>
      <c r="BM167" s="7"/>
      <c r="BN167" s="7"/>
      <c r="BO167" s="7"/>
      <c r="BP167" s="7"/>
      <c r="BQ167" s="7"/>
      <c r="BR167" s="7"/>
      <c r="BS167" s="7"/>
      <c r="BT167" s="7"/>
      <c r="BU167" s="7"/>
      <c r="BV167" s="7"/>
      <c r="BW167" s="7"/>
      <c r="BX167" s="7"/>
      <c r="BY167" s="7"/>
      <c r="BZ167" s="7"/>
      <c r="CA167" s="7"/>
      <c r="CB167" s="7"/>
      <c r="CC167" s="7"/>
      <c r="CD167" s="7"/>
      <c r="CE167" s="7"/>
      <c r="CF167" s="7"/>
      <c r="CG167" s="7"/>
      <c r="CH167" s="7"/>
      <c r="CI167" s="7"/>
      <c r="CJ167" s="7"/>
      <c r="CK167" s="7"/>
      <c r="CL167" s="7"/>
      <c r="CM167" s="7"/>
      <c r="CN167" s="7"/>
      <c r="CO167" s="7"/>
      <c r="CP167" s="7"/>
      <c r="CS167" s="7"/>
      <c r="CT167" s="106">
        <v>10.8</v>
      </c>
      <c r="CU167" s="12" t="s">
        <v>433</v>
      </c>
      <c r="CV167" s="276" t="str">
        <f t="shared" si="54"/>
        <v>---------</v>
      </c>
      <c r="CW167" s="290">
        <v>1.58000000000003</v>
      </c>
      <c r="CX167" s="59">
        <v>144</v>
      </c>
      <c r="CY167" s="292" t="str">
        <f t="shared" si="55"/>
        <v>---------</v>
      </c>
      <c r="CZ167" s="7"/>
      <c r="DA167" s="7"/>
      <c r="DB167" s="7"/>
      <c r="DC167" s="106">
        <v>10.8</v>
      </c>
      <c r="DD167" s="12" t="s">
        <v>433</v>
      </c>
      <c r="DE167" s="276" t="str">
        <f t="shared" si="56"/>
        <v>---------</v>
      </c>
      <c r="DF167" s="290">
        <v>1.58000000000003</v>
      </c>
      <c r="DG167" s="59">
        <v>144</v>
      </c>
      <c r="DH167" s="292" t="str">
        <f t="shared" si="57"/>
        <v>---------</v>
      </c>
      <c r="DI167" s="7"/>
      <c r="DJ167" s="7"/>
      <c r="DK167" s="7"/>
      <c r="DL167" s="7"/>
      <c r="FG167" s="7">
        <v>144</v>
      </c>
      <c r="FH167" s="12">
        <v>5.8</v>
      </c>
      <c r="FR167" s="12"/>
      <c r="FS167" s="7">
        <v>144</v>
      </c>
      <c r="FT167" s="12">
        <v>35.799999999999997</v>
      </c>
    </row>
    <row r="168" spans="20:176">
      <c r="T168" s="7"/>
      <c r="U168" s="7"/>
      <c r="V168" s="43"/>
      <c r="W168" s="7"/>
      <c r="X168" s="7"/>
      <c r="Y168" s="7"/>
      <c r="Z168" s="7"/>
      <c r="AA168" s="7"/>
      <c r="AB168" s="7"/>
      <c r="AC168" s="7"/>
      <c r="AD168" s="7"/>
      <c r="AE168" s="7"/>
      <c r="AF168" s="7"/>
      <c r="AG168" s="7"/>
      <c r="AH168" s="7"/>
      <c r="AI168" s="7"/>
      <c r="AJ168" s="7"/>
      <c r="AK168" s="7"/>
      <c r="AL168" s="7"/>
      <c r="AM168" s="7"/>
      <c r="AN168" s="7"/>
      <c r="AO168" s="7"/>
      <c r="AP168" s="7"/>
      <c r="AQ168" s="7"/>
      <c r="AR168" s="7"/>
      <c r="AS168" s="7"/>
      <c r="AT168" s="7"/>
      <c r="AU168" s="7"/>
      <c r="AV168" s="7"/>
      <c r="AW168" s="7"/>
      <c r="AX168" s="7"/>
      <c r="AY168" s="7"/>
      <c r="AZ168" s="7"/>
      <c r="BA168" s="7"/>
      <c r="BB168" s="7"/>
      <c r="BC168" s="7"/>
      <c r="BD168" s="7"/>
      <c r="BE168" s="7"/>
      <c r="BF168" s="7"/>
      <c r="BG168" s="7"/>
      <c r="BH168" s="7"/>
      <c r="BI168" s="7"/>
      <c r="BJ168" s="7"/>
      <c r="BK168" s="7"/>
      <c r="BL168" s="7"/>
      <c r="BM168" s="7"/>
      <c r="BN168" s="7"/>
      <c r="BO168" s="7"/>
      <c r="BP168" s="7"/>
      <c r="BQ168" s="7"/>
      <c r="BR168" s="7"/>
      <c r="BS168" s="7"/>
      <c r="BT168" s="7"/>
      <c r="BU168" s="7"/>
      <c r="BV168" s="7"/>
      <c r="BW168" s="7"/>
      <c r="BX168" s="7"/>
      <c r="BY168" s="7"/>
      <c r="BZ168" s="7"/>
      <c r="CA168" s="7"/>
      <c r="CB168" s="7"/>
      <c r="CC168" s="7"/>
      <c r="CD168" s="7"/>
      <c r="CE168" s="7"/>
      <c r="CF168" s="7"/>
      <c r="CG168" s="7"/>
      <c r="CH168" s="7"/>
      <c r="CI168" s="7"/>
      <c r="CJ168" s="7"/>
      <c r="CK168" s="7"/>
      <c r="CL168" s="7"/>
      <c r="CM168" s="7"/>
      <c r="CN168" s="7"/>
      <c r="CO168" s="7"/>
      <c r="CP168" s="7"/>
      <c r="CS168" s="7"/>
      <c r="CT168" s="106">
        <v>10.7</v>
      </c>
      <c r="CU168" s="12" t="s">
        <v>434</v>
      </c>
      <c r="CV168" s="276" t="str">
        <f t="shared" si="54"/>
        <v>---------</v>
      </c>
      <c r="CW168" s="290">
        <v>1.57000000000003</v>
      </c>
      <c r="CX168" s="59">
        <v>145</v>
      </c>
      <c r="CY168" s="292" t="str">
        <f t="shared" si="55"/>
        <v>---------</v>
      </c>
      <c r="CZ168" s="7"/>
      <c r="DA168" s="7"/>
      <c r="DB168" s="7"/>
      <c r="DC168" s="106">
        <v>10.7</v>
      </c>
      <c r="DD168" s="12" t="s">
        <v>434</v>
      </c>
      <c r="DE168" s="276" t="str">
        <f t="shared" si="56"/>
        <v>---------</v>
      </c>
      <c r="DF168" s="290">
        <v>1.57000000000003</v>
      </c>
      <c r="DG168" s="59">
        <v>145</v>
      </c>
      <c r="DH168" s="292" t="str">
        <f t="shared" si="57"/>
        <v>---------</v>
      </c>
      <c r="DI168" s="7"/>
      <c r="DJ168" s="7"/>
      <c r="DK168" s="7"/>
      <c r="DL168" s="7"/>
      <c r="FG168" s="7">
        <v>145</v>
      </c>
      <c r="FH168" s="12">
        <v>5.7</v>
      </c>
      <c r="FR168" s="12"/>
      <c r="FS168" s="7">
        <v>145</v>
      </c>
      <c r="FT168" s="12">
        <v>35.700000000000003</v>
      </c>
    </row>
    <row r="169" spans="20:176">
      <c r="T169" s="7"/>
      <c r="U169" s="7"/>
      <c r="V169" s="43"/>
      <c r="W169" s="7"/>
      <c r="X169" s="7"/>
      <c r="Y169" s="7"/>
      <c r="Z169" s="7"/>
      <c r="AA169" s="7"/>
      <c r="AB169" s="7"/>
      <c r="AC169" s="7"/>
      <c r="AD169" s="7"/>
      <c r="AE169" s="7"/>
      <c r="AF169" s="7"/>
      <c r="AG169" s="7"/>
      <c r="AH169" s="7"/>
      <c r="AI169" s="7"/>
      <c r="AJ169" s="7"/>
      <c r="AK169" s="7"/>
      <c r="AL169" s="7"/>
      <c r="AM169" s="7"/>
      <c r="AN169" s="7"/>
      <c r="AO169" s="7"/>
      <c r="AP169" s="7"/>
      <c r="AQ169" s="7"/>
      <c r="AR169" s="7"/>
      <c r="AS169" s="7"/>
      <c r="AT169" s="7"/>
      <c r="AU169" s="7"/>
      <c r="AV169" s="7"/>
      <c r="AW169" s="7"/>
      <c r="AX169" s="7"/>
      <c r="AY169" s="7"/>
      <c r="AZ169" s="7"/>
      <c r="BA169" s="7"/>
      <c r="BB169" s="7"/>
      <c r="BC169" s="7"/>
      <c r="BD169" s="7"/>
      <c r="BE169" s="7"/>
      <c r="BF169" s="7"/>
      <c r="BG169" s="7"/>
      <c r="BH169" s="7"/>
      <c r="BI169" s="7"/>
      <c r="BJ169" s="7"/>
      <c r="BK169" s="7"/>
      <c r="BL169" s="7"/>
      <c r="BM169" s="7"/>
      <c r="BN169" s="7"/>
      <c r="BO169" s="7"/>
      <c r="BP169" s="7"/>
      <c r="BQ169" s="7"/>
      <c r="BR169" s="7"/>
      <c r="BS169" s="7"/>
      <c r="BT169" s="7"/>
      <c r="BU169" s="7"/>
      <c r="BV169" s="7"/>
      <c r="BW169" s="7"/>
      <c r="BX169" s="7"/>
      <c r="BY169" s="7"/>
      <c r="BZ169" s="7"/>
      <c r="CA169" s="7"/>
      <c r="CB169" s="7"/>
      <c r="CC169" s="7"/>
      <c r="CD169" s="7"/>
      <c r="CE169" s="7"/>
      <c r="CF169" s="7"/>
      <c r="CG169" s="7"/>
      <c r="CH169" s="7"/>
      <c r="CI169" s="7"/>
      <c r="CJ169" s="7"/>
      <c r="CK169" s="7"/>
      <c r="CL169" s="7"/>
      <c r="CM169" s="7"/>
      <c r="CN169" s="7"/>
      <c r="CO169" s="7"/>
      <c r="CP169" s="7"/>
      <c r="CS169" s="7"/>
      <c r="CT169" s="106">
        <v>10.6</v>
      </c>
      <c r="CU169" s="12" t="s">
        <v>435</v>
      </c>
      <c r="CV169" s="276" t="str">
        <f t="shared" si="54"/>
        <v>---------</v>
      </c>
      <c r="CW169" s="290">
        <v>1.56000000000003</v>
      </c>
      <c r="CX169" s="59">
        <v>146</v>
      </c>
      <c r="CY169" s="292" t="str">
        <f t="shared" si="55"/>
        <v>---------</v>
      </c>
      <c r="CZ169" s="7"/>
      <c r="DA169" s="7"/>
      <c r="DB169" s="7"/>
      <c r="DC169" s="106">
        <v>10.6</v>
      </c>
      <c r="DD169" s="12" t="s">
        <v>435</v>
      </c>
      <c r="DE169" s="276" t="str">
        <f t="shared" si="56"/>
        <v>---------</v>
      </c>
      <c r="DF169" s="290">
        <v>1.56000000000003</v>
      </c>
      <c r="DG169" s="59">
        <v>146</v>
      </c>
      <c r="DH169" s="292" t="str">
        <f t="shared" si="57"/>
        <v>---------</v>
      </c>
      <c r="DI169" s="7"/>
      <c r="DJ169" s="7"/>
      <c r="DK169" s="7"/>
      <c r="DL169" s="7"/>
      <c r="FG169" s="7">
        <v>146</v>
      </c>
      <c r="FH169" s="12">
        <v>5.6</v>
      </c>
      <c r="FR169" s="12"/>
      <c r="FS169" s="7">
        <v>146</v>
      </c>
      <c r="FT169" s="12">
        <v>35.6</v>
      </c>
    </row>
    <row r="170" spans="20:176">
      <c r="T170" s="7"/>
      <c r="U170" s="7"/>
      <c r="V170" s="43"/>
      <c r="W170" s="7"/>
      <c r="X170" s="7"/>
      <c r="Y170" s="7"/>
      <c r="Z170" s="7"/>
      <c r="AA170" s="7"/>
      <c r="AB170" s="7"/>
      <c r="AC170" s="7"/>
      <c r="AD170" s="7"/>
      <c r="AE170" s="7"/>
      <c r="AF170" s="7"/>
      <c r="AG170" s="7"/>
      <c r="AH170" s="7"/>
      <c r="AI170" s="7"/>
      <c r="AJ170" s="7"/>
      <c r="AK170" s="7"/>
      <c r="AL170" s="7"/>
      <c r="AM170" s="7"/>
      <c r="AN170" s="7"/>
      <c r="AO170" s="7"/>
      <c r="AP170" s="7"/>
      <c r="AQ170" s="7"/>
      <c r="AR170" s="7"/>
      <c r="AS170" s="7"/>
      <c r="AT170" s="7"/>
      <c r="AU170" s="7"/>
      <c r="AV170" s="7"/>
      <c r="AW170" s="7"/>
      <c r="AX170" s="7"/>
      <c r="AY170" s="7"/>
      <c r="AZ170" s="7"/>
      <c r="BA170" s="7"/>
      <c r="BB170" s="7"/>
      <c r="BC170" s="7"/>
      <c r="BD170" s="7"/>
      <c r="BE170" s="7"/>
      <c r="BF170" s="7"/>
      <c r="BG170" s="7"/>
      <c r="BH170" s="7"/>
      <c r="BI170" s="7"/>
      <c r="BJ170" s="7"/>
      <c r="BK170" s="7"/>
      <c r="BL170" s="7"/>
      <c r="BM170" s="7"/>
      <c r="BN170" s="7"/>
      <c r="BO170" s="7"/>
      <c r="BP170" s="7"/>
      <c r="BQ170" s="7"/>
      <c r="BR170" s="7"/>
      <c r="BS170" s="7"/>
      <c r="BT170" s="7"/>
      <c r="BU170" s="7"/>
      <c r="BV170" s="7"/>
      <c r="BW170" s="7"/>
      <c r="BX170" s="7"/>
      <c r="BY170" s="7"/>
      <c r="BZ170" s="7"/>
      <c r="CA170" s="7"/>
      <c r="CB170" s="7"/>
      <c r="CC170" s="7"/>
      <c r="CD170" s="7"/>
      <c r="CE170" s="7"/>
      <c r="CF170" s="7"/>
      <c r="CG170" s="7"/>
      <c r="CH170" s="7"/>
      <c r="CI170" s="7"/>
      <c r="CJ170" s="7"/>
      <c r="CK170" s="7"/>
      <c r="CL170" s="7"/>
      <c r="CM170" s="7"/>
      <c r="CN170" s="7"/>
      <c r="CO170" s="7"/>
      <c r="CP170" s="7"/>
      <c r="CS170" s="7"/>
      <c r="CT170" s="106">
        <v>10.5</v>
      </c>
      <c r="CU170" s="12" t="s">
        <v>436</v>
      </c>
      <c r="CV170" s="276" t="str">
        <f t="shared" si="54"/>
        <v>---------</v>
      </c>
      <c r="CW170" s="290">
        <v>1.55000000000003</v>
      </c>
      <c r="CX170" s="59">
        <v>147</v>
      </c>
      <c r="CY170" s="292" t="str">
        <f t="shared" si="55"/>
        <v>---------</v>
      </c>
      <c r="CZ170" s="7"/>
      <c r="DA170" s="7"/>
      <c r="DB170" s="7"/>
      <c r="DC170" s="106">
        <v>10.5</v>
      </c>
      <c r="DD170" s="12" t="s">
        <v>436</v>
      </c>
      <c r="DE170" s="276" t="str">
        <f t="shared" si="56"/>
        <v>---------</v>
      </c>
      <c r="DF170" s="290">
        <v>1.55000000000003</v>
      </c>
      <c r="DG170" s="59">
        <v>147</v>
      </c>
      <c r="DH170" s="292" t="str">
        <f t="shared" si="57"/>
        <v>---------</v>
      </c>
      <c r="DI170" s="7"/>
      <c r="DJ170" s="7"/>
      <c r="DK170" s="7"/>
      <c r="DL170" s="7"/>
      <c r="FG170" s="7">
        <v>147</v>
      </c>
      <c r="FH170" s="12">
        <v>5.5</v>
      </c>
      <c r="FR170" s="12"/>
      <c r="FS170" s="7">
        <v>147</v>
      </c>
      <c r="FT170" s="12">
        <v>35.5</v>
      </c>
    </row>
    <row r="171" spans="20:176">
      <c r="T171" s="7"/>
      <c r="U171" s="7"/>
      <c r="V171" s="43"/>
      <c r="W171" s="7"/>
      <c r="X171" s="7"/>
      <c r="Y171" s="7"/>
      <c r="Z171" s="7"/>
      <c r="AA171" s="7"/>
      <c r="AB171" s="7"/>
      <c r="AC171" s="7"/>
      <c r="AD171" s="7"/>
      <c r="AE171" s="7"/>
      <c r="AF171" s="7"/>
      <c r="AG171" s="7"/>
      <c r="AH171" s="7"/>
      <c r="AI171" s="7"/>
      <c r="AJ171" s="7"/>
      <c r="AK171" s="7"/>
      <c r="AL171" s="7"/>
      <c r="AM171" s="7"/>
      <c r="AN171" s="7"/>
      <c r="AO171" s="7"/>
      <c r="AP171" s="7"/>
      <c r="AQ171" s="7"/>
      <c r="AR171" s="7"/>
      <c r="AS171" s="7"/>
      <c r="AT171" s="7"/>
      <c r="AU171" s="7"/>
      <c r="AV171" s="7"/>
      <c r="AW171" s="7"/>
      <c r="AX171" s="7"/>
      <c r="AY171" s="7"/>
      <c r="AZ171" s="7"/>
      <c r="BA171" s="7"/>
      <c r="BB171" s="7"/>
      <c r="BC171" s="7"/>
      <c r="BD171" s="7"/>
      <c r="BE171" s="7"/>
      <c r="BF171" s="7"/>
      <c r="BG171" s="7"/>
      <c r="BH171" s="7"/>
      <c r="BI171" s="7"/>
      <c r="BJ171" s="7"/>
      <c r="BK171" s="7"/>
      <c r="BL171" s="7"/>
      <c r="BM171" s="7"/>
      <c r="BN171" s="7"/>
      <c r="BO171" s="7"/>
      <c r="BP171" s="7"/>
      <c r="BQ171" s="7"/>
      <c r="BR171" s="7"/>
      <c r="BS171" s="7"/>
      <c r="BT171" s="7"/>
      <c r="BU171" s="7"/>
      <c r="BV171" s="7"/>
      <c r="BW171" s="7"/>
      <c r="BX171" s="7"/>
      <c r="BY171" s="7"/>
      <c r="BZ171" s="7"/>
      <c r="CA171" s="7"/>
      <c r="CB171" s="7"/>
      <c r="CC171" s="7"/>
      <c r="CD171" s="7"/>
      <c r="CE171" s="7"/>
      <c r="CF171" s="7"/>
      <c r="CG171" s="7"/>
      <c r="CH171" s="7"/>
      <c r="CI171" s="7"/>
      <c r="CJ171" s="7"/>
      <c r="CK171" s="7"/>
      <c r="CL171" s="7"/>
      <c r="CM171" s="7"/>
      <c r="CN171" s="7"/>
      <c r="CO171" s="7"/>
      <c r="CP171" s="7"/>
      <c r="CS171" s="7"/>
      <c r="CT171" s="106">
        <v>10.4</v>
      </c>
      <c r="CU171" s="12" t="s">
        <v>437</v>
      </c>
      <c r="CV171" s="276" t="str">
        <f t="shared" si="54"/>
        <v>---------</v>
      </c>
      <c r="CW171" s="290">
        <v>1.54000000000003</v>
      </c>
      <c r="CX171" s="59">
        <v>148</v>
      </c>
      <c r="CY171" s="292" t="str">
        <f t="shared" si="55"/>
        <v>---------</v>
      </c>
      <c r="CZ171" s="7"/>
      <c r="DA171" s="7"/>
      <c r="DB171" s="7"/>
      <c r="DC171" s="106">
        <v>10.4</v>
      </c>
      <c r="DD171" s="12" t="s">
        <v>437</v>
      </c>
      <c r="DE171" s="276" t="str">
        <f t="shared" si="56"/>
        <v>---------</v>
      </c>
      <c r="DF171" s="290">
        <v>1.54000000000003</v>
      </c>
      <c r="DG171" s="59">
        <v>148</v>
      </c>
      <c r="DH171" s="292" t="str">
        <f t="shared" si="57"/>
        <v>---------</v>
      </c>
      <c r="DI171" s="7"/>
      <c r="DJ171" s="7"/>
      <c r="DK171" s="7"/>
      <c r="DL171" s="7"/>
      <c r="FG171" s="7">
        <v>148</v>
      </c>
      <c r="FH171" s="12">
        <v>5.4</v>
      </c>
      <c r="FR171" s="12"/>
      <c r="FS171" s="7">
        <v>148</v>
      </c>
      <c r="FT171" s="12">
        <v>35.4</v>
      </c>
    </row>
    <row r="172" spans="20:176">
      <c r="T172" s="7"/>
      <c r="U172" s="7"/>
      <c r="V172" s="43"/>
      <c r="W172" s="7"/>
      <c r="X172" s="7"/>
      <c r="Y172" s="7"/>
      <c r="Z172" s="7"/>
      <c r="AA172" s="7"/>
      <c r="AB172" s="7"/>
      <c r="AC172" s="7"/>
      <c r="AD172" s="7"/>
      <c r="AE172" s="7"/>
      <c r="AF172" s="7"/>
      <c r="AG172" s="7"/>
      <c r="AH172" s="7"/>
      <c r="AI172" s="7"/>
      <c r="AJ172" s="7"/>
      <c r="AK172" s="7"/>
      <c r="AL172" s="7"/>
      <c r="AM172" s="7"/>
      <c r="AN172" s="7"/>
      <c r="AO172" s="7"/>
      <c r="AP172" s="7"/>
      <c r="AQ172" s="7"/>
      <c r="AR172" s="7"/>
      <c r="AS172" s="7"/>
      <c r="AT172" s="7"/>
      <c r="AU172" s="7"/>
      <c r="AV172" s="7"/>
      <c r="AW172" s="7"/>
      <c r="AX172" s="7"/>
      <c r="AY172" s="7"/>
      <c r="AZ172" s="7"/>
      <c r="BA172" s="7"/>
      <c r="BB172" s="7"/>
      <c r="BC172" s="7"/>
      <c r="BD172" s="7"/>
      <c r="BE172" s="7"/>
      <c r="BF172" s="7"/>
      <c r="BG172" s="7"/>
      <c r="BH172" s="7"/>
      <c r="BI172" s="7"/>
      <c r="BJ172" s="7"/>
      <c r="BK172" s="7"/>
      <c r="BL172" s="7"/>
      <c r="BM172" s="7"/>
      <c r="BN172" s="7"/>
      <c r="BO172" s="7"/>
      <c r="BP172" s="7"/>
      <c r="BQ172" s="7"/>
      <c r="BR172" s="7"/>
      <c r="BS172" s="7"/>
      <c r="BT172" s="7"/>
      <c r="BU172" s="7"/>
      <c r="BV172" s="7"/>
      <c r="BW172" s="7"/>
      <c r="BX172" s="7"/>
      <c r="BY172" s="7"/>
      <c r="BZ172" s="7"/>
      <c r="CA172" s="7"/>
      <c r="CB172" s="7"/>
      <c r="CC172" s="7"/>
      <c r="CD172" s="7"/>
      <c r="CE172" s="7"/>
      <c r="CF172" s="7"/>
      <c r="CG172" s="7"/>
      <c r="CH172" s="7"/>
      <c r="CI172" s="7"/>
      <c r="CJ172" s="7"/>
      <c r="CK172" s="7"/>
      <c r="CL172" s="7"/>
      <c r="CM172" s="7"/>
      <c r="CN172" s="7"/>
      <c r="CO172" s="7"/>
      <c r="CP172" s="7"/>
      <c r="CS172" s="7"/>
      <c r="CT172" s="106">
        <v>10.3</v>
      </c>
      <c r="CU172" s="12" t="s">
        <v>438</v>
      </c>
      <c r="CV172" s="276" t="str">
        <f t="shared" si="54"/>
        <v>---------</v>
      </c>
      <c r="CW172" s="290">
        <v>1.53000000000003</v>
      </c>
      <c r="CX172" s="59">
        <v>149</v>
      </c>
      <c r="CY172" s="292" t="str">
        <f t="shared" si="55"/>
        <v>---------</v>
      </c>
      <c r="CZ172" s="7"/>
      <c r="DA172" s="7"/>
      <c r="DB172" s="7"/>
      <c r="DC172" s="106">
        <v>10.3</v>
      </c>
      <c r="DD172" s="12" t="s">
        <v>438</v>
      </c>
      <c r="DE172" s="276" t="str">
        <f t="shared" si="56"/>
        <v>---------</v>
      </c>
      <c r="DF172" s="290">
        <v>1.53000000000003</v>
      </c>
      <c r="DG172" s="59">
        <v>149</v>
      </c>
      <c r="DH172" s="292" t="str">
        <f t="shared" si="57"/>
        <v>---------</v>
      </c>
      <c r="DI172" s="7"/>
      <c r="DJ172" s="7"/>
      <c r="DK172" s="7"/>
      <c r="DL172" s="7"/>
      <c r="FG172" s="7">
        <v>149</v>
      </c>
      <c r="FH172" s="12">
        <v>5.3</v>
      </c>
      <c r="FR172" s="12"/>
      <c r="FS172" s="7">
        <v>149</v>
      </c>
      <c r="FT172" s="12">
        <v>35.299999999999997</v>
      </c>
    </row>
    <row r="173" spans="20:176">
      <c r="T173" s="7"/>
      <c r="U173" s="7"/>
      <c r="V173" s="43"/>
      <c r="W173" s="7"/>
      <c r="X173" s="7"/>
      <c r="Y173" s="7"/>
      <c r="Z173" s="7"/>
      <c r="AA173" s="7"/>
      <c r="AB173" s="7"/>
      <c r="AC173" s="7"/>
      <c r="AD173" s="7"/>
      <c r="AE173" s="7"/>
      <c r="AF173" s="7"/>
      <c r="AG173" s="7"/>
      <c r="AH173" s="7"/>
      <c r="AI173" s="7"/>
      <c r="AJ173" s="7"/>
      <c r="AK173" s="7"/>
      <c r="AL173" s="7"/>
      <c r="AM173" s="7"/>
      <c r="AN173" s="7"/>
      <c r="AO173" s="7"/>
      <c r="AP173" s="7"/>
      <c r="AQ173" s="7"/>
      <c r="AR173" s="7"/>
      <c r="AS173" s="7"/>
      <c r="AT173" s="7"/>
      <c r="AU173" s="7"/>
      <c r="AV173" s="7"/>
      <c r="AW173" s="7"/>
      <c r="AX173" s="7"/>
      <c r="AY173" s="7"/>
      <c r="AZ173" s="7"/>
      <c r="BA173" s="7"/>
      <c r="BB173" s="7"/>
      <c r="BC173" s="7"/>
      <c r="BD173" s="7"/>
      <c r="BE173" s="7"/>
      <c r="BF173" s="7"/>
      <c r="BG173" s="7"/>
      <c r="BH173" s="7"/>
      <c r="BI173" s="7"/>
      <c r="BJ173" s="7"/>
      <c r="BK173" s="7"/>
      <c r="BL173" s="7"/>
      <c r="BM173" s="7"/>
      <c r="BN173" s="7"/>
      <c r="BO173" s="7"/>
      <c r="BP173" s="7"/>
      <c r="BQ173" s="7"/>
      <c r="BR173" s="7"/>
      <c r="BS173" s="7"/>
      <c r="BT173" s="7"/>
      <c r="BU173" s="7"/>
      <c r="BV173" s="7"/>
      <c r="BW173" s="7"/>
      <c r="BX173" s="7"/>
      <c r="BY173" s="7"/>
      <c r="BZ173" s="7"/>
      <c r="CA173" s="7"/>
      <c r="CB173" s="7"/>
      <c r="CC173" s="7"/>
      <c r="CD173" s="7"/>
      <c r="CE173" s="7"/>
      <c r="CF173" s="7"/>
      <c r="CG173" s="7"/>
      <c r="CH173" s="7"/>
      <c r="CI173" s="7"/>
      <c r="CJ173" s="7"/>
      <c r="CK173" s="7"/>
      <c r="CL173" s="7"/>
      <c r="CM173" s="7"/>
      <c r="CN173" s="7"/>
      <c r="CO173" s="7"/>
      <c r="CP173" s="7"/>
      <c r="CS173" s="7"/>
      <c r="CT173" s="106">
        <v>10.199999999999999</v>
      </c>
      <c r="CU173" s="12" t="s">
        <v>439</v>
      </c>
      <c r="CV173" s="276" t="str">
        <f t="shared" si="54"/>
        <v>---------</v>
      </c>
      <c r="CW173" s="290">
        <v>1.52000000000003</v>
      </c>
      <c r="CX173" s="59">
        <v>150</v>
      </c>
      <c r="CY173" s="292" t="str">
        <f t="shared" si="55"/>
        <v>---------</v>
      </c>
      <c r="CZ173" s="7"/>
      <c r="DA173" s="7"/>
      <c r="DB173" s="7"/>
      <c r="DC173" s="106">
        <v>10.199999999999999</v>
      </c>
      <c r="DD173" s="12" t="s">
        <v>439</v>
      </c>
      <c r="DE173" s="276" t="str">
        <f t="shared" si="56"/>
        <v>---------</v>
      </c>
      <c r="DF173" s="290">
        <v>1.52000000000003</v>
      </c>
      <c r="DG173" s="59">
        <v>150</v>
      </c>
      <c r="DH173" s="292" t="str">
        <f t="shared" si="57"/>
        <v>---------</v>
      </c>
      <c r="DI173" s="7"/>
      <c r="DJ173" s="7"/>
      <c r="DK173" s="7"/>
      <c r="DL173" s="7"/>
      <c r="FG173" s="7">
        <v>150</v>
      </c>
      <c r="FH173" s="12">
        <v>5.2</v>
      </c>
      <c r="FR173" s="12"/>
      <c r="FS173" s="7">
        <v>150</v>
      </c>
      <c r="FT173" s="12">
        <v>35.200000000000003</v>
      </c>
    </row>
    <row r="174" spans="20:176">
      <c r="T174" s="7"/>
      <c r="U174" s="7"/>
      <c r="V174" s="43"/>
      <c r="W174" s="7"/>
      <c r="X174" s="7"/>
      <c r="Y174" s="7"/>
      <c r="Z174" s="7"/>
      <c r="AA174" s="7"/>
      <c r="AB174" s="7"/>
      <c r="AC174" s="7"/>
      <c r="AD174" s="7"/>
      <c r="AE174" s="7"/>
      <c r="AF174" s="7"/>
      <c r="AG174" s="7"/>
      <c r="AH174" s="7"/>
      <c r="AI174" s="7"/>
      <c r="AJ174" s="7"/>
      <c r="AK174" s="7"/>
      <c r="AL174" s="7"/>
      <c r="AM174" s="7"/>
      <c r="AN174" s="7"/>
      <c r="AO174" s="7"/>
      <c r="AP174" s="7"/>
      <c r="AQ174" s="7"/>
      <c r="AR174" s="7"/>
      <c r="AS174" s="7"/>
      <c r="AT174" s="7"/>
      <c r="AU174" s="7"/>
      <c r="AV174" s="7"/>
      <c r="AW174" s="7"/>
      <c r="AX174" s="7"/>
      <c r="AY174" s="7"/>
      <c r="AZ174" s="7"/>
      <c r="BA174" s="7"/>
      <c r="BB174" s="7"/>
      <c r="BC174" s="7"/>
      <c r="BD174" s="7"/>
      <c r="BE174" s="7"/>
      <c r="BF174" s="7"/>
      <c r="BG174" s="7"/>
      <c r="BH174" s="7"/>
      <c r="BI174" s="7"/>
      <c r="BJ174" s="7"/>
      <c r="BK174" s="7"/>
      <c r="BL174" s="7"/>
      <c r="BM174" s="7"/>
      <c r="BN174" s="7"/>
      <c r="BO174" s="7"/>
      <c r="BP174" s="7"/>
      <c r="BQ174" s="7"/>
      <c r="BR174" s="7"/>
      <c r="BS174" s="7"/>
      <c r="BT174" s="7"/>
      <c r="BU174" s="7"/>
      <c r="BV174" s="7"/>
      <c r="BW174" s="7"/>
      <c r="BX174" s="7"/>
      <c r="BY174" s="7"/>
      <c r="BZ174" s="7"/>
      <c r="CA174" s="7"/>
      <c r="CB174" s="7"/>
      <c r="CC174" s="7"/>
      <c r="CD174" s="7"/>
      <c r="CE174" s="7"/>
      <c r="CF174" s="7"/>
      <c r="CG174" s="7"/>
      <c r="CH174" s="7"/>
      <c r="CI174" s="7"/>
      <c r="CJ174" s="7"/>
      <c r="CK174" s="7"/>
      <c r="CL174" s="7"/>
      <c r="CM174" s="7"/>
      <c r="CN174" s="7"/>
      <c r="CO174" s="7"/>
      <c r="CP174" s="7"/>
      <c r="CS174" s="7"/>
      <c r="CT174" s="106">
        <v>10.1</v>
      </c>
      <c r="CU174" s="12" t="s">
        <v>440</v>
      </c>
      <c r="CV174" s="276" t="str">
        <f t="shared" si="54"/>
        <v>---------</v>
      </c>
      <c r="CW174" s="290">
        <v>1.51000000000003</v>
      </c>
      <c r="CX174" s="59">
        <v>151</v>
      </c>
      <c r="CY174" s="292" t="str">
        <f t="shared" si="55"/>
        <v>---------</v>
      </c>
      <c r="CZ174" s="7"/>
      <c r="DA174" s="7"/>
      <c r="DB174" s="7"/>
      <c r="DC174" s="106">
        <v>10.1</v>
      </c>
      <c r="DD174" s="12" t="s">
        <v>440</v>
      </c>
      <c r="DE174" s="276" t="str">
        <f t="shared" si="56"/>
        <v>---------</v>
      </c>
      <c r="DF174" s="290">
        <v>1.51000000000003</v>
      </c>
      <c r="DG174" s="59">
        <v>151</v>
      </c>
      <c r="DH174" s="292" t="str">
        <f t="shared" si="57"/>
        <v>---------</v>
      </c>
      <c r="DI174" s="7"/>
      <c r="DJ174" s="7"/>
      <c r="DK174" s="7"/>
      <c r="DL174" s="7"/>
      <c r="FG174" s="7">
        <v>151</v>
      </c>
      <c r="FH174" s="12">
        <v>5.0999999999999996</v>
      </c>
      <c r="FR174" s="12"/>
      <c r="FS174" s="7">
        <v>151</v>
      </c>
      <c r="FT174" s="12">
        <v>35.1</v>
      </c>
    </row>
    <row r="175" spans="20:176">
      <c r="T175" s="7"/>
      <c r="U175" s="7"/>
      <c r="V175" s="43"/>
      <c r="W175" s="7"/>
      <c r="X175" s="7"/>
      <c r="Y175" s="7"/>
      <c r="Z175" s="7"/>
      <c r="AA175" s="7"/>
      <c r="AB175" s="7"/>
      <c r="AC175" s="7"/>
      <c r="AD175" s="7"/>
      <c r="AE175" s="7"/>
      <c r="AF175" s="7"/>
      <c r="AG175" s="7"/>
      <c r="AH175" s="7"/>
      <c r="AI175" s="7"/>
      <c r="AJ175" s="7"/>
      <c r="AK175" s="7"/>
      <c r="AL175" s="7"/>
      <c r="AM175" s="7"/>
      <c r="AN175" s="7"/>
      <c r="AO175" s="7"/>
      <c r="AP175" s="7"/>
      <c r="AQ175" s="7"/>
      <c r="AR175" s="7"/>
      <c r="AS175" s="7"/>
      <c r="AT175" s="7"/>
      <c r="AU175" s="7"/>
      <c r="AV175" s="7"/>
      <c r="AW175" s="7"/>
      <c r="AX175" s="7"/>
      <c r="AY175" s="7"/>
      <c r="AZ175" s="7"/>
      <c r="BA175" s="7"/>
      <c r="BB175" s="7"/>
      <c r="BC175" s="7"/>
      <c r="BD175" s="7"/>
      <c r="BE175" s="7"/>
      <c r="BF175" s="7"/>
      <c r="BG175" s="7"/>
      <c r="BH175" s="7"/>
      <c r="BI175" s="7"/>
      <c r="BJ175" s="7"/>
      <c r="BK175" s="7"/>
      <c r="BL175" s="7"/>
      <c r="BM175" s="7"/>
      <c r="BN175" s="7"/>
      <c r="BO175" s="7"/>
      <c r="BP175" s="7"/>
      <c r="BQ175" s="7"/>
      <c r="BR175" s="7"/>
      <c r="BS175" s="7"/>
      <c r="BT175" s="7"/>
      <c r="BU175" s="7"/>
      <c r="BV175" s="7"/>
      <c r="BW175" s="7"/>
      <c r="BX175" s="7"/>
      <c r="BY175" s="7"/>
      <c r="BZ175" s="7"/>
      <c r="CA175" s="7"/>
      <c r="CB175" s="7"/>
      <c r="CC175" s="7"/>
      <c r="CD175" s="7"/>
      <c r="CE175" s="7"/>
      <c r="CF175" s="7"/>
      <c r="CG175" s="7"/>
      <c r="CH175" s="7"/>
      <c r="CI175" s="7"/>
      <c r="CJ175" s="7"/>
      <c r="CK175" s="7"/>
      <c r="CL175" s="7"/>
      <c r="CM175" s="7"/>
      <c r="CN175" s="7"/>
      <c r="CO175" s="7"/>
      <c r="CP175" s="7"/>
      <c r="CS175" s="7"/>
      <c r="CT175" s="106">
        <v>10</v>
      </c>
      <c r="CU175" s="12" t="s">
        <v>441</v>
      </c>
      <c r="CV175" s="276" t="str">
        <f t="shared" si="54"/>
        <v>---------</v>
      </c>
      <c r="CW175" s="290">
        <v>1.50000000000003</v>
      </c>
      <c r="CX175" s="59">
        <v>152</v>
      </c>
      <c r="CY175" s="292" t="str">
        <f t="shared" si="55"/>
        <v>---------</v>
      </c>
      <c r="CZ175" s="7"/>
      <c r="DA175" s="7"/>
      <c r="DB175" s="7"/>
      <c r="DC175" s="106">
        <v>10</v>
      </c>
      <c r="DD175" s="12" t="s">
        <v>441</v>
      </c>
      <c r="DE175" s="276" t="str">
        <f t="shared" si="56"/>
        <v>---------</v>
      </c>
      <c r="DF175" s="290">
        <v>1.50000000000003</v>
      </c>
      <c r="DG175" s="59">
        <v>152</v>
      </c>
      <c r="DH175" s="292" t="str">
        <f t="shared" si="57"/>
        <v>---------</v>
      </c>
      <c r="DI175" s="7"/>
      <c r="DJ175" s="7"/>
      <c r="DK175" s="7"/>
      <c r="DL175" s="7"/>
      <c r="FG175" s="7">
        <v>152</v>
      </c>
      <c r="FH175" s="12">
        <v>5</v>
      </c>
      <c r="FR175" s="12"/>
      <c r="FS175" s="7">
        <v>152</v>
      </c>
      <c r="FT175" s="12">
        <v>35</v>
      </c>
    </row>
    <row r="176" spans="20:176">
      <c r="T176" s="7"/>
      <c r="U176" s="7"/>
      <c r="V176" s="43"/>
      <c r="W176" s="7"/>
      <c r="X176" s="7"/>
      <c r="Y176" s="7"/>
      <c r="Z176" s="7"/>
      <c r="AA176" s="7"/>
      <c r="AB176" s="7"/>
      <c r="AC176" s="7"/>
      <c r="AD176" s="7"/>
      <c r="AE176" s="7"/>
      <c r="AF176" s="7"/>
      <c r="AG176" s="7"/>
      <c r="AH176" s="7"/>
      <c r="AI176" s="7"/>
      <c r="AJ176" s="7"/>
      <c r="AK176" s="7"/>
      <c r="AL176" s="7"/>
      <c r="AM176" s="7"/>
      <c r="AN176" s="7"/>
      <c r="AO176" s="7"/>
      <c r="AP176" s="7"/>
      <c r="AQ176" s="7"/>
      <c r="AR176" s="7"/>
      <c r="AS176" s="7"/>
      <c r="AT176" s="7"/>
      <c r="AU176" s="7"/>
      <c r="AV176" s="7"/>
      <c r="AW176" s="7"/>
      <c r="AX176" s="7"/>
      <c r="AY176" s="7"/>
      <c r="AZ176" s="7"/>
      <c r="BA176" s="7"/>
      <c r="BB176" s="7"/>
      <c r="BC176" s="7"/>
      <c r="BD176" s="7"/>
      <c r="BE176" s="7"/>
      <c r="BF176" s="7"/>
      <c r="BG176" s="7"/>
      <c r="BH176" s="7"/>
      <c r="BI176" s="7"/>
      <c r="BJ176" s="7"/>
      <c r="BK176" s="7"/>
      <c r="BL176" s="7"/>
      <c r="BM176" s="7"/>
      <c r="BN176" s="7"/>
      <c r="BO176" s="7"/>
      <c r="BP176" s="7"/>
      <c r="BQ176" s="7"/>
      <c r="BR176" s="7"/>
      <c r="BS176" s="7"/>
      <c r="BT176" s="7"/>
      <c r="BU176" s="7"/>
      <c r="BV176" s="7"/>
      <c r="BW176" s="7"/>
      <c r="BX176" s="7"/>
      <c r="BY176" s="7"/>
      <c r="BZ176" s="7"/>
      <c r="CA176" s="7"/>
      <c r="CB176" s="7"/>
      <c r="CC176" s="7"/>
      <c r="CD176" s="7"/>
      <c r="CE176" s="7"/>
      <c r="CF176" s="7"/>
      <c r="CG176" s="7"/>
      <c r="CH176" s="7"/>
      <c r="CI176" s="7"/>
      <c r="CJ176" s="7"/>
      <c r="CK176" s="7"/>
      <c r="CL176" s="7"/>
      <c r="CM176" s="7"/>
      <c r="CN176" s="7"/>
      <c r="CO176" s="7"/>
      <c r="CP176" s="7"/>
      <c r="CS176" s="7"/>
      <c r="CT176" s="106">
        <v>9.9</v>
      </c>
      <c r="CU176" s="12" t="s">
        <v>442</v>
      </c>
      <c r="CV176" s="276" t="str">
        <f t="shared" si="54"/>
        <v>---------</v>
      </c>
      <c r="CW176" s="290">
        <v>1.49000000000003</v>
      </c>
      <c r="CX176" s="59">
        <v>153</v>
      </c>
      <c r="CY176" s="292" t="str">
        <f t="shared" si="55"/>
        <v>---------</v>
      </c>
      <c r="CZ176" s="7"/>
      <c r="DA176" s="7"/>
      <c r="DB176" s="7"/>
      <c r="DC176" s="106">
        <v>9.9</v>
      </c>
      <c r="DD176" s="12" t="s">
        <v>442</v>
      </c>
      <c r="DE176" s="276" t="str">
        <f t="shared" si="56"/>
        <v>---------</v>
      </c>
      <c r="DF176" s="290">
        <v>1.49000000000003</v>
      </c>
      <c r="DG176" s="59">
        <v>153</v>
      </c>
      <c r="DH176" s="292" t="str">
        <f t="shared" si="57"/>
        <v>---------</v>
      </c>
      <c r="DI176" s="7"/>
      <c r="DJ176" s="7"/>
      <c r="DK176" s="7"/>
      <c r="DL176" s="7"/>
      <c r="FG176" s="7">
        <v>153</v>
      </c>
      <c r="FH176" s="12">
        <v>4.9000000000000004</v>
      </c>
      <c r="FR176" s="12"/>
      <c r="FS176" s="7">
        <v>153</v>
      </c>
      <c r="FT176" s="12">
        <v>34.9</v>
      </c>
    </row>
    <row r="177" spans="20:176">
      <c r="T177" s="7"/>
      <c r="U177" s="7"/>
      <c r="V177" s="43"/>
      <c r="W177" s="7"/>
      <c r="X177" s="7"/>
      <c r="Y177" s="7"/>
      <c r="Z177" s="7"/>
      <c r="AA177" s="7"/>
      <c r="AB177" s="7"/>
      <c r="AC177" s="7"/>
      <c r="AD177" s="7"/>
      <c r="AE177" s="7"/>
      <c r="AF177" s="7"/>
      <c r="AG177" s="7"/>
      <c r="AH177" s="7"/>
      <c r="AI177" s="7"/>
      <c r="AJ177" s="7"/>
      <c r="AK177" s="7"/>
      <c r="AL177" s="7"/>
      <c r="AM177" s="7"/>
      <c r="AN177" s="7"/>
      <c r="AO177" s="7"/>
      <c r="AP177" s="7"/>
      <c r="AQ177" s="7"/>
      <c r="AR177" s="7"/>
      <c r="AS177" s="7"/>
      <c r="AT177" s="7"/>
      <c r="AU177" s="7"/>
      <c r="AV177" s="7"/>
      <c r="AW177" s="7"/>
      <c r="AX177" s="7"/>
      <c r="AY177" s="7"/>
      <c r="AZ177" s="7"/>
      <c r="BA177" s="7"/>
      <c r="BB177" s="7"/>
      <c r="BC177" s="7"/>
      <c r="BD177" s="7"/>
      <c r="BE177" s="7"/>
      <c r="BF177" s="7"/>
      <c r="BG177" s="7"/>
      <c r="BH177" s="7"/>
      <c r="BI177" s="7"/>
      <c r="BJ177" s="7"/>
      <c r="BK177" s="7"/>
      <c r="BL177" s="7"/>
      <c r="BM177" s="7"/>
      <c r="BN177" s="7"/>
      <c r="BO177" s="7"/>
      <c r="BP177" s="7"/>
      <c r="BQ177" s="7"/>
      <c r="BR177" s="7"/>
      <c r="BS177" s="7"/>
      <c r="BT177" s="7"/>
      <c r="BU177" s="7"/>
      <c r="BV177" s="7"/>
      <c r="BW177" s="7"/>
      <c r="BX177" s="7"/>
      <c r="BY177" s="7"/>
      <c r="BZ177" s="7"/>
      <c r="CA177" s="7"/>
      <c r="CB177" s="7"/>
      <c r="CC177" s="7"/>
      <c r="CD177" s="7"/>
      <c r="CE177" s="7"/>
      <c r="CF177" s="7"/>
      <c r="CG177" s="7"/>
      <c r="CH177" s="7"/>
      <c r="CI177" s="7"/>
      <c r="CJ177" s="7"/>
      <c r="CK177" s="7"/>
      <c r="CL177" s="7"/>
      <c r="CM177" s="7"/>
      <c r="CN177" s="7"/>
      <c r="CO177" s="7"/>
      <c r="CP177" s="7"/>
      <c r="CS177" s="7"/>
      <c r="CT177" s="106">
        <v>9.8000000000000007</v>
      </c>
      <c r="CU177" s="12" t="s">
        <v>443</v>
      </c>
      <c r="CV177" s="276" t="str">
        <f t="shared" si="54"/>
        <v>---------</v>
      </c>
      <c r="CW177" s="290">
        <v>1.48000000000003</v>
      </c>
      <c r="CX177" s="59">
        <v>154</v>
      </c>
      <c r="CY177" s="292" t="str">
        <f t="shared" si="55"/>
        <v>---------</v>
      </c>
      <c r="CZ177" s="7"/>
      <c r="DA177" s="7"/>
      <c r="DB177" s="7"/>
      <c r="DC177" s="106">
        <v>9.8000000000000007</v>
      </c>
      <c r="DD177" s="12" t="s">
        <v>443</v>
      </c>
      <c r="DE177" s="276" t="str">
        <f t="shared" si="56"/>
        <v>---------</v>
      </c>
      <c r="DF177" s="290">
        <v>1.48000000000003</v>
      </c>
      <c r="DG177" s="59">
        <v>154</v>
      </c>
      <c r="DH177" s="292" t="str">
        <f t="shared" si="57"/>
        <v>---------</v>
      </c>
      <c r="DI177" s="7"/>
      <c r="DJ177" s="7"/>
      <c r="DK177" s="7"/>
      <c r="DL177" s="7"/>
      <c r="FG177" s="7">
        <v>154</v>
      </c>
      <c r="FH177" s="12">
        <v>4.8</v>
      </c>
      <c r="FR177" s="12"/>
      <c r="FS177" s="7">
        <v>154</v>
      </c>
      <c r="FT177" s="12">
        <v>34.799999999999997</v>
      </c>
    </row>
    <row r="178" spans="20:176">
      <c r="T178" s="7"/>
      <c r="U178" s="7"/>
      <c r="V178" s="43"/>
      <c r="W178" s="7"/>
      <c r="X178" s="7"/>
      <c r="Y178" s="7"/>
      <c r="Z178" s="7"/>
      <c r="AA178" s="7"/>
      <c r="AB178" s="7"/>
      <c r="AC178" s="7"/>
      <c r="AD178" s="7"/>
      <c r="AE178" s="7"/>
      <c r="AF178" s="7"/>
      <c r="AG178" s="7"/>
      <c r="AH178" s="7"/>
      <c r="AI178" s="7"/>
      <c r="AJ178" s="7"/>
      <c r="AK178" s="7"/>
      <c r="AL178" s="7"/>
      <c r="AM178" s="7"/>
      <c r="AN178" s="7"/>
      <c r="AO178" s="7"/>
      <c r="AP178" s="7"/>
      <c r="AQ178" s="7"/>
      <c r="AR178" s="7"/>
      <c r="AS178" s="7"/>
      <c r="AT178" s="7"/>
      <c r="AU178" s="7"/>
      <c r="AV178" s="7"/>
      <c r="AW178" s="7"/>
      <c r="AX178" s="7"/>
      <c r="AY178" s="7"/>
      <c r="AZ178" s="7"/>
      <c r="BA178" s="7"/>
      <c r="BB178" s="7"/>
      <c r="BC178" s="7"/>
      <c r="BD178" s="7"/>
      <c r="BE178" s="7"/>
      <c r="BF178" s="7"/>
      <c r="BG178" s="7"/>
      <c r="BH178" s="7"/>
      <c r="BI178" s="7"/>
      <c r="BJ178" s="7"/>
      <c r="BK178" s="7"/>
      <c r="BL178" s="7"/>
      <c r="BM178" s="7"/>
      <c r="BN178" s="7"/>
      <c r="BO178" s="7"/>
      <c r="BP178" s="7"/>
      <c r="BQ178" s="7"/>
      <c r="BR178" s="7"/>
      <c r="BS178" s="7"/>
      <c r="BT178" s="7"/>
      <c r="BU178" s="7"/>
      <c r="BV178" s="7"/>
      <c r="BW178" s="7"/>
      <c r="BX178" s="7"/>
      <c r="BY178" s="7"/>
      <c r="BZ178" s="7"/>
      <c r="CA178" s="7"/>
      <c r="CB178" s="7"/>
      <c r="CC178" s="7"/>
      <c r="CD178" s="7"/>
      <c r="CE178" s="7"/>
      <c r="CF178" s="7"/>
      <c r="CG178" s="7"/>
      <c r="CH178" s="7"/>
      <c r="CI178" s="7"/>
      <c r="CJ178" s="7"/>
      <c r="CK178" s="7"/>
      <c r="CL178" s="7"/>
      <c r="CM178" s="7"/>
      <c r="CN178" s="7"/>
      <c r="CO178" s="7"/>
      <c r="CP178" s="7"/>
      <c r="CS178" s="7"/>
      <c r="CT178" s="106">
        <v>9.6999999999999993</v>
      </c>
      <c r="CU178" s="12" t="s">
        <v>444</v>
      </c>
      <c r="CV178" s="276" t="str">
        <f t="shared" si="54"/>
        <v>---------</v>
      </c>
      <c r="CW178" s="290">
        <v>1.4700000000000299</v>
      </c>
      <c r="CX178" s="59">
        <v>155</v>
      </c>
      <c r="CY178" s="292" t="str">
        <f t="shared" si="55"/>
        <v>---------</v>
      </c>
      <c r="CZ178" s="7"/>
      <c r="DA178" s="7"/>
      <c r="DB178" s="7"/>
      <c r="DC178" s="106">
        <v>9.6999999999999993</v>
      </c>
      <c r="DD178" s="12" t="s">
        <v>444</v>
      </c>
      <c r="DE178" s="276" t="str">
        <f t="shared" si="56"/>
        <v>---------</v>
      </c>
      <c r="DF178" s="290">
        <v>1.4700000000000299</v>
      </c>
      <c r="DG178" s="59">
        <v>155</v>
      </c>
      <c r="DH178" s="292" t="str">
        <f t="shared" si="57"/>
        <v>---------</v>
      </c>
      <c r="DI178" s="7"/>
      <c r="DJ178" s="7"/>
      <c r="DK178" s="7"/>
      <c r="DL178" s="7"/>
      <c r="FG178" s="7">
        <v>155</v>
      </c>
      <c r="FH178" s="12">
        <v>4.7</v>
      </c>
      <c r="FR178" s="12"/>
      <c r="FS178" s="7">
        <v>155</v>
      </c>
      <c r="FT178" s="12">
        <v>34.700000000000003</v>
      </c>
    </row>
    <row r="179" spans="20:176">
      <c r="T179" s="7"/>
      <c r="U179" s="7"/>
      <c r="V179" s="43"/>
      <c r="W179" s="7"/>
      <c r="X179" s="7"/>
      <c r="Y179" s="7"/>
      <c r="Z179" s="7"/>
      <c r="AA179" s="7"/>
      <c r="AB179" s="7"/>
      <c r="AC179" s="7"/>
      <c r="AD179" s="7"/>
      <c r="AE179" s="7"/>
      <c r="AF179" s="7"/>
      <c r="AG179" s="7"/>
      <c r="AH179" s="7"/>
      <c r="AI179" s="7"/>
      <c r="AJ179" s="7"/>
      <c r="AK179" s="7"/>
      <c r="AL179" s="7"/>
      <c r="AM179" s="7"/>
      <c r="AN179" s="7"/>
      <c r="AO179" s="7"/>
      <c r="AP179" s="7"/>
      <c r="AQ179" s="7"/>
      <c r="AR179" s="7"/>
      <c r="AS179" s="7"/>
      <c r="AT179" s="7"/>
      <c r="AU179" s="7"/>
      <c r="AV179" s="7"/>
      <c r="AW179" s="7"/>
      <c r="AX179" s="7"/>
      <c r="AY179" s="7"/>
      <c r="AZ179" s="7"/>
      <c r="BA179" s="7"/>
      <c r="BB179" s="7"/>
      <c r="BC179" s="7"/>
      <c r="BD179" s="7"/>
      <c r="BE179" s="7"/>
      <c r="BF179" s="7"/>
      <c r="BG179" s="7"/>
      <c r="BH179" s="7"/>
      <c r="BI179" s="7"/>
      <c r="BJ179" s="7"/>
      <c r="BK179" s="7"/>
      <c r="BL179" s="7"/>
      <c r="BM179" s="7"/>
      <c r="BN179" s="7"/>
      <c r="BO179" s="7"/>
      <c r="BP179" s="7"/>
      <c r="BQ179" s="7"/>
      <c r="BR179" s="7"/>
      <c r="BS179" s="7"/>
      <c r="BT179" s="7"/>
      <c r="BU179" s="7"/>
      <c r="BV179" s="7"/>
      <c r="BW179" s="7"/>
      <c r="BX179" s="7"/>
      <c r="BY179" s="7"/>
      <c r="BZ179" s="7"/>
      <c r="CA179" s="7"/>
      <c r="CB179" s="7"/>
      <c r="CC179" s="7"/>
      <c r="CD179" s="7"/>
      <c r="CE179" s="7"/>
      <c r="CF179" s="7"/>
      <c r="CG179" s="7"/>
      <c r="CH179" s="7"/>
      <c r="CI179" s="7"/>
      <c r="CJ179" s="7"/>
      <c r="CK179" s="7"/>
      <c r="CL179" s="7"/>
      <c r="CM179" s="7"/>
      <c r="CN179" s="7"/>
      <c r="CO179" s="7"/>
      <c r="CP179" s="7"/>
      <c r="CS179" s="7"/>
      <c r="CT179" s="106">
        <v>9.6</v>
      </c>
      <c r="CU179" s="12" t="s">
        <v>445</v>
      </c>
      <c r="CV179" s="276" t="str">
        <f t="shared" si="54"/>
        <v>---------</v>
      </c>
      <c r="CW179" s="290">
        <v>1.4600000000000299</v>
      </c>
      <c r="CX179" s="59">
        <v>156</v>
      </c>
      <c r="CY179" s="292" t="str">
        <f t="shared" si="55"/>
        <v>---------</v>
      </c>
      <c r="CZ179" s="7"/>
      <c r="DA179" s="7"/>
      <c r="DB179" s="7"/>
      <c r="DC179" s="106">
        <v>9.6</v>
      </c>
      <c r="DD179" s="12" t="s">
        <v>445</v>
      </c>
      <c r="DE179" s="276" t="str">
        <f t="shared" si="56"/>
        <v>---------</v>
      </c>
      <c r="DF179" s="290">
        <v>1.4600000000000299</v>
      </c>
      <c r="DG179" s="59">
        <v>156</v>
      </c>
      <c r="DH179" s="292" t="str">
        <f t="shared" si="57"/>
        <v>---------</v>
      </c>
      <c r="DI179" s="7"/>
      <c r="DJ179" s="7"/>
      <c r="DK179" s="7"/>
      <c r="DL179" s="7"/>
      <c r="FG179" s="7">
        <v>156</v>
      </c>
      <c r="FH179" s="12">
        <v>4.5999999999999996</v>
      </c>
      <c r="FR179" s="12"/>
      <c r="FS179" s="7">
        <v>156</v>
      </c>
      <c r="FT179" s="12">
        <v>34.6</v>
      </c>
    </row>
    <row r="180" spans="20:176">
      <c r="T180" s="7"/>
      <c r="U180" s="7"/>
      <c r="V180" s="43"/>
      <c r="W180" s="7"/>
      <c r="X180" s="7"/>
      <c r="Y180" s="7"/>
      <c r="Z180" s="7"/>
      <c r="AA180" s="7"/>
      <c r="AB180" s="7"/>
      <c r="AC180" s="7"/>
      <c r="AD180" s="7"/>
      <c r="AE180" s="7"/>
      <c r="AF180" s="7"/>
      <c r="AG180" s="7"/>
      <c r="AH180" s="7"/>
      <c r="AI180" s="7"/>
      <c r="AJ180" s="7"/>
      <c r="AK180" s="7"/>
      <c r="AL180" s="7"/>
      <c r="AM180" s="7"/>
      <c r="AN180" s="7"/>
      <c r="AO180" s="7"/>
      <c r="AP180" s="7"/>
      <c r="AQ180" s="7"/>
      <c r="AR180" s="7"/>
      <c r="AS180" s="7"/>
      <c r="AT180" s="7"/>
      <c r="AU180" s="7"/>
      <c r="AV180" s="7"/>
      <c r="AW180" s="7"/>
      <c r="AX180" s="7"/>
      <c r="AY180" s="7"/>
      <c r="AZ180" s="7"/>
      <c r="BA180" s="7"/>
      <c r="BB180" s="7"/>
      <c r="BC180" s="7"/>
      <c r="BD180" s="7"/>
      <c r="BE180" s="7"/>
      <c r="BF180" s="7"/>
      <c r="BG180" s="7"/>
      <c r="BH180" s="7"/>
      <c r="BI180" s="7"/>
      <c r="BJ180" s="7"/>
      <c r="BK180" s="7"/>
      <c r="BL180" s="7"/>
      <c r="BM180" s="7"/>
      <c r="BN180" s="7"/>
      <c r="BO180" s="7"/>
      <c r="BP180" s="7"/>
      <c r="BQ180" s="7"/>
      <c r="BR180" s="7"/>
      <c r="BS180" s="7"/>
      <c r="BT180" s="7"/>
      <c r="BU180" s="7"/>
      <c r="BV180" s="7"/>
      <c r="BW180" s="7"/>
      <c r="BX180" s="7"/>
      <c r="BY180" s="7"/>
      <c r="BZ180" s="7"/>
      <c r="CA180" s="7"/>
      <c r="CB180" s="7"/>
      <c r="CC180" s="7"/>
      <c r="CD180" s="7"/>
      <c r="CE180" s="7"/>
      <c r="CF180" s="7"/>
      <c r="CG180" s="7"/>
      <c r="CH180" s="7"/>
      <c r="CI180" s="7"/>
      <c r="CJ180" s="7"/>
      <c r="CK180" s="7"/>
      <c r="CL180" s="7"/>
      <c r="CM180" s="7"/>
      <c r="CN180" s="7"/>
      <c r="CO180" s="7"/>
      <c r="CP180" s="7"/>
      <c r="CQ180" s="7"/>
      <c r="CR180" s="7"/>
      <c r="CS180" s="7"/>
      <c r="CT180" s="106">
        <v>9.5</v>
      </c>
      <c r="CU180" s="12" t="s">
        <v>446</v>
      </c>
      <c r="CV180" s="276" t="str">
        <f t="shared" si="54"/>
        <v>---------</v>
      </c>
      <c r="CW180" s="290">
        <v>1.4500000000000299</v>
      </c>
      <c r="CX180" s="59">
        <v>157</v>
      </c>
      <c r="CY180" s="292" t="str">
        <f t="shared" si="55"/>
        <v>---------</v>
      </c>
      <c r="CZ180" s="7"/>
      <c r="DA180" s="7"/>
      <c r="DB180" s="7"/>
      <c r="DC180" s="106">
        <v>9.5</v>
      </c>
      <c r="DD180" s="12" t="s">
        <v>446</v>
      </c>
      <c r="DE180" s="276" t="str">
        <f t="shared" si="56"/>
        <v>---------</v>
      </c>
      <c r="DF180" s="290">
        <v>1.4500000000000299</v>
      </c>
      <c r="DG180" s="59">
        <v>157</v>
      </c>
      <c r="DH180" s="292" t="str">
        <f t="shared" si="57"/>
        <v>---------</v>
      </c>
      <c r="DI180" s="7"/>
      <c r="DJ180" s="7"/>
      <c r="DK180" s="7"/>
      <c r="DL180" s="7"/>
      <c r="FG180" s="7">
        <v>157</v>
      </c>
      <c r="FH180" s="12">
        <v>4.5</v>
      </c>
      <c r="FR180" s="12"/>
      <c r="FS180" s="7">
        <v>157</v>
      </c>
      <c r="FT180" s="12">
        <v>34.5</v>
      </c>
    </row>
    <row r="181" spans="20:176">
      <c r="T181" s="7"/>
      <c r="U181" s="7"/>
      <c r="V181" s="43"/>
      <c r="W181" s="7"/>
      <c r="X181" s="7"/>
      <c r="Y181" s="7"/>
      <c r="Z181" s="7"/>
      <c r="AA181" s="7"/>
      <c r="AB181" s="7"/>
      <c r="AC181" s="7"/>
      <c r="AD181" s="7"/>
      <c r="AE181" s="7"/>
      <c r="AF181" s="7"/>
      <c r="AG181" s="7"/>
      <c r="AH181" s="7"/>
      <c r="AI181" s="7"/>
      <c r="AJ181" s="7"/>
      <c r="AK181" s="7"/>
      <c r="AL181" s="7"/>
      <c r="AM181" s="7"/>
      <c r="AN181" s="7"/>
      <c r="AO181" s="7"/>
      <c r="AP181" s="7"/>
      <c r="AQ181" s="7"/>
      <c r="AR181" s="7"/>
      <c r="AS181" s="7"/>
      <c r="AT181" s="7"/>
      <c r="AU181" s="7"/>
      <c r="AV181" s="7"/>
      <c r="AW181" s="7"/>
      <c r="AX181" s="7"/>
      <c r="AY181" s="7"/>
      <c r="AZ181" s="7"/>
      <c r="BA181" s="7"/>
      <c r="BB181" s="7"/>
      <c r="BC181" s="7"/>
      <c r="BD181" s="7"/>
      <c r="BE181" s="7"/>
      <c r="BF181" s="7"/>
      <c r="BG181" s="7"/>
      <c r="BH181" s="7"/>
      <c r="BI181" s="7"/>
      <c r="BJ181" s="7"/>
      <c r="BK181" s="7"/>
      <c r="BL181" s="7"/>
      <c r="BM181" s="7"/>
      <c r="BN181" s="7"/>
      <c r="BO181" s="7"/>
      <c r="BP181" s="7"/>
      <c r="BQ181" s="7"/>
      <c r="BR181" s="7"/>
      <c r="BS181" s="7"/>
      <c r="BT181" s="7"/>
      <c r="BU181" s="7"/>
      <c r="BV181" s="7"/>
      <c r="BW181" s="7"/>
      <c r="BX181" s="7"/>
      <c r="BY181" s="7"/>
      <c r="BZ181" s="7"/>
      <c r="CA181" s="7"/>
      <c r="CB181" s="7"/>
      <c r="CC181" s="7"/>
      <c r="CD181" s="7"/>
      <c r="CE181" s="7"/>
      <c r="CF181" s="7"/>
      <c r="CG181" s="7"/>
      <c r="CH181" s="7"/>
      <c r="CI181" s="7"/>
      <c r="CJ181" s="7"/>
      <c r="CK181" s="7"/>
      <c r="CL181" s="7"/>
      <c r="CM181" s="7"/>
      <c r="CN181" s="7"/>
      <c r="CO181" s="7"/>
      <c r="CP181" s="7"/>
      <c r="CQ181" s="7"/>
      <c r="CR181" s="7"/>
      <c r="CS181" s="7"/>
      <c r="CT181" s="106">
        <v>9.4</v>
      </c>
      <c r="CU181" s="12" t="s">
        <v>447</v>
      </c>
      <c r="CV181" s="276" t="str">
        <f t="shared" si="54"/>
        <v>---------</v>
      </c>
      <c r="CW181" s="290">
        <v>1.4400000000000299</v>
      </c>
      <c r="CX181" s="59">
        <v>158</v>
      </c>
      <c r="CY181" s="292" t="str">
        <f t="shared" si="55"/>
        <v>---------</v>
      </c>
      <c r="CZ181" s="7"/>
      <c r="DA181" s="7"/>
      <c r="DB181" s="7"/>
      <c r="DC181" s="106">
        <v>9.4</v>
      </c>
      <c r="DD181" s="12" t="s">
        <v>447</v>
      </c>
      <c r="DE181" s="276" t="str">
        <f t="shared" si="56"/>
        <v>---------</v>
      </c>
      <c r="DF181" s="290">
        <v>1.4400000000000299</v>
      </c>
      <c r="DG181" s="59">
        <v>158</v>
      </c>
      <c r="DH181" s="292" t="str">
        <f t="shared" si="57"/>
        <v>---------</v>
      </c>
      <c r="DI181" s="7"/>
      <c r="DJ181" s="7"/>
      <c r="DK181" s="7"/>
      <c r="DL181" s="7"/>
      <c r="FG181" s="7">
        <v>158</v>
      </c>
      <c r="FH181" s="12">
        <v>4.4000000000000004</v>
      </c>
      <c r="FR181" s="12"/>
      <c r="FS181" s="7">
        <v>158</v>
      </c>
      <c r="FT181" s="12">
        <v>34.4</v>
      </c>
    </row>
    <row r="182" spans="20:176">
      <c r="T182" s="7"/>
      <c r="U182" s="7"/>
      <c r="V182" s="43"/>
      <c r="W182" s="7"/>
      <c r="X182" s="7"/>
      <c r="Y182" s="7"/>
      <c r="Z182" s="7"/>
      <c r="AA182" s="7"/>
      <c r="AB182" s="7"/>
      <c r="AC182" s="7"/>
      <c r="AD182" s="7"/>
      <c r="AE182" s="7"/>
      <c r="AF182" s="7"/>
      <c r="AG182" s="7"/>
      <c r="AH182" s="7"/>
      <c r="AI182" s="7"/>
      <c r="AJ182" s="7"/>
      <c r="AK182" s="7"/>
      <c r="AL182" s="7"/>
      <c r="AM182" s="7"/>
      <c r="AN182" s="7"/>
      <c r="AO182" s="7"/>
      <c r="AP182" s="7"/>
      <c r="AQ182" s="7"/>
      <c r="AR182" s="7"/>
      <c r="AS182" s="7"/>
      <c r="AT182" s="7"/>
      <c r="AU182" s="7"/>
      <c r="AV182" s="7"/>
      <c r="AW182" s="7"/>
      <c r="AX182" s="7"/>
      <c r="AY182" s="7"/>
      <c r="AZ182" s="7"/>
      <c r="BA182" s="7"/>
      <c r="BB182" s="7"/>
      <c r="BC182" s="7"/>
      <c r="BD182" s="7"/>
      <c r="BE182" s="7"/>
      <c r="BF182" s="7"/>
      <c r="BG182" s="7"/>
      <c r="BH182" s="7"/>
      <c r="BI182" s="7"/>
      <c r="BJ182" s="7"/>
      <c r="BK182" s="7"/>
      <c r="BL182" s="7"/>
      <c r="BM182" s="7"/>
      <c r="BN182" s="7"/>
      <c r="BO182" s="7"/>
      <c r="BP182" s="7"/>
      <c r="BQ182" s="7"/>
      <c r="BR182" s="7"/>
      <c r="BS182" s="7"/>
      <c r="BT182" s="7"/>
      <c r="BU182" s="7"/>
      <c r="BV182" s="7"/>
      <c r="BW182" s="7"/>
      <c r="BX182" s="7"/>
      <c r="BY182" s="7"/>
      <c r="BZ182" s="7"/>
      <c r="CA182" s="7"/>
      <c r="CB182" s="7"/>
      <c r="CC182" s="7"/>
      <c r="CD182" s="7"/>
      <c r="CE182" s="7"/>
      <c r="CF182" s="7"/>
      <c r="CG182" s="7"/>
      <c r="CH182" s="7"/>
      <c r="CI182" s="7"/>
      <c r="CJ182" s="7"/>
      <c r="CK182" s="7"/>
      <c r="CL182" s="7"/>
      <c r="CM182" s="7"/>
      <c r="CN182" s="7"/>
      <c r="CO182" s="7"/>
      <c r="CP182" s="7"/>
      <c r="CQ182" s="7"/>
      <c r="CR182" s="7"/>
      <c r="CS182" s="7"/>
      <c r="CT182" s="106">
        <v>9.3000000000000007</v>
      </c>
      <c r="CU182" s="12" t="s">
        <v>448</v>
      </c>
      <c r="CV182" s="276" t="str">
        <f t="shared" si="54"/>
        <v>---------</v>
      </c>
      <c r="CW182" s="290">
        <v>1.4300000000000299</v>
      </c>
      <c r="CX182" s="59">
        <v>159</v>
      </c>
      <c r="CY182" s="292" t="str">
        <f t="shared" si="55"/>
        <v>---------</v>
      </c>
      <c r="CZ182" s="7"/>
      <c r="DA182" s="7"/>
      <c r="DB182" s="7"/>
      <c r="DC182" s="106">
        <v>9.3000000000000007</v>
      </c>
      <c r="DD182" s="12" t="s">
        <v>448</v>
      </c>
      <c r="DE182" s="276" t="str">
        <f t="shared" si="56"/>
        <v>---------</v>
      </c>
      <c r="DF182" s="290">
        <v>1.4300000000000299</v>
      </c>
      <c r="DG182" s="59">
        <v>159</v>
      </c>
      <c r="DH182" s="292" t="str">
        <f t="shared" si="57"/>
        <v>---------</v>
      </c>
      <c r="DI182" s="7"/>
      <c r="DJ182" s="7"/>
      <c r="DK182" s="7"/>
      <c r="DL182" s="7"/>
      <c r="FG182" s="7">
        <v>159</v>
      </c>
      <c r="FH182" s="12">
        <v>4.3</v>
      </c>
      <c r="FR182" s="12"/>
      <c r="FS182" s="7">
        <v>159</v>
      </c>
      <c r="FT182" s="12">
        <v>34.299999999999997</v>
      </c>
    </row>
    <row r="183" spans="20:176">
      <c r="T183" s="7"/>
      <c r="U183" s="7"/>
      <c r="V183" s="43"/>
      <c r="W183" s="7"/>
      <c r="X183" s="7"/>
      <c r="Y183" s="7"/>
      <c r="Z183" s="7"/>
      <c r="AA183" s="7"/>
      <c r="AB183" s="7"/>
      <c r="AC183" s="7"/>
      <c r="AD183" s="7"/>
      <c r="AE183" s="7"/>
      <c r="AF183" s="7"/>
      <c r="AG183" s="7"/>
      <c r="AH183" s="7"/>
      <c r="AI183" s="7"/>
      <c r="AJ183" s="7"/>
      <c r="AK183" s="7"/>
      <c r="AL183" s="7"/>
      <c r="AM183" s="7"/>
      <c r="AN183" s="7"/>
      <c r="AO183" s="7"/>
      <c r="AP183" s="7"/>
      <c r="AQ183" s="7"/>
      <c r="AR183" s="7"/>
      <c r="AS183" s="7"/>
      <c r="AT183" s="7"/>
      <c r="AU183" s="7"/>
      <c r="AV183" s="7"/>
      <c r="AW183" s="7"/>
      <c r="AX183" s="7"/>
      <c r="AY183" s="7"/>
      <c r="AZ183" s="7"/>
      <c r="BA183" s="7"/>
      <c r="BB183" s="7"/>
      <c r="BC183" s="7"/>
      <c r="BD183" s="7"/>
      <c r="BE183" s="7"/>
      <c r="BF183" s="7"/>
      <c r="BG183" s="7"/>
      <c r="BH183" s="7"/>
      <c r="BI183" s="7"/>
      <c r="BJ183" s="7"/>
      <c r="BK183" s="7"/>
      <c r="BL183" s="7"/>
      <c r="BM183" s="7"/>
      <c r="BN183" s="7"/>
      <c r="BO183" s="7"/>
      <c r="BP183" s="7"/>
      <c r="BQ183" s="7"/>
      <c r="BR183" s="7"/>
      <c r="BS183" s="7"/>
      <c r="BT183" s="7"/>
      <c r="BU183" s="7"/>
      <c r="BV183" s="7"/>
      <c r="BW183" s="7"/>
      <c r="BX183" s="7"/>
      <c r="BY183" s="7"/>
      <c r="BZ183" s="7"/>
      <c r="CA183" s="7"/>
      <c r="CB183" s="7"/>
      <c r="CC183" s="7"/>
      <c r="CD183" s="7"/>
      <c r="CE183" s="7"/>
      <c r="CF183" s="7"/>
      <c r="CG183" s="7"/>
      <c r="CH183" s="7"/>
      <c r="CI183" s="7"/>
      <c r="CJ183" s="7"/>
      <c r="CK183" s="7"/>
      <c r="CL183" s="7"/>
      <c r="CM183" s="7"/>
      <c r="CN183" s="7"/>
      <c r="CO183" s="7"/>
      <c r="CP183" s="7"/>
      <c r="CQ183" s="7"/>
      <c r="CR183" s="7"/>
      <c r="CS183" s="7"/>
      <c r="CT183" s="106">
        <v>9.1999999999999993</v>
      </c>
      <c r="CU183" s="12" t="s">
        <v>449</v>
      </c>
      <c r="CV183" s="276" t="str">
        <f t="shared" si="54"/>
        <v>---------</v>
      </c>
      <c r="CW183" s="290">
        <v>1.4200000000000299</v>
      </c>
      <c r="CX183" s="59">
        <v>160</v>
      </c>
      <c r="CY183" s="292" t="str">
        <f t="shared" si="55"/>
        <v>---------</v>
      </c>
      <c r="CZ183" s="7"/>
      <c r="DA183" s="7"/>
      <c r="DB183" s="7"/>
      <c r="DC183" s="106">
        <v>9.1999999999999993</v>
      </c>
      <c r="DD183" s="12" t="s">
        <v>449</v>
      </c>
      <c r="DE183" s="276" t="str">
        <f t="shared" si="56"/>
        <v>---------</v>
      </c>
      <c r="DF183" s="290">
        <v>1.4200000000000299</v>
      </c>
      <c r="DG183" s="59">
        <v>160</v>
      </c>
      <c r="DH183" s="292" t="str">
        <f t="shared" si="57"/>
        <v>---------</v>
      </c>
      <c r="DI183" s="7"/>
      <c r="DJ183" s="7"/>
      <c r="DK183" s="7"/>
      <c r="DL183" s="7"/>
      <c r="FG183" s="7">
        <v>160</v>
      </c>
      <c r="FH183" s="12">
        <v>4.2</v>
      </c>
      <c r="FR183" s="12"/>
      <c r="FS183" s="7">
        <v>160</v>
      </c>
      <c r="FT183" s="12">
        <v>34.200000000000003</v>
      </c>
    </row>
    <row r="184" spans="20:176">
      <c r="T184" s="7"/>
      <c r="U184" s="7"/>
      <c r="V184" s="43"/>
      <c r="W184" s="7"/>
      <c r="X184" s="7"/>
      <c r="Y184" s="7"/>
      <c r="Z184" s="7"/>
      <c r="AA184" s="7"/>
      <c r="AB184" s="7"/>
      <c r="AC184" s="7"/>
      <c r="AD184" s="7"/>
      <c r="AE184" s="7"/>
      <c r="AF184" s="7"/>
      <c r="AG184" s="7"/>
      <c r="AH184" s="7"/>
      <c r="AI184" s="7"/>
      <c r="AJ184" s="7"/>
      <c r="AK184" s="7"/>
      <c r="AL184" s="7"/>
      <c r="AM184" s="7"/>
      <c r="AN184" s="7"/>
      <c r="AO184" s="7"/>
      <c r="AP184" s="7"/>
      <c r="AQ184" s="7"/>
      <c r="AR184" s="7"/>
      <c r="AS184" s="7"/>
      <c r="AT184" s="7"/>
      <c r="AU184" s="7"/>
      <c r="AV184" s="7"/>
      <c r="AW184" s="7"/>
      <c r="AX184" s="7"/>
      <c r="AY184" s="7"/>
      <c r="AZ184" s="7"/>
      <c r="BA184" s="7"/>
      <c r="BB184" s="7"/>
      <c r="BC184" s="7"/>
      <c r="BD184" s="7"/>
      <c r="BE184" s="7"/>
      <c r="BF184" s="7"/>
      <c r="BG184" s="7"/>
      <c r="BH184" s="7"/>
      <c r="BI184" s="7"/>
      <c r="BJ184" s="7"/>
      <c r="BK184" s="7"/>
      <c r="BL184" s="7"/>
      <c r="BM184" s="7"/>
      <c r="BN184" s="7"/>
      <c r="BO184" s="7"/>
      <c r="BP184" s="7"/>
      <c r="BQ184" s="7"/>
      <c r="BR184" s="7"/>
      <c r="BS184" s="7"/>
      <c r="BT184" s="7"/>
      <c r="BU184" s="7"/>
      <c r="BV184" s="7"/>
      <c r="BW184" s="7"/>
      <c r="BX184" s="7"/>
      <c r="BY184" s="7"/>
      <c r="BZ184" s="7"/>
      <c r="CA184" s="7"/>
      <c r="CB184" s="7"/>
      <c r="CC184" s="7"/>
      <c r="CD184" s="7"/>
      <c r="CE184" s="7"/>
      <c r="CF184" s="7"/>
      <c r="CG184" s="7"/>
      <c r="CH184" s="7"/>
      <c r="CI184" s="7"/>
      <c r="CJ184" s="7"/>
      <c r="CK184" s="7"/>
      <c r="CL184" s="7"/>
      <c r="CM184" s="7"/>
      <c r="CN184" s="7"/>
      <c r="CO184" s="7"/>
      <c r="CP184" s="7"/>
      <c r="CQ184" s="7"/>
      <c r="CR184" s="7"/>
      <c r="CS184" s="7"/>
      <c r="CT184" s="106">
        <v>9.1</v>
      </c>
      <c r="CU184" s="12" t="s">
        <v>450</v>
      </c>
      <c r="CV184" s="276" t="str">
        <f t="shared" si="54"/>
        <v>---------</v>
      </c>
      <c r="CW184" s="290">
        <v>1.4100000000000299</v>
      </c>
      <c r="CX184" s="59">
        <v>161</v>
      </c>
      <c r="CY184" s="292" t="str">
        <f t="shared" si="55"/>
        <v>---------</v>
      </c>
      <c r="CZ184" s="7"/>
      <c r="DA184" s="7"/>
      <c r="DB184" s="7"/>
      <c r="DC184" s="106">
        <v>9.1</v>
      </c>
      <c r="DD184" s="12" t="s">
        <v>450</v>
      </c>
      <c r="DE184" s="276" t="str">
        <f t="shared" si="56"/>
        <v>---------</v>
      </c>
      <c r="DF184" s="290">
        <v>1.4100000000000299</v>
      </c>
      <c r="DG184" s="59">
        <v>161</v>
      </c>
      <c r="DH184" s="292" t="str">
        <f t="shared" si="57"/>
        <v>---------</v>
      </c>
      <c r="DI184" s="7"/>
      <c r="DJ184" s="7"/>
      <c r="DK184" s="7"/>
      <c r="DL184" s="7"/>
      <c r="FG184" s="7">
        <v>161</v>
      </c>
      <c r="FH184" s="12">
        <v>4.0999999999999996</v>
      </c>
      <c r="FR184" s="12"/>
      <c r="FS184" s="7">
        <v>161</v>
      </c>
      <c r="FT184" s="12">
        <v>34.1</v>
      </c>
    </row>
    <row r="185" spans="20:176">
      <c r="T185" s="7"/>
      <c r="U185" s="7"/>
      <c r="V185" s="43"/>
      <c r="W185" s="7"/>
      <c r="X185" s="7"/>
      <c r="Y185" s="7"/>
      <c r="Z185" s="7"/>
      <c r="AA185" s="7"/>
      <c r="AB185" s="7"/>
      <c r="AC185" s="7"/>
      <c r="AD185" s="7"/>
      <c r="AE185" s="7"/>
      <c r="AF185" s="7"/>
      <c r="AG185" s="7"/>
      <c r="AH185" s="7"/>
      <c r="AI185" s="7"/>
      <c r="AJ185" s="7"/>
      <c r="AK185" s="7"/>
      <c r="AL185" s="7"/>
      <c r="AM185" s="7"/>
      <c r="AN185" s="7"/>
      <c r="AO185" s="7"/>
      <c r="AP185" s="7"/>
      <c r="AQ185" s="7"/>
      <c r="AR185" s="7"/>
      <c r="AS185" s="7"/>
      <c r="AT185" s="7"/>
      <c r="AU185" s="7"/>
      <c r="AV185" s="7"/>
      <c r="AW185" s="7"/>
      <c r="AX185" s="7"/>
      <c r="AY185" s="7"/>
      <c r="AZ185" s="7"/>
      <c r="BA185" s="7"/>
      <c r="BB185" s="7"/>
      <c r="BC185" s="7"/>
      <c r="BD185" s="7"/>
      <c r="BE185" s="7"/>
      <c r="BF185" s="7"/>
      <c r="BG185" s="7"/>
      <c r="BH185" s="7"/>
      <c r="BI185" s="7"/>
      <c r="BJ185" s="7"/>
      <c r="BK185" s="7"/>
      <c r="BL185" s="7"/>
      <c r="BM185" s="7"/>
      <c r="BN185" s="7"/>
      <c r="BO185" s="7"/>
      <c r="BP185" s="7"/>
      <c r="BQ185" s="7"/>
      <c r="BR185" s="7"/>
      <c r="BS185" s="7"/>
      <c r="BT185" s="7"/>
      <c r="BU185" s="7"/>
      <c r="BV185" s="7"/>
      <c r="BW185" s="7"/>
      <c r="BX185" s="7"/>
      <c r="BY185" s="7"/>
      <c r="BZ185" s="7"/>
      <c r="CA185" s="7"/>
      <c r="CB185" s="7"/>
      <c r="CC185" s="7"/>
      <c r="CD185" s="7"/>
      <c r="CE185" s="7"/>
      <c r="CF185" s="7"/>
      <c r="CG185" s="7"/>
      <c r="CH185" s="7"/>
      <c r="CI185" s="7"/>
      <c r="CJ185" s="7"/>
      <c r="CK185" s="7"/>
      <c r="CL185" s="7"/>
      <c r="CM185" s="7"/>
      <c r="CN185" s="7"/>
      <c r="CO185" s="7"/>
      <c r="CP185" s="7"/>
      <c r="CQ185" s="7"/>
      <c r="CR185" s="7"/>
      <c r="CS185" s="7"/>
      <c r="CT185" s="106">
        <v>9</v>
      </c>
      <c r="CU185" s="12" t="s">
        <v>451</v>
      </c>
      <c r="CV185" s="276" t="str">
        <f t="shared" si="54"/>
        <v>---------</v>
      </c>
      <c r="CW185" s="290">
        <v>1.4000000000000301</v>
      </c>
      <c r="CX185" s="59">
        <v>162</v>
      </c>
      <c r="CY185" s="292" t="str">
        <f t="shared" si="55"/>
        <v>---------</v>
      </c>
      <c r="CZ185" s="7"/>
      <c r="DA185" s="7"/>
      <c r="DB185" s="7"/>
      <c r="DC185" s="106">
        <v>9</v>
      </c>
      <c r="DD185" s="12" t="s">
        <v>451</v>
      </c>
      <c r="DE185" s="276" t="str">
        <f t="shared" si="56"/>
        <v>---------</v>
      </c>
      <c r="DF185" s="290">
        <v>1.4000000000000301</v>
      </c>
      <c r="DG185" s="59">
        <v>162</v>
      </c>
      <c r="DH185" s="292" t="str">
        <f t="shared" si="57"/>
        <v>---------</v>
      </c>
      <c r="DI185" s="7"/>
      <c r="DJ185" s="7"/>
      <c r="DK185" s="7"/>
      <c r="DL185" s="7"/>
      <c r="FG185" s="7">
        <v>162</v>
      </c>
      <c r="FH185" s="12">
        <v>4</v>
      </c>
      <c r="FR185" s="12"/>
      <c r="FS185" s="7">
        <v>162</v>
      </c>
      <c r="FT185" s="12">
        <v>34</v>
      </c>
    </row>
    <row r="186" spans="20:176">
      <c r="T186" s="7"/>
      <c r="U186" s="7"/>
      <c r="V186" s="43"/>
      <c r="W186" s="7"/>
      <c r="X186" s="7"/>
      <c r="Y186" s="7"/>
      <c r="Z186" s="7"/>
      <c r="AA186" s="7"/>
      <c r="AB186" s="7"/>
      <c r="AC186" s="7"/>
      <c r="AD186" s="7"/>
      <c r="AE186" s="7"/>
      <c r="AF186" s="7"/>
      <c r="AG186" s="7"/>
      <c r="AH186" s="7"/>
      <c r="AI186" s="7"/>
      <c r="AJ186" s="7"/>
      <c r="AK186" s="7"/>
      <c r="AL186" s="7"/>
      <c r="AM186" s="7"/>
      <c r="AN186" s="7"/>
      <c r="AO186" s="7"/>
      <c r="AP186" s="7"/>
      <c r="AQ186" s="7"/>
      <c r="AR186" s="7"/>
      <c r="AS186" s="7"/>
      <c r="AT186" s="7"/>
      <c r="AU186" s="7"/>
      <c r="AV186" s="7"/>
      <c r="AW186" s="7"/>
      <c r="AX186" s="7"/>
      <c r="AY186" s="7"/>
      <c r="AZ186" s="7"/>
      <c r="BA186" s="7"/>
      <c r="BB186" s="7"/>
      <c r="BC186" s="7"/>
      <c r="BD186" s="7"/>
      <c r="BE186" s="7"/>
      <c r="BF186" s="7"/>
      <c r="BG186" s="7"/>
      <c r="BH186" s="7"/>
      <c r="BI186" s="7"/>
      <c r="BJ186" s="7"/>
      <c r="BK186" s="7"/>
      <c r="BL186" s="7"/>
      <c r="BM186" s="7"/>
      <c r="BN186" s="7"/>
      <c r="BO186" s="7"/>
      <c r="BP186" s="7"/>
      <c r="BQ186" s="7"/>
      <c r="BR186" s="7"/>
      <c r="BS186" s="7"/>
      <c r="BT186" s="7"/>
      <c r="BU186" s="7"/>
      <c r="BV186" s="7"/>
      <c r="BW186" s="7"/>
      <c r="BX186" s="7"/>
      <c r="BY186" s="7"/>
      <c r="BZ186" s="7"/>
      <c r="CA186" s="7"/>
      <c r="CB186" s="7"/>
      <c r="CC186" s="7"/>
      <c r="CD186" s="7"/>
      <c r="CE186" s="7"/>
      <c r="CF186" s="7"/>
      <c r="CG186" s="7"/>
      <c r="CH186" s="7"/>
      <c r="CI186" s="7"/>
      <c r="CJ186" s="7"/>
      <c r="CK186" s="7"/>
      <c r="CL186" s="7"/>
      <c r="CM186" s="7"/>
      <c r="CN186" s="7"/>
      <c r="CO186" s="7"/>
      <c r="CP186" s="7"/>
      <c r="CQ186" s="7"/>
      <c r="CR186" s="7"/>
      <c r="CS186" s="7"/>
      <c r="CT186" s="106">
        <v>8.9</v>
      </c>
      <c r="CU186" s="12" t="s">
        <v>452</v>
      </c>
      <c r="CV186" s="276" t="str">
        <f t="shared" si="54"/>
        <v>---------</v>
      </c>
      <c r="CW186" s="290">
        <v>1.3900000000000301</v>
      </c>
      <c r="CX186" s="59">
        <v>163</v>
      </c>
      <c r="CY186" s="292" t="str">
        <f t="shared" si="55"/>
        <v>---------</v>
      </c>
      <c r="CZ186" s="7"/>
      <c r="DA186" s="7"/>
      <c r="DB186" s="7"/>
      <c r="DC186" s="106">
        <v>8.9</v>
      </c>
      <c r="DD186" s="12" t="s">
        <v>452</v>
      </c>
      <c r="DE186" s="276" t="str">
        <f t="shared" si="56"/>
        <v>---------</v>
      </c>
      <c r="DF186" s="290">
        <v>1.3900000000000301</v>
      </c>
      <c r="DG186" s="59">
        <v>163</v>
      </c>
      <c r="DH186" s="292" t="str">
        <f t="shared" si="57"/>
        <v>---------</v>
      </c>
      <c r="DI186" s="7"/>
      <c r="DJ186" s="7"/>
      <c r="DK186" s="7"/>
      <c r="DL186" s="7"/>
      <c r="FG186" s="7">
        <v>163</v>
      </c>
      <c r="FH186" s="12">
        <v>3.9</v>
      </c>
      <c r="FR186" s="12"/>
      <c r="FS186" s="7">
        <v>163</v>
      </c>
      <c r="FT186" s="12">
        <v>33.9</v>
      </c>
    </row>
    <row r="187" spans="20:176">
      <c r="T187" s="7"/>
      <c r="U187" s="7"/>
      <c r="V187" s="43"/>
      <c r="W187" s="7"/>
      <c r="X187" s="7"/>
      <c r="Y187" s="7"/>
      <c r="Z187" s="7"/>
      <c r="AA187" s="7"/>
      <c r="AB187" s="7"/>
      <c r="AC187" s="7"/>
      <c r="AD187" s="7"/>
      <c r="AE187" s="7"/>
      <c r="AF187" s="7"/>
      <c r="AG187" s="7"/>
      <c r="AH187" s="7"/>
      <c r="AI187" s="7"/>
      <c r="AJ187" s="7"/>
      <c r="AK187" s="7"/>
      <c r="AL187" s="7"/>
      <c r="AM187" s="7"/>
      <c r="AN187" s="7"/>
      <c r="AO187" s="7"/>
      <c r="AP187" s="7"/>
      <c r="AQ187" s="7"/>
      <c r="AR187" s="7"/>
      <c r="AS187" s="7"/>
      <c r="AT187" s="7"/>
      <c r="AU187" s="7"/>
      <c r="AV187" s="7"/>
      <c r="AW187" s="7"/>
      <c r="AX187" s="7"/>
      <c r="AY187" s="7"/>
      <c r="AZ187" s="7"/>
      <c r="BA187" s="7"/>
      <c r="BB187" s="7"/>
      <c r="BC187" s="7"/>
      <c r="BD187" s="7"/>
      <c r="BE187" s="7"/>
      <c r="BF187" s="7"/>
      <c r="BG187" s="7"/>
      <c r="BH187" s="7"/>
      <c r="BI187" s="7"/>
      <c r="BJ187" s="7"/>
      <c r="BK187" s="7"/>
      <c r="BL187" s="7"/>
      <c r="BM187" s="7"/>
      <c r="BN187" s="7"/>
      <c r="BO187" s="7"/>
      <c r="BP187" s="7"/>
      <c r="BQ187" s="7"/>
      <c r="BR187" s="7"/>
      <c r="BS187" s="7"/>
      <c r="BT187" s="7"/>
      <c r="BU187" s="7"/>
      <c r="BV187" s="7"/>
      <c r="BW187" s="7"/>
      <c r="BX187" s="7"/>
      <c r="BY187" s="7"/>
      <c r="BZ187" s="7"/>
      <c r="CA187" s="7"/>
      <c r="CB187" s="7"/>
      <c r="CC187" s="7"/>
      <c r="CD187" s="7"/>
      <c r="CE187" s="7"/>
      <c r="CF187" s="7"/>
      <c r="CG187" s="7"/>
      <c r="CH187" s="7"/>
      <c r="CI187" s="7"/>
      <c r="CJ187" s="7"/>
      <c r="CK187" s="7"/>
      <c r="CL187" s="7"/>
      <c r="CM187" s="7"/>
      <c r="CN187" s="7"/>
      <c r="CO187" s="7"/>
      <c r="CP187" s="7"/>
      <c r="CQ187" s="7"/>
      <c r="CR187" s="7"/>
      <c r="CS187" s="7"/>
      <c r="CT187" s="106">
        <v>8.8000000000000007</v>
      </c>
      <c r="CU187" s="12" t="s">
        <v>453</v>
      </c>
      <c r="CV187" s="276" t="str">
        <f t="shared" si="54"/>
        <v>---------</v>
      </c>
      <c r="CW187" s="290">
        <v>1.3800000000000301</v>
      </c>
      <c r="CX187" s="59">
        <v>164</v>
      </c>
      <c r="CY187" s="292" t="str">
        <f t="shared" si="55"/>
        <v>---------</v>
      </c>
      <c r="CZ187" s="7"/>
      <c r="DA187" s="7"/>
      <c r="DB187" s="7"/>
      <c r="DC187" s="106">
        <v>8.8000000000000007</v>
      </c>
      <c r="DD187" s="12" t="s">
        <v>453</v>
      </c>
      <c r="DE187" s="276" t="str">
        <f t="shared" si="56"/>
        <v>---------</v>
      </c>
      <c r="DF187" s="290">
        <v>1.3800000000000301</v>
      </c>
      <c r="DG187" s="59">
        <v>164</v>
      </c>
      <c r="DH187" s="292" t="str">
        <f t="shared" si="57"/>
        <v>---------</v>
      </c>
      <c r="DI187" s="7"/>
      <c r="DJ187" s="7"/>
      <c r="DK187" s="7"/>
      <c r="DL187" s="7"/>
      <c r="FG187" s="7">
        <v>164</v>
      </c>
      <c r="FH187" s="12">
        <v>3.8</v>
      </c>
      <c r="FR187" s="12"/>
      <c r="FS187" s="7">
        <v>164</v>
      </c>
      <c r="FT187" s="12">
        <v>33.799999999999997</v>
      </c>
    </row>
    <row r="188" spans="20:176">
      <c r="T188" s="7"/>
      <c r="U188" s="7"/>
      <c r="V188" s="43"/>
      <c r="W188" s="7"/>
      <c r="X188" s="7"/>
      <c r="Y188" s="7"/>
      <c r="Z188" s="7"/>
      <c r="AA188" s="7"/>
      <c r="AB188" s="7"/>
      <c r="AC188" s="7"/>
      <c r="AD188" s="7"/>
      <c r="AE188" s="7"/>
      <c r="AF188" s="7"/>
      <c r="AG188" s="7"/>
      <c r="AH188" s="7"/>
      <c r="AI188" s="7"/>
      <c r="AJ188" s="7"/>
      <c r="AK188" s="7"/>
      <c r="AL188" s="7"/>
      <c r="AM188" s="7"/>
      <c r="AN188" s="7"/>
      <c r="AO188" s="7"/>
      <c r="AP188" s="7"/>
      <c r="AQ188" s="7"/>
      <c r="AR188" s="7"/>
      <c r="AS188" s="7"/>
      <c r="AT188" s="7"/>
      <c r="AU188" s="7"/>
      <c r="AV188" s="7"/>
      <c r="AW188" s="7"/>
      <c r="AX188" s="7"/>
      <c r="AY188" s="7"/>
      <c r="AZ188" s="7"/>
      <c r="BA188" s="7"/>
      <c r="BB188" s="7"/>
      <c r="BC188" s="7"/>
      <c r="BD188" s="7"/>
      <c r="BE188" s="7"/>
      <c r="BF188" s="7"/>
      <c r="BG188" s="7"/>
      <c r="BH188" s="7"/>
      <c r="BI188" s="7"/>
      <c r="BJ188" s="7"/>
      <c r="BK188" s="7"/>
      <c r="BL188" s="7"/>
      <c r="BM188" s="7"/>
      <c r="BN188" s="7"/>
      <c r="BO188" s="7"/>
      <c r="BP188" s="7"/>
      <c r="BQ188" s="7"/>
      <c r="BR188" s="7"/>
      <c r="BS188" s="7"/>
      <c r="BT188" s="7"/>
      <c r="BU188" s="7"/>
      <c r="BV188" s="7"/>
      <c r="BW188" s="7"/>
      <c r="BX188" s="7"/>
      <c r="BY188" s="7"/>
      <c r="BZ188" s="7"/>
      <c r="CA188" s="7"/>
      <c r="CB188" s="7"/>
      <c r="CC188" s="7"/>
      <c r="CD188" s="7"/>
      <c r="CE188" s="7"/>
      <c r="CF188" s="7"/>
      <c r="CG188" s="7"/>
      <c r="CH188" s="7"/>
      <c r="CI188" s="7"/>
      <c r="CJ188" s="7"/>
      <c r="CK188" s="7"/>
      <c r="CL188" s="7"/>
      <c r="CM188" s="7"/>
      <c r="CN188" s="7"/>
      <c r="CO188" s="7"/>
      <c r="CP188" s="7"/>
      <c r="CQ188" s="7"/>
      <c r="CR188" s="7"/>
      <c r="CS188" s="7"/>
      <c r="CT188" s="106">
        <v>8.6999999999999993</v>
      </c>
      <c r="CU188" s="12" t="s">
        <v>454</v>
      </c>
      <c r="CV188" s="276" t="str">
        <f t="shared" si="54"/>
        <v>---------</v>
      </c>
      <c r="CW188" s="290">
        <v>1.3700000000000301</v>
      </c>
      <c r="CX188" s="59">
        <v>165</v>
      </c>
      <c r="CY188" s="292" t="str">
        <f t="shared" si="55"/>
        <v>---------</v>
      </c>
      <c r="CZ188" s="7"/>
      <c r="DA188" s="7"/>
      <c r="DB188" s="7"/>
      <c r="DC188" s="106">
        <v>8.6999999999999993</v>
      </c>
      <c r="DD188" s="12" t="s">
        <v>454</v>
      </c>
      <c r="DE188" s="276" t="str">
        <f t="shared" si="56"/>
        <v>---------</v>
      </c>
      <c r="DF188" s="290">
        <v>1.3700000000000301</v>
      </c>
      <c r="DG188" s="59">
        <v>165</v>
      </c>
      <c r="DH188" s="292" t="str">
        <f t="shared" si="57"/>
        <v>---------</v>
      </c>
      <c r="DI188" s="7"/>
      <c r="DJ188" s="7"/>
      <c r="DK188" s="7"/>
      <c r="DL188" s="7"/>
      <c r="FG188" s="7">
        <v>165</v>
      </c>
      <c r="FH188" s="12">
        <v>3.7</v>
      </c>
      <c r="FR188" s="12"/>
      <c r="FS188" s="7">
        <v>165</v>
      </c>
      <c r="FT188" s="12">
        <v>33.700000000000003</v>
      </c>
    </row>
    <row r="189" spans="20:176">
      <c r="T189" s="7"/>
      <c r="U189" s="7"/>
      <c r="V189" s="43"/>
      <c r="W189" s="7"/>
      <c r="X189" s="7"/>
      <c r="Y189" s="7"/>
      <c r="Z189" s="7"/>
      <c r="AA189" s="7"/>
      <c r="AB189" s="7"/>
      <c r="AC189" s="7"/>
      <c r="AD189" s="7"/>
      <c r="AE189" s="7"/>
      <c r="AF189" s="7"/>
      <c r="AG189" s="7"/>
      <c r="AH189" s="7"/>
      <c r="AI189" s="7"/>
      <c r="AJ189" s="7"/>
      <c r="AK189" s="7"/>
      <c r="AL189" s="7"/>
      <c r="AM189" s="7"/>
      <c r="AN189" s="7"/>
      <c r="AO189" s="7"/>
      <c r="AP189" s="7"/>
      <c r="AQ189" s="7"/>
      <c r="AR189" s="7"/>
      <c r="AS189" s="7"/>
      <c r="AT189" s="7"/>
      <c r="AU189" s="7"/>
      <c r="AV189" s="7"/>
      <c r="AW189" s="7"/>
      <c r="AX189" s="7"/>
      <c r="AY189" s="7"/>
      <c r="AZ189" s="7"/>
      <c r="BA189" s="7"/>
      <c r="BB189" s="7"/>
      <c r="BC189" s="7"/>
      <c r="BD189" s="7"/>
      <c r="BE189" s="7"/>
      <c r="BF189" s="7"/>
      <c r="BG189" s="7"/>
      <c r="BH189" s="7"/>
      <c r="BI189" s="7"/>
      <c r="BJ189" s="7"/>
      <c r="BK189" s="7"/>
      <c r="BL189" s="7"/>
      <c r="BM189" s="7"/>
      <c r="BN189" s="7"/>
      <c r="BO189" s="7"/>
      <c r="BP189" s="7"/>
      <c r="BQ189" s="7"/>
      <c r="BR189" s="7"/>
      <c r="BS189" s="7"/>
      <c r="BT189" s="7"/>
      <c r="BU189" s="7"/>
      <c r="BV189" s="7"/>
      <c r="BW189" s="7"/>
      <c r="BX189" s="7"/>
      <c r="BY189" s="7"/>
      <c r="BZ189" s="7"/>
      <c r="CA189" s="7"/>
      <c r="CB189" s="7"/>
      <c r="CC189" s="7"/>
      <c r="CD189" s="7"/>
      <c r="CE189" s="7"/>
      <c r="CF189" s="7"/>
      <c r="CG189" s="7"/>
      <c r="CH189" s="7"/>
      <c r="CI189" s="7"/>
      <c r="CJ189" s="7"/>
      <c r="CK189" s="7"/>
      <c r="CL189" s="7"/>
      <c r="CM189" s="7"/>
      <c r="CN189" s="7"/>
      <c r="CO189" s="7"/>
      <c r="CP189" s="7"/>
      <c r="CQ189" s="7"/>
      <c r="CR189" s="7"/>
      <c r="CS189" s="7"/>
      <c r="CT189" s="106">
        <v>8.6</v>
      </c>
      <c r="CU189" s="12" t="s">
        <v>455</v>
      </c>
      <c r="CV189" s="276" t="str">
        <f t="shared" si="54"/>
        <v>---------</v>
      </c>
      <c r="CW189" s="290">
        <v>1.3600000000000301</v>
      </c>
      <c r="CX189" s="59">
        <v>166</v>
      </c>
      <c r="CY189" s="292" t="str">
        <f t="shared" si="55"/>
        <v>---------</v>
      </c>
      <c r="CZ189" s="7"/>
      <c r="DA189" s="7"/>
      <c r="DB189" s="7"/>
      <c r="DC189" s="106">
        <v>8.6</v>
      </c>
      <c r="DD189" s="12" t="s">
        <v>455</v>
      </c>
      <c r="DE189" s="276" t="str">
        <f t="shared" si="56"/>
        <v>---------</v>
      </c>
      <c r="DF189" s="290">
        <v>1.3600000000000301</v>
      </c>
      <c r="DG189" s="59">
        <v>166</v>
      </c>
      <c r="DH189" s="292" t="str">
        <f t="shared" si="57"/>
        <v>---------</v>
      </c>
      <c r="DI189" s="7"/>
      <c r="DJ189" s="7"/>
      <c r="DK189" s="7"/>
      <c r="DL189" s="7"/>
      <c r="FG189" s="7">
        <v>166</v>
      </c>
      <c r="FH189" s="12">
        <v>3.6</v>
      </c>
      <c r="FR189" s="12"/>
      <c r="FS189" s="7">
        <v>166</v>
      </c>
      <c r="FT189" s="12">
        <v>33.6</v>
      </c>
    </row>
    <row r="190" spans="20:176">
      <c r="T190" s="7"/>
      <c r="U190" s="7"/>
      <c r="V190" s="43"/>
      <c r="W190" s="7"/>
      <c r="X190" s="7"/>
      <c r="Y190" s="7"/>
      <c r="Z190" s="7"/>
      <c r="AA190" s="7"/>
      <c r="AB190" s="7"/>
      <c r="AC190" s="7"/>
      <c r="AD190" s="7"/>
      <c r="AE190" s="7"/>
      <c r="AF190" s="7"/>
      <c r="AG190" s="7"/>
      <c r="AH190" s="7"/>
      <c r="AI190" s="7"/>
      <c r="AJ190" s="7"/>
      <c r="AK190" s="7"/>
      <c r="AL190" s="7"/>
      <c r="AM190" s="7"/>
      <c r="AN190" s="7"/>
      <c r="AO190" s="7"/>
      <c r="AP190" s="7"/>
      <c r="AQ190" s="7"/>
      <c r="AR190" s="7"/>
      <c r="AS190" s="7"/>
      <c r="AT190" s="7"/>
      <c r="AU190" s="7"/>
      <c r="AV190" s="7"/>
      <c r="AW190" s="7"/>
      <c r="AX190" s="7"/>
      <c r="AY190" s="7"/>
      <c r="AZ190" s="7"/>
      <c r="BA190" s="7"/>
      <c r="BB190" s="7"/>
      <c r="BC190" s="7"/>
      <c r="BD190" s="7"/>
      <c r="BE190" s="7"/>
      <c r="BF190" s="7"/>
      <c r="BG190" s="7"/>
      <c r="BH190" s="7"/>
      <c r="BI190" s="7"/>
      <c r="BJ190" s="7"/>
      <c r="BK190" s="7"/>
      <c r="BL190" s="7"/>
      <c r="BM190" s="7"/>
      <c r="BN190" s="7"/>
      <c r="BO190" s="7"/>
      <c r="BP190" s="7"/>
      <c r="BQ190" s="7"/>
      <c r="BR190" s="7"/>
      <c r="BS190" s="7"/>
      <c r="BT190" s="7"/>
      <c r="BU190" s="7"/>
      <c r="BV190" s="7"/>
      <c r="BW190" s="7"/>
      <c r="BX190" s="7"/>
      <c r="BY190" s="7"/>
      <c r="BZ190" s="7"/>
      <c r="CA190" s="7"/>
      <c r="CB190" s="7"/>
      <c r="CC190" s="7"/>
      <c r="CD190" s="7"/>
      <c r="CE190" s="7"/>
      <c r="CF190" s="7"/>
      <c r="CG190" s="7"/>
      <c r="CH190" s="7"/>
      <c r="CI190" s="7"/>
      <c r="CJ190" s="7"/>
      <c r="CK190" s="7"/>
      <c r="CL190" s="7"/>
      <c r="CM190" s="7"/>
      <c r="CN190" s="7"/>
      <c r="CO190" s="7"/>
      <c r="CP190" s="7"/>
      <c r="CQ190" s="7"/>
      <c r="CR190" s="7"/>
      <c r="CS190" s="7"/>
      <c r="CT190" s="106">
        <v>8.5</v>
      </c>
      <c r="CU190" s="12" t="s">
        <v>456</v>
      </c>
      <c r="CV190" s="276" t="str">
        <f t="shared" si="54"/>
        <v>---------</v>
      </c>
      <c r="CW190" s="290">
        <v>1.3500000000000401</v>
      </c>
      <c r="CX190" s="59">
        <v>167</v>
      </c>
      <c r="CY190" s="292" t="str">
        <f t="shared" si="55"/>
        <v>---------</v>
      </c>
      <c r="CZ190" s="7"/>
      <c r="DA190" s="7"/>
      <c r="DB190" s="7"/>
      <c r="DC190" s="106">
        <v>8.5</v>
      </c>
      <c r="DD190" s="12" t="s">
        <v>456</v>
      </c>
      <c r="DE190" s="276" t="str">
        <f t="shared" si="56"/>
        <v>---------</v>
      </c>
      <c r="DF190" s="290">
        <v>1.3500000000000401</v>
      </c>
      <c r="DG190" s="59">
        <v>167</v>
      </c>
      <c r="DH190" s="292" t="str">
        <f t="shared" si="57"/>
        <v>---------</v>
      </c>
      <c r="DI190" s="7"/>
      <c r="DJ190" s="7"/>
      <c r="DK190" s="7"/>
      <c r="DL190" s="7"/>
      <c r="FG190" s="7">
        <v>167</v>
      </c>
      <c r="FH190" s="12">
        <v>3.5</v>
      </c>
      <c r="FR190" s="12"/>
      <c r="FS190" s="7">
        <v>167</v>
      </c>
      <c r="FT190" s="12">
        <v>33.5</v>
      </c>
    </row>
    <row r="191" spans="20:176">
      <c r="T191" s="7"/>
      <c r="U191" s="7"/>
      <c r="V191" s="43"/>
      <c r="W191" s="7"/>
      <c r="X191" s="7"/>
      <c r="Y191" s="7"/>
      <c r="Z191" s="7"/>
      <c r="AA191" s="7"/>
      <c r="AB191" s="7"/>
      <c r="AC191" s="7"/>
      <c r="AD191" s="7"/>
      <c r="AE191" s="7"/>
      <c r="AF191" s="7"/>
      <c r="AG191" s="7"/>
      <c r="AH191" s="7"/>
      <c r="AI191" s="7"/>
      <c r="AJ191" s="7"/>
      <c r="AK191" s="7"/>
      <c r="AL191" s="7"/>
      <c r="AM191" s="7"/>
      <c r="AN191" s="7"/>
      <c r="AO191" s="7"/>
      <c r="AP191" s="7"/>
      <c r="AQ191" s="7"/>
      <c r="AR191" s="7"/>
      <c r="AS191" s="7"/>
      <c r="AT191" s="7"/>
      <c r="AU191" s="7"/>
      <c r="AV191" s="7"/>
      <c r="AW191" s="7"/>
      <c r="AX191" s="7"/>
      <c r="AY191" s="7"/>
      <c r="AZ191" s="7"/>
      <c r="BA191" s="7"/>
      <c r="BB191" s="7"/>
      <c r="BC191" s="7"/>
      <c r="BD191" s="7"/>
      <c r="BE191" s="7"/>
      <c r="BF191" s="7"/>
      <c r="BG191" s="7"/>
      <c r="BH191" s="7"/>
      <c r="BI191" s="7"/>
      <c r="BJ191" s="7"/>
      <c r="BK191" s="7"/>
      <c r="BL191" s="7"/>
      <c r="BM191" s="7"/>
      <c r="BN191" s="7"/>
      <c r="BO191" s="7"/>
      <c r="BP191" s="7"/>
      <c r="BQ191" s="7"/>
      <c r="BR191" s="7"/>
      <c r="BS191" s="7"/>
      <c r="BT191" s="7"/>
      <c r="BU191" s="7"/>
      <c r="BV191" s="7"/>
      <c r="BW191" s="7"/>
      <c r="BX191" s="7"/>
      <c r="BY191" s="7"/>
      <c r="BZ191" s="7"/>
      <c r="CA191" s="7"/>
      <c r="CB191" s="7"/>
      <c r="CC191" s="7"/>
      <c r="CD191" s="7"/>
      <c r="CE191" s="7"/>
      <c r="CF191" s="7"/>
      <c r="CG191" s="7"/>
      <c r="CH191" s="7"/>
      <c r="CI191" s="7"/>
      <c r="CJ191" s="7"/>
      <c r="CK191" s="7"/>
      <c r="CL191" s="7"/>
      <c r="CM191" s="7"/>
      <c r="CN191" s="7"/>
      <c r="CO191" s="7"/>
      <c r="CP191" s="7"/>
      <c r="CQ191" s="7"/>
      <c r="CR191" s="7"/>
      <c r="CS191" s="7"/>
      <c r="CT191" s="106">
        <v>8.4</v>
      </c>
      <c r="CU191" s="12" t="s">
        <v>457</v>
      </c>
      <c r="CV191" s="276" t="str">
        <f t="shared" si="54"/>
        <v>---------</v>
      </c>
      <c r="CW191" s="290">
        <v>1.34000000000004</v>
      </c>
      <c r="CX191" s="59">
        <v>168</v>
      </c>
      <c r="CY191" s="292" t="str">
        <f t="shared" si="55"/>
        <v>---------</v>
      </c>
      <c r="CZ191" s="7"/>
      <c r="DA191" s="7"/>
      <c r="DB191" s="7"/>
      <c r="DC191" s="106">
        <v>8.4</v>
      </c>
      <c r="DD191" s="12" t="s">
        <v>457</v>
      </c>
      <c r="DE191" s="276" t="str">
        <f t="shared" si="56"/>
        <v>---------</v>
      </c>
      <c r="DF191" s="290">
        <v>1.34000000000004</v>
      </c>
      <c r="DG191" s="59">
        <v>168</v>
      </c>
      <c r="DH191" s="292" t="str">
        <f t="shared" si="57"/>
        <v>---------</v>
      </c>
      <c r="DI191" s="7"/>
      <c r="DJ191" s="7"/>
      <c r="DK191" s="7"/>
      <c r="DL191" s="7"/>
      <c r="FG191" s="7">
        <v>168</v>
      </c>
      <c r="FH191" s="12">
        <v>3.4</v>
      </c>
      <c r="FR191" s="12"/>
      <c r="FS191" s="7">
        <v>168</v>
      </c>
      <c r="FT191" s="12">
        <v>33.4</v>
      </c>
    </row>
    <row r="192" spans="20:176">
      <c r="T192" s="7"/>
      <c r="U192" s="7"/>
      <c r="V192" s="43"/>
      <c r="W192" s="7"/>
      <c r="X192" s="7"/>
      <c r="Y192" s="7"/>
      <c r="Z192" s="7"/>
      <c r="AA192" s="7"/>
      <c r="AB192" s="7"/>
      <c r="AC192" s="7"/>
      <c r="AD192" s="7"/>
      <c r="AE192" s="7"/>
      <c r="AF192" s="7"/>
      <c r="AG192" s="7"/>
      <c r="AH192" s="7"/>
      <c r="AI192" s="7"/>
      <c r="AJ192" s="7"/>
      <c r="AK192" s="7"/>
      <c r="AL192" s="7"/>
      <c r="AM192" s="7"/>
      <c r="AN192" s="7"/>
      <c r="AO192" s="7"/>
      <c r="AP192" s="7"/>
      <c r="AQ192" s="7"/>
      <c r="AR192" s="7"/>
      <c r="AS192" s="7"/>
      <c r="AT192" s="7"/>
      <c r="AU192" s="7"/>
      <c r="AV192" s="7"/>
      <c r="AW192" s="7"/>
      <c r="AX192" s="7"/>
      <c r="AY192" s="7"/>
      <c r="AZ192" s="7"/>
      <c r="BA192" s="7"/>
      <c r="BB192" s="7"/>
      <c r="BC192" s="7"/>
      <c r="BD192" s="7"/>
      <c r="BE192" s="7"/>
      <c r="BF192" s="7"/>
      <c r="BG192" s="7"/>
      <c r="BH192" s="7"/>
      <c r="BI192" s="7"/>
      <c r="BJ192" s="7"/>
      <c r="BK192" s="7"/>
      <c r="BL192" s="7"/>
      <c r="BM192" s="7"/>
      <c r="BN192" s="7"/>
      <c r="BO192" s="7"/>
      <c r="BP192" s="7"/>
      <c r="BQ192" s="7"/>
      <c r="BR192" s="7"/>
      <c r="BS192" s="7"/>
      <c r="BT192" s="7"/>
      <c r="BU192" s="7"/>
      <c r="BV192" s="7"/>
      <c r="BW192" s="7"/>
      <c r="BX192" s="7"/>
      <c r="BY192" s="7"/>
      <c r="BZ192" s="7"/>
      <c r="CA192" s="7"/>
      <c r="CB192" s="7"/>
      <c r="CC192" s="7"/>
      <c r="CD192" s="7"/>
      <c r="CE192" s="7"/>
      <c r="CF192" s="7"/>
      <c r="CG192" s="7"/>
      <c r="CH192" s="7"/>
      <c r="CI192" s="7"/>
      <c r="CJ192" s="7"/>
      <c r="CK192" s="7"/>
      <c r="CL192" s="7"/>
      <c r="CM192" s="7"/>
      <c r="CN192" s="7"/>
      <c r="CO192" s="7"/>
      <c r="CP192" s="7"/>
      <c r="CQ192" s="7"/>
      <c r="CR192" s="7"/>
      <c r="CS192" s="7"/>
      <c r="CT192" s="106">
        <v>8.3000000000000007</v>
      </c>
      <c r="CU192" s="12" t="s">
        <v>458</v>
      </c>
      <c r="CV192" s="276" t="str">
        <f t="shared" si="54"/>
        <v>---------</v>
      </c>
      <c r="CW192" s="290">
        <v>1.33000000000004</v>
      </c>
      <c r="CX192" s="59">
        <v>169</v>
      </c>
      <c r="CY192" s="292" t="str">
        <f t="shared" si="55"/>
        <v>---------</v>
      </c>
      <c r="CZ192" s="7"/>
      <c r="DA192" s="7"/>
      <c r="DB192" s="7"/>
      <c r="DC192" s="106">
        <v>8.3000000000000007</v>
      </c>
      <c r="DD192" s="12" t="s">
        <v>458</v>
      </c>
      <c r="DE192" s="276" t="str">
        <f t="shared" si="56"/>
        <v>---------</v>
      </c>
      <c r="DF192" s="290">
        <v>1.33000000000004</v>
      </c>
      <c r="DG192" s="59">
        <v>169</v>
      </c>
      <c r="DH192" s="292" t="str">
        <f t="shared" si="57"/>
        <v>---------</v>
      </c>
      <c r="DI192" s="7"/>
      <c r="DJ192" s="7"/>
      <c r="DK192" s="7"/>
      <c r="DL192" s="7"/>
      <c r="FG192" s="7">
        <v>169</v>
      </c>
      <c r="FH192" s="12">
        <v>3.3</v>
      </c>
      <c r="FR192" s="12"/>
      <c r="FS192" s="7">
        <v>169</v>
      </c>
      <c r="FT192" s="12">
        <v>33.299999999999997</v>
      </c>
    </row>
    <row r="193" spans="20:176">
      <c r="T193" s="7"/>
      <c r="U193" s="7"/>
      <c r="V193" s="43"/>
      <c r="W193" s="7"/>
      <c r="X193" s="7"/>
      <c r="Y193" s="7"/>
      <c r="Z193" s="7"/>
      <c r="AA193" s="7"/>
      <c r="AB193" s="7"/>
      <c r="AC193" s="7"/>
      <c r="AD193" s="7"/>
      <c r="AE193" s="7"/>
      <c r="AF193" s="7"/>
      <c r="AG193" s="7"/>
      <c r="AH193" s="7"/>
      <c r="AI193" s="7"/>
      <c r="AJ193" s="7"/>
      <c r="AK193" s="7"/>
      <c r="AL193" s="7"/>
      <c r="AM193" s="7"/>
      <c r="AN193" s="7"/>
      <c r="AO193" s="7"/>
      <c r="AP193" s="7"/>
      <c r="AQ193" s="7"/>
      <c r="AR193" s="7"/>
      <c r="AS193" s="7"/>
      <c r="AT193" s="7"/>
      <c r="AU193" s="7"/>
      <c r="AV193" s="7"/>
      <c r="AW193" s="7"/>
      <c r="AX193" s="7"/>
      <c r="AY193" s="7"/>
      <c r="AZ193" s="7"/>
      <c r="BA193" s="7"/>
      <c r="BB193" s="7"/>
      <c r="BC193" s="7"/>
      <c r="BD193" s="7"/>
      <c r="BE193" s="7"/>
      <c r="BF193" s="7"/>
      <c r="BG193" s="7"/>
      <c r="BH193" s="7"/>
      <c r="BI193" s="7"/>
      <c r="BJ193" s="7"/>
      <c r="BK193" s="7"/>
      <c r="BL193" s="7"/>
      <c r="BM193" s="7"/>
      <c r="BN193" s="7"/>
      <c r="BO193" s="7"/>
      <c r="BP193" s="7"/>
      <c r="BQ193" s="7"/>
      <c r="BR193" s="7"/>
      <c r="BS193" s="7"/>
      <c r="BT193" s="7"/>
      <c r="BU193" s="7"/>
      <c r="BV193" s="7"/>
      <c r="BW193" s="7"/>
      <c r="BX193" s="7"/>
      <c r="BY193" s="7"/>
      <c r="BZ193" s="7"/>
      <c r="CA193" s="7"/>
      <c r="CB193" s="7"/>
      <c r="CC193" s="7"/>
      <c r="CD193" s="7"/>
      <c r="CE193" s="7"/>
      <c r="CF193" s="7"/>
      <c r="CG193" s="7"/>
      <c r="CH193" s="7"/>
      <c r="CI193" s="7"/>
      <c r="CJ193" s="7"/>
      <c r="CK193" s="7"/>
      <c r="CL193" s="7"/>
      <c r="CM193" s="7"/>
      <c r="CN193" s="7"/>
      <c r="CO193" s="7"/>
      <c r="CP193" s="7"/>
      <c r="CQ193" s="7"/>
      <c r="CR193" s="7"/>
      <c r="CS193" s="7"/>
      <c r="CT193" s="106">
        <v>8.1999999999999993</v>
      </c>
      <c r="CU193" s="12" t="s">
        <v>459</v>
      </c>
      <c r="CV193" s="276" t="str">
        <f t="shared" si="54"/>
        <v>---------</v>
      </c>
      <c r="CW193" s="290">
        <v>1.32000000000004</v>
      </c>
      <c r="CX193" s="59">
        <v>170</v>
      </c>
      <c r="CY193" s="292" t="str">
        <f t="shared" si="55"/>
        <v>---------</v>
      </c>
      <c r="CZ193" s="7"/>
      <c r="DA193" s="7"/>
      <c r="DB193" s="7"/>
      <c r="DC193" s="106">
        <v>8.1999999999999993</v>
      </c>
      <c r="DD193" s="12" t="s">
        <v>459</v>
      </c>
      <c r="DE193" s="276" t="str">
        <f t="shared" si="56"/>
        <v>---------</v>
      </c>
      <c r="DF193" s="290">
        <v>1.32000000000004</v>
      </c>
      <c r="DG193" s="59">
        <v>170</v>
      </c>
      <c r="DH193" s="292" t="str">
        <f t="shared" si="57"/>
        <v>---------</v>
      </c>
      <c r="DI193" s="7"/>
      <c r="DJ193" s="7"/>
      <c r="DK193" s="7"/>
      <c r="DL193" s="7"/>
      <c r="FG193" s="7">
        <v>170</v>
      </c>
      <c r="FH193" s="12">
        <v>3.2</v>
      </c>
      <c r="FR193" s="12"/>
      <c r="FS193" s="7">
        <v>170</v>
      </c>
      <c r="FT193" s="12">
        <v>33.200000000000003</v>
      </c>
    </row>
    <row r="194" spans="20:176">
      <c r="T194" s="7"/>
      <c r="U194" s="7"/>
      <c r="V194" s="43"/>
      <c r="W194" s="7"/>
      <c r="X194" s="7"/>
      <c r="Y194" s="7"/>
      <c r="Z194" s="7"/>
      <c r="AA194" s="7"/>
      <c r="AB194" s="7"/>
      <c r="AC194" s="7"/>
      <c r="AD194" s="7"/>
      <c r="AE194" s="7"/>
      <c r="AF194" s="7"/>
      <c r="AG194" s="7"/>
      <c r="AH194" s="7"/>
      <c r="AI194" s="7"/>
      <c r="AJ194" s="7"/>
      <c r="AK194" s="7"/>
      <c r="AL194" s="7"/>
      <c r="AM194" s="7"/>
      <c r="AN194" s="7"/>
      <c r="AO194" s="7"/>
      <c r="AP194" s="7"/>
      <c r="AQ194" s="7"/>
      <c r="AR194" s="7"/>
      <c r="AS194" s="7"/>
      <c r="AT194" s="7"/>
      <c r="AU194" s="7"/>
      <c r="AV194" s="7"/>
      <c r="AW194" s="7"/>
      <c r="AX194" s="7"/>
      <c r="AY194" s="7"/>
      <c r="AZ194" s="7"/>
      <c r="BA194" s="7"/>
      <c r="BB194" s="7"/>
      <c r="BC194" s="7"/>
      <c r="BD194" s="7"/>
      <c r="BE194" s="7"/>
      <c r="BF194" s="7"/>
      <c r="BG194" s="7"/>
      <c r="BH194" s="7"/>
      <c r="BI194" s="7"/>
      <c r="BJ194" s="7"/>
      <c r="BK194" s="7"/>
      <c r="BL194" s="7"/>
      <c r="BM194" s="7"/>
      <c r="BN194" s="7"/>
      <c r="BO194" s="7"/>
      <c r="BP194" s="7"/>
      <c r="BQ194" s="7"/>
      <c r="BR194" s="7"/>
      <c r="BS194" s="7"/>
      <c r="BT194" s="7"/>
      <c r="BU194" s="7"/>
      <c r="BV194" s="7"/>
      <c r="BW194" s="7"/>
      <c r="BX194" s="7"/>
      <c r="BY194" s="7"/>
      <c r="BZ194" s="7"/>
      <c r="CA194" s="7"/>
      <c r="CB194" s="7"/>
      <c r="CC194" s="7"/>
      <c r="CD194" s="7"/>
      <c r="CE194" s="7"/>
      <c r="CF194" s="7"/>
      <c r="CG194" s="7"/>
      <c r="CH194" s="7"/>
      <c r="CI194" s="7"/>
      <c r="CJ194" s="7"/>
      <c r="CK194" s="7"/>
      <c r="CL194" s="7"/>
      <c r="CM194" s="7"/>
      <c r="CN194" s="7"/>
      <c r="CO194" s="7"/>
      <c r="CP194" s="7"/>
      <c r="CQ194" s="7"/>
      <c r="CR194" s="7"/>
      <c r="CS194" s="7"/>
      <c r="CT194" s="106">
        <v>8.1</v>
      </c>
      <c r="CU194" s="12" t="s">
        <v>460</v>
      </c>
      <c r="CV194" s="276" t="str">
        <f t="shared" si="54"/>
        <v>---------</v>
      </c>
      <c r="CW194" s="290">
        <v>1.31000000000004</v>
      </c>
      <c r="CX194" s="59">
        <v>171</v>
      </c>
      <c r="CY194" s="292" t="str">
        <f t="shared" si="55"/>
        <v>---------</v>
      </c>
      <c r="CZ194" s="7"/>
      <c r="DA194" s="7"/>
      <c r="DB194" s="7"/>
      <c r="DC194" s="106">
        <v>8.1</v>
      </c>
      <c r="DD194" s="12" t="s">
        <v>460</v>
      </c>
      <c r="DE194" s="276" t="str">
        <f t="shared" si="56"/>
        <v>---------</v>
      </c>
      <c r="DF194" s="290">
        <v>1.31000000000004</v>
      </c>
      <c r="DG194" s="59">
        <v>171</v>
      </c>
      <c r="DH194" s="292" t="str">
        <f t="shared" si="57"/>
        <v>---------</v>
      </c>
      <c r="DI194" s="7"/>
      <c r="DJ194" s="7"/>
      <c r="DK194" s="7"/>
      <c r="DL194" s="7"/>
      <c r="FG194" s="7">
        <v>171</v>
      </c>
      <c r="FH194" s="12">
        <v>3.1</v>
      </c>
      <c r="FR194" s="12"/>
      <c r="FS194" s="7">
        <v>171</v>
      </c>
      <c r="FT194" s="12">
        <v>33.1</v>
      </c>
    </row>
    <row r="195" spans="20:176">
      <c r="T195" s="7"/>
      <c r="U195" s="7"/>
      <c r="V195" s="43"/>
      <c r="W195" s="7"/>
      <c r="X195" s="7"/>
      <c r="Y195" s="7"/>
      <c r="Z195" s="7"/>
      <c r="AA195" s="7"/>
      <c r="AB195" s="7"/>
      <c r="AC195" s="7"/>
      <c r="AD195" s="7"/>
      <c r="AE195" s="7"/>
      <c r="AF195" s="7"/>
      <c r="AG195" s="7"/>
      <c r="AH195" s="7"/>
      <c r="AI195" s="7"/>
      <c r="AJ195" s="7"/>
      <c r="AK195" s="7"/>
      <c r="AL195" s="7"/>
      <c r="AM195" s="7"/>
      <c r="AN195" s="7"/>
      <c r="AO195" s="7"/>
      <c r="AP195" s="7"/>
      <c r="AQ195" s="7"/>
      <c r="AR195" s="7"/>
      <c r="AS195" s="7"/>
      <c r="AT195" s="7"/>
      <c r="AU195" s="7"/>
      <c r="AV195" s="7"/>
      <c r="AW195" s="7"/>
      <c r="AX195" s="7"/>
      <c r="AY195" s="7"/>
      <c r="AZ195" s="7"/>
      <c r="BA195" s="7"/>
      <c r="BB195" s="7"/>
      <c r="BC195" s="7"/>
      <c r="BD195" s="7"/>
      <c r="BE195" s="7"/>
      <c r="BF195" s="7"/>
      <c r="BG195" s="7"/>
      <c r="BH195" s="7"/>
      <c r="BI195" s="7"/>
      <c r="BJ195" s="7"/>
      <c r="BK195" s="7"/>
      <c r="BL195" s="7"/>
      <c r="BM195" s="7"/>
      <c r="BN195" s="7"/>
      <c r="BO195" s="7"/>
      <c r="BP195" s="7"/>
      <c r="BQ195" s="7"/>
      <c r="BR195" s="7"/>
      <c r="BS195" s="7"/>
      <c r="BT195" s="7"/>
      <c r="BU195" s="7"/>
      <c r="BV195" s="7"/>
      <c r="BW195" s="7"/>
      <c r="BX195" s="7"/>
      <c r="BY195" s="7"/>
      <c r="BZ195" s="7"/>
      <c r="CA195" s="7"/>
      <c r="CB195" s="7"/>
      <c r="CC195" s="7"/>
      <c r="CD195" s="7"/>
      <c r="CE195" s="7"/>
      <c r="CF195" s="7"/>
      <c r="CG195" s="7"/>
      <c r="CH195" s="7"/>
      <c r="CI195" s="7"/>
      <c r="CJ195" s="7"/>
      <c r="CK195" s="7"/>
      <c r="CL195" s="7"/>
      <c r="CM195" s="7"/>
      <c r="CN195" s="7"/>
      <c r="CO195" s="7"/>
      <c r="CP195" s="7"/>
      <c r="CQ195" s="7"/>
      <c r="CR195" s="7"/>
      <c r="CS195" s="7"/>
      <c r="CT195" s="106">
        <v>8</v>
      </c>
      <c r="CU195" s="12" t="s">
        <v>461</v>
      </c>
      <c r="CV195" s="276" t="str">
        <f t="shared" si="54"/>
        <v>---------</v>
      </c>
      <c r="CW195" s="290">
        <v>1.30000000000004</v>
      </c>
      <c r="CX195" s="59">
        <v>172</v>
      </c>
      <c r="CY195" s="292" t="str">
        <f t="shared" si="55"/>
        <v>---------</v>
      </c>
      <c r="CZ195" s="7"/>
      <c r="DA195" s="7"/>
      <c r="DB195" s="7"/>
      <c r="DC195" s="106">
        <v>8</v>
      </c>
      <c r="DD195" s="12" t="s">
        <v>461</v>
      </c>
      <c r="DE195" s="276" t="str">
        <f t="shared" si="56"/>
        <v>---------</v>
      </c>
      <c r="DF195" s="290">
        <v>1.30000000000004</v>
      </c>
      <c r="DG195" s="59">
        <v>172</v>
      </c>
      <c r="DH195" s="292" t="str">
        <f t="shared" si="57"/>
        <v>---------</v>
      </c>
      <c r="DI195" s="7"/>
      <c r="DJ195" s="7"/>
      <c r="DK195" s="7"/>
      <c r="DL195" s="7"/>
      <c r="FG195" s="7">
        <v>172</v>
      </c>
      <c r="FH195" s="12">
        <v>3</v>
      </c>
      <c r="FR195" s="12"/>
      <c r="FS195" s="7">
        <v>172</v>
      </c>
      <c r="FT195" s="12">
        <v>33</v>
      </c>
    </row>
    <row r="196" spans="20:176">
      <c r="T196" s="7"/>
      <c r="U196" s="7"/>
      <c r="V196" s="43"/>
      <c r="W196" s="7"/>
      <c r="X196" s="7"/>
      <c r="Y196" s="7"/>
      <c r="Z196" s="7"/>
      <c r="AA196" s="7"/>
      <c r="AB196" s="7"/>
      <c r="AC196" s="7"/>
      <c r="AD196" s="7"/>
      <c r="AE196" s="7"/>
      <c r="AF196" s="7"/>
      <c r="AG196" s="7"/>
      <c r="AH196" s="7"/>
      <c r="AI196" s="7"/>
      <c r="AJ196" s="7"/>
      <c r="AK196" s="7"/>
      <c r="AL196" s="7"/>
      <c r="AM196" s="7"/>
      <c r="AN196" s="7"/>
      <c r="AO196" s="7"/>
      <c r="AP196" s="7"/>
      <c r="AQ196" s="7"/>
      <c r="AR196" s="7"/>
      <c r="AS196" s="7"/>
      <c r="AT196" s="7"/>
      <c r="AU196" s="7"/>
      <c r="AV196" s="7"/>
      <c r="AW196" s="7"/>
      <c r="AX196" s="7"/>
      <c r="AY196" s="7"/>
      <c r="AZ196" s="7"/>
      <c r="BA196" s="7"/>
      <c r="BB196" s="7"/>
      <c r="BC196" s="7"/>
      <c r="BD196" s="7"/>
      <c r="BE196" s="7"/>
      <c r="BF196" s="7"/>
      <c r="BG196" s="7"/>
      <c r="BH196" s="7"/>
      <c r="BI196" s="7"/>
      <c r="BJ196" s="7"/>
      <c r="BK196" s="7"/>
      <c r="BL196" s="7"/>
      <c r="BM196" s="7"/>
      <c r="BN196" s="7"/>
      <c r="BO196" s="7"/>
      <c r="BP196" s="7"/>
      <c r="BQ196" s="7"/>
      <c r="BR196" s="7"/>
      <c r="BS196" s="7"/>
      <c r="BT196" s="7"/>
      <c r="BU196" s="7"/>
      <c r="BV196" s="7"/>
      <c r="BW196" s="7"/>
      <c r="BX196" s="7"/>
      <c r="BY196" s="7"/>
      <c r="BZ196" s="7"/>
      <c r="CA196" s="7"/>
      <c r="CB196" s="7"/>
      <c r="CC196" s="7"/>
      <c r="CD196" s="7"/>
      <c r="CE196" s="7"/>
      <c r="CF196" s="7"/>
      <c r="CG196" s="7"/>
      <c r="CH196" s="7"/>
      <c r="CI196" s="7"/>
      <c r="CJ196" s="7"/>
      <c r="CK196" s="7"/>
      <c r="CL196" s="7"/>
      <c r="CM196" s="7"/>
      <c r="CN196" s="7"/>
      <c r="CO196" s="7"/>
      <c r="CP196" s="7"/>
      <c r="CQ196" s="7"/>
      <c r="CR196" s="7"/>
      <c r="CS196" s="7"/>
      <c r="CT196" s="106">
        <v>7.9</v>
      </c>
      <c r="CU196" s="12" t="s">
        <v>462</v>
      </c>
      <c r="CV196" s="276" t="str">
        <f t="shared" si="54"/>
        <v>---------</v>
      </c>
      <c r="CW196" s="290">
        <v>1.29000000000004</v>
      </c>
      <c r="CX196" s="59">
        <v>173</v>
      </c>
      <c r="CY196" s="292" t="str">
        <f t="shared" si="55"/>
        <v>---------</v>
      </c>
      <c r="CZ196" s="7"/>
      <c r="DA196" s="7"/>
      <c r="DB196" s="7"/>
      <c r="DC196" s="106">
        <v>7.9</v>
      </c>
      <c r="DD196" s="12" t="s">
        <v>462</v>
      </c>
      <c r="DE196" s="276" t="str">
        <f t="shared" si="56"/>
        <v>---------</v>
      </c>
      <c r="DF196" s="290">
        <v>1.29000000000004</v>
      </c>
      <c r="DG196" s="59">
        <v>173</v>
      </c>
      <c r="DH196" s="292" t="str">
        <f t="shared" si="57"/>
        <v>---------</v>
      </c>
      <c r="DI196" s="7"/>
      <c r="DJ196" s="7"/>
      <c r="DK196" s="7"/>
      <c r="DL196" s="7"/>
      <c r="FG196" s="7">
        <v>173</v>
      </c>
      <c r="FH196" s="12">
        <v>2.9</v>
      </c>
      <c r="FR196" s="12"/>
      <c r="FS196" s="7">
        <v>173</v>
      </c>
      <c r="FT196" s="12">
        <v>32.9</v>
      </c>
    </row>
    <row r="197" spans="20:176">
      <c r="T197" s="7"/>
      <c r="U197" s="7"/>
      <c r="V197" s="43"/>
      <c r="W197" s="7"/>
      <c r="X197" s="7"/>
      <c r="Y197" s="7"/>
      <c r="Z197" s="7"/>
      <c r="AA197" s="7"/>
      <c r="AB197" s="7"/>
      <c r="AC197" s="7"/>
      <c r="AD197" s="7"/>
      <c r="AE197" s="7"/>
      <c r="AF197" s="7"/>
      <c r="AG197" s="7"/>
      <c r="AH197" s="7"/>
      <c r="AI197" s="7"/>
      <c r="AJ197" s="7"/>
      <c r="AK197" s="7"/>
      <c r="AL197" s="7"/>
      <c r="AM197" s="7"/>
      <c r="AN197" s="7"/>
      <c r="AO197" s="7"/>
      <c r="AP197" s="7"/>
      <c r="AQ197" s="7"/>
      <c r="AR197" s="7"/>
      <c r="AS197" s="7"/>
      <c r="AT197" s="7"/>
      <c r="AU197" s="7"/>
      <c r="AV197" s="7"/>
      <c r="AW197" s="7"/>
      <c r="AX197" s="7"/>
      <c r="AY197" s="7"/>
      <c r="AZ197" s="7"/>
      <c r="BA197" s="7"/>
      <c r="BB197" s="7"/>
      <c r="BC197" s="7"/>
      <c r="BD197" s="7"/>
      <c r="BE197" s="7"/>
      <c r="BF197" s="7"/>
      <c r="BG197" s="7"/>
      <c r="BH197" s="7"/>
      <c r="BI197" s="7"/>
      <c r="BJ197" s="7"/>
      <c r="BK197" s="7"/>
      <c r="BL197" s="7"/>
      <c r="BM197" s="7"/>
      <c r="BN197" s="7"/>
      <c r="BO197" s="7"/>
      <c r="BP197" s="7"/>
      <c r="BQ197" s="7"/>
      <c r="BR197" s="7"/>
      <c r="BS197" s="7"/>
      <c r="BT197" s="7"/>
      <c r="BU197" s="7"/>
      <c r="BV197" s="7"/>
      <c r="BW197" s="7"/>
      <c r="BX197" s="7"/>
      <c r="BY197" s="7"/>
      <c r="BZ197" s="7"/>
      <c r="CA197" s="7"/>
      <c r="CB197" s="7"/>
      <c r="CC197" s="7"/>
      <c r="CD197" s="7"/>
      <c r="CE197" s="7"/>
      <c r="CF197" s="7"/>
      <c r="CG197" s="7"/>
      <c r="CH197" s="7"/>
      <c r="CI197" s="7"/>
      <c r="CJ197" s="7"/>
      <c r="CK197" s="7"/>
      <c r="CL197" s="7"/>
      <c r="CM197" s="7"/>
      <c r="CN197" s="7"/>
      <c r="CO197" s="7"/>
      <c r="CP197" s="7"/>
      <c r="CQ197" s="7"/>
      <c r="CR197" s="7"/>
      <c r="CS197" s="7"/>
      <c r="CT197" s="106">
        <v>7.8</v>
      </c>
      <c r="CU197" s="12" t="s">
        <v>463</v>
      </c>
      <c r="CV197" s="276" t="str">
        <f t="shared" si="54"/>
        <v>---------</v>
      </c>
      <c r="CW197" s="290">
        <v>1.28000000000004</v>
      </c>
      <c r="CX197" s="59">
        <v>174</v>
      </c>
      <c r="CY197" s="292" t="str">
        <f t="shared" si="55"/>
        <v>---------</v>
      </c>
      <c r="CZ197" s="7"/>
      <c r="DA197" s="7"/>
      <c r="DB197" s="7"/>
      <c r="DC197" s="106">
        <v>7.8</v>
      </c>
      <c r="DD197" s="12" t="s">
        <v>463</v>
      </c>
      <c r="DE197" s="276" t="str">
        <f t="shared" si="56"/>
        <v>---------</v>
      </c>
      <c r="DF197" s="290">
        <v>1.28000000000004</v>
      </c>
      <c r="DG197" s="59">
        <v>174</v>
      </c>
      <c r="DH197" s="292" t="str">
        <f t="shared" si="57"/>
        <v>---------</v>
      </c>
      <c r="DI197" s="7"/>
      <c r="DJ197" s="7"/>
      <c r="DK197" s="7"/>
      <c r="DL197" s="7"/>
      <c r="FG197" s="7">
        <v>174</v>
      </c>
      <c r="FH197" s="12">
        <v>2.8</v>
      </c>
      <c r="FR197" s="12"/>
      <c r="FS197" s="7">
        <v>174</v>
      </c>
      <c r="FT197" s="12">
        <v>32.799999999999997</v>
      </c>
    </row>
    <row r="198" spans="20:176">
      <c r="T198" s="7"/>
      <c r="U198" s="7"/>
      <c r="V198" s="43"/>
      <c r="W198" s="7"/>
      <c r="X198" s="7"/>
      <c r="Y198" s="7"/>
      <c r="Z198" s="7"/>
      <c r="AA198" s="7"/>
      <c r="AB198" s="7"/>
      <c r="AC198" s="7"/>
      <c r="AD198" s="7"/>
      <c r="AE198" s="7"/>
      <c r="AF198" s="7"/>
      <c r="AG198" s="7"/>
      <c r="AH198" s="7"/>
      <c r="AI198" s="7"/>
      <c r="AJ198" s="7"/>
      <c r="AK198" s="7"/>
      <c r="AL198" s="7"/>
      <c r="AM198" s="7"/>
      <c r="AN198" s="7"/>
      <c r="AO198" s="7"/>
      <c r="AP198" s="7"/>
      <c r="AQ198" s="7"/>
      <c r="AR198" s="7"/>
      <c r="AS198" s="7"/>
      <c r="AT198" s="7"/>
      <c r="AU198" s="7"/>
      <c r="AV198" s="7"/>
      <c r="AW198" s="7"/>
      <c r="AX198" s="7"/>
      <c r="AY198" s="7"/>
      <c r="AZ198" s="7"/>
      <c r="BA198" s="7"/>
      <c r="BB198" s="7"/>
      <c r="BC198" s="7"/>
      <c r="BD198" s="7"/>
      <c r="BE198" s="7"/>
      <c r="BF198" s="7"/>
      <c r="BG198" s="7"/>
      <c r="BH198" s="7"/>
      <c r="BI198" s="7"/>
      <c r="BJ198" s="7"/>
      <c r="BK198" s="7"/>
      <c r="BL198" s="7"/>
      <c r="BM198" s="7"/>
      <c r="BN198" s="7"/>
      <c r="BO198" s="7"/>
      <c r="BP198" s="7"/>
      <c r="BQ198" s="7"/>
      <c r="BR198" s="7"/>
      <c r="BS198" s="7"/>
      <c r="BT198" s="7"/>
      <c r="BU198" s="7"/>
      <c r="BV198" s="7"/>
      <c r="BW198" s="7"/>
      <c r="BX198" s="7"/>
      <c r="BY198" s="7"/>
      <c r="BZ198" s="7"/>
      <c r="CA198" s="7"/>
      <c r="CB198" s="7"/>
      <c r="CC198" s="7"/>
      <c r="CD198" s="7"/>
      <c r="CE198" s="7"/>
      <c r="CF198" s="7"/>
      <c r="CG198" s="7"/>
      <c r="CH198" s="7"/>
      <c r="CI198" s="7"/>
      <c r="CJ198" s="7"/>
      <c r="CK198" s="7"/>
      <c r="CL198" s="7"/>
      <c r="CM198" s="7"/>
      <c r="CN198" s="7"/>
      <c r="CO198" s="7"/>
      <c r="CP198" s="7"/>
      <c r="CQ198" s="7"/>
      <c r="CR198" s="7"/>
      <c r="CS198" s="7"/>
      <c r="CT198" s="106">
        <v>7.7</v>
      </c>
      <c r="CU198" s="12" t="s">
        <v>464</v>
      </c>
      <c r="CV198" s="276" t="str">
        <f t="shared" si="54"/>
        <v>---------</v>
      </c>
      <c r="CW198" s="290">
        <v>1.27000000000004</v>
      </c>
      <c r="CX198" s="59">
        <v>175</v>
      </c>
      <c r="CY198" s="292" t="str">
        <f t="shared" si="55"/>
        <v>---------</v>
      </c>
      <c r="CZ198" s="7"/>
      <c r="DA198" s="7"/>
      <c r="DB198" s="7"/>
      <c r="DC198" s="106">
        <v>7.7</v>
      </c>
      <c r="DD198" s="12" t="s">
        <v>464</v>
      </c>
      <c r="DE198" s="276" t="str">
        <f t="shared" si="56"/>
        <v>---------</v>
      </c>
      <c r="DF198" s="290">
        <v>1.27000000000004</v>
      </c>
      <c r="DG198" s="59">
        <v>175</v>
      </c>
      <c r="DH198" s="292" t="str">
        <f t="shared" si="57"/>
        <v>---------</v>
      </c>
      <c r="DI198" s="7"/>
      <c r="DJ198" s="7"/>
      <c r="DK198" s="7"/>
      <c r="DL198" s="7"/>
      <c r="FG198" s="7">
        <v>175</v>
      </c>
      <c r="FH198" s="12">
        <v>2.7</v>
      </c>
      <c r="FR198" s="12"/>
      <c r="FS198" s="7">
        <v>175</v>
      </c>
      <c r="FT198" s="12">
        <v>32.700000000000003</v>
      </c>
    </row>
    <row r="199" spans="20:176">
      <c r="T199" s="7"/>
      <c r="U199" s="7"/>
      <c r="V199" s="43"/>
      <c r="W199" s="7"/>
      <c r="X199" s="7"/>
      <c r="Y199" s="7"/>
      <c r="Z199" s="7"/>
      <c r="AA199" s="7"/>
      <c r="AB199" s="7"/>
      <c r="AC199" s="7"/>
      <c r="AD199" s="7"/>
      <c r="AE199" s="7"/>
      <c r="AF199" s="7"/>
      <c r="AG199" s="7"/>
      <c r="AH199" s="7"/>
      <c r="AI199" s="7"/>
      <c r="AJ199" s="7"/>
      <c r="AK199" s="7"/>
      <c r="AL199" s="7"/>
      <c r="AM199" s="7"/>
      <c r="AN199" s="7"/>
      <c r="AO199" s="7"/>
      <c r="AP199" s="7"/>
      <c r="AQ199" s="7"/>
      <c r="AR199" s="7"/>
      <c r="AS199" s="7"/>
      <c r="AT199" s="7"/>
      <c r="AU199" s="7"/>
      <c r="AV199" s="7"/>
      <c r="AW199" s="7"/>
      <c r="AX199" s="7"/>
      <c r="AY199" s="7"/>
      <c r="AZ199" s="7"/>
      <c r="BA199" s="7"/>
      <c r="BB199" s="7"/>
      <c r="BC199" s="7"/>
      <c r="BD199" s="7"/>
      <c r="BE199" s="7"/>
      <c r="BF199" s="7"/>
      <c r="BG199" s="7"/>
      <c r="BH199" s="7"/>
      <c r="BI199" s="7"/>
      <c r="BJ199" s="7"/>
      <c r="BK199" s="7"/>
      <c r="BL199" s="7"/>
      <c r="BM199" s="7"/>
      <c r="BN199" s="7"/>
      <c r="BO199" s="7"/>
      <c r="BP199" s="7"/>
      <c r="BQ199" s="7"/>
      <c r="BR199" s="7"/>
      <c r="BS199" s="7"/>
      <c r="BT199" s="7"/>
      <c r="BU199" s="7"/>
      <c r="BV199" s="7"/>
      <c r="BW199" s="7"/>
      <c r="BX199" s="7"/>
      <c r="BY199" s="7"/>
      <c r="BZ199" s="7"/>
      <c r="CA199" s="7"/>
      <c r="CB199" s="7"/>
      <c r="CC199" s="7"/>
      <c r="CD199" s="7"/>
      <c r="CE199" s="7"/>
      <c r="CF199" s="7"/>
      <c r="CG199" s="7"/>
      <c r="CH199" s="7"/>
      <c r="CI199" s="7"/>
      <c r="CJ199" s="7"/>
      <c r="CK199" s="7"/>
      <c r="CL199" s="7"/>
      <c r="CM199" s="7"/>
      <c r="CN199" s="7"/>
      <c r="CO199" s="7"/>
      <c r="CP199" s="7"/>
      <c r="CQ199" s="7"/>
      <c r="CR199" s="7"/>
      <c r="CS199" s="7"/>
      <c r="CT199" s="106">
        <v>7.6</v>
      </c>
      <c r="CU199" s="12" t="s">
        <v>465</v>
      </c>
      <c r="CV199" s="276" t="str">
        <f t="shared" si="54"/>
        <v>---------</v>
      </c>
      <c r="CW199" s="290">
        <v>1.26000000000004</v>
      </c>
      <c r="CX199" s="59">
        <v>176</v>
      </c>
      <c r="CY199" s="292" t="str">
        <f t="shared" si="55"/>
        <v>---------</v>
      </c>
      <c r="CZ199" s="7"/>
      <c r="DA199" s="7"/>
      <c r="DB199" s="7"/>
      <c r="DC199" s="106">
        <v>7.6</v>
      </c>
      <c r="DD199" s="12" t="s">
        <v>465</v>
      </c>
      <c r="DE199" s="276" t="str">
        <f t="shared" si="56"/>
        <v>---------</v>
      </c>
      <c r="DF199" s="290">
        <v>1.26000000000004</v>
      </c>
      <c r="DG199" s="59">
        <v>176</v>
      </c>
      <c r="DH199" s="292" t="str">
        <f t="shared" si="57"/>
        <v>---------</v>
      </c>
      <c r="DI199" s="7"/>
      <c r="DJ199" s="7"/>
      <c r="DK199" s="7"/>
      <c r="DL199" s="7"/>
      <c r="FG199" s="7">
        <v>176</v>
      </c>
      <c r="FH199" s="12">
        <v>2.6</v>
      </c>
      <c r="FR199" s="12"/>
      <c r="FS199" s="7">
        <v>176</v>
      </c>
      <c r="FT199" s="12">
        <v>32.6</v>
      </c>
    </row>
    <row r="200" spans="20:176">
      <c r="T200" s="7"/>
      <c r="U200" s="7"/>
      <c r="V200" s="43"/>
      <c r="W200" s="7"/>
      <c r="X200" s="7"/>
      <c r="Y200" s="7"/>
      <c r="Z200" s="7"/>
      <c r="AA200" s="7"/>
      <c r="AB200" s="7"/>
      <c r="AC200" s="7"/>
      <c r="AD200" s="7"/>
      <c r="AE200" s="7"/>
      <c r="AF200" s="7"/>
      <c r="AG200" s="7"/>
      <c r="AH200" s="7"/>
      <c r="AI200" s="7"/>
      <c r="AJ200" s="7"/>
      <c r="AK200" s="7"/>
      <c r="AL200" s="7"/>
      <c r="AM200" s="7"/>
      <c r="AN200" s="7"/>
      <c r="AO200" s="7"/>
      <c r="AP200" s="7"/>
      <c r="AQ200" s="7"/>
      <c r="AR200" s="7"/>
      <c r="AS200" s="7"/>
      <c r="AT200" s="7"/>
      <c r="AU200" s="7"/>
      <c r="AV200" s="7"/>
      <c r="AW200" s="7"/>
      <c r="AX200" s="7"/>
      <c r="AY200" s="7"/>
      <c r="AZ200" s="7"/>
      <c r="BA200" s="7"/>
      <c r="BB200" s="7"/>
      <c r="BC200" s="7"/>
      <c r="BD200" s="7"/>
      <c r="BE200" s="7"/>
      <c r="BF200" s="7"/>
      <c r="BG200" s="7"/>
      <c r="BH200" s="7"/>
      <c r="BI200" s="7"/>
      <c r="BJ200" s="7"/>
      <c r="BK200" s="7"/>
      <c r="BL200" s="7"/>
      <c r="BM200" s="7"/>
      <c r="BN200" s="7"/>
      <c r="BO200" s="7"/>
      <c r="BP200" s="7"/>
      <c r="BQ200" s="7"/>
      <c r="BR200" s="7"/>
      <c r="BS200" s="7"/>
      <c r="BT200" s="7"/>
      <c r="BU200" s="7"/>
      <c r="BV200" s="7"/>
      <c r="BW200" s="7"/>
      <c r="BX200" s="7"/>
      <c r="BY200" s="7"/>
      <c r="BZ200" s="7"/>
      <c r="CA200" s="7"/>
      <c r="CB200" s="7"/>
      <c r="CC200" s="7"/>
      <c r="CD200" s="7"/>
      <c r="CE200" s="7"/>
      <c r="CF200" s="7"/>
      <c r="CG200" s="7"/>
      <c r="CH200" s="7"/>
      <c r="CI200" s="7"/>
      <c r="CJ200" s="7"/>
      <c r="CK200" s="7"/>
      <c r="CL200" s="7"/>
      <c r="CM200" s="7"/>
      <c r="CN200" s="7"/>
      <c r="CO200" s="7"/>
      <c r="CP200" s="7"/>
      <c r="CQ200" s="7"/>
      <c r="CR200" s="7"/>
      <c r="CS200" s="7"/>
      <c r="CT200" s="106">
        <v>7.5</v>
      </c>
      <c r="CU200" s="12" t="s">
        <v>466</v>
      </c>
      <c r="CV200" s="276" t="str">
        <f t="shared" si="54"/>
        <v>---------</v>
      </c>
      <c r="CW200" s="290">
        <v>1.25000000000004</v>
      </c>
      <c r="CX200" s="59">
        <v>177</v>
      </c>
      <c r="CY200" s="292" t="str">
        <f t="shared" si="55"/>
        <v>---------</v>
      </c>
      <c r="CZ200" s="7"/>
      <c r="DA200" s="7"/>
      <c r="DB200" s="7"/>
      <c r="DC200" s="106">
        <v>7.5</v>
      </c>
      <c r="DD200" s="12" t="s">
        <v>466</v>
      </c>
      <c r="DE200" s="276" t="str">
        <f t="shared" si="56"/>
        <v>---------</v>
      </c>
      <c r="DF200" s="290">
        <v>1.25000000000004</v>
      </c>
      <c r="DG200" s="59">
        <v>177</v>
      </c>
      <c r="DH200" s="292" t="str">
        <f t="shared" si="57"/>
        <v>---------</v>
      </c>
      <c r="DI200" s="7"/>
      <c r="DJ200" s="7"/>
      <c r="DK200" s="7"/>
      <c r="DL200" s="7"/>
      <c r="FG200" s="7">
        <v>177</v>
      </c>
      <c r="FH200" s="12">
        <v>2.5</v>
      </c>
      <c r="FR200" s="12"/>
      <c r="FS200" s="7">
        <v>177</v>
      </c>
      <c r="FT200" s="12">
        <v>32.5</v>
      </c>
    </row>
    <row r="201" spans="20:176">
      <c r="T201" s="7"/>
      <c r="U201" s="7"/>
      <c r="V201" s="43"/>
      <c r="W201" s="7"/>
      <c r="X201" s="7"/>
      <c r="Y201" s="7"/>
      <c r="Z201" s="7"/>
      <c r="AA201" s="7"/>
      <c r="AB201" s="7"/>
      <c r="AC201" s="7"/>
      <c r="AD201" s="7"/>
      <c r="AE201" s="7"/>
      <c r="AF201" s="7"/>
      <c r="AG201" s="7"/>
      <c r="AH201" s="7"/>
      <c r="AI201" s="7"/>
      <c r="AJ201" s="7"/>
      <c r="AK201" s="7"/>
      <c r="AL201" s="7"/>
      <c r="AM201" s="7"/>
      <c r="AN201" s="7"/>
      <c r="AO201" s="7"/>
      <c r="AP201" s="7"/>
      <c r="AQ201" s="7"/>
      <c r="AR201" s="7"/>
      <c r="AS201" s="7"/>
      <c r="AT201" s="7"/>
      <c r="AU201" s="7"/>
      <c r="AV201" s="7"/>
      <c r="AW201" s="7"/>
      <c r="AX201" s="7"/>
      <c r="AY201" s="7"/>
      <c r="AZ201" s="7"/>
      <c r="BA201" s="7"/>
      <c r="BB201" s="7"/>
      <c r="BC201" s="7"/>
      <c r="BD201" s="7"/>
      <c r="BE201" s="7"/>
      <c r="BF201" s="7"/>
      <c r="BG201" s="7"/>
      <c r="BH201" s="7"/>
      <c r="BI201" s="7"/>
      <c r="BJ201" s="7"/>
      <c r="BK201" s="7"/>
      <c r="BL201" s="7"/>
      <c r="BM201" s="7"/>
      <c r="BN201" s="7"/>
      <c r="BO201" s="7"/>
      <c r="BP201" s="7"/>
      <c r="BQ201" s="7"/>
      <c r="BR201" s="7"/>
      <c r="BS201" s="7"/>
      <c r="BT201" s="7"/>
      <c r="BU201" s="7"/>
      <c r="BV201" s="7"/>
      <c r="BW201" s="7"/>
      <c r="BX201" s="7"/>
      <c r="BY201" s="7"/>
      <c r="BZ201" s="7"/>
      <c r="CA201" s="7"/>
      <c r="CB201" s="7"/>
      <c r="CC201" s="7"/>
      <c r="CD201" s="7"/>
      <c r="CE201" s="7"/>
      <c r="CF201" s="7"/>
      <c r="CG201" s="7"/>
      <c r="CH201" s="7"/>
      <c r="CI201" s="7"/>
      <c r="CJ201" s="7"/>
      <c r="CK201" s="7"/>
      <c r="CL201" s="7"/>
      <c r="CM201" s="7"/>
      <c r="CN201" s="7"/>
      <c r="CO201" s="7"/>
      <c r="CP201" s="7"/>
      <c r="CQ201" s="7"/>
      <c r="CR201" s="7"/>
      <c r="CS201" s="7"/>
      <c r="CT201" s="106">
        <v>7.4</v>
      </c>
      <c r="CU201" s="12" t="s">
        <v>467</v>
      </c>
      <c r="CV201" s="276" t="str">
        <f t="shared" si="54"/>
        <v>---------</v>
      </c>
      <c r="CW201" s="290">
        <v>1.24000000000004</v>
      </c>
      <c r="CX201" s="59">
        <v>178</v>
      </c>
      <c r="CY201" s="292" t="str">
        <f t="shared" si="55"/>
        <v>---------</v>
      </c>
      <c r="CZ201" s="7"/>
      <c r="DA201" s="7"/>
      <c r="DB201" s="7"/>
      <c r="DC201" s="106">
        <v>7.4</v>
      </c>
      <c r="DD201" s="12" t="s">
        <v>467</v>
      </c>
      <c r="DE201" s="276" t="str">
        <f t="shared" si="56"/>
        <v>---------</v>
      </c>
      <c r="DF201" s="290">
        <v>1.24000000000004</v>
      </c>
      <c r="DG201" s="59">
        <v>178</v>
      </c>
      <c r="DH201" s="292" t="str">
        <f t="shared" si="57"/>
        <v>---------</v>
      </c>
      <c r="DI201" s="7"/>
      <c r="DJ201" s="7"/>
      <c r="DK201" s="7"/>
      <c r="DL201" s="7"/>
      <c r="FG201" s="7">
        <v>178</v>
      </c>
      <c r="FH201" s="12">
        <v>2.4</v>
      </c>
      <c r="FR201" s="12"/>
      <c r="FS201" s="7">
        <v>178</v>
      </c>
      <c r="FT201" s="12">
        <v>32.4</v>
      </c>
    </row>
    <row r="202" spans="20:176">
      <c r="T202" s="7"/>
      <c r="U202" s="7"/>
      <c r="V202" s="43"/>
      <c r="W202" s="7"/>
      <c r="X202" s="7"/>
      <c r="Y202" s="7"/>
      <c r="Z202" s="7"/>
      <c r="AA202" s="7"/>
      <c r="AB202" s="7"/>
      <c r="AC202" s="7"/>
      <c r="AD202" s="7"/>
      <c r="AE202" s="7"/>
      <c r="AF202" s="7"/>
      <c r="AG202" s="7"/>
      <c r="AH202" s="7"/>
      <c r="AI202" s="7"/>
      <c r="AJ202" s="7"/>
      <c r="AK202" s="7"/>
      <c r="AL202" s="7"/>
      <c r="AM202" s="7"/>
      <c r="AN202" s="7"/>
      <c r="AO202" s="7"/>
      <c r="AP202" s="7"/>
      <c r="AQ202" s="7"/>
      <c r="AR202" s="7"/>
      <c r="AS202" s="7"/>
      <c r="AT202" s="7"/>
      <c r="AU202" s="7"/>
      <c r="AV202" s="7"/>
      <c r="AW202" s="7"/>
      <c r="AX202" s="7"/>
      <c r="AY202" s="7"/>
      <c r="AZ202" s="7"/>
      <c r="BA202" s="7"/>
      <c r="BB202" s="7"/>
      <c r="BC202" s="7"/>
      <c r="BD202" s="7"/>
      <c r="BE202" s="7"/>
      <c r="BF202" s="7"/>
      <c r="BG202" s="7"/>
      <c r="BH202" s="7"/>
      <c r="BI202" s="7"/>
      <c r="BJ202" s="7"/>
      <c r="BK202" s="7"/>
      <c r="BL202" s="7"/>
      <c r="BM202" s="7"/>
      <c r="BN202" s="7"/>
      <c r="BO202" s="7"/>
      <c r="BP202" s="7"/>
      <c r="BQ202" s="7"/>
      <c r="BR202" s="7"/>
      <c r="BS202" s="7"/>
      <c r="BT202" s="7"/>
      <c r="BU202" s="7"/>
      <c r="BV202" s="7"/>
      <c r="BW202" s="7"/>
      <c r="BX202" s="7"/>
      <c r="BY202" s="7"/>
      <c r="BZ202" s="7"/>
      <c r="CA202" s="7"/>
      <c r="CB202" s="7"/>
      <c r="CC202" s="7"/>
      <c r="CD202" s="7"/>
      <c r="CE202" s="7"/>
      <c r="CF202" s="7"/>
      <c r="CG202" s="7"/>
      <c r="CH202" s="7"/>
      <c r="CI202" s="7"/>
      <c r="CJ202" s="7"/>
      <c r="CK202" s="7"/>
      <c r="CL202" s="7"/>
      <c r="CM202" s="7"/>
      <c r="CN202" s="7"/>
      <c r="CO202" s="7"/>
      <c r="CP202" s="7"/>
      <c r="CQ202" s="7"/>
      <c r="CR202" s="7"/>
      <c r="CS202" s="7"/>
      <c r="CT202" s="106">
        <v>7.3</v>
      </c>
      <c r="CU202" s="12" t="s">
        <v>468</v>
      </c>
      <c r="CV202" s="276" t="str">
        <f t="shared" si="54"/>
        <v>---------</v>
      </c>
      <c r="CW202" s="290">
        <v>1.23000000000004</v>
      </c>
      <c r="CX202" s="59">
        <v>179</v>
      </c>
      <c r="CY202" s="292" t="str">
        <f t="shared" si="55"/>
        <v>---------</v>
      </c>
      <c r="CZ202" s="7"/>
      <c r="DA202" s="7"/>
      <c r="DB202" s="7"/>
      <c r="DC202" s="106">
        <v>7.3</v>
      </c>
      <c r="DD202" s="12" t="s">
        <v>468</v>
      </c>
      <c r="DE202" s="276" t="str">
        <f t="shared" si="56"/>
        <v>---------</v>
      </c>
      <c r="DF202" s="290">
        <v>1.23000000000004</v>
      </c>
      <c r="DG202" s="59">
        <v>179</v>
      </c>
      <c r="DH202" s="292" t="str">
        <f t="shared" si="57"/>
        <v>---------</v>
      </c>
      <c r="DI202" s="7"/>
      <c r="DJ202" s="7"/>
      <c r="DK202" s="7"/>
      <c r="DL202" s="7"/>
      <c r="FR202" s="12"/>
      <c r="FS202" s="7">
        <v>179</v>
      </c>
      <c r="FT202" s="12">
        <v>32.299999999999997</v>
      </c>
    </row>
    <row r="203" spans="20:176">
      <c r="T203" s="7"/>
      <c r="U203" s="7"/>
      <c r="V203" s="43"/>
      <c r="W203" s="7"/>
      <c r="X203" s="7"/>
      <c r="Y203" s="7"/>
      <c r="Z203" s="7"/>
      <c r="AA203" s="7"/>
      <c r="AB203" s="7"/>
      <c r="AC203" s="7"/>
      <c r="AD203" s="7"/>
      <c r="AE203" s="7"/>
      <c r="AF203" s="7"/>
      <c r="AG203" s="7"/>
      <c r="AH203" s="7"/>
      <c r="AI203" s="7"/>
      <c r="AJ203" s="7"/>
      <c r="AK203" s="7"/>
      <c r="AL203" s="7"/>
      <c r="AM203" s="7"/>
      <c r="AN203" s="7"/>
      <c r="AO203" s="7"/>
      <c r="AP203" s="7"/>
      <c r="AQ203" s="7"/>
      <c r="AR203" s="7"/>
      <c r="AS203" s="7"/>
      <c r="AT203" s="7"/>
      <c r="AU203" s="7"/>
      <c r="AV203" s="7"/>
      <c r="AW203" s="7"/>
      <c r="AX203" s="7"/>
      <c r="AY203" s="7"/>
      <c r="AZ203" s="7"/>
      <c r="BA203" s="7"/>
      <c r="BB203" s="7"/>
      <c r="BC203" s="7"/>
      <c r="BD203" s="7"/>
      <c r="BE203" s="7"/>
      <c r="BF203" s="7"/>
      <c r="BG203" s="7"/>
      <c r="BH203" s="7"/>
      <c r="BI203" s="7"/>
      <c r="BJ203" s="7"/>
      <c r="BK203" s="7"/>
      <c r="BL203" s="7"/>
      <c r="BM203" s="7"/>
      <c r="BN203" s="7"/>
      <c r="BO203" s="7"/>
      <c r="BP203" s="7"/>
      <c r="BQ203" s="7"/>
      <c r="BR203" s="7"/>
      <c r="BS203" s="7"/>
      <c r="BT203" s="7"/>
      <c r="BU203" s="7"/>
      <c r="BV203" s="7"/>
      <c r="BW203" s="7"/>
      <c r="BX203" s="7"/>
      <c r="BY203" s="7"/>
      <c r="BZ203" s="7"/>
      <c r="CA203" s="7"/>
      <c r="CB203" s="7"/>
      <c r="CC203" s="7"/>
      <c r="CD203" s="7"/>
      <c r="CE203" s="7"/>
      <c r="CF203" s="7"/>
      <c r="CG203" s="7"/>
      <c r="CH203" s="7"/>
      <c r="CI203" s="7"/>
      <c r="CJ203" s="7"/>
      <c r="CK203" s="7"/>
      <c r="CL203" s="7"/>
      <c r="CM203" s="7"/>
      <c r="CN203" s="7"/>
      <c r="CO203" s="7"/>
      <c r="CP203" s="7"/>
      <c r="CQ203" s="7"/>
      <c r="CR203" s="7"/>
      <c r="CS203" s="7"/>
      <c r="CT203" s="106">
        <v>7.2</v>
      </c>
      <c r="CU203" s="12" t="s">
        <v>469</v>
      </c>
      <c r="CV203" s="276" t="str">
        <f t="shared" si="54"/>
        <v>---------</v>
      </c>
      <c r="CW203" s="290">
        <v>1.2200000000000399</v>
      </c>
      <c r="CX203" s="59">
        <v>180</v>
      </c>
      <c r="CY203" s="292" t="str">
        <f t="shared" si="55"/>
        <v>---------</v>
      </c>
      <c r="CZ203" s="7"/>
      <c r="DA203" s="7"/>
      <c r="DB203" s="7"/>
      <c r="DC203" s="106">
        <v>7.2</v>
      </c>
      <c r="DD203" s="12" t="s">
        <v>469</v>
      </c>
      <c r="DE203" s="276" t="str">
        <f t="shared" si="56"/>
        <v>---------</v>
      </c>
      <c r="DF203" s="290">
        <v>1.2200000000000399</v>
      </c>
      <c r="DG203" s="59">
        <v>180</v>
      </c>
      <c r="DH203" s="292" t="str">
        <f t="shared" si="57"/>
        <v>---------</v>
      </c>
      <c r="DI203" s="7"/>
      <c r="DJ203" s="7"/>
      <c r="DK203" s="7"/>
      <c r="DL203" s="7"/>
      <c r="FR203" s="12"/>
      <c r="FS203" s="7">
        <v>180</v>
      </c>
      <c r="FT203" s="12">
        <v>32.200000000000003</v>
      </c>
    </row>
    <row r="204" spans="20:176">
      <c r="T204" s="7"/>
      <c r="U204" s="7"/>
      <c r="V204" s="43"/>
      <c r="W204" s="7"/>
      <c r="X204" s="7"/>
      <c r="Y204" s="7"/>
      <c r="Z204" s="7"/>
      <c r="AA204" s="7"/>
      <c r="AB204" s="7"/>
      <c r="AC204" s="7"/>
      <c r="AD204" s="7"/>
      <c r="AE204" s="7"/>
      <c r="AF204" s="7"/>
      <c r="AG204" s="7"/>
      <c r="AH204" s="7"/>
      <c r="AI204" s="7"/>
      <c r="AJ204" s="7"/>
      <c r="AK204" s="7"/>
      <c r="AL204" s="7"/>
      <c r="AM204" s="7"/>
      <c r="AN204" s="7"/>
      <c r="AO204" s="7"/>
      <c r="AP204" s="7"/>
      <c r="AQ204" s="7"/>
      <c r="AR204" s="7"/>
      <c r="AS204" s="7"/>
      <c r="AT204" s="7"/>
      <c r="AU204" s="7"/>
      <c r="AV204" s="7"/>
      <c r="AW204" s="7"/>
      <c r="AX204" s="7"/>
      <c r="AY204" s="7"/>
      <c r="AZ204" s="7"/>
      <c r="BA204" s="7"/>
      <c r="BB204" s="7"/>
      <c r="BC204" s="7"/>
      <c r="BD204" s="7"/>
      <c r="BE204" s="7"/>
      <c r="BF204" s="7"/>
      <c r="BG204" s="7"/>
      <c r="BH204" s="7"/>
      <c r="BI204" s="7"/>
      <c r="BJ204" s="7"/>
      <c r="BK204" s="7"/>
      <c r="BL204" s="7"/>
      <c r="BM204" s="7"/>
      <c r="BN204" s="7"/>
      <c r="BO204" s="7"/>
      <c r="BP204" s="7"/>
      <c r="BQ204" s="7"/>
      <c r="BR204" s="7"/>
      <c r="BS204" s="7"/>
      <c r="BT204" s="7"/>
      <c r="BU204" s="7"/>
      <c r="BV204" s="7"/>
      <c r="BW204" s="7"/>
      <c r="BX204" s="7"/>
      <c r="BY204" s="7"/>
      <c r="BZ204" s="7"/>
      <c r="CA204" s="7"/>
      <c r="CB204" s="7"/>
      <c r="CC204" s="7"/>
      <c r="CD204" s="7"/>
      <c r="CE204" s="7"/>
      <c r="CF204" s="7"/>
      <c r="CG204" s="7"/>
      <c r="CH204" s="7"/>
      <c r="CI204" s="7"/>
      <c r="CJ204" s="7"/>
      <c r="CK204" s="7"/>
      <c r="CL204" s="7"/>
      <c r="CM204" s="7"/>
      <c r="CN204" s="7"/>
      <c r="CO204" s="7"/>
      <c r="CP204" s="7"/>
      <c r="CQ204" s="7"/>
      <c r="CR204" s="7"/>
      <c r="CS204" s="7"/>
      <c r="CT204" s="106">
        <v>7.1</v>
      </c>
      <c r="CU204" s="12" t="s">
        <v>470</v>
      </c>
      <c r="CV204" s="276" t="str">
        <f t="shared" si="54"/>
        <v>---------</v>
      </c>
      <c r="CW204" s="290">
        <v>1.2100000000000399</v>
      </c>
      <c r="CX204" s="59">
        <v>181</v>
      </c>
      <c r="CY204" s="292" t="str">
        <f t="shared" si="55"/>
        <v>---------</v>
      </c>
      <c r="CZ204" s="7"/>
      <c r="DA204" s="7"/>
      <c r="DB204" s="7"/>
      <c r="DC204" s="106">
        <v>7.1</v>
      </c>
      <c r="DD204" s="12" t="s">
        <v>470</v>
      </c>
      <c r="DE204" s="276" t="str">
        <f t="shared" si="56"/>
        <v>---------</v>
      </c>
      <c r="DF204" s="290">
        <v>1.2100000000000399</v>
      </c>
      <c r="DG204" s="59">
        <v>181</v>
      </c>
      <c r="DH204" s="292" t="str">
        <f t="shared" si="57"/>
        <v>---------</v>
      </c>
      <c r="DI204" s="7"/>
      <c r="DJ204" s="7"/>
      <c r="DK204" s="7"/>
      <c r="DL204" s="7"/>
      <c r="FR204" s="12"/>
      <c r="FS204" s="7">
        <v>181</v>
      </c>
      <c r="FT204" s="12">
        <v>32.1</v>
      </c>
    </row>
    <row r="205" spans="20:176">
      <c r="T205" s="7"/>
      <c r="U205" s="7"/>
      <c r="V205" s="43"/>
      <c r="W205" s="7"/>
      <c r="X205" s="7"/>
      <c r="Y205" s="7"/>
      <c r="Z205" s="7"/>
      <c r="AA205" s="7"/>
      <c r="AB205" s="7"/>
      <c r="AC205" s="7"/>
      <c r="AD205" s="7"/>
      <c r="AE205" s="7"/>
      <c r="AF205" s="7"/>
      <c r="AG205" s="7"/>
      <c r="AH205" s="7"/>
      <c r="AI205" s="7"/>
      <c r="AJ205" s="7"/>
      <c r="AK205" s="7"/>
      <c r="AL205" s="7"/>
      <c r="AM205" s="7"/>
      <c r="AN205" s="7"/>
      <c r="AO205" s="7"/>
      <c r="AP205" s="7"/>
      <c r="AQ205" s="7"/>
      <c r="AR205" s="7"/>
      <c r="AS205" s="7"/>
      <c r="AT205" s="7"/>
      <c r="AU205" s="7"/>
      <c r="AV205" s="7"/>
      <c r="AW205" s="7"/>
      <c r="AX205" s="7"/>
      <c r="AY205" s="7"/>
      <c r="AZ205" s="7"/>
      <c r="BA205" s="7"/>
      <c r="BB205" s="7"/>
      <c r="BC205" s="7"/>
      <c r="BD205" s="7"/>
      <c r="BE205" s="7"/>
      <c r="BF205" s="7"/>
      <c r="BG205" s="7"/>
      <c r="BH205" s="7"/>
      <c r="BI205" s="7"/>
      <c r="BJ205" s="7"/>
      <c r="BK205" s="7"/>
      <c r="BL205" s="7"/>
      <c r="BM205" s="7"/>
      <c r="BN205" s="7"/>
      <c r="BO205" s="7"/>
      <c r="BP205" s="7"/>
      <c r="BQ205" s="7"/>
      <c r="BR205" s="7"/>
      <c r="BS205" s="7"/>
      <c r="BT205" s="7"/>
      <c r="BU205" s="7"/>
      <c r="BV205" s="7"/>
      <c r="BW205" s="7"/>
      <c r="BX205" s="7"/>
      <c r="BY205" s="7"/>
      <c r="BZ205" s="7"/>
      <c r="CA205" s="7"/>
      <c r="CB205" s="7"/>
      <c r="CC205" s="7"/>
      <c r="CD205" s="7"/>
      <c r="CE205" s="7"/>
      <c r="CF205" s="7"/>
      <c r="CG205" s="7"/>
      <c r="CH205" s="7"/>
      <c r="CI205" s="7"/>
      <c r="CJ205" s="7"/>
      <c r="CK205" s="7"/>
      <c r="CL205" s="7"/>
      <c r="CM205" s="7"/>
      <c r="CN205" s="7"/>
      <c r="CO205" s="7"/>
      <c r="CP205" s="7"/>
      <c r="CQ205" s="7"/>
      <c r="CR205" s="7"/>
      <c r="CS205" s="7"/>
      <c r="CT205" s="106">
        <v>7</v>
      </c>
      <c r="CU205" s="12" t="s">
        <v>471</v>
      </c>
      <c r="CV205" s="276" t="str">
        <f t="shared" si="54"/>
        <v>---------</v>
      </c>
      <c r="CW205" s="290">
        <v>1.2000000000000399</v>
      </c>
      <c r="CX205" s="59">
        <v>182</v>
      </c>
      <c r="CY205" s="292" t="str">
        <f t="shared" si="55"/>
        <v>---------</v>
      </c>
      <c r="CZ205" s="7"/>
      <c r="DA205" s="7"/>
      <c r="DB205" s="7"/>
      <c r="DC205" s="106">
        <v>7</v>
      </c>
      <c r="DD205" s="12" t="s">
        <v>471</v>
      </c>
      <c r="DE205" s="276" t="str">
        <f t="shared" si="56"/>
        <v>---------</v>
      </c>
      <c r="DF205" s="290">
        <v>1.2000000000000399</v>
      </c>
      <c r="DG205" s="59">
        <v>182</v>
      </c>
      <c r="DH205" s="292" t="str">
        <f t="shared" si="57"/>
        <v>---------</v>
      </c>
      <c r="DI205" s="7"/>
      <c r="DJ205" s="7"/>
      <c r="DK205" s="7"/>
      <c r="DL205" s="7"/>
      <c r="FR205" s="12"/>
      <c r="FS205" s="7">
        <v>182</v>
      </c>
      <c r="FT205" s="12">
        <v>32</v>
      </c>
    </row>
    <row r="206" spans="20:176">
      <c r="T206" s="7"/>
      <c r="U206" s="7"/>
      <c r="V206" s="43"/>
      <c r="W206" s="7"/>
      <c r="X206" s="7"/>
      <c r="Y206" s="7"/>
      <c r="Z206" s="7"/>
      <c r="AA206" s="7"/>
      <c r="AB206" s="7"/>
      <c r="AC206" s="7"/>
      <c r="AD206" s="7"/>
      <c r="AE206" s="7"/>
      <c r="AF206" s="7"/>
      <c r="AG206" s="7"/>
      <c r="AH206" s="7"/>
      <c r="AI206" s="7"/>
      <c r="AJ206" s="7"/>
      <c r="AK206" s="7"/>
      <c r="AL206" s="7"/>
      <c r="AM206" s="7"/>
      <c r="AN206" s="7"/>
      <c r="AO206" s="7"/>
      <c r="AP206" s="7"/>
      <c r="AQ206" s="7"/>
      <c r="AR206" s="7"/>
      <c r="AS206" s="7"/>
      <c r="AT206" s="7"/>
      <c r="AU206" s="7"/>
      <c r="AV206" s="7"/>
      <c r="AW206" s="7"/>
      <c r="AX206" s="7"/>
      <c r="AY206" s="7"/>
      <c r="AZ206" s="7"/>
      <c r="BA206" s="7"/>
      <c r="BB206" s="7"/>
      <c r="BC206" s="7"/>
      <c r="BD206" s="7"/>
      <c r="BE206" s="7"/>
      <c r="BF206" s="7"/>
      <c r="BG206" s="7"/>
      <c r="BH206" s="7"/>
      <c r="BI206" s="7"/>
      <c r="BJ206" s="7"/>
      <c r="BK206" s="7"/>
      <c r="BL206" s="7"/>
      <c r="BM206" s="7"/>
      <c r="BN206" s="7"/>
      <c r="BO206" s="7"/>
      <c r="BP206" s="7"/>
      <c r="BQ206" s="7"/>
      <c r="BR206" s="7"/>
      <c r="BS206" s="7"/>
      <c r="BT206" s="7"/>
      <c r="BU206" s="7"/>
      <c r="BV206" s="7"/>
      <c r="BW206" s="7"/>
      <c r="BX206" s="7"/>
      <c r="BY206" s="7"/>
      <c r="BZ206" s="7"/>
      <c r="CA206" s="7"/>
      <c r="CB206" s="7"/>
      <c r="CC206" s="7"/>
      <c r="CD206" s="7"/>
      <c r="CE206" s="7"/>
      <c r="CF206" s="7"/>
      <c r="CG206" s="7"/>
      <c r="CH206" s="7"/>
      <c r="CI206" s="7"/>
      <c r="CJ206" s="7"/>
      <c r="CK206" s="7"/>
      <c r="CL206" s="7"/>
      <c r="CM206" s="7"/>
      <c r="CN206" s="7"/>
      <c r="CO206" s="7"/>
      <c r="CP206" s="7"/>
      <c r="CQ206" s="7"/>
      <c r="CR206" s="7"/>
      <c r="CS206" s="7"/>
      <c r="CT206" s="106">
        <v>6.9</v>
      </c>
      <c r="CU206" s="12" t="s">
        <v>472</v>
      </c>
      <c r="CV206" s="276" t="str">
        <f t="shared" si="54"/>
        <v>---------</v>
      </c>
      <c r="CW206" s="290">
        <v>1.1900000000000399</v>
      </c>
      <c r="CX206" s="59">
        <v>183</v>
      </c>
      <c r="CY206" s="292" t="str">
        <f t="shared" si="55"/>
        <v>---------</v>
      </c>
      <c r="CZ206" s="7"/>
      <c r="DA206" s="7"/>
      <c r="DB206" s="7"/>
      <c r="DC206" s="106">
        <v>6.9</v>
      </c>
      <c r="DD206" s="12" t="s">
        <v>472</v>
      </c>
      <c r="DE206" s="276" t="str">
        <f t="shared" si="56"/>
        <v>---------</v>
      </c>
      <c r="DF206" s="290">
        <v>1.1900000000000399</v>
      </c>
      <c r="DG206" s="59">
        <v>183</v>
      </c>
      <c r="DH206" s="292" t="str">
        <f t="shared" si="57"/>
        <v>---------</v>
      </c>
      <c r="DI206" s="7"/>
      <c r="DJ206" s="7"/>
      <c r="DK206" s="7"/>
      <c r="DL206" s="7"/>
      <c r="FR206" s="12"/>
      <c r="FS206" s="7">
        <v>183</v>
      </c>
      <c r="FT206" s="12">
        <v>31.9</v>
      </c>
    </row>
    <row r="207" spans="20:176">
      <c r="T207" s="7"/>
      <c r="U207" s="7"/>
      <c r="V207" s="43"/>
      <c r="W207" s="7"/>
      <c r="X207" s="7"/>
      <c r="Y207" s="7"/>
      <c r="Z207" s="7"/>
      <c r="AA207" s="7"/>
      <c r="AB207" s="7"/>
      <c r="AC207" s="7"/>
      <c r="AD207" s="7"/>
      <c r="AE207" s="7"/>
      <c r="AF207" s="7"/>
      <c r="AG207" s="7"/>
      <c r="AH207" s="7"/>
      <c r="AI207" s="7"/>
      <c r="AJ207" s="7"/>
      <c r="AK207" s="7"/>
      <c r="AL207" s="7"/>
      <c r="AM207" s="7"/>
      <c r="AN207" s="7"/>
      <c r="AO207" s="7"/>
      <c r="AP207" s="7"/>
      <c r="AQ207" s="7"/>
      <c r="AR207" s="7"/>
      <c r="AS207" s="7"/>
      <c r="AT207" s="7"/>
      <c r="AU207" s="7"/>
      <c r="AV207" s="7"/>
      <c r="AW207" s="7"/>
      <c r="AX207" s="7"/>
      <c r="AY207" s="7"/>
      <c r="AZ207" s="7"/>
      <c r="BA207" s="7"/>
      <c r="BB207" s="7"/>
      <c r="BC207" s="7"/>
      <c r="BD207" s="7"/>
      <c r="BE207" s="7"/>
      <c r="BF207" s="7"/>
      <c r="BG207" s="7"/>
      <c r="BH207" s="7"/>
      <c r="BI207" s="7"/>
      <c r="BJ207" s="7"/>
      <c r="BK207" s="7"/>
      <c r="BL207" s="7"/>
      <c r="BM207" s="7"/>
      <c r="BN207" s="7"/>
      <c r="BO207" s="7"/>
      <c r="BP207" s="7"/>
      <c r="BQ207" s="7"/>
      <c r="BR207" s="7"/>
      <c r="BS207" s="7"/>
      <c r="BT207" s="7"/>
      <c r="BU207" s="7"/>
      <c r="BV207" s="7"/>
      <c r="BW207" s="7"/>
      <c r="BX207" s="7"/>
      <c r="BY207" s="7"/>
      <c r="BZ207" s="7"/>
      <c r="CA207" s="7"/>
      <c r="CB207" s="7"/>
      <c r="CC207" s="7"/>
      <c r="CD207" s="7"/>
      <c r="CE207" s="7"/>
      <c r="CF207" s="7"/>
      <c r="CG207" s="7"/>
      <c r="CH207" s="7"/>
      <c r="CI207" s="7"/>
      <c r="CJ207" s="7"/>
      <c r="CK207" s="7"/>
      <c r="CL207" s="7"/>
      <c r="CM207" s="7"/>
      <c r="CN207" s="7"/>
      <c r="CO207" s="7"/>
      <c r="CP207" s="7"/>
      <c r="CQ207" s="7"/>
      <c r="CR207" s="7"/>
      <c r="CS207" s="7"/>
      <c r="CT207" s="106">
        <v>6.8</v>
      </c>
      <c r="CU207" s="12" t="s">
        <v>473</v>
      </c>
      <c r="CV207" s="276" t="str">
        <f t="shared" si="54"/>
        <v>---------</v>
      </c>
      <c r="CW207" s="290">
        <v>1.1800000000000399</v>
      </c>
      <c r="CX207" s="59">
        <v>184</v>
      </c>
      <c r="CY207" s="292" t="str">
        <f t="shared" si="55"/>
        <v>---------</v>
      </c>
      <c r="CZ207" s="7"/>
      <c r="DA207" s="7"/>
      <c r="DB207" s="7"/>
      <c r="DC207" s="106">
        <v>6.8</v>
      </c>
      <c r="DD207" s="12" t="s">
        <v>473</v>
      </c>
      <c r="DE207" s="276" t="str">
        <f t="shared" si="56"/>
        <v>---------</v>
      </c>
      <c r="DF207" s="290">
        <v>1.1800000000000399</v>
      </c>
      <c r="DG207" s="59">
        <v>184</v>
      </c>
      <c r="DH207" s="292" t="str">
        <f t="shared" si="57"/>
        <v>---------</v>
      </c>
      <c r="DI207" s="7"/>
      <c r="DJ207" s="7"/>
      <c r="DK207" s="7"/>
      <c r="DL207" s="7"/>
      <c r="FR207" s="12"/>
      <c r="FS207" s="7">
        <v>184</v>
      </c>
      <c r="FT207" s="12">
        <v>31.8</v>
      </c>
    </row>
    <row r="208" spans="20:176">
      <c r="T208" s="7"/>
      <c r="U208" s="7"/>
      <c r="V208" s="43"/>
      <c r="W208" s="7"/>
      <c r="X208" s="7"/>
      <c r="Y208" s="7"/>
      <c r="Z208" s="7"/>
      <c r="AA208" s="7"/>
      <c r="AB208" s="7"/>
      <c r="AC208" s="7"/>
      <c r="AD208" s="7"/>
      <c r="AE208" s="7"/>
      <c r="AF208" s="7"/>
      <c r="AG208" s="7"/>
      <c r="AH208" s="7"/>
      <c r="AI208" s="7"/>
      <c r="AJ208" s="7"/>
      <c r="AK208" s="7"/>
      <c r="AL208" s="7"/>
      <c r="AM208" s="7"/>
      <c r="AN208" s="7"/>
      <c r="AO208" s="7"/>
      <c r="AP208" s="7"/>
      <c r="AQ208" s="7"/>
      <c r="AR208" s="7"/>
      <c r="AS208" s="7"/>
      <c r="AT208" s="7"/>
      <c r="AU208" s="7"/>
      <c r="AV208" s="7"/>
      <c r="AW208" s="7"/>
      <c r="AX208" s="7"/>
      <c r="AY208" s="7"/>
      <c r="AZ208" s="7"/>
      <c r="BA208" s="7"/>
      <c r="BB208" s="7"/>
      <c r="BC208" s="7"/>
      <c r="BD208" s="7"/>
      <c r="BE208" s="7"/>
      <c r="BF208" s="7"/>
      <c r="BG208" s="7"/>
      <c r="BH208" s="7"/>
      <c r="BI208" s="7"/>
      <c r="BJ208" s="7"/>
      <c r="BK208" s="7"/>
      <c r="BL208" s="7"/>
      <c r="BM208" s="7"/>
      <c r="BN208" s="7"/>
      <c r="BO208" s="7"/>
      <c r="BP208" s="7"/>
      <c r="BQ208" s="7"/>
      <c r="BR208" s="7"/>
      <c r="BS208" s="7"/>
      <c r="BT208" s="7"/>
      <c r="BU208" s="7"/>
      <c r="BV208" s="7"/>
      <c r="BW208" s="7"/>
      <c r="BX208" s="7"/>
      <c r="BY208" s="7"/>
      <c r="BZ208" s="7"/>
      <c r="CA208" s="7"/>
      <c r="CB208" s="7"/>
      <c r="CC208" s="7"/>
      <c r="CD208" s="7"/>
      <c r="CE208" s="7"/>
      <c r="CF208" s="7"/>
      <c r="CG208" s="7"/>
      <c r="CH208" s="7"/>
      <c r="CI208" s="7"/>
      <c r="CJ208" s="7"/>
      <c r="CK208" s="7"/>
      <c r="CL208" s="7"/>
      <c r="CM208" s="7"/>
      <c r="CN208" s="7"/>
      <c r="CO208" s="7"/>
      <c r="CP208" s="7"/>
      <c r="CQ208" s="7"/>
      <c r="CR208" s="7"/>
      <c r="CS208" s="7"/>
      <c r="CT208" s="106">
        <v>6.7</v>
      </c>
      <c r="CU208" s="12" t="s">
        <v>474</v>
      </c>
      <c r="CV208" s="276" t="str">
        <f t="shared" si="54"/>
        <v>---------</v>
      </c>
      <c r="CW208" s="290">
        <v>1.1700000000000399</v>
      </c>
      <c r="CX208" s="59">
        <v>185</v>
      </c>
      <c r="CY208" s="292" t="str">
        <f t="shared" si="55"/>
        <v>---------</v>
      </c>
      <c r="CZ208" s="7"/>
      <c r="DA208" s="7"/>
      <c r="DB208" s="7"/>
      <c r="DC208" s="106">
        <v>6.7</v>
      </c>
      <c r="DD208" s="12" t="s">
        <v>474</v>
      </c>
      <c r="DE208" s="276" t="str">
        <f t="shared" si="56"/>
        <v>---------</v>
      </c>
      <c r="DF208" s="290">
        <v>1.1700000000000399</v>
      </c>
      <c r="DG208" s="59">
        <v>185</v>
      </c>
      <c r="DH208" s="292" t="str">
        <f t="shared" si="57"/>
        <v>---------</v>
      </c>
      <c r="DI208" s="7"/>
      <c r="DJ208" s="7"/>
      <c r="DK208" s="7"/>
      <c r="DL208" s="7"/>
      <c r="FR208" s="12"/>
      <c r="FS208" s="7">
        <v>185</v>
      </c>
      <c r="FT208" s="12">
        <v>31.7</v>
      </c>
    </row>
    <row r="209" spans="20:176">
      <c r="T209" s="7"/>
      <c r="U209" s="7"/>
      <c r="V209" s="43"/>
      <c r="W209" s="7"/>
      <c r="X209" s="7"/>
      <c r="Y209" s="7"/>
      <c r="Z209" s="7"/>
      <c r="AA209" s="7"/>
      <c r="AB209" s="7"/>
      <c r="AC209" s="7"/>
      <c r="AD209" s="7"/>
      <c r="AE209" s="7"/>
      <c r="AF209" s="7"/>
      <c r="AG209" s="7"/>
      <c r="AH209" s="7"/>
      <c r="AI209" s="7"/>
      <c r="AJ209" s="7"/>
      <c r="AK209" s="7"/>
      <c r="AL209" s="7"/>
      <c r="AM209" s="7"/>
      <c r="AN209" s="7"/>
      <c r="AO209" s="7"/>
      <c r="AP209" s="7"/>
      <c r="AQ209" s="7"/>
      <c r="AR209" s="7"/>
      <c r="AS209" s="7"/>
      <c r="AT209" s="7"/>
      <c r="AU209" s="7"/>
      <c r="AV209" s="7"/>
      <c r="AW209" s="7"/>
      <c r="AX209" s="7"/>
      <c r="AY209" s="7"/>
      <c r="AZ209" s="7"/>
      <c r="BA209" s="7"/>
      <c r="BB209" s="7"/>
      <c r="BC209" s="7"/>
      <c r="BD209" s="7"/>
      <c r="BE209" s="7"/>
      <c r="BF209" s="7"/>
      <c r="BG209" s="7"/>
      <c r="BH209" s="7"/>
      <c r="BI209" s="7"/>
      <c r="BJ209" s="7"/>
      <c r="BK209" s="7"/>
      <c r="BL209" s="7"/>
      <c r="BM209" s="7"/>
      <c r="BN209" s="7"/>
      <c r="BO209" s="7"/>
      <c r="BP209" s="7"/>
      <c r="BQ209" s="7"/>
      <c r="BR209" s="7"/>
      <c r="BS209" s="7"/>
      <c r="BT209" s="7"/>
      <c r="BU209" s="7"/>
      <c r="BV209" s="7"/>
      <c r="BW209" s="7"/>
      <c r="BX209" s="7"/>
      <c r="BY209" s="7"/>
      <c r="BZ209" s="7"/>
      <c r="CA209" s="7"/>
      <c r="CB209" s="7"/>
      <c r="CC209" s="7"/>
      <c r="CD209" s="7"/>
      <c r="CE209" s="7"/>
      <c r="CF209" s="7"/>
      <c r="CG209" s="7"/>
      <c r="CH209" s="7"/>
      <c r="CI209" s="7"/>
      <c r="CJ209" s="7"/>
      <c r="CK209" s="7"/>
      <c r="CL209" s="7"/>
      <c r="CM209" s="7"/>
      <c r="CN209" s="7"/>
      <c r="CO209" s="7"/>
      <c r="CP209" s="7"/>
      <c r="CQ209" s="7"/>
      <c r="CR209" s="7"/>
      <c r="CS209" s="7"/>
      <c r="CT209" s="106">
        <v>6.6</v>
      </c>
      <c r="CU209" s="12" t="s">
        <v>475</v>
      </c>
      <c r="CV209" s="276" t="str">
        <f t="shared" si="54"/>
        <v>---------</v>
      </c>
      <c r="CW209" s="290">
        <v>1.1600000000000401</v>
      </c>
      <c r="CX209" s="59">
        <v>186</v>
      </c>
      <c r="CY209" s="292" t="str">
        <f t="shared" si="55"/>
        <v>---------</v>
      </c>
      <c r="CZ209" s="7"/>
      <c r="DA209" s="7"/>
      <c r="DB209" s="7"/>
      <c r="DC209" s="106">
        <v>6.6</v>
      </c>
      <c r="DD209" s="12" t="s">
        <v>475</v>
      </c>
      <c r="DE209" s="276" t="str">
        <f t="shared" si="56"/>
        <v>---------</v>
      </c>
      <c r="DF209" s="290">
        <v>1.1600000000000401</v>
      </c>
      <c r="DG209" s="59">
        <v>186</v>
      </c>
      <c r="DH209" s="292" t="str">
        <f t="shared" si="57"/>
        <v>---------</v>
      </c>
      <c r="DI209" s="7"/>
      <c r="DJ209" s="7"/>
      <c r="DK209" s="7"/>
      <c r="DL209" s="7"/>
      <c r="FR209" s="12"/>
      <c r="FS209" s="7">
        <v>186</v>
      </c>
      <c r="FT209" s="12">
        <v>31.6</v>
      </c>
    </row>
    <row r="210" spans="20:176">
      <c r="T210" s="7"/>
      <c r="U210" s="7"/>
      <c r="V210" s="43"/>
      <c r="W210" s="7"/>
      <c r="X210" s="7"/>
      <c r="Y210" s="7"/>
      <c r="Z210" s="7"/>
      <c r="AA210" s="7"/>
      <c r="AB210" s="7"/>
      <c r="AC210" s="7"/>
      <c r="AD210" s="7"/>
      <c r="AE210" s="7"/>
      <c r="AF210" s="7"/>
      <c r="AG210" s="7"/>
      <c r="AH210" s="7"/>
      <c r="AI210" s="7"/>
      <c r="AJ210" s="7"/>
      <c r="AK210" s="7"/>
      <c r="AL210" s="7"/>
      <c r="AM210" s="7"/>
      <c r="AN210" s="7"/>
      <c r="AO210" s="7"/>
      <c r="AP210" s="7"/>
      <c r="AQ210" s="7"/>
      <c r="AR210" s="7"/>
      <c r="AS210" s="7"/>
      <c r="AT210" s="7"/>
      <c r="AU210" s="7"/>
      <c r="AV210" s="7"/>
      <c r="AW210" s="7"/>
      <c r="AX210" s="7"/>
      <c r="AY210" s="7"/>
      <c r="AZ210" s="7"/>
      <c r="BA210" s="7"/>
      <c r="BB210" s="7"/>
      <c r="BC210" s="7"/>
      <c r="BD210" s="7"/>
      <c r="BE210" s="7"/>
      <c r="BF210" s="7"/>
      <c r="BG210" s="7"/>
      <c r="BH210" s="7"/>
      <c r="BI210" s="7"/>
      <c r="BJ210" s="7"/>
      <c r="BK210" s="7"/>
      <c r="BL210" s="7"/>
      <c r="BM210" s="7"/>
      <c r="BN210" s="7"/>
      <c r="BO210" s="7"/>
      <c r="BP210" s="7"/>
      <c r="BQ210" s="7"/>
      <c r="BR210" s="7"/>
      <c r="BS210" s="7"/>
      <c r="BT210" s="7"/>
      <c r="BU210" s="7"/>
      <c r="BV210" s="7"/>
      <c r="BW210" s="7"/>
      <c r="BX210" s="7"/>
      <c r="BY210" s="7"/>
      <c r="BZ210" s="7"/>
      <c r="CA210" s="7"/>
      <c r="CB210" s="7"/>
      <c r="CC210" s="7"/>
      <c r="CD210" s="7"/>
      <c r="CE210" s="7"/>
      <c r="CF210" s="7"/>
      <c r="CG210" s="7"/>
      <c r="CH210" s="7"/>
      <c r="CI210" s="7"/>
      <c r="CJ210" s="7"/>
      <c r="CK210" s="7"/>
      <c r="CL210" s="7"/>
      <c r="CM210" s="7"/>
      <c r="CN210" s="7"/>
      <c r="CO210" s="7"/>
      <c r="CP210" s="7"/>
      <c r="CQ210" s="7"/>
      <c r="CR210" s="7"/>
      <c r="CS210" s="7"/>
      <c r="CT210" s="106">
        <v>6.5</v>
      </c>
      <c r="CU210" s="12" t="s">
        <v>476</v>
      </c>
      <c r="CV210" s="276" t="str">
        <f t="shared" si="54"/>
        <v>---------</v>
      </c>
      <c r="CW210" s="290">
        <v>1.1500000000000401</v>
      </c>
      <c r="CX210" s="59">
        <v>187</v>
      </c>
      <c r="CY210" s="292" t="str">
        <f t="shared" si="55"/>
        <v>---------</v>
      </c>
      <c r="CZ210" s="7"/>
      <c r="DA210" s="7"/>
      <c r="DB210" s="7"/>
      <c r="DC210" s="106">
        <v>6.5</v>
      </c>
      <c r="DD210" s="12" t="s">
        <v>476</v>
      </c>
      <c r="DE210" s="276" t="str">
        <f t="shared" si="56"/>
        <v>---------</v>
      </c>
      <c r="DF210" s="290">
        <v>1.1500000000000401</v>
      </c>
      <c r="DG210" s="59">
        <v>187</v>
      </c>
      <c r="DH210" s="292" t="str">
        <f t="shared" si="57"/>
        <v>---------</v>
      </c>
      <c r="DI210" s="7"/>
      <c r="DJ210" s="7"/>
      <c r="DK210" s="7"/>
      <c r="DL210" s="7"/>
      <c r="FR210" s="12"/>
      <c r="FS210" s="7">
        <v>187</v>
      </c>
      <c r="FT210" s="12">
        <v>31.5</v>
      </c>
    </row>
    <row r="211" spans="20:176">
      <c r="T211" s="7"/>
      <c r="U211" s="7"/>
      <c r="V211" s="43"/>
      <c r="W211" s="7"/>
      <c r="X211" s="7"/>
      <c r="Y211" s="7"/>
      <c r="Z211" s="7"/>
      <c r="AA211" s="7"/>
      <c r="AB211" s="7"/>
      <c r="AC211" s="7"/>
      <c r="AD211" s="7"/>
      <c r="AE211" s="7"/>
      <c r="AF211" s="7"/>
      <c r="AG211" s="7"/>
      <c r="AH211" s="7"/>
      <c r="AI211" s="7"/>
      <c r="AJ211" s="7"/>
      <c r="AK211" s="7"/>
      <c r="AL211" s="7"/>
      <c r="AM211" s="7"/>
      <c r="AN211" s="7"/>
      <c r="AO211" s="7"/>
      <c r="AP211" s="7"/>
      <c r="AQ211" s="7"/>
      <c r="AR211" s="7"/>
      <c r="AS211" s="7"/>
      <c r="AT211" s="7"/>
      <c r="AU211" s="7"/>
      <c r="AV211" s="7"/>
      <c r="AW211" s="7"/>
      <c r="AX211" s="7"/>
      <c r="AY211" s="7"/>
      <c r="AZ211" s="7"/>
      <c r="BA211" s="7"/>
      <c r="BB211" s="7"/>
      <c r="BC211" s="7"/>
      <c r="BD211" s="7"/>
      <c r="BE211" s="7"/>
      <c r="BF211" s="7"/>
      <c r="BG211" s="7"/>
      <c r="BH211" s="7"/>
      <c r="BI211" s="7"/>
      <c r="BJ211" s="7"/>
      <c r="BK211" s="7"/>
      <c r="BL211" s="7"/>
      <c r="BM211" s="7"/>
      <c r="BN211" s="7"/>
      <c r="BO211" s="7"/>
      <c r="BP211" s="7"/>
      <c r="BQ211" s="7"/>
      <c r="BR211" s="7"/>
      <c r="BS211" s="7"/>
      <c r="BT211" s="7"/>
      <c r="BU211" s="7"/>
      <c r="BV211" s="7"/>
      <c r="BW211" s="7"/>
      <c r="BX211" s="7"/>
      <c r="BY211" s="7"/>
      <c r="BZ211" s="7"/>
      <c r="CA211" s="7"/>
      <c r="CB211" s="7"/>
      <c r="CC211" s="7"/>
      <c r="CD211" s="7"/>
      <c r="CE211" s="7"/>
      <c r="CF211" s="7"/>
      <c r="CG211" s="7"/>
      <c r="CH211" s="7"/>
      <c r="CI211" s="7"/>
      <c r="CJ211" s="7"/>
      <c r="CK211" s="7"/>
      <c r="CL211" s="7"/>
      <c r="CM211" s="7"/>
      <c r="CN211" s="7"/>
      <c r="CO211" s="7"/>
      <c r="CP211" s="7"/>
      <c r="CQ211" s="7"/>
      <c r="CR211" s="7"/>
      <c r="CS211" s="7"/>
      <c r="CT211" s="106">
        <v>6.4</v>
      </c>
      <c r="CU211" s="12" t="s">
        <v>477</v>
      </c>
      <c r="CV211" s="276" t="str">
        <f t="shared" si="54"/>
        <v>---------</v>
      </c>
      <c r="CW211" s="290">
        <v>1.1400000000000401</v>
      </c>
      <c r="CX211" s="59">
        <v>188</v>
      </c>
      <c r="CY211" s="292" t="str">
        <f t="shared" si="55"/>
        <v>---------</v>
      </c>
      <c r="CZ211" s="7"/>
      <c r="DA211" s="7"/>
      <c r="DB211" s="7"/>
      <c r="DC211" s="106">
        <v>6.4</v>
      </c>
      <c r="DD211" s="12" t="s">
        <v>477</v>
      </c>
      <c r="DE211" s="276" t="str">
        <f t="shared" si="56"/>
        <v>---------</v>
      </c>
      <c r="DF211" s="290">
        <v>1.1400000000000401</v>
      </c>
      <c r="DG211" s="59">
        <v>188</v>
      </c>
      <c r="DH211" s="292" t="str">
        <f t="shared" si="57"/>
        <v>---------</v>
      </c>
      <c r="DI211" s="7"/>
      <c r="DJ211" s="7"/>
      <c r="DK211" s="7"/>
      <c r="DL211" s="7"/>
      <c r="FR211" s="12"/>
      <c r="FS211" s="7">
        <v>188</v>
      </c>
      <c r="FT211" s="12">
        <v>31.4</v>
      </c>
    </row>
    <row r="212" spans="20:176">
      <c r="T212" s="7"/>
      <c r="U212" s="7"/>
      <c r="V212" s="43"/>
      <c r="W212" s="7"/>
      <c r="X212" s="7"/>
      <c r="Y212" s="7"/>
      <c r="Z212" s="7"/>
      <c r="AA212" s="7"/>
      <c r="AB212" s="7"/>
      <c r="AC212" s="7"/>
      <c r="AD212" s="7"/>
      <c r="AE212" s="7"/>
      <c r="AF212" s="7"/>
      <c r="AG212" s="7"/>
      <c r="AH212" s="7"/>
      <c r="AI212" s="7"/>
      <c r="AJ212" s="7"/>
      <c r="AK212" s="7"/>
      <c r="AL212" s="7"/>
      <c r="AM212" s="7"/>
      <c r="AN212" s="7"/>
      <c r="AO212" s="7"/>
      <c r="AP212" s="7"/>
      <c r="AQ212" s="7"/>
      <c r="AR212" s="7"/>
      <c r="AS212" s="7"/>
      <c r="AT212" s="7"/>
      <c r="AU212" s="7"/>
      <c r="AV212" s="7"/>
      <c r="AW212" s="7"/>
      <c r="AX212" s="7"/>
      <c r="AY212" s="7"/>
      <c r="AZ212" s="7"/>
      <c r="BA212" s="7"/>
      <c r="BB212" s="7"/>
      <c r="BC212" s="7"/>
      <c r="BD212" s="7"/>
      <c r="BE212" s="7"/>
      <c r="BF212" s="7"/>
      <c r="BG212" s="7"/>
      <c r="BH212" s="7"/>
      <c r="BI212" s="7"/>
      <c r="BJ212" s="7"/>
      <c r="BK212" s="7"/>
      <c r="BL212" s="7"/>
      <c r="BM212" s="7"/>
      <c r="BN212" s="7"/>
      <c r="BO212" s="7"/>
      <c r="BP212" s="7"/>
      <c r="BQ212" s="7"/>
      <c r="BR212" s="7"/>
      <c r="BS212" s="7"/>
      <c r="BT212" s="7"/>
      <c r="BU212" s="7"/>
      <c r="BV212" s="7"/>
      <c r="BW212" s="7"/>
      <c r="BX212" s="7"/>
      <c r="BY212" s="7"/>
      <c r="BZ212" s="7"/>
      <c r="CA212" s="7"/>
      <c r="CB212" s="7"/>
      <c r="CC212" s="7"/>
      <c r="CD212" s="7"/>
      <c r="CE212" s="7"/>
      <c r="CF212" s="7"/>
      <c r="CG212" s="7"/>
      <c r="CH212" s="7"/>
      <c r="CI212" s="7"/>
      <c r="CJ212" s="7"/>
      <c r="CK212" s="7"/>
      <c r="CL212" s="7"/>
      <c r="CM212" s="7"/>
      <c r="CN212" s="7"/>
      <c r="CO212" s="7"/>
      <c r="CP212" s="7"/>
      <c r="CQ212" s="7"/>
      <c r="CR212" s="7"/>
      <c r="CS212" s="7"/>
      <c r="CT212" s="106">
        <v>6.3</v>
      </c>
      <c r="CU212" s="12" t="s">
        <v>478</v>
      </c>
      <c r="CV212" s="276" t="str">
        <f t="shared" si="54"/>
        <v>---------</v>
      </c>
      <c r="CW212" s="290">
        <v>1.1300000000000401</v>
      </c>
      <c r="CX212" s="59">
        <v>189</v>
      </c>
      <c r="CY212" s="292" t="str">
        <f t="shared" si="55"/>
        <v>---------</v>
      </c>
      <c r="CZ212" s="7"/>
      <c r="DA212" s="7"/>
      <c r="DB212" s="7"/>
      <c r="DC212" s="106">
        <v>6.3</v>
      </c>
      <c r="DD212" s="12" t="s">
        <v>478</v>
      </c>
      <c r="DE212" s="276" t="str">
        <f t="shared" si="56"/>
        <v>---------</v>
      </c>
      <c r="DF212" s="290">
        <v>1.1300000000000401</v>
      </c>
      <c r="DG212" s="59">
        <v>189</v>
      </c>
      <c r="DH212" s="292" t="str">
        <f t="shared" si="57"/>
        <v>---------</v>
      </c>
      <c r="DI212" s="7"/>
      <c r="DJ212" s="7"/>
      <c r="DK212" s="7"/>
      <c r="DL212" s="7"/>
      <c r="FR212" s="12"/>
      <c r="FS212" s="7">
        <v>189</v>
      </c>
      <c r="FT212" s="12">
        <v>31.3</v>
      </c>
    </row>
    <row r="213" spans="20:176">
      <c r="T213" s="7"/>
      <c r="U213" s="7"/>
      <c r="V213" s="43"/>
      <c r="W213" s="7"/>
      <c r="X213" s="7"/>
      <c r="Y213" s="7"/>
      <c r="Z213" s="7"/>
      <c r="AA213" s="7"/>
      <c r="AB213" s="7"/>
      <c r="AC213" s="7"/>
      <c r="AD213" s="7"/>
      <c r="AE213" s="7"/>
      <c r="AF213" s="7"/>
      <c r="AG213" s="7"/>
      <c r="AH213" s="7"/>
      <c r="AI213" s="7"/>
      <c r="AJ213" s="7"/>
      <c r="AK213" s="7"/>
      <c r="AL213" s="7"/>
      <c r="AM213" s="7"/>
      <c r="AN213" s="7"/>
      <c r="AO213" s="7"/>
      <c r="AP213" s="7"/>
      <c r="AQ213" s="7"/>
      <c r="AR213" s="7"/>
      <c r="AS213" s="7"/>
      <c r="AT213" s="7"/>
      <c r="AU213" s="7"/>
      <c r="AV213" s="7"/>
      <c r="AW213" s="7"/>
      <c r="AX213" s="7"/>
      <c r="AY213" s="7"/>
      <c r="AZ213" s="7"/>
      <c r="BA213" s="7"/>
      <c r="BB213" s="7"/>
      <c r="BC213" s="7"/>
      <c r="BD213" s="7"/>
      <c r="BE213" s="7"/>
      <c r="BF213" s="7"/>
      <c r="BG213" s="7"/>
      <c r="BH213" s="7"/>
      <c r="BI213" s="7"/>
      <c r="BJ213" s="7"/>
      <c r="BK213" s="7"/>
      <c r="BL213" s="7"/>
      <c r="BM213" s="7"/>
      <c r="BN213" s="7"/>
      <c r="BO213" s="7"/>
      <c r="BP213" s="7"/>
      <c r="BQ213" s="7"/>
      <c r="BR213" s="7"/>
      <c r="BS213" s="7"/>
      <c r="BT213" s="7"/>
      <c r="BU213" s="7"/>
      <c r="BV213" s="7"/>
      <c r="BW213" s="7"/>
      <c r="BX213" s="7"/>
      <c r="BY213" s="7"/>
      <c r="BZ213" s="7"/>
      <c r="CA213" s="7"/>
      <c r="CB213" s="7"/>
      <c r="CC213" s="7"/>
      <c r="CD213" s="7"/>
      <c r="CE213" s="7"/>
      <c r="CF213" s="7"/>
      <c r="CG213" s="7"/>
      <c r="CH213" s="7"/>
      <c r="CI213" s="7"/>
      <c r="CJ213" s="7"/>
      <c r="CK213" s="7"/>
      <c r="CL213" s="7"/>
      <c r="CM213" s="7"/>
      <c r="CN213" s="7"/>
      <c r="CO213" s="7"/>
      <c r="CP213" s="7"/>
      <c r="CQ213" s="7"/>
      <c r="CR213" s="7"/>
      <c r="CS213" s="7"/>
      <c r="CT213" s="106">
        <v>6.2</v>
      </c>
      <c r="CU213" s="12" t="s">
        <v>479</v>
      </c>
      <c r="CV213" s="276" t="str">
        <f t="shared" si="54"/>
        <v>---------</v>
      </c>
      <c r="CW213" s="290">
        <v>1.1200000000000401</v>
      </c>
      <c r="CX213" s="59">
        <v>190</v>
      </c>
      <c r="CY213" s="292" t="str">
        <f t="shared" si="55"/>
        <v>---------</v>
      </c>
      <c r="CZ213" s="7"/>
      <c r="DA213" s="7"/>
      <c r="DB213" s="7"/>
      <c r="DC213" s="106">
        <v>6.2</v>
      </c>
      <c r="DD213" s="12" t="s">
        <v>479</v>
      </c>
      <c r="DE213" s="276" t="str">
        <f t="shared" si="56"/>
        <v>---------</v>
      </c>
      <c r="DF213" s="290">
        <v>1.1200000000000401</v>
      </c>
      <c r="DG213" s="59">
        <v>190</v>
      </c>
      <c r="DH213" s="292" t="str">
        <f t="shared" si="57"/>
        <v>---------</v>
      </c>
      <c r="DI213" s="7"/>
      <c r="DJ213" s="7"/>
      <c r="DK213" s="7"/>
      <c r="DL213" s="7"/>
      <c r="FR213" s="12"/>
      <c r="FS213" s="7">
        <v>190</v>
      </c>
      <c r="FT213" s="12">
        <v>31.2</v>
      </c>
    </row>
    <row r="214" spans="20:176">
      <c r="T214" s="7"/>
      <c r="U214" s="7"/>
      <c r="V214" s="43"/>
      <c r="W214" s="7"/>
      <c r="X214" s="7"/>
      <c r="Y214" s="7"/>
      <c r="Z214" s="7"/>
      <c r="AA214" s="7"/>
      <c r="AB214" s="7"/>
      <c r="AC214" s="7"/>
      <c r="AD214" s="7"/>
      <c r="AE214" s="7"/>
      <c r="AF214" s="7"/>
      <c r="AG214" s="7"/>
      <c r="AH214" s="7"/>
      <c r="AI214" s="7"/>
      <c r="AJ214" s="7"/>
      <c r="AK214" s="7"/>
      <c r="AL214" s="7"/>
      <c r="AM214" s="7"/>
      <c r="AN214" s="7"/>
      <c r="AO214" s="7"/>
      <c r="AP214" s="7"/>
      <c r="AQ214" s="7"/>
      <c r="AR214" s="7"/>
      <c r="AS214" s="7"/>
      <c r="AT214" s="7"/>
      <c r="AU214" s="7"/>
      <c r="AV214" s="7"/>
      <c r="AW214" s="7"/>
      <c r="AX214" s="7"/>
      <c r="AY214" s="7"/>
      <c r="AZ214" s="7"/>
      <c r="BA214" s="7"/>
      <c r="BB214" s="7"/>
      <c r="BC214" s="7"/>
      <c r="BD214" s="7"/>
      <c r="BE214" s="7"/>
      <c r="BF214" s="7"/>
      <c r="BG214" s="7"/>
      <c r="BH214" s="7"/>
      <c r="BI214" s="7"/>
      <c r="BJ214" s="7"/>
      <c r="BK214" s="7"/>
      <c r="BL214" s="7"/>
      <c r="BM214" s="7"/>
      <c r="BN214" s="7"/>
      <c r="BO214" s="7"/>
      <c r="BP214" s="7"/>
      <c r="BQ214" s="7"/>
      <c r="BR214" s="7"/>
      <c r="BS214" s="7"/>
      <c r="BT214" s="7"/>
      <c r="BU214" s="7"/>
      <c r="BV214" s="7"/>
      <c r="BW214" s="7"/>
      <c r="BX214" s="7"/>
      <c r="BY214" s="7"/>
      <c r="BZ214" s="7"/>
      <c r="CA214" s="7"/>
      <c r="CB214" s="7"/>
      <c r="CC214" s="7"/>
      <c r="CD214" s="7"/>
      <c r="CE214" s="7"/>
      <c r="CF214" s="7"/>
      <c r="CG214" s="7"/>
      <c r="CH214" s="7"/>
      <c r="CI214" s="7"/>
      <c r="CJ214" s="7"/>
      <c r="CK214" s="7"/>
      <c r="CL214" s="7"/>
      <c r="CM214" s="7"/>
      <c r="CN214" s="7"/>
      <c r="CO214" s="7"/>
      <c r="CP214" s="7"/>
      <c r="CQ214" s="7"/>
      <c r="CR214" s="7"/>
      <c r="CS214" s="7"/>
      <c r="CT214" s="106">
        <v>6.1</v>
      </c>
      <c r="CU214" s="12" t="s">
        <v>480</v>
      </c>
      <c r="CV214" s="276" t="str">
        <f t="shared" si="54"/>
        <v>---------</v>
      </c>
      <c r="CW214" s="290">
        <v>1.1100000000000401</v>
      </c>
      <c r="CX214" s="59">
        <v>191</v>
      </c>
      <c r="CY214" s="292" t="str">
        <f t="shared" si="55"/>
        <v>---------</v>
      </c>
      <c r="CZ214" s="7"/>
      <c r="DA214" s="7"/>
      <c r="DB214" s="7"/>
      <c r="DC214" s="106">
        <v>6.1</v>
      </c>
      <c r="DD214" s="12" t="s">
        <v>480</v>
      </c>
      <c r="DE214" s="276" t="str">
        <f t="shared" si="56"/>
        <v>---------</v>
      </c>
      <c r="DF214" s="290">
        <v>1.1100000000000401</v>
      </c>
      <c r="DG214" s="59">
        <v>191</v>
      </c>
      <c r="DH214" s="292" t="str">
        <f t="shared" si="57"/>
        <v>---------</v>
      </c>
      <c r="DI214" s="7"/>
      <c r="DJ214" s="7"/>
      <c r="DK214" s="7"/>
      <c r="DL214" s="7"/>
      <c r="FR214" s="12"/>
      <c r="FS214" s="7">
        <v>191</v>
      </c>
      <c r="FT214" s="12">
        <v>31.1</v>
      </c>
    </row>
    <row r="215" spans="20:176">
      <c r="T215" s="7"/>
      <c r="U215" s="7"/>
      <c r="V215" s="43"/>
      <c r="W215" s="7"/>
      <c r="X215" s="7"/>
      <c r="Y215" s="7"/>
      <c r="Z215" s="7"/>
      <c r="AA215" s="7"/>
      <c r="AB215" s="7"/>
      <c r="AC215" s="7"/>
      <c r="AD215" s="7"/>
      <c r="AE215" s="7"/>
      <c r="AF215" s="7"/>
      <c r="AG215" s="7"/>
      <c r="AH215" s="7"/>
      <c r="AI215" s="7"/>
      <c r="AJ215" s="7"/>
      <c r="AK215" s="7"/>
      <c r="AL215" s="7"/>
      <c r="AM215" s="7"/>
      <c r="AN215" s="7"/>
      <c r="AO215" s="7"/>
      <c r="AP215" s="7"/>
      <c r="AQ215" s="7"/>
      <c r="AR215" s="7"/>
      <c r="AS215" s="7"/>
      <c r="AT215" s="7"/>
      <c r="AU215" s="7"/>
      <c r="AV215" s="7"/>
      <c r="AW215" s="7"/>
      <c r="AX215" s="7"/>
      <c r="AY215" s="7"/>
      <c r="AZ215" s="7"/>
      <c r="BA215" s="7"/>
      <c r="BB215" s="7"/>
      <c r="BC215" s="7"/>
      <c r="BD215" s="7"/>
      <c r="BE215" s="7"/>
      <c r="BF215" s="7"/>
      <c r="BG215" s="7"/>
      <c r="BH215" s="7"/>
      <c r="BI215" s="7"/>
      <c r="BJ215" s="7"/>
      <c r="BK215" s="7"/>
      <c r="BL215" s="7"/>
      <c r="BM215" s="7"/>
      <c r="BN215" s="7"/>
      <c r="BO215" s="7"/>
      <c r="BP215" s="7"/>
      <c r="BQ215" s="7"/>
      <c r="BR215" s="7"/>
      <c r="BS215" s="7"/>
      <c r="BT215" s="7"/>
      <c r="BU215" s="7"/>
      <c r="BV215" s="7"/>
      <c r="BW215" s="7"/>
      <c r="BX215" s="7"/>
      <c r="BY215" s="7"/>
      <c r="BZ215" s="7"/>
      <c r="CA215" s="7"/>
      <c r="CB215" s="7"/>
      <c r="CC215" s="7"/>
      <c r="CD215" s="7"/>
      <c r="CE215" s="7"/>
      <c r="CF215" s="7"/>
      <c r="CG215" s="7"/>
      <c r="CH215" s="7"/>
      <c r="CI215" s="7"/>
      <c r="CJ215" s="7"/>
      <c r="CK215" s="7"/>
      <c r="CL215" s="7"/>
      <c r="CM215" s="7"/>
      <c r="CN215" s="7"/>
      <c r="CO215" s="7"/>
      <c r="CP215" s="7"/>
      <c r="CQ215" s="7"/>
      <c r="CR215" s="7"/>
      <c r="CS215" s="7"/>
      <c r="CT215" s="106">
        <v>6</v>
      </c>
      <c r="CU215" s="12" t="s">
        <v>481</v>
      </c>
      <c r="CV215" s="276" t="str">
        <f t="shared" si="54"/>
        <v>---------</v>
      </c>
      <c r="CW215" s="290">
        <v>1.1000000000000401</v>
      </c>
      <c r="CX215" s="59">
        <v>192</v>
      </c>
      <c r="CY215" s="292" t="str">
        <f t="shared" si="55"/>
        <v>---------</v>
      </c>
      <c r="CZ215" s="7"/>
      <c r="DA215" s="7"/>
      <c r="DB215" s="7"/>
      <c r="DC215" s="106">
        <v>6</v>
      </c>
      <c r="DD215" s="12" t="s">
        <v>481</v>
      </c>
      <c r="DE215" s="276" t="str">
        <f t="shared" si="56"/>
        <v>---------</v>
      </c>
      <c r="DF215" s="290">
        <v>1.1000000000000401</v>
      </c>
      <c r="DG215" s="59">
        <v>192</v>
      </c>
      <c r="DH215" s="292" t="str">
        <f t="shared" si="57"/>
        <v>---------</v>
      </c>
      <c r="DI215" s="7"/>
      <c r="DJ215" s="7"/>
      <c r="DK215" s="7"/>
      <c r="DL215" s="7"/>
      <c r="FR215" s="12"/>
      <c r="FS215" s="7">
        <v>192</v>
      </c>
      <c r="FT215" s="12">
        <v>31</v>
      </c>
    </row>
    <row r="216" spans="20:176">
      <c r="T216" s="7"/>
      <c r="U216" s="7"/>
      <c r="V216" s="43"/>
      <c r="W216" s="7"/>
      <c r="X216" s="7"/>
      <c r="Y216" s="7"/>
      <c r="Z216" s="7"/>
      <c r="AA216" s="7"/>
      <c r="AB216" s="7"/>
      <c r="AC216" s="7"/>
      <c r="AD216" s="7"/>
      <c r="AE216" s="7"/>
      <c r="AF216" s="7"/>
      <c r="AG216" s="7"/>
      <c r="AH216" s="7"/>
      <c r="AI216" s="7"/>
      <c r="AJ216" s="7"/>
      <c r="AK216" s="7"/>
      <c r="AL216" s="7"/>
      <c r="AM216" s="7"/>
      <c r="AN216" s="7"/>
      <c r="AO216" s="7"/>
      <c r="AP216" s="7"/>
      <c r="AQ216" s="7"/>
      <c r="AR216" s="7"/>
      <c r="AS216" s="7"/>
      <c r="AT216" s="7"/>
      <c r="AU216" s="7"/>
      <c r="AV216" s="7"/>
      <c r="AW216" s="7"/>
      <c r="AX216" s="7"/>
      <c r="AY216" s="7"/>
      <c r="AZ216" s="7"/>
      <c r="BA216" s="7"/>
      <c r="BB216" s="7"/>
      <c r="BC216" s="7"/>
      <c r="BD216" s="7"/>
      <c r="BE216" s="7"/>
      <c r="BF216" s="7"/>
      <c r="BG216" s="7"/>
      <c r="BH216" s="7"/>
      <c r="BI216" s="7"/>
      <c r="BJ216" s="7"/>
      <c r="BK216" s="7"/>
      <c r="BL216" s="7"/>
      <c r="BM216" s="7"/>
      <c r="BN216" s="7"/>
      <c r="BO216" s="7"/>
      <c r="BP216" s="7"/>
      <c r="BQ216" s="7"/>
      <c r="BR216" s="7"/>
      <c r="BS216" s="7"/>
      <c r="BT216" s="7"/>
      <c r="BU216" s="7"/>
      <c r="BV216" s="7"/>
      <c r="BW216" s="7"/>
      <c r="BX216" s="7"/>
      <c r="BY216" s="7"/>
      <c r="BZ216" s="7"/>
      <c r="CA216" s="7"/>
      <c r="CB216" s="7"/>
      <c r="CC216" s="7"/>
      <c r="CD216" s="7"/>
      <c r="CE216" s="7"/>
      <c r="CF216" s="7"/>
      <c r="CG216" s="7"/>
      <c r="CH216" s="7"/>
      <c r="CI216" s="7"/>
      <c r="CJ216" s="7"/>
      <c r="CK216" s="7"/>
      <c r="CL216" s="7"/>
      <c r="CM216" s="7"/>
      <c r="CN216" s="7"/>
      <c r="CO216" s="7"/>
      <c r="CP216" s="7"/>
      <c r="CQ216" s="7"/>
      <c r="CR216" s="7"/>
      <c r="CS216" s="7"/>
      <c r="CT216" s="106">
        <v>5.9</v>
      </c>
      <c r="CU216" s="12" t="s">
        <v>482</v>
      </c>
      <c r="CV216" s="276" t="str">
        <f t="shared" si="54"/>
        <v>---------</v>
      </c>
      <c r="CW216" s="290">
        <v>1.09000000000004</v>
      </c>
      <c r="CX216" s="59">
        <v>193</v>
      </c>
      <c r="CY216" s="292" t="str">
        <f t="shared" si="55"/>
        <v>---------</v>
      </c>
      <c r="CZ216" s="7"/>
      <c r="DA216" s="7"/>
      <c r="DB216" s="7"/>
      <c r="DC216" s="106">
        <v>5.9</v>
      </c>
      <c r="DD216" s="12" t="s">
        <v>482</v>
      </c>
      <c r="DE216" s="276" t="str">
        <f t="shared" si="56"/>
        <v>---------</v>
      </c>
      <c r="DF216" s="290">
        <v>1.09000000000004</v>
      </c>
      <c r="DG216" s="59">
        <v>193</v>
      </c>
      <c r="DH216" s="292" t="str">
        <f t="shared" si="57"/>
        <v>---------</v>
      </c>
      <c r="DI216" s="7"/>
      <c r="DJ216" s="7"/>
      <c r="DK216" s="7"/>
      <c r="DL216" s="7"/>
      <c r="FR216" s="12"/>
      <c r="FS216" s="7">
        <v>193</v>
      </c>
      <c r="FT216" s="12">
        <v>30.9</v>
      </c>
    </row>
    <row r="217" spans="20:176">
      <c r="T217" s="7"/>
      <c r="U217" s="7"/>
      <c r="V217" s="43"/>
      <c r="W217" s="7"/>
      <c r="X217" s="7"/>
      <c r="Y217" s="7"/>
      <c r="Z217" s="7"/>
      <c r="AA217" s="7"/>
      <c r="AB217" s="7"/>
      <c r="AC217" s="7"/>
      <c r="AD217" s="7"/>
      <c r="AE217" s="7"/>
      <c r="AF217" s="7"/>
      <c r="AG217" s="7"/>
      <c r="AH217" s="7"/>
      <c r="AI217" s="7"/>
      <c r="AJ217" s="7"/>
      <c r="AK217" s="7"/>
      <c r="AL217" s="7"/>
      <c r="AM217" s="7"/>
      <c r="AN217" s="7"/>
      <c r="AO217" s="7"/>
      <c r="AP217" s="7"/>
      <c r="AQ217" s="7"/>
      <c r="AR217" s="7"/>
      <c r="AS217" s="7"/>
      <c r="AT217" s="7"/>
      <c r="AU217" s="7"/>
      <c r="AV217" s="7"/>
      <c r="AW217" s="7"/>
      <c r="AX217" s="7"/>
      <c r="AY217" s="7"/>
      <c r="AZ217" s="7"/>
      <c r="BA217" s="7"/>
      <c r="BB217" s="7"/>
      <c r="BC217" s="7"/>
      <c r="BD217" s="7"/>
      <c r="BE217" s="7"/>
      <c r="BF217" s="7"/>
      <c r="BG217" s="7"/>
      <c r="BH217" s="7"/>
      <c r="BI217" s="7"/>
      <c r="BJ217" s="7"/>
      <c r="BK217" s="7"/>
      <c r="BL217" s="7"/>
      <c r="BM217" s="7"/>
      <c r="BN217" s="7"/>
      <c r="BO217" s="7"/>
      <c r="BP217" s="7"/>
      <c r="BQ217" s="7"/>
      <c r="BR217" s="7"/>
      <c r="BS217" s="7"/>
      <c r="BT217" s="7"/>
      <c r="BU217" s="7"/>
      <c r="BV217" s="7"/>
      <c r="BW217" s="7"/>
      <c r="BX217" s="7"/>
      <c r="BY217" s="7"/>
      <c r="BZ217" s="7"/>
      <c r="CA217" s="7"/>
      <c r="CB217" s="7"/>
      <c r="CC217" s="7"/>
      <c r="CD217" s="7"/>
      <c r="CE217" s="7"/>
      <c r="CF217" s="7"/>
      <c r="CG217" s="7"/>
      <c r="CH217" s="7"/>
      <c r="CI217" s="7"/>
      <c r="CJ217" s="7"/>
      <c r="CK217" s="7"/>
      <c r="CL217" s="7"/>
      <c r="CM217" s="7"/>
      <c r="CN217" s="7"/>
      <c r="CO217" s="7"/>
      <c r="CP217" s="7"/>
      <c r="CQ217" s="7"/>
      <c r="CR217" s="7"/>
      <c r="CS217" s="7"/>
      <c r="CT217" s="106">
        <v>5.8</v>
      </c>
      <c r="CU217" s="12" t="s">
        <v>483</v>
      </c>
      <c r="CV217" s="276" t="str">
        <f t="shared" ref="CV217:CV265" si="58">IF(Cntrl6&gt;3,TEXT(CT217,"0.0"),"---------")</f>
        <v>---------</v>
      </c>
      <c r="CW217" s="290">
        <v>1.08000000000004</v>
      </c>
      <c r="CX217" s="59">
        <v>194</v>
      </c>
      <c r="CY217" s="292" t="str">
        <f t="shared" ref="CY217:CY280" si="59">IF(Cntrl6=2,"---------",TEXT(CW217,"0.00"))</f>
        <v>---------</v>
      </c>
      <c r="CZ217" s="7"/>
      <c r="DA217" s="7"/>
      <c r="DB217" s="7"/>
      <c r="DC217" s="106">
        <v>5.8</v>
      </c>
      <c r="DD217" s="12" t="s">
        <v>483</v>
      </c>
      <c r="DE217" s="276" t="str">
        <f t="shared" ref="DE217:DE265" si="60">IF($CH$23&gt;3,TEXT(DC217,"0.0"),"---------")</f>
        <v>---------</v>
      </c>
      <c r="DF217" s="290">
        <v>1.08000000000004</v>
      </c>
      <c r="DG217" s="59">
        <v>194</v>
      </c>
      <c r="DH217" s="292" t="str">
        <f t="shared" ref="DH217:DH280" si="61">IF($CH$23=2,"---------",TEXT(DF217,"0.00"))</f>
        <v>---------</v>
      </c>
      <c r="DI217" s="7"/>
      <c r="DJ217" s="7"/>
      <c r="DK217" s="7"/>
      <c r="DL217" s="7"/>
      <c r="FR217" s="12"/>
      <c r="FS217" s="7">
        <v>194</v>
      </c>
      <c r="FT217" s="12">
        <v>30.8</v>
      </c>
    </row>
    <row r="218" spans="20:176">
      <c r="T218" s="7"/>
      <c r="U218" s="7"/>
      <c r="V218" s="43"/>
      <c r="W218" s="7"/>
      <c r="X218" s="7"/>
      <c r="Y218" s="7"/>
      <c r="Z218" s="7"/>
      <c r="AA218" s="7"/>
      <c r="AB218" s="7"/>
      <c r="AC218" s="7"/>
      <c r="AD218" s="7"/>
      <c r="AE218" s="7"/>
      <c r="AF218" s="7"/>
      <c r="AG218" s="7"/>
      <c r="AH218" s="7"/>
      <c r="AI218" s="7"/>
      <c r="AJ218" s="7"/>
      <c r="AK218" s="7"/>
      <c r="AL218" s="7"/>
      <c r="AM218" s="7"/>
      <c r="AN218" s="7"/>
      <c r="AO218" s="7"/>
      <c r="AP218" s="7"/>
      <c r="AQ218" s="7"/>
      <c r="AR218" s="7"/>
      <c r="AS218" s="7"/>
      <c r="AT218" s="7"/>
      <c r="AU218" s="7"/>
      <c r="AV218" s="7"/>
      <c r="AW218" s="7"/>
      <c r="AX218" s="7"/>
      <c r="AY218" s="7"/>
      <c r="AZ218" s="7"/>
      <c r="BA218" s="7"/>
      <c r="BB218" s="7"/>
      <c r="BC218" s="7"/>
      <c r="BD218" s="7"/>
      <c r="BE218" s="7"/>
      <c r="BF218" s="7"/>
      <c r="BG218" s="7"/>
      <c r="BH218" s="7"/>
      <c r="BI218" s="7"/>
      <c r="BJ218" s="7"/>
      <c r="BK218" s="7"/>
      <c r="BL218" s="7"/>
      <c r="BM218" s="7"/>
      <c r="BN218" s="7"/>
      <c r="BO218" s="7"/>
      <c r="BP218" s="7"/>
      <c r="BQ218" s="7"/>
      <c r="BR218" s="7"/>
      <c r="BS218" s="7"/>
      <c r="BT218" s="7"/>
      <c r="BU218" s="7"/>
      <c r="BV218" s="7"/>
      <c r="BW218" s="7"/>
      <c r="BX218" s="7"/>
      <c r="BY218" s="7"/>
      <c r="BZ218" s="7"/>
      <c r="CA218" s="7"/>
      <c r="CB218" s="7"/>
      <c r="CC218" s="7"/>
      <c r="CD218" s="7"/>
      <c r="CE218" s="7"/>
      <c r="CF218" s="7"/>
      <c r="CG218" s="7"/>
      <c r="CH218" s="7"/>
      <c r="CI218" s="7"/>
      <c r="CJ218" s="7"/>
      <c r="CK218" s="7"/>
      <c r="CL218" s="7"/>
      <c r="CM218" s="7"/>
      <c r="CN218" s="7"/>
      <c r="CO218" s="7"/>
      <c r="CP218" s="7"/>
      <c r="CQ218" s="7"/>
      <c r="CR218" s="7"/>
      <c r="CS218" s="7"/>
      <c r="CT218" s="106">
        <v>5.7</v>
      </c>
      <c r="CU218" s="12" t="s">
        <v>484</v>
      </c>
      <c r="CV218" s="276" t="str">
        <f t="shared" si="58"/>
        <v>---------</v>
      </c>
      <c r="CW218" s="290">
        <v>1.07000000000004</v>
      </c>
      <c r="CX218" s="59">
        <v>195</v>
      </c>
      <c r="CY218" s="292" t="str">
        <f t="shared" si="59"/>
        <v>---------</v>
      </c>
      <c r="CZ218" s="7"/>
      <c r="DA218" s="7"/>
      <c r="DB218" s="7"/>
      <c r="DC218" s="106">
        <v>5.7</v>
      </c>
      <c r="DD218" s="12" t="s">
        <v>484</v>
      </c>
      <c r="DE218" s="276" t="str">
        <f t="shared" si="60"/>
        <v>---------</v>
      </c>
      <c r="DF218" s="290">
        <v>1.07000000000004</v>
      </c>
      <c r="DG218" s="59">
        <v>195</v>
      </c>
      <c r="DH218" s="292" t="str">
        <f t="shared" si="61"/>
        <v>---------</v>
      </c>
      <c r="DI218" s="7"/>
      <c r="DJ218" s="7"/>
      <c r="DK218" s="7"/>
      <c r="DL218" s="7"/>
      <c r="FR218" s="12"/>
      <c r="FS218" s="7">
        <v>195</v>
      </c>
      <c r="FT218" s="12">
        <v>30.7</v>
      </c>
    </row>
    <row r="219" spans="20:176">
      <c r="T219" s="7"/>
      <c r="U219" s="7"/>
      <c r="V219" s="43"/>
      <c r="W219" s="7"/>
      <c r="X219" s="7"/>
      <c r="Y219" s="7"/>
      <c r="Z219" s="7"/>
      <c r="AA219" s="7"/>
      <c r="AB219" s="7"/>
      <c r="AC219" s="7"/>
      <c r="AD219" s="7"/>
      <c r="AE219" s="7"/>
      <c r="AF219" s="7"/>
      <c r="AG219" s="7"/>
      <c r="AH219" s="7"/>
      <c r="AI219" s="7"/>
      <c r="AJ219" s="7"/>
      <c r="AK219" s="7"/>
      <c r="AL219" s="7"/>
      <c r="AM219" s="7"/>
      <c r="AN219" s="7"/>
      <c r="AO219" s="7"/>
      <c r="AP219" s="7"/>
      <c r="AQ219" s="7"/>
      <c r="AR219" s="7"/>
      <c r="AS219" s="7"/>
      <c r="AT219" s="7"/>
      <c r="AU219" s="7"/>
      <c r="AV219" s="7"/>
      <c r="AW219" s="7"/>
      <c r="AX219" s="7"/>
      <c r="AY219" s="7"/>
      <c r="AZ219" s="7"/>
      <c r="BA219" s="7"/>
      <c r="BB219" s="7"/>
      <c r="BC219" s="7"/>
      <c r="BD219" s="7"/>
      <c r="BE219" s="7"/>
      <c r="BF219" s="7"/>
      <c r="BG219" s="7"/>
      <c r="BH219" s="7"/>
      <c r="BI219" s="7"/>
      <c r="BJ219" s="7"/>
      <c r="BK219" s="7"/>
      <c r="BL219" s="7"/>
      <c r="BM219" s="7"/>
      <c r="BN219" s="7"/>
      <c r="BO219" s="7"/>
      <c r="BP219" s="7"/>
      <c r="BQ219" s="7"/>
      <c r="BR219" s="7"/>
      <c r="BS219" s="7"/>
      <c r="BT219" s="7"/>
      <c r="BU219" s="7"/>
      <c r="BV219" s="7"/>
      <c r="BW219" s="7"/>
      <c r="BX219" s="7"/>
      <c r="BY219" s="7"/>
      <c r="BZ219" s="7"/>
      <c r="CA219" s="7"/>
      <c r="CB219" s="7"/>
      <c r="CC219" s="7"/>
      <c r="CD219" s="7"/>
      <c r="CE219" s="7"/>
      <c r="CF219" s="7"/>
      <c r="CG219" s="7"/>
      <c r="CH219" s="7"/>
      <c r="CI219" s="7"/>
      <c r="CJ219" s="7"/>
      <c r="CK219" s="7"/>
      <c r="CL219" s="7"/>
      <c r="CM219" s="7"/>
      <c r="CN219" s="7"/>
      <c r="CO219" s="7"/>
      <c r="CP219" s="7"/>
      <c r="CQ219" s="7"/>
      <c r="CR219" s="7"/>
      <c r="CS219" s="7"/>
      <c r="CT219" s="106">
        <v>5.6</v>
      </c>
      <c r="CU219" s="12" t="s">
        <v>485</v>
      </c>
      <c r="CV219" s="276" t="str">
        <f t="shared" si="58"/>
        <v>---------</v>
      </c>
      <c r="CW219" s="290">
        <v>1.06000000000004</v>
      </c>
      <c r="CX219" s="59">
        <v>196</v>
      </c>
      <c r="CY219" s="292" t="str">
        <f t="shared" si="59"/>
        <v>---------</v>
      </c>
      <c r="CZ219" s="7"/>
      <c r="DA219" s="7"/>
      <c r="DB219" s="7"/>
      <c r="DC219" s="106">
        <v>5.6</v>
      </c>
      <c r="DD219" s="12" t="s">
        <v>485</v>
      </c>
      <c r="DE219" s="276" t="str">
        <f t="shared" si="60"/>
        <v>---------</v>
      </c>
      <c r="DF219" s="290">
        <v>1.06000000000004</v>
      </c>
      <c r="DG219" s="59">
        <v>196</v>
      </c>
      <c r="DH219" s="292" t="str">
        <f t="shared" si="61"/>
        <v>---------</v>
      </c>
      <c r="DI219" s="7"/>
      <c r="DJ219" s="7"/>
      <c r="DK219" s="7"/>
      <c r="DL219" s="7"/>
      <c r="FR219" s="12"/>
      <c r="FS219" s="7">
        <v>196</v>
      </c>
      <c r="FT219" s="12">
        <v>30.6</v>
      </c>
    </row>
    <row r="220" spans="20:176">
      <c r="T220" s="7"/>
      <c r="U220" s="7"/>
      <c r="V220" s="43"/>
      <c r="W220" s="7"/>
      <c r="X220" s="7"/>
      <c r="Y220" s="7"/>
      <c r="Z220" s="7"/>
      <c r="AA220" s="7"/>
      <c r="AB220" s="7"/>
      <c r="AC220" s="7"/>
      <c r="AD220" s="7"/>
      <c r="AE220" s="7"/>
      <c r="AF220" s="7"/>
      <c r="AG220" s="7"/>
      <c r="AH220" s="7"/>
      <c r="AI220" s="7"/>
      <c r="AJ220" s="7"/>
      <c r="AK220" s="7"/>
      <c r="AL220" s="7"/>
      <c r="AM220" s="7"/>
      <c r="AN220" s="7"/>
      <c r="AO220" s="7"/>
      <c r="AP220" s="7"/>
      <c r="AQ220" s="7"/>
      <c r="AR220" s="7"/>
      <c r="AS220" s="7"/>
      <c r="AT220" s="7"/>
      <c r="AU220" s="7"/>
      <c r="AV220" s="7"/>
      <c r="AW220" s="7"/>
      <c r="AX220" s="7"/>
      <c r="AY220" s="7"/>
      <c r="AZ220" s="7"/>
      <c r="BA220" s="7"/>
      <c r="BB220" s="7"/>
      <c r="BC220" s="7"/>
      <c r="BD220" s="7"/>
      <c r="BE220" s="7"/>
      <c r="BF220" s="7"/>
      <c r="BG220" s="7"/>
      <c r="BH220" s="7"/>
      <c r="BI220" s="7"/>
      <c r="BJ220" s="7"/>
      <c r="BK220" s="7"/>
      <c r="BL220" s="7"/>
      <c r="BM220" s="7"/>
      <c r="BN220" s="7"/>
      <c r="BO220" s="7"/>
      <c r="BP220" s="7"/>
      <c r="BQ220" s="7"/>
      <c r="BR220" s="7"/>
      <c r="BS220" s="7"/>
      <c r="BT220" s="7"/>
      <c r="BU220" s="7"/>
      <c r="BV220" s="7"/>
      <c r="BW220" s="7"/>
      <c r="BX220" s="7"/>
      <c r="BY220" s="7"/>
      <c r="BZ220" s="7"/>
      <c r="CA220" s="7"/>
      <c r="CB220" s="7"/>
      <c r="CC220" s="7"/>
      <c r="CD220" s="7"/>
      <c r="CE220" s="7"/>
      <c r="CF220" s="7"/>
      <c r="CG220" s="7"/>
      <c r="CH220" s="7"/>
      <c r="CI220" s="7"/>
      <c r="CJ220" s="7"/>
      <c r="CK220" s="7"/>
      <c r="CL220" s="7"/>
      <c r="CM220" s="7"/>
      <c r="CN220" s="7"/>
      <c r="CO220" s="7"/>
      <c r="CP220" s="7"/>
      <c r="CQ220" s="7"/>
      <c r="CR220" s="7"/>
      <c r="CS220" s="7"/>
      <c r="CT220" s="106">
        <v>5.5</v>
      </c>
      <c r="CU220" s="12" t="s">
        <v>486</v>
      </c>
      <c r="CV220" s="276" t="str">
        <f t="shared" si="58"/>
        <v>---------</v>
      </c>
      <c r="CW220" s="290">
        <v>1.05000000000004</v>
      </c>
      <c r="CX220" s="59">
        <v>197</v>
      </c>
      <c r="CY220" s="292" t="str">
        <f t="shared" si="59"/>
        <v>---------</v>
      </c>
      <c r="CZ220" s="7"/>
      <c r="DA220" s="7"/>
      <c r="DB220" s="7"/>
      <c r="DC220" s="106">
        <v>5.5</v>
      </c>
      <c r="DD220" s="12" t="s">
        <v>486</v>
      </c>
      <c r="DE220" s="276" t="str">
        <f t="shared" si="60"/>
        <v>---------</v>
      </c>
      <c r="DF220" s="290">
        <v>1.05000000000004</v>
      </c>
      <c r="DG220" s="59">
        <v>197</v>
      </c>
      <c r="DH220" s="292" t="str">
        <f t="shared" si="61"/>
        <v>---------</v>
      </c>
      <c r="DI220" s="7"/>
      <c r="DJ220" s="7"/>
      <c r="DK220" s="7"/>
      <c r="DL220" s="7"/>
      <c r="FR220" s="12"/>
      <c r="FS220" s="7">
        <v>197</v>
      </c>
      <c r="FT220" s="12">
        <v>30.5</v>
      </c>
    </row>
    <row r="221" spans="20:176">
      <c r="T221" s="7"/>
      <c r="U221" s="7"/>
      <c r="V221" s="43"/>
      <c r="W221" s="7"/>
      <c r="X221" s="7"/>
      <c r="Y221" s="7"/>
      <c r="Z221" s="7"/>
      <c r="AA221" s="7"/>
      <c r="AB221" s="7"/>
      <c r="AC221" s="7"/>
      <c r="AD221" s="7"/>
      <c r="AE221" s="7"/>
      <c r="AF221" s="7"/>
      <c r="AG221" s="7"/>
      <c r="AH221" s="7"/>
      <c r="AI221" s="7"/>
      <c r="AJ221" s="7"/>
      <c r="AK221" s="7"/>
      <c r="AL221" s="7"/>
      <c r="AM221" s="7"/>
      <c r="AN221" s="7"/>
      <c r="AO221" s="7"/>
      <c r="AP221" s="7"/>
      <c r="AQ221" s="7"/>
      <c r="AR221" s="7"/>
      <c r="AS221" s="7"/>
      <c r="AT221" s="7"/>
      <c r="AU221" s="7"/>
      <c r="AV221" s="7"/>
      <c r="AW221" s="7"/>
      <c r="AX221" s="7"/>
      <c r="AY221" s="7"/>
      <c r="AZ221" s="7"/>
      <c r="BA221" s="7"/>
      <c r="BB221" s="7"/>
      <c r="BC221" s="7"/>
      <c r="BD221" s="7"/>
      <c r="BE221" s="7"/>
      <c r="BF221" s="7"/>
      <c r="BG221" s="7"/>
      <c r="BH221" s="7"/>
      <c r="BI221" s="7"/>
      <c r="BJ221" s="7"/>
      <c r="BK221" s="7"/>
      <c r="BL221" s="7"/>
      <c r="BM221" s="7"/>
      <c r="BN221" s="7"/>
      <c r="BO221" s="7"/>
      <c r="BP221" s="7"/>
      <c r="BQ221" s="7"/>
      <c r="BR221" s="7"/>
      <c r="BS221" s="7"/>
      <c r="BT221" s="7"/>
      <c r="BU221" s="7"/>
      <c r="BV221" s="7"/>
      <c r="BW221" s="7"/>
      <c r="BX221" s="7"/>
      <c r="BY221" s="7"/>
      <c r="BZ221" s="7"/>
      <c r="CA221" s="7"/>
      <c r="CB221" s="7"/>
      <c r="CC221" s="7"/>
      <c r="CD221" s="7"/>
      <c r="CE221" s="7"/>
      <c r="CF221" s="7"/>
      <c r="CG221" s="7"/>
      <c r="CH221" s="7"/>
      <c r="CI221" s="7"/>
      <c r="CJ221" s="7"/>
      <c r="CK221" s="7"/>
      <c r="CL221" s="7"/>
      <c r="CM221" s="7"/>
      <c r="CN221" s="7"/>
      <c r="CO221" s="7"/>
      <c r="CP221" s="7"/>
      <c r="CQ221" s="7"/>
      <c r="CR221" s="7"/>
      <c r="CS221" s="7"/>
      <c r="CT221" s="106">
        <v>5.4</v>
      </c>
      <c r="CU221" s="12" t="s">
        <v>487</v>
      </c>
      <c r="CV221" s="276" t="str">
        <f t="shared" si="58"/>
        <v>---------</v>
      </c>
      <c r="CW221" s="290">
        <v>1.04000000000004</v>
      </c>
      <c r="CX221" s="59">
        <v>198</v>
      </c>
      <c r="CY221" s="292" t="str">
        <f t="shared" si="59"/>
        <v>---------</v>
      </c>
      <c r="CZ221" s="7"/>
      <c r="DA221" s="7"/>
      <c r="DB221" s="7"/>
      <c r="DC221" s="106">
        <v>5.4</v>
      </c>
      <c r="DD221" s="12" t="s">
        <v>487</v>
      </c>
      <c r="DE221" s="276" t="str">
        <f t="shared" si="60"/>
        <v>---------</v>
      </c>
      <c r="DF221" s="290">
        <v>1.04000000000004</v>
      </c>
      <c r="DG221" s="59">
        <v>198</v>
      </c>
      <c r="DH221" s="292" t="str">
        <f t="shared" si="61"/>
        <v>---------</v>
      </c>
      <c r="DI221" s="7"/>
      <c r="DJ221" s="7"/>
      <c r="DK221" s="7"/>
      <c r="DL221" s="7"/>
      <c r="FR221" s="12"/>
      <c r="FS221" s="7">
        <v>198</v>
      </c>
      <c r="FT221" s="12">
        <v>30.4</v>
      </c>
    </row>
    <row r="222" spans="20:176">
      <c r="T222" s="7"/>
      <c r="U222" s="7"/>
      <c r="V222" s="43"/>
      <c r="W222" s="7"/>
      <c r="X222" s="7"/>
      <c r="Y222" s="7"/>
      <c r="Z222" s="7"/>
      <c r="AA222" s="7"/>
      <c r="AB222" s="7"/>
      <c r="AC222" s="7"/>
      <c r="AD222" s="7"/>
      <c r="AE222" s="7"/>
      <c r="AF222" s="7"/>
      <c r="AG222" s="7"/>
      <c r="AH222" s="7"/>
      <c r="AI222" s="7"/>
      <c r="AJ222" s="7"/>
      <c r="AK222" s="7"/>
      <c r="AL222" s="7"/>
      <c r="AM222" s="7"/>
      <c r="AN222" s="7"/>
      <c r="AO222" s="7"/>
      <c r="AP222" s="7"/>
      <c r="AQ222" s="7"/>
      <c r="AR222" s="7"/>
      <c r="AS222" s="7"/>
      <c r="AT222" s="7"/>
      <c r="AU222" s="7"/>
      <c r="AV222" s="7"/>
      <c r="AW222" s="7"/>
      <c r="AX222" s="7"/>
      <c r="AY222" s="7"/>
      <c r="AZ222" s="7"/>
      <c r="BA222" s="7"/>
      <c r="BB222" s="7"/>
      <c r="BC222" s="7"/>
      <c r="BD222" s="7"/>
      <c r="BE222" s="7"/>
      <c r="BF222" s="7"/>
      <c r="BG222" s="7"/>
      <c r="BH222" s="7"/>
      <c r="BI222" s="7"/>
      <c r="BJ222" s="7"/>
      <c r="BK222" s="7"/>
      <c r="BL222" s="7"/>
      <c r="BM222" s="7"/>
      <c r="BN222" s="7"/>
      <c r="BO222" s="7"/>
      <c r="BP222" s="7"/>
      <c r="BQ222" s="7"/>
      <c r="BR222" s="7"/>
      <c r="BS222" s="7"/>
      <c r="BT222" s="7"/>
      <c r="BU222" s="7"/>
      <c r="BV222" s="7"/>
      <c r="BW222" s="7"/>
      <c r="BX222" s="7"/>
      <c r="BY222" s="7"/>
      <c r="BZ222" s="7"/>
      <c r="CA222" s="7"/>
      <c r="CB222" s="7"/>
      <c r="CC222" s="7"/>
      <c r="CD222" s="7"/>
      <c r="CE222" s="7"/>
      <c r="CF222" s="7"/>
      <c r="CG222" s="7"/>
      <c r="CH222" s="7"/>
      <c r="CI222" s="7"/>
      <c r="CJ222" s="7"/>
      <c r="CK222" s="7"/>
      <c r="CL222" s="7"/>
      <c r="CM222" s="7"/>
      <c r="CN222" s="7"/>
      <c r="CO222" s="7"/>
      <c r="CP222" s="7"/>
      <c r="CQ222" s="7"/>
      <c r="CR222" s="7"/>
      <c r="CS222" s="7"/>
      <c r="CT222" s="106">
        <v>5.3</v>
      </c>
      <c r="CU222" s="12" t="s">
        <v>488</v>
      </c>
      <c r="CV222" s="276" t="str">
        <f t="shared" si="58"/>
        <v>---------</v>
      </c>
      <c r="CW222" s="290">
        <v>1.03000000000004</v>
      </c>
      <c r="CX222" s="59">
        <v>199</v>
      </c>
      <c r="CY222" s="292" t="str">
        <f t="shared" si="59"/>
        <v>---------</v>
      </c>
      <c r="CZ222" s="7"/>
      <c r="DA222" s="7"/>
      <c r="DB222" s="7"/>
      <c r="DC222" s="106">
        <v>5.3</v>
      </c>
      <c r="DD222" s="12" t="s">
        <v>488</v>
      </c>
      <c r="DE222" s="276" t="str">
        <f t="shared" si="60"/>
        <v>---------</v>
      </c>
      <c r="DF222" s="290">
        <v>1.03000000000004</v>
      </c>
      <c r="DG222" s="59">
        <v>199</v>
      </c>
      <c r="DH222" s="292" t="str">
        <f t="shared" si="61"/>
        <v>---------</v>
      </c>
      <c r="DI222" s="7"/>
      <c r="DJ222" s="7"/>
      <c r="DK222" s="7"/>
      <c r="DL222" s="7"/>
      <c r="FR222" s="12"/>
      <c r="FS222" s="7">
        <v>199</v>
      </c>
      <c r="FT222" s="12">
        <v>30.3</v>
      </c>
    </row>
    <row r="223" spans="20:176">
      <c r="T223" s="7"/>
      <c r="U223" s="7"/>
      <c r="V223" s="43"/>
      <c r="W223" s="7"/>
      <c r="X223" s="7"/>
      <c r="Y223" s="7"/>
      <c r="Z223" s="7"/>
      <c r="AA223" s="7"/>
      <c r="AB223" s="7"/>
      <c r="AC223" s="7"/>
      <c r="AD223" s="7"/>
      <c r="AE223" s="7"/>
      <c r="AF223" s="7"/>
      <c r="AG223" s="7"/>
      <c r="AH223" s="7"/>
      <c r="AI223" s="7"/>
      <c r="AJ223" s="7"/>
      <c r="AK223" s="7"/>
      <c r="AL223" s="7"/>
      <c r="AM223" s="7"/>
      <c r="AN223" s="7"/>
      <c r="AO223" s="7"/>
      <c r="AP223" s="7"/>
      <c r="AQ223" s="7"/>
      <c r="AR223" s="7"/>
      <c r="AS223" s="7"/>
      <c r="AT223" s="7"/>
      <c r="AU223" s="7"/>
      <c r="AV223" s="7"/>
      <c r="AW223" s="7"/>
      <c r="AX223" s="7"/>
      <c r="AY223" s="7"/>
      <c r="AZ223" s="7"/>
      <c r="BA223" s="7"/>
      <c r="BB223" s="7"/>
      <c r="BC223" s="7"/>
      <c r="BD223" s="7"/>
      <c r="BE223" s="7"/>
      <c r="BF223" s="7"/>
      <c r="BG223" s="7"/>
      <c r="BH223" s="7"/>
      <c r="BI223" s="7"/>
      <c r="BJ223" s="7"/>
      <c r="BK223" s="7"/>
      <c r="BL223" s="7"/>
      <c r="BM223" s="7"/>
      <c r="BN223" s="7"/>
      <c r="BO223" s="7"/>
      <c r="BP223" s="7"/>
      <c r="BQ223" s="7"/>
      <c r="BR223" s="7"/>
      <c r="BS223" s="7"/>
      <c r="BT223" s="7"/>
      <c r="BU223" s="7"/>
      <c r="BV223" s="7"/>
      <c r="BW223" s="7"/>
      <c r="BX223" s="7"/>
      <c r="BY223" s="7"/>
      <c r="BZ223" s="7"/>
      <c r="CA223" s="7"/>
      <c r="CB223" s="7"/>
      <c r="CC223" s="7"/>
      <c r="CD223" s="7"/>
      <c r="CE223" s="7"/>
      <c r="CF223" s="7"/>
      <c r="CG223" s="7"/>
      <c r="CH223" s="7"/>
      <c r="CI223" s="7"/>
      <c r="CJ223" s="7"/>
      <c r="CK223" s="7"/>
      <c r="CL223" s="7"/>
      <c r="CM223" s="7"/>
      <c r="CN223" s="7"/>
      <c r="CO223" s="7"/>
      <c r="CP223" s="7"/>
      <c r="CQ223" s="7"/>
      <c r="CR223" s="7"/>
      <c r="CS223" s="7"/>
      <c r="CT223" s="106">
        <v>5.2</v>
      </c>
      <c r="CU223" s="12" t="s">
        <v>489</v>
      </c>
      <c r="CV223" s="276" t="str">
        <f t="shared" si="58"/>
        <v>---------</v>
      </c>
      <c r="CW223" s="290">
        <v>1.02000000000004</v>
      </c>
      <c r="CX223" s="59">
        <v>200</v>
      </c>
      <c r="CY223" s="292" t="str">
        <f t="shared" si="59"/>
        <v>---------</v>
      </c>
      <c r="CZ223" s="7"/>
      <c r="DA223" s="7"/>
      <c r="DB223" s="7"/>
      <c r="DC223" s="106">
        <v>5.2</v>
      </c>
      <c r="DD223" s="12" t="s">
        <v>489</v>
      </c>
      <c r="DE223" s="276" t="str">
        <f t="shared" si="60"/>
        <v>---------</v>
      </c>
      <c r="DF223" s="290">
        <v>1.02000000000004</v>
      </c>
      <c r="DG223" s="59">
        <v>200</v>
      </c>
      <c r="DH223" s="292" t="str">
        <f t="shared" si="61"/>
        <v>---------</v>
      </c>
      <c r="DI223" s="7"/>
      <c r="DJ223" s="7"/>
      <c r="DK223" s="7"/>
      <c r="DL223" s="7"/>
      <c r="FR223" s="12"/>
      <c r="FS223" s="7">
        <v>200</v>
      </c>
      <c r="FT223" s="12">
        <v>30.2</v>
      </c>
    </row>
    <row r="224" spans="20:176">
      <c r="T224" s="7"/>
      <c r="U224" s="7"/>
      <c r="V224" s="43"/>
      <c r="W224" s="7"/>
      <c r="X224" s="7"/>
      <c r="Y224" s="7"/>
      <c r="Z224" s="7"/>
      <c r="AA224" s="7"/>
      <c r="AB224" s="7"/>
      <c r="AC224" s="7"/>
      <c r="AD224" s="7"/>
      <c r="AE224" s="7"/>
      <c r="AF224" s="7"/>
      <c r="AG224" s="7"/>
      <c r="AH224" s="7"/>
      <c r="AI224" s="7"/>
      <c r="AJ224" s="7"/>
      <c r="AK224" s="7"/>
      <c r="AL224" s="7"/>
      <c r="AM224" s="7"/>
      <c r="AN224" s="7"/>
      <c r="AO224" s="7"/>
      <c r="AP224" s="7"/>
      <c r="AQ224" s="7"/>
      <c r="AR224" s="7"/>
      <c r="AS224" s="7"/>
      <c r="AT224" s="7"/>
      <c r="AU224" s="7"/>
      <c r="AV224" s="7"/>
      <c r="AW224" s="7"/>
      <c r="AX224" s="7"/>
      <c r="AY224" s="7"/>
      <c r="AZ224" s="7"/>
      <c r="BA224" s="7"/>
      <c r="BB224" s="7"/>
      <c r="BC224" s="7"/>
      <c r="BD224" s="7"/>
      <c r="BE224" s="7"/>
      <c r="BF224" s="7"/>
      <c r="BG224" s="7"/>
      <c r="BH224" s="7"/>
      <c r="BI224" s="7"/>
      <c r="BJ224" s="7"/>
      <c r="BK224" s="7"/>
      <c r="BL224" s="7"/>
      <c r="BM224" s="7"/>
      <c r="BN224" s="7"/>
      <c r="BO224" s="7"/>
      <c r="BP224" s="7"/>
      <c r="BQ224" s="7"/>
      <c r="BR224" s="7"/>
      <c r="BS224" s="7"/>
      <c r="BT224" s="7"/>
      <c r="BU224" s="7"/>
      <c r="BV224" s="7"/>
      <c r="BW224" s="7"/>
      <c r="BX224" s="7"/>
      <c r="BY224" s="7"/>
      <c r="BZ224" s="7"/>
      <c r="CA224" s="7"/>
      <c r="CB224" s="7"/>
      <c r="CC224" s="7"/>
      <c r="CD224" s="7"/>
      <c r="CE224" s="7"/>
      <c r="CF224" s="7"/>
      <c r="CG224" s="7"/>
      <c r="CH224" s="7"/>
      <c r="CI224" s="7"/>
      <c r="CJ224" s="7"/>
      <c r="CK224" s="7"/>
      <c r="CL224" s="7"/>
      <c r="CM224" s="7"/>
      <c r="CN224" s="7"/>
      <c r="CO224" s="7"/>
      <c r="CP224" s="7"/>
      <c r="CQ224" s="7"/>
      <c r="CR224" s="7"/>
      <c r="CS224" s="7"/>
      <c r="CT224" s="106">
        <v>5.0999999999999996</v>
      </c>
      <c r="CU224" s="12" t="s">
        <v>490</v>
      </c>
      <c r="CV224" s="276" t="str">
        <f t="shared" si="58"/>
        <v>---------</v>
      </c>
      <c r="CW224" s="290">
        <v>1.01000000000004</v>
      </c>
      <c r="CX224" s="59">
        <v>201</v>
      </c>
      <c r="CY224" s="292" t="str">
        <f t="shared" si="59"/>
        <v>---------</v>
      </c>
      <c r="CZ224" s="7"/>
      <c r="DA224" s="7"/>
      <c r="DB224" s="7"/>
      <c r="DC224" s="106">
        <v>5.0999999999999996</v>
      </c>
      <c r="DD224" s="12" t="s">
        <v>490</v>
      </c>
      <c r="DE224" s="276" t="str">
        <f t="shared" si="60"/>
        <v>---------</v>
      </c>
      <c r="DF224" s="290">
        <v>1.01000000000004</v>
      </c>
      <c r="DG224" s="59">
        <v>201</v>
      </c>
      <c r="DH224" s="292" t="str">
        <f t="shared" si="61"/>
        <v>---------</v>
      </c>
      <c r="DI224" s="7"/>
      <c r="DJ224" s="7"/>
      <c r="DK224" s="7"/>
      <c r="DL224" s="7"/>
      <c r="FR224" s="12"/>
      <c r="FS224" s="7">
        <v>201</v>
      </c>
      <c r="FT224" s="12">
        <v>30.1</v>
      </c>
    </row>
    <row r="225" spans="20:176">
      <c r="T225" s="7"/>
      <c r="U225" s="7"/>
      <c r="V225" s="43"/>
      <c r="W225" s="7"/>
      <c r="X225" s="7"/>
      <c r="Y225" s="7"/>
      <c r="Z225" s="7"/>
      <c r="AA225" s="7"/>
      <c r="AB225" s="7"/>
      <c r="AC225" s="7"/>
      <c r="AD225" s="7"/>
      <c r="AE225" s="7"/>
      <c r="AF225" s="7"/>
      <c r="AG225" s="7"/>
      <c r="AH225" s="7"/>
      <c r="AI225" s="7"/>
      <c r="AJ225" s="7"/>
      <c r="AK225" s="7"/>
      <c r="AL225" s="7"/>
      <c r="AM225" s="7"/>
      <c r="AN225" s="7"/>
      <c r="AO225" s="7"/>
      <c r="AP225" s="7"/>
      <c r="AQ225" s="7"/>
      <c r="AR225" s="7"/>
      <c r="AS225" s="7"/>
      <c r="AT225" s="7"/>
      <c r="AU225" s="7"/>
      <c r="AV225" s="7"/>
      <c r="AW225" s="7"/>
      <c r="AX225" s="7"/>
      <c r="AY225" s="7"/>
      <c r="AZ225" s="7"/>
      <c r="BA225" s="7"/>
      <c r="BB225" s="7"/>
      <c r="BC225" s="7"/>
      <c r="BD225" s="7"/>
      <c r="BE225" s="7"/>
      <c r="BF225" s="7"/>
      <c r="BG225" s="7"/>
      <c r="BH225" s="7"/>
      <c r="BI225" s="7"/>
      <c r="BJ225" s="7"/>
      <c r="BK225" s="7"/>
      <c r="BL225" s="7"/>
      <c r="BM225" s="7"/>
      <c r="BN225" s="7"/>
      <c r="BO225" s="7"/>
      <c r="BP225" s="7"/>
      <c r="BQ225" s="7"/>
      <c r="BR225" s="7"/>
      <c r="BS225" s="7"/>
      <c r="BT225" s="7"/>
      <c r="BU225" s="7"/>
      <c r="BV225" s="7"/>
      <c r="BW225" s="7"/>
      <c r="BX225" s="7"/>
      <c r="BY225" s="7"/>
      <c r="BZ225" s="7"/>
      <c r="CA225" s="7"/>
      <c r="CB225" s="7"/>
      <c r="CC225" s="7"/>
      <c r="CD225" s="7"/>
      <c r="CE225" s="7"/>
      <c r="CF225" s="7"/>
      <c r="CG225" s="7"/>
      <c r="CH225" s="7"/>
      <c r="CI225" s="7"/>
      <c r="CJ225" s="7"/>
      <c r="CK225" s="7"/>
      <c r="CL225" s="7"/>
      <c r="CM225" s="7"/>
      <c r="CN225" s="7"/>
      <c r="CO225" s="7"/>
      <c r="CP225" s="7"/>
      <c r="CQ225" s="7"/>
      <c r="CR225" s="7"/>
      <c r="CS225" s="7"/>
      <c r="CT225" s="106">
        <v>5</v>
      </c>
      <c r="CU225" s="12" t="s">
        <v>491</v>
      </c>
      <c r="CV225" s="276" t="str">
        <f t="shared" si="58"/>
        <v>---------</v>
      </c>
      <c r="CW225" s="290">
        <v>1.00000000000004</v>
      </c>
      <c r="CX225" s="59">
        <v>202</v>
      </c>
      <c r="CY225" s="292" t="str">
        <f t="shared" si="59"/>
        <v>---------</v>
      </c>
      <c r="CZ225" s="7"/>
      <c r="DA225" s="7"/>
      <c r="DB225" s="7"/>
      <c r="DC225" s="106">
        <v>5</v>
      </c>
      <c r="DD225" s="12" t="s">
        <v>491</v>
      </c>
      <c r="DE225" s="276" t="str">
        <f t="shared" si="60"/>
        <v>---------</v>
      </c>
      <c r="DF225" s="290">
        <v>1.00000000000004</v>
      </c>
      <c r="DG225" s="59">
        <v>202</v>
      </c>
      <c r="DH225" s="292" t="str">
        <f t="shared" si="61"/>
        <v>---------</v>
      </c>
      <c r="DI225" s="7"/>
      <c r="DJ225" s="7"/>
      <c r="DK225" s="7"/>
      <c r="DL225" s="7"/>
      <c r="FR225" s="12"/>
      <c r="FS225" s="7">
        <v>202</v>
      </c>
      <c r="FT225" s="12">
        <v>30</v>
      </c>
    </row>
    <row r="226" spans="20:176">
      <c r="T226" s="7"/>
      <c r="U226" s="7"/>
      <c r="V226" s="43"/>
      <c r="W226" s="7"/>
      <c r="X226" s="7"/>
      <c r="Y226" s="7"/>
      <c r="Z226" s="7"/>
      <c r="AA226" s="7"/>
      <c r="AB226" s="7"/>
      <c r="AC226" s="7"/>
      <c r="AD226" s="7"/>
      <c r="AE226" s="7"/>
      <c r="AF226" s="7"/>
      <c r="AG226" s="7"/>
      <c r="AH226" s="7"/>
      <c r="AI226" s="7"/>
      <c r="AJ226" s="7"/>
      <c r="AK226" s="7"/>
      <c r="AL226" s="7"/>
      <c r="AM226" s="7"/>
      <c r="AN226" s="7"/>
      <c r="AO226" s="7"/>
      <c r="AP226" s="7"/>
      <c r="AQ226" s="7"/>
      <c r="AR226" s="7"/>
      <c r="AS226" s="7"/>
      <c r="AT226" s="7"/>
      <c r="AU226" s="7"/>
      <c r="AV226" s="7"/>
      <c r="AW226" s="7"/>
      <c r="AX226" s="7"/>
      <c r="AY226" s="7"/>
      <c r="AZ226" s="7"/>
      <c r="BA226" s="7"/>
      <c r="BB226" s="7"/>
      <c r="BC226" s="7"/>
      <c r="BD226" s="7"/>
      <c r="BE226" s="7"/>
      <c r="BF226" s="7"/>
      <c r="BG226" s="7"/>
      <c r="BH226" s="7"/>
      <c r="BI226" s="7"/>
      <c r="BJ226" s="7"/>
      <c r="BK226" s="7"/>
      <c r="BL226" s="7"/>
      <c r="BM226" s="7"/>
      <c r="BN226" s="7"/>
      <c r="BO226" s="7"/>
      <c r="BP226" s="7"/>
      <c r="BQ226" s="7"/>
      <c r="BR226" s="7"/>
      <c r="BS226" s="7"/>
      <c r="BT226" s="7"/>
      <c r="BU226" s="7"/>
      <c r="BV226" s="7"/>
      <c r="BW226" s="7"/>
      <c r="BX226" s="7"/>
      <c r="BY226" s="7"/>
      <c r="BZ226" s="7"/>
      <c r="CA226" s="7"/>
      <c r="CB226" s="7"/>
      <c r="CC226" s="7"/>
      <c r="CD226" s="7"/>
      <c r="CE226" s="7"/>
      <c r="CF226" s="7"/>
      <c r="CG226" s="7"/>
      <c r="CH226" s="7"/>
      <c r="CI226" s="7"/>
      <c r="CJ226" s="7"/>
      <c r="CK226" s="7"/>
      <c r="CL226" s="7"/>
      <c r="CM226" s="7"/>
      <c r="CN226" s="7"/>
      <c r="CO226" s="7"/>
      <c r="CP226" s="7"/>
      <c r="CQ226" s="7"/>
      <c r="CR226" s="7"/>
      <c r="CS226" s="7"/>
      <c r="CT226" s="106">
        <v>4.9000000000000004</v>
      </c>
      <c r="CU226" s="12" t="s">
        <v>492</v>
      </c>
      <c r="CV226" s="276" t="str">
        <f t="shared" si="58"/>
        <v>---------</v>
      </c>
      <c r="CW226" s="290">
        <v>0.99000000000003996</v>
      </c>
      <c r="CX226" s="59">
        <v>203</v>
      </c>
      <c r="CY226" s="292" t="str">
        <f t="shared" si="59"/>
        <v>---------</v>
      </c>
      <c r="CZ226" s="7"/>
      <c r="DA226" s="7"/>
      <c r="DB226" s="7"/>
      <c r="DC226" s="106">
        <v>4.9000000000000004</v>
      </c>
      <c r="DD226" s="12" t="s">
        <v>492</v>
      </c>
      <c r="DE226" s="276" t="str">
        <f t="shared" si="60"/>
        <v>---------</v>
      </c>
      <c r="DF226" s="290">
        <v>0.99000000000003996</v>
      </c>
      <c r="DG226" s="59">
        <v>203</v>
      </c>
      <c r="DH226" s="292" t="str">
        <f t="shared" si="61"/>
        <v>---------</v>
      </c>
      <c r="DI226" s="7"/>
      <c r="DJ226" s="7"/>
      <c r="DK226" s="7"/>
      <c r="DL226" s="7"/>
      <c r="FR226" s="12"/>
      <c r="FS226" s="7">
        <v>203</v>
      </c>
      <c r="FT226" s="12">
        <v>29.9</v>
      </c>
    </row>
    <row r="227" spans="20:176">
      <c r="T227" s="7"/>
      <c r="U227" s="7"/>
      <c r="V227" s="43"/>
      <c r="W227" s="7"/>
      <c r="X227" s="7"/>
      <c r="Y227" s="7"/>
      <c r="Z227" s="7"/>
      <c r="AA227" s="7"/>
      <c r="AB227" s="7"/>
      <c r="AC227" s="7"/>
      <c r="AD227" s="7"/>
      <c r="AE227" s="7"/>
      <c r="AF227" s="7"/>
      <c r="AG227" s="7"/>
      <c r="AH227" s="7"/>
      <c r="AI227" s="7"/>
      <c r="AJ227" s="7"/>
      <c r="AK227" s="7"/>
      <c r="AL227" s="7"/>
      <c r="AM227" s="7"/>
      <c r="AN227" s="7"/>
      <c r="AO227" s="7"/>
      <c r="AP227" s="7"/>
      <c r="AQ227" s="7"/>
      <c r="AR227" s="7"/>
      <c r="AS227" s="7"/>
      <c r="AT227" s="7"/>
      <c r="AU227" s="7"/>
      <c r="AV227" s="7"/>
      <c r="AW227" s="7"/>
      <c r="AX227" s="7"/>
      <c r="AY227" s="7"/>
      <c r="AZ227" s="7"/>
      <c r="BA227" s="7"/>
      <c r="BB227" s="7"/>
      <c r="BC227" s="7"/>
      <c r="BD227" s="7"/>
      <c r="BE227" s="7"/>
      <c r="BF227" s="7"/>
      <c r="BG227" s="7"/>
      <c r="BH227" s="7"/>
      <c r="BI227" s="7"/>
      <c r="BJ227" s="7"/>
      <c r="BK227" s="7"/>
      <c r="BL227" s="7"/>
      <c r="BM227" s="7"/>
      <c r="BN227" s="7"/>
      <c r="BO227" s="7"/>
      <c r="BP227" s="7"/>
      <c r="BQ227" s="7"/>
      <c r="BR227" s="7"/>
      <c r="BS227" s="7"/>
      <c r="BT227" s="7"/>
      <c r="BU227" s="7"/>
      <c r="BV227" s="7"/>
      <c r="BW227" s="7"/>
      <c r="BX227" s="7"/>
      <c r="BY227" s="7"/>
      <c r="BZ227" s="7"/>
      <c r="CA227" s="7"/>
      <c r="CB227" s="7"/>
      <c r="CC227" s="7"/>
      <c r="CD227" s="7"/>
      <c r="CE227" s="7"/>
      <c r="CF227" s="7"/>
      <c r="CG227" s="7"/>
      <c r="CH227" s="7"/>
      <c r="CI227" s="7"/>
      <c r="CJ227" s="7"/>
      <c r="CK227" s="7"/>
      <c r="CL227" s="7"/>
      <c r="CM227" s="7"/>
      <c r="CN227" s="7"/>
      <c r="CO227" s="7"/>
      <c r="CP227" s="7"/>
      <c r="CQ227" s="7"/>
      <c r="CR227" s="7"/>
      <c r="CS227" s="7"/>
      <c r="CT227" s="106">
        <v>4.8</v>
      </c>
      <c r="CU227" s="12" t="s">
        <v>493</v>
      </c>
      <c r="CV227" s="276" t="str">
        <f t="shared" si="58"/>
        <v>---------</v>
      </c>
      <c r="CW227" s="290">
        <v>0.98000000000003995</v>
      </c>
      <c r="CX227" s="59">
        <v>204</v>
      </c>
      <c r="CY227" s="292" t="str">
        <f t="shared" si="59"/>
        <v>---------</v>
      </c>
      <c r="CZ227" s="7"/>
      <c r="DA227" s="7"/>
      <c r="DB227" s="7"/>
      <c r="DC227" s="106">
        <v>4.8</v>
      </c>
      <c r="DD227" s="12" t="s">
        <v>493</v>
      </c>
      <c r="DE227" s="276" t="str">
        <f t="shared" si="60"/>
        <v>---------</v>
      </c>
      <c r="DF227" s="290">
        <v>0.98000000000003995</v>
      </c>
      <c r="DG227" s="59">
        <v>204</v>
      </c>
      <c r="DH227" s="292" t="str">
        <f t="shared" si="61"/>
        <v>---------</v>
      </c>
      <c r="DI227" s="7"/>
      <c r="DJ227" s="7"/>
      <c r="DK227" s="7"/>
      <c r="DL227" s="7"/>
      <c r="FR227" s="12"/>
      <c r="FS227" s="7">
        <v>204</v>
      </c>
      <c r="FT227" s="12">
        <v>29.8</v>
      </c>
    </row>
    <row r="228" spans="20:176">
      <c r="T228" s="7"/>
      <c r="U228" s="7"/>
      <c r="V228" s="43"/>
      <c r="W228" s="7"/>
      <c r="X228" s="7"/>
      <c r="Y228" s="7"/>
      <c r="Z228" s="7"/>
      <c r="AA228" s="7"/>
      <c r="AB228" s="7"/>
      <c r="AC228" s="7"/>
      <c r="AD228" s="7"/>
      <c r="AE228" s="7"/>
      <c r="AF228" s="7"/>
      <c r="AG228" s="7"/>
      <c r="AH228" s="7"/>
      <c r="AI228" s="7"/>
      <c r="AJ228" s="7"/>
      <c r="AK228" s="7"/>
      <c r="AL228" s="7"/>
      <c r="AM228" s="7"/>
      <c r="AN228" s="7"/>
      <c r="AO228" s="7"/>
      <c r="AP228" s="7"/>
      <c r="AQ228" s="7"/>
      <c r="AR228" s="7"/>
      <c r="AS228" s="7"/>
      <c r="AT228" s="7"/>
      <c r="AU228" s="7"/>
      <c r="AV228" s="7"/>
      <c r="AW228" s="7"/>
      <c r="AX228" s="7"/>
      <c r="AY228" s="7"/>
      <c r="AZ228" s="7"/>
      <c r="BA228" s="7"/>
      <c r="BB228" s="7"/>
      <c r="BC228" s="7"/>
      <c r="BD228" s="7"/>
      <c r="BE228" s="7"/>
      <c r="BF228" s="7"/>
      <c r="BG228" s="7"/>
      <c r="BH228" s="7"/>
      <c r="BI228" s="7"/>
      <c r="BJ228" s="7"/>
      <c r="BK228" s="7"/>
      <c r="BL228" s="7"/>
      <c r="BM228" s="7"/>
      <c r="BN228" s="7"/>
      <c r="BO228" s="7"/>
      <c r="BP228" s="7"/>
      <c r="BQ228" s="7"/>
      <c r="BR228" s="7"/>
      <c r="BS228" s="7"/>
      <c r="BT228" s="7"/>
      <c r="BU228" s="7"/>
      <c r="BV228" s="7"/>
      <c r="BW228" s="7"/>
      <c r="BX228" s="7"/>
      <c r="BY228" s="7"/>
      <c r="BZ228" s="7"/>
      <c r="CA228" s="7"/>
      <c r="CB228" s="7"/>
      <c r="CC228" s="7"/>
      <c r="CD228" s="7"/>
      <c r="CE228" s="7"/>
      <c r="CF228" s="7"/>
      <c r="CG228" s="7"/>
      <c r="CH228" s="7"/>
      <c r="CI228" s="7"/>
      <c r="CJ228" s="7"/>
      <c r="CK228" s="7"/>
      <c r="CL228" s="7"/>
      <c r="CM228" s="7"/>
      <c r="CN228" s="7"/>
      <c r="CO228" s="7"/>
      <c r="CP228" s="7"/>
      <c r="CQ228" s="7"/>
      <c r="CR228" s="7"/>
      <c r="CS228" s="7"/>
      <c r="CT228" s="106">
        <v>4.7</v>
      </c>
      <c r="CU228" s="12" t="s">
        <v>494</v>
      </c>
      <c r="CV228" s="276" t="str">
        <f t="shared" si="58"/>
        <v>---------</v>
      </c>
      <c r="CW228" s="290">
        <v>0.97000000000004005</v>
      </c>
      <c r="CX228" s="59">
        <v>205</v>
      </c>
      <c r="CY228" s="292" t="str">
        <f t="shared" si="59"/>
        <v>---------</v>
      </c>
      <c r="CZ228" s="7"/>
      <c r="DA228" s="7"/>
      <c r="DB228" s="7"/>
      <c r="DC228" s="106">
        <v>4.7</v>
      </c>
      <c r="DD228" s="12" t="s">
        <v>494</v>
      </c>
      <c r="DE228" s="276" t="str">
        <f t="shared" si="60"/>
        <v>---------</v>
      </c>
      <c r="DF228" s="290">
        <v>0.97000000000004005</v>
      </c>
      <c r="DG228" s="59">
        <v>205</v>
      </c>
      <c r="DH228" s="292" t="str">
        <f t="shared" si="61"/>
        <v>---------</v>
      </c>
      <c r="DI228" s="7"/>
      <c r="DJ228" s="7"/>
      <c r="DK228" s="7"/>
      <c r="DL228" s="7"/>
      <c r="FR228" s="12"/>
      <c r="FS228" s="7">
        <v>205</v>
      </c>
      <c r="FT228" s="12">
        <v>29.7</v>
      </c>
    </row>
    <row r="229" spans="20:176">
      <c r="T229" s="7"/>
      <c r="U229" s="7"/>
      <c r="V229" s="43"/>
      <c r="W229" s="7"/>
      <c r="X229" s="7"/>
      <c r="Y229" s="7"/>
      <c r="Z229" s="7"/>
      <c r="AA229" s="7"/>
      <c r="AB229" s="7"/>
      <c r="AC229" s="7"/>
      <c r="AD229" s="7"/>
      <c r="AE229" s="7"/>
      <c r="AF229" s="7"/>
      <c r="AG229" s="7"/>
      <c r="AH229" s="7"/>
      <c r="AI229" s="7"/>
      <c r="AJ229" s="7"/>
      <c r="AK229" s="7"/>
      <c r="AL229" s="7"/>
      <c r="AM229" s="7"/>
      <c r="AN229" s="7"/>
      <c r="AO229" s="7"/>
      <c r="AP229" s="7"/>
      <c r="AQ229" s="7"/>
      <c r="AR229" s="7"/>
      <c r="AS229" s="7"/>
      <c r="AT229" s="7"/>
      <c r="AU229" s="7"/>
      <c r="AV229" s="7"/>
      <c r="AW229" s="7"/>
      <c r="AX229" s="7"/>
      <c r="AY229" s="7"/>
      <c r="AZ229" s="7"/>
      <c r="BA229" s="7"/>
      <c r="BB229" s="7"/>
      <c r="BC229" s="7"/>
      <c r="BD229" s="7"/>
      <c r="BE229" s="7"/>
      <c r="BF229" s="7"/>
      <c r="BG229" s="7"/>
      <c r="BH229" s="7"/>
      <c r="BI229" s="7"/>
      <c r="BJ229" s="7"/>
      <c r="BK229" s="7"/>
      <c r="BL229" s="7"/>
      <c r="BM229" s="7"/>
      <c r="BN229" s="7"/>
      <c r="BO229" s="7"/>
      <c r="BP229" s="7"/>
      <c r="BQ229" s="7"/>
      <c r="BR229" s="7"/>
      <c r="BS229" s="7"/>
      <c r="BT229" s="7"/>
      <c r="BU229" s="7"/>
      <c r="BV229" s="7"/>
      <c r="BW229" s="7"/>
      <c r="BX229" s="7"/>
      <c r="BY229" s="7"/>
      <c r="BZ229" s="7"/>
      <c r="CA229" s="7"/>
      <c r="CB229" s="7"/>
      <c r="CC229" s="7"/>
      <c r="CD229" s="7"/>
      <c r="CE229" s="7"/>
      <c r="CF229" s="7"/>
      <c r="CG229" s="7"/>
      <c r="CH229" s="7"/>
      <c r="CI229" s="7"/>
      <c r="CJ229" s="7"/>
      <c r="CK229" s="7"/>
      <c r="CL229" s="7"/>
      <c r="CM229" s="7"/>
      <c r="CN229" s="7"/>
      <c r="CO229" s="7"/>
      <c r="CP229" s="7"/>
      <c r="CQ229" s="7"/>
      <c r="CR229" s="7"/>
      <c r="CS229" s="7"/>
      <c r="CT229" s="106">
        <v>4.5999999999999996</v>
      </c>
      <c r="CU229" s="12" t="s">
        <v>495</v>
      </c>
      <c r="CV229" s="276" t="str">
        <f t="shared" si="58"/>
        <v>---------</v>
      </c>
      <c r="CW229" s="290">
        <v>0.96000000000004004</v>
      </c>
      <c r="CX229" s="59">
        <v>206</v>
      </c>
      <c r="CY229" s="292" t="str">
        <f t="shared" si="59"/>
        <v>---------</v>
      </c>
      <c r="CZ229" s="7"/>
      <c r="DA229" s="7"/>
      <c r="DB229" s="7"/>
      <c r="DC229" s="106">
        <v>4.5999999999999996</v>
      </c>
      <c r="DD229" s="12" t="s">
        <v>495</v>
      </c>
      <c r="DE229" s="276" t="str">
        <f t="shared" si="60"/>
        <v>---------</v>
      </c>
      <c r="DF229" s="290">
        <v>0.96000000000004004</v>
      </c>
      <c r="DG229" s="59">
        <v>206</v>
      </c>
      <c r="DH229" s="292" t="str">
        <f t="shared" si="61"/>
        <v>---------</v>
      </c>
      <c r="DI229" s="7"/>
      <c r="DJ229" s="7"/>
      <c r="DK229" s="7"/>
      <c r="DL229" s="7"/>
      <c r="FR229" s="12"/>
      <c r="FS229" s="7">
        <v>206</v>
      </c>
      <c r="FT229" s="12">
        <v>29.6</v>
      </c>
    </row>
    <row r="230" spans="20:176">
      <c r="T230" s="7"/>
      <c r="U230" s="7"/>
      <c r="V230" s="43"/>
      <c r="W230" s="7"/>
      <c r="X230" s="7"/>
      <c r="Y230" s="7"/>
      <c r="Z230" s="7"/>
      <c r="AA230" s="7"/>
      <c r="AB230" s="7"/>
      <c r="AC230" s="7"/>
      <c r="AD230" s="7"/>
      <c r="AE230" s="7"/>
      <c r="AF230" s="7"/>
      <c r="AG230" s="7"/>
      <c r="AH230" s="7"/>
      <c r="AI230" s="7"/>
      <c r="AJ230" s="7"/>
      <c r="AK230" s="7"/>
      <c r="AL230" s="7"/>
      <c r="AM230" s="7"/>
      <c r="AN230" s="7"/>
      <c r="AO230" s="7"/>
      <c r="AP230" s="7"/>
      <c r="AQ230" s="7"/>
      <c r="AR230" s="7"/>
      <c r="AS230" s="7"/>
      <c r="AT230" s="7"/>
      <c r="AU230" s="7"/>
      <c r="AV230" s="7"/>
      <c r="AW230" s="7"/>
      <c r="AX230" s="7"/>
      <c r="AY230" s="7"/>
      <c r="AZ230" s="7"/>
      <c r="BA230" s="7"/>
      <c r="BB230" s="7"/>
      <c r="BC230" s="7"/>
      <c r="BD230" s="7"/>
      <c r="BE230" s="7"/>
      <c r="BF230" s="7"/>
      <c r="BG230" s="7"/>
      <c r="BH230" s="7"/>
      <c r="BI230" s="7"/>
      <c r="BJ230" s="7"/>
      <c r="BK230" s="7"/>
      <c r="BL230" s="7"/>
      <c r="BM230" s="7"/>
      <c r="BN230" s="7"/>
      <c r="BO230" s="7"/>
      <c r="BP230" s="7"/>
      <c r="BQ230" s="7"/>
      <c r="BR230" s="7"/>
      <c r="BS230" s="7"/>
      <c r="BT230" s="7"/>
      <c r="BU230" s="7"/>
      <c r="BV230" s="7"/>
      <c r="BW230" s="7"/>
      <c r="BX230" s="7"/>
      <c r="BY230" s="7"/>
      <c r="BZ230" s="7"/>
      <c r="CA230" s="7"/>
      <c r="CB230" s="7"/>
      <c r="CC230" s="7"/>
      <c r="CD230" s="7"/>
      <c r="CE230" s="7"/>
      <c r="CF230" s="7"/>
      <c r="CG230" s="7"/>
      <c r="CH230" s="7"/>
      <c r="CI230" s="7"/>
      <c r="CJ230" s="7"/>
      <c r="CK230" s="7"/>
      <c r="CL230" s="7"/>
      <c r="CM230" s="7"/>
      <c r="CN230" s="7"/>
      <c r="CO230" s="7"/>
      <c r="CP230" s="7"/>
      <c r="CQ230" s="7"/>
      <c r="CR230" s="7"/>
      <c r="CS230" s="7"/>
      <c r="CT230" s="106">
        <v>4.5</v>
      </c>
      <c r="CU230" s="12" t="s">
        <v>496</v>
      </c>
      <c r="CV230" s="276" t="str">
        <f t="shared" si="58"/>
        <v>---------</v>
      </c>
      <c r="CW230" s="290">
        <v>0.95000000000004003</v>
      </c>
      <c r="CX230" s="59">
        <v>207</v>
      </c>
      <c r="CY230" s="292" t="str">
        <f t="shared" si="59"/>
        <v>---------</v>
      </c>
      <c r="CZ230" s="7"/>
      <c r="DA230" s="7"/>
      <c r="DB230" s="7"/>
      <c r="DC230" s="106">
        <v>4.5</v>
      </c>
      <c r="DD230" s="12" t="s">
        <v>496</v>
      </c>
      <c r="DE230" s="276" t="str">
        <f t="shared" si="60"/>
        <v>---------</v>
      </c>
      <c r="DF230" s="290">
        <v>0.95000000000004003</v>
      </c>
      <c r="DG230" s="59">
        <v>207</v>
      </c>
      <c r="DH230" s="292" t="str">
        <f t="shared" si="61"/>
        <v>---------</v>
      </c>
      <c r="DI230" s="7"/>
      <c r="DJ230" s="7"/>
      <c r="DK230" s="7"/>
      <c r="DL230" s="7"/>
      <c r="FR230" s="12"/>
      <c r="FS230" s="7">
        <v>207</v>
      </c>
      <c r="FT230" s="12">
        <v>29.5</v>
      </c>
    </row>
    <row r="231" spans="20:176">
      <c r="T231" s="7"/>
      <c r="U231" s="7"/>
      <c r="V231" s="43"/>
      <c r="W231" s="7"/>
      <c r="X231" s="7"/>
      <c r="Y231" s="7"/>
      <c r="Z231" s="7"/>
      <c r="AA231" s="7"/>
      <c r="AB231" s="7"/>
      <c r="AC231" s="7"/>
      <c r="AD231" s="7"/>
      <c r="AE231" s="7"/>
      <c r="AF231" s="7"/>
      <c r="AG231" s="7"/>
      <c r="AH231" s="7"/>
      <c r="AI231" s="7"/>
      <c r="AJ231" s="7"/>
      <c r="AK231" s="7"/>
      <c r="AL231" s="7"/>
      <c r="AM231" s="7"/>
      <c r="AN231" s="7"/>
      <c r="AO231" s="7"/>
      <c r="AP231" s="7"/>
      <c r="AQ231" s="7"/>
      <c r="AR231" s="7"/>
      <c r="AS231" s="7"/>
      <c r="AT231" s="7"/>
      <c r="AU231" s="7"/>
      <c r="AV231" s="7"/>
      <c r="AW231" s="7"/>
      <c r="AX231" s="7"/>
      <c r="AY231" s="7"/>
      <c r="AZ231" s="7"/>
      <c r="BA231" s="7"/>
      <c r="BB231" s="7"/>
      <c r="BC231" s="7"/>
      <c r="BD231" s="7"/>
      <c r="BE231" s="7"/>
      <c r="BF231" s="7"/>
      <c r="BG231" s="7"/>
      <c r="BH231" s="7"/>
      <c r="BI231" s="7"/>
      <c r="BJ231" s="7"/>
      <c r="BK231" s="7"/>
      <c r="BL231" s="7"/>
      <c r="BM231" s="7"/>
      <c r="BN231" s="7"/>
      <c r="BO231" s="7"/>
      <c r="BP231" s="7"/>
      <c r="BQ231" s="7"/>
      <c r="BR231" s="7"/>
      <c r="BS231" s="7"/>
      <c r="BT231" s="7"/>
      <c r="BU231" s="7"/>
      <c r="BV231" s="7"/>
      <c r="BW231" s="7"/>
      <c r="BX231" s="7"/>
      <c r="BY231" s="7"/>
      <c r="BZ231" s="7"/>
      <c r="CA231" s="7"/>
      <c r="CB231" s="7"/>
      <c r="CC231" s="7"/>
      <c r="CD231" s="7"/>
      <c r="CE231" s="7"/>
      <c r="CF231" s="7"/>
      <c r="CG231" s="7"/>
      <c r="CH231" s="7"/>
      <c r="CI231" s="7"/>
      <c r="CJ231" s="7"/>
      <c r="CK231" s="7"/>
      <c r="CL231" s="7"/>
      <c r="CM231" s="7"/>
      <c r="CN231" s="7"/>
      <c r="CO231" s="7"/>
      <c r="CP231" s="7"/>
      <c r="CQ231" s="7"/>
      <c r="CR231" s="7"/>
      <c r="CS231" s="7"/>
      <c r="CT231" s="106">
        <v>4.4000000000000004</v>
      </c>
      <c r="CU231" s="12" t="s">
        <v>497</v>
      </c>
      <c r="CV231" s="276" t="str">
        <f t="shared" si="58"/>
        <v>---------</v>
      </c>
      <c r="CW231" s="290">
        <v>0.94000000000004003</v>
      </c>
      <c r="CX231" s="59">
        <v>208</v>
      </c>
      <c r="CY231" s="292" t="str">
        <f t="shared" si="59"/>
        <v>---------</v>
      </c>
      <c r="CZ231" s="7"/>
      <c r="DA231" s="7"/>
      <c r="DB231" s="7"/>
      <c r="DC231" s="106">
        <v>4.4000000000000004</v>
      </c>
      <c r="DD231" s="12" t="s">
        <v>497</v>
      </c>
      <c r="DE231" s="276" t="str">
        <f t="shared" si="60"/>
        <v>---------</v>
      </c>
      <c r="DF231" s="290">
        <v>0.94000000000004003</v>
      </c>
      <c r="DG231" s="59">
        <v>208</v>
      </c>
      <c r="DH231" s="292" t="str">
        <f t="shared" si="61"/>
        <v>---------</v>
      </c>
      <c r="DI231" s="7"/>
      <c r="DJ231" s="7"/>
      <c r="DK231" s="7"/>
      <c r="DL231" s="7"/>
      <c r="FR231" s="12"/>
      <c r="FS231" s="7">
        <v>208</v>
      </c>
      <c r="FT231" s="12">
        <v>29.4</v>
      </c>
    </row>
    <row r="232" spans="20:176">
      <c r="T232" s="7"/>
      <c r="U232" s="7"/>
      <c r="V232" s="43"/>
      <c r="W232" s="7"/>
      <c r="X232" s="7"/>
      <c r="Y232" s="7"/>
      <c r="Z232" s="7"/>
      <c r="AA232" s="7"/>
      <c r="AB232" s="7"/>
      <c r="AC232" s="7"/>
      <c r="AD232" s="7"/>
      <c r="AE232" s="7"/>
      <c r="AF232" s="7"/>
      <c r="AG232" s="7"/>
      <c r="AH232" s="7"/>
      <c r="AI232" s="7"/>
      <c r="AJ232" s="7"/>
      <c r="AK232" s="7"/>
      <c r="AL232" s="7"/>
      <c r="AM232" s="7"/>
      <c r="AN232" s="7"/>
      <c r="AO232" s="7"/>
      <c r="AP232" s="7"/>
      <c r="AQ232" s="7"/>
      <c r="AR232" s="7"/>
      <c r="AS232" s="7"/>
      <c r="AT232" s="7"/>
      <c r="AU232" s="7"/>
      <c r="AV232" s="7"/>
      <c r="AW232" s="7"/>
      <c r="AX232" s="7"/>
      <c r="AY232" s="7"/>
      <c r="AZ232" s="7"/>
      <c r="BA232" s="7"/>
      <c r="BB232" s="7"/>
      <c r="BC232" s="7"/>
      <c r="BD232" s="7"/>
      <c r="BE232" s="7"/>
      <c r="BF232" s="7"/>
      <c r="BG232" s="7"/>
      <c r="BH232" s="7"/>
      <c r="BI232" s="7"/>
      <c r="BJ232" s="7"/>
      <c r="BK232" s="7"/>
      <c r="BL232" s="7"/>
      <c r="BM232" s="7"/>
      <c r="BN232" s="7"/>
      <c r="BO232" s="7"/>
      <c r="BP232" s="7"/>
      <c r="BQ232" s="7"/>
      <c r="BR232" s="7"/>
      <c r="BS232" s="7"/>
      <c r="BT232" s="7"/>
      <c r="BU232" s="7"/>
      <c r="BV232" s="7"/>
      <c r="BW232" s="7"/>
      <c r="BX232" s="7"/>
      <c r="BY232" s="7"/>
      <c r="BZ232" s="7"/>
      <c r="CA232" s="7"/>
      <c r="CB232" s="7"/>
      <c r="CC232" s="7"/>
      <c r="CD232" s="7"/>
      <c r="CE232" s="7"/>
      <c r="CF232" s="7"/>
      <c r="CG232" s="7"/>
      <c r="CH232" s="7"/>
      <c r="CI232" s="7"/>
      <c r="CJ232" s="7"/>
      <c r="CK232" s="7"/>
      <c r="CL232" s="7"/>
      <c r="CM232" s="7"/>
      <c r="CN232" s="7"/>
      <c r="CO232" s="7"/>
      <c r="CP232" s="7"/>
      <c r="CQ232" s="7"/>
      <c r="CR232" s="7"/>
      <c r="CS232" s="7"/>
      <c r="CT232" s="106">
        <v>4.3</v>
      </c>
      <c r="CU232" s="12" t="s">
        <v>498</v>
      </c>
      <c r="CV232" s="276" t="str">
        <f t="shared" si="58"/>
        <v>---------</v>
      </c>
      <c r="CW232" s="290">
        <v>0.93000000000004002</v>
      </c>
      <c r="CX232" s="59">
        <v>209</v>
      </c>
      <c r="CY232" s="292" t="str">
        <f t="shared" si="59"/>
        <v>---------</v>
      </c>
      <c r="CZ232" s="7"/>
      <c r="DA232" s="7"/>
      <c r="DB232" s="7"/>
      <c r="DC232" s="106">
        <v>4.3</v>
      </c>
      <c r="DD232" s="12" t="s">
        <v>498</v>
      </c>
      <c r="DE232" s="276" t="str">
        <f t="shared" si="60"/>
        <v>---------</v>
      </c>
      <c r="DF232" s="290">
        <v>0.93000000000004002</v>
      </c>
      <c r="DG232" s="59">
        <v>209</v>
      </c>
      <c r="DH232" s="292" t="str">
        <f t="shared" si="61"/>
        <v>---------</v>
      </c>
      <c r="DI232" s="7"/>
      <c r="DJ232" s="7"/>
      <c r="DK232" s="7"/>
      <c r="DL232" s="7"/>
      <c r="FR232" s="12"/>
      <c r="FS232" s="7">
        <v>209</v>
      </c>
      <c r="FT232" s="12">
        <v>29.3</v>
      </c>
    </row>
    <row r="233" spans="20:176">
      <c r="T233" s="7"/>
      <c r="U233" s="7"/>
      <c r="V233" s="43"/>
      <c r="W233" s="7"/>
      <c r="X233" s="7"/>
      <c r="Y233" s="7"/>
      <c r="Z233" s="7"/>
      <c r="AA233" s="7"/>
      <c r="AB233" s="7"/>
      <c r="AC233" s="7"/>
      <c r="AD233" s="7"/>
      <c r="AE233" s="7"/>
      <c r="AF233" s="7"/>
      <c r="AG233" s="7"/>
      <c r="AH233" s="7"/>
      <c r="AI233" s="7"/>
      <c r="AJ233" s="7"/>
      <c r="AK233" s="7"/>
      <c r="AL233" s="7"/>
      <c r="AM233" s="7"/>
      <c r="AN233" s="7"/>
      <c r="AO233" s="7"/>
      <c r="AP233" s="7"/>
      <c r="AQ233" s="7"/>
      <c r="AR233" s="7"/>
      <c r="AS233" s="7"/>
      <c r="AT233" s="7"/>
      <c r="AU233" s="7"/>
      <c r="AV233" s="7"/>
      <c r="AW233" s="7"/>
      <c r="AX233" s="7"/>
      <c r="AY233" s="7"/>
      <c r="AZ233" s="7"/>
      <c r="BA233" s="7"/>
      <c r="BB233" s="7"/>
      <c r="BC233" s="7"/>
      <c r="BD233" s="7"/>
      <c r="BE233" s="7"/>
      <c r="BF233" s="7"/>
      <c r="BG233" s="7"/>
      <c r="BH233" s="7"/>
      <c r="BI233" s="7"/>
      <c r="BJ233" s="7"/>
      <c r="BK233" s="7"/>
      <c r="BL233" s="7"/>
      <c r="BM233" s="7"/>
      <c r="BN233" s="7"/>
      <c r="BO233" s="7"/>
      <c r="BP233" s="7"/>
      <c r="BQ233" s="7"/>
      <c r="BR233" s="7"/>
      <c r="BS233" s="7"/>
      <c r="BT233" s="7"/>
      <c r="BU233" s="7"/>
      <c r="BV233" s="7"/>
      <c r="BW233" s="7"/>
      <c r="BX233" s="7"/>
      <c r="BY233" s="7"/>
      <c r="BZ233" s="7"/>
      <c r="CA233" s="7"/>
      <c r="CB233" s="7"/>
      <c r="CC233" s="7"/>
      <c r="CD233" s="7"/>
      <c r="CE233" s="7"/>
      <c r="CF233" s="7"/>
      <c r="CG233" s="7"/>
      <c r="CH233" s="7"/>
      <c r="CI233" s="7"/>
      <c r="CJ233" s="7"/>
      <c r="CK233" s="7"/>
      <c r="CL233" s="7"/>
      <c r="CM233" s="7"/>
      <c r="CN233" s="7"/>
      <c r="CO233" s="7"/>
      <c r="CP233" s="7"/>
      <c r="CQ233" s="7"/>
      <c r="CR233" s="7"/>
      <c r="CS233" s="7"/>
      <c r="CT233" s="106">
        <v>4.2</v>
      </c>
      <c r="CU233" s="12" t="s">
        <v>499</v>
      </c>
      <c r="CV233" s="276" t="str">
        <f t="shared" si="58"/>
        <v>---------</v>
      </c>
      <c r="CW233" s="290">
        <v>0.92000000000004001</v>
      </c>
      <c r="CX233" s="59">
        <v>210</v>
      </c>
      <c r="CY233" s="292" t="str">
        <f t="shared" si="59"/>
        <v>---------</v>
      </c>
      <c r="CZ233" s="7"/>
      <c r="DA233" s="7"/>
      <c r="DB233" s="7"/>
      <c r="DC233" s="106">
        <v>4.2</v>
      </c>
      <c r="DD233" s="12" t="s">
        <v>499</v>
      </c>
      <c r="DE233" s="276" t="str">
        <f t="shared" si="60"/>
        <v>---------</v>
      </c>
      <c r="DF233" s="290">
        <v>0.92000000000004001</v>
      </c>
      <c r="DG233" s="59">
        <v>210</v>
      </c>
      <c r="DH233" s="292" t="str">
        <f t="shared" si="61"/>
        <v>---------</v>
      </c>
      <c r="DI233" s="7"/>
      <c r="DJ233" s="7"/>
      <c r="DK233" s="7"/>
      <c r="DL233" s="7"/>
      <c r="FR233" s="12"/>
      <c r="FS233" s="7">
        <v>210</v>
      </c>
      <c r="FT233" s="12">
        <v>29.2</v>
      </c>
    </row>
    <row r="234" spans="20:176">
      <c r="T234" s="7"/>
      <c r="U234" s="7"/>
      <c r="V234" s="43"/>
      <c r="W234" s="7"/>
      <c r="X234" s="7"/>
      <c r="Y234" s="7"/>
      <c r="Z234" s="7"/>
      <c r="AA234" s="7"/>
      <c r="AB234" s="7"/>
      <c r="AC234" s="7"/>
      <c r="AD234" s="7"/>
      <c r="AE234" s="7"/>
      <c r="AF234" s="7"/>
      <c r="AG234" s="7"/>
      <c r="AH234" s="7"/>
      <c r="AI234" s="7"/>
      <c r="AJ234" s="7"/>
      <c r="AK234" s="7"/>
      <c r="AL234" s="7"/>
      <c r="AM234" s="7"/>
      <c r="AN234" s="7"/>
      <c r="AO234" s="7"/>
      <c r="AP234" s="7"/>
      <c r="AQ234" s="7"/>
      <c r="AR234" s="7"/>
      <c r="AS234" s="7"/>
      <c r="AT234" s="7"/>
      <c r="AU234" s="7"/>
      <c r="AV234" s="7"/>
      <c r="AW234" s="7"/>
      <c r="AX234" s="7"/>
      <c r="AY234" s="7"/>
      <c r="AZ234" s="7"/>
      <c r="BA234" s="7"/>
      <c r="BB234" s="7"/>
      <c r="BC234" s="7"/>
      <c r="BD234" s="7"/>
      <c r="BE234" s="7"/>
      <c r="BF234" s="7"/>
      <c r="BG234" s="7"/>
      <c r="BH234" s="7"/>
      <c r="BI234" s="7"/>
      <c r="BJ234" s="7"/>
      <c r="BK234" s="7"/>
      <c r="BL234" s="7"/>
      <c r="BM234" s="7"/>
      <c r="BN234" s="7"/>
      <c r="BO234" s="7"/>
      <c r="BP234" s="7"/>
      <c r="BQ234" s="7"/>
      <c r="BR234" s="7"/>
      <c r="BS234" s="7"/>
      <c r="BT234" s="7"/>
      <c r="BU234" s="7"/>
      <c r="BV234" s="7"/>
      <c r="BW234" s="7"/>
      <c r="BX234" s="7"/>
      <c r="BY234" s="7"/>
      <c r="BZ234" s="7"/>
      <c r="CA234" s="7"/>
      <c r="CB234" s="7"/>
      <c r="CC234" s="7"/>
      <c r="CD234" s="7"/>
      <c r="CE234" s="7"/>
      <c r="CF234" s="7"/>
      <c r="CG234" s="7"/>
      <c r="CH234" s="7"/>
      <c r="CI234" s="7"/>
      <c r="CJ234" s="7"/>
      <c r="CK234" s="7"/>
      <c r="CL234" s="7"/>
      <c r="CM234" s="7"/>
      <c r="CN234" s="7"/>
      <c r="CO234" s="7"/>
      <c r="CP234" s="7"/>
      <c r="CQ234" s="7"/>
      <c r="CR234" s="7"/>
      <c r="CS234" s="7"/>
      <c r="CT234" s="106">
        <v>4.0999999999999996</v>
      </c>
      <c r="CU234" s="12" t="s">
        <v>500</v>
      </c>
      <c r="CV234" s="276" t="str">
        <f t="shared" si="58"/>
        <v>---------</v>
      </c>
      <c r="CW234" s="290">
        <v>0.91000000000004</v>
      </c>
      <c r="CX234" s="59">
        <v>211</v>
      </c>
      <c r="CY234" s="292" t="str">
        <f t="shared" si="59"/>
        <v>---------</v>
      </c>
      <c r="CZ234" s="7"/>
      <c r="DA234" s="7"/>
      <c r="DB234" s="7"/>
      <c r="DC234" s="106">
        <v>4.0999999999999996</v>
      </c>
      <c r="DD234" s="12" t="s">
        <v>500</v>
      </c>
      <c r="DE234" s="276" t="str">
        <f t="shared" si="60"/>
        <v>---------</v>
      </c>
      <c r="DF234" s="290">
        <v>0.91000000000004</v>
      </c>
      <c r="DG234" s="59">
        <v>211</v>
      </c>
      <c r="DH234" s="292" t="str">
        <f t="shared" si="61"/>
        <v>---------</v>
      </c>
      <c r="DI234" s="7"/>
      <c r="DJ234" s="7"/>
      <c r="DK234" s="7"/>
      <c r="DL234" s="7"/>
      <c r="FR234" s="12"/>
      <c r="FS234" s="7">
        <v>211</v>
      </c>
      <c r="FT234" s="12">
        <v>29.1</v>
      </c>
    </row>
    <row r="235" spans="20:176">
      <c r="T235" s="7"/>
      <c r="U235" s="7"/>
      <c r="V235" s="43"/>
      <c r="W235" s="7"/>
      <c r="X235" s="7"/>
      <c r="Y235" s="7"/>
      <c r="Z235" s="7"/>
      <c r="AA235" s="7"/>
      <c r="AB235" s="7"/>
      <c r="AC235" s="7"/>
      <c r="AD235" s="7"/>
      <c r="AE235" s="7"/>
      <c r="AF235" s="7"/>
      <c r="AG235" s="7"/>
      <c r="AH235" s="7"/>
      <c r="AI235" s="7"/>
      <c r="AJ235" s="7"/>
      <c r="AK235" s="7"/>
      <c r="AL235" s="7"/>
      <c r="AM235" s="7"/>
      <c r="AN235" s="7"/>
      <c r="AO235" s="7"/>
      <c r="AP235" s="7"/>
      <c r="AQ235" s="7"/>
      <c r="AR235" s="7"/>
      <c r="AS235" s="7"/>
      <c r="AT235" s="7"/>
      <c r="AU235" s="7"/>
      <c r="AV235" s="7"/>
      <c r="AW235" s="7"/>
      <c r="AX235" s="7"/>
      <c r="AY235" s="7"/>
      <c r="AZ235" s="7"/>
      <c r="BA235" s="7"/>
      <c r="BB235" s="7"/>
      <c r="BC235" s="7"/>
      <c r="BD235" s="7"/>
      <c r="BE235" s="7"/>
      <c r="BF235" s="7"/>
      <c r="BG235" s="7"/>
      <c r="BH235" s="7"/>
      <c r="BI235" s="7"/>
      <c r="BJ235" s="7"/>
      <c r="BK235" s="7"/>
      <c r="BL235" s="7"/>
      <c r="BM235" s="7"/>
      <c r="BN235" s="7"/>
      <c r="BO235" s="7"/>
      <c r="BP235" s="7"/>
      <c r="BQ235" s="7"/>
      <c r="BR235" s="7"/>
      <c r="BS235" s="7"/>
      <c r="BT235" s="7"/>
      <c r="BU235" s="7"/>
      <c r="BV235" s="7"/>
      <c r="BW235" s="7"/>
      <c r="BX235" s="7"/>
      <c r="BY235" s="7"/>
      <c r="BZ235" s="7"/>
      <c r="CA235" s="7"/>
      <c r="CB235" s="7"/>
      <c r="CC235" s="7"/>
      <c r="CD235" s="7"/>
      <c r="CE235" s="7"/>
      <c r="CF235" s="7"/>
      <c r="CG235" s="7"/>
      <c r="CH235" s="7"/>
      <c r="CI235" s="7"/>
      <c r="CJ235" s="7"/>
      <c r="CK235" s="7"/>
      <c r="CL235" s="7"/>
      <c r="CM235" s="7"/>
      <c r="CN235" s="7"/>
      <c r="CO235" s="7"/>
      <c r="CP235" s="7"/>
      <c r="CQ235" s="7"/>
      <c r="CR235" s="7"/>
      <c r="CS235" s="7"/>
      <c r="CT235" s="106">
        <v>4</v>
      </c>
      <c r="CU235" s="12" t="s">
        <v>501</v>
      </c>
      <c r="CV235" s="276" t="str">
        <f t="shared" si="58"/>
        <v>---------</v>
      </c>
      <c r="CW235" s="290">
        <v>0.90000000000003999</v>
      </c>
      <c r="CX235" s="59">
        <v>212</v>
      </c>
      <c r="CY235" s="292" t="str">
        <f t="shared" si="59"/>
        <v>---------</v>
      </c>
      <c r="CZ235" s="7"/>
      <c r="DA235" s="7"/>
      <c r="DB235" s="7"/>
      <c r="DC235" s="106">
        <v>4</v>
      </c>
      <c r="DD235" s="12" t="s">
        <v>501</v>
      </c>
      <c r="DE235" s="276" t="str">
        <f t="shared" si="60"/>
        <v>---------</v>
      </c>
      <c r="DF235" s="290">
        <v>0.90000000000003999</v>
      </c>
      <c r="DG235" s="59">
        <v>212</v>
      </c>
      <c r="DH235" s="292" t="str">
        <f t="shared" si="61"/>
        <v>---------</v>
      </c>
      <c r="DI235" s="7"/>
      <c r="DJ235" s="7"/>
      <c r="DK235" s="7"/>
      <c r="DL235" s="7"/>
      <c r="FR235" s="12"/>
      <c r="FS235" s="7">
        <v>212</v>
      </c>
      <c r="FT235" s="12">
        <v>29</v>
      </c>
    </row>
    <row r="236" spans="20:176">
      <c r="T236" s="7"/>
      <c r="U236" s="7"/>
      <c r="V236" s="43"/>
      <c r="W236" s="7"/>
      <c r="X236" s="7"/>
      <c r="Y236" s="7"/>
      <c r="Z236" s="7"/>
      <c r="AA236" s="7"/>
      <c r="AB236" s="7"/>
      <c r="AC236" s="7"/>
      <c r="AD236" s="7"/>
      <c r="AE236" s="7"/>
      <c r="AF236" s="7"/>
      <c r="AG236" s="7"/>
      <c r="AH236" s="7"/>
      <c r="AI236" s="7"/>
      <c r="AJ236" s="7"/>
      <c r="AK236" s="7"/>
      <c r="AL236" s="7"/>
      <c r="AM236" s="7"/>
      <c r="AN236" s="7"/>
      <c r="AO236" s="7"/>
      <c r="AP236" s="7"/>
      <c r="AQ236" s="7"/>
      <c r="AR236" s="7"/>
      <c r="AS236" s="7"/>
      <c r="AT236" s="7"/>
      <c r="AU236" s="7"/>
      <c r="AV236" s="7"/>
      <c r="AW236" s="7"/>
      <c r="AX236" s="7"/>
      <c r="AY236" s="7"/>
      <c r="AZ236" s="7"/>
      <c r="BA236" s="7"/>
      <c r="BB236" s="7"/>
      <c r="BC236" s="7"/>
      <c r="BD236" s="7"/>
      <c r="BE236" s="7"/>
      <c r="BF236" s="7"/>
      <c r="BG236" s="7"/>
      <c r="BH236" s="7"/>
      <c r="BI236" s="7"/>
      <c r="BJ236" s="7"/>
      <c r="BK236" s="7"/>
      <c r="BL236" s="7"/>
      <c r="BM236" s="7"/>
      <c r="BN236" s="7"/>
      <c r="BO236" s="7"/>
      <c r="BP236" s="7"/>
      <c r="BQ236" s="7"/>
      <c r="BR236" s="7"/>
      <c r="BS236" s="7"/>
      <c r="BT236" s="7"/>
      <c r="BU236" s="7"/>
      <c r="BV236" s="7"/>
      <c r="BW236" s="7"/>
      <c r="BX236" s="7"/>
      <c r="BY236" s="7"/>
      <c r="BZ236" s="7"/>
      <c r="CA236" s="7"/>
      <c r="CB236" s="7"/>
      <c r="CC236" s="7"/>
      <c r="CD236" s="7"/>
      <c r="CE236" s="7"/>
      <c r="CF236" s="7"/>
      <c r="CG236" s="7"/>
      <c r="CH236" s="7"/>
      <c r="CI236" s="7"/>
      <c r="CJ236" s="7"/>
      <c r="CK236" s="7"/>
      <c r="CL236" s="7"/>
      <c r="CM236" s="7"/>
      <c r="CN236" s="7"/>
      <c r="CO236" s="7"/>
      <c r="CP236" s="7"/>
      <c r="CQ236" s="7"/>
      <c r="CR236" s="7"/>
      <c r="CS236" s="7"/>
      <c r="CT236" s="106">
        <v>3.9</v>
      </c>
      <c r="CU236" s="12" t="s">
        <v>502</v>
      </c>
      <c r="CV236" s="276" t="str">
        <f t="shared" si="58"/>
        <v>---------</v>
      </c>
      <c r="CW236" s="290">
        <v>0.89000000000003998</v>
      </c>
      <c r="CX236" s="59">
        <v>213</v>
      </c>
      <c r="CY236" s="292" t="str">
        <f t="shared" si="59"/>
        <v>---------</v>
      </c>
      <c r="CZ236" s="7"/>
      <c r="DA236" s="7"/>
      <c r="DB236" s="7"/>
      <c r="DC236" s="106">
        <v>3.9</v>
      </c>
      <c r="DD236" s="12" t="s">
        <v>502</v>
      </c>
      <c r="DE236" s="276" t="str">
        <f t="shared" si="60"/>
        <v>---------</v>
      </c>
      <c r="DF236" s="290">
        <v>0.89000000000003998</v>
      </c>
      <c r="DG236" s="59">
        <v>213</v>
      </c>
      <c r="DH236" s="292" t="str">
        <f t="shared" si="61"/>
        <v>---------</v>
      </c>
      <c r="DI236" s="7"/>
      <c r="DJ236" s="7"/>
      <c r="DK236" s="7"/>
      <c r="DL236" s="7"/>
      <c r="FR236" s="12"/>
      <c r="FS236" s="7">
        <v>213</v>
      </c>
      <c r="FT236" s="12">
        <v>28.9</v>
      </c>
    </row>
    <row r="237" spans="20:176">
      <c r="T237" s="7"/>
      <c r="U237" s="7"/>
      <c r="V237" s="43"/>
      <c r="W237" s="7"/>
      <c r="X237" s="7"/>
      <c r="Y237" s="7"/>
      <c r="Z237" s="7"/>
      <c r="AA237" s="7"/>
      <c r="AB237" s="7"/>
      <c r="AC237" s="7"/>
      <c r="AD237" s="7"/>
      <c r="AE237" s="7"/>
      <c r="AF237" s="7"/>
      <c r="AG237" s="7"/>
      <c r="AH237" s="7"/>
      <c r="AI237" s="7"/>
      <c r="AJ237" s="7"/>
      <c r="AK237" s="7"/>
      <c r="AL237" s="7"/>
      <c r="AM237" s="7"/>
      <c r="AN237" s="7"/>
      <c r="AO237" s="7"/>
      <c r="AP237" s="7"/>
      <c r="AQ237" s="7"/>
      <c r="AR237" s="7"/>
      <c r="AS237" s="7"/>
      <c r="AT237" s="7"/>
      <c r="AU237" s="7"/>
      <c r="AV237" s="7"/>
      <c r="AW237" s="7"/>
      <c r="AX237" s="7"/>
      <c r="AY237" s="7"/>
      <c r="AZ237" s="7"/>
      <c r="BA237" s="7"/>
      <c r="BB237" s="7"/>
      <c r="BC237" s="7"/>
      <c r="BD237" s="7"/>
      <c r="BE237" s="7"/>
      <c r="BF237" s="7"/>
      <c r="BG237" s="7"/>
      <c r="BH237" s="7"/>
      <c r="BI237" s="7"/>
      <c r="BJ237" s="7"/>
      <c r="BK237" s="7"/>
      <c r="BL237" s="7"/>
      <c r="BM237" s="7"/>
      <c r="BN237" s="7"/>
      <c r="BO237" s="7"/>
      <c r="BP237" s="7"/>
      <c r="BQ237" s="7"/>
      <c r="BR237" s="7"/>
      <c r="BS237" s="7"/>
      <c r="BT237" s="7"/>
      <c r="BU237" s="7"/>
      <c r="BV237" s="7"/>
      <c r="BW237" s="7"/>
      <c r="BX237" s="7"/>
      <c r="BY237" s="7"/>
      <c r="BZ237" s="7"/>
      <c r="CA237" s="7"/>
      <c r="CB237" s="7"/>
      <c r="CC237" s="7"/>
      <c r="CD237" s="7"/>
      <c r="CE237" s="7"/>
      <c r="CF237" s="7"/>
      <c r="CG237" s="7"/>
      <c r="CH237" s="7"/>
      <c r="CI237" s="7"/>
      <c r="CJ237" s="7"/>
      <c r="CK237" s="7"/>
      <c r="CL237" s="7"/>
      <c r="CM237" s="7"/>
      <c r="CN237" s="7"/>
      <c r="CO237" s="7"/>
      <c r="CP237" s="7"/>
      <c r="CQ237" s="7"/>
      <c r="CR237" s="7"/>
      <c r="CS237" s="7"/>
      <c r="CT237" s="106">
        <v>3.8</v>
      </c>
      <c r="CU237" s="12" t="s">
        <v>503</v>
      </c>
      <c r="CV237" s="276" t="str">
        <f t="shared" si="58"/>
        <v>---------</v>
      </c>
      <c r="CW237" s="290">
        <v>0.88000000000003997</v>
      </c>
      <c r="CX237" s="59">
        <v>214</v>
      </c>
      <c r="CY237" s="292" t="str">
        <f t="shared" si="59"/>
        <v>---------</v>
      </c>
      <c r="CZ237" s="7"/>
      <c r="DA237" s="7"/>
      <c r="DB237" s="7"/>
      <c r="DC237" s="106">
        <v>3.8</v>
      </c>
      <c r="DD237" s="12" t="s">
        <v>503</v>
      </c>
      <c r="DE237" s="276" t="str">
        <f t="shared" si="60"/>
        <v>---------</v>
      </c>
      <c r="DF237" s="290">
        <v>0.88000000000003997</v>
      </c>
      <c r="DG237" s="59">
        <v>214</v>
      </c>
      <c r="DH237" s="292" t="str">
        <f t="shared" si="61"/>
        <v>---------</v>
      </c>
      <c r="DI237" s="7"/>
      <c r="DJ237" s="7"/>
      <c r="DK237" s="7"/>
      <c r="DL237" s="7"/>
      <c r="FR237" s="12"/>
      <c r="FS237" s="7">
        <v>214</v>
      </c>
      <c r="FT237" s="12">
        <v>28.8</v>
      </c>
    </row>
    <row r="238" spans="20:176">
      <c r="T238" s="7"/>
      <c r="U238" s="7"/>
      <c r="V238" s="43"/>
      <c r="W238" s="7"/>
      <c r="X238" s="7"/>
      <c r="Y238" s="7"/>
      <c r="Z238" s="7"/>
      <c r="AA238" s="7"/>
      <c r="AB238" s="7"/>
      <c r="AC238" s="7"/>
      <c r="AD238" s="7"/>
      <c r="AE238" s="7"/>
      <c r="AF238" s="7"/>
      <c r="AG238" s="7"/>
      <c r="AH238" s="7"/>
      <c r="AI238" s="7"/>
      <c r="AJ238" s="7"/>
      <c r="AK238" s="7"/>
      <c r="AL238" s="7"/>
      <c r="AM238" s="7"/>
      <c r="AN238" s="7"/>
      <c r="AO238" s="7"/>
      <c r="AP238" s="7"/>
      <c r="AQ238" s="7"/>
      <c r="AR238" s="7"/>
      <c r="AS238" s="7"/>
      <c r="AT238" s="7"/>
      <c r="AU238" s="7"/>
      <c r="AV238" s="7"/>
      <c r="AW238" s="7"/>
      <c r="AX238" s="7"/>
      <c r="AY238" s="7"/>
      <c r="AZ238" s="7"/>
      <c r="BA238" s="7"/>
      <c r="BB238" s="7"/>
      <c r="BC238" s="7"/>
      <c r="BD238" s="7"/>
      <c r="BE238" s="7"/>
      <c r="BF238" s="7"/>
      <c r="BG238" s="7"/>
      <c r="BH238" s="7"/>
      <c r="BI238" s="7"/>
      <c r="BJ238" s="7"/>
      <c r="BK238" s="7"/>
      <c r="BL238" s="7"/>
      <c r="BM238" s="7"/>
      <c r="BN238" s="7"/>
      <c r="BO238" s="7"/>
      <c r="BP238" s="7"/>
      <c r="BQ238" s="7"/>
      <c r="BR238" s="7"/>
      <c r="BS238" s="7"/>
      <c r="BT238" s="7"/>
      <c r="BU238" s="7"/>
      <c r="BV238" s="7"/>
      <c r="BW238" s="7"/>
      <c r="BX238" s="7"/>
      <c r="BY238" s="7"/>
      <c r="BZ238" s="7"/>
      <c r="CA238" s="7"/>
      <c r="CB238" s="7"/>
      <c r="CC238" s="7"/>
      <c r="CD238" s="7"/>
      <c r="CE238" s="7"/>
      <c r="CF238" s="7"/>
      <c r="CG238" s="7"/>
      <c r="CH238" s="7"/>
      <c r="CI238" s="7"/>
      <c r="CJ238" s="7"/>
      <c r="CK238" s="7"/>
      <c r="CL238" s="7"/>
      <c r="CM238" s="7"/>
      <c r="CN238" s="7"/>
      <c r="CO238" s="7"/>
      <c r="CP238" s="7"/>
      <c r="CQ238" s="7"/>
      <c r="CR238" s="7"/>
      <c r="CS238" s="7"/>
      <c r="CT238" s="106">
        <v>3.7</v>
      </c>
      <c r="CU238" s="12" t="s">
        <v>504</v>
      </c>
      <c r="CV238" s="276" t="str">
        <f t="shared" si="58"/>
        <v>---------</v>
      </c>
      <c r="CW238" s="290">
        <v>0.87000000000003996</v>
      </c>
      <c r="CX238" s="59">
        <v>215</v>
      </c>
      <c r="CY238" s="292" t="str">
        <f t="shared" si="59"/>
        <v>---------</v>
      </c>
      <c r="CZ238" s="7"/>
      <c r="DA238" s="7"/>
      <c r="DB238" s="7"/>
      <c r="DC238" s="106">
        <v>3.7</v>
      </c>
      <c r="DD238" s="12" t="s">
        <v>504</v>
      </c>
      <c r="DE238" s="276" t="str">
        <f t="shared" si="60"/>
        <v>---------</v>
      </c>
      <c r="DF238" s="290">
        <v>0.87000000000003996</v>
      </c>
      <c r="DG238" s="59">
        <v>215</v>
      </c>
      <c r="DH238" s="292" t="str">
        <f t="shared" si="61"/>
        <v>---------</v>
      </c>
      <c r="DI238" s="7"/>
      <c r="DJ238" s="7"/>
      <c r="DK238" s="7"/>
      <c r="DL238" s="7"/>
      <c r="FR238" s="12"/>
      <c r="FS238" s="7">
        <v>215</v>
      </c>
      <c r="FT238" s="12">
        <v>28.7</v>
      </c>
    </row>
    <row r="239" spans="20:176">
      <c r="T239" s="7"/>
      <c r="U239" s="7"/>
      <c r="V239" s="43"/>
      <c r="W239" s="7"/>
      <c r="X239" s="7"/>
      <c r="Y239" s="7"/>
      <c r="Z239" s="7"/>
      <c r="AA239" s="7"/>
      <c r="AB239" s="7"/>
      <c r="AC239" s="7"/>
      <c r="AD239" s="7"/>
      <c r="AE239" s="7"/>
      <c r="AF239" s="7"/>
      <c r="AG239" s="7"/>
      <c r="AH239" s="7"/>
      <c r="AI239" s="7"/>
      <c r="AJ239" s="7"/>
      <c r="AK239" s="7"/>
      <c r="AL239" s="7"/>
      <c r="AM239" s="7"/>
      <c r="AN239" s="7"/>
      <c r="AO239" s="7"/>
      <c r="AP239" s="7"/>
      <c r="AQ239" s="7"/>
      <c r="AR239" s="7"/>
      <c r="AS239" s="7"/>
      <c r="AT239" s="7"/>
      <c r="AU239" s="7"/>
      <c r="AV239" s="7"/>
      <c r="AW239" s="7"/>
      <c r="AX239" s="7"/>
      <c r="AY239" s="7"/>
      <c r="AZ239" s="7"/>
      <c r="BA239" s="7"/>
      <c r="BB239" s="7"/>
      <c r="BC239" s="7"/>
      <c r="BD239" s="7"/>
      <c r="BE239" s="7"/>
      <c r="BF239" s="7"/>
      <c r="BG239" s="7"/>
      <c r="BH239" s="7"/>
      <c r="BI239" s="7"/>
      <c r="BJ239" s="7"/>
      <c r="BK239" s="7"/>
      <c r="BL239" s="7"/>
      <c r="BM239" s="7"/>
      <c r="BN239" s="7"/>
      <c r="BO239" s="7"/>
      <c r="BP239" s="7"/>
      <c r="BQ239" s="7"/>
      <c r="BR239" s="7"/>
      <c r="BS239" s="7"/>
      <c r="BT239" s="7"/>
      <c r="BU239" s="7"/>
      <c r="BV239" s="7"/>
      <c r="BW239" s="7"/>
      <c r="BX239" s="7"/>
      <c r="BY239" s="7"/>
      <c r="BZ239" s="7"/>
      <c r="CA239" s="7"/>
      <c r="CB239" s="7"/>
      <c r="CC239" s="7"/>
      <c r="CD239" s="7"/>
      <c r="CE239" s="7"/>
      <c r="CF239" s="7"/>
      <c r="CG239" s="7"/>
      <c r="CH239" s="7"/>
      <c r="CI239" s="7"/>
      <c r="CJ239" s="7"/>
      <c r="CK239" s="7"/>
      <c r="CL239" s="7"/>
      <c r="CM239" s="7"/>
      <c r="CN239" s="7"/>
      <c r="CO239" s="7"/>
      <c r="CP239" s="7"/>
      <c r="CQ239" s="7"/>
      <c r="CR239" s="7"/>
      <c r="CS239" s="7"/>
      <c r="CT239" s="106">
        <v>3.6</v>
      </c>
      <c r="CU239" s="12" t="s">
        <v>505</v>
      </c>
      <c r="CV239" s="276" t="str">
        <f t="shared" si="58"/>
        <v>---------</v>
      </c>
      <c r="CW239" s="290">
        <v>0.86000000000003995</v>
      </c>
      <c r="CX239" s="59">
        <v>216</v>
      </c>
      <c r="CY239" s="292" t="str">
        <f t="shared" si="59"/>
        <v>---------</v>
      </c>
      <c r="CZ239" s="7"/>
      <c r="DA239" s="7"/>
      <c r="DB239" s="7"/>
      <c r="DC239" s="106">
        <v>3.6</v>
      </c>
      <c r="DD239" s="12" t="s">
        <v>505</v>
      </c>
      <c r="DE239" s="276" t="str">
        <f t="shared" si="60"/>
        <v>---------</v>
      </c>
      <c r="DF239" s="290">
        <v>0.86000000000003995</v>
      </c>
      <c r="DG239" s="59">
        <v>216</v>
      </c>
      <c r="DH239" s="292" t="str">
        <f t="shared" si="61"/>
        <v>---------</v>
      </c>
      <c r="DI239" s="7"/>
      <c r="DJ239" s="7"/>
      <c r="DK239" s="7"/>
      <c r="DL239" s="7"/>
      <c r="FR239" s="12"/>
      <c r="FS239" s="7">
        <v>216</v>
      </c>
      <c r="FT239" s="12">
        <v>28.6</v>
      </c>
    </row>
    <row r="240" spans="20:176">
      <c r="T240" s="7"/>
      <c r="U240" s="7"/>
      <c r="V240" s="43"/>
      <c r="W240" s="7"/>
      <c r="X240" s="7"/>
      <c r="Y240" s="7"/>
      <c r="Z240" s="7"/>
      <c r="AA240" s="7"/>
      <c r="AB240" s="7"/>
      <c r="AC240" s="7"/>
      <c r="AD240" s="7"/>
      <c r="AE240" s="7"/>
      <c r="AF240" s="7"/>
      <c r="AG240" s="7"/>
      <c r="AH240" s="7"/>
      <c r="AI240" s="7"/>
      <c r="AJ240" s="7"/>
      <c r="AK240" s="7"/>
      <c r="AL240" s="7"/>
      <c r="AM240" s="7"/>
      <c r="AN240" s="7"/>
      <c r="AO240" s="7"/>
      <c r="AP240" s="7"/>
      <c r="AQ240" s="7"/>
      <c r="AR240" s="7"/>
      <c r="AS240" s="7"/>
      <c r="AT240" s="7"/>
      <c r="AU240" s="7"/>
      <c r="AV240" s="7"/>
      <c r="AW240" s="7"/>
      <c r="AX240" s="7"/>
      <c r="AY240" s="7"/>
      <c r="AZ240" s="7"/>
      <c r="BA240" s="7"/>
      <c r="BB240" s="7"/>
      <c r="BC240" s="7"/>
      <c r="BD240" s="7"/>
      <c r="BE240" s="7"/>
      <c r="BF240" s="7"/>
      <c r="BG240" s="7"/>
      <c r="BH240" s="7"/>
      <c r="BI240" s="7"/>
      <c r="BJ240" s="7"/>
      <c r="BK240" s="7"/>
      <c r="BL240" s="7"/>
      <c r="BM240" s="7"/>
      <c r="BN240" s="7"/>
      <c r="BO240" s="7"/>
      <c r="BP240" s="7"/>
      <c r="BQ240" s="7"/>
      <c r="BR240" s="7"/>
      <c r="BS240" s="7"/>
      <c r="BT240" s="7"/>
      <c r="BU240" s="7"/>
      <c r="BV240" s="7"/>
      <c r="BW240" s="7"/>
      <c r="BX240" s="7"/>
      <c r="BY240" s="7"/>
      <c r="BZ240" s="7"/>
      <c r="CA240" s="7"/>
      <c r="CB240" s="7"/>
      <c r="CC240" s="7"/>
      <c r="CD240" s="7"/>
      <c r="CE240" s="7"/>
      <c r="CF240" s="7"/>
      <c r="CG240" s="7"/>
      <c r="CH240" s="7"/>
      <c r="CI240" s="7"/>
      <c r="CJ240" s="7"/>
      <c r="CK240" s="7"/>
      <c r="CL240" s="7"/>
      <c r="CM240" s="7"/>
      <c r="CN240" s="7"/>
      <c r="CO240" s="7"/>
      <c r="CP240" s="7"/>
      <c r="CQ240" s="7"/>
      <c r="CR240" s="7"/>
      <c r="CS240" s="7"/>
      <c r="CT240" s="106">
        <v>3.5</v>
      </c>
      <c r="CU240" s="12" t="s">
        <v>506</v>
      </c>
      <c r="CV240" s="276" t="str">
        <f t="shared" si="58"/>
        <v>---------</v>
      </c>
      <c r="CW240" s="290">
        <v>0.85000000000003995</v>
      </c>
      <c r="CX240" s="59">
        <v>217</v>
      </c>
      <c r="CY240" s="292" t="str">
        <f t="shared" si="59"/>
        <v>---------</v>
      </c>
      <c r="CZ240" s="7"/>
      <c r="DA240" s="7"/>
      <c r="DB240" s="7"/>
      <c r="DC240" s="106">
        <v>3.5</v>
      </c>
      <c r="DD240" s="12" t="s">
        <v>506</v>
      </c>
      <c r="DE240" s="276" t="str">
        <f t="shared" si="60"/>
        <v>---------</v>
      </c>
      <c r="DF240" s="290">
        <v>0.85000000000003995</v>
      </c>
      <c r="DG240" s="59">
        <v>217</v>
      </c>
      <c r="DH240" s="292" t="str">
        <f t="shared" si="61"/>
        <v>---------</v>
      </c>
      <c r="DI240" s="7"/>
      <c r="DJ240" s="7"/>
      <c r="DK240" s="7"/>
      <c r="DL240" s="7"/>
      <c r="FR240" s="12"/>
      <c r="FS240" s="7">
        <v>217</v>
      </c>
      <c r="FT240" s="12">
        <v>28.5</v>
      </c>
    </row>
    <row r="241" spans="20:176">
      <c r="T241" s="7"/>
      <c r="U241" s="7"/>
      <c r="V241" s="43"/>
      <c r="W241" s="7"/>
      <c r="X241" s="7"/>
      <c r="Y241" s="7"/>
      <c r="Z241" s="7"/>
      <c r="AA241" s="7"/>
      <c r="AB241" s="7"/>
      <c r="AC241" s="7"/>
      <c r="AD241" s="7"/>
      <c r="AE241" s="7"/>
      <c r="AF241" s="7"/>
      <c r="AG241" s="7"/>
      <c r="AH241" s="7"/>
      <c r="AI241" s="7"/>
      <c r="AJ241" s="7"/>
      <c r="AK241" s="7"/>
      <c r="AL241" s="7"/>
      <c r="AM241" s="7"/>
      <c r="AN241" s="7"/>
      <c r="AO241" s="7"/>
      <c r="AP241" s="7"/>
      <c r="AQ241" s="7"/>
      <c r="AR241" s="7"/>
      <c r="AS241" s="7"/>
      <c r="AT241" s="7"/>
      <c r="AU241" s="7"/>
      <c r="AV241" s="7"/>
      <c r="AW241" s="7"/>
      <c r="AX241" s="7"/>
      <c r="AY241" s="7"/>
      <c r="AZ241" s="7"/>
      <c r="BA241" s="7"/>
      <c r="BB241" s="7"/>
      <c r="BC241" s="7"/>
      <c r="BD241" s="7"/>
      <c r="BE241" s="7"/>
      <c r="BF241" s="7"/>
      <c r="BG241" s="7"/>
      <c r="BH241" s="7"/>
      <c r="BI241" s="7"/>
      <c r="BJ241" s="7"/>
      <c r="BK241" s="7"/>
      <c r="BL241" s="7"/>
      <c r="BM241" s="7"/>
      <c r="BN241" s="7"/>
      <c r="BO241" s="7"/>
      <c r="BP241" s="7"/>
      <c r="BQ241" s="7"/>
      <c r="BR241" s="7"/>
      <c r="BS241" s="7"/>
      <c r="BT241" s="7"/>
      <c r="BU241" s="7"/>
      <c r="BV241" s="7"/>
      <c r="BW241" s="7"/>
      <c r="BX241" s="7"/>
      <c r="BY241" s="7"/>
      <c r="BZ241" s="7"/>
      <c r="CA241" s="7"/>
      <c r="CB241" s="7"/>
      <c r="CC241" s="7"/>
      <c r="CD241" s="7"/>
      <c r="CE241" s="7"/>
      <c r="CF241" s="7"/>
      <c r="CG241" s="7"/>
      <c r="CH241" s="7"/>
      <c r="CI241" s="7"/>
      <c r="CJ241" s="7"/>
      <c r="CK241" s="7"/>
      <c r="CL241" s="7"/>
      <c r="CM241" s="7"/>
      <c r="CN241" s="7"/>
      <c r="CO241" s="7"/>
      <c r="CP241" s="7"/>
      <c r="CQ241" s="7"/>
      <c r="CR241" s="7"/>
      <c r="CS241" s="7"/>
      <c r="CT241" s="106">
        <v>3.4</v>
      </c>
      <c r="CU241" s="12" t="s">
        <v>507</v>
      </c>
      <c r="CV241" s="276" t="str">
        <f t="shared" si="58"/>
        <v>---------</v>
      </c>
      <c r="CW241" s="290">
        <v>0.84000000000004005</v>
      </c>
      <c r="CX241" s="59">
        <v>218</v>
      </c>
      <c r="CY241" s="292" t="str">
        <f t="shared" si="59"/>
        <v>---------</v>
      </c>
      <c r="CZ241" s="7"/>
      <c r="DA241" s="7"/>
      <c r="DB241" s="7"/>
      <c r="DC241" s="106">
        <v>3.4</v>
      </c>
      <c r="DD241" s="12" t="s">
        <v>507</v>
      </c>
      <c r="DE241" s="276" t="str">
        <f t="shared" si="60"/>
        <v>---------</v>
      </c>
      <c r="DF241" s="290">
        <v>0.84000000000004005</v>
      </c>
      <c r="DG241" s="59">
        <v>218</v>
      </c>
      <c r="DH241" s="292" t="str">
        <f t="shared" si="61"/>
        <v>---------</v>
      </c>
      <c r="DI241" s="7"/>
      <c r="DJ241" s="7"/>
      <c r="DK241" s="7"/>
      <c r="DL241" s="7"/>
      <c r="FR241" s="12"/>
      <c r="FS241" s="7">
        <v>218</v>
      </c>
      <c r="FT241" s="12">
        <v>28.4</v>
      </c>
    </row>
    <row r="242" spans="20:176">
      <c r="T242" s="7"/>
      <c r="U242" s="7"/>
      <c r="V242" s="43"/>
      <c r="W242" s="7"/>
      <c r="X242" s="7"/>
      <c r="Y242" s="7"/>
      <c r="Z242" s="7"/>
      <c r="AA242" s="7"/>
      <c r="AB242" s="7"/>
      <c r="AC242" s="7"/>
      <c r="AD242" s="7"/>
      <c r="AE242" s="7"/>
      <c r="AF242" s="7"/>
      <c r="AG242" s="7"/>
      <c r="AH242" s="7"/>
      <c r="AI242" s="7"/>
      <c r="AJ242" s="7"/>
      <c r="AK242" s="7"/>
      <c r="AL242" s="7"/>
      <c r="AM242" s="7"/>
      <c r="AN242" s="7"/>
      <c r="AO242" s="7"/>
      <c r="AP242" s="7"/>
      <c r="AQ242" s="7"/>
      <c r="AR242" s="7"/>
      <c r="AS242" s="7"/>
      <c r="AT242" s="7"/>
      <c r="AU242" s="7"/>
      <c r="AV242" s="7"/>
      <c r="AW242" s="7"/>
      <c r="AX242" s="7"/>
      <c r="AY242" s="7"/>
      <c r="AZ242" s="7"/>
      <c r="BA242" s="7"/>
      <c r="BB242" s="7"/>
      <c r="BC242" s="7"/>
      <c r="BD242" s="7"/>
      <c r="BE242" s="7"/>
      <c r="BF242" s="7"/>
      <c r="BG242" s="7"/>
      <c r="BH242" s="7"/>
      <c r="BI242" s="7"/>
      <c r="BJ242" s="7"/>
      <c r="BK242" s="7"/>
      <c r="BL242" s="7"/>
      <c r="BM242" s="7"/>
      <c r="BN242" s="7"/>
      <c r="BO242" s="7"/>
      <c r="BP242" s="7"/>
      <c r="BQ242" s="7"/>
      <c r="BR242" s="7"/>
      <c r="BS242" s="7"/>
      <c r="BT242" s="7"/>
      <c r="BU242" s="7"/>
      <c r="BV242" s="7"/>
      <c r="BW242" s="7"/>
      <c r="BX242" s="7"/>
      <c r="BY242" s="7"/>
      <c r="BZ242" s="7"/>
      <c r="CA242" s="7"/>
      <c r="CB242" s="7"/>
      <c r="CC242" s="7"/>
      <c r="CD242" s="7"/>
      <c r="CE242" s="7"/>
      <c r="CF242" s="7"/>
      <c r="CG242" s="7"/>
      <c r="CH242" s="7"/>
      <c r="CI242" s="7"/>
      <c r="CJ242" s="7"/>
      <c r="CK242" s="7"/>
      <c r="CL242" s="7"/>
      <c r="CM242" s="7"/>
      <c r="CN242" s="7"/>
      <c r="CO242" s="7"/>
      <c r="CP242" s="7"/>
      <c r="CQ242" s="7"/>
      <c r="CR242" s="7"/>
      <c r="CS242" s="7"/>
      <c r="CT242" s="106">
        <v>3.3</v>
      </c>
      <c r="CU242" s="12" t="s">
        <v>508</v>
      </c>
      <c r="CV242" s="276" t="str">
        <f t="shared" si="58"/>
        <v>---------</v>
      </c>
      <c r="CW242" s="290">
        <v>0.83000000000004004</v>
      </c>
      <c r="CX242" s="59">
        <v>219</v>
      </c>
      <c r="CY242" s="292" t="str">
        <f t="shared" si="59"/>
        <v>---------</v>
      </c>
      <c r="CZ242" s="7"/>
      <c r="DA242" s="7"/>
      <c r="DB242" s="7"/>
      <c r="DC242" s="106">
        <v>3.3</v>
      </c>
      <c r="DD242" s="12" t="s">
        <v>508</v>
      </c>
      <c r="DE242" s="276" t="str">
        <f t="shared" si="60"/>
        <v>---------</v>
      </c>
      <c r="DF242" s="290">
        <v>0.83000000000004004</v>
      </c>
      <c r="DG242" s="59">
        <v>219</v>
      </c>
      <c r="DH242" s="292" t="str">
        <f t="shared" si="61"/>
        <v>---------</v>
      </c>
      <c r="DI242" s="7"/>
      <c r="DJ242" s="7"/>
      <c r="DK242" s="7"/>
      <c r="DL242" s="7"/>
      <c r="FR242" s="12"/>
      <c r="FS242" s="7">
        <v>219</v>
      </c>
      <c r="FT242" s="12">
        <v>28.3</v>
      </c>
    </row>
    <row r="243" spans="20:176">
      <c r="T243" s="7"/>
      <c r="U243" s="7"/>
      <c r="V243" s="43"/>
      <c r="W243" s="7"/>
      <c r="X243" s="7"/>
      <c r="Y243" s="7"/>
      <c r="Z243" s="7"/>
      <c r="AA243" s="7"/>
      <c r="AB243" s="7"/>
      <c r="AC243" s="7"/>
      <c r="AD243" s="7"/>
      <c r="AE243" s="7"/>
      <c r="AF243" s="7"/>
      <c r="AG243" s="7"/>
      <c r="AH243" s="7"/>
      <c r="AI243" s="7"/>
      <c r="AJ243" s="7"/>
      <c r="AK243" s="7"/>
      <c r="AL243" s="7"/>
      <c r="AM243" s="7"/>
      <c r="AN243" s="7"/>
      <c r="AO243" s="7"/>
      <c r="AP243" s="7"/>
      <c r="AQ243" s="7"/>
      <c r="AR243" s="7"/>
      <c r="AS243" s="7"/>
      <c r="AT243" s="7"/>
      <c r="AU243" s="7"/>
      <c r="AV243" s="7"/>
      <c r="AW243" s="7"/>
      <c r="AX243" s="7"/>
      <c r="AY243" s="7"/>
      <c r="AZ243" s="7"/>
      <c r="BA243" s="7"/>
      <c r="BB243" s="7"/>
      <c r="BC243" s="7"/>
      <c r="BD243" s="7"/>
      <c r="BE243" s="7"/>
      <c r="BF243" s="7"/>
      <c r="BG243" s="7"/>
      <c r="BH243" s="7"/>
      <c r="BI243" s="7"/>
      <c r="BJ243" s="7"/>
      <c r="BK243" s="7"/>
      <c r="BL243" s="7"/>
      <c r="BM243" s="7"/>
      <c r="BN243" s="7"/>
      <c r="BO243" s="7"/>
      <c r="BP243" s="7"/>
      <c r="BQ243" s="7"/>
      <c r="BR243" s="7"/>
      <c r="BS243" s="7"/>
      <c r="BT243" s="7"/>
      <c r="BU243" s="7"/>
      <c r="BV243" s="7"/>
      <c r="BW243" s="7"/>
      <c r="BX243" s="7"/>
      <c r="BY243" s="7"/>
      <c r="BZ243" s="7"/>
      <c r="CA243" s="7"/>
      <c r="CB243" s="7"/>
      <c r="CC243" s="7"/>
      <c r="CD243" s="7"/>
      <c r="CE243" s="7"/>
      <c r="CF243" s="7"/>
      <c r="CG243" s="7"/>
      <c r="CH243" s="7"/>
      <c r="CI243" s="7"/>
      <c r="CJ243" s="7"/>
      <c r="CK243" s="7"/>
      <c r="CL243" s="7"/>
      <c r="CM243" s="7"/>
      <c r="CN243" s="7"/>
      <c r="CO243" s="7"/>
      <c r="CP243" s="7"/>
      <c r="CQ243" s="7"/>
      <c r="CR243" s="7"/>
      <c r="CS243" s="7"/>
      <c r="CT243" s="106">
        <v>3.2</v>
      </c>
      <c r="CU243" s="12" t="s">
        <v>509</v>
      </c>
      <c r="CV243" s="276" t="str">
        <f t="shared" si="58"/>
        <v>---------</v>
      </c>
      <c r="CW243" s="290">
        <v>0.82000000000004003</v>
      </c>
      <c r="CX243" s="59">
        <v>220</v>
      </c>
      <c r="CY243" s="292" t="str">
        <f t="shared" si="59"/>
        <v>---------</v>
      </c>
      <c r="CZ243" s="7"/>
      <c r="DA243" s="7"/>
      <c r="DB243" s="7"/>
      <c r="DC243" s="106">
        <v>3.2</v>
      </c>
      <c r="DD243" s="12" t="s">
        <v>509</v>
      </c>
      <c r="DE243" s="276" t="str">
        <f t="shared" si="60"/>
        <v>---------</v>
      </c>
      <c r="DF243" s="290">
        <v>0.82000000000004003</v>
      </c>
      <c r="DG243" s="59">
        <v>220</v>
      </c>
      <c r="DH243" s="292" t="str">
        <f t="shared" si="61"/>
        <v>---------</v>
      </c>
      <c r="DI243" s="7"/>
      <c r="DJ243" s="7"/>
      <c r="DK243" s="7"/>
      <c r="DL243" s="7"/>
      <c r="FR243" s="12"/>
      <c r="FS243" s="7">
        <v>220</v>
      </c>
      <c r="FT243" s="12">
        <v>28.2</v>
      </c>
    </row>
    <row r="244" spans="20:176">
      <c r="T244" s="7"/>
      <c r="U244" s="7"/>
      <c r="V244" s="43"/>
      <c r="W244" s="7"/>
      <c r="X244" s="7"/>
      <c r="Y244" s="7"/>
      <c r="Z244" s="7"/>
      <c r="AA244" s="7"/>
      <c r="AB244" s="7"/>
      <c r="AC244" s="7"/>
      <c r="AD244" s="7"/>
      <c r="AE244" s="7"/>
      <c r="AF244" s="7"/>
      <c r="AG244" s="7"/>
      <c r="AH244" s="7"/>
      <c r="AI244" s="7"/>
      <c r="AJ244" s="7"/>
      <c r="AK244" s="7"/>
      <c r="AL244" s="7"/>
      <c r="AM244" s="7"/>
      <c r="AN244" s="7"/>
      <c r="AO244" s="7"/>
      <c r="AP244" s="7"/>
      <c r="AQ244" s="7"/>
      <c r="AR244" s="7"/>
      <c r="AS244" s="7"/>
      <c r="AT244" s="7"/>
      <c r="AU244" s="7"/>
      <c r="AV244" s="7"/>
      <c r="AW244" s="7"/>
      <c r="AX244" s="7"/>
      <c r="AY244" s="7"/>
      <c r="AZ244" s="7"/>
      <c r="BA244" s="7"/>
      <c r="BB244" s="7"/>
      <c r="BC244" s="7"/>
      <c r="BD244" s="7"/>
      <c r="BE244" s="7"/>
      <c r="BF244" s="7"/>
      <c r="BG244" s="7"/>
      <c r="BH244" s="7"/>
      <c r="BI244" s="7"/>
      <c r="BJ244" s="7"/>
      <c r="BK244" s="7"/>
      <c r="BL244" s="7"/>
      <c r="BM244" s="7"/>
      <c r="BN244" s="7"/>
      <c r="BO244" s="7"/>
      <c r="BP244" s="7"/>
      <c r="BQ244" s="7"/>
      <c r="BR244" s="7"/>
      <c r="BS244" s="7"/>
      <c r="BT244" s="7"/>
      <c r="BU244" s="7"/>
      <c r="BV244" s="7"/>
      <c r="BW244" s="7"/>
      <c r="BX244" s="7"/>
      <c r="BY244" s="7"/>
      <c r="BZ244" s="7"/>
      <c r="CA244" s="7"/>
      <c r="CB244" s="7"/>
      <c r="CC244" s="7"/>
      <c r="CD244" s="7"/>
      <c r="CE244" s="7"/>
      <c r="CF244" s="7"/>
      <c r="CG244" s="7"/>
      <c r="CH244" s="7"/>
      <c r="CI244" s="7"/>
      <c r="CJ244" s="7"/>
      <c r="CK244" s="7"/>
      <c r="CL244" s="7"/>
      <c r="CM244" s="7"/>
      <c r="CN244" s="7"/>
      <c r="CO244" s="7"/>
      <c r="CP244" s="7"/>
      <c r="CQ244" s="7"/>
      <c r="CR244" s="7"/>
      <c r="CS244" s="7"/>
      <c r="CT244" s="106">
        <v>3.1</v>
      </c>
      <c r="CU244" s="12" t="s">
        <v>510</v>
      </c>
      <c r="CV244" s="276" t="str">
        <f t="shared" si="58"/>
        <v>---------</v>
      </c>
      <c r="CW244" s="290">
        <v>0.81000000000004002</v>
      </c>
      <c r="CX244" s="59">
        <v>221</v>
      </c>
      <c r="CY244" s="292" t="str">
        <f t="shared" si="59"/>
        <v>---------</v>
      </c>
      <c r="CZ244" s="7"/>
      <c r="DA244" s="7"/>
      <c r="DB244" s="7"/>
      <c r="DC244" s="106">
        <v>3.1</v>
      </c>
      <c r="DD244" s="12" t="s">
        <v>510</v>
      </c>
      <c r="DE244" s="276" t="str">
        <f t="shared" si="60"/>
        <v>---------</v>
      </c>
      <c r="DF244" s="290">
        <v>0.81000000000004002</v>
      </c>
      <c r="DG244" s="59">
        <v>221</v>
      </c>
      <c r="DH244" s="292" t="str">
        <f t="shared" si="61"/>
        <v>---------</v>
      </c>
      <c r="DI244" s="7"/>
      <c r="DJ244" s="7"/>
      <c r="DK244" s="7"/>
      <c r="DL244" s="7"/>
      <c r="FR244" s="12"/>
      <c r="FS244" s="7">
        <v>221</v>
      </c>
      <c r="FT244" s="12">
        <v>28.1</v>
      </c>
    </row>
    <row r="245" spans="20:176">
      <c r="T245" s="7"/>
      <c r="U245" s="7"/>
      <c r="V245" s="43"/>
      <c r="W245" s="7"/>
      <c r="X245" s="7"/>
      <c r="Y245" s="7"/>
      <c r="Z245" s="7"/>
      <c r="AA245" s="7"/>
      <c r="AB245" s="7"/>
      <c r="AC245" s="7"/>
      <c r="AD245" s="7"/>
      <c r="AE245" s="7"/>
      <c r="AF245" s="7"/>
      <c r="AG245" s="7"/>
      <c r="AH245" s="7"/>
      <c r="AI245" s="7"/>
      <c r="AJ245" s="7"/>
      <c r="AK245" s="7"/>
      <c r="AL245" s="7"/>
      <c r="AM245" s="7"/>
      <c r="AN245" s="7"/>
      <c r="AO245" s="7"/>
      <c r="AP245" s="7"/>
      <c r="AQ245" s="7"/>
      <c r="AR245" s="7"/>
      <c r="AS245" s="7"/>
      <c r="AT245" s="7"/>
      <c r="AU245" s="7"/>
      <c r="AV245" s="7"/>
      <c r="AW245" s="7"/>
      <c r="AX245" s="7"/>
      <c r="AY245" s="7"/>
      <c r="AZ245" s="7"/>
      <c r="BA245" s="7"/>
      <c r="BB245" s="7"/>
      <c r="BC245" s="7"/>
      <c r="BD245" s="7"/>
      <c r="BE245" s="7"/>
      <c r="BF245" s="7"/>
      <c r="BG245" s="7"/>
      <c r="BH245" s="7"/>
      <c r="BI245" s="7"/>
      <c r="BJ245" s="7"/>
      <c r="BK245" s="7"/>
      <c r="BL245" s="7"/>
      <c r="BM245" s="7"/>
      <c r="BN245" s="7"/>
      <c r="BO245" s="7"/>
      <c r="BP245" s="7"/>
      <c r="BQ245" s="7"/>
      <c r="BR245" s="7"/>
      <c r="BS245" s="7"/>
      <c r="BT245" s="7"/>
      <c r="BU245" s="7"/>
      <c r="BV245" s="7"/>
      <c r="BW245" s="7"/>
      <c r="BX245" s="7"/>
      <c r="BY245" s="7"/>
      <c r="BZ245" s="7"/>
      <c r="CA245" s="7"/>
      <c r="CB245" s="7"/>
      <c r="CC245" s="7"/>
      <c r="CD245" s="7"/>
      <c r="CE245" s="7"/>
      <c r="CF245" s="7"/>
      <c r="CG245" s="7"/>
      <c r="CH245" s="7"/>
      <c r="CI245" s="7"/>
      <c r="CJ245" s="7"/>
      <c r="CK245" s="7"/>
      <c r="CL245" s="7"/>
      <c r="CM245" s="7"/>
      <c r="CN245" s="7"/>
      <c r="CO245" s="7"/>
      <c r="CP245" s="7"/>
      <c r="CQ245" s="7"/>
      <c r="CR245" s="7"/>
      <c r="CS245" s="7"/>
      <c r="CT245" s="106">
        <v>3</v>
      </c>
      <c r="CU245" s="12" t="s">
        <v>511</v>
      </c>
      <c r="CV245" s="276" t="str">
        <f t="shared" si="58"/>
        <v>---------</v>
      </c>
      <c r="CW245" s="290">
        <v>0.80000000000004001</v>
      </c>
      <c r="CX245" s="59">
        <v>222</v>
      </c>
      <c r="CY245" s="292" t="str">
        <f t="shared" si="59"/>
        <v>---------</v>
      </c>
      <c r="CZ245" s="7"/>
      <c r="DA245" s="7"/>
      <c r="DB245" s="7"/>
      <c r="DC245" s="106">
        <v>3</v>
      </c>
      <c r="DD245" s="12" t="s">
        <v>511</v>
      </c>
      <c r="DE245" s="276" t="str">
        <f t="shared" si="60"/>
        <v>---------</v>
      </c>
      <c r="DF245" s="290">
        <v>0.80000000000004001</v>
      </c>
      <c r="DG245" s="59">
        <v>222</v>
      </c>
      <c r="DH245" s="292" t="str">
        <f t="shared" si="61"/>
        <v>---------</v>
      </c>
      <c r="DI245" s="7"/>
      <c r="DJ245" s="7"/>
      <c r="DK245" s="7"/>
      <c r="DL245" s="7"/>
      <c r="FR245" s="12"/>
      <c r="FS245" s="7">
        <v>222</v>
      </c>
      <c r="FT245" s="12">
        <v>28</v>
      </c>
    </row>
    <row r="246" spans="20:176">
      <c r="T246" s="7"/>
      <c r="U246" s="7"/>
      <c r="V246" s="43"/>
      <c r="W246" s="7"/>
      <c r="X246" s="7"/>
      <c r="Y246" s="7"/>
      <c r="Z246" s="7"/>
      <c r="AA246" s="7"/>
      <c r="AB246" s="7"/>
      <c r="AC246" s="7"/>
      <c r="AD246" s="7"/>
      <c r="AE246" s="7"/>
      <c r="AF246" s="7"/>
      <c r="AG246" s="7"/>
      <c r="AH246" s="7"/>
      <c r="AI246" s="7"/>
      <c r="AJ246" s="7"/>
      <c r="AK246" s="7"/>
      <c r="AL246" s="7"/>
      <c r="AM246" s="7"/>
      <c r="AN246" s="7"/>
      <c r="AO246" s="7"/>
      <c r="AP246" s="7"/>
      <c r="AQ246" s="7"/>
      <c r="AR246" s="7"/>
      <c r="AS246" s="7"/>
      <c r="AT246" s="7"/>
      <c r="AU246" s="7"/>
      <c r="AV246" s="7"/>
      <c r="AW246" s="7"/>
      <c r="AX246" s="7"/>
      <c r="AY246" s="7"/>
      <c r="AZ246" s="7"/>
      <c r="BA246" s="7"/>
      <c r="BB246" s="7"/>
      <c r="BC246" s="7"/>
      <c r="BD246" s="7"/>
      <c r="BE246" s="7"/>
      <c r="BF246" s="7"/>
      <c r="BG246" s="7"/>
      <c r="BH246" s="7"/>
      <c r="BI246" s="7"/>
      <c r="BJ246" s="7"/>
      <c r="BK246" s="7"/>
      <c r="BL246" s="7"/>
      <c r="BM246" s="7"/>
      <c r="BN246" s="7"/>
      <c r="BO246" s="7"/>
      <c r="BP246" s="7"/>
      <c r="BQ246" s="7"/>
      <c r="BR246" s="7"/>
      <c r="BS246" s="7"/>
      <c r="BT246" s="7"/>
      <c r="BU246" s="7"/>
      <c r="BV246" s="7"/>
      <c r="BW246" s="7"/>
      <c r="BX246" s="7"/>
      <c r="BY246" s="7"/>
      <c r="BZ246" s="7"/>
      <c r="CA246" s="7"/>
      <c r="CB246" s="7"/>
      <c r="CC246" s="7"/>
      <c r="CD246" s="7"/>
      <c r="CE246" s="7"/>
      <c r="CF246" s="7"/>
      <c r="CG246" s="7"/>
      <c r="CH246" s="7"/>
      <c r="CI246" s="7"/>
      <c r="CJ246" s="7"/>
      <c r="CK246" s="7"/>
      <c r="CL246" s="7"/>
      <c r="CM246" s="7"/>
      <c r="CN246" s="7"/>
      <c r="CO246" s="7"/>
      <c r="CP246" s="7"/>
      <c r="CQ246" s="7"/>
      <c r="CR246" s="7"/>
      <c r="CS246" s="7"/>
      <c r="CT246" s="106">
        <v>2.9</v>
      </c>
      <c r="CU246" s="12" t="s">
        <v>512</v>
      </c>
      <c r="CV246" s="276" t="str">
        <f t="shared" si="58"/>
        <v>---------</v>
      </c>
      <c r="CW246" s="290">
        <v>0.79000000000004</v>
      </c>
      <c r="CX246" s="59">
        <v>223</v>
      </c>
      <c r="CY246" s="292" t="str">
        <f t="shared" si="59"/>
        <v>---------</v>
      </c>
      <c r="CZ246" s="7"/>
      <c r="DA246" s="7"/>
      <c r="DB246" s="7"/>
      <c r="DC246" s="106">
        <v>2.9</v>
      </c>
      <c r="DD246" s="12" t="s">
        <v>512</v>
      </c>
      <c r="DE246" s="276" t="str">
        <f t="shared" si="60"/>
        <v>---------</v>
      </c>
      <c r="DF246" s="290">
        <v>0.79000000000004</v>
      </c>
      <c r="DG246" s="59">
        <v>223</v>
      </c>
      <c r="DH246" s="292" t="str">
        <f t="shared" si="61"/>
        <v>---------</v>
      </c>
      <c r="DI246" s="7"/>
      <c r="DJ246" s="7"/>
      <c r="DK246" s="7"/>
      <c r="DL246" s="7"/>
      <c r="FR246" s="12"/>
      <c r="FS246" s="7">
        <v>223</v>
      </c>
      <c r="FT246" s="12">
        <v>27.9</v>
      </c>
    </row>
    <row r="247" spans="20:176">
      <c r="T247" s="7"/>
      <c r="U247" s="7"/>
      <c r="V247" s="43"/>
      <c r="W247" s="7"/>
      <c r="X247" s="7"/>
      <c r="Y247" s="7"/>
      <c r="Z247" s="7"/>
      <c r="AA247" s="7"/>
      <c r="AB247" s="7"/>
      <c r="AC247" s="7"/>
      <c r="AD247" s="7"/>
      <c r="AE247" s="7"/>
      <c r="AF247" s="7"/>
      <c r="AG247" s="7"/>
      <c r="AH247" s="7"/>
      <c r="AI247" s="7"/>
      <c r="AJ247" s="7"/>
      <c r="AK247" s="7"/>
      <c r="AL247" s="7"/>
      <c r="AM247" s="7"/>
      <c r="AN247" s="7"/>
      <c r="AO247" s="7"/>
      <c r="AP247" s="7"/>
      <c r="AQ247" s="7"/>
      <c r="AR247" s="7"/>
      <c r="AS247" s="7"/>
      <c r="AT247" s="7"/>
      <c r="AU247" s="7"/>
      <c r="AV247" s="7"/>
      <c r="AW247" s="7"/>
      <c r="AX247" s="7"/>
      <c r="AY247" s="7"/>
      <c r="AZ247" s="7"/>
      <c r="BA247" s="7"/>
      <c r="BB247" s="7"/>
      <c r="BC247" s="7"/>
      <c r="BD247" s="7"/>
      <c r="BE247" s="7"/>
      <c r="BF247" s="7"/>
      <c r="BG247" s="7"/>
      <c r="BH247" s="7"/>
      <c r="BI247" s="7"/>
      <c r="BJ247" s="7"/>
      <c r="BK247" s="7"/>
      <c r="BL247" s="7"/>
      <c r="BM247" s="7"/>
      <c r="BN247" s="7"/>
      <c r="BO247" s="7"/>
      <c r="BP247" s="7"/>
      <c r="BQ247" s="7"/>
      <c r="BR247" s="7"/>
      <c r="BS247" s="7"/>
      <c r="BT247" s="7"/>
      <c r="BU247" s="7"/>
      <c r="BV247" s="7"/>
      <c r="BW247" s="7"/>
      <c r="BX247" s="7"/>
      <c r="BY247" s="7"/>
      <c r="BZ247" s="7"/>
      <c r="CA247" s="7"/>
      <c r="CB247" s="7"/>
      <c r="CC247" s="7"/>
      <c r="CD247" s="7"/>
      <c r="CE247" s="7"/>
      <c r="CF247" s="7"/>
      <c r="CG247" s="7"/>
      <c r="CH247" s="7"/>
      <c r="CI247" s="7"/>
      <c r="CJ247" s="7"/>
      <c r="CK247" s="7"/>
      <c r="CL247" s="7"/>
      <c r="CM247" s="7"/>
      <c r="CN247" s="7"/>
      <c r="CO247" s="7"/>
      <c r="CP247" s="7"/>
      <c r="CQ247" s="7"/>
      <c r="CR247" s="7"/>
      <c r="CS247" s="7"/>
      <c r="CT247" s="106">
        <v>2.8</v>
      </c>
      <c r="CU247" s="12" t="s">
        <v>513</v>
      </c>
      <c r="CV247" s="276" t="str">
        <f t="shared" si="58"/>
        <v>---------</v>
      </c>
      <c r="CW247" s="290">
        <v>0.78000000000003999</v>
      </c>
      <c r="CX247" s="59">
        <v>224</v>
      </c>
      <c r="CY247" s="292" t="str">
        <f t="shared" si="59"/>
        <v>---------</v>
      </c>
      <c r="CZ247" s="7"/>
      <c r="DA247" s="7"/>
      <c r="DB247" s="7"/>
      <c r="DC247" s="106">
        <v>2.8</v>
      </c>
      <c r="DD247" s="12" t="s">
        <v>513</v>
      </c>
      <c r="DE247" s="276" t="str">
        <f t="shared" si="60"/>
        <v>---------</v>
      </c>
      <c r="DF247" s="290">
        <v>0.78000000000003999</v>
      </c>
      <c r="DG247" s="59">
        <v>224</v>
      </c>
      <c r="DH247" s="292" t="str">
        <f t="shared" si="61"/>
        <v>---------</v>
      </c>
      <c r="DI247" s="7"/>
      <c r="DJ247" s="7"/>
      <c r="DK247" s="7"/>
      <c r="DL247" s="7"/>
      <c r="FR247" s="12"/>
      <c r="FS247" s="7">
        <v>224</v>
      </c>
      <c r="FT247" s="12">
        <v>27.8</v>
      </c>
    </row>
    <row r="248" spans="20:176">
      <c r="T248" s="7"/>
      <c r="U248" s="7"/>
      <c r="V248" s="43"/>
      <c r="W248" s="7"/>
      <c r="X248" s="7"/>
      <c r="Y248" s="7"/>
      <c r="Z248" s="7"/>
      <c r="AA248" s="7"/>
      <c r="AB248" s="7"/>
      <c r="AC248" s="7"/>
      <c r="AD248" s="7"/>
      <c r="AE248" s="7"/>
      <c r="AF248" s="7"/>
      <c r="AG248" s="7"/>
      <c r="AH248" s="7"/>
      <c r="AI248" s="7"/>
      <c r="AJ248" s="7"/>
      <c r="AK248" s="7"/>
      <c r="AL248" s="7"/>
      <c r="AM248" s="7"/>
      <c r="AN248" s="7"/>
      <c r="AO248" s="7"/>
      <c r="AP248" s="7"/>
      <c r="AQ248" s="7"/>
      <c r="AR248" s="7"/>
      <c r="AS248" s="7"/>
      <c r="AT248" s="7"/>
      <c r="AU248" s="7"/>
      <c r="AV248" s="7"/>
      <c r="AW248" s="7"/>
      <c r="AX248" s="7"/>
      <c r="AY248" s="7"/>
      <c r="AZ248" s="7"/>
      <c r="BA248" s="7"/>
      <c r="BB248" s="7"/>
      <c r="BC248" s="7"/>
      <c r="BD248" s="7"/>
      <c r="BE248" s="7"/>
      <c r="BF248" s="7"/>
      <c r="BG248" s="7"/>
      <c r="BH248" s="7"/>
      <c r="BI248" s="7"/>
      <c r="BJ248" s="7"/>
      <c r="BK248" s="7"/>
      <c r="BL248" s="7"/>
      <c r="BM248" s="7"/>
      <c r="BN248" s="7"/>
      <c r="BO248" s="7"/>
      <c r="BP248" s="7"/>
      <c r="BQ248" s="7"/>
      <c r="BR248" s="7"/>
      <c r="BS248" s="7"/>
      <c r="BT248" s="7"/>
      <c r="BU248" s="7"/>
      <c r="BV248" s="7"/>
      <c r="BW248" s="7"/>
      <c r="BX248" s="7"/>
      <c r="BY248" s="7"/>
      <c r="BZ248" s="7"/>
      <c r="CA248" s="7"/>
      <c r="CB248" s="7"/>
      <c r="CC248" s="7"/>
      <c r="CD248" s="7"/>
      <c r="CE248" s="7"/>
      <c r="CF248" s="7"/>
      <c r="CG248" s="7"/>
      <c r="CH248" s="7"/>
      <c r="CI248" s="7"/>
      <c r="CJ248" s="7"/>
      <c r="CK248" s="7"/>
      <c r="CL248" s="7"/>
      <c r="CM248" s="7"/>
      <c r="CN248" s="7"/>
      <c r="CO248" s="7"/>
      <c r="CP248" s="7"/>
      <c r="CQ248" s="7"/>
      <c r="CR248" s="7"/>
      <c r="CS248" s="7"/>
      <c r="CT248" s="106">
        <v>2.7</v>
      </c>
      <c r="CU248" s="12" t="s">
        <v>514</v>
      </c>
      <c r="CV248" s="276" t="str">
        <f t="shared" si="58"/>
        <v>---------</v>
      </c>
      <c r="CW248" s="290">
        <v>0.77000000000003999</v>
      </c>
      <c r="CX248" s="59">
        <v>225</v>
      </c>
      <c r="CY248" s="292" t="str">
        <f t="shared" si="59"/>
        <v>---------</v>
      </c>
      <c r="CZ248" s="7"/>
      <c r="DA248" s="7"/>
      <c r="DB248" s="7"/>
      <c r="DC248" s="106">
        <v>2.7</v>
      </c>
      <c r="DD248" s="12" t="s">
        <v>514</v>
      </c>
      <c r="DE248" s="276" t="str">
        <f t="shared" si="60"/>
        <v>---------</v>
      </c>
      <c r="DF248" s="290">
        <v>0.77000000000003999</v>
      </c>
      <c r="DG248" s="59">
        <v>225</v>
      </c>
      <c r="DH248" s="292" t="str">
        <f t="shared" si="61"/>
        <v>---------</v>
      </c>
      <c r="DI248" s="7"/>
      <c r="DJ248" s="7"/>
      <c r="DK248" s="7"/>
      <c r="DL248" s="7"/>
      <c r="FR248" s="12"/>
      <c r="FS248" s="7">
        <v>225</v>
      </c>
      <c r="FT248" s="12">
        <v>27.7</v>
      </c>
    </row>
    <row r="249" spans="20:176">
      <c r="T249" s="7"/>
      <c r="U249" s="7"/>
      <c r="V249" s="43"/>
      <c r="W249" s="7"/>
      <c r="X249" s="7"/>
      <c r="Y249" s="7"/>
      <c r="Z249" s="7"/>
      <c r="AA249" s="7"/>
      <c r="AB249" s="7"/>
      <c r="AC249" s="7"/>
      <c r="AD249" s="7"/>
      <c r="AE249" s="7"/>
      <c r="AF249" s="7"/>
      <c r="AG249" s="7"/>
      <c r="AH249" s="7"/>
      <c r="AI249" s="7"/>
      <c r="AJ249" s="7"/>
      <c r="AK249" s="7"/>
      <c r="AL249" s="7"/>
      <c r="AM249" s="7"/>
      <c r="AN249" s="7"/>
      <c r="AO249" s="7"/>
      <c r="AP249" s="7"/>
      <c r="AQ249" s="7"/>
      <c r="AR249" s="7"/>
      <c r="AS249" s="7"/>
      <c r="AT249" s="7"/>
      <c r="AU249" s="7"/>
      <c r="AV249" s="7"/>
      <c r="AW249" s="7"/>
      <c r="AX249" s="7"/>
      <c r="AY249" s="7"/>
      <c r="AZ249" s="7"/>
      <c r="BA249" s="7"/>
      <c r="BB249" s="7"/>
      <c r="BC249" s="7"/>
      <c r="BD249" s="7"/>
      <c r="BE249" s="7"/>
      <c r="BF249" s="7"/>
      <c r="BG249" s="7"/>
      <c r="BH249" s="7"/>
      <c r="BI249" s="7"/>
      <c r="BJ249" s="7"/>
      <c r="BK249" s="7"/>
      <c r="BL249" s="7"/>
      <c r="BM249" s="7"/>
      <c r="BN249" s="7"/>
      <c r="BO249" s="7"/>
      <c r="BP249" s="7"/>
      <c r="BQ249" s="7"/>
      <c r="BR249" s="7"/>
      <c r="BS249" s="7"/>
      <c r="BT249" s="7"/>
      <c r="BU249" s="7"/>
      <c r="BV249" s="7"/>
      <c r="BW249" s="7"/>
      <c r="BX249" s="7"/>
      <c r="BY249" s="7"/>
      <c r="BZ249" s="7"/>
      <c r="CA249" s="7"/>
      <c r="CB249" s="7"/>
      <c r="CC249" s="7"/>
      <c r="CD249" s="7"/>
      <c r="CE249" s="7"/>
      <c r="CF249" s="7"/>
      <c r="CG249" s="7"/>
      <c r="CH249" s="7"/>
      <c r="CI249" s="7"/>
      <c r="CJ249" s="7"/>
      <c r="CK249" s="7"/>
      <c r="CL249" s="7"/>
      <c r="CM249" s="7"/>
      <c r="CN249" s="7"/>
      <c r="CO249" s="7"/>
      <c r="CP249" s="7"/>
      <c r="CQ249" s="7"/>
      <c r="CR249" s="7"/>
      <c r="CS249" s="7"/>
      <c r="CT249" s="106">
        <v>2.6</v>
      </c>
      <c r="CU249" s="12" t="s">
        <v>515</v>
      </c>
      <c r="CV249" s="276" t="str">
        <f t="shared" si="58"/>
        <v>---------</v>
      </c>
      <c r="CW249" s="290">
        <v>0.76000000000003998</v>
      </c>
      <c r="CX249" s="59">
        <v>226</v>
      </c>
      <c r="CY249" s="292" t="str">
        <f t="shared" si="59"/>
        <v>---------</v>
      </c>
      <c r="CZ249" s="7"/>
      <c r="DA249" s="7"/>
      <c r="DB249" s="7"/>
      <c r="DC249" s="106">
        <v>2.6</v>
      </c>
      <c r="DD249" s="12" t="s">
        <v>515</v>
      </c>
      <c r="DE249" s="276" t="str">
        <f t="shared" si="60"/>
        <v>---------</v>
      </c>
      <c r="DF249" s="290">
        <v>0.76000000000003998</v>
      </c>
      <c r="DG249" s="59">
        <v>226</v>
      </c>
      <c r="DH249" s="292" t="str">
        <f t="shared" si="61"/>
        <v>---------</v>
      </c>
      <c r="DI249" s="7"/>
      <c r="DJ249" s="7"/>
      <c r="DK249" s="7"/>
      <c r="DL249" s="7"/>
      <c r="FR249" s="12"/>
      <c r="FS249" s="7">
        <v>226</v>
      </c>
      <c r="FT249" s="12">
        <v>27.6</v>
      </c>
    </row>
    <row r="250" spans="20:176">
      <c r="T250" s="7"/>
      <c r="U250" s="7"/>
      <c r="V250" s="43"/>
      <c r="W250" s="7"/>
      <c r="X250" s="7"/>
      <c r="Y250" s="7"/>
      <c r="Z250" s="7"/>
      <c r="AA250" s="7"/>
      <c r="AB250" s="7"/>
      <c r="AC250" s="7"/>
      <c r="AD250" s="7"/>
      <c r="AE250" s="7"/>
      <c r="AF250" s="7"/>
      <c r="AG250" s="7"/>
      <c r="AH250" s="7"/>
      <c r="AI250" s="7"/>
      <c r="AJ250" s="7"/>
      <c r="AK250" s="7"/>
      <c r="AL250" s="7"/>
      <c r="AM250" s="7"/>
      <c r="AN250" s="7"/>
      <c r="AO250" s="7"/>
      <c r="AP250" s="7"/>
      <c r="AQ250" s="7"/>
      <c r="AR250" s="7"/>
      <c r="AS250" s="7"/>
      <c r="AT250" s="7"/>
      <c r="AU250" s="7"/>
      <c r="AV250" s="7"/>
      <c r="AW250" s="7"/>
      <c r="AX250" s="7"/>
      <c r="AY250" s="7"/>
      <c r="AZ250" s="7"/>
      <c r="BA250" s="7"/>
      <c r="BB250" s="7"/>
      <c r="BC250" s="7"/>
      <c r="BD250" s="7"/>
      <c r="BE250" s="7"/>
      <c r="BF250" s="7"/>
      <c r="BG250" s="7"/>
      <c r="BH250" s="7"/>
      <c r="BI250" s="7"/>
      <c r="BJ250" s="7"/>
      <c r="BK250" s="7"/>
      <c r="BL250" s="7"/>
      <c r="BM250" s="7"/>
      <c r="BN250" s="7"/>
      <c r="BO250" s="7"/>
      <c r="BP250" s="7"/>
      <c r="BQ250" s="7"/>
      <c r="BR250" s="7"/>
      <c r="BS250" s="7"/>
      <c r="BT250" s="7"/>
      <c r="BU250" s="7"/>
      <c r="BV250" s="7"/>
      <c r="BW250" s="7"/>
      <c r="BX250" s="7"/>
      <c r="BY250" s="7"/>
      <c r="BZ250" s="7"/>
      <c r="CA250" s="7"/>
      <c r="CB250" s="7"/>
      <c r="CC250" s="7"/>
      <c r="CD250" s="7"/>
      <c r="CE250" s="7"/>
      <c r="CF250" s="7"/>
      <c r="CG250" s="7"/>
      <c r="CH250" s="7"/>
      <c r="CI250" s="7"/>
      <c r="CJ250" s="7"/>
      <c r="CK250" s="7"/>
      <c r="CL250" s="7"/>
      <c r="CM250" s="7"/>
      <c r="CN250" s="7"/>
      <c r="CO250" s="7"/>
      <c r="CP250" s="7"/>
      <c r="CQ250" s="7"/>
      <c r="CR250" s="7"/>
      <c r="CS250" s="7"/>
      <c r="CT250" s="106">
        <v>2.5</v>
      </c>
      <c r="CU250" s="12" t="s">
        <v>516</v>
      </c>
      <c r="CV250" s="276" t="str">
        <f t="shared" si="58"/>
        <v>---------</v>
      </c>
      <c r="CW250" s="290">
        <v>0.75000000000003997</v>
      </c>
      <c r="CX250" s="59">
        <v>227</v>
      </c>
      <c r="CY250" s="292" t="str">
        <f t="shared" si="59"/>
        <v>---------</v>
      </c>
      <c r="CZ250" s="7"/>
      <c r="DA250" s="7"/>
      <c r="DB250" s="7"/>
      <c r="DC250" s="106">
        <v>2.5</v>
      </c>
      <c r="DD250" s="12" t="s">
        <v>516</v>
      </c>
      <c r="DE250" s="276" t="str">
        <f t="shared" si="60"/>
        <v>---------</v>
      </c>
      <c r="DF250" s="290">
        <v>0.75000000000003997</v>
      </c>
      <c r="DG250" s="59">
        <v>227</v>
      </c>
      <c r="DH250" s="292" t="str">
        <f t="shared" si="61"/>
        <v>---------</v>
      </c>
      <c r="DI250" s="7"/>
      <c r="DJ250" s="7"/>
      <c r="DK250" s="7"/>
      <c r="DL250" s="7"/>
      <c r="FR250" s="12"/>
      <c r="FS250" s="7">
        <v>227</v>
      </c>
      <c r="FT250" s="12">
        <v>27.5</v>
      </c>
    </row>
    <row r="251" spans="20:176">
      <c r="T251" s="7"/>
      <c r="U251" s="7"/>
      <c r="V251" s="43"/>
      <c r="W251" s="7"/>
      <c r="X251" s="7"/>
      <c r="Y251" s="7"/>
      <c r="Z251" s="7"/>
      <c r="AA251" s="7"/>
      <c r="AB251" s="7"/>
      <c r="AC251" s="7"/>
      <c r="AD251" s="7"/>
      <c r="AE251" s="7"/>
      <c r="AF251" s="7"/>
      <c r="AG251" s="7"/>
      <c r="AH251" s="7"/>
      <c r="AI251" s="7"/>
      <c r="AJ251" s="7"/>
      <c r="AK251" s="7"/>
      <c r="AL251" s="7"/>
      <c r="AM251" s="7"/>
      <c r="AN251" s="7"/>
      <c r="AO251" s="7"/>
      <c r="AP251" s="7"/>
      <c r="AQ251" s="7"/>
      <c r="AR251" s="7"/>
      <c r="AS251" s="7"/>
      <c r="AT251" s="7"/>
      <c r="AU251" s="7"/>
      <c r="AV251" s="7"/>
      <c r="AW251" s="7"/>
      <c r="AX251" s="7"/>
      <c r="AY251" s="7"/>
      <c r="AZ251" s="7"/>
      <c r="BA251" s="7"/>
      <c r="BB251" s="7"/>
      <c r="BC251" s="7"/>
      <c r="BD251" s="7"/>
      <c r="BE251" s="7"/>
      <c r="BF251" s="7"/>
      <c r="BG251" s="7"/>
      <c r="BH251" s="7"/>
      <c r="BI251" s="7"/>
      <c r="BJ251" s="7"/>
      <c r="BK251" s="7"/>
      <c r="BL251" s="7"/>
      <c r="BM251" s="7"/>
      <c r="BN251" s="7"/>
      <c r="BO251" s="7"/>
      <c r="BP251" s="7"/>
      <c r="BQ251" s="7"/>
      <c r="BR251" s="7"/>
      <c r="BS251" s="7"/>
      <c r="BT251" s="7"/>
      <c r="BU251" s="7"/>
      <c r="BV251" s="7"/>
      <c r="BW251" s="7"/>
      <c r="BX251" s="7"/>
      <c r="BY251" s="7"/>
      <c r="BZ251" s="7"/>
      <c r="CA251" s="7"/>
      <c r="CB251" s="7"/>
      <c r="CC251" s="7"/>
      <c r="CD251" s="7"/>
      <c r="CE251" s="7"/>
      <c r="CF251" s="7"/>
      <c r="CG251" s="7"/>
      <c r="CH251" s="7"/>
      <c r="CI251" s="7"/>
      <c r="CJ251" s="7"/>
      <c r="CK251" s="7"/>
      <c r="CL251" s="7"/>
      <c r="CM251" s="7"/>
      <c r="CN251" s="7"/>
      <c r="CO251" s="7"/>
      <c r="CP251" s="7"/>
      <c r="CQ251" s="7"/>
      <c r="CR251" s="7"/>
      <c r="CS251" s="7"/>
      <c r="CT251" s="106">
        <v>2.4</v>
      </c>
      <c r="CU251" s="12" t="s">
        <v>517</v>
      </c>
      <c r="CV251" s="276" t="str">
        <f t="shared" si="58"/>
        <v>---------</v>
      </c>
      <c r="CW251" s="290">
        <v>0.74000000000003996</v>
      </c>
      <c r="CX251" s="59">
        <v>228</v>
      </c>
      <c r="CY251" s="292" t="str">
        <f t="shared" si="59"/>
        <v>---------</v>
      </c>
      <c r="CZ251" s="7"/>
      <c r="DA251" s="7"/>
      <c r="DB251" s="7"/>
      <c r="DC251" s="106">
        <v>2.4</v>
      </c>
      <c r="DD251" s="12" t="s">
        <v>517</v>
      </c>
      <c r="DE251" s="276" t="str">
        <f t="shared" si="60"/>
        <v>---------</v>
      </c>
      <c r="DF251" s="290">
        <v>0.74000000000003996</v>
      </c>
      <c r="DG251" s="59">
        <v>228</v>
      </c>
      <c r="DH251" s="292" t="str">
        <f t="shared" si="61"/>
        <v>---------</v>
      </c>
      <c r="DI251" s="7"/>
      <c r="DJ251" s="7"/>
      <c r="DK251" s="7"/>
      <c r="DL251" s="7"/>
      <c r="FR251" s="12"/>
      <c r="FS251" s="7">
        <v>228</v>
      </c>
      <c r="FT251" s="12">
        <v>27.4</v>
      </c>
    </row>
    <row r="252" spans="20:176">
      <c r="T252" s="7"/>
      <c r="U252" s="7"/>
      <c r="V252" s="43"/>
      <c r="W252" s="7"/>
      <c r="X252" s="7"/>
      <c r="Y252" s="7"/>
      <c r="Z252" s="7"/>
      <c r="AA252" s="7"/>
      <c r="AB252" s="7"/>
      <c r="AC252" s="7"/>
      <c r="AD252" s="7"/>
      <c r="AE252" s="7"/>
      <c r="AF252" s="7"/>
      <c r="AG252" s="7"/>
      <c r="AH252" s="7"/>
      <c r="AI252" s="7"/>
      <c r="AJ252" s="7"/>
      <c r="AK252" s="7"/>
      <c r="AL252" s="7"/>
      <c r="AM252" s="7"/>
      <c r="AN252" s="7"/>
      <c r="AO252" s="7"/>
      <c r="AP252" s="7"/>
      <c r="AQ252" s="7"/>
      <c r="AR252" s="7"/>
      <c r="AS252" s="7"/>
      <c r="AT252" s="7"/>
      <c r="AU252" s="7"/>
      <c r="AV252" s="7"/>
      <c r="AW252" s="7"/>
      <c r="AX252" s="7"/>
      <c r="AY252" s="7"/>
      <c r="AZ252" s="7"/>
      <c r="BA252" s="7"/>
      <c r="BB252" s="7"/>
      <c r="BC252" s="7"/>
      <c r="BD252" s="7"/>
      <c r="BE252" s="7"/>
      <c r="BF252" s="7"/>
      <c r="BG252" s="7"/>
      <c r="BH252" s="7"/>
      <c r="BI252" s="7"/>
      <c r="BJ252" s="7"/>
      <c r="BK252" s="7"/>
      <c r="BL252" s="7"/>
      <c r="BM252" s="7"/>
      <c r="BN252" s="7"/>
      <c r="BO252" s="7"/>
      <c r="BP252" s="7"/>
      <c r="BQ252" s="7"/>
      <c r="BR252" s="7"/>
      <c r="BS252" s="7"/>
      <c r="BT252" s="7"/>
      <c r="BU252" s="7"/>
      <c r="BV252" s="7"/>
      <c r="BW252" s="7"/>
      <c r="BX252" s="7"/>
      <c r="BY252" s="7"/>
      <c r="BZ252" s="7"/>
      <c r="CA252" s="7"/>
      <c r="CB252" s="7"/>
      <c r="CC252" s="7"/>
      <c r="CD252" s="7"/>
      <c r="CE252" s="7"/>
      <c r="CF252" s="7"/>
      <c r="CG252" s="7"/>
      <c r="CH252" s="7"/>
      <c r="CI252" s="7"/>
      <c r="CJ252" s="7"/>
      <c r="CK252" s="7"/>
      <c r="CL252" s="7"/>
      <c r="CM252" s="7"/>
      <c r="CN252" s="7"/>
      <c r="CO252" s="7"/>
      <c r="CP252" s="7"/>
      <c r="CQ252" s="7"/>
      <c r="CR252" s="7"/>
      <c r="CS252" s="7"/>
      <c r="CT252" s="106">
        <v>2.2999999999999998</v>
      </c>
      <c r="CU252" s="12" t="s">
        <v>518</v>
      </c>
      <c r="CV252" s="276" t="str">
        <f t="shared" si="58"/>
        <v>---------</v>
      </c>
      <c r="CW252" s="290">
        <v>0.73000000000003995</v>
      </c>
      <c r="CX252" s="59">
        <v>229</v>
      </c>
      <c r="CY252" s="292" t="str">
        <f t="shared" si="59"/>
        <v>---------</v>
      </c>
      <c r="CZ252" s="7"/>
      <c r="DA252" s="7"/>
      <c r="DB252" s="7"/>
      <c r="DC252" s="106">
        <v>2.2999999999999998</v>
      </c>
      <c r="DD252" s="12" t="s">
        <v>518</v>
      </c>
      <c r="DE252" s="276" t="str">
        <f t="shared" si="60"/>
        <v>---------</v>
      </c>
      <c r="DF252" s="290">
        <v>0.73000000000003995</v>
      </c>
      <c r="DG252" s="59">
        <v>229</v>
      </c>
      <c r="DH252" s="292" t="str">
        <f t="shared" si="61"/>
        <v>---------</v>
      </c>
      <c r="DI252" s="7"/>
      <c r="DJ252" s="7"/>
      <c r="DK252" s="7"/>
      <c r="DL252" s="7"/>
      <c r="FR252" s="12"/>
      <c r="FS252" s="7">
        <v>229</v>
      </c>
      <c r="FT252" s="12">
        <v>27.3</v>
      </c>
    </row>
    <row r="253" spans="20:176">
      <c r="T253" s="7"/>
      <c r="U253" s="7"/>
      <c r="V253" s="43"/>
      <c r="W253" s="7"/>
      <c r="X253" s="7"/>
      <c r="Y253" s="7"/>
      <c r="Z253" s="7"/>
      <c r="AA253" s="7"/>
      <c r="AB253" s="7"/>
      <c r="AC253" s="7"/>
      <c r="AD253" s="7"/>
      <c r="AE253" s="7"/>
      <c r="AF253" s="7"/>
      <c r="AG253" s="7"/>
      <c r="AH253" s="7"/>
      <c r="AI253" s="7"/>
      <c r="AJ253" s="7"/>
      <c r="AK253" s="7"/>
      <c r="AL253" s="7"/>
      <c r="AM253" s="7"/>
      <c r="AN253" s="7"/>
      <c r="AO253" s="7"/>
      <c r="AP253" s="7"/>
      <c r="AQ253" s="7"/>
      <c r="AR253" s="7"/>
      <c r="AS253" s="7"/>
      <c r="AT253" s="7"/>
      <c r="AU253" s="7"/>
      <c r="AV253" s="7"/>
      <c r="AW253" s="7"/>
      <c r="AX253" s="7"/>
      <c r="AY253" s="7"/>
      <c r="AZ253" s="7"/>
      <c r="BA253" s="7"/>
      <c r="BB253" s="7"/>
      <c r="BC253" s="7"/>
      <c r="BD253" s="7"/>
      <c r="BE253" s="7"/>
      <c r="BF253" s="7"/>
      <c r="BG253" s="7"/>
      <c r="BH253" s="7"/>
      <c r="BI253" s="7"/>
      <c r="BJ253" s="7"/>
      <c r="BK253" s="7"/>
      <c r="BL253" s="7"/>
      <c r="BM253" s="7"/>
      <c r="BN253" s="7"/>
      <c r="BO253" s="7"/>
      <c r="BP253" s="7"/>
      <c r="BQ253" s="7"/>
      <c r="BR253" s="7"/>
      <c r="BS253" s="7"/>
      <c r="BT253" s="7"/>
      <c r="BU253" s="7"/>
      <c r="BV253" s="7"/>
      <c r="BW253" s="7"/>
      <c r="BX253" s="7"/>
      <c r="BY253" s="7"/>
      <c r="BZ253" s="7"/>
      <c r="CA253" s="7"/>
      <c r="CB253" s="7"/>
      <c r="CC253" s="7"/>
      <c r="CD253" s="7"/>
      <c r="CE253" s="7"/>
      <c r="CF253" s="7"/>
      <c r="CG253" s="7"/>
      <c r="CH253" s="7"/>
      <c r="CI253" s="7"/>
      <c r="CJ253" s="7"/>
      <c r="CK253" s="7"/>
      <c r="CL253" s="7"/>
      <c r="CM253" s="7"/>
      <c r="CN253" s="7"/>
      <c r="CO253" s="7"/>
      <c r="CP253" s="7"/>
      <c r="CQ253" s="7"/>
      <c r="CR253" s="7"/>
      <c r="CS253" s="7"/>
      <c r="CT253" s="106">
        <v>2.2000000000000002</v>
      </c>
      <c r="CU253" s="12" t="s">
        <v>519</v>
      </c>
      <c r="CV253" s="276" t="str">
        <f t="shared" si="58"/>
        <v>---------</v>
      </c>
      <c r="CW253" s="290">
        <v>0.72000000000004005</v>
      </c>
      <c r="CX253" s="59">
        <v>230</v>
      </c>
      <c r="CY253" s="292" t="str">
        <f t="shared" si="59"/>
        <v>---------</v>
      </c>
      <c r="CZ253" s="7"/>
      <c r="DA253" s="7"/>
      <c r="DB253" s="7"/>
      <c r="DC253" s="106">
        <v>2.2000000000000002</v>
      </c>
      <c r="DD253" s="12" t="s">
        <v>519</v>
      </c>
      <c r="DE253" s="276" t="str">
        <f t="shared" si="60"/>
        <v>---------</v>
      </c>
      <c r="DF253" s="290">
        <v>0.72000000000004005</v>
      </c>
      <c r="DG253" s="59">
        <v>230</v>
      </c>
      <c r="DH253" s="292" t="str">
        <f t="shared" si="61"/>
        <v>---------</v>
      </c>
      <c r="DI253" s="7"/>
      <c r="DJ253" s="7"/>
      <c r="DK253" s="7"/>
      <c r="DL253" s="7"/>
      <c r="FR253" s="12"/>
      <c r="FS253" s="7">
        <v>230</v>
      </c>
      <c r="FT253" s="12">
        <v>27.2</v>
      </c>
    </row>
    <row r="254" spans="20:176">
      <c r="T254" s="7"/>
      <c r="U254" s="7"/>
      <c r="V254" s="43"/>
      <c r="W254" s="7"/>
      <c r="X254" s="7"/>
      <c r="Y254" s="7"/>
      <c r="Z254" s="7"/>
      <c r="AA254" s="7"/>
      <c r="AB254" s="7"/>
      <c r="AC254" s="7"/>
      <c r="AD254" s="7"/>
      <c r="AE254" s="7"/>
      <c r="AF254" s="7"/>
      <c r="AG254" s="7"/>
      <c r="AH254" s="7"/>
      <c r="AI254" s="7"/>
      <c r="AJ254" s="7"/>
      <c r="AK254" s="7"/>
      <c r="AL254" s="7"/>
      <c r="AM254" s="7"/>
      <c r="AN254" s="7"/>
      <c r="AO254" s="7"/>
      <c r="AP254" s="7"/>
      <c r="AQ254" s="7"/>
      <c r="AR254" s="7"/>
      <c r="AS254" s="7"/>
      <c r="AT254" s="7"/>
      <c r="AU254" s="7"/>
      <c r="AV254" s="7"/>
      <c r="AW254" s="7"/>
      <c r="AX254" s="7"/>
      <c r="AY254" s="7"/>
      <c r="AZ254" s="7"/>
      <c r="BA254" s="7"/>
      <c r="BB254" s="7"/>
      <c r="BC254" s="7"/>
      <c r="BD254" s="7"/>
      <c r="BE254" s="7"/>
      <c r="BF254" s="7"/>
      <c r="BG254" s="7"/>
      <c r="BH254" s="7"/>
      <c r="BI254" s="7"/>
      <c r="BJ254" s="7"/>
      <c r="BK254" s="7"/>
      <c r="BL254" s="7"/>
      <c r="BM254" s="7"/>
      <c r="BN254" s="7"/>
      <c r="BO254" s="7"/>
      <c r="BP254" s="7"/>
      <c r="BQ254" s="7"/>
      <c r="BR254" s="7"/>
      <c r="BS254" s="7"/>
      <c r="BT254" s="7"/>
      <c r="BU254" s="7"/>
      <c r="BV254" s="7"/>
      <c r="BW254" s="7"/>
      <c r="BX254" s="7"/>
      <c r="BY254" s="7"/>
      <c r="BZ254" s="7"/>
      <c r="CA254" s="7"/>
      <c r="CB254" s="7"/>
      <c r="CC254" s="7"/>
      <c r="CD254" s="7"/>
      <c r="CE254" s="7"/>
      <c r="CF254" s="7"/>
      <c r="CG254" s="7"/>
      <c r="CH254" s="7"/>
      <c r="CI254" s="7"/>
      <c r="CJ254" s="7"/>
      <c r="CK254" s="7"/>
      <c r="CL254" s="7"/>
      <c r="CM254" s="7"/>
      <c r="CN254" s="7"/>
      <c r="CO254" s="7"/>
      <c r="CP254" s="7"/>
      <c r="CQ254" s="7"/>
      <c r="CR254" s="7"/>
      <c r="CS254" s="7"/>
      <c r="CT254" s="106">
        <v>2.1</v>
      </c>
      <c r="CU254" s="12" t="s">
        <v>520</v>
      </c>
      <c r="CV254" s="276" t="str">
        <f t="shared" si="58"/>
        <v>---------</v>
      </c>
      <c r="CW254" s="290">
        <v>0.71000000000004004</v>
      </c>
      <c r="CX254" s="59">
        <v>231</v>
      </c>
      <c r="CY254" s="292" t="str">
        <f t="shared" si="59"/>
        <v>---------</v>
      </c>
      <c r="CZ254" s="7"/>
      <c r="DA254" s="7"/>
      <c r="DB254" s="7"/>
      <c r="DC254" s="106">
        <v>2.1</v>
      </c>
      <c r="DD254" s="12" t="s">
        <v>520</v>
      </c>
      <c r="DE254" s="276" t="str">
        <f t="shared" si="60"/>
        <v>---------</v>
      </c>
      <c r="DF254" s="290">
        <v>0.71000000000004004</v>
      </c>
      <c r="DG254" s="59">
        <v>231</v>
      </c>
      <c r="DH254" s="292" t="str">
        <f t="shared" si="61"/>
        <v>---------</v>
      </c>
      <c r="DI254" s="7"/>
      <c r="DJ254" s="7"/>
      <c r="DK254" s="7"/>
      <c r="DL254" s="7"/>
      <c r="FR254" s="12"/>
      <c r="FS254" s="7">
        <v>231</v>
      </c>
      <c r="FT254" s="12">
        <v>27.1</v>
      </c>
    </row>
    <row r="255" spans="20:176">
      <c r="T255" s="7"/>
      <c r="U255" s="7"/>
      <c r="V255" s="43"/>
      <c r="W255" s="7"/>
      <c r="X255" s="7"/>
      <c r="Y255" s="7"/>
      <c r="Z255" s="7"/>
      <c r="AA255" s="7"/>
      <c r="AB255" s="7"/>
      <c r="AC255" s="7"/>
      <c r="AD255" s="7"/>
      <c r="AE255" s="7"/>
      <c r="AF255" s="7"/>
      <c r="AG255" s="7"/>
      <c r="AH255" s="7"/>
      <c r="AI255" s="7"/>
      <c r="AJ255" s="7"/>
      <c r="AK255" s="7"/>
      <c r="AL255" s="7"/>
      <c r="AM255" s="7"/>
      <c r="AN255" s="7"/>
      <c r="AO255" s="7"/>
      <c r="AP255" s="7"/>
      <c r="AQ255" s="7"/>
      <c r="AR255" s="7"/>
      <c r="AS255" s="7"/>
      <c r="AT255" s="7"/>
      <c r="AU255" s="7"/>
      <c r="AV255" s="7"/>
      <c r="AW255" s="7"/>
      <c r="AX255" s="7"/>
      <c r="AY255" s="7"/>
      <c r="AZ255" s="7"/>
      <c r="BA255" s="7"/>
      <c r="BB255" s="7"/>
      <c r="BC255" s="7"/>
      <c r="BD255" s="7"/>
      <c r="BE255" s="7"/>
      <c r="BF255" s="7"/>
      <c r="BG255" s="7"/>
      <c r="BH255" s="7"/>
      <c r="BI255" s="7"/>
      <c r="BJ255" s="7"/>
      <c r="BK255" s="7"/>
      <c r="BL255" s="7"/>
      <c r="BM255" s="7"/>
      <c r="BN255" s="7"/>
      <c r="BO255" s="7"/>
      <c r="BP255" s="7"/>
      <c r="BQ255" s="7"/>
      <c r="BR255" s="7"/>
      <c r="BS255" s="7"/>
      <c r="BT255" s="7"/>
      <c r="BU255" s="7"/>
      <c r="BV255" s="7"/>
      <c r="BW255" s="7"/>
      <c r="BX255" s="7"/>
      <c r="BY255" s="7"/>
      <c r="BZ255" s="7"/>
      <c r="CA255" s="7"/>
      <c r="CB255" s="7"/>
      <c r="CC255" s="7"/>
      <c r="CD255" s="7"/>
      <c r="CE255" s="7"/>
      <c r="CF255" s="7"/>
      <c r="CG255" s="7"/>
      <c r="CH255" s="7"/>
      <c r="CI255" s="7"/>
      <c r="CJ255" s="7"/>
      <c r="CK255" s="7"/>
      <c r="CL255" s="7"/>
      <c r="CM255" s="7"/>
      <c r="CN255" s="7"/>
      <c r="CO255" s="7"/>
      <c r="CP255" s="7"/>
      <c r="CQ255" s="7"/>
      <c r="CR255" s="7"/>
      <c r="CS255" s="7"/>
      <c r="CT255" s="106">
        <v>2</v>
      </c>
      <c r="CU255" s="12" t="s">
        <v>521</v>
      </c>
      <c r="CV255" s="276" t="str">
        <f t="shared" si="58"/>
        <v>---------</v>
      </c>
      <c r="CW255" s="290">
        <v>0.70000000000004003</v>
      </c>
      <c r="CX255" s="59">
        <v>232</v>
      </c>
      <c r="CY255" s="292" t="str">
        <f t="shared" si="59"/>
        <v>---------</v>
      </c>
      <c r="CZ255" s="7"/>
      <c r="DA255" s="7"/>
      <c r="DB255" s="7"/>
      <c r="DC255" s="106">
        <v>2</v>
      </c>
      <c r="DD255" s="12" t="s">
        <v>521</v>
      </c>
      <c r="DE255" s="276" t="str">
        <f t="shared" si="60"/>
        <v>---------</v>
      </c>
      <c r="DF255" s="290">
        <v>0.70000000000004003</v>
      </c>
      <c r="DG255" s="59">
        <v>232</v>
      </c>
      <c r="DH255" s="292" t="str">
        <f t="shared" si="61"/>
        <v>---------</v>
      </c>
      <c r="DI255" s="7"/>
      <c r="DJ255" s="7"/>
      <c r="DK255" s="7"/>
      <c r="DL255" s="7"/>
      <c r="FR255" s="12"/>
      <c r="FS255" s="7">
        <v>232</v>
      </c>
      <c r="FT255" s="12">
        <v>27</v>
      </c>
    </row>
    <row r="256" spans="20:176">
      <c r="T256" s="7"/>
      <c r="U256" s="7"/>
      <c r="V256" s="43"/>
      <c r="W256" s="7"/>
      <c r="X256" s="7"/>
      <c r="Y256" s="7"/>
      <c r="Z256" s="7"/>
      <c r="AA256" s="7"/>
      <c r="AB256" s="7"/>
      <c r="AC256" s="7"/>
      <c r="AD256" s="7"/>
      <c r="AE256" s="7"/>
      <c r="AF256" s="7"/>
      <c r="AG256" s="7"/>
      <c r="AH256" s="7"/>
      <c r="AI256" s="7"/>
      <c r="AJ256" s="7"/>
      <c r="AK256" s="7"/>
      <c r="AL256" s="7"/>
      <c r="AM256" s="7"/>
      <c r="AN256" s="7"/>
      <c r="AO256" s="7"/>
      <c r="AP256" s="7"/>
      <c r="AQ256" s="7"/>
      <c r="AR256" s="7"/>
      <c r="AS256" s="7"/>
      <c r="AT256" s="7"/>
      <c r="AU256" s="7"/>
      <c r="AV256" s="7"/>
      <c r="AW256" s="7"/>
      <c r="AX256" s="7"/>
      <c r="AY256" s="7"/>
      <c r="AZ256" s="7"/>
      <c r="BA256" s="7"/>
      <c r="BB256" s="7"/>
      <c r="BC256" s="7"/>
      <c r="BD256" s="7"/>
      <c r="BE256" s="7"/>
      <c r="BF256" s="7"/>
      <c r="BG256" s="7"/>
      <c r="BH256" s="7"/>
      <c r="BI256" s="7"/>
      <c r="BJ256" s="7"/>
      <c r="BK256" s="7"/>
      <c r="BL256" s="7"/>
      <c r="BM256" s="7"/>
      <c r="BN256" s="7"/>
      <c r="BO256" s="7"/>
      <c r="BP256" s="7"/>
      <c r="BQ256" s="7"/>
      <c r="BR256" s="7"/>
      <c r="BS256" s="7"/>
      <c r="BT256" s="7"/>
      <c r="BU256" s="7"/>
      <c r="BV256" s="7"/>
      <c r="BW256" s="7"/>
      <c r="BX256" s="7"/>
      <c r="BY256" s="7"/>
      <c r="BZ256" s="7"/>
      <c r="CA256" s="7"/>
      <c r="CB256" s="7"/>
      <c r="CC256" s="7"/>
      <c r="CD256" s="7"/>
      <c r="CE256" s="7"/>
      <c r="CF256" s="7"/>
      <c r="CG256" s="7"/>
      <c r="CH256" s="7"/>
      <c r="CI256" s="7"/>
      <c r="CJ256" s="7"/>
      <c r="CK256" s="7"/>
      <c r="CL256" s="7"/>
      <c r="CM256" s="7"/>
      <c r="CN256" s="7"/>
      <c r="CO256" s="7"/>
      <c r="CP256" s="7"/>
      <c r="CQ256" s="7"/>
      <c r="CR256" s="7"/>
      <c r="CS256" s="7"/>
      <c r="CT256" s="106">
        <v>1.9</v>
      </c>
      <c r="CU256" s="12" t="s">
        <v>522</v>
      </c>
      <c r="CV256" s="276" t="str">
        <f t="shared" si="58"/>
        <v>---------</v>
      </c>
      <c r="CW256" s="290">
        <v>0.69000000000004003</v>
      </c>
      <c r="CX256" s="59">
        <v>233</v>
      </c>
      <c r="CY256" s="292" t="str">
        <f t="shared" si="59"/>
        <v>---------</v>
      </c>
      <c r="CZ256" s="7"/>
      <c r="DA256" s="7"/>
      <c r="DB256" s="7"/>
      <c r="DC256" s="106">
        <v>1.9</v>
      </c>
      <c r="DD256" s="12" t="s">
        <v>522</v>
      </c>
      <c r="DE256" s="276" t="str">
        <f t="shared" si="60"/>
        <v>---------</v>
      </c>
      <c r="DF256" s="290">
        <v>0.69000000000004003</v>
      </c>
      <c r="DG256" s="59">
        <v>233</v>
      </c>
      <c r="DH256" s="292" t="str">
        <f t="shared" si="61"/>
        <v>---------</v>
      </c>
      <c r="DI256" s="7"/>
      <c r="DJ256" s="7"/>
      <c r="DK256" s="7"/>
      <c r="DL256" s="7"/>
      <c r="FR256" s="12"/>
      <c r="FS256" s="7">
        <v>233</v>
      </c>
      <c r="FT256" s="12">
        <v>26.9</v>
      </c>
    </row>
    <row r="257" spans="20:176">
      <c r="T257" s="7"/>
      <c r="U257" s="7"/>
      <c r="V257" s="43"/>
      <c r="W257" s="7"/>
      <c r="X257" s="7"/>
      <c r="Y257" s="7"/>
      <c r="Z257" s="7"/>
      <c r="AA257" s="7"/>
      <c r="AB257" s="7"/>
      <c r="AC257" s="7"/>
      <c r="AD257" s="7"/>
      <c r="AE257" s="7"/>
      <c r="AF257" s="7"/>
      <c r="AG257" s="7"/>
      <c r="AH257" s="7"/>
      <c r="AI257" s="7"/>
      <c r="AJ257" s="7"/>
      <c r="AK257" s="7"/>
      <c r="AL257" s="7"/>
      <c r="AM257" s="7"/>
      <c r="AN257" s="7"/>
      <c r="AO257" s="7"/>
      <c r="AP257" s="7"/>
      <c r="AQ257" s="7"/>
      <c r="AR257" s="7"/>
      <c r="AS257" s="7"/>
      <c r="AT257" s="7"/>
      <c r="AU257" s="7"/>
      <c r="AV257" s="7"/>
      <c r="AW257" s="7"/>
      <c r="AX257" s="7"/>
      <c r="AY257" s="7"/>
      <c r="AZ257" s="7"/>
      <c r="BA257" s="7"/>
      <c r="BB257" s="7"/>
      <c r="BC257" s="7"/>
      <c r="BD257" s="7"/>
      <c r="BE257" s="7"/>
      <c r="BF257" s="7"/>
      <c r="BG257" s="7"/>
      <c r="BH257" s="7"/>
      <c r="BI257" s="7"/>
      <c r="BJ257" s="7"/>
      <c r="BK257" s="7"/>
      <c r="BL257" s="7"/>
      <c r="BM257" s="7"/>
      <c r="BN257" s="7"/>
      <c r="BO257" s="7"/>
      <c r="BP257" s="7"/>
      <c r="BQ257" s="7"/>
      <c r="BR257" s="7"/>
      <c r="BS257" s="7"/>
      <c r="BT257" s="7"/>
      <c r="BU257" s="7"/>
      <c r="BV257" s="7"/>
      <c r="BW257" s="7"/>
      <c r="BX257" s="7"/>
      <c r="BY257" s="7"/>
      <c r="BZ257" s="7"/>
      <c r="CA257" s="7"/>
      <c r="CB257" s="7"/>
      <c r="CC257" s="7"/>
      <c r="CD257" s="7"/>
      <c r="CE257" s="7"/>
      <c r="CF257" s="7"/>
      <c r="CG257" s="7"/>
      <c r="CH257" s="7"/>
      <c r="CI257" s="7"/>
      <c r="CJ257" s="7"/>
      <c r="CK257" s="7"/>
      <c r="CL257" s="7"/>
      <c r="CM257" s="7"/>
      <c r="CN257" s="7"/>
      <c r="CO257" s="7"/>
      <c r="CP257" s="7"/>
      <c r="CQ257" s="7"/>
      <c r="CR257" s="7"/>
      <c r="CS257" s="7"/>
      <c r="CT257" s="106">
        <v>1.8</v>
      </c>
      <c r="CU257" s="12" t="s">
        <v>523</v>
      </c>
      <c r="CV257" s="276" t="str">
        <f t="shared" si="58"/>
        <v>---------</v>
      </c>
      <c r="CW257" s="290">
        <v>0.68000000000004002</v>
      </c>
      <c r="CX257" s="59">
        <v>234</v>
      </c>
      <c r="CY257" s="292" t="str">
        <f t="shared" si="59"/>
        <v>---------</v>
      </c>
      <c r="CZ257" s="7"/>
      <c r="DA257" s="7"/>
      <c r="DB257" s="7"/>
      <c r="DC257" s="106">
        <v>1.8</v>
      </c>
      <c r="DD257" s="12" t="s">
        <v>523</v>
      </c>
      <c r="DE257" s="276" t="str">
        <f t="shared" si="60"/>
        <v>---------</v>
      </c>
      <c r="DF257" s="290">
        <v>0.68000000000004002</v>
      </c>
      <c r="DG257" s="59">
        <v>234</v>
      </c>
      <c r="DH257" s="292" t="str">
        <f t="shared" si="61"/>
        <v>---------</v>
      </c>
      <c r="DI257" s="7"/>
      <c r="DJ257" s="7"/>
      <c r="DK257" s="7"/>
      <c r="DL257" s="7"/>
      <c r="FR257" s="12"/>
      <c r="FS257" s="7">
        <v>234</v>
      </c>
      <c r="FT257" s="12">
        <v>26.8</v>
      </c>
    </row>
    <row r="258" spans="20:176">
      <c r="T258" s="7"/>
      <c r="U258" s="7"/>
      <c r="V258" s="43"/>
      <c r="W258" s="7"/>
      <c r="X258" s="7"/>
      <c r="Y258" s="7"/>
      <c r="Z258" s="7"/>
      <c r="AA258" s="7"/>
      <c r="AB258" s="7"/>
      <c r="AC258" s="7"/>
      <c r="AD258" s="7"/>
      <c r="AE258" s="7"/>
      <c r="AF258" s="7"/>
      <c r="AG258" s="7"/>
      <c r="AH258" s="7"/>
      <c r="AI258" s="7"/>
      <c r="AJ258" s="7"/>
      <c r="AK258" s="7"/>
      <c r="AL258" s="7"/>
      <c r="AM258" s="7"/>
      <c r="AN258" s="7"/>
      <c r="AO258" s="7"/>
      <c r="AP258" s="7"/>
      <c r="AQ258" s="7"/>
      <c r="AR258" s="7"/>
      <c r="AS258" s="7"/>
      <c r="AT258" s="7"/>
      <c r="AU258" s="7"/>
      <c r="AV258" s="7"/>
      <c r="AW258" s="7"/>
      <c r="AX258" s="7"/>
      <c r="AY258" s="7"/>
      <c r="AZ258" s="7"/>
      <c r="BA258" s="7"/>
      <c r="BB258" s="7"/>
      <c r="BC258" s="7"/>
      <c r="BD258" s="7"/>
      <c r="BE258" s="7"/>
      <c r="BF258" s="7"/>
      <c r="BG258" s="7"/>
      <c r="BH258" s="7"/>
      <c r="BI258" s="7"/>
      <c r="BJ258" s="7"/>
      <c r="BK258" s="7"/>
      <c r="BL258" s="7"/>
      <c r="BM258" s="7"/>
      <c r="BN258" s="7"/>
      <c r="BO258" s="7"/>
      <c r="BP258" s="7"/>
      <c r="BQ258" s="7"/>
      <c r="BR258" s="7"/>
      <c r="BS258" s="7"/>
      <c r="BT258" s="7"/>
      <c r="BU258" s="7"/>
      <c r="BV258" s="7"/>
      <c r="BW258" s="7"/>
      <c r="BX258" s="7"/>
      <c r="BY258" s="7"/>
      <c r="BZ258" s="7"/>
      <c r="CA258" s="7"/>
      <c r="CB258" s="7"/>
      <c r="CC258" s="7"/>
      <c r="CD258" s="7"/>
      <c r="CE258" s="7"/>
      <c r="CF258" s="7"/>
      <c r="CG258" s="7"/>
      <c r="CH258" s="7"/>
      <c r="CI258" s="7"/>
      <c r="CJ258" s="7"/>
      <c r="CK258" s="7"/>
      <c r="CL258" s="7"/>
      <c r="CM258" s="7"/>
      <c r="CN258" s="7"/>
      <c r="CO258" s="7"/>
      <c r="CP258" s="7"/>
      <c r="CQ258" s="7"/>
      <c r="CR258" s="7"/>
      <c r="CS258" s="7"/>
      <c r="CT258" s="106">
        <v>1.7</v>
      </c>
      <c r="CU258" s="12" t="s">
        <v>524</v>
      </c>
      <c r="CV258" s="276" t="str">
        <f t="shared" si="58"/>
        <v>---------</v>
      </c>
      <c r="CW258" s="290">
        <v>0.67000000000004001</v>
      </c>
      <c r="CX258" s="59">
        <v>235</v>
      </c>
      <c r="CY258" s="292" t="str">
        <f t="shared" si="59"/>
        <v>---------</v>
      </c>
      <c r="CZ258" s="7"/>
      <c r="DA258" s="7"/>
      <c r="DB258" s="7"/>
      <c r="DC258" s="106">
        <v>1.7</v>
      </c>
      <c r="DD258" s="12" t="s">
        <v>524</v>
      </c>
      <c r="DE258" s="276" t="str">
        <f t="shared" si="60"/>
        <v>---------</v>
      </c>
      <c r="DF258" s="290">
        <v>0.67000000000004001</v>
      </c>
      <c r="DG258" s="59">
        <v>235</v>
      </c>
      <c r="DH258" s="292" t="str">
        <f t="shared" si="61"/>
        <v>---------</v>
      </c>
      <c r="DI258" s="7"/>
      <c r="DJ258" s="7"/>
      <c r="DK258" s="7"/>
      <c r="DL258" s="7"/>
      <c r="FR258" s="12"/>
      <c r="FS258" s="7">
        <v>235</v>
      </c>
      <c r="FT258" s="12">
        <v>26.7</v>
      </c>
    </row>
    <row r="259" spans="20:176">
      <c r="T259" s="7"/>
      <c r="U259" s="7"/>
      <c r="V259" s="43"/>
      <c r="W259" s="7"/>
      <c r="X259" s="7"/>
      <c r="Y259" s="7"/>
      <c r="Z259" s="7"/>
      <c r="AA259" s="7"/>
      <c r="AB259" s="7"/>
      <c r="AC259" s="7"/>
      <c r="AD259" s="7"/>
      <c r="AE259" s="7"/>
      <c r="AF259" s="7"/>
      <c r="AG259" s="7"/>
      <c r="AH259" s="7"/>
      <c r="AI259" s="7"/>
      <c r="AJ259" s="7"/>
      <c r="AK259" s="7"/>
      <c r="AL259" s="7"/>
      <c r="AM259" s="7"/>
      <c r="AN259" s="7"/>
      <c r="AO259" s="7"/>
      <c r="AP259" s="7"/>
      <c r="AQ259" s="7"/>
      <c r="AR259" s="7"/>
      <c r="AS259" s="7"/>
      <c r="AT259" s="7"/>
      <c r="AU259" s="7"/>
      <c r="AV259" s="7"/>
      <c r="AW259" s="7"/>
      <c r="AX259" s="7"/>
      <c r="AY259" s="7"/>
      <c r="AZ259" s="7"/>
      <c r="BA259" s="7"/>
      <c r="BB259" s="7"/>
      <c r="BC259" s="7"/>
      <c r="BD259" s="7"/>
      <c r="BE259" s="7"/>
      <c r="BF259" s="7"/>
      <c r="BG259" s="7"/>
      <c r="BH259" s="7"/>
      <c r="BI259" s="7"/>
      <c r="BJ259" s="7"/>
      <c r="BK259" s="7"/>
      <c r="BL259" s="7"/>
      <c r="BM259" s="7"/>
      <c r="BN259" s="7"/>
      <c r="BO259" s="7"/>
      <c r="BP259" s="7"/>
      <c r="BQ259" s="7"/>
      <c r="BR259" s="7"/>
      <c r="BS259" s="7"/>
      <c r="BT259" s="7"/>
      <c r="BU259" s="7"/>
      <c r="BV259" s="7"/>
      <c r="BW259" s="7"/>
      <c r="BX259" s="7"/>
      <c r="BY259" s="7"/>
      <c r="BZ259" s="7"/>
      <c r="CA259" s="7"/>
      <c r="CB259" s="7"/>
      <c r="CC259" s="7"/>
      <c r="CD259" s="7"/>
      <c r="CE259" s="7"/>
      <c r="CF259" s="7"/>
      <c r="CG259" s="7"/>
      <c r="CH259" s="7"/>
      <c r="CI259" s="7"/>
      <c r="CJ259" s="7"/>
      <c r="CK259" s="7"/>
      <c r="CL259" s="7"/>
      <c r="CM259" s="7"/>
      <c r="CN259" s="7"/>
      <c r="CO259" s="7"/>
      <c r="CP259" s="7"/>
      <c r="CQ259" s="7"/>
      <c r="CR259" s="7"/>
      <c r="CS259" s="7"/>
      <c r="CT259" s="106">
        <v>1.6</v>
      </c>
      <c r="CU259" s="12" t="s">
        <v>525</v>
      </c>
      <c r="CV259" s="276" t="str">
        <f t="shared" si="58"/>
        <v>---------</v>
      </c>
      <c r="CW259" s="290">
        <v>0.66000000000004</v>
      </c>
      <c r="CX259" s="59">
        <v>236</v>
      </c>
      <c r="CY259" s="292" t="str">
        <f t="shared" si="59"/>
        <v>---------</v>
      </c>
      <c r="CZ259" s="7"/>
      <c r="DA259" s="7"/>
      <c r="DB259" s="7"/>
      <c r="DC259" s="106">
        <v>1.6</v>
      </c>
      <c r="DD259" s="12" t="s">
        <v>525</v>
      </c>
      <c r="DE259" s="276" t="str">
        <f t="shared" si="60"/>
        <v>---------</v>
      </c>
      <c r="DF259" s="290">
        <v>0.66000000000004</v>
      </c>
      <c r="DG259" s="59">
        <v>236</v>
      </c>
      <c r="DH259" s="292" t="str">
        <f t="shared" si="61"/>
        <v>---------</v>
      </c>
      <c r="DI259" s="7"/>
      <c r="DJ259" s="7"/>
      <c r="DK259" s="7"/>
      <c r="DL259" s="7"/>
      <c r="FR259" s="12"/>
      <c r="FS259" s="7">
        <v>236</v>
      </c>
      <c r="FT259" s="12">
        <v>26.6</v>
      </c>
    </row>
    <row r="260" spans="20:176">
      <c r="T260" s="7"/>
      <c r="U260" s="7"/>
      <c r="V260" s="43"/>
      <c r="W260" s="7"/>
      <c r="X260" s="7"/>
      <c r="Y260" s="7"/>
      <c r="Z260" s="7"/>
      <c r="AA260" s="7"/>
      <c r="AB260" s="7"/>
      <c r="AC260" s="7"/>
      <c r="AD260" s="7"/>
      <c r="AE260" s="7"/>
      <c r="AF260" s="7"/>
      <c r="AG260" s="7"/>
      <c r="AH260" s="7"/>
      <c r="AI260" s="7"/>
      <c r="AJ260" s="7"/>
      <c r="AK260" s="7"/>
      <c r="AL260" s="7"/>
      <c r="AM260" s="7"/>
      <c r="AN260" s="7"/>
      <c r="AO260" s="7"/>
      <c r="AP260" s="7"/>
      <c r="AQ260" s="7"/>
      <c r="AR260" s="7"/>
      <c r="AS260" s="7"/>
      <c r="AT260" s="7"/>
      <c r="AU260" s="7"/>
      <c r="AV260" s="7"/>
      <c r="AW260" s="7"/>
      <c r="AX260" s="7"/>
      <c r="AY260" s="7"/>
      <c r="AZ260" s="7"/>
      <c r="BA260" s="7"/>
      <c r="BB260" s="7"/>
      <c r="BC260" s="7"/>
      <c r="BD260" s="7"/>
      <c r="BE260" s="7"/>
      <c r="BF260" s="7"/>
      <c r="BG260" s="7"/>
      <c r="BH260" s="7"/>
      <c r="BI260" s="7"/>
      <c r="BJ260" s="7"/>
      <c r="BK260" s="7"/>
      <c r="BL260" s="7"/>
      <c r="BM260" s="7"/>
      <c r="BN260" s="7"/>
      <c r="BO260" s="7"/>
      <c r="BP260" s="7"/>
      <c r="BQ260" s="7"/>
      <c r="BR260" s="7"/>
      <c r="BS260" s="7"/>
      <c r="BT260" s="7"/>
      <c r="BU260" s="7"/>
      <c r="BV260" s="7"/>
      <c r="BW260" s="7"/>
      <c r="BX260" s="7"/>
      <c r="BY260" s="7"/>
      <c r="BZ260" s="7"/>
      <c r="CA260" s="7"/>
      <c r="CB260" s="7"/>
      <c r="CC260" s="7"/>
      <c r="CD260" s="7"/>
      <c r="CE260" s="7"/>
      <c r="CF260" s="7"/>
      <c r="CG260" s="7"/>
      <c r="CH260" s="7"/>
      <c r="CI260" s="7"/>
      <c r="CJ260" s="7"/>
      <c r="CK260" s="7"/>
      <c r="CL260" s="7"/>
      <c r="CM260" s="7"/>
      <c r="CN260" s="7"/>
      <c r="CO260" s="7"/>
      <c r="CP260" s="7"/>
      <c r="CQ260" s="7"/>
      <c r="CR260" s="7"/>
      <c r="CS260" s="7"/>
      <c r="CT260" s="106">
        <v>1.5</v>
      </c>
      <c r="CU260" s="12" t="s">
        <v>526</v>
      </c>
      <c r="CV260" s="276" t="str">
        <f t="shared" si="58"/>
        <v>---------</v>
      </c>
      <c r="CW260" s="290">
        <v>0.65000000000003999</v>
      </c>
      <c r="CX260" s="59">
        <v>237</v>
      </c>
      <c r="CY260" s="292" t="str">
        <f t="shared" si="59"/>
        <v>---------</v>
      </c>
      <c r="CZ260" s="7"/>
      <c r="DA260" s="7"/>
      <c r="DB260" s="7"/>
      <c r="DC260" s="106">
        <v>1.5</v>
      </c>
      <c r="DD260" s="12" t="s">
        <v>526</v>
      </c>
      <c r="DE260" s="276" t="str">
        <f t="shared" si="60"/>
        <v>---------</v>
      </c>
      <c r="DF260" s="290">
        <v>0.65000000000003999</v>
      </c>
      <c r="DG260" s="59">
        <v>237</v>
      </c>
      <c r="DH260" s="292" t="str">
        <f t="shared" si="61"/>
        <v>---------</v>
      </c>
      <c r="DI260" s="7"/>
      <c r="DJ260" s="7"/>
      <c r="DK260" s="7"/>
      <c r="DL260" s="7"/>
      <c r="FR260" s="12"/>
      <c r="FS260" s="7">
        <v>237</v>
      </c>
      <c r="FT260" s="12">
        <v>26.5</v>
      </c>
    </row>
    <row r="261" spans="20:176">
      <c r="T261" s="7"/>
      <c r="U261" s="7"/>
      <c r="V261" s="43"/>
      <c r="W261" s="7"/>
      <c r="X261" s="7"/>
      <c r="Y261" s="7"/>
      <c r="Z261" s="7"/>
      <c r="AA261" s="7"/>
      <c r="AB261" s="7"/>
      <c r="AC261" s="7"/>
      <c r="AD261" s="7"/>
      <c r="AE261" s="7"/>
      <c r="AF261" s="7"/>
      <c r="AG261" s="7"/>
      <c r="AH261" s="7"/>
      <c r="AI261" s="7"/>
      <c r="AJ261" s="7"/>
      <c r="AK261" s="7"/>
      <c r="AL261" s="7"/>
      <c r="AM261" s="7"/>
      <c r="AN261" s="7"/>
      <c r="AO261" s="7"/>
      <c r="AP261" s="7"/>
      <c r="AQ261" s="7"/>
      <c r="AR261" s="7"/>
      <c r="AS261" s="7"/>
      <c r="AT261" s="7"/>
      <c r="AU261" s="7"/>
      <c r="AV261" s="7"/>
      <c r="AW261" s="7"/>
      <c r="AX261" s="7"/>
      <c r="AY261" s="7"/>
      <c r="AZ261" s="7"/>
      <c r="BA261" s="7"/>
      <c r="BB261" s="7"/>
      <c r="BC261" s="7"/>
      <c r="BD261" s="7"/>
      <c r="BE261" s="7"/>
      <c r="BF261" s="7"/>
      <c r="BG261" s="7"/>
      <c r="BH261" s="7"/>
      <c r="BI261" s="7"/>
      <c r="BJ261" s="7"/>
      <c r="BK261" s="7"/>
      <c r="BL261" s="7"/>
      <c r="BM261" s="7"/>
      <c r="BN261" s="7"/>
      <c r="BO261" s="7"/>
      <c r="BP261" s="7"/>
      <c r="BQ261" s="7"/>
      <c r="BR261" s="7"/>
      <c r="BS261" s="7"/>
      <c r="BT261" s="7"/>
      <c r="BU261" s="7"/>
      <c r="BV261" s="7"/>
      <c r="BW261" s="7"/>
      <c r="BX261" s="7"/>
      <c r="BY261" s="7"/>
      <c r="BZ261" s="7"/>
      <c r="CA261" s="7"/>
      <c r="CB261" s="7"/>
      <c r="CC261" s="7"/>
      <c r="CD261" s="7"/>
      <c r="CE261" s="7"/>
      <c r="CF261" s="7"/>
      <c r="CG261" s="7"/>
      <c r="CH261" s="7"/>
      <c r="CI261" s="7"/>
      <c r="CJ261" s="7"/>
      <c r="CK261" s="7"/>
      <c r="CL261" s="7"/>
      <c r="CM261" s="7"/>
      <c r="CN261" s="7"/>
      <c r="CO261" s="7"/>
      <c r="CP261" s="7"/>
      <c r="CQ261" s="7"/>
      <c r="CR261" s="7"/>
      <c r="CS261" s="7"/>
      <c r="CT261" s="106">
        <v>1.4</v>
      </c>
      <c r="CU261" s="12" t="s">
        <v>527</v>
      </c>
      <c r="CV261" s="276" t="str">
        <f t="shared" si="58"/>
        <v>---------</v>
      </c>
      <c r="CW261" s="290">
        <v>0.64000000000003998</v>
      </c>
      <c r="CX261" s="59">
        <v>238</v>
      </c>
      <c r="CY261" s="292" t="str">
        <f t="shared" si="59"/>
        <v>---------</v>
      </c>
      <c r="CZ261" s="7"/>
      <c r="DA261" s="7"/>
      <c r="DB261" s="7"/>
      <c r="DC261" s="106">
        <v>1.4</v>
      </c>
      <c r="DD261" s="12" t="s">
        <v>527</v>
      </c>
      <c r="DE261" s="276" t="str">
        <f t="shared" si="60"/>
        <v>---------</v>
      </c>
      <c r="DF261" s="290">
        <v>0.64000000000003998</v>
      </c>
      <c r="DG261" s="59">
        <v>238</v>
      </c>
      <c r="DH261" s="292" t="str">
        <f t="shared" si="61"/>
        <v>---------</v>
      </c>
      <c r="DI261" s="7"/>
      <c r="DJ261" s="7"/>
      <c r="DK261" s="7"/>
      <c r="DL261" s="7"/>
      <c r="FR261" s="12"/>
      <c r="FS261" s="7">
        <v>238</v>
      </c>
      <c r="FT261" s="12">
        <v>26.4</v>
      </c>
    </row>
    <row r="262" spans="20:176">
      <c r="T262" s="7"/>
      <c r="U262" s="7"/>
      <c r="V262" s="43"/>
      <c r="W262" s="7"/>
      <c r="X262" s="7"/>
      <c r="Y262" s="7"/>
      <c r="Z262" s="7"/>
      <c r="AA262" s="7"/>
      <c r="AB262" s="7"/>
      <c r="AC262" s="7"/>
      <c r="AD262" s="7"/>
      <c r="AE262" s="7"/>
      <c r="AF262" s="7"/>
      <c r="AG262" s="7"/>
      <c r="AH262" s="7"/>
      <c r="AI262" s="7"/>
      <c r="AJ262" s="7"/>
      <c r="AK262" s="7"/>
      <c r="AL262" s="7"/>
      <c r="AM262" s="7"/>
      <c r="AN262" s="7"/>
      <c r="AO262" s="7"/>
      <c r="AP262" s="7"/>
      <c r="AQ262" s="7"/>
      <c r="AR262" s="7"/>
      <c r="AS262" s="7"/>
      <c r="AT262" s="7"/>
      <c r="AU262" s="7"/>
      <c r="AV262" s="7"/>
      <c r="AW262" s="7"/>
      <c r="AX262" s="7"/>
      <c r="AY262" s="7"/>
      <c r="AZ262" s="7"/>
      <c r="BA262" s="7"/>
      <c r="BB262" s="7"/>
      <c r="BC262" s="7"/>
      <c r="BD262" s="7"/>
      <c r="BE262" s="7"/>
      <c r="BF262" s="7"/>
      <c r="BG262" s="7"/>
      <c r="BH262" s="7"/>
      <c r="BI262" s="7"/>
      <c r="BJ262" s="7"/>
      <c r="BK262" s="7"/>
      <c r="BL262" s="7"/>
      <c r="BM262" s="7"/>
      <c r="BN262" s="7"/>
      <c r="BO262" s="7"/>
      <c r="BP262" s="7"/>
      <c r="BQ262" s="7"/>
      <c r="BR262" s="7"/>
      <c r="BS262" s="7"/>
      <c r="BT262" s="7"/>
      <c r="BU262" s="7"/>
      <c r="BV262" s="7"/>
      <c r="BW262" s="7"/>
      <c r="BX262" s="7"/>
      <c r="BY262" s="7"/>
      <c r="BZ262" s="7"/>
      <c r="CA262" s="7"/>
      <c r="CB262" s="7"/>
      <c r="CC262" s="7"/>
      <c r="CD262" s="7"/>
      <c r="CE262" s="7"/>
      <c r="CF262" s="7"/>
      <c r="CG262" s="7"/>
      <c r="CH262" s="7"/>
      <c r="CI262" s="7"/>
      <c r="CJ262" s="7"/>
      <c r="CK262" s="7"/>
      <c r="CL262" s="7"/>
      <c r="CM262" s="7"/>
      <c r="CN262" s="7"/>
      <c r="CO262" s="7"/>
      <c r="CP262" s="7"/>
      <c r="CQ262" s="7"/>
      <c r="CR262" s="7"/>
      <c r="CS262" s="7"/>
      <c r="CT262" s="106">
        <v>1.3</v>
      </c>
      <c r="CU262" s="12" t="s">
        <v>528</v>
      </c>
      <c r="CV262" s="276" t="str">
        <f t="shared" si="58"/>
        <v>---------</v>
      </c>
      <c r="CW262" s="290">
        <v>0.63000000000003997</v>
      </c>
      <c r="CX262" s="59">
        <v>239</v>
      </c>
      <c r="CY262" s="292" t="str">
        <f t="shared" si="59"/>
        <v>---------</v>
      </c>
      <c r="CZ262" s="7"/>
      <c r="DA262" s="7"/>
      <c r="DB262" s="7"/>
      <c r="DC262" s="106">
        <v>1.3</v>
      </c>
      <c r="DD262" s="12" t="s">
        <v>528</v>
      </c>
      <c r="DE262" s="276" t="str">
        <f t="shared" si="60"/>
        <v>---------</v>
      </c>
      <c r="DF262" s="290">
        <v>0.63000000000003997</v>
      </c>
      <c r="DG262" s="59">
        <v>239</v>
      </c>
      <c r="DH262" s="292" t="str">
        <f t="shared" si="61"/>
        <v>---------</v>
      </c>
      <c r="DI262" s="7"/>
      <c r="DJ262" s="7"/>
      <c r="DK262" s="7"/>
      <c r="DL262" s="7"/>
      <c r="FR262" s="12"/>
      <c r="FS262" s="7">
        <v>239</v>
      </c>
      <c r="FT262" s="12">
        <v>26.3</v>
      </c>
    </row>
    <row r="263" spans="20:176">
      <c r="T263" s="7"/>
      <c r="U263" s="7"/>
      <c r="V263" s="43"/>
      <c r="W263" s="7"/>
      <c r="X263" s="7"/>
      <c r="Y263" s="7"/>
      <c r="Z263" s="7"/>
      <c r="AA263" s="7"/>
      <c r="AB263" s="7"/>
      <c r="AC263" s="7"/>
      <c r="AD263" s="7"/>
      <c r="AE263" s="7"/>
      <c r="AF263" s="7"/>
      <c r="AG263" s="7"/>
      <c r="AH263" s="7"/>
      <c r="AI263" s="7"/>
      <c r="AJ263" s="7"/>
      <c r="AK263" s="7"/>
      <c r="AL263" s="7"/>
      <c r="AM263" s="7"/>
      <c r="AN263" s="7"/>
      <c r="AO263" s="7"/>
      <c r="AP263" s="7"/>
      <c r="AQ263" s="7"/>
      <c r="AR263" s="7"/>
      <c r="AS263" s="7"/>
      <c r="AT263" s="7"/>
      <c r="AU263" s="7"/>
      <c r="AV263" s="7"/>
      <c r="AW263" s="7"/>
      <c r="AX263" s="7"/>
      <c r="AY263" s="7"/>
      <c r="AZ263" s="7"/>
      <c r="BA263" s="7"/>
      <c r="BB263" s="7"/>
      <c r="BC263" s="7"/>
      <c r="BD263" s="7"/>
      <c r="BE263" s="7"/>
      <c r="BF263" s="7"/>
      <c r="BG263" s="7"/>
      <c r="BH263" s="7"/>
      <c r="BI263" s="7"/>
      <c r="BJ263" s="7"/>
      <c r="BK263" s="7"/>
      <c r="BL263" s="7"/>
      <c r="BM263" s="7"/>
      <c r="BN263" s="7"/>
      <c r="BO263" s="7"/>
      <c r="BP263" s="7"/>
      <c r="BQ263" s="7"/>
      <c r="BR263" s="7"/>
      <c r="BS263" s="7"/>
      <c r="BT263" s="7"/>
      <c r="BU263" s="7"/>
      <c r="BV263" s="7"/>
      <c r="BW263" s="7"/>
      <c r="BX263" s="7"/>
      <c r="BY263" s="7"/>
      <c r="BZ263" s="7"/>
      <c r="CA263" s="7"/>
      <c r="CB263" s="7"/>
      <c r="CC263" s="7"/>
      <c r="CD263" s="7"/>
      <c r="CE263" s="7"/>
      <c r="CF263" s="7"/>
      <c r="CG263" s="7"/>
      <c r="CH263" s="7"/>
      <c r="CI263" s="7"/>
      <c r="CJ263" s="7"/>
      <c r="CK263" s="7"/>
      <c r="CL263" s="7"/>
      <c r="CM263" s="7"/>
      <c r="CN263" s="7"/>
      <c r="CO263" s="7"/>
      <c r="CP263" s="7"/>
      <c r="CQ263" s="7"/>
      <c r="CR263" s="7"/>
      <c r="CS263" s="7"/>
      <c r="CT263" s="106">
        <v>1.2</v>
      </c>
      <c r="CU263" s="12" t="s">
        <v>529</v>
      </c>
      <c r="CV263" s="276" t="str">
        <f t="shared" si="58"/>
        <v>---------</v>
      </c>
      <c r="CW263" s="290">
        <v>0.62000000000003996</v>
      </c>
      <c r="CX263" s="59">
        <v>240</v>
      </c>
      <c r="CY263" s="292" t="str">
        <f t="shared" si="59"/>
        <v>---------</v>
      </c>
      <c r="CZ263" s="7"/>
      <c r="DA263" s="7"/>
      <c r="DB263" s="7"/>
      <c r="DC263" s="106">
        <v>1.2</v>
      </c>
      <c r="DD263" s="12" t="s">
        <v>529</v>
      </c>
      <c r="DE263" s="276" t="str">
        <f t="shared" si="60"/>
        <v>---------</v>
      </c>
      <c r="DF263" s="290">
        <v>0.62000000000003996</v>
      </c>
      <c r="DG263" s="59">
        <v>240</v>
      </c>
      <c r="DH263" s="292" t="str">
        <f t="shared" si="61"/>
        <v>---------</v>
      </c>
      <c r="DI263" s="7"/>
      <c r="DJ263" s="7"/>
      <c r="DK263" s="7"/>
      <c r="DL263" s="7"/>
      <c r="FR263" s="12"/>
      <c r="FS263" s="7">
        <v>240</v>
      </c>
      <c r="FT263" s="12">
        <v>26.2</v>
      </c>
    </row>
    <row r="264" spans="20:176">
      <c r="T264" s="7"/>
      <c r="U264" s="7"/>
      <c r="V264" s="43"/>
      <c r="W264" s="7"/>
      <c r="X264" s="7"/>
      <c r="Y264" s="7"/>
      <c r="Z264" s="7"/>
      <c r="AA264" s="7"/>
      <c r="AB264" s="7"/>
      <c r="AC264" s="7"/>
      <c r="AD264" s="7"/>
      <c r="AE264" s="7"/>
      <c r="AF264" s="7"/>
      <c r="AG264" s="7"/>
      <c r="AH264" s="7"/>
      <c r="AI264" s="7"/>
      <c r="AJ264" s="7"/>
      <c r="AK264" s="7"/>
      <c r="AL264" s="7"/>
      <c r="AM264" s="7"/>
      <c r="AN264" s="7"/>
      <c r="AO264" s="7"/>
      <c r="AP264" s="7"/>
      <c r="AQ264" s="7"/>
      <c r="AR264" s="7"/>
      <c r="AS264" s="7"/>
      <c r="AT264" s="7"/>
      <c r="AU264" s="7"/>
      <c r="AV264" s="7"/>
      <c r="AW264" s="7"/>
      <c r="AX264" s="7"/>
      <c r="AY264" s="7"/>
      <c r="AZ264" s="7"/>
      <c r="BA264" s="7"/>
      <c r="BB264" s="7"/>
      <c r="BC264" s="7"/>
      <c r="BD264" s="7"/>
      <c r="BE264" s="7"/>
      <c r="BF264" s="7"/>
      <c r="BG264" s="7"/>
      <c r="BH264" s="7"/>
      <c r="BI264" s="7"/>
      <c r="BJ264" s="7"/>
      <c r="BK264" s="7"/>
      <c r="BL264" s="7"/>
      <c r="BM264" s="7"/>
      <c r="BN264" s="7"/>
      <c r="BO264" s="7"/>
      <c r="BP264" s="7"/>
      <c r="BQ264" s="7"/>
      <c r="BR264" s="7"/>
      <c r="BS264" s="7"/>
      <c r="BT264" s="7"/>
      <c r="BU264" s="7"/>
      <c r="BV264" s="7"/>
      <c r="BW264" s="7"/>
      <c r="BX264" s="7"/>
      <c r="BY264" s="7"/>
      <c r="BZ264" s="7"/>
      <c r="CA264" s="7"/>
      <c r="CB264" s="7"/>
      <c r="CC264" s="7"/>
      <c r="CD264" s="7"/>
      <c r="CE264" s="7"/>
      <c r="CF264" s="7"/>
      <c r="CG264" s="7"/>
      <c r="CH264" s="7"/>
      <c r="CI264" s="7"/>
      <c r="CJ264" s="7"/>
      <c r="CK264" s="7"/>
      <c r="CL264" s="7"/>
      <c r="CM264" s="7"/>
      <c r="CN264" s="7"/>
      <c r="CO264" s="7"/>
      <c r="CP264" s="7"/>
      <c r="CQ264" s="7"/>
      <c r="CR264" s="7"/>
      <c r="CS264" s="7"/>
      <c r="CT264" s="106">
        <v>1.1000000000000001</v>
      </c>
      <c r="CU264" s="12" t="s">
        <v>530</v>
      </c>
      <c r="CV264" s="276" t="str">
        <f t="shared" si="58"/>
        <v>---------</v>
      </c>
      <c r="CW264" s="290">
        <v>0.61000000000003995</v>
      </c>
      <c r="CX264" s="59">
        <v>241</v>
      </c>
      <c r="CY264" s="292" t="str">
        <f t="shared" si="59"/>
        <v>---------</v>
      </c>
      <c r="CZ264" s="7"/>
      <c r="DA264" s="7"/>
      <c r="DB264" s="7"/>
      <c r="DC264" s="106">
        <v>1.1000000000000001</v>
      </c>
      <c r="DD264" s="12" t="s">
        <v>530</v>
      </c>
      <c r="DE264" s="276" t="str">
        <f t="shared" si="60"/>
        <v>---------</v>
      </c>
      <c r="DF264" s="290">
        <v>0.61000000000003995</v>
      </c>
      <c r="DG264" s="59">
        <v>241</v>
      </c>
      <c r="DH264" s="292" t="str">
        <f t="shared" si="61"/>
        <v>---------</v>
      </c>
      <c r="DI264" s="7"/>
      <c r="DJ264" s="7"/>
      <c r="DK264" s="7"/>
      <c r="DL264" s="7"/>
      <c r="FR264" s="12"/>
      <c r="FS264" s="7">
        <v>241</v>
      </c>
      <c r="FT264" s="12">
        <v>26.1</v>
      </c>
    </row>
    <row r="265" spans="20:176">
      <c r="T265" s="7"/>
      <c r="U265" s="7"/>
      <c r="V265" s="43"/>
      <c r="W265" s="7"/>
      <c r="X265" s="7"/>
      <c r="Y265" s="7"/>
      <c r="Z265" s="7"/>
      <c r="AA265" s="7"/>
      <c r="AB265" s="7"/>
      <c r="AC265" s="7"/>
      <c r="AD265" s="7"/>
      <c r="AE265" s="7"/>
      <c r="AF265" s="7"/>
      <c r="AG265" s="7"/>
      <c r="AH265" s="7"/>
      <c r="AI265" s="7"/>
      <c r="AJ265" s="7"/>
      <c r="AK265" s="7"/>
      <c r="AL265" s="7"/>
      <c r="AM265" s="7"/>
      <c r="AN265" s="7"/>
      <c r="AO265" s="7"/>
      <c r="AP265" s="7"/>
      <c r="AQ265" s="7"/>
      <c r="AR265" s="7"/>
      <c r="AS265" s="7"/>
      <c r="AT265" s="7"/>
      <c r="AU265" s="7"/>
      <c r="AV265" s="7"/>
      <c r="AW265" s="7"/>
      <c r="AX265" s="7"/>
      <c r="AY265" s="7"/>
      <c r="AZ265" s="7"/>
      <c r="BA265" s="7"/>
      <c r="BB265" s="7"/>
      <c r="BC265" s="7"/>
      <c r="BD265" s="7"/>
      <c r="BE265" s="7"/>
      <c r="BF265" s="7"/>
      <c r="BG265" s="7"/>
      <c r="BH265" s="7"/>
      <c r="BI265" s="7"/>
      <c r="BJ265" s="7"/>
      <c r="BK265" s="7"/>
      <c r="BL265" s="7"/>
      <c r="BM265" s="7"/>
      <c r="BN265" s="7"/>
      <c r="BO265" s="7"/>
      <c r="BP265" s="7"/>
      <c r="BQ265" s="7"/>
      <c r="BR265" s="7"/>
      <c r="BS265" s="7"/>
      <c r="BT265" s="7"/>
      <c r="BU265" s="7"/>
      <c r="BV265" s="7"/>
      <c r="BW265" s="7"/>
      <c r="BX265" s="7"/>
      <c r="BY265" s="7"/>
      <c r="BZ265" s="7"/>
      <c r="CA265" s="7"/>
      <c r="CB265" s="7"/>
      <c r="CC265" s="7"/>
      <c r="CD265" s="7"/>
      <c r="CE265" s="7"/>
      <c r="CF265" s="7"/>
      <c r="CG265" s="7"/>
      <c r="CH265" s="7"/>
      <c r="CI265" s="7"/>
      <c r="CJ265" s="7"/>
      <c r="CK265" s="7"/>
      <c r="CL265" s="7"/>
      <c r="CM265" s="7"/>
      <c r="CN265" s="7"/>
      <c r="CO265" s="7"/>
      <c r="CP265" s="7"/>
      <c r="CQ265" s="7"/>
      <c r="CR265" s="7"/>
      <c r="CS265" s="7"/>
      <c r="CT265" s="106">
        <v>1</v>
      </c>
      <c r="CU265" s="12" t="s">
        <v>531</v>
      </c>
      <c r="CV265" s="276" t="str">
        <f t="shared" si="58"/>
        <v>---------</v>
      </c>
      <c r="CW265" s="290">
        <v>0.60000000000003995</v>
      </c>
      <c r="CX265" s="59">
        <v>242</v>
      </c>
      <c r="CY265" s="292" t="str">
        <f t="shared" si="59"/>
        <v>---------</v>
      </c>
      <c r="CZ265" s="7"/>
      <c r="DA265" s="7"/>
      <c r="DB265" s="7"/>
      <c r="DC265" s="106">
        <v>1</v>
      </c>
      <c r="DD265" s="12" t="s">
        <v>531</v>
      </c>
      <c r="DE265" s="276" t="str">
        <f t="shared" si="60"/>
        <v>---------</v>
      </c>
      <c r="DF265" s="290">
        <v>0.60000000000003995</v>
      </c>
      <c r="DG265" s="59">
        <v>242</v>
      </c>
      <c r="DH265" s="292" t="str">
        <f t="shared" si="61"/>
        <v>---------</v>
      </c>
      <c r="DI265" s="7"/>
      <c r="DJ265" s="7"/>
      <c r="DK265" s="7"/>
      <c r="DL265" s="7"/>
      <c r="FR265" s="12"/>
      <c r="FS265" s="7">
        <v>242</v>
      </c>
      <c r="FT265" s="12">
        <v>26</v>
      </c>
    </row>
    <row r="266" spans="20:176">
      <c r="T266" s="7"/>
      <c r="U266" s="7"/>
      <c r="V266" s="43"/>
      <c r="W266" s="7"/>
      <c r="X266" s="7"/>
      <c r="Y266" s="7"/>
      <c r="Z266" s="7"/>
      <c r="AA266" s="7"/>
      <c r="AB266" s="7"/>
      <c r="AC266" s="7"/>
      <c r="AD266" s="7"/>
      <c r="AE266" s="7"/>
      <c r="AF266" s="7"/>
      <c r="AG266" s="7"/>
      <c r="AH266" s="7"/>
      <c r="AI266" s="7"/>
      <c r="AJ266" s="7"/>
      <c r="AK266" s="7"/>
      <c r="AL266" s="7"/>
      <c r="AM266" s="7"/>
      <c r="AN266" s="7"/>
      <c r="AO266" s="7"/>
      <c r="AP266" s="7"/>
      <c r="AQ266" s="7"/>
      <c r="AR266" s="7"/>
      <c r="AS266" s="7"/>
      <c r="AT266" s="7"/>
      <c r="AU266" s="7"/>
      <c r="AV266" s="7"/>
      <c r="AW266" s="7"/>
      <c r="AX266" s="7"/>
      <c r="AY266" s="7"/>
      <c r="AZ266" s="7"/>
      <c r="BA266" s="7"/>
      <c r="BB266" s="7"/>
      <c r="BC266" s="7"/>
      <c r="BD266" s="7"/>
      <c r="BE266" s="7"/>
      <c r="BF266" s="7"/>
      <c r="BG266" s="7"/>
      <c r="BH266" s="7"/>
      <c r="BI266" s="7"/>
      <c r="BJ266" s="7"/>
      <c r="BK266" s="7"/>
      <c r="BL266" s="7"/>
      <c r="BM266" s="7"/>
      <c r="BN266" s="7"/>
      <c r="BO266" s="7"/>
      <c r="BP266" s="7"/>
      <c r="BQ266" s="7"/>
      <c r="BR266" s="7"/>
      <c r="BS266" s="7"/>
      <c r="BT266" s="7"/>
      <c r="BU266" s="7"/>
      <c r="BV266" s="7"/>
      <c r="BW266" s="7"/>
      <c r="BX266" s="7"/>
      <c r="BY266" s="7"/>
      <c r="BZ266" s="7"/>
      <c r="CA266" s="7"/>
      <c r="CB266" s="7"/>
      <c r="CC266" s="7"/>
      <c r="CD266" s="7"/>
      <c r="CE266" s="7"/>
      <c r="CF266" s="7"/>
      <c r="CG266" s="7"/>
      <c r="CH266" s="7"/>
      <c r="CI266" s="7"/>
      <c r="CJ266" s="7"/>
      <c r="CK266" s="7"/>
      <c r="CL266" s="7"/>
      <c r="CM266" s="7"/>
      <c r="CN266" s="7"/>
      <c r="CO266" s="7"/>
      <c r="CP266" s="7"/>
      <c r="CQ266" s="7"/>
      <c r="CR266" s="7"/>
      <c r="CS266" s="7"/>
      <c r="CT266" s="7"/>
      <c r="CU266" s="7"/>
      <c r="CV266" s="7"/>
      <c r="CW266" s="290">
        <v>0.59000000000004005</v>
      </c>
      <c r="CX266" s="59">
        <v>243</v>
      </c>
      <c r="CY266" s="292" t="str">
        <f t="shared" si="59"/>
        <v>---------</v>
      </c>
      <c r="CZ266" s="7"/>
      <c r="DA266" s="7"/>
      <c r="DB266" s="7"/>
      <c r="DC266" s="7"/>
      <c r="DD266" s="7"/>
      <c r="DE266" s="7"/>
      <c r="DF266" s="290">
        <v>0.59000000000004005</v>
      </c>
      <c r="DG266" s="59">
        <v>243</v>
      </c>
      <c r="DH266" s="292" t="str">
        <f t="shared" si="61"/>
        <v>---------</v>
      </c>
      <c r="DI266" s="7"/>
      <c r="DJ266" s="7"/>
      <c r="DK266" s="7"/>
      <c r="DL266" s="7"/>
      <c r="FR266" s="12"/>
      <c r="FS266" s="7">
        <v>243</v>
      </c>
      <c r="FT266" s="12">
        <v>25.9</v>
      </c>
    </row>
    <row r="267" spans="20:176">
      <c r="T267" s="7"/>
      <c r="U267" s="7"/>
      <c r="V267" s="43"/>
      <c r="W267" s="7"/>
      <c r="X267" s="7"/>
      <c r="Y267" s="7"/>
      <c r="Z267" s="7"/>
      <c r="AA267" s="7"/>
      <c r="AB267" s="7"/>
      <c r="AC267" s="7"/>
      <c r="AD267" s="7"/>
      <c r="AE267" s="7"/>
      <c r="AF267" s="7"/>
      <c r="AG267" s="7"/>
      <c r="AH267" s="7"/>
      <c r="AI267" s="7"/>
      <c r="AJ267" s="7"/>
      <c r="AK267" s="7"/>
      <c r="AL267" s="7"/>
      <c r="AM267" s="7"/>
      <c r="AN267" s="7"/>
      <c r="AO267" s="7"/>
      <c r="AP267" s="7"/>
      <c r="AQ267" s="7"/>
      <c r="AR267" s="7"/>
      <c r="AS267" s="7"/>
      <c r="AT267" s="7"/>
      <c r="AU267" s="7"/>
      <c r="AV267" s="7"/>
      <c r="AW267" s="7"/>
      <c r="AX267" s="7"/>
      <c r="AY267" s="7"/>
      <c r="AZ267" s="7"/>
      <c r="BA267" s="7"/>
      <c r="BB267" s="7"/>
      <c r="BC267" s="7"/>
      <c r="BD267" s="7"/>
      <c r="BE267" s="7"/>
      <c r="BF267" s="7"/>
      <c r="BG267" s="7"/>
      <c r="BH267" s="7"/>
      <c r="BI267" s="7"/>
      <c r="BJ267" s="7"/>
      <c r="BK267" s="7"/>
      <c r="BL267" s="7"/>
      <c r="BM267" s="7"/>
      <c r="BN267" s="7"/>
      <c r="BO267" s="7"/>
      <c r="BP267" s="7"/>
      <c r="BQ267" s="7"/>
      <c r="BR267" s="7"/>
      <c r="BS267" s="7"/>
      <c r="BT267" s="7"/>
      <c r="BU267" s="7"/>
      <c r="BV267" s="7"/>
      <c r="BW267" s="7"/>
      <c r="BX267" s="7"/>
      <c r="BY267" s="7"/>
      <c r="BZ267" s="7"/>
      <c r="CA267" s="7"/>
      <c r="CB267" s="7"/>
      <c r="CC267" s="7"/>
      <c r="CD267" s="7"/>
      <c r="CE267" s="7"/>
      <c r="CF267" s="7"/>
      <c r="CG267" s="7"/>
      <c r="CH267" s="7"/>
      <c r="CI267" s="7"/>
      <c r="CJ267" s="7"/>
      <c r="CK267" s="7"/>
      <c r="CL267" s="7"/>
      <c r="CM267" s="7"/>
      <c r="CN267" s="7"/>
      <c r="CO267" s="7"/>
      <c r="CP267" s="7"/>
      <c r="CQ267" s="7"/>
      <c r="CR267" s="7"/>
      <c r="CS267" s="7"/>
      <c r="CT267" s="7"/>
      <c r="CU267" s="7"/>
      <c r="CV267" s="7"/>
      <c r="CW267" s="290">
        <v>0.58000000000004004</v>
      </c>
      <c r="CX267" s="59">
        <v>244</v>
      </c>
      <c r="CY267" s="292" t="str">
        <f t="shared" si="59"/>
        <v>---------</v>
      </c>
      <c r="CZ267" s="7"/>
      <c r="DA267" s="7"/>
      <c r="DB267" s="7"/>
      <c r="DC267" s="7"/>
      <c r="DD267" s="7"/>
      <c r="DE267" s="7"/>
      <c r="DF267" s="290">
        <v>0.58000000000004004</v>
      </c>
      <c r="DG267" s="59">
        <v>244</v>
      </c>
      <c r="DH267" s="292" t="str">
        <f t="shared" si="61"/>
        <v>---------</v>
      </c>
      <c r="DI267" s="7"/>
      <c r="DJ267" s="7"/>
      <c r="DK267" s="7"/>
      <c r="DL267" s="7"/>
      <c r="FR267" s="12"/>
      <c r="FS267" s="7">
        <v>244</v>
      </c>
      <c r="FT267" s="12">
        <v>25.8</v>
      </c>
    </row>
    <row r="268" spans="20:176">
      <c r="T268" s="7"/>
      <c r="U268" s="7"/>
      <c r="V268" s="43"/>
      <c r="W268" s="7"/>
      <c r="X268" s="7"/>
      <c r="Y268" s="7"/>
      <c r="Z268" s="7"/>
      <c r="AA268" s="7"/>
      <c r="AB268" s="7"/>
      <c r="AC268" s="7"/>
      <c r="AD268" s="7"/>
      <c r="AE268" s="7"/>
      <c r="AF268" s="7"/>
      <c r="AG268" s="7"/>
      <c r="AH268" s="7"/>
      <c r="AI268" s="7"/>
      <c r="AJ268" s="7"/>
      <c r="AK268" s="7"/>
      <c r="AL268" s="7"/>
      <c r="AM268" s="7"/>
      <c r="AN268" s="7"/>
      <c r="AO268" s="7"/>
      <c r="AP268" s="7"/>
      <c r="AQ268" s="7"/>
      <c r="AR268" s="7"/>
      <c r="AS268" s="7"/>
      <c r="AT268" s="7"/>
      <c r="AU268" s="7"/>
      <c r="AV268" s="7"/>
      <c r="AW268" s="7"/>
      <c r="AX268" s="7"/>
      <c r="AY268" s="7"/>
      <c r="AZ268" s="7"/>
      <c r="BA268" s="7"/>
      <c r="BB268" s="7"/>
      <c r="BC268" s="7"/>
      <c r="BD268" s="7"/>
      <c r="BE268" s="7"/>
      <c r="BF268" s="7"/>
      <c r="BG268" s="7"/>
      <c r="BH268" s="7"/>
      <c r="BI268" s="7"/>
      <c r="BJ268" s="7"/>
      <c r="BK268" s="7"/>
      <c r="BL268" s="7"/>
      <c r="BM268" s="7"/>
      <c r="BN268" s="7"/>
      <c r="BO268" s="7"/>
      <c r="BP268" s="7"/>
      <c r="BQ268" s="7"/>
      <c r="BR268" s="7"/>
      <c r="BS268" s="7"/>
      <c r="BT268" s="7"/>
      <c r="BU268" s="7"/>
      <c r="BV268" s="7"/>
      <c r="BW268" s="7"/>
      <c r="BX268" s="7"/>
      <c r="BY268" s="7"/>
      <c r="BZ268" s="7"/>
      <c r="CA268" s="7"/>
      <c r="CB268" s="7"/>
      <c r="CC268" s="7"/>
      <c r="CD268" s="7"/>
      <c r="CE268" s="7"/>
      <c r="CF268" s="7"/>
      <c r="CG268" s="7"/>
      <c r="CH268" s="7"/>
      <c r="CI268" s="7"/>
      <c r="CJ268" s="7"/>
      <c r="CK268" s="7"/>
      <c r="CL268" s="7"/>
      <c r="CM268" s="7"/>
      <c r="CN268" s="7"/>
      <c r="CO268" s="7"/>
      <c r="CP268" s="7"/>
      <c r="CQ268" s="7"/>
      <c r="CR268" s="7"/>
      <c r="CS268" s="7"/>
      <c r="CT268" s="7"/>
      <c r="CU268" s="7"/>
      <c r="CV268" s="7"/>
      <c r="CW268" s="290">
        <v>0.57000000000004003</v>
      </c>
      <c r="CX268" s="59">
        <v>245</v>
      </c>
      <c r="CY268" s="292" t="str">
        <f t="shared" si="59"/>
        <v>---------</v>
      </c>
      <c r="CZ268" s="7"/>
      <c r="DA268" s="7"/>
      <c r="DB268" s="7"/>
      <c r="DC268" s="7"/>
      <c r="DD268" s="7"/>
      <c r="DE268" s="7"/>
      <c r="DF268" s="290">
        <v>0.57000000000004003</v>
      </c>
      <c r="DG268" s="59">
        <v>245</v>
      </c>
      <c r="DH268" s="292" t="str">
        <f t="shared" si="61"/>
        <v>---------</v>
      </c>
      <c r="DI268" s="7"/>
      <c r="DJ268" s="7"/>
      <c r="DK268" s="7"/>
      <c r="DL268" s="7"/>
      <c r="FR268" s="12"/>
      <c r="FS268" s="7">
        <v>245</v>
      </c>
      <c r="FT268" s="12">
        <v>25.7</v>
      </c>
    </row>
    <row r="269" spans="20:176">
      <c r="T269" s="7"/>
      <c r="U269" s="7"/>
      <c r="V269" s="43"/>
      <c r="W269" s="7"/>
      <c r="X269" s="7"/>
      <c r="Y269" s="7"/>
      <c r="Z269" s="7"/>
      <c r="AA269" s="7"/>
      <c r="AB269" s="7"/>
      <c r="AC269" s="7"/>
      <c r="AD269" s="7"/>
      <c r="AE269" s="7"/>
      <c r="AF269" s="7"/>
      <c r="AG269" s="7"/>
      <c r="AH269" s="7"/>
      <c r="AI269" s="7"/>
      <c r="AJ269" s="7"/>
      <c r="AK269" s="7"/>
      <c r="AL269" s="7"/>
      <c r="AM269" s="7"/>
      <c r="AN269" s="7"/>
      <c r="AO269" s="7"/>
      <c r="AP269" s="7"/>
      <c r="AQ269" s="7"/>
      <c r="AR269" s="7"/>
      <c r="AS269" s="7"/>
      <c r="AT269" s="7"/>
      <c r="AU269" s="7"/>
      <c r="AV269" s="7"/>
      <c r="AW269" s="7"/>
      <c r="AX269" s="7"/>
      <c r="AY269" s="7"/>
      <c r="AZ269" s="7"/>
      <c r="BA269" s="7"/>
      <c r="BB269" s="7"/>
      <c r="BC269" s="7"/>
      <c r="BD269" s="7"/>
      <c r="BE269" s="7"/>
      <c r="BF269" s="7"/>
      <c r="BG269" s="7"/>
      <c r="BH269" s="7"/>
      <c r="BI269" s="7"/>
      <c r="BJ269" s="7"/>
      <c r="BK269" s="7"/>
      <c r="BL269" s="7"/>
      <c r="BM269" s="7"/>
      <c r="BN269" s="7"/>
      <c r="BO269" s="7"/>
      <c r="BP269" s="7"/>
      <c r="BQ269" s="7"/>
      <c r="BR269" s="7"/>
      <c r="BS269" s="7"/>
      <c r="BT269" s="7"/>
      <c r="BU269" s="7"/>
      <c r="BV269" s="7"/>
      <c r="BW269" s="7"/>
      <c r="BX269" s="7"/>
      <c r="BY269" s="7"/>
      <c r="BZ269" s="7"/>
      <c r="CA269" s="7"/>
      <c r="CB269" s="7"/>
      <c r="CC269" s="7"/>
      <c r="CD269" s="7"/>
      <c r="CE269" s="7"/>
      <c r="CF269" s="7"/>
      <c r="CG269" s="7"/>
      <c r="CH269" s="7"/>
      <c r="CI269" s="7"/>
      <c r="CJ269" s="7"/>
      <c r="CK269" s="7"/>
      <c r="CL269" s="7"/>
      <c r="CM269" s="7"/>
      <c r="CN269" s="7"/>
      <c r="CO269" s="7"/>
      <c r="CP269" s="7"/>
      <c r="CQ269" s="7"/>
      <c r="CR269" s="7"/>
      <c r="CS269" s="7"/>
      <c r="CT269" s="7"/>
      <c r="CU269" s="7"/>
      <c r="CV269" s="7"/>
      <c r="CW269" s="290">
        <v>0.56000000000004002</v>
      </c>
      <c r="CX269" s="59">
        <v>246</v>
      </c>
      <c r="CY269" s="292" t="str">
        <f t="shared" si="59"/>
        <v>---------</v>
      </c>
      <c r="CZ269" s="7"/>
      <c r="DA269" s="7"/>
      <c r="DB269" s="7"/>
      <c r="DC269" s="7"/>
      <c r="DD269" s="7"/>
      <c r="DE269" s="7"/>
      <c r="DF269" s="290">
        <v>0.56000000000004002</v>
      </c>
      <c r="DG269" s="59">
        <v>246</v>
      </c>
      <c r="DH269" s="292" t="str">
        <f t="shared" si="61"/>
        <v>---------</v>
      </c>
      <c r="DI269" s="7"/>
      <c r="DJ269" s="7"/>
      <c r="DK269" s="7"/>
      <c r="DL269" s="7"/>
      <c r="FR269" s="12"/>
      <c r="FS269" s="7">
        <v>246</v>
      </c>
      <c r="FT269" s="12">
        <v>25.6</v>
      </c>
    </row>
    <row r="270" spans="20:176">
      <c r="T270" s="7"/>
      <c r="U270" s="7"/>
      <c r="V270" s="43"/>
      <c r="W270" s="7"/>
      <c r="X270" s="7"/>
      <c r="Y270" s="7"/>
      <c r="Z270" s="7"/>
      <c r="AA270" s="7"/>
      <c r="AB270" s="7"/>
      <c r="AC270" s="7"/>
      <c r="AD270" s="7"/>
      <c r="AE270" s="7"/>
      <c r="AF270" s="7"/>
      <c r="AG270" s="7"/>
      <c r="AH270" s="7"/>
      <c r="AI270" s="7"/>
      <c r="AJ270" s="7"/>
      <c r="AK270" s="7"/>
      <c r="AL270" s="7"/>
      <c r="AM270" s="7"/>
      <c r="AN270" s="7"/>
      <c r="AO270" s="7"/>
      <c r="AP270" s="7"/>
      <c r="AQ270" s="7"/>
      <c r="AR270" s="7"/>
      <c r="AS270" s="7"/>
      <c r="AT270" s="7"/>
      <c r="AU270" s="7"/>
      <c r="AV270" s="7"/>
      <c r="AW270" s="7"/>
      <c r="AX270" s="7"/>
      <c r="AY270" s="7"/>
      <c r="AZ270" s="7"/>
      <c r="BA270" s="7"/>
      <c r="BB270" s="7"/>
      <c r="BC270" s="7"/>
      <c r="BD270" s="7"/>
      <c r="BE270" s="7"/>
      <c r="BF270" s="7"/>
      <c r="BG270" s="7"/>
      <c r="BH270" s="7"/>
      <c r="BI270" s="7"/>
      <c r="BJ270" s="7"/>
      <c r="BK270" s="7"/>
      <c r="BL270" s="7"/>
      <c r="BM270" s="7"/>
      <c r="BN270" s="7"/>
      <c r="BO270" s="7"/>
      <c r="BP270" s="7"/>
      <c r="BQ270" s="7"/>
      <c r="BR270" s="7"/>
      <c r="BS270" s="7"/>
      <c r="BT270" s="7"/>
      <c r="BU270" s="7"/>
      <c r="BV270" s="7"/>
      <c r="BW270" s="7"/>
      <c r="BX270" s="7"/>
      <c r="BY270" s="7"/>
      <c r="BZ270" s="7"/>
      <c r="CA270" s="7"/>
      <c r="CB270" s="7"/>
      <c r="CC270" s="7"/>
      <c r="CD270" s="7"/>
      <c r="CE270" s="7"/>
      <c r="CF270" s="7"/>
      <c r="CG270" s="7"/>
      <c r="CH270" s="7"/>
      <c r="CI270" s="7"/>
      <c r="CJ270" s="7"/>
      <c r="CK270" s="7"/>
      <c r="CL270" s="7"/>
      <c r="CM270" s="7"/>
      <c r="CN270" s="7"/>
      <c r="CO270" s="7"/>
      <c r="CP270" s="7"/>
      <c r="CQ270" s="7"/>
      <c r="CR270" s="7"/>
      <c r="CS270" s="7"/>
      <c r="CT270" s="7"/>
      <c r="CU270" s="7"/>
      <c r="CV270" s="7"/>
      <c r="CW270" s="290">
        <v>0.55000000000004001</v>
      </c>
      <c r="CX270" s="59">
        <v>247</v>
      </c>
      <c r="CY270" s="292" t="str">
        <f t="shared" si="59"/>
        <v>---------</v>
      </c>
      <c r="CZ270" s="7"/>
      <c r="DA270" s="7"/>
      <c r="DB270" s="7"/>
      <c r="DC270" s="7"/>
      <c r="DD270" s="7"/>
      <c r="DE270" s="7"/>
      <c r="DF270" s="290">
        <v>0.55000000000004001</v>
      </c>
      <c r="DG270" s="59">
        <v>247</v>
      </c>
      <c r="DH270" s="292" t="str">
        <f t="shared" si="61"/>
        <v>---------</v>
      </c>
      <c r="DI270" s="7"/>
      <c r="DJ270" s="7"/>
      <c r="DK270" s="7"/>
      <c r="DL270" s="7"/>
      <c r="FR270" s="12"/>
      <c r="FS270" s="7">
        <v>247</v>
      </c>
      <c r="FT270" s="12">
        <v>25.5</v>
      </c>
    </row>
    <row r="271" spans="20:176">
      <c r="T271" s="7"/>
      <c r="U271" s="7"/>
      <c r="V271" s="43"/>
      <c r="W271" s="7"/>
      <c r="X271" s="7"/>
      <c r="Y271" s="7"/>
      <c r="Z271" s="7"/>
      <c r="AA271" s="7"/>
      <c r="AB271" s="7"/>
      <c r="AC271" s="7"/>
      <c r="AD271" s="7"/>
      <c r="AE271" s="7"/>
      <c r="AF271" s="7"/>
      <c r="AG271" s="7"/>
      <c r="AH271" s="7"/>
      <c r="AI271" s="7"/>
      <c r="AJ271" s="7"/>
      <c r="AK271" s="7"/>
      <c r="AL271" s="7"/>
      <c r="AM271" s="7"/>
      <c r="AN271" s="7"/>
      <c r="AO271" s="7"/>
      <c r="AP271" s="7"/>
      <c r="AQ271" s="7"/>
      <c r="AR271" s="7"/>
      <c r="AS271" s="7"/>
      <c r="AT271" s="7"/>
      <c r="AU271" s="7"/>
      <c r="AV271" s="7"/>
      <c r="AW271" s="7"/>
      <c r="AX271" s="7"/>
      <c r="AY271" s="7"/>
      <c r="AZ271" s="7"/>
      <c r="BA271" s="7"/>
      <c r="BB271" s="7"/>
      <c r="BC271" s="7"/>
      <c r="BD271" s="7"/>
      <c r="BE271" s="7"/>
      <c r="BF271" s="7"/>
      <c r="BG271" s="7"/>
      <c r="BH271" s="7"/>
      <c r="BI271" s="7"/>
      <c r="BJ271" s="7"/>
      <c r="BK271" s="7"/>
      <c r="BL271" s="7"/>
      <c r="BM271" s="7"/>
      <c r="BN271" s="7"/>
      <c r="BO271" s="7"/>
      <c r="BP271" s="7"/>
      <c r="BQ271" s="7"/>
      <c r="BR271" s="7"/>
      <c r="BS271" s="7"/>
      <c r="BT271" s="7"/>
      <c r="BU271" s="7"/>
      <c r="BV271" s="7"/>
      <c r="BW271" s="7"/>
      <c r="BX271" s="7"/>
      <c r="BY271" s="7"/>
      <c r="BZ271" s="7"/>
      <c r="CA271" s="7"/>
      <c r="CB271" s="7"/>
      <c r="CC271" s="7"/>
      <c r="CD271" s="7"/>
      <c r="CE271" s="7"/>
      <c r="CF271" s="7"/>
      <c r="CG271" s="7"/>
      <c r="CH271" s="7"/>
      <c r="CI271" s="7"/>
      <c r="CJ271" s="7"/>
      <c r="CK271" s="7"/>
      <c r="CL271" s="7"/>
      <c r="CM271" s="7"/>
      <c r="CN271" s="7"/>
      <c r="CO271" s="7"/>
      <c r="CP271" s="7"/>
      <c r="CQ271" s="7"/>
      <c r="CR271" s="7"/>
      <c r="CS271" s="7"/>
      <c r="CT271" s="7"/>
      <c r="CU271" s="7"/>
      <c r="CV271" s="7"/>
      <c r="CW271" s="290">
        <v>0.54000000000004</v>
      </c>
      <c r="CX271" s="59">
        <v>248</v>
      </c>
      <c r="CY271" s="292" t="str">
        <f t="shared" si="59"/>
        <v>---------</v>
      </c>
      <c r="CZ271" s="7"/>
      <c r="DA271" s="7"/>
      <c r="DB271" s="7"/>
      <c r="DC271" s="7"/>
      <c r="DD271" s="7"/>
      <c r="DE271" s="7"/>
      <c r="DF271" s="290">
        <v>0.54000000000004</v>
      </c>
      <c r="DG271" s="59">
        <v>248</v>
      </c>
      <c r="DH271" s="292" t="str">
        <f t="shared" si="61"/>
        <v>---------</v>
      </c>
      <c r="DI271" s="7"/>
      <c r="DJ271" s="7"/>
      <c r="DK271" s="7"/>
      <c r="DL271" s="7"/>
      <c r="FR271" s="12"/>
      <c r="FS271" s="7">
        <v>248</v>
      </c>
      <c r="FT271" s="12">
        <v>25.4</v>
      </c>
    </row>
    <row r="272" spans="20:176">
      <c r="T272" s="7"/>
      <c r="U272" s="7"/>
      <c r="V272" s="43"/>
      <c r="W272" s="7"/>
      <c r="X272" s="7"/>
      <c r="Y272" s="7"/>
      <c r="Z272" s="7"/>
      <c r="AA272" s="7"/>
      <c r="AB272" s="7"/>
      <c r="AC272" s="7"/>
      <c r="AD272" s="7"/>
      <c r="AE272" s="7"/>
      <c r="AF272" s="7"/>
      <c r="AG272" s="7"/>
      <c r="AH272" s="7"/>
      <c r="AI272" s="7"/>
      <c r="AJ272" s="7"/>
      <c r="AK272" s="7"/>
      <c r="AL272" s="7"/>
      <c r="AM272" s="7"/>
      <c r="AN272" s="7"/>
      <c r="AO272" s="7"/>
      <c r="AP272" s="7"/>
      <c r="AQ272" s="7"/>
      <c r="AR272" s="7"/>
      <c r="AS272" s="7"/>
      <c r="AT272" s="7"/>
      <c r="AU272" s="7"/>
      <c r="AV272" s="7"/>
      <c r="AW272" s="7"/>
      <c r="AX272" s="7"/>
      <c r="AY272" s="7"/>
      <c r="AZ272" s="7"/>
      <c r="BA272" s="7"/>
      <c r="BB272" s="7"/>
      <c r="BC272" s="7"/>
      <c r="BD272" s="7"/>
      <c r="BE272" s="7"/>
      <c r="BF272" s="7"/>
      <c r="BG272" s="7"/>
      <c r="BH272" s="7"/>
      <c r="BI272" s="7"/>
      <c r="BJ272" s="7"/>
      <c r="BK272" s="7"/>
      <c r="BL272" s="7"/>
      <c r="BM272" s="7"/>
      <c r="BN272" s="7"/>
      <c r="BO272" s="7"/>
      <c r="BP272" s="7"/>
      <c r="BQ272" s="7"/>
      <c r="BR272" s="7"/>
      <c r="BS272" s="7"/>
      <c r="BT272" s="7"/>
      <c r="BU272" s="7"/>
      <c r="BV272" s="7"/>
      <c r="BW272" s="7"/>
      <c r="BX272" s="7"/>
      <c r="BY272" s="7"/>
      <c r="BZ272" s="7"/>
      <c r="CA272" s="7"/>
      <c r="CB272" s="7"/>
      <c r="CC272" s="7"/>
      <c r="CD272" s="7"/>
      <c r="CE272" s="7"/>
      <c r="CF272" s="7"/>
      <c r="CG272" s="7"/>
      <c r="CH272" s="7"/>
      <c r="CI272" s="7"/>
      <c r="CJ272" s="7"/>
      <c r="CK272" s="7"/>
      <c r="CL272" s="7"/>
      <c r="CM272" s="7"/>
      <c r="CN272" s="7"/>
      <c r="CO272" s="7"/>
      <c r="CP272" s="7"/>
      <c r="CQ272" s="7"/>
      <c r="CR272" s="7"/>
      <c r="CS272" s="7"/>
      <c r="CT272" s="7"/>
      <c r="CU272" s="7"/>
      <c r="CV272" s="7"/>
      <c r="CW272" s="290">
        <v>0.53000000000003999</v>
      </c>
      <c r="CX272" s="59">
        <v>249</v>
      </c>
      <c r="CY272" s="292" t="str">
        <f t="shared" si="59"/>
        <v>---------</v>
      </c>
      <c r="CZ272" s="7"/>
      <c r="DA272" s="7"/>
      <c r="DB272" s="7"/>
      <c r="DC272" s="7"/>
      <c r="DD272" s="7"/>
      <c r="DE272" s="7"/>
      <c r="DF272" s="290">
        <v>0.53000000000003999</v>
      </c>
      <c r="DG272" s="59">
        <v>249</v>
      </c>
      <c r="DH272" s="292" t="str">
        <f t="shared" si="61"/>
        <v>---------</v>
      </c>
      <c r="DI272" s="7"/>
      <c r="DJ272" s="7"/>
      <c r="DK272" s="7"/>
      <c r="DL272" s="7"/>
      <c r="FR272" s="12"/>
      <c r="FS272" s="7">
        <v>249</v>
      </c>
      <c r="FT272" s="12">
        <v>25.3</v>
      </c>
    </row>
    <row r="273" spans="20:176">
      <c r="T273" s="7"/>
      <c r="U273" s="7"/>
      <c r="V273" s="43"/>
      <c r="W273" s="7"/>
      <c r="X273" s="7"/>
      <c r="Y273" s="7"/>
      <c r="Z273" s="7"/>
      <c r="AA273" s="7"/>
      <c r="AB273" s="7"/>
      <c r="AC273" s="7"/>
      <c r="AD273" s="7"/>
      <c r="AE273" s="7"/>
      <c r="AF273" s="7"/>
      <c r="AG273" s="7"/>
      <c r="AH273" s="7"/>
      <c r="AI273" s="7"/>
      <c r="AJ273" s="7"/>
      <c r="AK273" s="7"/>
      <c r="AL273" s="7"/>
      <c r="AM273" s="7"/>
      <c r="AN273" s="7"/>
      <c r="AO273" s="7"/>
      <c r="AP273" s="7"/>
      <c r="AQ273" s="7"/>
      <c r="AR273" s="7"/>
      <c r="AS273" s="7"/>
      <c r="AT273" s="7"/>
      <c r="AU273" s="7"/>
      <c r="AV273" s="7"/>
      <c r="AW273" s="7"/>
      <c r="AX273" s="7"/>
      <c r="AY273" s="7"/>
      <c r="AZ273" s="7"/>
      <c r="BA273" s="7"/>
      <c r="BB273" s="7"/>
      <c r="BC273" s="7"/>
      <c r="BD273" s="7"/>
      <c r="BE273" s="7"/>
      <c r="BF273" s="7"/>
      <c r="BG273" s="7"/>
      <c r="BH273" s="7"/>
      <c r="BI273" s="7"/>
      <c r="BJ273" s="7"/>
      <c r="BK273" s="7"/>
      <c r="BL273" s="7"/>
      <c r="BM273" s="7"/>
      <c r="BN273" s="7"/>
      <c r="BO273" s="7"/>
      <c r="BP273" s="7"/>
      <c r="BQ273" s="7"/>
      <c r="BR273" s="7"/>
      <c r="BS273" s="7"/>
      <c r="BT273" s="7"/>
      <c r="BU273" s="7"/>
      <c r="BV273" s="7"/>
      <c r="BW273" s="7"/>
      <c r="BX273" s="7"/>
      <c r="BY273" s="7"/>
      <c r="BZ273" s="7"/>
      <c r="CA273" s="7"/>
      <c r="CB273" s="7"/>
      <c r="CC273" s="7"/>
      <c r="CD273" s="7"/>
      <c r="CE273" s="7"/>
      <c r="CF273" s="7"/>
      <c r="CG273" s="7"/>
      <c r="CH273" s="7"/>
      <c r="CI273" s="7"/>
      <c r="CJ273" s="7"/>
      <c r="CK273" s="7"/>
      <c r="CL273" s="7"/>
      <c r="CM273" s="7"/>
      <c r="CN273" s="7"/>
      <c r="CO273" s="7"/>
      <c r="CP273" s="7"/>
      <c r="CQ273" s="7"/>
      <c r="CR273" s="7"/>
      <c r="CS273" s="7"/>
      <c r="CT273" s="7"/>
      <c r="CU273" s="7"/>
      <c r="CV273" s="7"/>
      <c r="CW273" s="290">
        <v>0.52000000000003999</v>
      </c>
      <c r="CX273" s="59">
        <v>250</v>
      </c>
      <c r="CY273" s="292" t="str">
        <f t="shared" si="59"/>
        <v>---------</v>
      </c>
      <c r="CZ273" s="7"/>
      <c r="DA273" s="7"/>
      <c r="DB273" s="7"/>
      <c r="DC273" s="7"/>
      <c r="DD273" s="7"/>
      <c r="DE273" s="7"/>
      <c r="DF273" s="290">
        <v>0.52000000000003999</v>
      </c>
      <c r="DG273" s="59">
        <v>250</v>
      </c>
      <c r="DH273" s="292" t="str">
        <f t="shared" si="61"/>
        <v>---------</v>
      </c>
      <c r="DI273" s="7"/>
      <c r="DJ273" s="7"/>
      <c r="DK273" s="7"/>
      <c r="DL273" s="7"/>
      <c r="FR273" s="12"/>
      <c r="FS273" s="7">
        <v>250</v>
      </c>
      <c r="FT273" s="12">
        <v>25.2</v>
      </c>
    </row>
    <row r="274" spans="20:176">
      <c r="T274" s="7"/>
      <c r="U274" s="7"/>
      <c r="V274" s="43"/>
      <c r="W274" s="7"/>
      <c r="X274" s="7"/>
      <c r="Y274" s="7"/>
      <c r="Z274" s="7"/>
      <c r="AA274" s="7"/>
      <c r="AB274" s="7"/>
      <c r="AC274" s="7"/>
      <c r="AD274" s="7"/>
      <c r="AE274" s="7"/>
      <c r="AF274" s="7"/>
      <c r="AG274" s="7"/>
      <c r="AH274" s="7"/>
      <c r="AI274" s="7"/>
      <c r="AJ274" s="7"/>
      <c r="AK274" s="7"/>
      <c r="AL274" s="7"/>
      <c r="AM274" s="7"/>
      <c r="AN274" s="7"/>
      <c r="AO274" s="7"/>
      <c r="AP274" s="7"/>
      <c r="AQ274" s="7"/>
      <c r="AR274" s="7"/>
      <c r="AS274" s="7"/>
      <c r="AT274" s="7"/>
      <c r="AU274" s="7"/>
      <c r="AV274" s="7"/>
      <c r="AW274" s="7"/>
      <c r="AX274" s="7"/>
      <c r="AY274" s="7"/>
      <c r="AZ274" s="7"/>
      <c r="BA274" s="7"/>
      <c r="BB274" s="7"/>
      <c r="BC274" s="7"/>
      <c r="BD274" s="7"/>
      <c r="BE274" s="7"/>
      <c r="BF274" s="7"/>
      <c r="BG274" s="7"/>
      <c r="BH274" s="7"/>
      <c r="BI274" s="7"/>
      <c r="BJ274" s="7"/>
      <c r="BK274" s="7"/>
      <c r="BL274" s="7"/>
      <c r="BM274" s="7"/>
      <c r="BN274" s="7"/>
      <c r="BO274" s="7"/>
      <c r="BP274" s="7"/>
      <c r="BQ274" s="7"/>
      <c r="BR274" s="7"/>
      <c r="BS274" s="7"/>
      <c r="BT274" s="7"/>
      <c r="BU274" s="7"/>
      <c r="BV274" s="7"/>
      <c r="BW274" s="7"/>
      <c r="BX274" s="7"/>
      <c r="BY274" s="7"/>
      <c r="BZ274" s="7"/>
      <c r="CA274" s="7"/>
      <c r="CB274" s="7"/>
      <c r="CC274" s="7"/>
      <c r="CD274" s="7"/>
      <c r="CE274" s="7"/>
      <c r="CF274" s="7"/>
      <c r="CG274" s="7"/>
      <c r="CH274" s="7"/>
      <c r="CI274" s="7"/>
      <c r="CJ274" s="7"/>
      <c r="CK274" s="7"/>
      <c r="CL274" s="7"/>
      <c r="CM274" s="7"/>
      <c r="CN274" s="7"/>
      <c r="CO274" s="7"/>
      <c r="CP274" s="7"/>
      <c r="CQ274" s="7"/>
      <c r="CR274" s="7"/>
      <c r="CS274" s="7"/>
      <c r="CT274" s="7"/>
      <c r="CU274" s="7"/>
      <c r="CV274" s="7"/>
      <c r="CW274" s="290">
        <v>0.51000000000003998</v>
      </c>
      <c r="CX274" s="59">
        <v>251</v>
      </c>
      <c r="CY274" s="292" t="str">
        <f t="shared" si="59"/>
        <v>---------</v>
      </c>
      <c r="CZ274" s="7"/>
      <c r="DA274" s="7"/>
      <c r="DB274" s="7"/>
      <c r="DC274" s="7"/>
      <c r="DD274" s="7"/>
      <c r="DE274" s="7"/>
      <c r="DF274" s="290">
        <v>0.51000000000003998</v>
      </c>
      <c r="DG274" s="59">
        <v>251</v>
      </c>
      <c r="DH274" s="292" t="str">
        <f t="shared" si="61"/>
        <v>---------</v>
      </c>
      <c r="DI274" s="7"/>
      <c r="DJ274" s="7"/>
      <c r="DK274" s="7"/>
      <c r="DL274" s="7"/>
      <c r="FR274" s="12"/>
      <c r="FS274" s="7">
        <v>251</v>
      </c>
      <c r="FT274" s="12">
        <v>25.1</v>
      </c>
    </row>
    <row r="275" spans="20:176">
      <c r="T275" s="7"/>
      <c r="U275" s="7"/>
      <c r="V275" s="43"/>
      <c r="W275" s="7"/>
      <c r="X275" s="7"/>
      <c r="Y275" s="7"/>
      <c r="Z275" s="7"/>
      <c r="AA275" s="7"/>
      <c r="AB275" s="7"/>
      <c r="AC275" s="7"/>
      <c r="AD275" s="7"/>
      <c r="AE275" s="7"/>
      <c r="AF275" s="7"/>
      <c r="AG275" s="7"/>
      <c r="AH275" s="7"/>
      <c r="AI275" s="7"/>
      <c r="AJ275" s="7"/>
      <c r="AK275" s="7"/>
      <c r="AL275" s="7"/>
      <c r="AM275" s="7"/>
      <c r="AN275" s="7"/>
      <c r="AO275" s="7"/>
      <c r="AP275" s="7"/>
      <c r="AQ275" s="7"/>
      <c r="AR275" s="7"/>
      <c r="AS275" s="7"/>
      <c r="AT275" s="7"/>
      <c r="AU275" s="7"/>
      <c r="AV275" s="7"/>
      <c r="AW275" s="7"/>
      <c r="AX275" s="7"/>
      <c r="AY275" s="7"/>
      <c r="AZ275" s="7"/>
      <c r="BA275" s="7"/>
      <c r="BB275" s="7"/>
      <c r="BC275" s="7"/>
      <c r="BD275" s="7"/>
      <c r="BE275" s="7"/>
      <c r="BF275" s="7"/>
      <c r="BG275" s="7"/>
      <c r="BH275" s="7"/>
      <c r="BI275" s="7"/>
      <c r="BJ275" s="7"/>
      <c r="BK275" s="7"/>
      <c r="BL275" s="7"/>
      <c r="BM275" s="7"/>
      <c r="BN275" s="7"/>
      <c r="BO275" s="7"/>
      <c r="BP275" s="7"/>
      <c r="BQ275" s="7"/>
      <c r="BR275" s="7"/>
      <c r="BS275" s="7"/>
      <c r="BT275" s="7"/>
      <c r="BU275" s="7"/>
      <c r="BV275" s="7"/>
      <c r="BW275" s="7"/>
      <c r="BX275" s="7"/>
      <c r="BY275" s="7"/>
      <c r="BZ275" s="7"/>
      <c r="CA275" s="7"/>
      <c r="CB275" s="7"/>
      <c r="CC275" s="7"/>
      <c r="CD275" s="7"/>
      <c r="CE275" s="7"/>
      <c r="CF275" s="7"/>
      <c r="CG275" s="7"/>
      <c r="CH275" s="7"/>
      <c r="CI275" s="7"/>
      <c r="CJ275" s="7"/>
      <c r="CK275" s="7"/>
      <c r="CL275" s="7"/>
      <c r="CM275" s="7"/>
      <c r="CN275" s="7"/>
      <c r="CO275" s="7"/>
      <c r="CP275" s="7"/>
      <c r="CQ275" s="7"/>
      <c r="CR275" s="7"/>
      <c r="CS275" s="7"/>
      <c r="CT275" s="7"/>
      <c r="CU275" s="7"/>
      <c r="CV275" s="7"/>
      <c r="CW275" s="290">
        <v>0.50000000000003997</v>
      </c>
      <c r="CX275" s="59">
        <v>252</v>
      </c>
      <c r="CY275" s="292" t="str">
        <f t="shared" si="59"/>
        <v>---------</v>
      </c>
      <c r="CZ275" s="7"/>
      <c r="DA275" s="7"/>
      <c r="DB275" s="7"/>
      <c r="DC275" s="7"/>
      <c r="DD275" s="7"/>
      <c r="DE275" s="7"/>
      <c r="DF275" s="290">
        <v>0.50000000000003997</v>
      </c>
      <c r="DG275" s="59">
        <v>252</v>
      </c>
      <c r="DH275" s="292" t="str">
        <f t="shared" si="61"/>
        <v>---------</v>
      </c>
      <c r="DI275" s="7"/>
      <c r="DJ275" s="7"/>
      <c r="DK275" s="7"/>
      <c r="DL275" s="7"/>
      <c r="FR275" s="12"/>
      <c r="FS275" s="7">
        <v>252</v>
      </c>
      <c r="FT275" s="12">
        <v>25</v>
      </c>
    </row>
    <row r="276" spans="20:176">
      <c r="T276" s="7"/>
      <c r="U276" s="7"/>
      <c r="V276" s="43"/>
      <c r="W276" s="7"/>
      <c r="X276" s="7"/>
      <c r="Y276" s="7"/>
      <c r="Z276" s="7"/>
      <c r="AA276" s="7"/>
      <c r="AB276" s="7"/>
      <c r="AC276" s="7"/>
      <c r="AD276" s="7"/>
      <c r="AE276" s="7"/>
      <c r="AF276" s="7"/>
      <c r="AG276" s="7"/>
      <c r="AH276" s="7"/>
      <c r="AI276" s="7"/>
      <c r="AJ276" s="7"/>
      <c r="AK276" s="7"/>
      <c r="AL276" s="7"/>
      <c r="AM276" s="7"/>
      <c r="AN276" s="7"/>
      <c r="AO276" s="7"/>
      <c r="AP276" s="7"/>
      <c r="AQ276" s="7"/>
      <c r="AR276" s="7"/>
      <c r="AS276" s="7"/>
      <c r="AT276" s="7"/>
      <c r="AU276" s="7"/>
      <c r="AV276" s="7"/>
      <c r="AW276" s="7"/>
      <c r="AX276" s="7"/>
      <c r="AY276" s="7"/>
      <c r="AZ276" s="7"/>
      <c r="BA276" s="7"/>
      <c r="BB276" s="7"/>
      <c r="BC276" s="7"/>
      <c r="BD276" s="7"/>
      <c r="BE276" s="7"/>
      <c r="BF276" s="7"/>
      <c r="BG276" s="7"/>
      <c r="BH276" s="7"/>
      <c r="BI276" s="7"/>
      <c r="BJ276" s="7"/>
      <c r="BK276" s="7"/>
      <c r="BL276" s="7"/>
      <c r="BM276" s="7"/>
      <c r="BN276" s="7"/>
      <c r="BO276" s="7"/>
      <c r="BP276" s="7"/>
      <c r="BQ276" s="7"/>
      <c r="BR276" s="7"/>
      <c r="BS276" s="7"/>
      <c r="BT276" s="7"/>
      <c r="BU276" s="7"/>
      <c r="BV276" s="7"/>
      <c r="BW276" s="7"/>
      <c r="BX276" s="7"/>
      <c r="BY276" s="7"/>
      <c r="BZ276" s="7"/>
      <c r="CA276" s="7"/>
      <c r="CB276" s="7"/>
      <c r="CC276" s="7"/>
      <c r="CD276" s="7"/>
      <c r="CE276" s="7"/>
      <c r="CF276" s="7"/>
      <c r="CG276" s="7"/>
      <c r="CH276" s="7"/>
      <c r="CI276" s="7"/>
      <c r="CJ276" s="7"/>
      <c r="CK276" s="7"/>
      <c r="CL276" s="7"/>
      <c r="CM276" s="7"/>
      <c r="CN276" s="7"/>
      <c r="CO276" s="7"/>
      <c r="CP276" s="7"/>
      <c r="CQ276" s="7"/>
      <c r="CR276" s="7"/>
      <c r="CS276" s="7"/>
      <c r="CT276" s="7"/>
      <c r="CU276" s="7"/>
      <c r="CV276" s="7"/>
      <c r="CW276" s="290">
        <v>0.49000000000004001</v>
      </c>
      <c r="CX276" s="59">
        <v>253</v>
      </c>
      <c r="CY276" s="292" t="str">
        <f t="shared" si="59"/>
        <v>---------</v>
      </c>
      <c r="CZ276" s="7"/>
      <c r="DA276" s="7"/>
      <c r="DB276" s="7"/>
      <c r="DC276" s="7"/>
      <c r="DD276" s="7"/>
      <c r="DE276" s="7"/>
      <c r="DF276" s="290">
        <v>0.49000000000004001</v>
      </c>
      <c r="DG276" s="59">
        <v>253</v>
      </c>
      <c r="DH276" s="292" t="str">
        <f t="shared" si="61"/>
        <v>---------</v>
      </c>
      <c r="DI276" s="7"/>
      <c r="DJ276" s="7"/>
      <c r="DK276" s="7"/>
      <c r="DL276" s="7"/>
      <c r="FR276" s="12"/>
      <c r="FS276" s="7">
        <v>253</v>
      </c>
      <c r="FT276" s="12">
        <v>24.9</v>
      </c>
    </row>
    <row r="277" spans="20:176">
      <c r="T277" s="7"/>
      <c r="U277" s="7"/>
      <c r="V277" s="43"/>
      <c r="W277" s="7"/>
      <c r="X277" s="7"/>
      <c r="Y277" s="7"/>
      <c r="Z277" s="7"/>
      <c r="AA277" s="7"/>
      <c r="AB277" s="7"/>
      <c r="AC277" s="7"/>
      <c r="AD277" s="7"/>
      <c r="AE277" s="7"/>
      <c r="AF277" s="7"/>
      <c r="AG277" s="7"/>
      <c r="AH277" s="7"/>
      <c r="AI277" s="7"/>
      <c r="AJ277" s="7"/>
      <c r="AK277" s="7"/>
      <c r="AL277" s="7"/>
      <c r="AM277" s="7"/>
      <c r="AN277" s="7"/>
      <c r="AO277" s="7"/>
      <c r="AP277" s="7"/>
      <c r="AQ277" s="7"/>
      <c r="AR277" s="7"/>
      <c r="AS277" s="7"/>
      <c r="AT277" s="7"/>
      <c r="AU277" s="7"/>
      <c r="AV277" s="7"/>
      <c r="AW277" s="7"/>
      <c r="AX277" s="7"/>
      <c r="AY277" s="7"/>
      <c r="AZ277" s="7"/>
      <c r="BA277" s="7"/>
      <c r="BB277" s="7"/>
      <c r="BC277" s="7"/>
      <c r="BD277" s="7"/>
      <c r="BE277" s="7"/>
      <c r="BF277" s="7"/>
      <c r="BG277" s="7"/>
      <c r="BH277" s="7"/>
      <c r="BI277" s="7"/>
      <c r="BJ277" s="7"/>
      <c r="BK277" s="7"/>
      <c r="BL277" s="7"/>
      <c r="BM277" s="7"/>
      <c r="BN277" s="7"/>
      <c r="BO277" s="7"/>
      <c r="BP277" s="7"/>
      <c r="BQ277" s="7"/>
      <c r="BR277" s="7"/>
      <c r="BS277" s="7"/>
      <c r="BT277" s="7"/>
      <c r="BU277" s="7"/>
      <c r="BV277" s="7"/>
      <c r="BW277" s="7"/>
      <c r="BX277" s="7"/>
      <c r="BY277" s="7"/>
      <c r="BZ277" s="7"/>
      <c r="CA277" s="7"/>
      <c r="CB277" s="7"/>
      <c r="CC277" s="7"/>
      <c r="CD277" s="7"/>
      <c r="CE277" s="7"/>
      <c r="CF277" s="7"/>
      <c r="CG277" s="7"/>
      <c r="CH277" s="7"/>
      <c r="CI277" s="7"/>
      <c r="CJ277" s="7"/>
      <c r="CK277" s="7"/>
      <c r="CL277" s="7"/>
      <c r="CM277" s="7"/>
      <c r="CN277" s="7"/>
      <c r="CO277" s="7"/>
      <c r="CP277" s="7"/>
      <c r="CQ277" s="7"/>
      <c r="CR277" s="7"/>
      <c r="CS277" s="7"/>
      <c r="CT277" s="7"/>
      <c r="CU277" s="7"/>
      <c r="CV277" s="7"/>
      <c r="CW277" s="290">
        <v>0.48000000000004001</v>
      </c>
      <c r="CX277" s="59">
        <v>254</v>
      </c>
      <c r="CY277" s="292" t="str">
        <f t="shared" si="59"/>
        <v>---------</v>
      </c>
      <c r="CZ277" s="7"/>
      <c r="DA277" s="7"/>
      <c r="DB277" s="7"/>
      <c r="DC277" s="7"/>
      <c r="DD277" s="7"/>
      <c r="DE277" s="7"/>
      <c r="DF277" s="290">
        <v>0.48000000000004001</v>
      </c>
      <c r="DG277" s="59">
        <v>254</v>
      </c>
      <c r="DH277" s="292" t="str">
        <f t="shared" si="61"/>
        <v>---------</v>
      </c>
      <c r="DI277" s="7"/>
      <c r="DJ277" s="7"/>
      <c r="DK277" s="7"/>
      <c r="DL277" s="7"/>
      <c r="FR277" s="12"/>
      <c r="FS277" s="7">
        <v>254</v>
      </c>
      <c r="FT277" s="12">
        <v>24.8</v>
      </c>
    </row>
    <row r="278" spans="20:176">
      <c r="T278" s="7"/>
      <c r="U278" s="7"/>
      <c r="V278" s="43"/>
      <c r="W278" s="7"/>
      <c r="X278" s="7"/>
      <c r="Y278" s="7"/>
      <c r="Z278" s="7"/>
      <c r="AA278" s="7"/>
      <c r="AB278" s="7"/>
      <c r="AC278" s="7"/>
      <c r="AD278" s="7"/>
      <c r="AE278" s="7"/>
      <c r="AF278" s="7"/>
      <c r="AG278" s="7"/>
      <c r="AH278" s="7"/>
      <c r="AI278" s="7"/>
      <c r="AJ278" s="7"/>
      <c r="AK278" s="7"/>
      <c r="AL278" s="7"/>
      <c r="AM278" s="7"/>
      <c r="AN278" s="7"/>
      <c r="AO278" s="7"/>
      <c r="AP278" s="7"/>
      <c r="AQ278" s="7"/>
      <c r="AR278" s="7"/>
      <c r="AS278" s="7"/>
      <c r="AT278" s="7"/>
      <c r="AU278" s="7"/>
      <c r="AV278" s="7"/>
      <c r="AW278" s="7"/>
      <c r="AX278" s="7"/>
      <c r="AY278" s="7"/>
      <c r="AZ278" s="7"/>
      <c r="BA278" s="7"/>
      <c r="BB278" s="7"/>
      <c r="BC278" s="7"/>
      <c r="BD278" s="7"/>
      <c r="BE278" s="7"/>
      <c r="BF278" s="7"/>
      <c r="BG278" s="7"/>
      <c r="BH278" s="7"/>
      <c r="BI278" s="7"/>
      <c r="BJ278" s="7"/>
      <c r="BK278" s="7"/>
      <c r="BL278" s="7"/>
      <c r="BM278" s="7"/>
      <c r="BN278" s="7"/>
      <c r="BO278" s="7"/>
      <c r="BP278" s="7"/>
      <c r="BQ278" s="7"/>
      <c r="BR278" s="7"/>
      <c r="BS278" s="7"/>
      <c r="BT278" s="7"/>
      <c r="BU278" s="7"/>
      <c r="BV278" s="7"/>
      <c r="BW278" s="7"/>
      <c r="BX278" s="7"/>
      <c r="BY278" s="7"/>
      <c r="BZ278" s="7"/>
      <c r="CA278" s="7"/>
      <c r="CB278" s="7"/>
      <c r="CC278" s="7"/>
      <c r="CD278" s="7"/>
      <c r="CE278" s="7"/>
      <c r="CF278" s="7"/>
      <c r="CG278" s="7"/>
      <c r="CH278" s="7"/>
      <c r="CI278" s="7"/>
      <c r="CJ278" s="7"/>
      <c r="CK278" s="7"/>
      <c r="CL278" s="7"/>
      <c r="CM278" s="7"/>
      <c r="CN278" s="7"/>
      <c r="CO278" s="7"/>
      <c r="CP278" s="7"/>
      <c r="CQ278" s="7"/>
      <c r="CR278" s="7"/>
      <c r="CS278" s="7"/>
      <c r="CT278" s="7"/>
      <c r="CU278" s="7"/>
      <c r="CV278" s="7"/>
      <c r="CW278" s="290">
        <v>0.47000000000004</v>
      </c>
      <c r="CX278" s="59">
        <v>255</v>
      </c>
      <c r="CY278" s="292" t="str">
        <f t="shared" si="59"/>
        <v>---------</v>
      </c>
      <c r="CZ278" s="7"/>
      <c r="DA278" s="7"/>
      <c r="DB278" s="7"/>
      <c r="DC278" s="7"/>
      <c r="DD278" s="7"/>
      <c r="DE278" s="7"/>
      <c r="DF278" s="290">
        <v>0.47000000000004</v>
      </c>
      <c r="DG278" s="59">
        <v>255</v>
      </c>
      <c r="DH278" s="292" t="str">
        <f t="shared" si="61"/>
        <v>---------</v>
      </c>
      <c r="DI278" s="7"/>
      <c r="DJ278" s="7"/>
      <c r="DK278" s="7"/>
      <c r="DL278" s="7"/>
      <c r="FR278" s="12"/>
      <c r="FS278" s="7">
        <v>255</v>
      </c>
      <c r="FT278" s="12">
        <v>24.7</v>
      </c>
    </row>
    <row r="279" spans="20:176">
      <c r="T279" s="7"/>
      <c r="U279" s="7"/>
      <c r="V279" s="43"/>
      <c r="W279" s="7"/>
      <c r="X279" s="7"/>
      <c r="Y279" s="7"/>
      <c r="Z279" s="7"/>
      <c r="AA279" s="7"/>
      <c r="AB279" s="7"/>
      <c r="AC279" s="7"/>
      <c r="AD279" s="7"/>
      <c r="AE279" s="7"/>
      <c r="AF279" s="7"/>
      <c r="AG279" s="7"/>
      <c r="AH279" s="7"/>
      <c r="AI279" s="7"/>
      <c r="AJ279" s="7"/>
      <c r="AK279" s="7"/>
      <c r="AL279" s="7"/>
      <c r="AM279" s="7"/>
      <c r="AN279" s="7"/>
      <c r="AO279" s="7"/>
      <c r="AP279" s="7"/>
      <c r="AQ279" s="7"/>
      <c r="AR279" s="7"/>
      <c r="AS279" s="7"/>
      <c r="AT279" s="7"/>
      <c r="AU279" s="7"/>
      <c r="AV279" s="7"/>
      <c r="AW279" s="7"/>
      <c r="AX279" s="7"/>
      <c r="AY279" s="7"/>
      <c r="AZ279" s="7"/>
      <c r="BA279" s="7"/>
      <c r="BB279" s="7"/>
      <c r="BC279" s="7"/>
      <c r="BD279" s="7"/>
      <c r="BE279" s="7"/>
      <c r="BF279" s="7"/>
      <c r="BG279" s="7"/>
      <c r="BH279" s="7"/>
      <c r="BI279" s="7"/>
      <c r="BJ279" s="7"/>
      <c r="BK279" s="7"/>
      <c r="BL279" s="7"/>
      <c r="BM279" s="7"/>
      <c r="BN279" s="7"/>
      <c r="BO279" s="7"/>
      <c r="BP279" s="7"/>
      <c r="BQ279" s="7"/>
      <c r="BR279" s="7"/>
      <c r="BS279" s="7"/>
      <c r="BT279" s="7"/>
      <c r="BU279" s="7"/>
      <c r="BV279" s="7"/>
      <c r="BW279" s="7"/>
      <c r="BX279" s="7"/>
      <c r="BY279" s="7"/>
      <c r="BZ279" s="7"/>
      <c r="CA279" s="7"/>
      <c r="CB279" s="7"/>
      <c r="CC279" s="7"/>
      <c r="CD279" s="7"/>
      <c r="CE279" s="7"/>
      <c r="CF279" s="7"/>
      <c r="CG279" s="7"/>
      <c r="CH279" s="7"/>
      <c r="CI279" s="7"/>
      <c r="CJ279" s="7"/>
      <c r="CK279" s="7"/>
      <c r="CL279" s="7"/>
      <c r="CM279" s="7"/>
      <c r="CN279" s="7"/>
      <c r="CO279" s="7"/>
      <c r="CP279" s="7"/>
      <c r="CQ279" s="7"/>
      <c r="CR279" s="7"/>
      <c r="CS279" s="7"/>
      <c r="CT279" s="7"/>
      <c r="CU279" s="7"/>
      <c r="CV279" s="7"/>
      <c r="CW279" s="290">
        <v>0.46000000000003899</v>
      </c>
      <c r="CX279" s="59">
        <v>256</v>
      </c>
      <c r="CY279" s="292" t="str">
        <f t="shared" si="59"/>
        <v>---------</v>
      </c>
      <c r="CZ279" s="7"/>
      <c r="DA279" s="7"/>
      <c r="DB279" s="7"/>
      <c r="DC279" s="7"/>
      <c r="DD279" s="7"/>
      <c r="DE279" s="7"/>
      <c r="DF279" s="290">
        <v>0.46000000000003899</v>
      </c>
      <c r="DG279" s="59">
        <v>256</v>
      </c>
      <c r="DH279" s="292" t="str">
        <f t="shared" si="61"/>
        <v>---------</v>
      </c>
      <c r="DI279" s="7"/>
      <c r="DJ279" s="7"/>
      <c r="DK279" s="7"/>
      <c r="DL279" s="7"/>
      <c r="FR279" s="12"/>
      <c r="FS279" s="7">
        <v>256</v>
      </c>
      <c r="FT279" s="12">
        <v>24.6</v>
      </c>
    </row>
    <row r="280" spans="20:176">
      <c r="T280" s="7"/>
      <c r="U280" s="7"/>
      <c r="V280" s="43"/>
      <c r="W280" s="7"/>
      <c r="X280" s="7"/>
      <c r="Y280" s="7"/>
      <c r="Z280" s="7"/>
      <c r="AA280" s="7"/>
      <c r="AB280" s="7"/>
      <c r="AC280" s="7"/>
      <c r="AD280" s="7"/>
      <c r="AE280" s="7"/>
      <c r="AF280" s="7"/>
      <c r="AG280" s="7"/>
      <c r="AH280" s="7"/>
      <c r="AI280" s="7"/>
      <c r="AJ280" s="7"/>
      <c r="AK280" s="7"/>
      <c r="AL280" s="7"/>
      <c r="AM280" s="7"/>
      <c r="AN280" s="7"/>
      <c r="AO280" s="7"/>
      <c r="AP280" s="7"/>
      <c r="AQ280" s="7"/>
      <c r="AR280" s="7"/>
      <c r="AS280" s="7"/>
      <c r="AT280" s="7"/>
      <c r="AU280" s="7"/>
      <c r="AV280" s="7"/>
      <c r="AW280" s="7"/>
      <c r="AX280" s="7"/>
      <c r="AY280" s="7"/>
      <c r="AZ280" s="7"/>
      <c r="BA280" s="7"/>
      <c r="BB280" s="7"/>
      <c r="BC280" s="7"/>
      <c r="BD280" s="7"/>
      <c r="BE280" s="7"/>
      <c r="BF280" s="7"/>
      <c r="BG280" s="7"/>
      <c r="BH280" s="7"/>
      <c r="BI280" s="7"/>
      <c r="BJ280" s="7"/>
      <c r="BK280" s="7"/>
      <c r="BL280" s="7"/>
      <c r="BM280" s="7"/>
      <c r="BN280" s="7"/>
      <c r="BO280" s="7"/>
      <c r="BP280" s="7"/>
      <c r="BQ280" s="7"/>
      <c r="BR280" s="7"/>
      <c r="BS280" s="7"/>
      <c r="BT280" s="7"/>
      <c r="BU280" s="7"/>
      <c r="BV280" s="7"/>
      <c r="BW280" s="7"/>
      <c r="BX280" s="7"/>
      <c r="BY280" s="7"/>
      <c r="BZ280" s="7"/>
      <c r="CA280" s="7"/>
      <c r="CB280" s="7"/>
      <c r="CC280" s="7"/>
      <c r="CD280" s="7"/>
      <c r="CE280" s="7"/>
      <c r="CF280" s="7"/>
      <c r="CG280" s="7"/>
      <c r="CH280" s="7"/>
      <c r="CI280" s="7"/>
      <c r="CJ280" s="7"/>
      <c r="CK280" s="7"/>
      <c r="CL280" s="7"/>
      <c r="CM280" s="7"/>
      <c r="CN280" s="7"/>
      <c r="CO280" s="7"/>
      <c r="CP280" s="7"/>
      <c r="CQ280" s="7"/>
      <c r="CR280" s="7"/>
      <c r="CS280" s="7"/>
      <c r="CT280" s="7"/>
      <c r="CU280" s="7"/>
      <c r="CV280" s="7"/>
      <c r="CW280" s="290">
        <v>0.45000000000003898</v>
      </c>
      <c r="CX280" s="59">
        <v>257</v>
      </c>
      <c r="CY280" s="292" t="str">
        <f t="shared" si="59"/>
        <v>---------</v>
      </c>
      <c r="CZ280" s="7"/>
      <c r="DA280" s="7"/>
      <c r="DB280" s="7"/>
      <c r="DC280" s="7"/>
      <c r="DD280" s="7"/>
      <c r="DE280" s="7"/>
      <c r="DF280" s="290">
        <v>0.45000000000003898</v>
      </c>
      <c r="DG280" s="59">
        <v>257</v>
      </c>
      <c r="DH280" s="292" t="str">
        <f t="shared" si="61"/>
        <v>---------</v>
      </c>
      <c r="DI280" s="7"/>
      <c r="DJ280" s="7"/>
      <c r="DK280" s="7"/>
      <c r="DL280" s="7"/>
      <c r="FR280" s="12"/>
      <c r="FS280" s="7">
        <v>257</v>
      </c>
      <c r="FT280" s="12">
        <v>24.5</v>
      </c>
    </row>
    <row r="281" spans="20:176">
      <c r="T281" s="7"/>
      <c r="U281" s="7"/>
      <c r="V281" s="43"/>
      <c r="W281" s="7"/>
      <c r="X281" s="7"/>
      <c r="Y281" s="7"/>
      <c r="Z281" s="7"/>
      <c r="AA281" s="7"/>
      <c r="AB281" s="7"/>
      <c r="AC281" s="7"/>
      <c r="AD281" s="7"/>
      <c r="AE281" s="7"/>
      <c r="AF281" s="7"/>
      <c r="AG281" s="7"/>
      <c r="AH281" s="7"/>
      <c r="AI281" s="7"/>
      <c r="AJ281" s="7"/>
      <c r="AK281" s="7"/>
      <c r="AL281" s="7"/>
      <c r="AM281" s="7"/>
      <c r="AN281" s="7"/>
      <c r="AO281" s="7"/>
      <c r="AP281" s="7"/>
      <c r="AQ281" s="7"/>
      <c r="AR281" s="7"/>
      <c r="AS281" s="7"/>
      <c r="AT281" s="7"/>
      <c r="AU281" s="7"/>
      <c r="AV281" s="7"/>
      <c r="AW281" s="7"/>
      <c r="AX281" s="7"/>
      <c r="AY281" s="7"/>
      <c r="AZ281" s="7"/>
      <c r="BA281" s="7"/>
      <c r="BB281" s="7"/>
      <c r="BC281" s="7"/>
      <c r="BD281" s="7"/>
      <c r="BE281" s="7"/>
      <c r="BF281" s="7"/>
      <c r="BG281" s="7"/>
      <c r="BH281" s="7"/>
      <c r="BI281" s="7"/>
      <c r="BJ281" s="7"/>
      <c r="BK281" s="7"/>
      <c r="BL281" s="7"/>
      <c r="BM281" s="7"/>
      <c r="BN281" s="7"/>
      <c r="BO281" s="7"/>
      <c r="BP281" s="7"/>
      <c r="BQ281" s="7"/>
      <c r="BR281" s="7"/>
      <c r="BS281" s="7"/>
      <c r="BT281" s="7"/>
      <c r="BU281" s="7"/>
      <c r="BV281" s="7"/>
      <c r="BW281" s="7"/>
      <c r="BX281" s="7"/>
      <c r="BY281" s="7"/>
      <c r="BZ281" s="7"/>
      <c r="CA281" s="7"/>
      <c r="CB281" s="7"/>
      <c r="CC281" s="7"/>
      <c r="CD281" s="7"/>
      <c r="CE281" s="7"/>
      <c r="CF281" s="7"/>
      <c r="CG281" s="7"/>
      <c r="CH281" s="7"/>
      <c r="CI281" s="7"/>
      <c r="CJ281" s="7"/>
      <c r="CK281" s="7"/>
      <c r="CL281" s="7"/>
      <c r="CM281" s="7"/>
      <c r="CN281" s="7"/>
      <c r="CO281" s="7"/>
      <c r="CP281" s="7"/>
      <c r="CQ281" s="7"/>
      <c r="CR281" s="7"/>
      <c r="CS281" s="7"/>
      <c r="CT281" s="7"/>
      <c r="CU281" s="7"/>
      <c r="CV281" s="7"/>
      <c r="CW281" s="290">
        <v>0.44000000000003903</v>
      </c>
      <c r="CX281" s="59">
        <v>258</v>
      </c>
      <c r="CY281" s="292" t="str">
        <f t="shared" ref="CY281:CY324" si="62">IF(Cntrl6=2,"---------",TEXT(CW281,"0.00"))</f>
        <v>---------</v>
      </c>
      <c r="CZ281" s="7"/>
      <c r="DA281" s="7"/>
      <c r="DB281" s="7"/>
      <c r="DC281" s="7"/>
      <c r="DD281" s="7"/>
      <c r="DE281" s="7"/>
      <c r="DF281" s="290">
        <v>0.44000000000003903</v>
      </c>
      <c r="DG281" s="59">
        <v>258</v>
      </c>
      <c r="DH281" s="292" t="str">
        <f t="shared" ref="DH281:DH324" si="63">IF($CH$23=2,"---------",TEXT(DF281,"0.00"))</f>
        <v>---------</v>
      </c>
      <c r="DI281" s="7"/>
      <c r="DJ281" s="7"/>
      <c r="DK281" s="7"/>
      <c r="DL281" s="7"/>
      <c r="FR281" s="12"/>
      <c r="FS281" s="7">
        <v>258</v>
      </c>
      <c r="FT281" s="12">
        <v>24.4</v>
      </c>
    </row>
    <row r="282" spans="20:176">
      <c r="T282" s="7"/>
      <c r="U282" s="7"/>
      <c r="V282" s="43"/>
      <c r="W282" s="7"/>
      <c r="X282" s="7"/>
      <c r="Y282" s="7"/>
      <c r="Z282" s="7"/>
      <c r="AA282" s="7"/>
      <c r="AB282" s="7"/>
      <c r="AC282" s="7"/>
      <c r="AD282" s="7"/>
      <c r="AE282" s="7"/>
      <c r="AF282" s="7"/>
      <c r="AG282" s="7"/>
      <c r="AH282" s="7"/>
      <c r="AI282" s="7"/>
      <c r="AJ282" s="7"/>
      <c r="AK282" s="7"/>
      <c r="AL282" s="7"/>
      <c r="AM282" s="7"/>
      <c r="AN282" s="7"/>
      <c r="AO282" s="7"/>
      <c r="AP282" s="7"/>
      <c r="AQ282" s="7"/>
      <c r="AR282" s="7"/>
      <c r="AS282" s="7"/>
      <c r="AT282" s="7"/>
      <c r="AU282" s="7"/>
      <c r="AV282" s="7"/>
      <c r="AW282" s="7"/>
      <c r="AX282" s="7"/>
      <c r="AY282" s="7"/>
      <c r="AZ282" s="7"/>
      <c r="BA282" s="7"/>
      <c r="BB282" s="7"/>
      <c r="BC282" s="7"/>
      <c r="BD282" s="7"/>
      <c r="BE282" s="7"/>
      <c r="BF282" s="7"/>
      <c r="BG282" s="7"/>
      <c r="BH282" s="7"/>
      <c r="BI282" s="7"/>
      <c r="BJ282" s="7"/>
      <c r="BK282" s="7"/>
      <c r="BL282" s="7"/>
      <c r="BM282" s="7"/>
      <c r="BN282" s="7"/>
      <c r="BO282" s="7"/>
      <c r="BP282" s="7"/>
      <c r="BQ282" s="7"/>
      <c r="BR282" s="7"/>
      <c r="BS282" s="7"/>
      <c r="BT282" s="7"/>
      <c r="BU282" s="7"/>
      <c r="BV282" s="7"/>
      <c r="BW282" s="7"/>
      <c r="BX282" s="7"/>
      <c r="BY282" s="7"/>
      <c r="BZ282" s="7"/>
      <c r="CA282" s="7"/>
      <c r="CB282" s="7"/>
      <c r="CC282" s="7"/>
      <c r="CD282" s="7"/>
      <c r="CE282" s="7"/>
      <c r="CF282" s="7"/>
      <c r="CG282" s="7"/>
      <c r="CH282" s="7"/>
      <c r="CI282" s="7"/>
      <c r="CJ282" s="7"/>
      <c r="CK282" s="7"/>
      <c r="CL282" s="7"/>
      <c r="CM282" s="7"/>
      <c r="CN282" s="7"/>
      <c r="CO282" s="7"/>
      <c r="CP282" s="7"/>
      <c r="CQ282" s="7"/>
      <c r="CR282" s="7"/>
      <c r="CS282" s="7"/>
      <c r="CT282" s="7"/>
      <c r="CU282" s="7"/>
      <c r="CV282" s="7"/>
      <c r="CW282" s="290">
        <v>0.43000000000003902</v>
      </c>
      <c r="CX282" s="59">
        <v>259</v>
      </c>
      <c r="CY282" s="292" t="str">
        <f t="shared" si="62"/>
        <v>---------</v>
      </c>
      <c r="CZ282" s="7"/>
      <c r="DA282" s="7"/>
      <c r="DB282" s="7"/>
      <c r="DC282" s="7"/>
      <c r="DD282" s="7"/>
      <c r="DE282" s="7"/>
      <c r="DF282" s="290">
        <v>0.43000000000003902</v>
      </c>
      <c r="DG282" s="59">
        <v>259</v>
      </c>
      <c r="DH282" s="292" t="str">
        <f t="shared" si="63"/>
        <v>---------</v>
      </c>
      <c r="DI282" s="7"/>
      <c r="DJ282" s="7"/>
      <c r="DK282" s="7"/>
      <c r="DL282" s="7"/>
      <c r="FR282" s="12"/>
      <c r="FS282" s="7">
        <v>259</v>
      </c>
      <c r="FT282" s="12">
        <v>24.3</v>
      </c>
    </row>
    <row r="283" spans="20:176">
      <c r="T283" s="7"/>
      <c r="U283" s="7"/>
      <c r="V283" s="43"/>
      <c r="W283" s="7"/>
      <c r="X283" s="7"/>
      <c r="Y283" s="7"/>
      <c r="Z283" s="7"/>
      <c r="AA283" s="7"/>
      <c r="AB283" s="7"/>
      <c r="AC283" s="7"/>
      <c r="AD283" s="7"/>
      <c r="AE283" s="7"/>
      <c r="AF283" s="7"/>
      <c r="AG283" s="7"/>
      <c r="AH283" s="7"/>
      <c r="AI283" s="7"/>
      <c r="AJ283" s="7"/>
      <c r="AK283" s="7"/>
      <c r="AL283" s="7"/>
      <c r="AM283" s="7"/>
      <c r="AN283" s="7"/>
      <c r="AO283" s="7"/>
      <c r="AP283" s="7"/>
      <c r="AQ283" s="7"/>
      <c r="AR283" s="7"/>
      <c r="AS283" s="7"/>
      <c r="AT283" s="7"/>
      <c r="AU283" s="7"/>
      <c r="AV283" s="7"/>
      <c r="AW283" s="7"/>
      <c r="AX283" s="7"/>
      <c r="AY283" s="7"/>
      <c r="AZ283" s="7"/>
      <c r="BA283" s="7"/>
      <c r="BB283" s="7"/>
      <c r="BC283" s="7"/>
      <c r="BD283" s="7"/>
      <c r="BE283" s="7"/>
      <c r="BF283" s="7"/>
      <c r="BG283" s="7"/>
      <c r="BH283" s="7"/>
      <c r="BI283" s="7"/>
      <c r="BJ283" s="7"/>
      <c r="BK283" s="7"/>
      <c r="BL283" s="7"/>
      <c r="BM283" s="7"/>
      <c r="BN283" s="7"/>
      <c r="BO283" s="7"/>
      <c r="BP283" s="7"/>
      <c r="BQ283" s="7"/>
      <c r="BR283" s="7"/>
      <c r="BS283" s="7"/>
      <c r="BT283" s="7"/>
      <c r="BU283" s="7"/>
      <c r="BV283" s="7"/>
      <c r="BW283" s="7"/>
      <c r="BX283" s="7"/>
      <c r="BY283" s="7"/>
      <c r="BZ283" s="7"/>
      <c r="CA283" s="7"/>
      <c r="CB283" s="7"/>
      <c r="CC283" s="7"/>
      <c r="CD283" s="7"/>
      <c r="CE283" s="7"/>
      <c r="CF283" s="7"/>
      <c r="CG283" s="7"/>
      <c r="CH283" s="7"/>
      <c r="CI283" s="7"/>
      <c r="CJ283" s="7"/>
      <c r="CK283" s="7"/>
      <c r="CL283" s="7"/>
      <c r="CM283" s="7"/>
      <c r="CN283" s="7"/>
      <c r="CO283" s="7"/>
      <c r="CP283" s="7"/>
      <c r="CQ283" s="7"/>
      <c r="CR283" s="7"/>
      <c r="CS283" s="7"/>
      <c r="CT283" s="7"/>
      <c r="CU283" s="7"/>
      <c r="CV283" s="7"/>
      <c r="CW283" s="290">
        <v>0.42000000000003901</v>
      </c>
      <c r="CX283" s="59">
        <v>260</v>
      </c>
      <c r="CY283" s="292" t="str">
        <f t="shared" si="62"/>
        <v>---------</v>
      </c>
      <c r="CZ283" s="7"/>
      <c r="DA283" s="7"/>
      <c r="DB283" s="7"/>
      <c r="DC283" s="7"/>
      <c r="DD283" s="7"/>
      <c r="DE283" s="7"/>
      <c r="DF283" s="290">
        <v>0.42000000000003901</v>
      </c>
      <c r="DG283" s="59">
        <v>260</v>
      </c>
      <c r="DH283" s="292" t="str">
        <f t="shared" si="63"/>
        <v>---------</v>
      </c>
      <c r="DI283" s="7"/>
      <c r="DJ283" s="7"/>
      <c r="DK283" s="7"/>
      <c r="DL283" s="7"/>
      <c r="FR283" s="12"/>
      <c r="FS283" s="7">
        <v>260</v>
      </c>
      <c r="FT283" s="12">
        <v>24.2</v>
      </c>
    </row>
    <row r="284" spans="20:176">
      <c r="T284" s="7"/>
      <c r="U284" s="7"/>
      <c r="V284" s="43"/>
      <c r="W284" s="7"/>
      <c r="X284" s="7"/>
      <c r="Y284" s="7"/>
      <c r="Z284" s="7"/>
      <c r="AA284" s="7"/>
      <c r="AB284" s="7"/>
      <c r="AC284" s="7"/>
      <c r="AD284" s="7"/>
      <c r="AE284" s="7"/>
      <c r="AF284" s="7"/>
      <c r="AG284" s="7"/>
      <c r="AH284" s="7"/>
      <c r="AI284" s="7"/>
      <c r="AJ284" s="7"/>
      <c r="AK284" s="7"/>
      <c r="AL284" s="7"/>
      <c r="AM284" s="7"/>
      <c r="AN284" s="7"/>
      <c r="AO284" s="7"/>
      <c r="AP284" s="7"/>
      <c r="AQ284" s="7"/>
      <c r="AR284" s="7"/>
      <c r="AS284" s="7"/>
      <c r="AT284" s="7"/>
      <c r="AU284" s="7"/>
      <c r="AV284" s="7"/>
      <c r="AW284" s="7"/>
      <c r="AX284" s="7"/>
      <c r="AY284" s="7"/>
      <c r="AZ284" s="7"/>
      <c r="BA284" s="7"/>
      <c r="BB284" s="7"/>
      <c r="BC284" s="7"/>
      <c r="BD284" s="7"/>
      <c r="BE284" s="7"/>
      <c r="BF284" s="7"/>
      <c r="BG284" s="7"/>
      <c r="BH284" s="7"/>
      <c r="BI284" s="7"/>
      <c r="BJ284" s="7"/>
      <c r="BK284" s="7"/>
      <c r="BL284" s="7"/>
      <c r="BM284" s="7"/>
      <c r="BN284" s="7"/>
      <c r="BO284" s="7"/>
      <c r="BP284" s="7"/>
      <c r="BQ284" s="7"/>
      <c r="BR284" s="7"/>
      <c r="BS284" s="7"/>
      <c r="BT284" s="7"/>
      <c r="BU284" s="7"/>
      <c r="BV284" s="7"/>
      <c r="BW284" s="7"/>
      <c r="BX284" s="7"/>
      <c r="BY284" s="7"/>
      <c r="BZ284" s="7"/>
      <c r="CA284" s="7"/>
      <c r="CB284" s="7"/>
      <c r="CC284" s="7"/>
      <c r="CD284" s="7"/>
      <c r="CE284" s="7"/>
      <c r="CF284" s="7"/>
      <c r="CG284" s="7"/>
      <c r="CH284" s="7"/>
      <c r="CI284" s="7"/>
      <c r="CJ284" s="7"/>
      <c r="CK284" s="7"/>
      <c r="CL284" s="7"/>
      <c r="CM284" s="7"/>
      <c r="CN284" s="7"/>
      <c r="CO284" s="7"/>
      <c r="CP284" s="7"/>
      <c r="CQ284" s="7"/>
      <c r="CR284" s="7"/>
      <c r="CS284" s="7"/>
      <c r="CT284" s="7"/>
      <c r="CU284" s="7"/>
      <c r="CV284" s="7"/>
      <c r="CW284" s="290">
        <v>0.410000000000039</v>
      </c>
      <c r="CX284" s="59">
        <v>261</v>
      </c>
      <c r="CY284" s="292" t="str">
        <f t="shared" si="62"/>
        <v>---------</v>
      </c>
      <c r="CZ284" s="7"/>
      <c r="DA284" s="7"/>
      <c r="DB284" s="7"/>
      <c r="DC284" s="7"/>
      <c r="DD284" s="7"/>
      <c r="DE284" s="7"/>
      <c r="DF284" s="290">
        <v>0.410000000000039</v>
      </c>
      <c r="DG284" s="59">
        <v>261</v>
      </c>
      <c r="DH284" s="292" t="str">
        <f t="shared" si="63"/>
        <v>---------</v>
      </c>
      <c r="DI284" s="7"/>
      <c r="DJ284" s="7"/>
      <c r="DK284" s="7"/>
      <c r="DL284" s="7"/>
      <c r="FR284" s="12"/>
      <c r="FS284" s="7">
        <v>261</v>
      </c>
      <c r="FT284" s="12">
        <v>24.1</v>
      </c>
    </row>
    <row r="285" spans="20:176">
      <c r="T285" s="7"/>
      <c r="U285" s="7"/>
      <c r="V285" s="43"/>
      <c r="W285" s="7"/>
      <c r="X285" s="7"/>
      <c r="Y285" s="7"/>
      <c r="Z285" s="7"/>
      <c r="AA285" s="7"/>
      <c r="AB285" s="7"/>
      <c r="AC285" s="7"/>
      <c r="AD285" s="7"/>
      <c r="AE285" s="7"/>
      <c r="AF285" s="7"/>
      <c r="AG285" s="7"/>
      <c r="AH285" s="7"/>
      <c r="AI285" s="7"/>
      <c r="AJ285" s="7"/>
      <c r="AK285" s="7"/>
      <c r="AL285" s="7"/>
      <c r="AM285" s="7"/>
      <c r="AN285" s="7"/>
      <c r="AO285" s="7"/>
      <c r="AP285" s="7"/>
      <c r="AQ285" s="7"/>
      <c r="AR285" s="7"/>
      <c r="AS285" s="7"/>
      <c r="AT285" s="7"/>
      <c r="AU285" s="7"/>
      <c r="AV285" s="7"/>
      <c r="AW285" s="7"/>
      <c r="AX285" s="7"/>
      <c r="AY285" s="7"/>
      <c r="AZ285" s="7"/>
      <c r="BA285" s="7"/>
      <c r="BB285" s="7"/>
      <c r="BC285" s="7"/>
      <c r="BD285" s="7"/>
      <c r="BE285" s="7"/>
      <c r="BF285" s="7"/>
      <c r="BG285" s="7"/>
      <c r="BH285" s="7"/>
      <c r="BI285" s="7"/>
      <c r="BJ285" s="7"/>
      <c r="BK285" s="7"/>
      <c r="BL285" s="7"/>
      <c r="BM285" s="7"/>
      <c r="BN285" s="7"/>
      <c r="BO285" s="7"/>
      <c r="BP285" s="7"/>
      <c r="BQ285" s="7"/>
      <c r="BR285" s="7"/>
      <c r="BS285" s="7"/>
      <c r="BT285" s="7"/>
      <c r="BU285" s="7"/>
      <c r="BV285" s="7"/>
      <c r="BW285" s="7"/>
      <c r="BX285" s="7"/>
      <c r="BY285" s="7"/>
      <c r="BZ285" s="7"/>
      <c r="CA285" s="7"/>
      <c r="CB285" s="7"/>
      <c r="CC285" s="7"/>
      <c r="CD285" s="7"/>
      <c r="CE285" s="7"/>
      <c r="CF285" s="7"/>
      <c r="CG285" s="7"/>
      <c r="CH285" s="7"/>
      <c r="CI285" s="7"/>
      <c r="CJ285" s="7"/>
      <c r="CK285" s="7"/>
      <c r="CL285" s="7"/>
      <c r="CM285" s="7"/>
      <c r="CN285" s="7"/>
      <c r="CO285" s="7"/>
      <c r="CP285" s="7"/>
      <c r="CQ285" s="7"/>
      <c r="CR285" s="7"/>
      <c r="CS285" s="7"/>
      <c r="CT285" s="7"/>
      <c r="CU285" s="7"/>
      <c r="CV285" s="7"/>
      <c r="CW285" s="290">
        <v>0.40000000000003899</v>
      </c>
      <c r="CX285" s="59">
        <v>262</v>
      </c>
      <c r="CY285" s="292" t="str">
        <f t="shared" si="62"/>
        <v>---------</v>
      </c>
      <c r="CZ285" s="7"/>
      <c r="DA285" s="7"/>
      <c r="DB285" s="7"/>
      <c r="DC285" s="7"/>
      <c r="DD285" s="7"/>
      <c r="DE285" s="7"/>
      <c r="DF285" s="290">
        <v>0.40000000000003899</v>
      </c>
      <c r="DG285" s="59">
        <v>262</v>
      </c>
      <c r="DH285" s="292" t="str">
        <f t="shared" si="63"/>
        <v>---------</v>
      </c>
      <c r="DI285" s="7"/>
      <c r="DJ285" s="7"/>
      <c r="DK285" s="7"/>
      <c r="DL285" s="7"/>
      <c r="FR285" s="12"/>
      <c r="FS285" s="7">
        <v>262</v>
      </c>
      <c r="FT285" s="12">
        <v>24</v>
      </c>
    </row>
    <row r="286" spans="20:176">
      <c r="T286" s="7"/>
      <c r="U286" s="7"/>
      <c r="V286" s="43"/>
      <c r="W286" s="7"/>
      <c r="X286" s="7"/>
      <c r="Y286" s="7"/>
      <c r="Z286" s="7"/>
      <c r="AA286" s="7"/>
      <c r="AB286" s="7"/>
      <c r="AC286" s="7"/>
      <c r="AD286" s="7"/>
      <c r="AE286" s="7"/>
      <c r="AF286" s="7"/>
      <c r="AG286" s="7"/>
      <c r="AH286" s="7"/>
      <c r="AI286" s="7"/>
      <c r="AJ286" s="7"/>
      <c r="AK286" s="7"/>
      <c r="AL286" s="7"/>
      <c r="AM286" s="7"/>
      <c r="AN286" s="7"/>
      <c r="AO286" s="7"/>
      <c r="AP286" s="7"/>
      <c r="AQ286" s="7"/>
      <c r="AR286" s="7"/>
      <c r="AS286" s="7"/>
      <c r="AT286" s="7"/>
      <c r="AU286" s="7"/>
      <c r="AV286" s="7"/>
      <c r="AW286" s="7"/>
      <c r="AX286" s="7"/>
      <c r="AY286" s="7"/>
      <c r="AZ286" s="7"/>
      <c r="BA286" s="7"/>
      <c r="BB286" s="7"/>
      <c r="BC286" s="7"/>
      <c r="BD286" s="7"/>
      <c r="BE286" s="7"/>
      <c r="BF286" s="7"/>
      <c r="BG286" s="7"/>
      <c r="BH286" s="7"/>
      <c r="BI286" s="7"/>
      <c r="BJ286" s="7"/>
      <c r="BK286" s="7"/>
      <c r="BL286" s="7"/>
      <c r="BM286" s="7"/>
      <c r="BN286" s="7"/>
      <c r="BO286" s="7"/>
      <c r="BP286" s="7"/>
      <c r="BQ286" s="7"/>
      <c r="BR286" s="7"/>
      <c r="BS286" s="7"/>
      <c r="BT286" s="7"/>
      <c r="BU286" s="7"/>
      <c r="BV286" s="7"/>
      <c r="BW286" s="7"/>
      <c r="BX286" s="7"/>
      <c r="BY286" s="7"/>
      <c r="BZ286" s="7"/>
      <c r="CA286" s="7"/>
      <c r="CB286" s="7"/>
      <c r="CC286" s="7"/>
      <c r="CD286" s="7"/>
      <c r="CE286" s="7"/>
      <c r="CF286" s="7"/>
      <c r="CG286" s="7"/>
      <c r="CH286" s="7"/>
      <c r="CI286" s="7"/>
      <c r="CJ286" s="7"/>
      <c r="CK286" s="7"/>
      <c r="CL286" s="7"/>
      <c r="CM286" s="7"/>
      <c r="CN286" s="7"/>
      <c r="CO286" s="7"/>
      <c r="CP286" s="7"/>
      <c r="CQ286" s="7"/>
      <c r="CR286" s="7"/>
      <c r="CS286" s="7"/>
      <c r="CT286" s="7"/>
      <c r="CU286" s="7"/>
      <c r="CV286" s="7"/>
      <c r="CW286" s="290">
        <v>0.39000000000003898</v>
      </c>
      <c r="CX286" s="59">
        <v>263</v>
      </c>
      <c r="CY286" s="292" t="str">
        <f t="shared" si="62"/>
        <v>---------</v>
      </c>
      <c r="CZ286" s="7"/>
      <c r="DA286" s="7"/>
      <c r="DB286" s="7"/>
      <c r="DC286" s="7"/>
      <c r="DD286" s="7"/>
      <c r="DE286" s="7"/>
      <c r="DF286" s="290">
        <v>0.39000000000003898</v>
      </c>
      <c r="DG286" s="59">
        <v>263</v>
      </c>
      <c r="DH286" s="292" t="str">
        <f t="shared" si="63"/>
        <v>---------</v>
      </c>
      <c r="DI286" s="7"/>
      <c r="DJ286" s="7"/>
      <c r="DK286" s="7"/>
      <c r="DL286" s="7"/>
      <c r="FR286" s="12"/>
      <c r="FS286" s="7">
        <v>263</v>
      </c>
      <c r="FT286" s="12">
        <v>23.9</v>
      </c>
    </row>
    <row r="287" spans="20:176">
      <c r="T287" s="7"/>
      <c r="U287" s="7"/>
      <c r="V287" s="43"/>
      <c r="W287" s="7"/>
      <c r="X287" s="7"/>
      <c r="Y287" s="7"/>
      <c r="Z287" s="7"/>
      <c r="AA287" s="7"/>
      <c r="AB287" s="7"/>
      <c r="AC287" s="7"/>
      <c r="AD287" s="7"/>
      <c r="AE287" s="7"/>
      <c r="AF287" s="7"/>
      <c r="AG287" s="7"/>
      <c r="AH287" s="7"/>
      <c r="AI287" s="7"/>
      <c r="AJ287" s="7"/>
      <c r="AK287" s="7"/>
      <c r="AL287" s="7"/>
      <c r="AM287" s="7"/>
      <c r="AN287" s="7"/>
      <c r="AO287" s="7"/>
      <c r="AP287" s="7"/>
      <c r="AQ287" s="7"/>
      <c r="AR287" s="7"/>
      <c r="AS287" s="7"/>
      <c r="AT287" s="7"/>
      <c r="AU287" s="7"/>
      <c r="AV287" s="7"/>
      <c r="AW287" s="7"/>
      <c r="AX287" s="7"/>
      <c r="AY287" s="7"/>
      <c r="AZ287" s="7"/>
      <c r="BA287" s="7"/>
      <c r="BB287" s="7"/>
      <c r="BC287" s="7"/>
      <c r="BD287" s="7"/>
      <c r="BE287" s="7"/>
      <c r="BF287" s="7"/>
      <c r="BG287" s="7"/>
      <c r="BH287" s="7"/>
      <c r="BI287" s="7"/>
      <c r="BJ287" s="7"/>
      <c r="BK287" s="7"/>
      <c r="BL287" s="7"/>
      <c r="BM287" s="7"/>
      <c r="BN287" s="7"/>
      <c r="BO287" s="7"/>
      <c r="BP287" s="7"/>
      <c r="BQ287" s="7"/>
      <c r="BR287" s="7"/>
      <c r="BS287" s="7"/>
      <c r="BT287" s="7"/>
      <c r="BU287" s="7"/>
      <c r="BV287" s="7"/>
      <c r="BW287" s="7"/>
      <c r="BX287" s="7"/>
      <c r="BY287" s="7"/>
      <c r="BZ287" s="7"/>
      <c r="CA287" s="7"/>
      <c r="CB287" s="7"/>
      <c r="CC287" s="7"/>
      <c r="CD287" s="7"/>
      <c r="CE287" s="7"/>
      <c r="CF287" s="7"/>
      <c r="CG287" s="7"/>
      <c r="CH287" s="7"/>
      <c r="CI287" s="7"/>
      <c r="CJ287" s="7"/>
      <c r="CK287" s="7"/>
      <c r="CL287" s="7"/>
      <c r="CM287" s="7"/>
      <c r="CN287" s="7"/>
      <c r="CO287" s="7"/>
      <c r="CP287" s="7"/>
      <c r="CQ287" s="7"/>
      <c r="CR287" s="7"/>
      <c r="CS287" s="7"/>
      <c r="CT287" s="7"/>
      <c r="CU287" s="7"/>
      <c r="CV287" s="7"/>
      <c r="CW287" s="290">
        <v>0.38000000000003897</v>
      </c>
      <c r="CX287" s="59">
        <v>264</v>
      </c>
      <c r="CY287" s="292" t="str">
        <f t="shared" si="62"/>
        <v>---------</v>
      </c>
      <c r="CZ287" s="7"/>
      <c r="DA287" s="7"/>
      <c r="DB287" s="7"/>
      <c r="DC287" s="7"/>
      <c r="DD287" s="7"/>
      <c r="DE287" s="7"/>
      <c r="DF287" s="290">
        <v>0.38000000000003897</v>
      </c>
      <c r="DG287" s="59">
        <v>264</v>
      </c>
      <c r="DH287" s="292" t="str">
        <f t="shared" si="63"/>
        <v>---------</v>
      </c>
      <c r="DI287" s="7"/>
      <c r="DJ287" s="7"/>
      <c r="DK287" s="7"/>
      <c r="DL287" s="7"/>
      <c r="FR287" s="12"/>
      <c r="FS287" s="7">
        <v>264</v>
      </c>
      <c r="FT287" s="12">
        <v>23.8</v>
      </c>
    </row>
    <row r="288" spans="20:176">
      <c r="T288" s="7"/>
      <c r="U288" s="7"/>
      <c r="V288" s="43"/>
      <c r="W288" s="7"/>
      <c r="X288" s="7"/>
      <c r="Y288" s="7"/>
      <c r="Z288" s="7"/>
      <c r="AA288" s="7"/>
      <c r="AB288" s="7"/>
      <c r="AC288" s="7"/>
      <c r="AD288" s="7"/>
      <c r="AE288" s="7"/>
      <c r="AF288" s="7"/>
      <c r="AG288" s="7"/>
      <c r="AH288" s="7"/>
      <c r="AI288" s="7"/>
      <c r="AJ288" s="7"/>
      <c r="AK288" s="7"/>
      <c r="AL288" s="7"/>
      <c r="AM288" s="7"/>
      <c r="AN288" s="7"/>
      <c r="AO288" s="7"/>
      <c r="AP288" s="7"/>
      <c r="AQ288" s="7"/>
      <c r="AR288" s="7"/>
      <c r="AS288" s="7"/>
      <c r="AT288" s="7"/>
      <c r="AU288" s="7"/>
      <c r="AV288" s="7"/>
      <c r="AW288" s="7"/>
      <c r="AX288" s="7"/>
      <c r="AY288" s="7"/>
      <c r="AZ288" s="7"/>
      <c r="BA288" s="7"/>
      <c r="BB288" s="7"/>
      <c r="BC288" s="7"/>
      <c r="BD288" s="7"/>
      <c r="BE288" s="7"/>
      <c r="BF288" s="7"/>
      <c r="BG288" s="7"/>
      <c r="BH288" s="7"/>
      <c r="BI288" s="7"/>
      <c r="BJ288" s="7"/>
      <c r="BK288" s="7"/>
      <c r="BL288" s="7"/>
      <c r="BM288" s="7"/>
      <c r="BN288" s="7"/>
      <c r="BO288" s="7"/>
      <c r="BP288" s="7"/>
      <c r="BQ288" s="7"/>
      <c r="BR288" s="7"/>
      <c r="BS288" s="7"/>
      <c r="BT288" s="7"/>
      <c r="BU288" s="7"/>
      <c r="BV288" s="7"/>
      <c r="BW288" s="7"/>
      <c r="BX288" s="7"/>
      <c r="BY288" s="7"/>
      <c r="BZ288" s="7"/>
      <c r="CA288" s="7"/>
      <c r="CB288" s="7"/>
      <c r="CC288" s="7"/>
      <c r="CD288" s="7"/>
      <c r="CE288" s="7"/>
      <c r="CF288" s="7"/>
      <c r="CG288" s="7"/>
      <c r="CH288" s="7"/>
      <c r="CI288" s="7"/>
      <c r="CJ288" s="7"/>
      <c r="CK288" s="7"/>
      <c r="CL288" s="7"/>
      <c r="CM288" s="7"/>
      <c r="CN288" s="7"/>
      <c r="CO288" s="7"/>
      <c r="CP288" s="7"/>
      <c r="CQ288" s="7"/>
      <c r="CR288" s="7"/>
      <c r="CS288" s="7"/>
      <c r="CT288" s="7"/>
      <c r="CU288" s="7"/>
      <c r="CV288" s="7"/>
      <c r="CW288" s="290">
        <v>0.37000000000003902</v>
      </c>
      <c r="CX288" s="59">
        <v>265</v>
      </c>
      <c r="CY288" s="292" t="str">
        <f t="shared" si="62"/>
        <v>---------</v>
      </c>
      <c r="CZ288" s="7"/>
      <c r="DA288" s="7"/>
      <c r="DB288" s="7"/>
      <c r="DC288" s="7"/>
      <c r="DD288" s="7"/>
      <c r="DE288" s="7"/>
      <c r="DF288" s="290">
        <v>0.37000000000003902</v>
      </c>
      <c r="DG288" s="59">
        <v>265</v>
      </c>
      <c r="DH288" s="292" t="str">
        <f t="shared" si="63"/>
        <v>---------</v>
      </c>
      <c r="DI288" s="7"/>
      <c r="DJ288" s="7"/>
      <c r="DK288" s="7"/>
      <c r="DL288" s="7"/>
      <c r="FR288" s="12"/>
      <c r="FS288" s="7">
        <v>265</v>
      </c>
      <c r="FT288" s="12">
        <v>23.7</v>
      </c>
    </row>
    <row r="289" spans="20:176">
      <c r="T289" s="7"/>
      <c r="U289" s="7"/>
      <c r="V289" s="43"/>
      <c r="W289" s="7"/>
      <c r="X289" s="7"/>
      <c r="Y289" s="7"/>
      <c r="Z289" s="7"/>
      <c r="AA289" s="7"/>
      <c r="AB289" s="7"/>
      <c r="AC289" s="7"/>
      <c r="AD289" s="7"/>
      <c r="AE289" s="7"/>
      <c r="AF289" s="7"/>
      <c r="AG289" s="7"/>
      <c r="AH289" s="7"/>
      <c r="AI289" s="7"/>
      <c r="AJ289" s="7"/>
      <c r="AK289" s="7"/>
      <c r="AL289" s="7"/>
      <c r="AM289" s="7"/>
      <c r="AN289" s="7"/>
      <c r="AO289" s="7"/>
      <c r="AP289" s="7"/>
      <c r="AQ289" s="7"/>
      <c r="AR289" s="7"/>
      <c r="AS289" s="7"/>
      <c r="AT289" s="7"/>
      <c r="AU289" s="7"/>
      <c r="AV289" s="7"/>
      <c r="AW289" s="7"/>
      <c r="AX289" s="7"/>
      <c r="AY289" s="7"/>
      <c r="AZ289" s="7"/>
      <c r="BA289" s="7"/>
      <c r="BB289" s="7"/>
      <c r="BC289" s="7"/>
      <c r="BD289" s="7"/>
      <c r="BE289" s="7"/>
      <c r="BF289" s="7"/>
      <c r="BG289" s="7"/>
      <c r="BH289" s="7"/>
      <c r="BI289" s="7"/>
      <c r="BJ289" s="7"/>
      <c r="BK289" s="7"/>
      <c r="BL289" s="7"/>
      <c r="BM289" s="7"/>
      <c r="BN289" s="7"/>
      <c r="BO289" s="7"/>
      <c r="BP289" s="7"/>
      <c r="BQ289" s="7"/>
      <c r="BR289" s="7"/>
      <c r="BS289" s="7"/>
      <c r="BT289" s="7"/>
      <c r="BU289" s="7"/>
      <c r="BV289" s="7"/>
      <c r="BW289" s="7"/>
      <c r="BX289" s="7"/>
      <c r="BY289" s="7"/>
      <c r="BZ289" s="7"/>
      <c r="CA289" s="7"/>
      <c r="CB289" s="7"/>
      <c r="CC289" s="7"/>
      <c r="CD289" s="7"/>
      <c r="CE289" s="7"/>
      <c r="CF289" s="7"/>
      <c r="CG289" s="7"/>
      <c r="CH289" s="7"/>
      <c r="CI289" s="7"/>
      <c r="CJ289" s="7"/>
      <c r="CK289" s="7"/>
      <c r="CL289" s="7"/>
      <c r="CM289" s="7"/>
      <c r="CN289" s="7"/>
      <c r="CO289" s="7"/>
      <c r="CP289" s="7"/>
      <c r="CQ289" s="7"/>
      <c r="CR289" s="7"/>
      <c r="CS289" s="7"/>
      <c r="CT289" s="7"/>
      <c r="CU289" s="7"/>
      <c r="CV289" s="7"/>
      <c r="CW289" s="290">
        <v>0.36000000000003901</v>
      </c>
      <c r="CX289" s="59">
        <v>266</v>
      </c>
      <c r="CY289" s="292" t="str">
        <f t="shared" si="62"/>
        <v>---------</v>
      </c>
      <c r="CZ289" s="7"/>
      <c r="DA289" s="7"/>
      <c r="DB289" s="7"/>
      <c r="DC289" s="7"/>
      <c r="DD289" s="7"/>
      <c r="DE289" s="7"/>
      <c r="DF289" s="290">
        <v>0.36000000000003901</v>
      </c>
      <c r="DG289" s="59">
        <v>266</v>
      </c>
      <c r="DH289" s="292" t="str">
        <f t="shared" si="63"/>
        <v>---------</v>
      </c>
      <c r="DI289" s="7"/>
      <c r="DJ289" s="7"/>
      <c r="DK289" s="7"/>
      <c r="DL289" s="7"/>
      <c r="FR289" s="12"/>
      <c r="FS289" s="7">
        <v>266</v>
      </c>
      <c r="FT289" s="12">
        <v>23.6</v>
      </c>
    </row>
    <row r="290" spans="20:176">
      <c r="T290" s="7"/>
      <c r="U290" s="7"/>
      <c r="V290" s="43"/>
      <c r="W290" s="7"/>
      <c r="X290" s="7"/>
      <c r="Y290" s="7"/>
      <c r="Z290" s="7"/>
      <c r="AA290" s="7"/>
      <c r="AB290" s="7"/>
      <c r="AC290" s="7"/>
      <c r="AD290" s="7"/>
      <c r="AE290" s="7"/>
      <c r="AF290" s="7"/>
      <c r="AG290" s="7"/>
      <c r="AH290" s="7"/>
      <c r="AI290" s="7"/>
      <c r="AJ290" s="7"/>
      <c r="AK290" s="7"/>
      <c r="AL290" s="7"/>
      <c r="AM290" s="7"/>
      <c r="AN290" s="7"/>
      <c r="AO290" s="7"/>
      <c r="AP290" s="7"/>
      <c r="AQ290" s="7"/>
      <c r="AR290" s="7"/>
      <c r="AS290" s="7"/>
      <c r="AT290" s="7"/>
      <c r="AU290" s="7"/>
      <c r="AV290" s="7"/>
      <c r="AW290" s="7"/>
      <c r="AX290" s="7"/>
      <c r="AY290" s="7"/>
      <c r="AZ290" s="7"/>
      <c r="BA290" s="7"/>
      <c r="BB290" s="7"/>
      <c r="BC290" s="7"/>
      <c r="BD290" s="7"/>
      <c r="BE290" s="7"/>
      <c r="BF290" s="7"/>
      <c r="BG290" s="7"/>
      <c r="BH290" s="7"/>
      <c r="BI290" s="7"/>
      <c r="BJ290" s="7"/>
      <c r="BK290" s="7"/>
      <c r="BL290" s="7"/>
      <c r="BM290" s="7"/>
      <c r="BN290" s="7"/>
      <c r="BO290" s="7"/>
      <c r="BP290" s="7"/>
      <c r="BQ290" s="7"/>
      <c r="BR290" s="7"/>
      <c r="BS290" s="7"/>
      <c r="BT290" s="7"/>
      <c r="BU290" s="7"/>
      <c r="BV290" s="7"/>
      <c r="BW290" s="7"/>
      <c r="BX290" s="7"/>
      <c r="BY290" s="7"/>
      <c r="BZ290" s="7"/>
      <c r="CA290" s="7"/>
      <c r="CB290" s="7"/>
      <c r="CC290" s="7"/>
      <c r="CD290" s="7"/>
      <c r="CE290" s="7"/>
      <c r="CF290" s="7"/>
      <c r="CG290" s="7"/>
      <c r="CH290" s="7"/>
      <c r="CI290" s="7"/>
      <c r="CJ290" s="7"/>
      <c r="CK290" s="7"/>
      <c r="CL290" s="7"/>
      <c r="CM290" s="7"/>
      <c r="CN290" s="7"/>
      <c r="CO290" s="7"/>
      <c r="CP290" s="7"/>
      <c r="CQ290" s="7"/>
      <c r="CR290" s="7"/>
      <c r="CS290" s="7"/>
      <c r="CT290" s="7"/>
      <c r="CU290" s="7"/>
      <c r="CV290" s="7"/>
      <c r="CW290" s="290">
        <v>0.350000000000039</v>
      </c>
      <c r="CX290" s="59">
        <v>267</v>
      </c>
      <c r="CY290" s="292" t="str">
        <f t="shared" si="62"/>
        <v>---------</v>
      </c>
      <c r="CZ290" s="7"/>
      <c r="DA290" s="7"/>
      <c r="DB290" s="7"/>
      <c r="DC290" s="7"/>
      <c r="DD290" s="7"/>
      <c r="DE290" s="7"/>
      <c r="DF290" s="290">
        <v>0.350000000000039</v>
      </c>
      <c r="DG290" s="59">
        <v>267</v>
      </c>
      <c r="DH290" s="292" t="str">
        <f t="shared" si="63"/>
        <v>---------</v>
      </c>
      <c r="DI290" s="7"/>
      <c r="DJ290" s="7"/>
      <c r="DK290" s="7"/>
      <c r="DL290" s="7"/>
      <c r="FR290" s="12"/>
      <c r="FS290" s="7">
        <v>267</v>
      </c>
      <c r="FT290" s="12">
        <v>23.5</v>
      </c>
    </row>
    <row r="291" spans="20:176">
      <c r="T291" s="7"/>
      <c r="U291" s="7"/>
      <c r="V291" s="43"/>
      <c r="W291" s="7"/>
      <c r="X291" s="7"/>
      <c r="Y291" s="7"/>
      <c r="Z291" s="7"/>
      <c r="AA291" s="7"/>
      <c r="AB291" s="7"/>
      <c r="AC291" s="7"/>
      <c r="AD291" s="7"/>
      <c r="AE291" s="7"/>
      <c r="AF291" s="7"/>
      <c r="AG291" s="7"/>
      <c r="AH291" s="7"/>
      <c r="AI291" s="7"/>
      <c r="AJ291" s="7"/>
      <c r="AK291" s="7"/>
      <c r="AL291" s="7"/>
      <c r="AM291" s="7"/>
      <c r="AN291" s="7"/>
      <c r="AO291" s="7"/>
      <c r="AP291" s="7"/>
      <c r="AQ291" s="7"/>
      <c r="AR291" s="7"/>
      <c r="AS291" s="7"/>
      <c r="AT291" s="7"/>
      <c r="AU291" s="7"/>
      <c r="AV291" s="7"/>
      <c r="AW291" s="7"/>
      <c r="AX291" s="7"/>
      <c r="AY291" s="7"/>
      <c r="AZ291" s="7"/>
      <c r="BA291" s="7"/>
      <c r="BB291" s="7"/>
      <c r="BC291" s="7"/>
      <c r="BD291" s="7"/>
      <c r="BE291" s="7"/>
      <c r="BF291" s="7"/>
      <c r="BG291" s="7"/>
      <c r="BH291" s="7"/>
      <c r="BI291" s="7"/>
      <c r="BJ291" s="7"/>
      <c r="BK291" s="7"/>
      <c r="BL291" s="7"/>
      <c r="BM291" s="7"/>
      <c r="BN291" s="7"/>
      <c r="BO291" s="7"/>
      <c r="BP291" s="7"/>
      <c r="BQ291" s="7"/>
      <c r="BR291" s="7"/>
      <c r="BS291" s="7"/>
      <c r="BT291" s="7"/>
      <c r="BU291" s="7"/>
      <c r="BV291" s="7"/>
      <c r="BW291" s="7"/>
      <c r="BX291" s="7"/>
      <c r="BY291" s="7"/>
      <c r="BZ291" s="7"/>
      <c r="CA291" s="7"/>
      <c r="CB291" s="7"/>
      <c r="CC291" s="7"/>
      <c r="CD291" s="7"/>
      <c r="CE291" s="7"/>
      <c r="CF291" s="7"/>
      <c r="CG291" s="7"/>
      <c r="CH291" s="7"/>
      <c r="CI291" s="7"/>
      <c r="CJ291" s="7"/>
      <c r="CK291" s="7"/>
      <c r="CL291" s="7"/>
      <c r="CM291" s="7"/>
      <c r="CN291" s="7"/>
      <c r="CO291" s="7"/>
      <c r="CP291" s="7"/>
      <c r="CQ291" s="7"/>
      <c r="CR291" s="7"/>
      <c r="CS291" s="7"/>
      <c r="CT291" s="7"/>
      <c r="CU291" s="7"/>
      <c r="CV291" s="7"/>
      <c r="CW291" s="290">
        <v>0.34000000000003899</v>
      </c>
      <c r="CX291" s="59">
        <v>268</v>
      </c>
      <c r="CY291" s="292" t="str">
        <f t="shared" si="62"/>
        <v>---------</v>
      </c>
      <c r="CZ291" s="7"/>
      <c r="DA291" s="7"/>
      <c r="DB291" s="7"/>
      <c r="DC291" s="7"/>
      <c r="DD291" s="7"/>
      <c r="DE291" s="7"/>
      <c r="DF291" s="290">
        <v>0.34000000000003899</v>
      </c>
      <c r="DG291" s="59">
        <v>268</v>
      </c>
      <c r="DH291" s="292" t="str">
        <f t="shared" si="63"/>
        <v>---------</v>
      </c>
      <c r="DI291" s="7"/>
      <c r="DJ291" s="7"/>
      <c r="DK291" s="7"/>
      <c r="DL291" s="7"/>
      <c r="FR291" s="12"/>
      <c r="FS291" s="7">
        <v>268</v>
      </c>
      <c r="FT291" s="12">
        <v>23.4</v>
      </c>
    </row>
    <row r="292" spans="20:176">
      <c r="T292" s="7"/>
      <c r="U292" s="7"/>
      <c r="V292" s="43"/>
      <c r="W292" s="7"/>
      <c r="X292" s="7"/>
      <c r="Y292" s="7"/>
      <c r="Z292" s="7"/>
      <c r="AA292" s="7"/>
      <c r="AB292" s="7"/>
      <c r="AC292" s="7"/>
      <c r="AD292" s="7"/>
      <c r="AE292" s="7"/>
      <c r="AF292" s="7"/>
      <c r="AG292" s="7"/>
      <c r="AH292" s="7"/>
      <c r="AI292" s="7"/>
      <c r="AJ292" s="7"/>
      <c r="AK292" s="7"/>
      <c r="AL292" s="7"/>
      <c r="AM292" s="7"/>
      <c r="AN292" s="7"/>
      <c r="AO292" s="7"/>
      <c r="AP292" s="7"/>
      <c r="AQ292" s="7"/>
      <c r="AR292" s="7"/>
      <c r="AS292" s="7"/>
      <c r="AT292" s="7"/>
      <c r="AU292" s="7"/>
      <c r="AV292" s="7"/>
      <c r="AW292" s="7"/>
      <c r="AX292" s="7"/>
      <c r="AY292" s="7"/>
      <c r="AZ292" s="7"/>
      <c r="BA292" s="7"/>
      <c r="BB292" s="7"/>
      <c r="BC292" s="7"/>
      <c r="BD292" s="7"/>
      <c r="BE292" s="7"/>
      <c r="BF292" s="7"/>
      <c r="BG292" s="7"/>
      <c r="BH292" s="7"/>
      <c r="BI292" s="7"/>
      <c r="BJ292" s="7"/>
      <c r="BK292" s="7"/>
      <c r="BL292" s="7"/>
      <c r="BM292" s="7"/>
      <c r="BN292" s="7"/>
      <c r="BO292" s="7"/>
      <c r="BP292" s="7"/>
      <c r="BQ292" s="7"/>
      <c r="BR292" s="7"/>
      <c r="BS292" s="7"/>
      <c r="BT292" s="7"/>
      <c r="BU292" s="7"/>
      <c r="BV292" s="7"/>
      <c r="BW292" s="7"/>
      <c r="BX292" s="7"/>
      <c r="BY292" s="7"/>
      <c r="BZ292" s="7"/>
      <c r="CA292" s="7"/>
      <c r="CB292" s="7"/>
      <c r="CC292" s="7"/>
      <c r="CD292" s="7"/>
      <c r="CE292" s="7"/>
      <c r="CF292" s="7"/>
      <c r="CG292" s="7"/>
      <c r="CH292" s="7"/>
      <c r="CI292" s="7"/>
      <c r="CJ292" s="7"/>
      <c r="CK292" s="7"/>
      <c r="CL292" s="7"/>
      <c r="CM292" s="7"/>
      <c r="CN292" s="7"/>
      <c r="CO292" s="7"/>
      <c r="CP292" s="7"/>
      <c r="CQ292" s="7"/>
      <c r="CR292" s="7"/>
      <c r="CS292" s="7"/>
      <c r="CT292" s="7"/>
      <c r="CU292" s="7"/>
      <c r="CV292" s="7"/>
      <c r="CW292" s="290">
        <v>0.33000000000003898</v>
      </c>
      <c r="CX292" s="59">
        <v>269</v>
      </c>
      <c r="CY292" s="292" t="str">
        <f t="shared" si="62"/>
        <v>---------</v>
      </c>
      <c r="CZ292" s="7"/>
      <c r="DA292" s="7"/>
      <c r="DB292" s="7"/>
      <c r="DC292" s="7"/>
      <c r="DD292" s="7"/>
      <c r="DE292" s="7"/>
      <c r="DF292" s="290">
        <v>0.33000000000003898</v>
      </c>
      <c r="DG292" s="59">
        <v>269</v>
      </c>
      <c r="DH292" s="292" t="str">
        <f t="shared" si="63"/>
        <v>---------</v>
      </c>
      <c r="DI292" s="7"/>
      <c r="DJ292" s="7"/>
      <c r="DK292" s="7"/>
      <c r="DL292" s="7"/>
      <c r="FR292" s="12"/>
      <c r="FS292" s="7">
        <v>269</v>
      </c>
      <c r="FT292" s="12">
        <v>23.3</v>
      </c>
    </row>
    <row r="293" spans="20:176">
      <c r="T293" s="7"/>
      <c r="U293" s="7"/>
      <c r="V293" s="43"/>
      <c r="W293" s="7"/>
      <c r="X293" s="7"/>
      <c r="Y293" s="7"/>
      <c r="Z293" s="7"/>
      <c r="AA293" s="7"/>
      <c r="AB293" s="7"/>
      <c r="AC293" s="7"/>
      <c r="AD293" s="7"/>
      <c r="AE293" s="7"/>
      <c r="AF293" s="7"/>
      <c r="AG293" s="7"/>
      <c r="AH293" s="7"/>
      <c r="AI293" s="7"/>
      <c r="AJ293" s="7"/>
      <c r="AK293" s="7"/>
      <c r="AL293" s="7"/>
      <c r="AM293" s="7"/>
      <c r="AN293" s="7"/>
      <c r="AO293" s="7"/>
      <c r="AP293" s="7"/>
      <c r="AQ293" s="7"/>
      <c r="AR293" s="7"/>
      <c r="AS293" s="7"/>
      <c r="AT293" s="7"/>
      <c r="AU293" s="7"/>
      <c r="AV293" s="7"/>
      <c r="AW293" s="7"/>
      <c r="AX293" s="7"/>
      <c r="AY293" s="7"/>
      <c r="AZ293" s="7"/>
      <c r="BA293" s="7"/>
      <c r="BB293" s="7"/>
      <c r="BC293" s="7"/>
      <c r="BD293" s="7"/>
      <c r="BE293" s="7"/>
      <c r="BF293" s="7"/>
      <c r="BG293" s="7"/>
      <c r="BH293" s="7"/>
      <c r="BI293" s="7"/>
      <c r="BJ293" s="7"/>
      <c r="BK293" s="7"/>
      <c r="BL293" s="7"/>
      <c r="BM293" s="7"/>
      <c r="BN293" s="7"/>
      <c r="BO293" s="7"/>
      <c r="BP293" s="7"/>
      <c r="BQ293" s="7"/>
      <c r="BR293" s="7"/>
      <c r="BS293" s="7"/>
      <c r="BT293" s="7"/>
      <c r="BU293" s="7"/>
      <c r="BV293" s="7"/>
      <c r="BW293" s="7"/>
      <c r="BX293" s="7"/>
      <c r="BY293" s="7"/>
      <c r="BZ293" s="7"/>
      <c r="CA293" s="7"/>
      <c r="CB293" s="7"/>
      <c r="CC293" s="7"/>
      <c r="CD293" s="7"/>
      <c r="CE293" s="7"/>
      <c r="CF293" s="7"/>
      <c r="CG293" s="7"/>
      <c r="CH293" s="7"/>
      <c r="CI293" s="7"/>
      <c r="CJ293" s="7"/>
      <c r="CK293" s="7"/>
      <c r="CL293" s="7"/>
      <c r="CM293" s="7"/>
      <c r="CN293" s="7"/>
      <c r="CO293" s="7"/>
      <c r="CP293" s="7"/>
      <c r="CQ293" s="7"/>
      <c r="CR293" s="7"/>
      <c r="CS293" s="7"/>
      <c r="CT293" s="7"/>
      <c r="CU293" s="7"/>
      <c r="CV293" s="7"/>
      <c r="CW293" s="290">
        <v>0.32000000000003898</v>
      </c>
      <c r="CX293" s="59">
        <v>270</v>
      </c>
      <c r="CY293" s="292" t="str">
        <f t="shared" si="62"/>
        <v>---------</v>
      </c>
      <c r="CZ293" s="7"/>
      <c r="DA293" s="7"/>
      <c r="DB293" s="7"/>
      <c r="DC293" s="7"/>
      <c r="DD293" s="7"/>
      <c r="DE293" s="7"/>
      <c r="DF293" s="290">
        <v>0.32000000000003898</v>
      </c>
      <c r="DG293" s="59">
        <v>270</v>
      </c>
      <c r="DH293" s="292" t="str">
        <f t="shared" si="63"/>
        <v>---------</v>
      </c>
      <c r="DI293" s="7"/>
      <c r="DJ293" s="7"/>
      <c r="DK293" s="7"/>
      <c r="DL293" s="7"/>
      <c r="FR293" s="12"/>
      <c r="FS293" s="7">
        <v>270</v>
      </c>
      <c r="FT293" s="12">
        <v>23.2</v>
      </c>
    </row>
    <row r="294" spans="20:176">
      <c r="T294" s="7"/>
      <c r="U294" s="7"/>
      <c r="V294" s="43"/>
      <c r="W294" s="7"/>
      <c r="X294" s="7"/>
      <c r="Y294" s="7"/>
      <c r="Z294" s="7"/>
      <c r="AA294" s="7"/>
      <c r="AB294" s="7"/>
      <c r="AC294" s="7"/>
      <c r="AD294" s="7"/>
      <c r="AE294" s="7"/>
      <c r="AF294" s="7"/>
      <c r="AG294" s="7"/>
      <c r="AH294" s="7"/>
      <c r="AI294" s="7"/>
      <c r="AJ294" s="7"/>
      <c r="AK294" s="7"/>
      <c r="AL294" s="7"/>
      <c r="AM294" s="7"/>
      <c r="AN294" s="7"/>
      <c r="AO294" s="7"/>
      <c r="AP294" s="7"/>
      <c r="AQ294" s="7"/>
      <c r="AR294" s="7"/>
      <c r="AS294" s="7"/>
      <c r="AT294" s="7"/>
      <c r="AU294" s="7"/>
      <c r="AV294" s="7"/>
      <c r="AW294" s="7"/>
      <c r="AX294" s="7"/>
      <c r="AY294" s="7"/>
      <c r="AZ294" s="7"/>
      <c r="BA294" s="7"/>
      <c r="BB294" s="7"/>
      <c r="BC294" s="7"/>
      <c r="BD294" s="7"/>
      <c r="BE294" s="7"/>
      <c r="BF294" s="7"/>
      <c r="BG294" s="7"/>
      <c r="BH294" s="7"/>
      <c r="BI294" s="7"/>
      <c r="BJ294" s="7"/>
      <c r="BK294" s="7"/>
      <c r="BL294" s="7"/>
      <c r="BM294" s="7"/>
      <c r="BN294" s="7"/>
      <c r="BO294" s="7"/>
      <c r="BP294" s="7"/>
      <c r="BQ294" s="7"/>
      <c r="BR294" s="7"/>
      <c r="BS294" s="7"/>
      <c r="BT294" s="7"/>
      <c r="BU294" s="7"/>
      <c r="BV294" s="7"/>
      <c r="BW294" s="7"/>
      <c r="BX294" s="7"/>
      <c r="BY294" s="7"/>
      <c r="BZ294" s="7"/>
      <c r="CA294" s="7"/>
      <c r="CB294" s="7"/>
      <c r="CC294" s="7"/>
      <c r="CD294" s="7"/>
      <c r="CE294" s="7"/>
      <c r="CF294" s="7"/>
      <c r="CG294" s="7"/>
      <c r="CH294" s="7"/>
      <c r="CI294" s="7"/>
      <c r="CJ294" s="7"/>
      <c r="CK294" s="7"/>
      <c r="CL294" s="7"/>
      <c r="CM294" s="7"/>
      <c r="CN294" s="7"/>
      <c r="CO294" s="7"/>
      <c r="CP294" s="7"/>
      <c r="CQ294" s="7"/>
      <c r="CR294" s="7"/>
      <c r="CS294" s="7"/>
      <c r="CT294" s="7"/>
      <c r="CU294" s="7"/>
      <c r="CV294" s="7"/>
      <c r="CW294" s="290">
        <v>0.31000000000003902</v>
      </c>
      <c r="CX294" s="59">
        <v>271</v>
      </c>
      <c r="CY294" s="292" t="str">
        <f t="shared" si="62"/>
        <v>---------</v>
      </c>
      <c r="CZ294" s="7"/>
      <c r="DA294" s="7"/>
      <c r="DB294" s="7"/>
      <c r="DC294" s="7"/>
      <c r="DD294" s="7"/>
      <c r="DE294" s="7"/>
      <c r="DF294" s="290">
        <v>0.31000000000003902</v>
      </c>
      <c r="DG294" s="59">
        <v>271</v>
      </c>
      <c r="DH294" s="292" t="str">
        <f t="shared" si="63"/>
        <v>---------</v>
      </c>
      <c r="DI294" s="7"/>
      <c r="DJ294" s="7"/>
      <c r="DK294" s="7"/>
      <c r="DL294" s="7"/>
      <c r="FR294" s="12"/>
      <c r="FS294" s="7">
        <v>271</v>
      </c>
      <c r="FT294" s="12">
        <v>23.1</v>
      </c>
    </row>
    <row r="295" spans="20:176">
      <c r="T295" s="7"/>
      <c r="U295" s="7"/>
      <c r="V295" s="43"/>
      <c r="W295" s="7"/>
      <c r="X295" s="7"/>
      <c r="Y295" s="7"/>
      <c r="Z295" s="7"/>
      <c r="AA295" s="7"/>
      <c r="AB295" s="7"/>
      <c r="AC295" s="7"/>
      <c r="AD295" s="7"/>
      <c r="AE295" s="7"/>
      <c r="AF295" s="7"/>
      <c r="AG295" s="7"/>
      <c r="AH295" s="7"/>
      <c r="AI295" s="7"/>
      <c r="AJ295" s="7"/>
      <c r="AK295" s="7"/>
      <c r="AL295" s="7"/>
      <c r="AM295" s="7"/>
      <c r="AN295" s="7"/>
      <c r="AO295" s="7"/>
      <c r="AP295" s="7"/>
      <c r="AQ295" s="7"/>
      <c r="AR295" s="7"/>
      <c r="AS295" s="7"/>
      <c r="AT295" s="7"/>
      <c r="AU295" s="7"/>
      <c r="AV295" s="7"/>
      <c r="AW295" s="7"/>
      <c r="AX295" s="7"/>
      <c r="AY295" s="7"/>
      <c r="AZ295" s="7"/>
      <c r="BA295" s="7"/>
      <c r="BB295" s="7"/>
      <c r="BC295" s="7"/>
      <c r="BD295" s="7"/>
      <c r="BE295" s="7"/>
      <c r="BF295" s="7"/>
      <c r="BG295" s="7"/>
      <c r="BH295" s="7"/>
      <c r="BI295" s="7"/>
      <c r="BJ295" s="7"/>
      <c r="BK295" s="7"/>
      <c r="BL295" s="7"/>
      <c r="BM295" s="7"/>
      <c r="BN295" s="7"/>
      <c r="BO295" s="7"/>
      <c r="BP295" s="7"/>
      <c r="BQ295" s="7"/>
      <c r="BR295" s="7"/>
      <c r="BS295" s="7"/>
      <c r="BT295" s="7"/>
      <c r="BU295" s="7"/>
      <c r="BV295" s="7"/>
      <c r="BW295" s="7"/>
      <c r="BX295" s="7"/>
      <c r="BY295" s="7"/>
      <c r="BZ295" s="7"/>
      <c r="CA295" s="7"/>
      <c r="CB295" s="7"/>
      <c r="CC295" s="7"/>
      <c r="CD295" s="7"/>
      <c r="CE295" s="7"/>
      <c r="CF295" s="7"/>
      <c r="CG295" s="7"/>
      <c r="CH295" s="7"/>
      <c r="CI295" s="7"/>
      <c r="CJ295" s="7"/>
      <c r="CK295" s="7"/>
      <c r="CL295" s="7"/>
      <c r="CM295" s="7"/>
      <c r="CN295" s="7"/>
      <c r="CO295" s="7"/>
      <c r="CP295" s="7"/>
      <c r="CQ295" s="7"/>
      <c r="CR295" s="7"/>
      <c r="CS295" s="7"/>
      <c r="CT295" s="7"/>
      <c r="CU295" s="7"/>
      <c r="CV295" s="7"/>
      <c r="CW295" s="290">
        <v>0.30000000000003901</v>
      </c>
      <c r="CX295" s="59">
        <v>272</v>
      </c>
      <c r="CY295" s="292" t="str">
        <f t="shared" si="62"/>
        <v>---------</v>
      </c>
      <c r="CZ295" s="7"/>
      <c r="DA295" s="7"/>
      <c r="DB295" s="7"/>
      <c r="DC295" s="7"/>
      <c r="DD295" s="7"/>
      <c r="DE295" s="7"/>
      <c r="DF295" s="290">
        <v>0.30000000000003901</v>
      </c>
      <c r="DG295" s="59">
        <v>272</v>
      </c>
      <c r="DH295" s="292" t="str">
        <f t="shared" si="63"/>
        <v>---------</v>
      </c>
      <c r="DI295" s="7"/>
      <c r="DJ295" s="7"/>
      <c r="DK295" s="7"/>
      <c r="DL295" s="7"/>
      <c r="FR295" s="12"/>
      <c r="FS295" s="7">
        <v>272</v>
      </c>
      <c r="FT295" s="12">
        <v>23</v>
      </c>
    </row>
    <row r="296" spans="20:176">
      <c r="T296" s="7"/>
      <c r="U296" s="7"/>
      <c r="V296" s="43"/>
      <c r="W296" s="7"/>
      <c r="X296" s="7"/>
      <c r="Y296" s="7"/>
      <c r="Z296" s="7"/>
      <c r="AA296" s="7"/>
      <c r="AB296" s="7"/>
      <c r="AC296" s="7"/>
      <c r="AD296" s="7"/>
      <c r="AE296" s="7"/>
      <c r="AF296" s="7"/>
      <c r="AG296" s="7"/>
      <c r="AH296" s="7"/>
      <c r="AI296" s="7"/>
      <c r="AJ296" s="7"/>
      <c r="AK296" s="7"/>
      <c r="AL296" s="7"/>
      <c r="AM296" s="7"/>
      <c r="AN296" s="7"/>
      <c r="AO296" s="7"/>
      <c r="AP296" s="7"/>
      <c r="AQ296" s="7"/>
      <c r="AR296" s="7"/>
      <c r="AS296" s="7"/>
      <c r="AT296" s="7"/>
      <c r="AU296" s="7"/>
      <c r="AV296" s="7"/>
      <c r="AW296" s="7"/>
      <c r="AX296" s="7"/>
      <c r="AY296" s="7"/>
      <c r="AZ296" s="7"/>
      <c r="BA296" s="7"/>
      <c r="BB296" s="7"/>
      <c r="BC296" s="7"/>
      <c r="BD296" s="7"/>
      <c r="BE296" s="7"/>
      <c r="BF296" s="7"/>
      <c r="BG296" s="7"/>
      <c r="BH296" s="7"/>
      <c r="BI296" s="7"/>
      <c r="BJ296" s="7"/>
      <c r="BK296" s="7"/>
      <c r="BL296" s="7"/>
      <c r="BM296" s="7"/>
      <c r="BN296" s="7"/>
      <c r="BO296" s="7"/>
      <c r="BP296" s="7"/>
      <c r="BQ296" s="7"/>
      <c r="BR296" s="7"/>
      <c r="BS296" s="7"/>
      <c r="BT296" s="7"/>
      <c r="BU296" s="7"/>
      <c r="BV296" s="7"/>
      <c r="BW296" s="7"/>
      <c r="BX296" s="7"/>
      <c r="BY296" s="7"/>
      <c r="BZ296" s="7"/>
      <c r="CA296" s="7"/>
      <c r="CB296" s="7"/>
      <c r="CC296" s="7"/>
      <c r="CD296" s="7"/>
      <c r="CE296" s="7"/>
      <c r="CF296" s="7"/>
      <c r="CG296" s="7"/>
      <c r="CH296" s="7"/>
      <c r="CI296" s="7"/>
      <c r="CJ296" s="7"/>
      <c r="CK296" s="7"/>
      <c r="CL296" s="7"/>
      <c r="CM296" s="7"/>
      <c r="CN296" s="7"/>
      <c r="CO296" s="7"/>
      <c r="CP296" s="7"/>
      <c r="CQ296" s="7"/>
      <c r="CR296" s="7"/>
      <c r="CS296" s="7"/>
      <c r="CT296" s="7"/>
      <c r="CU296" s="7"/>
      <c r="CV296" s="7"/>
      <c r="CW296" s="290">
        <v>0.290000000000039</v>
      </c>
      <c r="CX296" s="59">
        <v>273</v>
      </c>
      <c r="CY296" s="292" t="str">
        <f t="shared" si="62"/>
        <v>---------</v>
      </c>
      <c r="CZ296" s="7"/>
      <c r="DA296" s="7"/>
      <c r="DB296" s="7"/>
      <c r="DC296" s="7"/>
      <c r="DD296" s="7"/>
      <c r="DE296" s="7"/>
      <c r="DF296" s="290">
        <v>0.290000000000039</v>
      </c>
      <c r="DG296" s="59">
        <v>273</v>
      </c>
      <c r="DH296" s="292" t="str">
        <f t="shared" si="63"/>
        <v>---------</v>
      </c>
      <c r="DI296" s="7"/>
      <c r="DJ296" s="7"/>
      <c r="DK296" s="7"/>
      <c r="DL296" s="7"/>
      <c r="FR296" s="12"/>
      <c r="FS296" s="7">
        <v>273</v>
      </c>
      <c r="FT296" s="12">
        <v>22.9</v>
      </c>
    </row>
    <row r="297" spans="20:176">
      <c r="T297" s="7"/>
      <c r="U297" s="7"/>
      <c r="V297" s="43"/>
      <c r="W297" s="7"/>
      <c r="X297" s="7"/>
      <c r="Y297" s="7"/>
      <c r="Z297" s="7"/>
      <c r="AA297" s="7"/>
      <c r="AB297" s="7"/>
      <c r="AC297" s="7"/>
      <c r="AD297" s="7"/>
      <c r="AE297" s="7"/>
      <c r="AF297" s="7"/>
      <c r="AG297" s="7"/>
      <c r="AH297" s="7"/>
      <c r="AI297" s="7"/>
      <c r="AJ297" s="7"/>
      <c r="AK297" s="7"/>
      <c r="AL297" s="7"/>
      <c r="AM297" s="7"/>
      <c r="AN297" s="7"/>
      <c r="AO297" s="7"/>
      <c r="AP297" s="7"/>
      <c r="AQ297" s="7"/>
      <c r="AR297" s="7"/>
      <c r="AS297" s="7"/>
      <c r="AT297" s="7"/>
      <c r="AU297" s="7"/>
      <c r="AV297" s="7"/>
      <c r="AW297" s="7"/>
      <c r="AX297" s="7"/>
      <c r="AY297" s="7"/>
      <c r="AZ297" s="7"/>
      <c r="BA297" s="7"/>
      <c r="BB297" s="7"/>
      <c r="BC297" s="7"/>
      <c r="BD297" s="7"/>
      <c r="BE297" s="7"/>
      <c r="BF297" s="7"/>
      <c r="BG297" s="7"/>
      <c r="BH297" s="7"/>
      <c r="BI297" s="7"/>
      <c r="BJ297" s="7"/>
      <c r="BK297" s="7"/>
      <c r="BL297" s="7"/>
      <c r="BM297" s="7"/>
      <c r="BN297" s="7"/>
      <c r="BO297" s="7"/>
      <c r="BP297" s="7"/>
      <c r="BQ297" s="7"/>
      <c r="BR297" s="7"/>
      <c r="BS297" s="7"/>
      <c r="BT297" s="7"/>
      <c r="BU297" s="7"/>
      <c r="BV297" s="7"/>
      <c r="BW297" s="7"/>
      <c r="BX297" s="7"/>
      <c r="BY297" s="7"/>
      <c r="BZ297" s="7"/>
      <c r="CA297" s="7"/>
      <c r="CB297" s="7"/>
      <c r="CC297" s="7"/>
      <c r="CD297" s="7"/>
      <c r="CE297" s="7"/>
      <c r="CF297" s="7"/>
      <c r="CG297" s="7"/>
      <c r="CH297" s="7"/>
      <c r="CI297" s="7"/>
      <c r="CJ297" s="7"/>
      <c r="CK297" s="7"/>
      <c r="CL297" s="7"/>
      <c r="CM297" s="7"/>
      <c r="CN297" s="7"/>
      <c r="CO297" s="7"/>
      <c r="CP297" s="7"/>
      <c r="CQ297" s="7"/>
      <c r="CR297" s="7"/>
      <c r="CS297" s="7"/>
      <c r="CT297" s="7"/>
      <c r="CU297" s="7"/>
      <c r="CV297" s="7"/>
      <c r="CW297" s="290">
        <v>0.280000000000039</v>
      </c>
      <c r="CX297" s="59">
        <v>274</v>
      </c>
      <c r="CY297" s="292" t="str">
        <f t="shared" si="62"/>
        <v>---------</v>
      </c>
      <c r="CZ297" s="7"/>
      <c r="DA297" s="7"/>
      <c r="DB297" s="7"/>
      <c r="DC297" s="7"/>
      <c r="DD297" s="7"/>
      <c r="DE297" s="7"/>
      <c r="DF297" s="290">
        <v>0.280000000000039</v>
      </c>
      <c r="DG297" s="59">
        <v>274</v>
      </c>
      <c r="DH297" s="292" t="str">
        <f t="shared" si="63"/>
        <v>---------</v>
      </c>
      <c r="DI297" s="7"/>
      <c r="DJ297" s="7"/>
      <c r="DK297" s="7"/>
      <c r="DL297" s="7"/>
      <c r="FR297" s="12"/>
      <c r="FS297" s="7">
        <v>274</v>
      </c>
      <c r="FT297" s="12">
        <v>22.8</v>
      </c>
    </row>
    <row r="298" spans="20:176">
      <c r="T298" s="7"/>
      <c r="U298" s="7"/>
      <c r="V298" s="43"/>
      <c r="W298" s="7"/>
      <c r="X298" s="7"/>
      <c r="Y298" s="7"/>
      <c r="Z298" s="7"/>
      <c r="AA298" s="7"/>
      <c r="AB298" s="7"/>
      <c r="AC298" s="7"/>
      <c r="AD298" s="7"/>
      <c r="AE298" s="7"/>
      <c r="AF298" s="7"/>
      <c r="AG298" s="7"/>
      <c r="AH298" s="7"/>
      <c r="AI298" s="7"/>
      <c r="AJ298" s="7"/>
      <c r="AK298" s="7"/>
      <c r="AL298" s="7"/>
      <c r="AM298" s="7"/>
      <c r="AN298" s="7"/>
      <c r="AO298" s="7"/>
      <c r="AP298" s="7"/>
      <c r="AQ298" s="7"/>
      <c r="AR298" s="7"/>
      <c r="AS298" s="7"/>
      <c r="AT298" s="7"/>
      <c r="AU298" s="7"/>
      <c r="AV298" s="7"/>
      <c r="AW298" s="7"/>
      <c r="AX298" s="7"/>
      <c r="AY298" s="7"/>
      <c r="AZ298" s="7"/>
      <c r="BA298" s="7"/>
      <c r="BB298" s="7"/>
      <c r="BC298" s="7"/>
      <c r="BD298" s="7"/>
      <c r="BE298" s="7"/>
      <c r="BF298" s="7"/>
      <c r="BG298" s="7"/>
      <c r="BH298" s="7"/>
      <c r="BI298" s="7"/>
      <c r="BJ298" s="7"/>
      <c r="BK298" s="7"/>
      <c r="BL298" s="7"/>
      <c r="BM298" s="7"/>
      <c r="BN298" s="7"/>
      <c r="BO298" s="7"/>
      <c r="BP298" s="7"/>
      <c r="BQ298" s="7"/>
      <c r="BR298" s="7"/>
      <c r="BS298" s="7"/>
      <c r="BT298" s="7"/>
      <c r="BU298" s="7"/>
      <c r="BV298" s="7"/>
      <c r="BW298" s="7"/>
      <c r="BX298" s="7"/>
      <c r="BY298" s="7"/>
      <c r="BZ298" s="7"/>
      <c r="CA298" s="7"/>
      <c r="CB298" s="7"/>
      <c r="CC298" s="7"/>
      <c r="CD298" s="7"/>
      <c r="CE298" s="7"/>
      <c r="CF298" s="7"/>
      <c r="CG298" s="7"/>
      <c r="CH298" s="7"/>
      <c r="CI298" s="7"/>
      <c r="CJ298" s="7"/>
      <c r="CK298" s="7"/>
      <c r="CL298" s="7"/>
      <c r="CM298" s="7"/>
      <c r="CN298" s="7"/>
      <c r="CO298" s="7"/>
      <c r="CP298" s="7"/>
      <c r="CQ298" s="7"/>
      <c r="CR298" s="7"/>
      <c r="CS298" s="7"/>
      <c r="CT298" s="7"/>
      <c r="CU298" s="7"/>
      <c r="CV298" s="7"/>
      <c r="CW298" s="290">
        <v>0.27000000000003899</v>
      </c>
      <c r="CX298" s="59">
        <v>275</v>
      </c>
      <c r="CY298" s="292" t="str">
        <f t="shared" si="62"/>
        <v>---------</v>
      </c>
      <c r="CZ298" s="7"/>
      <c r="DA298" s="7"/>
      <c r="DB298" s="7"/>
      <c r="DC298" s="7"/>
      <c r="DD298" s="7"/>
      <c r="DE298" s="7"/>
      <c r="DF298" s="290">
        <v>0.27000000000003899</v>
      </c>
      <c r="DG298" s="59">
        <v>275</v>
      </c>
      <c r="DH298" s="292" t="str">
        <f t="shared" si="63"/>
        <v>---------</v>
      </c>
      <c r="DI298" s="7"/>
      <c r="DJ298" s="7"/>
      <c r="DK298" s="7"/>
      <c r="DL298" s="7"/>
      <c r="FR298" s="12"/>
      <c r="FS298" s="7">
        <v>275</v>
      </c>
      <c r="FT298" s="12">
        <v>22.7</v>
      </c>
    </row>
    <row r="299" spans="20:176">
      <c r="T299" s="7"/>
      <c r="U299" s="7"/>
      <c r="V299" s="43"/>
      <c r="W299" s="7"/>
      <c r="X299" s="7"/>
      <c r="Y299" s="7"/>
      <c r="Z299" s="7"/>
      <c r="AA299" s="7"/>
      <c r="AB299" s="7"/>
      <c r="AC299" s="7"/>
      <c r="AD299" s="7"/>
      <c r="AE299" s="7"/>
      <c r="AF299" s="7"/>
      <c r="AG299" s="7"/>
      <c r="AH299" s="7"/>
      <c r="AI299" s="7"/>
      <c r="AJ299" s="7"/>
      <c r="AK299" s="7"/>
      <c r="AL299" s="7"/>
      <c r="AM299" s="7"/>
      <c r="AN299" s="7"/>
      <c r="AO299" s="7"/>
      <c r="AP299" s="7"/>
      <c r="AQ299" s="7"/>
      <c r="AR299" s="7"/>
      <c r="AS299" s="7"/>
      <c r="AT299" s="7"/>
      <c r="AU299" s="7"/>
      <c r="AV299" s="7"/>
      <c r="AW299" s="7"/>
      <c r="AX299" s="7"/>
      <c r="AY299" s="7"/>
      <c r="AZ299" s="7"/>
      <c r="BA299" s="7"/>
      <c r="BB299" s="7"/>
      <c r="BC299" s="7"/>
      <c r="BD299" s="7"/>
      <c r="BE299" s="7"/>
      <c r="BF299" s="7"/>
      <c r="BG299" s="7"/>
      <c r="BH299" s="7"/>
      <c r="BI299" s="7"/>
      <c r="BJ299" s="7"/>
      <c r="BK299" s="7"/>
      <c r="BL299" s="7"/>
      <c r="BM299" s="7"/>
      <c r="BN299" s="7"/>
      <c r="BO299" s="7"/>
      <c r="BP299" s="7"/>
      <c r="BQ299" s="7"/>
      <c r="BR299" s="7"/>
      <c r="BS299" s="7"/>
      <c r="BT299" s="7"/>
      <c r="BU299" s="7"/>
      <c r="BV299" s="7"/>
      <c r="BW299" s="7"/>
      <c r="BX299" s="7"/>
      <c r="BY299" s="7"/>
      <c r="BZ299" s="7"/>
      <c r="CA299" s="7"/>
      <c r="CB299" s="7"/>
      <c r="CC299" s="7"/>
      <c r="CD299" s="7"/>
      <c r="CE299" s="7"/>
      <c r="CF299" s="7"/>
      <c r="CG299" s="7"/>
      <c r="CH299" s="7"/>
      <c r="CI299" s="7"/>
      <c r="CJ299" s="7"/>
      <c r="CK299" s="7"/>
      <c r="CL299" s="7"/>
      <c r="CM299" s="7"/>
      <c r="CN299" s="7"/>
      <c r="CO299" s="7"/>
      <c r="CP299" s="7"/>
      <c r="CQ299" s="7"/>
      <c r="CR299" s="7"/>
      <c r="CS299" s="7"/>
      <c r="CT299" s="7"/>
      <c r="CU299" s="7"/>
      <c r="CV299" s="7"/>
      <c r="CW299" s="290">
        <v>0.26000000000003898</v>
      </c>
      <c r="CX299" s="59">
        <v>276</v>
      </c>
      <c r="CY299" s="292" t="str">
        <f t="shared" si="62"/>
        <v>---------</v>
      </c>
      <c r="CZ299" s="7"/>
      <c r="DA299" s="7"/>
      <c r="DB299" s="7"/>
      <c r="DC299" s="7"/>
      <c r="DD299" s="7"/>
      <c r="DE299" s="7"/>
      <c r="DF299" s="290">
        <v>0.26000000000003898</v>
      </c>
      <c r="DG299" s="59">
        <v>276</v>
      </c>
      <c r="DH299" s="292" t="str">
        <f t="shared" si="63"/>
        <v>---------</v>
      </c>
      <c r="DI299" s="7"/>
      <c r="DJ299" s="7"/>
      <c r="DK299" s="7"/>
      <c r="DL299" s="7"/>
      <c r="FR299" s="12"/>
      <c r="FS299" s="7">
        <v>276</v>
      </c>
      <c r="FT299" s="12">
        <v>22.6</v>
      </c>
    </row>
    <row r="300" spans="20:176">
      <c r="T300" s="7"/>
      <c r="U300" s="7"/>
      <c r="V300" s="43"/>
      <c r="W300" s="7"/>
      <c r="X300" s="7"/>
      <c r="Y300" s="7"/>
      <c r="Z300" s="7"/>
      <c r="AA300" s="7"/>
      <c r="AB300" s="7"/>
      <c r="AC300" s="7"/>
      <c r="AD300" s="7"/>
      <c r="AE300" s="7"/>
      <c r="AF300" s="7"/>
      <c r="AG300" s="7"/>
      <c r="AH300" s="7"/>
      <c r="AI300" s="7"/>
      <c r="AJ300" s="7"/>
      <c r="AK300" s="7"/>
      <c r="AL300" s="7"/>
      <c r="AM300" s="7"/>
      <c r="AN300" s="7"/>
      <c r="AO300" s="7"/>
      <c r="AP300" s="7"/>
      <c r="AQ300" s="7"/>
      <c r="AR300" s="7"/>
      <c r="AS300" s="7"/>
      <c r="AT300" s="7"/>
      <c r="AU300" s="7"/>
      <c r="AV300" s="7"/>
      <c r="AW300" s="7"/>
      <c r="AX300" s="7"/>
      <c r="AY300" s="7"/>
      <c r="AZ300" s="7"/>
      <c r="BA300" s="7"/>
      <c r="BB300" s="7"/>
      <c r="BC300" s="7"/>
      <c r="BD300" s="7"/>
      <c r="BE300" s="7"/>
      <c r="BF300" s="7"/>
      <c r="BG300" s="7"/>
      <c r="BH300" s="7"/>
      <c r="BI300" s="7"/>
      <c r="BJ300" s="7"/>
      <c r="BK300" s="7"/>
      <c r="BL300" s="7"/>
      <c r="BM300" s="7"/>
      <c r="BN300" s="7"/>
      <c r="BO300" s="7"/>
      <c r="BP300" s="7"/>
      <c r="BQ300" s="7"/>
      <c r="BR300" s="7"/>
      <c r="BS300" s="7"/>
      <c r="BT300" s="7"/>
      <c r="BU300" s="7"/>
      <c r="BV300" s="7"/>
      <c r="BW300" s="7"/>
      <c r="BX300" s="7"/>
      <c r="BY300" s="7"/>
      <c r="BZ300" s="7"/>
      <c r="CA300" s="7"/>
      <c r="CB300" s="7"/>
      <c r="CC300" s="7"/>
      <c r="CD300" s="7"/>
      <c r="CE300" s="7"/>
      <c r="CF300" s="7"/>
      <c r="CG300" s="7"/>
      <c r="CH300" s="7"/>
      <c r="CI300" s="7"/>
      <c r="CJ300" s="7"/>
      <c r="CK300" s="7"/>
      <c r="CL300" s="7"/>
      <c r="CM300" s="7"/>
      <c r="CN300" s="7"/>
      <c r="CO300" s="7"/>
      <c r="CP300" s="7"/>
      <c r="CQ300" s="7"/>
      <c r="CR300" s="7"/>
      <c r="CS300" s="7"/>
      <c r="CT300" s="7"/>
      <c r="CU300" s="7"/>
      <c r="CV300" s="7"/>
      <c r="CW300" s="290">
        <v>0.25000000000003902</v>
      </c>
      <c r="CX300" s="59">
        <v>277</v>
      </c>
      <c r="CY300" s="292" t="str">
        <f t="shared" si="62"/>
        <v>---------</v>
      </c>
      <c r="CZ300" s="7"/>
      <c r="DA300" s="7"/>
      <c r="DB300" s="7"/>
      <c r="DC300" s="7"/>
      <c r="DD300" s="7"/>
      <c r="DE300" s="7"/>
      <c r="DF300" s="290">
        <v>0.25000000000003902</v>
      </c>
      <c r="DG300" s="59">
        <v>277</v>
      </c>
      <c r="DH300" s="292" t="str">
        <f t="shared" si="63"/>
        <v>---------</v>
      </c>
      <c r="DI300" s="7"/>
      <c r="DJ300" s="7"/>
      <c r="DK300" s="7"/>
      <c r="DL300" s="7"/>
      <c r="FR300" s="12"/>
      <c r="FS300" s="7">
        <v>277</v>
      </c>
      <c r="FT300" s="12">
        <v>22.5</v>
      </c>
    </row>
    <row r="301" spans="20:176">
      <c r="T301" s="7"/>
      <c r="U301" s="7"/>
      <c r="V301" s="43"/>
      <c r="W301" s="7"/>
      <c r="X301" s="7"/>
      <c r="Y301" s="7"/>
      <c r="Z301" s="7"/>
      <c r="AA301" s="7"/>
      <c r="AB301" s="7"/>
      <c r="AC301" s="7"/>
      <c r="AD301" s="7"/>
      <c r="AE301" s="7"/>
      <c r="AF301" s="7"/>
      <c r="AG301" s="7"/>
      <c r="AH301" s="7"/>
      <c r="AI301" s="7"/>
      <c r="AJ301" s="7"/>
      <c r="AK301" s="7"/>
      <c r="AL301" s="7"/>
      <c r="AM301" s="7"/>
      <c r="AN301" s="7"/>
      <c r="AO301" s="7"/>
      <c r="AP301" s="7"/>
      <c r="AQ301" s="7"/>
      <c r="AR301" s="7"/>
      <c r="AS301" s="7"/>
      <c r="AT301" s="7"/>
      <c r="AU301" s="7"/>
      <c r="AV301" s="7"/>
      <c r="AW301" s="7"/>
      <c r="AX301" s="7"/>
      <c r="AY301" s="7"/>
      <c r="AZ301" s="7"/>
      <c r="BA301" s="7"/>
      <c r="BB301" s="7"/>
      <c r="BC301" s="7"/>
      <c r="BD301" s="7"/>
      <c r="BE301" s="7"/>
      <c r="BF301" s="7"/>
      <c r="BG301" s="7"/>
      <c r="BH301" s="7"/>
      <c r="BI301" s="7"/>
      <c r="BJ301" s="7"/>
      <c r="BK301" s="7"/>
      <c r="BL301" s="7"/>
      <c r="BM301" s="7"/>
      <c r="BN301" s="7"/>
      <c r="BO301" s="7"/>
      <c r="BP301" s="7"/>
      <c r="BQ301" s="7"/>
      <c r="BR301" s="7"/>
      <c r="BS301" s="7"/>
      <c r="BT301" s="7"/>
      <c r="BU301" s="7"/>
      <c r="BV301" s="7"/>
      <c r="BW301" s="7"/>
      <c r="BX301" s="7"/>
      <c r="BY301" s="7"/>
      <c r="BZ301" s="7"/>
      <c r="CA301" s="7"/>
      <c r="CB301" s="7"/>
      <c r="CC301" s="7"/>
      <c r="CD301" s="7"/>
      <c r="CE301" s="7"/>
      <c r="CF301" s="7"/>
      <c r="CG301" s="7"/>
      <c r="CH301" s="7"/>
      <c r="CI301" s="7"/>
      <c r="CJ301" s="7"/>
      <c r="CK301" s="7"/>
      <c r="CL301" s="7"/>
      <c r="CM301" s="7"/>
      <c r="CN301" s="7"/>
      <c r="CO301" s="7"/>
      <c r="CP301" s="7"/>
      <c r="CQ301" s="7"/>
      <c r="CR301" s="7"/>
      <c r="CS301" s="7"/>
      <c r="CT301" s="7"/>
      <c r="CU301" s="7"/>
      <c r="CV301" s="7"/>
      <c r="CW301" s="290">
        <v>0.24000000000003899</v>
      </c>
      <c r="CX301" s="59">
        <v>278</v>
      </c>
      <c r="CY301" s="292" t="str">
        <f t="shared" si="62"/>
        <v>---------</v>
      </c>
      <c r="CZ301" s="7"/>
      <c r="DA301" s="7"/>
      <c r="DB301" s="7"/>
      <c r="DC301" s="7"/>
      <c r="DD301" s="7"/>
      <c r="DE301" s="7"/>
      <c r="DF301" s="290">
        <v>0.24000000000003899</v>
      </c>
      <c r="DG301" s="59">
        <v>278</v>
      </c>
      <c r="DH301" s="292" t="str">
        <f t="shared" si="63"/>
        <v>---------</v>
      </c>
      <c r="DI301" s="7"/>
      <c r="DJ301" s="7"/>
      <c r="DK301" s="7"/>
      <c r="DL301" s="7"/>
      <c r="FR301" s="12"/>
      <c r="FS301" s="7">
        <v>278</v>
      </c>
      <c r="FT301" s="12">
        <v>22.4</v>
      </c>
    </row>
    <row r="302" spans="20:176">
      <c r="T302" s="7"/>
      <c r="U302" s="7"/>
      <c r="V302" s="43"/>
      <c r="W302" s="7"/>
      <c r="X302" s="7"/>
      <c r="Y302" s="7"/>
      <c r="Z302" s="7"/>
      <c r="AA302" s="7"/>
      <c r="AB302" s="7"/>
      <c r="AC302" s="7"/>
      <c r="AD302" s="7"/>
      <c r="AE302" s="7"/>
      <c r="AF302" s="7"/>
      <c r="AG302" s="7"/>
      <c r="AH302" s="7"/>
      <c r="AI302" s="7"/>
      <c r="AJ302" s="7"/>
      <c r="AK302" s="7"/>
      <c r="AL302" s="7"/>
      <c r="AM302" s="7"/>
      <c r="AN302" s="7"/>
      <c r="AO302" s="7"/>
      <c r="AP302" s="7"/>
      <c r="AQ302" s="7"/>
      <c r="AR302" s="7"/>
      <c r="AS302" s="7"/>
      <c r="AT302" s="7"/>
      <c r="AU302" s="7"/>
      <c r="AV302" s="7"/>
      <c r="AW302" s="7"/>
      <c r="AX302" s="7"/>
      <c r="AY302" s="7"/>
      <c r="AZ302" s="7"/>
      <c r="BA302" s="7"/>
      <c r="BB302" s="7"/>
      <c r="BC302" s="7"/>
      <c r="BD302" s="7"/>
      <c r="BE302" s="7"/>
      <c r="BF302" s="7"/>
      <c r="BG302" s="7"/>
      <c r="BH302" s="7"/>
      <c r="BI302" s="7"/>
      <c r="BJ302" s="7"/>
      <c r="BK302" s="7"/>
      <c r="BL302" s="7"/>
      <c r="BM302" s="7"/>
      <c r="BN302" s="7"/>
      <c r="BO302" s="7"/>
      <c r="BP302" s="7"/>
      <c r="BQ302" s="7"/>
      <c r="BR302" s="7"/>
      <c r="BS302" s="7"/>
      <c r="BT302" s="7"/>
      <c r="BU302" s="7"/>
      <c r="BV302" s="7"/>
      <c r="BW302" s="7"/>
      <c r="BX302" s="7"/>
      <c r="BY302" s="7"/>
      <c r="BZ302" s="7"/>
      <c r="CA302" s="7"/>
      <c r="CB302" s="7"/>
      <c r="CC302" s="7"/>
      <c r="CD302" s="7"/>
      <c r="CE302" s="7"/>
      <c r="CF302" s="7"/>
      <c r="CG302" s="7"/>
      <c r="CH302" s="7"/>
      <c r="CI302" s="7"/>
      <c r="CJ302" s="7"/>
      <c r="CK302" s="7"/>
      <c r="CL302" s="7"/>
      <c r="CM302" s="7"/>
      <c r="CN302" s="7"/>
      <c r="CO302" s="7"/>
      <c r="CP302" s="7"/>
      <c r="CQ302" s="7"/>
      <c r="CR302" s="7"/>
      <c r="CS302" s="7"/>
      <c r="CT302" s="7"/>
      <c r="CU302" s="7"/>
      <c r="CV302" s="7"/>
      <c r="CW302" s="290">
        <v>0.23000000000003901</v>
      </c>
      <c r="CX302" s="59">
        <v>279</v>
      </c>
      <c r="CY302" s="292" t="str">
        <f t="shared" si="62"/>
        <v>---------</v>
      </c>
      <c r="CZ302" s="7"/>
      <c r="DA302" s="7"/>
      <c r="DB302" s="7"/>
      <c r="DC302" s="7"/>
      <c r="DD302" s="7"/>
      <c r="DE302" s="7"/>
      <c r="DF302" s="290">
        <v>0.23000000000003901</v>
      </c>
      <c r="DG302" s="59">
        <v>279</v>
      </c>
      <c r="DH302" s="292" t="str">
        <f t="shared" si="63"/>
        <v>---------</v>
      </c>
      <c r="DI302" s="7"/>
      <c r="DJ302" s="7"/>
      <c r="DK302" s="7"/>
      <c r="DL302" s="7"/>
      <c r="FR302" s="12"/>
      <c r="FS302" s="7">
        <v>279</v>
      </c>
      <c r="FT302" s="12">
        <v>22.3</v>
      </c>
    </row>
    <row r="303" spans="20:176">
      <c r="T303" s="7"/>
      <c r="U303" s="7"/>
      <c r="V303" s="43"/>
      <c r="W303" s="7"/>
      <c r="X303" s="7"/>
      <c r="Y303" s="7"/>
      <c r="Z303" s="7"/>
      <c r="AA303" s="7"/>
      <c r="AB303" s="7"/>
      <c r="AC303" s="7"/>
      <c r="AD303" s="7"/>
      <c r="AE303" s="7"/>
      <c r="AF303" s="7"/>
      <c r="AG303" s="7"/>
      <c r="AH303" s="7"/>
      <c r="AI303" s="7"/>
      <c r="AJ303" s="7"/>
      <c r="AK303" s="7"/>
      <c r="AL303" s="7"/>
      <c r="AM303" s="7"/>
      <c r="AN303" s="7"/>
      <c r="AO303" s="7"/>
      <c r="AP303" s="7"/>
      <c r="AQ303" s="7"/>
      <c r="AR303" s="7"/>
      <c r="AS303" s="7"/>
      <c r="AT303" s="7"/>
      <c r="AU303" s="7"/>
      <c r="AV303" s="7"/>
      <c r="AW303" s="7"/>
      <c r="AX303" s="7"/>
      <c r="AY303" s="7"/>
      <c r="AZ303" s="7"/>
      <c r="BA303" s="7"/>
      <c r="BB303" s="7"/>
      <c r="BC303" s="7"/>
      <c r="BD303" s="7"/>
      <c r="BE303" s="7"/>
      <c r="BF303" s="7"/>
      <c r="BG303" s="7"/>
      <c r="BH303" s="7"/>
      <c r="BI303" s="7"/>
      <c r="BJ303" s="7"/>
      <c r="BK303" s="7"/>
      <c r="BL303" s="7"/>
      <c r="BM303" s="7"/>
      <c r="BN303" s="7"/>
      <c r="BO303" s="7"/>
      <c r="BP303" s="7"/>
      <c r="BQ303" s="7"/>
      <c r="BR303" s="7"/>
      <c r="BS303" s="7"/>
      <c r="BT303" s="7"/>
      <c r="BU303" s="7"/>
      <c r="BV303" s="7"/>
      <c r="BW303" s="7"/>
      <c r="BX303" s="7"/>
      <c r="BY303" s="7"/>
      <c r="BZ303" s="7"/>
      <c r="CA303" s="7"/>
      <c r="CB303" s="7"/>
      <c r="CC303" s="7"/>
      <c r="CD303" s="7"/>
      <c r="CE303" s="7"/>
      <c r="CF303" s="7"/>
      <c r="CG303" s="7"/>
      <c r="CH303" s="7"/>
      <c r="CI303" s="7"/>
      <c r="CJ303" s="7"/>
      <c r="CK303" s="7"/>
      <c r="CL303" s="7"/>
      <c r="CM303" s="7"/>
      <c r="CN303" s="7"/>
      <c r="CO303" s="7"/>
      <c r="CP303" s="7"/>
      <c r="CQ303" s="7"/>
      <c r="CR303" s="7"/>
      <c r="CS303" s="7"/>
      <c r="CT303" s="7"/>
      <c r="CU303" s="7"/>
      <c r="CV303" s="7"/>
      <c r="CW303" s="290">
        <v>0.220000000000039</v>
      </c>
      <c r="CX303" s="59">
        <v>280</v>
      </c>
      <c r="CY303" s="292" t="str">
        <f t="shared" si="62"/>
        <v>---------</v>
      </c>
      <c r="CZ303" s="7"/>
      <c r="DA303" s="7"/>
      <c r="DB303" s="7"/>
      <c r="DC303" s="7"/>
      <c r="DD303" s="7"/>
      <c r="DE303" s="7"/>
      <c r="DF303" s="290">
        <v>0.220000000000039</v>
      </c>
      <c r="DG303" s="59">
        <v>280</v>
      </c>
      <c r="DH303" s="292" t="str">
        <f t="shared" si="63"/>
        <v>---------</v>
      </c>
      <c r="DI303" s="7"/>
      <c r="DJ303" s="7"/>
      <c r="DK303" s="7"/>
      <c r="DL303" s="7"/>
      <c r="FR303" s="12"/>
      <c r="FS303" s="7">
        <v>280</v>
      </c>
      <c r="FT303" s="12">
        <v>22.2</v>
      </c>
    </row>
    <row r="304" spans="20:176">
      <c r="CK304" s="7"/>
      <c r="CL304" s="7"/>
      <c r="CM304" s="7"/>
      <c r="CN304" s="7"/>
      <c r="CO304" s="7"/>
      <c r="CP304" s="7"/>
      <c r="CQ304" s="7"/>
      <c r="CR304" s="7"/>
      <c r="CS304" s="7"/>
      <c r="CT304" s="7"/>
      <c r="CU304" s="7"/>
      <c r="CV304" s="7"/>
      <c r="CW304" s="290">
        <v>0.21000000000003899</v>
      </c>
      <c r="CX304" s="59">
        <v>281</v>
      </c>
      <c r="CY304" s="292" t="str">
        <f t="shared" si="62"/>
        <v>---------</v>
      </c>
      <c r="CZ304" s="7"/>
      <c r="DA304" s="7"/>
      <c r="DB304" s="7"/>
      <c r="DC304" s="7"/>
      <c r="DD304" s="7"/>
      <c r="DE304" s="7"/>
      <c r="DF304" s="290">
        <v>0.21000000000003899</v>
      </c>
      <c r="DG304" s="59">
        <v>281</v>
      </c>
      <c r="DH304" s="292" t="str">
        <f t="shared" si="63"/>
        <v>---------</v>
      </c>
      <c r="DI304" s="7"/>
      <c r="DJ304" s="7"/>
      <c r="DK304" s="7"/>
      <c r="DL304" s="7"/>
      <c r="FR304" s="12"/>
      <c r="FS304" s="7">
        <v>281</v>
      </c>
      <c r="FT304" s="12">
        <v>22.1</v>
      </c>
    </row>
    <row r="305" spans="89:176">
      <c r="CK305" s="7"/>
      <c r="CL305" s="7"/>
      <c r="CM305" s="7"/>
      <c r="CN305" s="7"/>
      <c r="CO305" s="7"/>
      <c r="CP305" s="7"/>
      <c r="CQ305" s="7"/>
      <c r="CR305" s="7"/>
      <c r="CS305" s="7"/>
      <c r="CT305" s="7"/>
      <c r="CU305" s="7"/>
      <c r="CV305" s="7"/>
      <c r="CW305" s="290">
        <v>0.20000000000003901</v>
      </c>
      <c r="CX305" s="59">
        <v>282</v>
      </c>
      <c r="CY305" s="292" t="str">
        <f t="shared" si="62"/>
        <v>---------</v>
      </c>
      <c r="CZ305" s="7"/>
      <c r="DA305" s="7"/>
      <c r="DB305" s="7"/>
      <c r="DC305" s="7"/>
      <c r="DD305" s="7"/>
      <c r="DE305" s="7"/>
      <c r="DF305" s="290">
        <v>0.20000000000003901</v>
      </c>
      <c r="DG305" s="59">
        <v>282</v>
      </c>
      <c r="DH305" s="292" t="str">
        <f t="shared" si="63"/>
        <v>---------</v>
      </c>
      <c r="DI305" s="7"/>
      <c r="DJ305" s="7"/>
      <c r="DK305" s="7"/>
      <c r="DL305" s="7"/>
      <c r="FR305" s="12"/>
      <c r="FS305" s="7">
        <v>282</v>
      </c>
      <c r="FT305" s="12">
        <v>22</v>
      </c>
    </row>
    <row r="306" spans="89:176">
      <c r="CK306" s="7"/>
      <c r="CL306" s="7"/>
      <c r="CM306" s="7"/>
      <c r="CN306" s="7"/>
      <c r="CO306" s="7"/>
      <c r="CP306" s="7"/>
      <c r="CQ306" s="7"/>
      <c r="CR306" s="7"/>
      <c r="CS306" s="7"/>
      <c r="CT306" s="7"/>
      <c r="CU306" s="7"/>
      <c r="CV306" s="7"/>
      <c r="CW306" s="290">
        <v>0.190000000000039</v>
      </c>
      <c r="CX306" s="59">
        <v>283</v>
      </c>
      <c r="CY306" s="292" t="str">
        <f t="shared" si="62"/>
        <v>---------</v>
      </c>
      <c r="CZ306" s="7"/>
      <c r="DA306" s="7"/>
      <c r="DB306" s="7"/>
      <c r="DC306" s="7"/>
      <c r="DD306" s="7"/>
      <c r="DE306" s="7"/>
      <c r="DF306" s="290">
        <v>0.190000000000039</v>
      </c>
      <c r="DG306" s="59">
        <v>283</v>
      </c>
      <c r="DH306" s="292" t="str">
        <f t="shared" si="63"/>
        <v>---------</v>
      </c>
      <c r="DI306" s="7"/>
      <c r="DJ306" s="7"/>
      <c r="DK306" s="7"/>
      <c r="DL306" s="7"/>
      <c r="FR306" s="12"/>
      <c r="FS306" s="7">
        <v>283</v>
      </c>
      <c r="FT306" s="12">
        <v>21.9</v>
      </c>
    </row>
    <row r="307" spans="89:176">
      <c r="CK307" s="7"/>
      <c r="CL307" s="7"/>
      <c r="CM307" s="7"/>
      <c r="CN307" s="7"/>
      <c r="CO307" s="7"/>
      <c r="CP307" s="7"/>
      <c r="CQ307" s="7"/>
      <c r="CR307" s="7"/>
      <c r="CS307" s="7"/>
      <c r="CT307" s="7"/>
      <c r="CU307" s="7"/>
      <c r="CV307" s="7"/>
      <c r="CW307" s="290">
        <v>0.18000000000003899</v>
      </c>
      <c r="CX307" s="59">
        <v>284</v>
      </c>
      <c r="CY307" s="292" t="str">
        <f t="shared" si="62"/>
        <v>---------</v>
      </c>
      <c r="CZ307" s="7"/>
      <c r="DA307" s="7"/>
      <c r="DB307" s="7"/>
      <c r="DC307" s="7"/>
      <c r="DD307" s="7"/>
      <c r="DE307" s="7"/>
      <c r="DF307" s="290">
        <v>0.18000000000003899</v>
      </c>
      <c r="DG307" s="59">
        <v>284</v>
      </c>
      <c r="DH307" s="292" t="str">
        <f t="shared" si="63"/>
        <v>---------</v>
      </c>
      <c r="DI307" s="7"/>
      <c r="DJ307" s="7"/>
      <c r="DK307" s="7"/>
      <c r="DL307" s="7"/>
      <c r="FR307" s="12"/>
      <c r="FS307" s="7">
        <v>284</v>
      </c>
      <c r="FT307" s="12">
        <v>21.8</v>
      </c>
    </row>
    <row r="308" spans="89:176">
      <c r="CK308" s="7"/>
      <c r="CL308" s="7"/>
      <c r="CM308" s="7"/>
      <c r="CN308" s="7"/>
      <c r="CO308" s="7"/>
      <c r="CP308" s="7"/>
      <c r="CQ308" s="7"/>
      <c r="CR308" s="7"/>
      <c r="CS308" s="7"/>
      <c r="CT308" s="7"/>
      <c r="CU308" s="7"/>
      <c r="CV308" s="7"/>
      <c r="CW308" s="290">
        <v>0.17000000000003901</v>
      </c>
      <c r="CX308" s="59">
        <v>285</v>
      </c>
      <c r="CY308" s="292" t="str">
        <f t="shared" si="62"/>
        <v>---------</v>
      </c>
      <c r="CZ308" s="7"/>
      <c r="DA308" s="7"/>
      <c r="DB308" s="7"/>
      <c r="DC308" s="7"/>
      <c r="DD308" s="7"/>
      <c r="DE308" s="7"/>
      <c r="DF308" s="290">
        <v>0.17000000000003901</v>
      </c>
      <c r="DG308" s="59">
        <v>285</v>
      </c>
      <c r="DH308" s="292" t="str">
        <f t="shared" si="63"/>
        <v>---------</v>
      </c>
      <c r="DI308" s="7"/>
      <c r="DJ308" s="7"/>
      <c r="DK308" s="7"/>
      <c r="DL308" s="7"/>
      <c r="FR308" s="12"/>
      <c r="FS308" s="7">
        <v>285</v>
      </c>
      <c r="FT308" s="12">
        <v>21.7</v>
      </c>
    </row>
    <row r="309" spans="89:176">
      <c r="CK309" s="7"/>
      <c r="CL309" s="7"/>
      <c r="CM309" s="7"/>
      <c r="CN309" s="7"/>
      <c r="CO309" s="7"/>
      <c r="CP309" s="7"/>
      <c r="CQ309" s="7"/>
      <c r="CR309" s="7"/>
      <c r="CS309" s="7"/>
      <c r="CT309" s="7"/>
      <c r="CU309" s="7"/>
      <c r="CV309" s="7"/>
      <c r="CW309" s="290">
        <v>0.160000000000039</v>
      </c>
      <c r="CX309" s="59">
        <v>286</v>
      </c>
      <c r="CY309" s="292" t="str">
        <f t="shared" si="62"/>
        <v>---------</v>
      </c>
      <c r="CZ309" s="7"/>
      <c r="DA309" s="7"/>
      <c r="DB309" s="7"/>
      <c r="DC309" s="7"/>
      <c r="DD309" s="7"/>
      <c r="DE309" s="7"/>
      <c r="DF309" s="290">
        <v>0.160000000000039</v>
      </c>
      <c r="DG309" s="59">
        <v>286</v>
      </c>
      <c r="DH309" s="292" t="str">
        <f t="shared" si="63"/>
        <v>---------</v>
      </c>
      <c r="DI309" s="7"/>
      <c r="DJ309" s="7"/>
      <c r="DK309" s="7"/>
      <c r="DL309" s="7"/>
      <c r="FR309" s="12"/>
      <c r="FS309" s="7">
        <v>286</v>
      </c>
      <c r="FT309" s="12">
        <v>21.6</v>
      </c>
    </row>
    <row r="310" spans="89:176">
      <c r="CK310" s="7"/>
      <c r="CL310" s="7"/>
      <c r="CM310" s="7"/>
      <c r="CN310" s="7"/>
      <c r="CO310" s="7"/>
      <c r="CP310" s="7"/>
      <c r="CQ310" s="7"/>
      <c r="CR310" s="7"/>
      <c r="CS310" s="7"/>
      <c r="CT310" s="7"/>
      <c r="CU310" s="7"/>
      <c r="CV310" s="7"/>
      <c r="CW310" s="290">
        <v>0.15000000000003899</v>
      </c>
      <c r="CX310" s="59">
        <v>287</v>
      </c>
      <c r="CY310" s="292" t="str">
        <f t="shared" si="62"/>
        <v>---------</v>
      </c>
      <c r="CZ310" s="7"/>
      <c r="DA310" s="7"/>
      <c r="DB310" s="7"/>
      <c r="DC310" s="7"/>
      <c r="DD310" s="7"/>
      <c r="DE310" s="7"/>
      <c r="DF310" s="290">
        <v>0.15000000000003899</v>
      </c>
      <c r="DG310" s="59">
        <v>287</v>
      </c>
      <c r="DH310" s="292" t="str">
        <f t="shared" si="63"/>
        <v>---------</v>
      </c>
      <c r="DI310" s="7"/>
      <c r="DJ310" s="7"/>
      <c r="DK310" s="7"/>
      <c r="DL310" s="7"/>
      <c r="FR310" s="12"/>
      <c r="FS310" s="7">
        <v>287</v>
      </c>
      <c r="FT310" s="12">
        <v>21.5</v>
      </c>
    </row>
    <row r="311" spans="89:176">
      <c r="CK311" s="7"/>
      <c r="CL311" s="7"/>
      <c r="CM311" s="7"/>
      <c r="CN311" s="7"/>
      <c r="CO311" s="7"/>
      <c r="CP311" s="7"/>
      <c r="CQ311" s="7"/>
      <c r="CR311" s="7"/>
      <c r="CS311" s="7"/>
      <c r="CT311" s="7"/>
      <c r="CU311" s="7"/>
      <c r="CV311" s="7"/>
      <c r="CW311" s="290">
        <v>0.14000000000003901</v>
      </c>
      <c r="CX311" s="59">
        <v>288</v>
      </c>
      <c r="CY311" s="292" t="str">
        <f t="shared" si="62"/>
        <v>---------</v>
      </c>
      <c r="CZ311" s="7"/>
      <c r="DA311" s="7"/>
      <c r="DB311" s="7"/>
      <c r="DC311" s="7"/>
      <c r="DD311" s="7"/>
      <c r="DE311" s="7"/>
      <c r="DF311" s="290">
        <v>0.14000000000003901</v>
      </c>
      <c r="DG311" s="59">
        <v>288</v>
      </c>
      <c r="DH311" s="292" t="str">
        <f t="shared" si="63"/>
        <v>---------</v>
      </c>
      <c r="DI311" s="7"/>
      <c r="DJ311" s="7"/>
      <c r="DK311" s="7"/>
      <c r="DL311" s="7"/>
      <c r="FR311" s="12"/>
      <c r="FS311" s="7">
        <v>288</v>
      </c>
      <c r="FT311" s="12">
        <v>21.4</v>
      </c>
    </row>
    <row r="312" spans="89:176">
      <c r="CK312" s="7"/>
      <c r="CL312" s="7"/>
      <c r="CM312" s="7"/>
      <c r="CN312" s="7"/>
      <c r="CO312" s="7"/>
      <c r="CP312" s="7"/>
      <c r="CQ312" s="7"/>
      <c r="CR312" s="7"/>
      <c r="CS312" s="7"/>
      <c r="CT312" s="7"/>
      <c r="CU312" s="7"/>
      <c r="CV312" s="7"/>
      <c r="CW312" s="290">
        <v>0.130000000000039</v>
      </c>
      <c r="CX312" s="59">
        <v>289</v>
      </c>
      <c r="CY312" s="292" t="str">
        <f t="shared" si="62"/>
        <v>---------</v>
      </c>
      <c r="CZ312" s="7"/>
      <c r="DA312" s="7"/>
      <c r="DB312" s="7"/>
      <c r="DC312" s="7"/>
      <c r="DD312" s="7"/>
      <c r="DE312" s="7"/>
      <c r="DF312" s="290">
        <v>0.130000000000039</v>
      </c>
      <c r="DG312" s="59">
        <v>289</v>
      </c>
      <c r="DH312" s="292" t="str">
        <f t="shared" si="63"/>
        <v>---------</v>
      </c>
      <c r="DI312" s="7"/>
      <c r="DJ312" s="7"/>
      <c r="DK312" s="7"/>
      <c r="DL312" s="7"/>
      <c r="FR312" s="12"/>
      <c r="FS312" s="7">
        <v>289</v>
      </c>
      <c r="FT312" s="12">
        <v>21.3</v>
      </c>
    </row>
    <row r="313" spans="89:176">
      <c r="CK313" s="7"/>
      <c r="CL313" s="7"/>
      <c r="CM313" s="7"/>
      <c r="CN313" s="7"/>
      <c r="CO313" s="7"/>
      <c r="CP313" s="7"/>
      <c r="CQ313" s="7"/>
      <c r="CR313" s="7"/>
      <c r="CS313" s="7"/>
      <c r="CT313" s="7"/>
      <c r="CU313" s="7"/>
      <c r="CV313" s="7"/>
      <c r="CW313" s="290">
        <v>0.12000000000003901</v>
      </c>
      <c r="CX313" s="59">
        <v>290</v>
      </c>
      <c r="CY313" s="292" t="str">
        <f t="shared" si="62"/>
        <v>---------</v>
      </c>
      <c r="CZ313" s="7"/>
      <c r="DA313" s="7"/>
      <c r="DB313" s="7"/>
      <c r="DC313" s="7"/>
      <c r="DD313" s="7"/>
      <c r="DE313" s="7"/>
      <c r="DF313" s="290">
        <v>0.12000000000003901</v>
      </c>
      <c r="DG313" s="59">
        <v>290</v>
      </c>
      <c r="DH313" s="292" t="str">
        <f t="shared" si="63"/>
        <v>---------</v>
      </c>
      <c r="DI313" s="7"/>
      <c r="DJ313" s="7"/>
      <c r="DK313" s="7"/>
      <c r="DL313" s="7"/>
      <c r="FR313" s="12"/>
      <c r="FS313" s="7">
        <v>290</v>
      </c>
      <c r="FT313" s="12">
        <v>21.2</v>
      </c>
    </row>
    <row r="314" spans="89:176">
      <c r="CK314" s="7"/>
      <c r="CL314" s="7"/>
      <c r="CM314" s="7"/>
      <c r="CN314" s="7"/>
      <c r="CO314" s="7"/>
      <c r="CP314" s="7"/>
      <c r="CQ314" s="7"/>
      <c r="CR314" s="7"/>
      <c r="CS314" s="7"/>
      <c r="CT314" s="7"/>
      <c r="CU314" s="7"/>
      <c r="CV314" s="7"/>
      <c r="CW314" s="290">
        <v>0.110000000000039</v>
      </c>
      <c r="CX314" s="59">
        <v>291</v>
      </c>
      <c r="CY314" s="292" t="str">
        <f t="shared" si="62"/>
        <v>---------</v>
      </c>
      <c r="CZ314" s="7"/>
      <c r="DA314" s="7"/>
      <c r="DB314" s="7"/>
      <c r="DC314" s="7"/>
      <c r="DD314" s="7"/>
      <c r="DE314" s="7"/>
      <c r="DF314" s="290">
        <v>0.110000000000039</v>
      </c>
      <c r="DG314" s="59">
        <v>291</v>
      </c>
      <c r="DH314" s="292" t="str">
        <f t="shared" si="63"/>
        <v>---------</v>
      </c>
      <c r="DI314" s="7"/>
      <c r="DJ314" s="7"/>
      <c r="DK314" s="7"/>
      <c r="DL314" s="7"/>
      <c r="FR314" s="12"/>
      <c r="FS314" s="7">
        <v>291</v>
      </c>
      <c r="FT314" s="12">
        <v>21.1</v>
      </c>
    </row>
    <row r="315" spans="89:176">
      <c r="CK315" s="7"/>
      <c r="CL315" s="7"/>
      <c r="CM315" s="7"/>
      <c r="CN315" s="7"/>
      <c r="CO315" s="7"/>
      <c r="CP315" s="7"/>
      <c r="CQ315" s="7"/>
      <c r="CR315" s="7"/>
      <c r="CS315" s="7"/>
      <c r="CT315" s="7"/>
      <c r="CU315" s="7"/>
      <c r="CV315" s="7"/>
      <c r="CW315" s="290">
        <v>0.100000000000039</v>
      </c>
      <c r="CX315" s="59">
        <v>292</v>
      </c>
      <c r="CY315" s="292" t="str">
        <f t="shared" si="62"/>
        <v>---------</v>
      </c>
      <c r="CZ315" s="7"/>
      <c r="DA315" s="7"/>
      <c r="DB315" s="7"/>
      <c r="DC315" s="7"/>
      <c r="DD315" s="7"/>
      <c r="DE315" s="7"/>
      <c r="DF315" s="290">
        <v>0.100000000000039</v>
      </c>
      <c r="DG315" s="59">
        <v>292</v>
      </c>
      <c r="DH315" s="292" t="str">
        <f t="shared" si="63"/>
        <v>---------</v>
      </c>
      <c r="DI315" s="7"/>
      <c r="DJ315" s="7"/>
      <c r="DK315" s="7"/>
      <c r="DL315" s="7"/>
      <c r="FR315" s="12"/>
      <c r="FS315" s="7">
        <v>292</v>
      </c>
      <c r="FT315" s="12">
        <v>21</v>
      </c>
    </row>
    <row r="316" spans="89:176">
      <c r="CK316" s="7"/>
      <c r="CL316" s="7"/>
      <c r="CM316" s="7"/>
      <c r="CN316" s="7"/>
      <c r="CO316" s="7"/>
      <c r="CP316" s="7"/>
      <c r="CQ316" s="7"/>
      <c r="CR316" s="7"/>
      <c r="CS316" s="7"/>
      <c r="CT316" s="7"/>
      <c r="CU316" s="7"/>
      <c r="CV316" s="7"/>
      <c r="CW316" s="290">
        <v>9.0000000000038993E-2</v>
      </c>
      <c r="CX316" s="59">
        <v>293</v>
      </c>
      <c r="CY316" s="292" t="str">
        <f t="shared" si="62"/>
        <v>---------</v>
      </c>
      <c r="CZ316" s="7"/>
      <c r="DA316" s="7"/>
      <c r="DB316" s="7"/>
      <c r="DC316" s="7"/>
      <c r="DD316" s="7"/>
      <c r="DE316" s="7"/>
      <c r="DF316" s="290">
        <v>9.0000000000038993E-2</v>
      </c>
      <c r="DG316" s="59">
        <v>293</v>
      </c>
      <c r="DH316" s="292" t="str">
        <f t="shared" si="63"/>
        <v>---------</v>
      </c>
      <c r="DI316" s="7"/>
      <c r="DJ316" s="7"/>
      <c r="DK316" s="7"/>
      <c r="DL316" s="7"/>
      <c r="FR316" s="12"/>
      <c r="FS316" s="7">
        <v>293</v>
      </c>
      <c r="FT316" s="12">
        <v>20.9</v>
      </c>
    </row>
    <row r="317" spans="89:176">
      <c r="CK317" s="7"/>
      <c r="CL317" s="7"/>
      <c r="CM317" s="7"/>
      <c r="CN317" s="7"/>
      <c r="CO317" s="7"/>
      <c r="CP317" s="7"/>
      <c r="CQ317" s="7"/>
      <c r="CR317" s="7"/>
      <c r="CS317" s="7"/>
      <c r="CT317" s="7"/>
      <c r="CU317" s="7"/>
      <c r="CV317" s="7"/>
      <c r="CW317" s="290">
        <v>8.0000000000038998E-2</v>
      </c>
      <c r="CX317" s="59">
        <v>294</v>
      </c>
      <c r="CY317" s="292" t="str">
        <f t="shared" si="62"/>
        <v>---------</v>
      </c>
      <c r="CZ317" s="7"/>
      <c r="DA317" s="7"/>
      <c r="DB317" s="7"/>
      <c r="DC317" s="7"/>
      <c r="DD317" s="7"/>
      <c r="DE317" s="7"/>
      <c r="DF317" s="290">
        <v>8.0000000000038998E-2</v>
      </c>
      <c r="DG317" s="59">
        <v>294</v>
      </c>
      <c r="DH317" s="292" t="str">
        <f t="shared" si="63"/>
        <v>---------</v>
      </c>
      <c r="DI317" s="7"/>
      <c r="DJ317" s="7"/>
      <c r="DK317" s="7"/>
      <c r="DL317" s="7"/>
      <c r="FR317" s="12"/>
      <c r="FS317" s="7">
        <v>294</v>
      </c>
      <c r="FT317" s="12">
        <v>20.8</v>
      </c>
    </row>
    <row r="318" spans="89:176">
      <c r="CK318" s="7"/>
      <c r="CL318" s="7"/>
      <c r="CM318" s="7"/>
      <c r="CN318" s="7"/>
      <c r="CO318" s="7"/>
      <c r="CP318" s="7"/>
      <c r="CQ318" s="7"/>
      <c r="CR318" s="7"/>
      <c r="CS318" s="7"/>
      <c r="CT318" s="7"/>
      <c r="CU318" s="7"/>
      <c r="CV318" s="7"/>
      <c r="CW318" s="290">
        <v>7.0000000000039003E-2</v>
      </c>
      <c r="CX318" s="59">
        <v>295</v>
      </c>
      <c r="CY318" s="292" t="str">
        <f t="shared" si="62"/>
        <v>---------</v>
      </c>
      <c r="CZ318" s="7"/>
      <c r="DA318" s="7"/>
      <c r="DB318" s="7"/>
      <c r="DC318" s="7"/>
      <c r="DD318" s="7"/>
      <c r="DE318" s="7"/>
      <c r="DF318" s="290">
        <v>7.0000000000039003E-2</v>
      </c>
      <c r="DG318" s="59">
        <v>295</v>
      </c>
      <c r="DH318" s="292" t="str">
        <f t="shared" si="63"/>
        <v>---------</v>
      </c>
      <c r="DI318" s="7"/>
      <c r="DJ318" s="7"/>
      <c r="DK318" s="7"/>
      <c r="DL318" s="7"/>
      <c r="FR318" s="12"/>
      <c r="FS318" s="7">
        <v>295</v>
      </c>
      <c r="FT318" s="12">
        <v>20.7</v>
      </c>
    </row>
    <row r="319" spans="89:176">
      <c r="CK319" s="7"/>
      <c r="CL319" s="7"/>
      <c r="CM319" s="7"/>
      <c r="CN319" s="7"/>
      <c r="CO319" s="7"/>
      <c r="CP319" s="7"/>
      <c r="CQ319" s="7"/>
      <c r="CR319" s="7"/>
      <c r="CS319" s="7"/>
      <c r="CT319" s="7"/>
      <c r="CU319" s="7"/>
      <c r="CV319" s="7"/>
      <c r="CW319" s="290">
        <v>6.0000000000039001E-2</v>
      </c>
      <c r="CX319" s="59">
        <v>296</v>
      </c>
      <c r="CY319" s="292" t="str">
        <f t="shared" si="62"/>
        <v>---------</v>
      </c>
      <c r="CZ319" s="7"/>
      <c r="DA319" s="7"/>
      <c r="DB319" s="7"/>
      <c r="DC319" s="7"/>
      <c r="DD319" s="7"/>
      <c r="DE319" s="7"/>
      <c r="DF319" s="290">
        <v>6.0000000000039001E-2</v>
      </c>
      <c r="DG319" s="59">
        <v>296</v>
      </c>
      <c r="DH319" s="292" t="str">
        <f t="shared" si="63"/>
        <v>---------</v>
      </c>
      <c r="DI319" s="7"/>
      <c r="DJ319" s="7"/>
      <c r="DK319" s="7"/>
      <c r="DL319" s="7"/>
      <c r="FR319" s="12"/>
      <c r="FS319" s="7">
        <v>296</v>
      </c>
      <c r="FT319" s="12">
        <v>20.6</v>
      </c>
    </row>
    <row r="320" spans="89:176">
      <c r="CK320" s="7"/>
      <c r="CL320" s="7"/>
      <c r="CM320" s="7"/>
      <c r="CN320" s="7"/>
      <c r="CO320" s="7"/>
      <c r="CP320" s="7"/>
      <c r="CQ320" s="7"/>
      <c r="CR320" s="7"/>
      <c r="CS320" s="7"/>
      <c r="CT320" s="7"/>
      <c r="CU320" s="7"/>
      <c r="CV320" s="7"/>
      <c r="CW320" s="290">
        <v>5.0000000000038999E-2</v>
      </c>
      <c r="CX320" s="59">
        <v>297</v>
      </c>
      <c r="CY320" s="292" t="str">
        <f t="shared" si="62"/>
        <v>---------</v>
      </c>
      <c r="CZ320" s="7"/>
      <c r="DA320" s="7"/>
      <c r="DB320" s="7"/>
      <c r="DC320" s="7"/>
      <c r="DD320" s="7"/>
      <c r="DE320" s="7"/>
      <c r="DF320" s="290">
        <v>5.0000000000038999E-2</v>
      </c>
      <c r="DG320" s="59">
        <v>297</v>
      </c>
      <c r="DH320" s="292" t="str">
        <f t="shared" si="63"/>
        <v>---------</v>
      </c>
      <c r="DI320" s="7"/>
      <c r="DJ320" s="7"/>
      <c r="DK320" s="7"/>
      <c r="DL320" s="7"/>
      <c r="FR320" s="12"/>
      <c r="FS320" s="7">
        <v>297</v>
      </c>
      <c r="FT320" s="12">
        <v>20.5</v>
      </c>
    </row>
    <row r="321" spans="89:176">
      <c r="CK321" s="7"/>
      <c r="CL321" s="7"/>
      <c r="CM321" s="7"/>
      <c r="CN321" s="7"/>
      <c r="CO321" s="7"/>
      <c r="CP321" s="7"/>
      <c r="CQ321" s="7"/>
      <c r="CR321" s="7"/>
      <c r="CS321" s="7"/>
      <c r="CT321" s="7"/>
      <c r="CU321" s="7"/>
      <c r="CV321" s="7"/>
      <c r="CW321" s="290">
        <v>4.0000000000038997E-2</v>
      </c>
      <c r="CX321" s="59">
        <v>298</v>
      </c>
      <c r="CY321" s="292" t="str">
        <f t="shared" si="62"/>
        <v>---------</v>
      </c>
      <c r="CZ321" s="7"/>
      <c r="DA321" s="7"/>
      <c r="DB321" s="7"/>
      <c r="DC321" s="7"/>
      <c r="DD321" s="7"/>
      <c r="DE321" s="7"/>
      <c r="DF321" s="290">
        <v>4.0000000000038997E-2</v>
      </c>
      <c r="DG321" s="59">
        <v>298</v>
      </c>
      <c r="DH321" s="292" t="str">
        <f t="shared" si="63"/>
        <v>---------</v>
      </c>
      <c r="DI321" s="7"/>
      <c r="DJ321" s="7"/>
      <c r="DK321" s="7"/>
      <c r="DL321" s="7"/>
      <c r="FR321" s="12"/>
      <c r="FS321" s="7">
        <v>298</v>
      </c>
      <c r="FT321" s="12">
        <v>20.399999999999999</v>
      </c>
    </row>
    <row r="322" spans="89:176">
      <c r="CK322" s="7"/>
      <c r="CL322" s="7"/>
      <c r="CM322" s="7"/>
      <c r="CN322" s="7"/>
      <c r="CO322" s="7"/>
      <c r="CP322" s="7"/>
      <c r="CQ322" s="7"/>
      <c r="CR322" s="7"/>
      <c r="CS322" s="7"/>
      <c r="CT322" s="7"/>
      <c r="CU322" s="7"/>
      <c r="CV322" s="7"/>
      <c r="CW322" s="290">
        <v>3.0000000000040002E-2</v>
      </c>
      <c r="CX322" s="59">
        <v>299</v>
      </c>
      <c r="CY322" s="292" t="str">
        <f t="shared" si="62"/>
        <v>---------</v>
      </c>
      <c r="CZ322" s="7"/>
      <c r="DA322" s="7"/>
      <c r="DB322" s="7"/>
      <c r="DC322" s="7"/>
      <c r="DD322" s="7"/>
      <c r="DE322" s="7"/>
      <c r="DF322" s="290">
        <v>3.0000000000040002E-2</v>
      </c>
      <c r="DG322" s="59">
        <v>299</v>
      </c>
      <c r="DH322" s="292" t="str">
        <f t="shared" si="63"/>
        <v>---------</v>
      </c>
      <c r="DI322" s="7"/>
      <c r="DJ322" s="7"/>
      <c r="DK322" s="7"/>
      <c r="DL322" s="7"/>
      <c r="FR322" s="12"/>
      <c r="FS322" s="7">
        <v>299</v>
      </c>
      <c r="FT322" s="12">
        <v>20.3</v>
      </c>
    </row>
    <row r="323" spans="89:176">
      <c r="CK323" s="7"/>
      <c r="CL323" s="7"/>
      <c r="CM323" s="7"/>
      <c r="CN323" s="7"/>
      <c r="CO323" s="7"/>
      <c r="CP323" s="7"/>
      <c r="CQ323" s="7"/>
      <c r="CR323" s="7"/>
      <c r="CS323" s="7"/>
      <c r="CT323" s="7"/>
      <c r="CU323" s="7"/>
      <c r="CV323" s="7"/>
      <c r="CW323" s="290">
        <v>2.000000000004E-2</v>
      </c>
      <c r="CX323" s="59">
        <v>300</v>
      </c>
      <c r="CY323" s="292" t="str">
        <f t="shared" si="62"/>
        <v>---------</v>
      </c>
      <c r="CZ323" s="7"/>
      <c r="DA323" s="7"/>
      <c r="DB323" s="7"/>
      <c r="DC323" s="7"/>
      <c r="DD323" s="7"/>
      <c r="DE323" s="7"/>
      <c r="DF323" s="290">
        <v>2.000000000004E-2</v>
      </c>
      <c r="DG323" s="59">
        <v>300</v>
      </c>
      <c r="DH323" s="292" t="str">
        <f t="shared" si="63"/>
        <v>---------</v>
      </c>
      <c r="DI323" s="7"/>
      <c r="DJ323" s="7"/>
      <c r="DK323" s="7"/>
      <c r="DL323" s="7"/>
      <c r="FR323" s="12"/>
      <c r="FS323" s="7">
        <v>300</v>
      </c>
      <c r="FT323" s="12">
        <v>20.2</v>
      </c>
    </row>
    <row r="324" spans="89:176">
      <c r="CW324" s="290">
        <v>1.0000000000039999E-2</v>
      </c>
      <c r="CX324" s="59">
        <v>301</v>
      </c>
      <c r="CY324" s="292" t="str">
        <f t="shared" si="62"/>
        <v>---------</v>
      </c>
      <c r="DF324" s="290">
        <v>1.0000000000039999E-2</v>
      </c>
      <c r="DG324" s="59">
        <v>301</v>
      </c>
      <c r="DH324" s="292" t="str">
        <f t="shared" si="63"/>
        <v>---------</v>
      </c>
      <c r="FR324" s="12"/>
      <c r="FS324" s="7">
        <v>301</v>
      </c>
      <c r="FT324" s="12">
        <v>20.100000000000001</v>
      </c>
    </row>
    <row r="325" spans="89:176">
      <c r="FR325" s="12"/>
      <c r="FS325" s="7">
        <v>302</v>
      </c>
      <c r="FT325" s="12">
        <v>20</v>
      </c>
    </row>
    <row r="326" spans="89:176">
      <c r="FR326" s="12"/>
      <c r="FS326" s="7">
        <v>303</v>
      </c>
      <c r="FT326" s="12">
        <v>19.899999999999999</v>
      </c>
    </row>
    <row r="327" spans="89:176">
      <c r="FR327" s="12"/>
      <c r="FS327" s="7">
        <v>304</v>
      </c>
      <c r="FT327" s="12">
        <v>19.8</v>
      </c>
    </row>
    <row r="328" spans="89:176">
      <c r="FR328" s="12"/>
      <c r="FS328" s="7">
        <v>305</v>
      </c>
      <c r="FT328" s="12">
        <v>19.7</v>
      </c>
    </row>
    <row r="329" spans="89:176">
      <c r="FR329" s="12"/>
      <c r="FS329" s="7">
        <v>306</v>
      </c>
      <c r="FT329" s="12">
        <v>19.600000000000001</v>
      </c>
    </row>
    <row r="330" spans="89:176">
      <c r="FR330" s="12"/>
      <c r="FS330" s="7">
        <v>307</v>
      </c>
      <c r="FT330" s="12">
        <v>19.5</v>
      </c>
    </row>
    <row r="331" spans="89:176">
      <c r="FR331" s="12"/>
      <c r="FS331" s="7">
        <v>308</v>
      </c>
      <c r="FT331" s="12">
        <v>19.399999999999999</v>
      </c>
    </row>
    <row r="332" spans="89:176">
      <c r="FR332" s="12"/>
      <c r="FS332" s="7">
        <v>309</v>
      </c>
      <c r="FT332" s="12">
        <v>19.3</v>
      </c>
    </row>
    <row r="333" spans="89:176">
      <c r="FR333" s="12"/>
      <c r="FS333" s="7">
        <v>310</v>
      </c>
      <c r="FT333" s="12">
        <v>19.2</v>
      </c>
    </row>
    <row r="334" spans="89:176">
      <c r="FR334" s="12"/>
      <c r="FS334" s="7">
        <v>311</v>
      </c>
      <c r="FT334" s="12">
        <v>19.100000000000001</v>
      </c>
    </row>
    <row r="335" spans="89:176">
      <c r="FR335" s="12"/>
      <c r="FS335" s="7">
        <v>312</v>
      </c>
      <c r="FT335" s="12">
        <v>19</v>
      </c>
    </row>
    <row r="336" spans="89:176">
      <c r="FR336" s="12"/>
      <c r="FS336" s="7">
        <v>313</v>
      </c>
      <c r="FT336" s="12">
        <v>18.899999999999999</v>
      </c>
    </row>
    <row r="337" spans="174:176">
      <c r="FR337" s="12"/>
      <c r="FS337" s="7">
        <v>314</v>
      </c>
      <c r="FT337" s="12">
        <v>18.8</v>
      </c>
    </row>
    <row r="338" spans="174:176">
      <c r="FR338" s="12"/>
      <c r="FS338" s="7">
        <v>315</v>
      </c>
      <c r="FT338" s="12">
        <v>18.7</v>
      </c>
    </row>
    <row r="339" spans="174:176">
      <c r="FR339" s="12"/>
      <c r="FS339" s="7">
        <v>316</v>
      </c>
      <c r="FT339" s="12">
        <v>18.600000000000001</v>
      </c>
    </row>
    <row r="340" spans="174:176">
      <c r="FR340" s="12"/>
      <c r="FS340" s="7">
        <v>317</v>
      </c>
      <c r="FT340" s="12">
        <v>18.5</v>
      </c>
    </row>
    <row r="341" spans="174:176">
      <c r="FR341" s="12"/>
      <c r="FS341" s="7">
        <v>318</v>
      </c>
      <c r="FT341" s="12">
        <v>18.399999999999999</v>
      </c>
    </row>
    <row r="342" spans="174:176">
      <c r="FR342" s="12"/>
      <c r="FS342" s="7">
        <v>319</v>
      </c>
      <c r="FT342" s="12">
        <v>18.3</v>
      </c>
    </row>
    <row r="343" spans="174:176">
      <c r="FR343" s="12"/>
      <c r="FS343" s="7">
        <v>320</v>
      </c>
      <c r="FT343" s="12">
        <v>18.2</v>
      </c>
    </row>
    <row r="344" spans="174:176">
      <c r="FR344" s="12"/>
      <c r="FS344" s="7">
        <v>321</v>
      </c>
      <c r="FT344" s="12">
        <v>18.100000000000001</v>
      </c>
    </row>
    <row r="345" spans="174:176">
      <c r="FR345" s="12"/>
      <c r="FS345" s="7">
        <v>322</v>
      </c>
      <c r="FT345" s="12">
        <v>18</v>
      </c>
    </row>
    <row r="346" spans="174:176">
      <c r="FR346" s="12"/>
      <c r="FS346" s="7">
        <v>323</v>
      </c>
      <c r="FT346" s="12">
        <v>17.899999999999999</v>
      </c>
    </row>
    <row r="347" spans="174:176">
      <c r="FR347" s="12"/>
      <c r="FS347" s="7">
        <v>324</v>
      </c>
      <c r="FT347" s="12">
        <v>17.8</v>
      </c>
    </row>
    <row r="348" spans="174:176">
      <c r="FR348" s="12"/>
      <c r="FS348" s="7">
        <v>325</v>
      </c>
      <c r="FT348" s="12">
        <v>17.7</v>
      </c>
    </row>
    <row r="349" spans="174:176">
      <c r="FR349" s="12"/>
      <c r="FS349" s="7">
        <v>326</v>
      </c>
      <c r="FT349" s="12">
        <v>17.600000000000001</v>
      </c>
    </row>
    <row r="350" spans="174:176">
      <c r="FR350" s="12"/>
      <c r="FS350" s="7">
        <v>327</v>
      </c>
      <c r="FT350" s="12">
        <v>17.5</v>
      </c>
    </row>
    <row r="351" spans="174:176">
      <c r="FR351" s="12"/>
      <c r="FS351" s="7">
        <v>328</v>
      </c>
      <c r="FT351" s="12">
        <v>17.399999999999999</v>
      </c>
    </row>
    <row r="352" spans="174:176">
      <c r="FR352" s="12"/>
      <c r="FS352" s="7">
        <v>329</v>
      </c>
      <c r="FT352" s="12">
        <v>17.3</v>
      </c>
    </row>
    <row r="353" spans="174:176">
      <c r="FR353" s="12"/>
      <c r="FS353" s="7">
        <v>330</v>
      </c>
      <c r="FT353" s="12">
        <v>17.2</v>
      </c>
    </row>
    <row r="354" spans="174:176">
      <c r="FR354" s="12"/>
      <c r="FS354" s="7">
        <v>331</v>
      </c>
      <c r="FT354" s="12">
        <v>17.100000000000001</v>
      </c>
    </row>
    <row r="355" spans="174:176">
      <c r="FR355" s="12"/>
      <c r="FS355" s="7">
        <v>332</v>
      </c>
      <c r="FT355" s="12">
        <v>17</v>
      </c>
    </row>
    <row r="356" spans="174:176">
      <c r="FR356" s="12"/>
      <c r="FS356" s="7">
        <v>333</v>
      </c>
      <c r="FT356" s="12">
        <v>16.899999999999999</v>
      </c>
    </row>
    <row r="357" spans="174:176">
      <c r="FR357" s="12"/>
      <c r="FS357" s="7">
        <v>334</v>
      </c>
      <c r="FT357" s="12">
        <v>16.8</v>
      </c>
    </row>
    <row r="358" spans="174:176">
      <c r="FR358" s="12"/>
      <c r="FS358" s="7">
        <v>335</v>
      </c>
      <c r="FT358" s="12">
        <v>16.7</v>
      </c>
    </row>
    <row r="359" spans="174:176">
      <c r="FR359" s="12"/>
      <c r="FS359" s="7">
        <v>336</v>
      </c>
      <c r="FT359" s="12">
        <v>16.600000000000001</v>
      </c>
    </row>
    <row r="360" spans="174:176">
      <c r="FR360" s="12"/>
      <c r="FS360" s="7">
        <v>337</v>
      </c>
      <c r="FT360" s="12">
        <v>16.5</v>
      </c>
    </row>
    <row r="361" spans="174:176">
      <c r="FR361" s="12"/>
      <c r="FS361" s="7">
        <v>338</v>
      </c>
      <c r="FT361" s="12">
        <v>16.399999999999999</v>
      </c>
    </row>
    <row r="362" spans="174:176">
      <c r="FR362" s="12"/>
      <c r="FS362" s="7">
        <v>339</v>
      </c>
      <c r="FT362" s="12">
        <v>16.3</v>
      </c>
    </row>
    <row r="363" spans="174:176">
      <c r="FR363" s="12"/>
      <c r="FS363" s="7">
        <v>340</v>
      </c>
      <c r="FT363" s="12">
        <v>16.2</v>
      </c>
    </row>
    <row r="364" spans="174:176">
      <c r="FR364" s="12"/>
      <c r="FS364" s="7">
        <v>341</v>
      </c>
      <c r="FT364" s="12">
        <v>16.100000000000001</v>
      </c>
    </row>
    <row r="365" spans="174:176">
      <c r="FR365" s="12"/>
      <c r="FS365" s="7">
        <v>342</v>
      </c>
      <c r="FT365" s="12">
        <v>16</v>
      </c>
    </row>
    <row r="366" spans="174:176">
      <c r="FR366" s="12"/>
      <c r="FS366" s="7">
        <v>343</v>
      </c>
      <c r="FT366" s="12">
        <v>15.9</v>
      </c>
    </row>
    <row r="367" spans="174:176">
      <c r="FR367" s="12"/>
      <c r="FS367" s="7">
        <v>344</v>
      </c>
      <c r="FT367" s="12">
        <v>15.8</v>
      </c>
    </row>
    <row r="368" spans="174:176">
      <c r="FR368" s="12"/>
      <c r="FS368" s="7">
        <v>345</v>
      </c>
      <c r="FT368" s="12">
        <v>15.7</v>
      </c>
    </row>
    <row r="369" spans="174:176">
      <c r="FR369" s="12"/>
      <c r="FS369" s="7">
        <v>346</v>
      </c>
      <c r="FT369" s="12">
        <v>15.6</v>
      </c>
    </row>
    <row r="370" spans="174:176">
      <c r="FR370" s="12"/>
      <c r="FS370" s="7">
        <v>347</v>
      </c>
      <c r="FT370" s="12">
        <v>15.5</v>
      </c>
    </row>
    <row r="371" spans="174:176">
      <c r="FR371" s="12"/>
      <c r="FS371" s="7">
        <v>348</v>
      </c>
      <c r="FT371" s="12">
        <v>15.4</v>
      </c>
    </row>
    <row r="372" spans="174:176">
      <c r="FR372" s="12"/>
      <c r="FS372" s="7">
        <v>349</v>
      </c>
      <c r="FT372" s="12">
        <v>15.3</v>
      </c>
    </row>
    <row r="373" spans="174:176">
      <c r="FR373" s="12"/>
      <c r="FS373" s="7">
        <v>350</v>
      </c>
      <c r="FT373" s="12">
        <v>15.2</v>
      </c>
    </row>
    <row r="374" spans="174:176">
      <c r="FR374" s="12"/>
      <c r="FS374" s="7">
        <v>351</v>
      </c>
      <c r="FT374" s="12">
        <v>15.1</v>
      </c>
    </row>
    <row r="375" spans="174:176">
      <c r="FR375" s="12"/>
      <c r="FS375" s="7">
        <v>352</v>
      </c>
      <c r="FT375" s="12">
        <v>15</v>
      </c>
    </row>
    <row r="376" spans="174:176">
      <c r="FR376" s="12"/>
      <c r="FS376" s="7">
        <v>353</v>
      </c>
      <c r="FT376" s="12">
        <v>14.9</v>
      </c>
    </row>
    <row r="377" spans="174:176">
      <c r="FR377" s="12"/>
      <c r="FS377" s="7">
        <v>354</v>
      </c>
      <c r="FT377" s="12">
        <v>14.8</v>
      </c>
    </row>
    <row r="378" spans="174:176">
      <c r="FR378" s="12"/>
      <c r="FS378" s="7">
        <v>355</v>
      </c>
      <c r="FT378" s="12">
        <v>14.7</v>
      </c>
    </row>
    <row r="379" spans="174:176">
      <c r="FR379" s="12"/>
      <c r="FS379" s="7">
        <v>356</v>
      </c>
      <c r="FT379" s="12">
        <v>14.6</v>
      </c>
    </row>
    <row r="380" spans="174:176">
      <c r="FR380" s="12"/>
      <c r="FS380" s="7">
        <v>357</v>
      </c>
      <c r="FT380" s="12">
        <v>14.5</v>
      </c>
    </row>
    <row r="381" spans="174:176">
      <c r="FR381" s="12"/>
      <c r="FS381" s="7">
        <v>358</v>
      </c>
      <c r="FT381" s="12">
        <v>14.4</v>
      </c>
    </row>
    <row r="382" spans="174:176">
      <c r="FR382" s="12"/>
      <c r="FS382" s="7">
        <v>359</v>
      </c>
      <c r="FT382" s="12">
        <v>14.3</v>
      </c>
    </row>
    <row r="383" spans="174:176">
      <c r="FR383" s="12"/>
      <c r="FS383" s="7">
        <v>360</v>
      </c>
      <c r="FT383" s="12">
        <v>14.2</v>
      </c>
    </row>
    <row r="384" spans="174:176">
      <c r="FR384" s="12"/>
      <c r="FS384" s="7">
        <v>361</v>
      </c>
      <c r="FT384" s="12">
        <v>14.1</v>
      </c>
    </row>
    <row r="385" spans="174:176">
      <c r="FR385" s="12"/>
      <c r="FS385" s="7">
        <v>362</v>
      </c>
      <c r="FT385" s="12">
        <v>14</v>
      </c>
    </row>
    <row r="386" spans="174:176">
      <c r="FR386" s="12"/>
      <c r="FS386" s="7">
        <v>363</v>
      </c>
      <c r="FT386" s="12">
        <v>13.9</v>
      </c>
    </row>
    <row r="387" spans="174:176">
      <c r="FR387" s="12"/>
      <c r="FS387" s="7">
        <v>364</v>
      </c>
      <c r="FT387" s="12">
        <v>13.8</v>
      </c>
    </row>
    <row r="388" spans="174:176">
      <c r="FR388" s="12"/>
      <c r="FS388" s="7">
        <v>365</v>
      </c>
      <c r="FT388" s="12">
        <v>13.7</v>
      </c>
    </row>
    <row r="389" spans="174:176">
      <c r="FR389" s="12"/>
      <c r="FS389" s="7">
        <v>366</v>
      </c>
      <c r="FT389" s="12">
        <v>13.6</v>
      </c>
    </row>
    <row r="390" spans="174:176">
      <c r="FR390" s="12"/>
      <c r="FS390" s="7">
        <v>367</v>
      </c>
      <c r="FT390" s="12">
        <v>13.5</v>
      </c>
    </row>
    <row r="391" spans="174:176">
      <c r="FR391" s="12"/>
      <c r="FS391" s="7">
        <v>368</v>
      </c>
      <c r="FT391" s="12">
        <v>13.4</v>
      </c>
    </row>
    <row r="392" spans="174:176">
      <c r="FR392" s="12"/>
      <c r="FS392" s="7">
        <v>369</v>
      </c>
      <c r="FT392" s="12">
        <v>13.3</v>
      </c>
    </row>
    <row r="393" spans="174:176">
      <c r="FR393" s="12"/>
      <c r="FS393" s="7">
        <v>370</v>
      </c>
      <c r="FT393" s="12">
        <v>13.2</v>
      </c>
    </row>
    <row r="394" spans="174:176">
      <c r="FR394" s="12"/>
      <c r="FS394" s="7">
        <v>371</v>
      </c>
      <c r="FT394" s="12">
        <v>13.1</v>
      </c>
    </row>
    <row r="395" spans="174:176">
      <c r="FR395" s="12"/>
      <c r="FS395" s="7">
        <v>372</v>
      </c>
      <c r="FT395" s="12">
        <v>13</v>
      </c>
    </row>
    <row r="396" spans="174:176">
      <c r="FR396" s="12"/>
      <c r="FS396" s="7">
        <v>373</v>
      </c>
      <c r="FT396" s="12">
        <v>12.9</v>
      </c>
    </row>
    <row r="397" spans="174:176">
      <c r="FR397" s="12"/>
      <c r="FS397" s="7">
        <v>374</v>
      </c>
      <c r="FT397" s="12">
        <v>12.8</v>
      </c>
    </row>
    <row r="398" spans="174:176">
      <c r="FR398" s="12"/>
      <c r="FS398" s="7">
        <v>375</v>
      </c>
      <c r="FT398" s="12">
        <v>12.7</v>
      </c>
    </row>
    <row r="399" spans="174:176">
      <c r="FR399" s="12"/>
      <c r="FS399" s="7">
        <v>376</v>
      </c>
      <c r="FT399" s="12">
        <v>12.6</v>
      </c>
    </row>
    <row r="400" spans="174:176">
      <c r="FR400" s="12"/>
      <c r="FS400" s="7">
        <v>377</v>
      </c>
      <c r="FT400" s="12">
        <v>12.5</v>
      </c>
    </row>
    <row r="401" spans="174:176">
      <c r="FR401" s="12"/>
      <c r="FS401" s="7">
        <v>378</v>
      </c>
      <c r="FT401" s="12">
        <v>12.4</v>
      </c>
    </row>
    <row r="402" spans="174:176">
      <c r="FR402" s="12"/>
      <c r="FS402" s="7">
        <v>379</v>
      </c>
      <c r="FT402" s="12">
        <v>12.3</v>
      </c>
    </row>
    <row r="403" spans="174:176">
      <c r="FR403" s="12"/>
      <c r="FS403" s="7">
        <v>380</v>
      </c>
      <c r="FT403" s="12">
        <v>12.2</v>
      </c>
    </row>
    <row r="404" spans="174:176">
      <c r="FR404" s="12"/>
      <c r="FS404" s="7">
        <v>381</v>
      </c>
      <c r="FT404" s="12">
        <v>12.1</v>
      </c>
    </row>
    <row r="405" spans="174:176">
      <c r="FR405" s="12"/>
      <c r="FS405" s="7">
        <v>382</v>
      </c>
      <c r="FT405" s="12">
        <v>12</v>
      </c>
    </row>
    <row r="406" spans="174:176">
      <c r="FR406" s="12"/>
      <c r="FS406" s="7">
        <v>383</v>
      </c>
      <c r="FT406" s="12">
        <v>11.9</v>
      </c>
    </row>
    <row r="407" spans="174:176">
      <c r="FR407" s="12"/>
      <c r="FS407" s="7">
        <v>384</v>
      </c>
      <c r="FT407" s="12">
        <v>11.8</v>
      </c>
    </row>
    <row r="408" spans="174:176">
      <c r="FR408" s="12"/>
      <c r="FS408" s="7">
        <v>385</v>
      </c>
      <c r="FT408" s="12">
        <v>11.7</v>
      </c>
    </row>
    <row r="409" spans="174:176">
      <c r="FR409" s="12"/>
      <c r="FS409" s="7">
        <v>386</v>
      </c>
      <c r="FT409" s="12">
        <v>11.6</v>
      </c>
    </row>
    <row r="410" spans="174:176">
      <c r="FR410" s="12"/>
      <c r="FS410" s="7">
        <v>387</v>
      </c>
      <c r="FT410" s="12">
        <v>11.5</v>
      </c>
    </row>
    <row r="411" spans="174:176">
      <c r="FR411" s="12"/>
      <c r="FS411" s="7">
        <v>388</v>
      </c>
      <c r="FT411" s="12">
        <v>11.4</v>
      </c>
    </row>
    <row r="412" spans="174:176">
      <c r="FR412" s="12"/>
      <c r="FS412" s="7">
        <v>389</v>
      </c>
      <c r="FT412" s="12">
        <v>11.3</v>
      </c>
    </row>
    <row r="413" spans="174:176">
      <c r="FR413" s="12"/>
      <c r="FS413" s="7">
        <v>390</v>
      </c>
      <c r="FT413" s="12">
        <v>11.2</v>
      </c>
    </row>
    <row r="414" spans="174:176">
      <c r="FR414" s="12"/>
      <c r="FS414" s="7">
        <v>391</v>
      </c>
      <c r="FT414" s="12">
        <v>11.1</v>
      </c>
    </row>
    <row r="415" spans="174:176">
      <c r="FR415" s="12"/>
      <c r="FS415" s="7">
        <v>392</v>
      </c>
      <c r="FT415" s="12">
        <v>11</v>
      </c>
    </row>
    <row r="416" spans="174:176">
      <c r="FR416" s="12"/>
      <c r="FS416" s="7">
        <v>393</v>
      </c>
      <c r="FT416" s="12">
        <v>10.9</v>
      </c>
    </row>
    <row r="417" spans="174:176">
      <c r="FR417" s="12"/>
      <c r="FS417" s="7">
        <v>394</v>
      </c>
      <c r="FT417" s="12">
        <v>10.8</v>
      </c>
    </row>
    <row r="418" spans="174:176">
      <c r="FR418" s="12"/>
      <c r="FS418" s="7">
        <v>395</v>
      </c>
      <c r="FT418" s="12">
        <v>10.7</v>
      </c>
    </row>
    <row r="419" spans="174:176">
      <c r="FR419" s="12"/>
      <c r="FS419" s="7">
        <v>396</v>
      </c>
      <c r="FT419" s="12">
        <v>10.6</v>
      </c>
    </row>
    <row r="420" spans="174:176">
      <c r="FR420" s="12"/>
      <c r="FS420" s="7">
        <v>397</v>
      </c>
      <c r="FT420" s="12">
        <v>10.5</v>
      </c>
    </row>
    <row r="421" spans="174:176">
      <c r="FR421" s="12"/>
      <c r="FS421" s="7">
        <v>398</v>
      </c>
      <c r="FT421" s="12">
        <v>10.4</v>
      </c>
    </row>
    <row r="422" spans="174:176">
      <c r="FR422" s="12"/>
      <c r="FS422" s="7">
        <v>399</v>
      </c>
      <c r="FT422" s="12">
        <v>10.3</v>
      </c>
    </row>
    <row r="423" spans="174:176">
      <c r="FR423" s="12"/>
      <c r="FS423" s="7">
        <v>400</v>
      </c>
      <c r="FT423" s="12">
        <v>10.199999999999999</v>
      </c>
    </row>
    <row r="424" spans="174:176">
      <c r="FR424" s="12"/>
      <c r="FS424" s="7">
        <v>401</v>
      </c>
      <c r="FT424" s="12">
        <v>10.1</v>
      </c>
    </row>
    <row r="425" spans="174:176">
      <c r="FR425" s="12"/>
      <c r="FS425" s="7">
        <v>402</v>
      </c>
      <c r="FT425" s="12">
        <v>10</v>
      </c>
    </row>
    <row r="426" spans="174:176">
      <c r="FR426" s="12"/>
      <c r="FS426" s="7">
        <v>403</v>
      </c>
      <c r="FT426" s="12">
        <v>9.9</v>
      </c>
    </row>
    <row r="427" spans="174:176">
      <c r="FR427" s="12"/>
      <c r="FS427" s="7">
        <v>404</v>
      </c>
      <c r="FT427" s="12">
        <v>9.8000000000000007</v>
      </c>
    </row>
    <row r="428" spans="174:176">
      <c r="FR428" s="12"/>
      <c r="FS428" s="7">
        <v>405</v>
      </c>
      <c r="FT428" s="12">
        <v>9.6999999999999993</v>
      </c>
    </row>
    <row r="429" spans="174:176">
      <c r="FR429" s="12"/>
      <c r="FS429" s="7">
        <v>406</v>
      </c>
      <c r="FT429" s="12">
        <v>9.6</v>
      </c>
    </row>
    <row r="430" spans="174:176">
      <c r="FR430" s="12"/>
      <c r="FS430" s="7">
        <v>407</v>
      </c>
      <c r="FT430" s="12">
        <v>9.5</v>
      </c>
    </row>
    <row r="431" spans="174:176">
      <c r="FR431" s="12"/>
      <c r="FS431" s="7">
        <v>408</v>
      </c>
      <c r="FT431" s="12">
        <v>9.4</v>
      </c>
    </row>
    <row r="432" spans="174:176">
      <c r="FR432" s="12"/>
      <c r="FS432" s="7">
        <v>409</v>
      </c>
      <c r="FT432" s="12">
        <v>9.3000000000000007</v>
      </c>
    </row>
    <row r="433" spans="174:176">
      <c r="FR433" s="12"/>
      <c r="FS433" s="7">
        <v>410</v>
      </c>
      <c r="FT433" s="12">
        <v>9.1999999999999993</v>
      </c>
    </row>
    <row r="434" spans="174:176">
      <c r="FR434" s="12"/>
      <c r="FS434" s="7">
        <v>411</v>
      </c>
      <c r="FT434" s="12">
        <v>9.1</v>
      </c>
    </row>
    <row r="435" spans="174:176">
      <c r="FR435" s="12"/>
      <c r="FS435" s="7">
        <v>412</v>
      </c>
      <c r="FT435" s="12">
        <v>9</v>
      </c>
    </row>
    <row r="436" spans="174:176">
      <c r="FR436" s="12"/>
      <c r="FS436" s="7">
        <v>413</v>
      </c>
      <c r="FT436" s="12">
        <v>8.9</v>
      </c>
    </row>
    <row r="437" spans="174:176">
      <c r="FR437" s="12"/>
      <c r="FS437" s="7">
        <v>414</v>
      </c>
      <c r="FT437" s="12">
        <v>8.8000000000000007</v>
      </c>
    </row>
    <row r="438" spans="174:176">
      <c r="FR438" s="12"/>
      <c r="FS438" s="7">
        <v>415</v>
      </c>
      <c r="FT438" s="12">
        <v>8.6999999999999993</v>
      </c>
    </row>
    <row r="439" spans="174:176">
      <c r="FR439" s="12"/>
      <c r="FS439" s="7">
        <v>416</v>
      </c>
      <c r="FT439" s="12">
        <v>8.6</v>
      </c>
    </row>
    <row r="440" spans="174:176">
      <c r="FR440" s="12"/>
      <c r="FS440" s="7">
        <v>417</v>
      </c>
      <c r="FT440" s="12">
        <v>8.5</v>
      </c>
    </row>
    <row r="441" spans="174:176">
      <c r="FR441" s="12"/>
      <c r="FS441" s="7">
        <v>418</v>
      </c>
      <c r="FT441" s="12">
        <v>8.4</v>
      </c>
    </row>
    <row r="442" spans="174:176">
      <c r="FR442" s="12"/>
      <c r="FS442" s="7">
        <v>419</v>
      </c>
      <c r="FT442" s="12">
        <v>8.3000000000000007</v>
      </c>
    </row>
    <row r="443" spans="174:176">
      <c r="FR443" s="12"/>
      <c r="FS443" s="7">
        <v>420</v>
      </c>
      <c r="FT443" s="12">
        <v>8.1999999999999993</v>
      </c>
    </row>
    <row r="444" spans="174:176">
      <c r="FR444" s="12"/>
      <c r="FS444" s="7">
        <v>421</v>
      </c>
      <c r="FT444" s="12">
        <v>8.1</v>
      </c>
    </row>
    <row r="445" spans="174:176">
      <c r="FR445" s="12"/>
      <c r="FS445" s="7">
        <v>422</v>
      </c>
      <c r="FT445" s="12">
        <v>8</v>
      </c>
    </row>
    <row r="446" spans="174:176">
      <c r="FR446" s="12"/>
      <c r="FS446" s="7">
        <v>423</v>
      </c>
      <c r="FT446" s="12">
        <v>7.9</v>
      </c>
    </row>
    <row r="447" spans="174:176">
      <c r="FR447" s="12"/>
      <c r="FS447" s="7">
        <v>424</v>
      </c>
      <c r="FT447" s="12">
        <v>7.8</v>
      </c>
    </row>
    <row r="448" spans="174:176">
      <c r="FR448" s="12"/>
      <c r="FS448" s="7">
        <v>425</v>
      </c>
      <c r="FT448" s="12">
        <v>7.7</v>
      </c>
    </row>
    <row r="449" spans="174:176">
      <c r="FR449" s="12"/>
      <c r="FS449" s="7">
        <v>426</v>
      </c>
      <c r="FT449" s="12">
        <v>7.6</v>
      </c>
    </row>
    <row r="450" spans="174:176">
      <c r="FR450" s="12"/>
      <c r="FS450" s="7">
        <v>427</v>
      </c>
      <c r="FT450" s="12">
        <v>7.5</v>
      </c>
    </row>
    <row r="451" spans="174:176">
      <c r="FR451" s="12"/>
      <c r="FS451" s="7">
        <v>428</v>
      </c>
      <c r="FT451" s="12">
        <v>7.4</v>
      </c>
    </row>
    <row r="452" spans="174:176">
      <c r="FR452" s="12"/>
      <c r="FS452" s="7">
        <v>429</v>
      </c>
      <c r="FT452" s="12">
        <v>7.3</v>
      </c>
    </row>
    <row r="453" spans="174:176">
      <c r="FR453" s="12"/>
      <c r="FS453" s="7">
        <v>430</v>
      </c>
      <c r="FT453" s="12">
        <v>7.2</v>
      </c>
    </row>
    <row r="454" spans="174:176">
      <c r="FR454" s="12"/>
      <c r="FS454" s="7">
        <v>431</v>
      </c>
      <c r="FT454" s="12">
        <v>7.1</v>
      </c>
    </row>
    <row r="455" spans="174:176">
      <c r="FR455" s="12"/>
      <c r="FS455" s="7">
        <v>432</v>
      </c>
      <c r="FT455" s="12">
        <v>7</v>
      </c>
    </row>
    <row r="456" spans="174:176">
      <c r="FR456" s="12"/>
      <c r="FS456" s="7">
        <v>433</v>
      </c>
      <c r="FT456" s="12">
        <v>6.9</v>
      </c>
    </row>
    <row r="457" spans="174:176">
      <c r="FR457" s="12"/>
      <c r="FS457" s="7">
        <v>434</v>
      </c>
      <c r="FT457" s="12">
        <v>6.8</v>
      </c>
    </row>
    <row r="458" spans="174:176">
      <c r="FR458" s="12"/>
      <c r="FS458" s="7">
        <v>435</v>
      </c>
      <c r="FT458" s="12">
        <v>6.7</v>
      </c>
    </row>
    <row r="459" spans="174:176">
      <c r="FR459" s="12"/>
      <c r="FS459" s="7">
        <v>436</v>
      </c>
      <c r="FT459" s="12">
        <v>6.6</v>
      </c>
    </row>
    <row r="460" spans="174:176">
      <c r="FR460" s="12"/>
      <c r="FS460" s="7">
        <v>437</v>
      </c>
      <c r="FT460" s="12">
        <v>6.5</v>
      </c>
    </row>
    <row r="461" spans="174:176">
      <c r="FR461" s="12"/>
      <c r="FS461" s="7">
        <v>438</v>
      </c>
      <c r="FT461" s="12">
        <v>6.4</v>
      </c>
    </row>
    <row r="462" spans="174:176">
      <c r="FR462" s="12"/>
      <c r="FS462" s="7">
        <v>439</v>
      </c>
      <c r="FT462" s="12">
        <v>6.3</v>
      </c>
    </row>
    <row r="463" spans="174:176">
      <c r="FR463" s="12"/>
      <c r="FS463" s="7">
        <v>440</v>
      </c>
      <c r="FT463" s="12">
        <v>6.2</v>
      </c>
    </row>
    <row r="464" spans="174:176">
      <c r="FR464" s="12"/>
      <c r="FS464" s="7">
        <v>441</v>
      </c>
      <c r="FT464" s="12">
        <v>6.1</v>
      </c>
    </row>
    <row r="465" spans="174:176">
      <c r="FR465" s="12"/>
      <c r="FS465" s="7">
        <v>442</v>
      </c>
      <c r="FT465" s="12">
        <v>6</v>
      </c>
    </row>
    <row r="466" spans="174:176">
      <c r="FR466" s="12"/>
      <c r="FS466" s="7">
        <v>443</v>
      </c>
      <c r="FT466" s="12">
        <v>5.9</v>
      </c>
    </row>
    <row r="467" spans="174:176">
      <c r="FR467" s="12"/>
      <c r="FS467" s="7">
        <v>444</v>
      </c>
      <c r="FT467" s="12">
        <v>5.8</v>
      </c>
    </row>
    <row r="468" spans="174:176">
      <c r="FR468" s="12"/>
      <c r="FS468" s="7">
        <v>445</v>
      </c>
      <c r="FT468" s="12">
        <v>5.7</v>
      </c>
    </row>
    <row r="469" spans="174:176">
      <c r="FR469" s="12"/>
      <c r="FS469" s="7">
        <v>446</v>
      </c>
      <c r="FT469" s="12">
        <v>5.6</v>
      </c>
    </row>
    <row r="470" spans="174:176">
      <c r="FR470" s="12"/>
      <c r="FS470" s="7">
        <v>447</v>
      </c>
      <c r="FT470" s="12">
        <v>5.5</v>
      </c>
    </row>
    <row r="471" spans="174:176">
      <c r="FR471" s="12"/>
      <c r="FS471" s="7">
        <v>448</v>
      </c>
      <c r="FT471" s="12">
        <v>5.4</v>
      </c>
    </row>
    <row r="472" spans="174:176">
      <c r="FR472" s="12"/>
      <c r="FS472" s="7">
        <v>449</v>
      </c>
      <c r="FT472" s="12">
        <v>5.3</v>
      </c>
    </row>
    <row r="473" spans="174:176">
      <c r="FR473" s="12"/>
      <c r="FS473" s="7">
        <v>450</v>
      </c>
      <c r="FT473" s="12">
        <v>5.2</v>
      </c>
    </row>
    <row r="474" spans="174:176">
      <c r="FR474" s="12"/>
      <c r="FS474" s="7">
        <v>451</v>
      </c>
      <c r="FT474" s="12">
        <v>5.0999999999999996</v>
      </c>
    </row>
    <row r="475" spans="174:176">
      <c r="FR475" s="12"/>
      <c r="FS475" s="7">
        <v>452</v>
      </c>
      <c r="FT475" s="12">
        <v>5</v>
      </c>
    </row>
    <row r="476" spans="174:176">
      <c r="FR476" s="12"/>
      <c r="FS476" s="7">
        <v>453</v>
      </c>
      <c r="FT476" s="12">
        <v>4.9000000000000004</v>
      </c>
    </row>
    <row r="477" spans="174:176">
      <c r="FR477" s="12"/>
      <c r="FS477" s="7">
        <v>454</v>
      </c>
      <c r="FT477" s="12">
        <v>4.8</v>
      </c>
    </row>
    <row r="478" spans="174:176">
      <c r="FR478" s="12"/>
      <c r="FS478" s="7">
        <v>455</v>
      </c>
      <c r="FT478" s="12">
        <v>4.7</v>
      </c>
    </row>
    <row r="479" spans="174:176">
      <c r="FR479" s="12"/>
      <c r="FS479" s="7">
        <v>456</v>
      </c>
      <c r="FT479" s="12">
        <v>4.5999999999999996</v>
      </c>
    </row>
    <row r="480" spans="174:176">
      <c r="FR480" s="12"/>
      <c r="FS480" s="7">
        <v>457</v>
      </c>
      <c r="FT480" s="12">
        <v>4.5</v>
      </c>
    </row>
    <row r="481" spans="174:176">
      <c r="FR481" s="12"/>
      <c r="FS481" s="7">
        <v>458</v>
      </c>
      <c r="FT481" s="12">
        <v>4.4000000000000004</v>
      </c>
    </row>
    <row r="482" spans="174:176">
      <c r="FR482" s="12"/>
      <c r="FS482" s="7">
        <v>459</v>
      </c>
      <c r="FT482" s="12">
        <v>4.3</v>
      </c>
    </row>
    <row r="483" spans="174:176">
      <c r="FR483" s="12"/>
      <c r="FS483" s="7">
        <v>460</v>
      </c>
      <c r="FT483" s="12">
        <v>4.2</v>
      </c>
    </row>
    <row r="484" spans="174:176">
      <c r="FR484" s="12"/>
      <c r="FS484" s="7">
        <v>461</v>
      </c>
      <c r="FT484" s="12">
        <v>4.0999999999999996</v>
      </c>
    </row>
    <row r="485" spans="174:176">
      <c r="FR485" s="12"/>
      <c r="FS485" s="7">
        <v>462</v>
      </c>
      <c r="FT485" s="12">
        <v>4</v>
      </c>
    </row>
    <row r="486" spans="174:176">
      <c r="FR486" s="12"/>
      <c r="FS486" s="7">
        <v>463</v>
      </c>
      <c r="FT486" s="12">
        <v>3.9</v>
      </c>
    </row>
    <row r="487" spans="174:176">
      <c r="FR487" s="12"/>
      <c r="FS487" s="7">
        <v>464</v>
      </c>
      <c r="FT487" s="12">
        <v>3.8</v>
      </c>
    </row>
    <row r="488" spans="174:176">
      <c r="FR488" s="12"/>
      <c r="FS488" s="7">
        <v>465</v>
      </c>
      <c r="FT488" s="12">
        <v>3.7</v>
      </c>
    </row>
    <row r="489" spans="174:176">
      <c r="FR489" s="12"/>
      <c r="FS489" s="7">
        <v>466</v>
      </c>
      <c r="FT489" s="12">
        <v>3.6</v>
      </c>
    </row>
    <row r="490" spans="174:176">
      <c r="FR490" s="12"/>
      <c r="FS490" s="7">
        <v>467</v>
      </c>
      <c r="FT490" s="12">
        <v>3.5</v>
      </c>
    </row>
    <row r="491" spans="174:176">
      <c r="FR491" s="12"/>
      <c r="FS491" s="7">
        <v>468</v>
      </c>
      <c r="FT491" s="12">
        <v>3.4</v>
      </c>
    </row>
    <row r="492" spans="174:176">
      <c r="FR492" s="12"/>
      <c r="FS492" s="7">
        <v>469</v>
      </c>
      <c r="FT492" s="12">
        <v>3.3</v>
      </c>
    </row>
    <row r="493" spans="174:176">
      <c r="FR493" s="12"/>
      <c r="FS493" s="7">
        <v>470</v>
      </c>
      <c r="FT493" s="12">
        <v>3.2</v>
      </c>
    </row>
    <row r="494" spans="174:176">
      <c r="FR494" s="12"/>
      <c r="FS494" s="7">
        <v>471</v>
      </c>
      <c r="FT494" s="12">
        <v>3.1</v>
      </c>
    </row>
    <row r="495" spans="174:176">
      <c r="FR495" s="12"/>
      <c r="FS495" s="7">
        <v>472</v>
      </c>
      <c r="FT495" s="12">
        <v>3</v>
      </c>
    </row>
    <row r="496" spans="174:176">
      <c r="FR496" s="12"/>
      <c r="FS496" s="7">
        <v>473</v>
      </c>
      <c r="FT496" s="12">
        <v>2.9</v>
      </c>
    </row>
    <row r="497" spans="174:176">
      <c r="FR497" s="12"/>
      <c r="FS497" s="7">
        <v>474</v>
      </c>
      <c r="FT497" s="12">
        <v>2.8</v>
      </c>
    </row>
    <row r="498" spans="174:176">
      <c r="FR498" s="12"/>
      <c r="FS498" s="7">
        <v>475</v>
      </c>
      <c r="FT498" s="12">
        <v>2.7</v>
      </c>
    </row>
    <row r="499" spans="174:176">
      <c r="FR499" s="12"/>
      <c r="FS499" s="7">
        <v>476</v>
      </c>
      <c r="FT499" s="12">
        <v>2.6</v>
      </c>
    </row>
    <row r="500" spans="174:176">
      <c r="FR500" s="12"/>
      <c r="FS500" s="7">
        <v>477</v>
      </c>
      <c r="FT500" s="12">
        <v>2.5</v>
      </c>
    </row>
    <row r="501" spans="174:176">
      <c r="FR501" s="12"/>
      <c r="FS501" s="7">
        <v>478</v>
      </c>
      <c r="FT501" s="12">
        <v>2.4</v>
      </c>
    </row>
    <row r="502" spans="174:176">
      <c r="FR502" s="12"/>
      <c r="FS502" s="7">
        <v>479</v>
      </c>
      <c r="FT502" s="12">
        <v>2.2999999999999998</v>
      </c>
    </row>
    <row r="503" spans="174:176">
      <c r="FR503" s="12"/>
      <c r="FS503" s="7">
        <v>480</v>
      </c>
      <c r="FT503" s="12">
        <v>2.2000000000000002</v>
      </c>
    </row>
    <row r="504" spans="174:176">
      <c r="FR504" s="12"/>
      <c r="FS504" s="7">
        <v>481</v>
      </c>
      <c r="FT504" s="12">
        <v>2.1</v>
      </c>
    </row>
    <row r="505" spans="174:176">
      <c r="FR505" s="12"/>
      <c r="FS505" s="7">
        <v>482</v>
      </c>
      <c r="FT505" s="12">
        <v>2</v>
      </c>
    </row>
    <row r="506" spans="174:176">
      <c r="FR506" s="12"/>
      <c r="FS506" s="7">
        <v>483</v>
      </c>
      <c r="FT506" s="12">
        <v>1.9</v>
      </c>
    </row>
    <row r="507" spans="174:176">
      <c r="FR507" s="12"/>
      <c r="FS507" s="7">
        <v>484</v>
      </c>
      <c r="FT507" s="12">
        <v>1.8</v>
      </c>
    </row>
    <row r="508" spans="174:176">
      <c r="FR508" s="12"/>
      <c r="FS508" s="7">
        <v>485</v>
      </c>
      <c r="FT508" s="12">
        <v>1.7</v>
      </c>
    </row>
    <row r="509" spans="174:176">
      <c r="FR509" s="12"/>
      <c r="FS509" s="7">
        <v>486</v>
      </c>
      <c r="FT509" s="12">
        <v>1.6</v>
      </c>
    </row>
    <row r="510" spans="174:176">
      <c r="FR510" s="12"/>
      <c r="FS510" s="7">
        <v>487</v>
      </c>
      <c r="FT510" s="12">
        <v>1.5</v>
      </c>
    </row>
    <row r="511" spans="174:176">
      <c r="FR511" s="12"/>
      <c r="FS511" s="7">
        <v>488</v>
      </c>
      <c r="FT511" s="12">
        <v>1.4</v>
      </c>
    </row>
    <row r="512" spans="174:176">
      <c r="FR512" s="12"/>
      <c r="FS512" s="7">
        <v>489</v>
      </c>
      <c r="FT512" s="12">
        <v>1.3</v>
      </c>
    </row>
    <row r="513" spans="174:176">
      <c r="FR513" s="12"/>
      <c r="FS513" s="7">
        <v>490</v>
      </c>
      <c r="FT513" s="12">
        <v>1.2</v>
      </c>
    </row>
    <row r="514" spans="174:176">
      <c r="FR514" s="12"/>
      <c r="FS514" s="7">
        <v>491</v>
      </c>
      <c r="FT514" s="12">
        <v>1.1000000000000001</v>
      </c>
    </row>
    <row r="515" spans="174:176">
      <c r="FS515" s="7">
        <v>492</v>
      </c>
      <c r="FT515" s="12">
        <v>1</v>
      </c>
    </row>
    <row r="516" spans="174:176">
      <c r="FT516" s="13"/>
    </row>
    <row r="517" spans="174:176">
      <c r="FT517" s="13"/>
    </row>
    <row r="518" spans="174:176">
      <c r="FT518" s="13"/>
    </row>
    <row r="519" spans="174:176">
      <c r="FT519" s="13"/>
    </row>
    <row r="520" spans="174:176">
      <c r="FT520" s="13"/>
    </row>
    <row r="521" spans="174:176">
      <c r="FT521" s="13"/>
    </row>
    <row r="522" spans="174:176">
      <c r="FT522" s="13"/>
    </row>
    <row r="523" spans="174:176">
      <c r="FT523" s="13"/>
    </row>
    <row r="524" spans="174:176">
      <c r="FT524" s="13"/>
    </row>
    <row r="525" spans="174:176">
      <c r="FT525" s="13"/>
    </row>
    <row r="526" spans="174:176">
      <c r="FT526" s="13"/>
    </row>
  </sheetData>
  <sheetProtection algorithmName="SHA-512" hashValue="r1hh8QBHgNT7LhJpPUONPwlQF74Tm9qmM5iwJulHGJOE6toqkDwpbYq/fyzP7G/zlA5/aqoixNLPCnGTdA2NuA==" saltValue="C8kUEt5ydCyigucu0KIO4g==" spinCount="100000" sheet="1" objects="1" scenarios="1"/>
  <mergeCells count="91">
    <mergeCell ref="EO13:EP16"/>
    <mergeCell ref="EO17:EP19"/>
    <mergeCell ref="EN29:EO29"/>
    <mergeCell ref="EN25:EO25"/>
    <mergeCell ref="EH26:EJ26"/>
    <mergeCell ref="EH19:EI19"/>
    <mergeCell ref="EH21:EI21"/>
    <mergeCell ref="EK21:EN21"/>
    <mergeCell ref="EH42:EL48"/>
    <mergeCell ref="EH31:EJ33"/>
    <mergeCell ref="EM35:EO36"/>
    <mergeCell ref="EM40:EO41"/>
    <mergeCell ref="EH37:EJ38"/>
    <mergeCell ref="EH40:EJ40"/>
    <mergeCell ref="EH34:EJ36"/>
    <mergeCell ref="EK38:EL38"/>
    <mergeCell ref="EK40:EL40"/>
    <mergeCell ref="AG26:AI26"/>
    <mergeCell ref="AJ18:AK18"/>
    <mergeCell ref="AJ19:AK19"/>
    <mergeCell ref="AJ20:AK20"/>
    <mergeCell ref="AJ28:AK28"/>
    <mergeCell ref="AG27:AI27"/>
    <mergeCell ref="AJ24:AK24"/>
    <mergeCell ref="Z23:Z24"/>
    <mergeCell ref="AA23:AA24"/>
    <mergeCell ref="EN1:EO1"/>
    <mergeCell ref="EA3:ED3"/>
    <mergeCell ref="DO3:DQ3"/>
    <mergeCell ref="EF3:EH3"/>
    <mergeCell ref="EN3:EP3"/>
    <mergeCell ref="AB23:AB24"/>
    <mergeCell ref="AC23:AC24"/>
    <mergeCell ref="AD23:AD24"/>
    <mergeCell ref="AE23:AE24"/>
    <mergeCell ref="EP1:EQ1"/>
    <mergeCell ref="DQ14:DQ15"/>
    <mergeCell ref="DR14:DR15"/>
    <mergeCell ref="DY14:DY15"/>
    <mergeCell ref="EH13:EJ15"/>
    <mergeCell ref="U23:U24"/>
    <mergeCell ref="V23:V24"/>
    <mergeCell ref="W23:W24"/>
    <mergeCell ref="X23:X24"/>
    <mergeCell ref="Y23:Y24"/>
    <mergeCell ref="EM2:EP2"/>
    <mergeCell ref="DW3:DY3"/>
    <mergeCell ref="DS3:DU3"/>
    <mergeCell ref="EB13:EG29"/>
    <mergeCell ref="DZ14:DZ15"/>
    <mergeCell ref="DS14:DS15"/>
    <mergeCell ref="DT14:DT15"/>
    <mergeCell ref="DU14:DU15"/>
    <mergeCell ref="DV14:DV15"/>
    <mergeCell ref="DW14:DW15"/>
    <mergeCell ref="DX14:DX15"/>
    <mergeCell ref="EK19:EM19"/>
    <mergeCell ref="EH25:EJ25"/>
    <mergeCell ref="EH27:EJ27"/>
    <mergeCell ref="EH28:EJ28"/>
    <mergeCell ref="EH17:EJ17"/>
    <mergeCell ref="EF1:EI1"/>
    <mergeCell ref="DZ8:ED9"/>
    <mergeCell ref="DN2:DQ2"/>
    <mergeCell ref="DR2:DU2"/>
    <mergeCell ref="DV2:DY2"/>
    <mergeCell ref="DZ2:ED2"/>
    <mergeCell ref="EE2:EH2"/>
    <mergeCell ref="EI2:EL2"/>
    <mergeCell ref="DX1:EA1"/>
    <mergeCell ref="DP1:DW1"/>
    <mergeCell ref="DN1:DO1"/>
    <mergeCell ref="ED1:EE1"/>
    <mergeCell ref="EB1:EC1"/>
    <mergeCell ref="DN5:DQ5"/>
    <mergeCell ref="FX24:GJ50"/>
    <mergeCell ref="DM3:DM9"/>
    <mergeCell ref="EQ3:EQ9"/>
    <mergeCell ref="EJ3:EL3"/>
    <mergeCell ref="EB30:ED38"/>
    <mergeCell ref="EB39:ED47"/>
    <mergeCell ref="EE30:EG38"/>
    <mergeCell ref="DO6:DQ6"/>
    <mergeCell ref="DP14:DP15"/>
    <mergeCell ref="EM45:EO47"/>
    <mergeCell ref="EH29:EJ29"/>
    <mergeCell ref="EN27:EO27"/>
    <mergeCell ref="EN28:EO28"/>
    <mergeCell ref="EP35:EP36"/>
    <mergeCell ref="EP45:EP46"/>
    <mergeCell ref="EM32:EO32"/>
  </mergeCells>
  <phoneticPr fontId="22" type="noConversion"/>
  <conditionalFormatting sqref="W8:W21">
    <cfRule type="colorScale" priority="60">
      <colorScale>
        <cfvo type="num" val="0"/>
        <cfvo type="num" val="1"/>
        <color rgb="FFFF0000"/>
        <color rgb="FF92D050"/>
      </colorScale>
    </cfRule>
  </conditionalFormatting>
  <conditionalFormatting sqref="DN2 DN4:DQ4 DN5 DO6 DN7:DQ9">
    <cfRule type="expression" dxfId="91" priority="66" stopIfTrue="1">
      <formula>IF(Cntrl1=2,TRUE,FALSE)</formula>
    </cfRule>
  </conditionalFormatting>
  <conditionalFormatting sqref="DN3">
    <cfRule type="expression" dxfId="90" priority="30">
      <formula>$DC$7</formula>
    </cfRule>
  </conditionalFormatting>
  <conditionalFormatting sqref="DN6">
    <cfRule type="expression" dxfId="89" priority="19">
      <formula>$DC$8</formula>
    </cfRule>
  </conditionalFormatting>
  <conditionalFormatting sqref="DN7:DQ7">
    <cfRule type="expression" dxfId="88" priority="921" stopIfTrue="1">
      <formula>IF($BN$23=3,TRUE,FALSE)</formula>
    </cfRule>
  </conditionalFormatting>
  <conditionalFormatting sqref="DN8:DQ9">
    <cfRule type="expression" dxfId="87" priority="919" stopIfTrue="1">
      <formula>IF($BN$23=3,TRUE,FALSE)</formula>
    </cfRule>
  </conditionalFormatting>
  <conditionalFormatting sqref="DN7:DR7">
    <cfRule type="expression" dxfId="86" priority="920" stopIfTrue="1">
      <formula>IF($BN$23=4,TRUE,FALSE)</formula>
    </cfRule>
  </conditionalFormatting>
  <conditionalFormatting sqref="DN8:DS8 DN9:DU9">
    <cfRule type="expression" dxfId="85" priority="924" stopIfTrue="1">
      <formula>IF($BN$23=4,TRUE,FALSE)</formula>
    </cfRule>
  </conditionalFormatting>
  <conditionalFormatting sqref="DP16:DZ27">
    <cfRule type="cellIs" dxfId="84" priority="938" stopIfTrue="1" operator="greaterThanOrEqual">
      <formula>$DK$23-0.05</formula>
    </cfRule>
  </conditionalFormatting>
  <conditionalFormatting sqref="DP16:DZ47">
    <cfRule type="cellIs" dxfId="83" priority="937" stopIfTrue="1" operator="equal">
      <formula>$EO$17+$AO$1</formula>
    </cfRule>
  </conditionalFormatting>
  <conditionalFormatting sqref="DP28:DZ37">
    <cfRule type="cellIs" dxfId="82" priority="940" stopIfTrue="1" operator="greaterThanOrEqual">
      <formula>$DK$23-0.05</formula>
    </cfRule>
  </conditionalFormatting>
  <conditionalFormatting sqref="DP38:DZ47">
    <cfRule type="cellIs" dxfId="81" priority="942" stopIfTrue="1" operator="greaterThanOrEqual">
      <formula>$DK$23-0.05</formula>
    </cfRule>
  </conditionalFormatting>
  <conditionalFormatting sqref="DR2 DR4:DU4 DR5:DS8 DR9:DU9">
    <cfRule type="expression" dxfId="80" priority="838" stopIfTrue="1">
      <formula>IF($CH$23=2,TRUE,FALSE)</formula>
    </cfRule>
  </conditionalFormatting>
  <conditionalFormatting sqref="DR3">
    <cfRule type="expression" dxfId="79" priority="29">
      <formula>$DD$7</formula>
    </cfRule>
  </conditionalFormatting>
  <conditionalFormatting sqref="DS7">
    <cfRule type="expression" dxfId="78" priority="922" stopIfTrue="1">
      <formula>IF($BN$23=4,TRUE,FALSE)</formula>
    </cfRule>
  </conditionalFormatting>
  <conditionalFormatting sqref="DS8 DU9">
    <cfRule type="expression" dxfId="77" priority="917" stopIfTrue="1">
      <formula>IF($BN$23=4,TRUE,FALSE)</formula>
    </cfRule>
  </conditionalFormatting>
  <conditionalFormatting sqref="DT5">
    <cfRule type="expression" dxfId="76" priority="18">
      <formula>$DD$8</formula>
    </cfRule>
  </conditionalFormatting>
  <conditionalFormatting sqref="DT6:DT7">
    <cfRule type="expression" dxfId="75" priority="12">
      <formula>$DD$9</formula>
    </cfRule>
  </conditionalFormatting>
  <conditionalFormatting sqref="DT8">
    <cfRule type="expression" dxfId="74" priority="11">
      <formula>$DD$10</formula>
    </cfRule>
  </conditionalFormatting>
  <conditionalFormatting sqref="DV3">
    <cfRule type="expression" dxfId="73" priority="28">
      <formula>$DE$7</formula>
    </cfRule>
  </conditionalFormatting>
  <conditionalFormatting sqref="DV4:DY9 DV2">
    <cfRule type="expression" dxfId="72" priority="75" stopIfTrue="1">
      <formula>IF(Cntrl2=2,TRUE,FALSE)</formula>
    </cfRule>
  </conditionalFormatting>
  <conditionalFormatting sqref="DX4:DY9">
    <cfRule type="expression" dxfId="71" priority="52" stopIfTrue="1">
      <formula>IF(Cntrl2=10,TRUE,FALSE)</formula>
    </cfRule>
  </conditionalFormatting>
  <conditionalFormatting sqref="DZ2">
    <cfRule type="expression" dxfId="70" priority="797" stopIfTrue="1">
      <formula>IF($CP$23&lt;=23,TRUE,FALSE)</formula>
    </cfRule>
    <cfRule type="expression" dxfId="69" priority="795" stopIfTrue="1">
      <formula>IF($CP$23&gt;=34,TRUE,FALSE)</formula>
    </cfRule>
    <cfRule type="expression" dxfId="68" priority="796" stopIfTrue="1">
      <formula>IF(AND($CP$23&gt;=24,$CP$23&lt;=33),TRUE,FALSE)</formula>
    </cfRule>
  </conditionalFormatting>
  <conditionalFormatting sqref="DZ3">
    <cfRule type="expression" dxfId="67" priority="27">
      <formula>$DF$7</formula>
    </cfRule>
  </conditionalFormatting>
  <conditionalFormatting sqref="DZ8 EH16:EM16 EN16:EN20 EH16:EH22 EM17:EM18 EI18:EL18 EI20:EM20 EI22:EN22">
    <cfRule type="expression" dxfId="66" priority="798" stopIfTrue="1">
      <formula>IF($CP$23&gt;=34,TRUE,FALSE)</formula>
    </cfRule>
    <cfRule type="expression" dxfId="65" priority="806" stopIfTrue="1">
      <formula>IF(AND($CP$23&gt;=24,$CP$23&lt;=33),TRUE,FALSE)</formula>
    </cfRule>
    <cfRule type="expression" dxfId="64" priority="807" stopIfTrue="1">
      <formula>IF($CP$23&lt;=23,TRUE,FALSE)</formula>
    </cfRule>
  </conditionalFormatting>
  <conditionalFormatting sqref="DZ5:EB6 DZ7:ED7 EH13 EK13:EL13 DP13:DZ14 EM13:EM14 EN13:EN15 EK15:EM15 DP48:DZ49 DZ4:ED4">
    <cfRule type="expression" dxfId="63" priority="884" stopIfTrue="1">
      <formula>IF($BQ$30=1,TRUE,FALSE)</formula>
    </cfRule>
  </conditionalFormatting>
  <conditionalFormatting sqref="DZ5:EB6 DZ7:ED7 EH13 EK13:EL13 DP13:DZ14 EM13:EM14 EN13:EN15 EK15:EM15 DP48:DZ49">
    <cfRule type="expression" dxfId="62" priority="883" stopIfTrue="1">
      <formula>IF($BQ$30=2,TRUE,FALSE)</formula>
    </cfRule>
  </conditionalFormatting>
  <conditionalFormatting sqref="DZ4:ED4 DZ5:EB6 DZ7:ED7 EH13 EK13:EL13 DP13:DZ14 EM13:EM14 EN13:EN15 EK15:EM15 DP48:DZ49">
    <cfRule type="expression" dxfId="61" priority="874" stopIfTrue="1">
      <formula>IF(Cntrl9=2,TRUE,FALSE)</formula>
    </cfRule>
  </conditionalFormatting>
  <conditionalFormatting sqref="EC5">
    <cfRule type="expression" dxfId="60" priority="17">
      <formula>$DF$8</formula>
    </cfRule>
  </conditionalFormatting>
  <conditionalFormatting sqref="EC6">
    <cfRule type="expression" dxfId="59" priority="13">
      <formula>$DF$9</formula>
    </cfRule>
  </conditionalFormatting>
  <conditionalFormatting sqref="EE3">
    <cfRule type="expression" dxfId="58" priority="26">
      <formula>$DG$7</formula>
    </cfRule>
  </conditionalFormatting>
  <conditionalFormatting sqref="EE4:EF9">
    <cfRule type="expression" dxfId="57" priority="7" stopIfTrue="1">
      <formula>IF(Cntrl5=7,TRUE,FALSE)</formula>
    </cfRule>
  </conditionalFormatting>
  <conditionalFormatting sqref="EE4:EH9 EE2">
    <cfRule type="expression" dxfId="56" priority="74" stopIfTrue="1">
      <formula>IF(Cntrl5=2,TRUE,FALSE)</formula>
    </cfRule>
  </conditionalFormatting>
  <conditionalFormatting sqref="EI2 EI4:EL4 EI5:EK5 EJ5:EJ8 EI6:EI9 EJ9:EL9">
    <cfRule type="expression" dxfId="55" priority="71" stopIfTrue="1">
      <formula>IF(Cntrl6=2,TRUE,FALSE)</formula>
    </cfRule>
  </conditionalFormatting>
  <conditionalFormatting sqref="EI3">
    <cfRule type="expression" dxfId="54" priority="25">
      <formula>$DH$7</formula>
    </cfRule>
  </conditionalFormatting>
  <conditionalFormatting sqref="EJ19">
    <cfRule type="expression" dxfId="53" priority="21">
      <formula>$DK$9</formula>
    </cfRule>
  </conditionalFormatting>
  <conditionalFormatting sqref="EJ21">
    <cfRule type="expression" dxfId="52" priority="20">
      <formula>$DK$10</formula>
    </cfRule>
  </conditionalFormatting>
  <conditionalFormatting sqref="EK5">
    <cfRule type="expression" dxfId="51" priority="983">
      <formula>$DH$8</formula>
    </cfRule>
  </conditionalFormatting>
  <conditionalFormatting sqref="EK6:EK7">
    <cfRule type="expression" dxfId="50" priority="10">
      <formula>$DH$9</formula>
    </cfRule>
  </conditionalFormatting>
  <conditionalFormatting sqref="EK8">
    <cfRule type="expression" dxfId="49" priority="9">
      <formula>$DH$10</formula>
    </cfRule>
  </conditionalFormatting>
  <conditionalFormatting sqref="EK14">
    <cfRule type="expression" dxfId="48" priority="23">
      <formula>$DK$7</formula>
    </cfRule>
  </conditionalFormatting>
  <conditionalFormatting sqref="EK17">
    <cfRule type="expression" dxfId="47" priority="22">
      <formula>$DK$8</formula>
    </cfRule>
  </conditionalFormatting>
  <conditionalFormatting sqref="EM3">
    <cfRule type="expression" dxfId="46" priority="24">
      <formula>$DI$7</formula>
    </cfRule>
  </conditionalFormatting>
  <conditionalFormatting sqref="EM4:EN9">
    <cfRule type="expression" dxfId="45" priority="51" stopIfTrue="1">
      <formula>IF(Cntrl7=7,TRUE,FALSE)</formula>
    </cfRule>
  </conditionalFormatting>
  <conditionalFormatting sqref="EM4:EP9 EM2">
    <cfRule type="expression" dxfId="44" priority="72" stopIfTrue="1">
      <formula>IF(Cntrl7=2,TRUE,FALSE)</formula>
    </cfRule>
  </conditionalFormatting>
  <conditionalFormatting sqref="EO13 EO17 EO20:EP22">
    <cfRule type="expression" dxfId="43" priority="944">
      <formula>IF(AND($CP$23&lt;=23,$AN$1&gt;=$DK$22),TRUE,FALSE)</formula>
    </cfRule>
    <cfRule type="expression" dxfId="42" priority="945">
      <formula>IF(AND($CP$23&gt;=34,$AN$1&gt;=$DK$22),TRUE,FALSE)</formula>
    </cfRule>
    <cfRule type="expression" dxfId="41" priority="952">
      <formula>IF(AND($CP$23&gt;=34,$AN$1&lt;$DK$22),TRUE,FALSE)</formula>
    </cfRule>
    <cfRule type="expression" dxfId="40" priority="955">
      <formula>IF(AND($CP$23&lt;=33,$CP$23&gt;=24,$AN$1&lt;$DK$22),TRUE,FALSE)</formula>
    </cfRule>
    <cfRule type="expression" dxfId="39" priority="958">
      <formula>IF(AND($CP$23&lt;=33,$CP$23&gt;=24,$AN$1&gt;=$DK$22),TRUE,FALSE)</formula>
    </cfRule>
  </conditionalFormatting>
  <conditionalFormatting sqref="EO17 EO13 EO20:EP22">
    <cfRule type="expression" dxfId="38" priority="943">
      <formula>IF(AND($CP$23&lt;=23,$AN$1&lt;$DK$22),TRUE,FALSE)</formula>
    </cfRule>
  </conditionalFormatting>
  <conditionalFormatting sqref="EO17:EP19">
    <cfRule type="expression" dxfId="37" priority="42">
      <formula>$DL$1</formula>
    </cfRule>
  </conditionalFormatting>
  <hyperlinks>
    <hyperlink ref="EF1" r:id="rId1" xr:uid="{0584D82D-4A62-4EC7-A12B-5ADC51AFBF72}"/>
  </hyperlinks>
  <pageMargins left="0.7" right="0.7" top="0.75" bottom="0.75" header="0.3" footer="0.3"/>
  <pageSetup orientation="portrait" r:id="rId2"/>
  <drawing r:id="rId3"/>
  <legacyDrawing r:id="rId4"/>
  <controls>
    <mc:AlternateContent xmlns:mc="http://schemas.openxmlformats.org/markup-compatibility/2006">
      <mc:Choice Requires="x14">
        <control shapeId="52403" r:id="rId5" name="ComboBox_1">
          <controlPr defaultSize="0" autoLine="0" linkedCell="$CO$23" listFillRange="$CO$24:$CP$57" r:id="rId6">
            <anchor moveWithCells="1">
              <from>
                <xdr:col>139</xdr:col>
                <xdr:colOff>581025</xdr:colOff>
                <xdr:row>15</xdr:row>
                <xdr:rowOff>171450</xdr:rowOff>
              </from>
              <to>
                <xdr:col>141</xdr:col>
                <xdr:colOff>590550</xdr:colOff>
                <xdr:row>17</xdr:row>
                <xdr:rowOff>9525</xdr:rowOff>
              </to>
            </anchor>
          </controlPr>
        </control>
      </mc:Choice>
      <mc:Fallback>
        <control shapeId="52403" r:id="rId5" name="ComboBox_1"/>
      </mc:Fallback>
    </mc:AlternateContent>
    <mc:AlternateContent xmlns:mc="http://schemas.openxmlformats.org/markup-compatibility/2006">
      <mc:Choice Requires="x14">
        <control shapeId="52404" r:id="rId7" name="ComboBox_2">
          <controlPr defaultSize="0" autoLine="0" linkedCell="$CL$23" listFillRange="$CL$24:$CM$35" r:id="rId8">
            <anchor moveWithCells="1">
              <from>
                <xdr:col>139</xdr:col>
                <xdr:colOff>581025</xdr:colOff>
                <xdr:row>12</xdr:row>
                <xdr:rowOff>152400</xdr:rowOff>
              </from>
              <to>
                <xdr:col>141</xdr:col>
                <xdr:colOff>590550</xdr:colOff>
                <xdr:row>14</xdr:row>
                <xdr:rowOff>0</xdr:rowOff>
              </to>
            </anchor>
          </controlPr>
        </control>
      </mc:Choice>
      <mc:Fallback>
        <control shapeId="52404" r:id="rId7" name="ComboBox_2"/>
      </mc:Fallback>
    </mc:AlternateContent>
    <mc:AlternateContent xmlns:mc="http://schemas.openxmlformats.org/markup-compatibility/2006">
      <mc:Choice Requires="x14">
        <control shapeId="52405" r:id="rId9" name="ComboBox_3">
          <controlPr defaultSize="0" autoLine="0" linkedCell="$DJ$23" listFillRange="$DJ$24:$DK$70" r:id="rId10">
            <anchor moveWithCells="1">
              <from>
                <xdr:col>124</xdr:col>
                <xdr:colOff>581025</xdr:colOff>
                <xdr:row>9</xdr:row>
                <xdr:rowOff>180975</xdr:rowOff>
              </from>
              <to>
                <xdr:col>126</xdr:col>
                <xdr:colOff>590550</xdr:colOff>
                <xdr:row>11</xdr:row>
                <xdr:rowOff>38100</xdr:rowOff>
              </to>
            </anchor>
          </controlPr>
        </control>
      </mc:Choice>
      <mc:Fallback>
        <control shapeId="52405" r:id="rId9" name="ComboBox_3"/>
      </mc:Fallback>
    </mc:AlternateContent>
    <mc:AlternateContent xmlns:mc="http://schemas.openxmlformats.org/markup-compatibility/2006">
      <mc:Choice Requires="x14">
        <control shapeId="52406" r:id="rId11" name="ComboBox_4">
          <controlPr defaultSize="0" autoLine="0" linkedCell="$BF$23" listFillRange="$AX$24:$AY$29" r:id="rId12">
            <anchor moveWithCells="1">
              <from>
                <xdr:col>134</xdr:col>
                <xdr:colOff>0</xdr:colOff>
                <xdr:row>2</xdr:row>
                <xdr:rowOff>0</xdr:rowOff>
              </from>
              <to>
                <xdr:col>137</xdr:col>
                <xdr:colOff>590550</xdr:colOff>
                <xdr:row>3</xdr:row>
                <xdr:rowOff>38100</xdr:rowOff>
              </to>
            </anchor>
          </controlPr>
        </control>
      </mc:Choice>
      <mc:Fallback>
        <control shapeId="52406" r:id="rId11" name="ComboBox_4"/>
      </mc:Fallback>
    </mc:AlternateContent>
    <mc:AlternateContent xmlns:mc="http://schemas.openxmlformats.org/markup-compatibility/2006">
      <mc:Choice Requires="x14">
        <control shapeId="52410" r:id="rId13" name="ComboBox_8">
          <controlPr defaultSize="0" autoLine="0" linkedCell="$BJ$23" listFillRange="$BJ$24:$BK$33" r:id="rId12">
            <anchor moveWithCells="1">
              <from>
                <xdr:col>125</xdr:col>
                <xdr:colOff>19050</xdr:colOff>
                <xdr:row>2</xdr:row>
                <xdr:rowOff>0</xdr:rowOff>
              </from>
              <to>
                <xdr:col>129</xdr:col>
                <xdr:colOff>0</xdr:colOff>
                <xdr:row>3</xdr:row>
                <xdr:rowOff>38100</xdr:rowOff>
              </to>
            </anchor>
          </controlPr>
        </control>
      </mc:Choice>
      <mc:Fallback>
        <control shapeId="52410" r:id="rId13" name="ComboBox_8"/>
      </mc:Fallback>
    </mc:AlternateContent>
    <mc:AlternateContent xmlns:mc="http://schemas.openxmlformats.org/markup-compatibility/2006">
      <mc:Choice Requires="x14">
        <control shapeId="52412" r:id="rId14" name="ComboBox_10">
          <controlPr defaultSize="0" autoLine="0" linkedCell="$AX$23" listFillRange="$AX$24:$AY$29" r:id="rId15">
            <anchor moveWithCells="1">
              <from>
                <xdr:col>142</xdr:col>
                <xdr:colOff>9525</xdr:colOff>
                <xdr:row>1</xdr:row>
                <xdr:rowOff>180975</xdr:rowOff>
              </from>
              <to>
                <xdr:col>145</xdr:col>
                <xdr:colOff>600075</xdr:colOff>
                <xdr:row>3</xdr:row>
                <xdr:rowOff>28575</xdr:rowOff>
              </to>
            </anchor>
          </controlPr>
        </control>
      </mc:Choice>
      <mc:Fallback>
        <control shapeId="52412" r:id="rId14" name="ComboBox_10"/>
      </mc:Fallback>
    </mc:AlternateContent>
    <mc:AlternateContent xmlns:mc="http://schemas.openxmlformats.org/markup-compatibility/2006">
      <mc:Choice Requires="x14">
        <control shapeId="52485" r:id="rId16" name="ComboBox_21">
          <controlPr defaultSize="0" autoLine="0" linkedCell="$BZ$23" listFillRange="$BZ$24:$CA$28" r:id="rId17">
            <anchor moveWithCells="1">
              <from>
                <xdr:col>139</xdr:col>
                <xdr:colOff>542925</xdr:colOff>
                <xdr:row>6</xdr:row>
                <xdr:rowOff>180975</xdr:rowOff>
              </from>
              <to>
                <xdr:col>141</xdr:col>
                <xdr:colOff>600075</xdr:colOff>
                <xdr:row>8</xdr:row>
                <xdr:rowOff>0</xdr:rowOff>
              </to>
            </anchor>
          </controlPr>
        </control>
      </mc:Choice>
      <mc:Fallback>
        <control shapeId="52485" r:id="rId16" name="ComboBox_21"/>
      </mc:Fallback>
    </mc:AlternateContent>
    <mc:AlternateContent xmlns:mc="http://schemas.openxmlformats.org/markup-compatibility/2006">
      <mc:Choice Requires="x14">
        <control shapeId="52430" r:id="rId18" name="ComboBox_20">
          <controlPr defaultSize="0" autoLine="0" linkedCell="$CU$23" listFillRange="$CU$24:$CV$265" r:id="rId17">
            <anchor moveWithCells="1">
              <from>
                <xdr:col>139</xdr:col>
                <xdr:colOff>542925</xdr:colOff>
                <xdr:row>5</xdr:row>
                <xdr:rowOff>161925</xdr:rowOff>
              </from>
              <to>
                <xdr:col>141</xdr:col>
                <xdr:colOff>600075</xdr:colOff>
                <xdr:row>6</xdr:row>
                <xdr:rowOff>200025</xdr:rowOff>
              </to>
            </anchor>
          </controlPr>
        </control>
      </mc:Choice>
      <mc:Fallback>
        <control shapeId="52430" r:id="rId18" name="ComboBox_20"/>
      </mc:Fallback>
    </mc:AlternateContent>
    <mc:AlternateContent xmlns:mc="http://schemas.openxmlformats.org/markup-compatibility/2006">
      <mc:Choice Requires="x14">
        <control shapeId="52422" r:id="rId19" name="ComboBox_19">
          <controlPr defaultSize="0" autoLine="0" linkedCell="$CR$23" listFillRange="$CR$24:$CS$119" r:id="rId17">
            <anchor moveWithCells="1">
              <from>
                <xdr:col>139</xdr:col>
                <xdr:colOff>542925</xdr:colOff>
                <xdr:row>4</xdr:row>
                <xdr:rowOff>171450</xdr:rowOff>
              </from>
              <to>
                <xdr:col>141</xdr:col>
                <xdr:colOff>600075</xdr:colOff>
                <xdr:row>6</xdr:row>
                <xdr:rowOff>19050</xdr:rowOff>
              </to>
            </anchor>
          </controlPr>
        </control>
      </mc:Choice>
      <mc:Fallback>
        <control shapeId="52422" r:id="rId19" name="ComboBox_19"/>
      </mc:Fallback>
    </mc:AlternateContent>
    <mc:AlternateContent xmlns:mc="http://schemas.openxmlformats.org/markup-compatibility/2006">
      <mc:Choice Requires="x14">
        <control shapeId="52431" r:id="rId20" name="ComboBox_18">
          <controlPr defaultSize="0" autoLine="0" linkedCell="$CX$23" listFillRange="$CX$24:$CY$324" r:id="rId17">
            <anchor moveWithCells="1">
              <from>
                <xdr:col>139</xdr:col>
                <xdr:colOff>542925</xdr:colOff>
                <xdr:row>3</xdr:row>
                <xdr:rowOff>171450</xdr:rowOff>
              </from>
              <to>
                <xdr:col>141</xdr:col>
                <xdr:colOff>600075</xdr:colOff>
                <xdr:row>5</xdr:row>
                <xdr:rowOff>19050</xdr:rowOff>
              </to>
            </anchor>
          </controlPr>
        </control>
      </mc:Choice>
      <mc:Fallback>
        <control shapeId="52431" r:id="rId20" name="ComboBox_18"/>
      </mc:Fallback>
    </mc:AlternateContent>
    <mc:AlternateContent xmlns:mc="http://schemas.openxmlformats.org/markup-compatibility/2006">
      <mc:Choice Requires="x14">
        <control shapeId="52407" r:id="rId21" name="ComboBox_5">
          <controlPr defaultSize="0" autoLine="0" linkedCell="$BW$23" listFillRange="$BW$24:$BX$30" r:id="rId12">
            <anchor moveWithCells="1">
              <from>
                <xdr:col>138</xdr:col>
                <xdr:colOff>19050</xdr:colOff>
                <xdr:row>2</xdr:row>
                <xdr:rowOff>0</xdr:rowOff>
              </from>
              <to>
                <xdr:col>142</xdr:col>
                <xdr:colOff>0</xdr:colOff>
                <xdr:row>3</xdr:row>
                <xdr:rowOff>38100</xdr:rowOff>
              </to>
            </anchor>
          </controlPr>
        </control>
      </mc:Choice>
      <mc:Fallback>
        <control shapeId="52407" r:id="rId21" name="ComboBox_5"/>
      </mc:Fallback>
    </mc:AlternateContent>
    <mc:AlternateContent xmlns:mc="http://schemas.openxmlformats.org/markup-compatibility/2006">
      <mc:Choice Requires="x14">
        <control shapeId="52411" r:id="rId22" name="ComboBox_9">
          <controlPr defaultSize="0" autoLine="0" linkedCell="$BT$23" listFillRange="$BT$24:$BU$28" r:id="rId17">
            <anchor moveWithCells="1">
              <from>
                <xdr:col>131</xdr:col>
                <xdr:colOff>542925</xdr:colOff>
                <xdr:row>4</xdr:row>
                <xdr:rowOff>180975</xdr:rowOff>
              </from>
              <to>
                <xdr:col>133</xdr:col>
                <xdr:colOff>600075</xdr:colOff>
                <xdr:row>6</xdr:row>
                <xdr:rowOff>28575</xdr:rowOff>
              </to>
            </anchor>
          </controlPr>
        </control>
      </mc:Choice>
      <mc:Fallback>
        <control shapeId="52411" r:id="rId22" name="ComboBox_9"/>
      </mc:Fallback>
    </mc:AlternateContent>
    <mc:AlternateContent xmlns:mc="http://schemas.openxmlformats.org/markup-compatibility/2006">
      <mc:Choice Requires="x14">
        <control shapeId="52413" r:id="rId23" name="ComboBox_11">
          <controlPr defaultSize="0" autoLine="0" linkedCell="$BQ$23" listFillRange="$BQ$24:$BR$27" r:id="rId24">
            <anchor moveWithCells="1">
              <from>
                <xdr:col>131</xdr:col>
                <xdr:colOff>542925</xdr:colOff>
                <xdr:row>3</xdr:row>
                <xdr:rowOff>152400</xdr:rowOff>
              </from>
              <to>
                <xdr:col>133</xdr:col>
                <xdr:colOff>600075</xdr:colOff>
                <xdr:row>5</xdr:row>
                <xdr:rowOff>0</xdr:rowOff>
              </to>
            </anchor>
          </controlPr>
        </control>
      </mc:Choice>
      <mc:Fallback>
        <control shapeId="52413" r:id="rId23" name="ComboBox_11"/>
      </mc:Fallback>
    </mc:AlternateContent>
    <mc:AlternateContent xmlns:mc="http://schemas.openxmlformats.org/markup-compatibility/2006">
      <mc:Choice Requires="x14">
        <control shapeId="52408" r:id="rId25" name="ComboBox_6">
          <controlPr defaultSize="0" autoLine="0" linkedCell="$BC$23" listFillRange="$BC$24:$BD$31" r:id="rId26">
            <anchor moveWithCells="1">
              <from>
                <xdr:col>129</xdr:col>
                <xdr:colOff>0</xdr:colOff>
                <xdr:row>2</xdr:row>
                <xdr:rowOff>0</xdr:rowOff>
              </from>
              <to>
                <xdr:col>134</xdr:col>
                <xdr:colOff>9525</xdr:colOff>
                <xdr:row>3</xdr:row>
                <xdr:rowOff>38100</xdr:rowOff>
              </to>
            </anchor>
          </controlPr>
        </control>
      </mc:Choice>
      <mc:Fallback>
        <control shapeId="52408" r:id="rId25" name="ComboBox_6"/>
      </mc:Fallback>
    </mc:AlternateContent>
    <mc:AlternateContent xmlns:mc="http://schemas.openxmlformats.org/markup-compatibility/2006">
      <mc:Choice Requires="x14">
        <control shapeId="52409" r:id="rId27" name="ComboBox_7">
          <controlPr defaultSize="0" autoLine="0" linkedCell="$AS$23" listFillRange="$AS$24:$AT$32" r:id="rId28">
            <anchor moveWithCells="1">
              <from>
                <xdr:col>117</xdr:col>
                <xdr:colOff>19050</xdr:colOff>
                <xdr:row>1</xdr:row>
                <xdr:rowOff>171450</xdr:rowOff>
              </from>
              <to>
                <xdr:col>120</xdr:col>
                <xdr:colOff>600075</xdr:colOff>
                <xdr:row>3</xdr:row>
                <xdr:rowOff>19050</xdr:rowOff>
              </to>
            </anchor>
          </controlPr>
        </control>
      </mc:Choice>
      <mc:Fallback>
        <control shapeId="52409" r:id="rId27" name="ComboBox_7"/>
      </mc:Fallback>
    </mc:AlternateContent>
    <mc:AlternateContent xmlns:mc="http://schemas.openxmlformats.org/markup-compatibility/2006">
      <mc:Choice Requires="x14">
        <control shapeId="52481" r:id="rId29" name="ComboBox_13">
          <controlPr defaultSize="0" autoLine="0" linkedCell="$BN$23" listFillRange="$BN$24:$BO$27" r:id="rId30">
            <anchor moveWithCells="1">
              <from>
                <xdr:col>117</xdr:col>
                <xdr:colOff>9525</xdr:colOff>
                <xdr:row>4</xdr:row>
                <xdr:rowOff>171450</xdr:rowOff>
              </from>
              <to>
                <xdr:col>120</xdr:col>
                <xdr:colOff>600075</xdr:colOff>
                <xdr:row>6</xdr:row>
                <xdr:rowOff>19050</xdr:rowOff>
              </to>
            </anchor>
          </controlPr>
        </control>
      </mc:Choice>
      <mc:Fallback>
        <control shapeId="52481" r:id="rId29" name="ComboBox_13"/>
      </mc:Fallback>
    </mc:AlternateContent>
    <mc:AlternateContent xmlns:mc="http://schemas.openxmlformats.org/markup-compatibility/2006">
      <mc:Choice Requires="x14">
        <control shapeId="52489" r:id="rId31" name="ComboBox_17">
          <controlPr defaultSize="0" autoLine="0" linkedCell="$CD$23" listFillRange="$CD$24:$CE$28" r:id="rId17">
            <anchor moveWithCells="1">
              <from>
                <xdr:col>122</xdr:col>
                <xdr:colOff>542925</xdr:colOff>
                <xdr:row>6</xdr:row>
                <xdr:rowOff>200025</xdr:rowOff>
              </from>
              <to>
                <xdr:col>124</xdr:col>
                <xdr:colOff>600075</xdr:colOff>
                <xdr:row>8</xdr:row>
                <xdr:rowOff>19050</xdr:rowOff>
              </to>
            </anchor>
          </controlPr>
        </control>
      </mc:Choice>
      <mc:Fallback>
        <control shapeId="52489" r:id="rId31" name="ComboBox_17"/>
      </mc:Fallback>
    </mc:AlternateContent>
    <mc:AlternateContent xmlns:mc="http://schemas.openxmlformats.org/markup-compatibility/2006">
      <mc:Choice Requires="x14">
        <control shapeId="52488" r:id="rId32" name="ComboBox_16">
          <controlPr defaultSize="0" autoLine="0" linkedCell="$DD$23" listFillRange="$DD$24:$DE$265" r:id="rId17">
            <anchor moveWithCells="1">
              <from>
                <xdr:col>122</xdr:col>
                <xdr:colOff>542925</xdr:colOff>
                <xdr:row>6</xdr:row>
                <xdr:rowOff>9525</xdr:rowOff>
              </from>
              <to>
                <xdr:col>124</xdr:col>
                <xdr:colOff>600075</xdr:colOff>
                <xdr:row>7</xdr:row>
                <xdr:rowOff>19050</xdr:rowOff>
              </to>
            </anchor>
          </controlPr>
        </control>
      </mc:Choice>
      <mc:Fallback>
        <control shapeId="52488" r:id="rId32" name="ComboBox_16"/>
      </mc:Fallback>
    </mc:AlternateContent>
    <mc:AlternateContent xmlns:mc="http://schemas.openxmlformats.org/markup-compatibility/2006">
      <mc:Choice Requires="x14">
        <control shapeId="52487" r:id="rId33" name="ComboBox_15">
          <controlPr defaultSize="0" autoLine="0" linkedCell="$DA$23" listFillRange="$DA$24:$DB$119" r:id="rId17">
            <anchor moveWithCells="1">
              <from>
                <xdr:col>122</xdr:col>
                <xdr:colOff>542925</xdr:colOff>
                <xdr:row>5</xdr:row>
                <xdr:rowOff>9525</xdr:rowOff>
              </from>
              <to>
                <xdr:col>124</xdr:col>
                <xdr:colOff>600075</xdr:colOff>
                <xdr:row>6</xdr:row>
                <xdr:rowOff>47625</xdr:rowOff>
              </to>
            </anchor>
          </controlPr>
        </control>
      </mc:Choice>
      <mc:Fallback>
        <control shapeId="52487" r:id="rId33" name="ComboBox_15"/>
      </mc:Fallback>
    </mc:AlternateContent>
    <mc:AlternateContent xmlns:mc="http://schemas.openxmlformats.org/markup-compatibility/2006">
      <mc:Choice Requires="x14">
        <control shapeId="52443" r:id="rId34" name="ComboBox_12">
          <controlPr defaultSize="0" autoLine="0" linkedCell="$CH$23" listFillRange="$CH$24:$CI$28" r:id="rId12">
            <anchor moveWithCells="1">
              <from>
                <xdr:col>121</xdr:col>
                <xdr:colOff>19050</xdr:colOff>
                <xdr:row>2</xdr:row>
                <xdr:rowOff>0</xdr:rowOff>
              </from>
              <to>
                <xdr:col>125</xdr:col>
                <xdr:colOff>0</xdr:colOff>
                <xdr:row>3</xdr:row>
                <xdr:rowOff>38100</xdr:rowOff>
              </to>
            </anchor>
          </controlPr>
        </control>
      </mc:Choice>
      <mc:Fallback>
        <control shapeId="52443" r:id="rId34" name="ComboBox_12"/>
      </mc:Fallback>
    </mc:AlternateContent>
    <mc:AlternateContent xmlns:mc="http://schemas.openxmlformats.org/markup-compatibility/2006">
      <mc:Choice Requires="x14">
        <control shapeId="52491" r:id="rId35" name="ComboBox_22">
          <controlPr defaultSize="0" autoLine="0" linkedCell="$EX$23" listFillRange="$EX$24:$EY$27" r:id="rId36">
            <anchor moveWithCells="1">
              <from>
                <xdr:col>138</xdr:col>
                <xdr:colOff>561975</xdr:colOff>
                <xdr:row>17</xdr:row>
                <xdr:rowOff>161925</xdr:rowOff>
              </from>
              <to>
                <xdr:col>143</xdr:col>
                <xdr:colOff>0</xdr:colOff>
                <xdr:row>19</xdr:row>
                <xdr:rowOff>0</xdr:rowOff>
              </to>
            </anchor>
          </controlPr>
        </control>
      </mc:Choice>
      <mc:Fallback>
        <control shapeId="52491" r:id="rId35" name="ComboBox_22"/>
      </mc:Fallback>
    </mc:AlternateContent>
    <mc:AlternateContent xmlns:mc="http://schemas.openxmlformats.org/markup-compatibility/2006">
      <mc:Choice Requires="x14">
        <control shapeId="52493" r:id="rId37" name="ComboBox_23">
          <controlPr defaultSize="0" autoLine="0" linkedCell="$FA$23" listFillRange="$FA$24:$FB$27" r:id="rId38">
            <anchor moveWithCells="1">
              <from>
                <xdr:col>138</xdr:col>
                <xdr:colOff>533400</xdr:colOff>
                <xdr:row>19</xdr:row>
                <xdr:rowOff>161925</xdr:rowOff>
              </from>
              <to>
                <xdr:col>143</xdr:col>
                <xdr:colOff>600075</xdr:colOff>
                <xdr:row>21</xdr:row>
                <xdr:rowOff>0</xdr:rowOff>
              </to>
            </anchor>
          </controlPr>
        </control>
      </mc:Choice>
      <mc:Fallback>
        <control shapeId="52493" r:id="rId37" name="ComboBox_23"/>
      </mc:Fallback>
    </mc:AlternateContent>
    <mc:AlternateContent xmlns:mc="http://schemas.openxmlformats.org/markup-compatibility/2006">
      <mc:Choice Requires="x14">
        <control shapeId="52494" r:id="rId39" name="ComboBox_14">
          <controlPr defaultSize="0" autoLine="0" linkedCell="$DG$23" listFillRange="$DG$24:$DH$324" r:id="rId17">
            <anchor moveWithCells="1">
              <from>
                <xdr:col>122</xdr:col>
                <xdr:colOff>542925</xdr:colOff>
                <xdr:row>3</xdr:row>
                <xdr:rowOff>180975</xdr:rowOff>
              </from>
              <to>
                <xdr:col>124</xdr:col>
                <xdr:colOff>600075</xdr:colOff>
                <xdr:row>5</xdr:row>
                <xdr:rowOff>28575</xdr:rowOff>
              </to>
            </anchor>
          </controlPr>
        </control>
      </mc:Choice>
      <mc:Fallback>
        <control shapeId="52494" r:id="rId39" name="ComboBox_14"/>
      </mc:Fallback>
    </mc:AlternateContent>
    <mc:AlternateContent xmlns:mc="http://schemas.openxmlformats.org/markup-compatibility/2006">
      <mc:Choice Requires="x14">
        <control shapeId="52529" r:id="rId40" name="ComboBox_29">
          <controlPr defaultSize="0" autoLine="0" linkedCell="$FS$23" listFillRange="$FS$24:$FT$515" r:id="rId41">
            <anchor moveWithCells="1">
              <from>
                <xdr:col>139</xdr:col>
                <xdr:colOff>542925</xdr:colOff>
                <xdr:row>30</xdr:row>
                <xdr:rowOff>180975</xdr:rowOff>
              </from>
              <to>
                <xdr:col>141</xdr:col>
                <xdr:colOff>600075</xdr:colOff>
                <xdr:row>32</xdr:row>
                <xdr:rowOff>19050</xdr:rowOff>
              </to>
            </anchor>
          </controlPr>
        </control>
      </mc:Choice>
      <mc:Fallback>
        <control shapeId="52529" r:id="rId40" name="ComboBox_29"/>
      </mc:Fallback>
    </mc:AlternateContent>
    <mc:AlternateContent xmlns:mc="http://schemas.openxmlformats.org/markup-compatibility/2006">
      <mc:Choice Requires="x14">
        <control shapeId="52526" r:id="rId42" name="ComboBox_28">
          <controlPr defaultSize="0" autoLine="0" linkedCell="$FP$23" listFillRange="$FP$24:$FQ$35" r:id="rId43">
            <anchor moveWithCells="1">
              <from>
                <xdr:col>139</xdr:col>
                <xdr:colOff>542925</xdr:colOff>
                <xdr:row>27</xdr:row>
                <xdr:rowOff>180975</xdr:rowOff>
              </from>
              <to>
                <xdr:col>141</xdr:col>
                <xdr:colOff>600075</xdr:colOff>
                <xdr:row>29</xdr:row>
                <xdr:rowOff>19050</xdr:rowOff>
              </to>
            </anchor>
          </controlPr>
        </control>
      </mc:Choice>
      <mc:Fallback>
        <control shapeId="52526" r:id="rId42" name="ComboBox_28"/>
      </mc:Fallback>
    </mc:AlternateContent>
    <mc:AlternateContent xmlns:mc="http://schemas.openxmlformats.org/markup-compatibility/2006">
      <mc:Choice Requires="x14">
        <control shapeId="52527" r:id="rId44" name="ComboBox_27">
          <controlPr defaultSize="0" autoLine="0" linkedCell="$FM$23" listFillRange="$FM$24:$FN$31" r:id="rId45">
            <anchor moveWithCells="1">
              <from>
                <xdr:col>139</xdr:col>
                <xdr:colOff>542925</xdr:colOff>
                <xdr:row>26</xdr:row>
                <xdr:rowOff>171450</xdr:rowOff>
              </from>
              <to>
                <xdr:col>141</xdr:col>
                <xdr:colOff>600075</xdr:colOff>
                <xdr:row>28</xdr:row>
                <xdr:rowOff>9525</xdr:rowOff>
              </to>
            </anchor>
          </controlPr>
        </control>
      </mc:Choice>
      <mc:Fallback>
        <control shapeId="52527" r:id="rId44" name="ComboBox_27"/>
      </mc:Fallback>
    </mc:AlternateContent>
    <mc:AlternateContent xmlns:mc="http://schemas.openxmlformats.org/markup-compatibility/2006">
      <mc:Choice Requires="x14">
        <control shapeId="52499" r:id="rId46" name="ComboBox_26">
          <controlPr defaultSize="0" autoLine="0" linkedCell="$FJ$23" listFillRange="$FJ$24:$FK$120" r:id="rId47">
            <anchor moveWithCells="1">
              <from>
                <xdr:col>139</xdr:col>
                <xdr:colOff>542925</xdr:colOff>
                <xdr:row>25</xdr:row>
                <xdr:rowOff>171450</xdr:rowOff>
              </from>
              <to>
                <xdr:col>141</xdr:col>
                <xdr:colOff>600075</xdr:colOff>
                <xdr:row>27</xdr:row>
                <xdr:rowOff>9525</xdr:rowOff>
              </to>
            </anchor>
          </controlPr>
        </control>
      </mc:Choice>
      <mc:Fallback>
        <control shapeId="52499" r:id="rId46" name="ComboBox_26"/>
      </mc:Fallback>
    </mc:AlternateContent>
    <mc:AlternateContent xmlns:mc="http://schemas.openxmlformats.org/markup-compatibility/2006">
      <mc:Choice Requires="x14">
        <control shapeId="52500" r:id="rId48" name="ComboBox_25">
          <controlPr defaultSize="0" autoLine="0" linkedCell="$FG$23" listFillRange="$FG$24:$FH$201" r:id="rId49">
            <anchor moveWithCells="1">
              <from>
                <xdr:col>139</xdr:col>
                <xdr:colOff>542925</xdr:colOff>
                <xdr:row>24</xdr:row>
                <xdr:rowOff>161925</xdr:rowOff>
              </from>
              <to>
                <xdr:col>141</xdr:col>
                <xdr:colOff>600075</xdr:colOff>
                <xdr:row>26</xdr:row>
                <xdr:rowOff>0</xdr:rowOff>
              </to>
            </anchor>
          </controlPr>
        </control>
      </mc:Choice>
      <mc:Fallback>
        <control shapeId="52500" r:id="rId48" name="ComboBox_25"/>
      </mc:Fallback>
    </mc:AlternateContent>
    <mc:AlternateContent xmlns:mc="http://schemas.openxmlformats.org/markup-compatibility/2006">
      <mc:Choice Requires="x14">
        <control shapeId="52501" r:id="rId50" name="ComboBox_24">
          <controlPr defaultSize="0" autoLine="0" linkedCell="$FD$23" listFillRange="$FD$24:$FE$41" r:id="rId51">
            <anchor moveWithCells="1">
              <from>
                <xdr:col>139</xdr:col>
                <xdr:colOff>542925</xdr:colOff>
                <xdr:row>23</xdr:row>
                <xdr:rowOff>142875</xdr:rowOff>
              </from>
              <to>
                <xdr:col>141</xdr:col>
                <xdr:colOff>600075</xdr:colOff>
                <xdr:row>24</xdr:row>
                <xdr:rowOff>180975</xdr:rowOff>
              </to>
            </anchor>
          </controlPr>
        </control>
      </mc:Choice>
      <mc:Fallback>
        <control shapeId="52501" r:id="rId50" name="ComboBox_24"/>
      </mc:Fallback>
    </mc:AlternateContent>
    <mc:AlternateContent xmlns:mc="http://schemas.openxmlformats.org/markup-compatibility/2006">
      <mc:Choice Requires="x14">
        <control shapeId="52531" r:id="rId52" name="ComboBox_30">
          <controlPr defaultSize="0" autoLine="0" linkedCell="$FV$23" listFillRange="$FV$24:$FW$75" r:id="rId53">
            <anchor moveWithCells="1">
              <from>
                <xdr:col>139</xdr:col>
                <xdr:colOff>542925</xdr:colOff>
                <xdr:row>33</xdr:row>
                <xdr:rowOff>180975</xdr:rowOff>
              </from>
              <to>
                <xdr:col>141</xdr:col>
                <xdr:colOff>600075</xdr:colOff>
                <xdr:row>35</xdr:row>
                <xdr:rowOff>19050</xdr:rowOff>
              </to>
            </anchor>
          </controlPr>
        </control>
      </mc:Choice>
      <mc:Fallback>
        <control shapeId="52531" r:id="rId52" name="ComboBox_30"/>
      </mc:Fallback>
    </mc:AlternateContent>
  </controls>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6B92287-3064-41AA-B4D4-FE739A7F2FAF}">
  <sheetPr codeName="Sheet31112"/>
  <dimension ref="A1:FX470"/>
  <sheetViews>
    <sheetView showGridLines="0" showRowColHeaders="0" topLeftCell="BL1" zoomScaleNormal="100" workbookViewId="0">
      <selection activeCell="BL1" sqref="BL1"/>
    </sheetView>
  </sheetViews>
  <sheetFormatPr defaultColWidth="9.140625" defaultRowHeight="15.75"/>
  <cols>
    <col min="1" max="2" width="9.140625" hidden="1" customWidth="1"/>
    <col min="3" max="3" width="9.140625" style="2" hidden="1" customWidth="1"/>
    <col min="4" max="4" width="12.85546875" style="2" hidden="1" customWidth="1"/>
    <col min="5" max="5" width="16.85546875" hidden="1" customWidth="1"/>
    <col min="6" max="6" width="110.7109375" hidden="1" customWidth="1"/>
    <col min="7" max="8" width="9.140625" hidden="1" customWidth="1"/>
    <col min="9" max="9" width="24.85546875" hidden="1" customWidth="1"/>
    <col min="10" max="10" width="26.28515625" style="2" hidden="1" customWidth="1"/>
    <col min="11" max="11" width="13.7109375" hidden="1" customWidth="1"/>
    <col min="12" max="12" width="9.140625" style="2" hidden="1" customWidth="1"/>
    <col min="13" max="13" width="9.140625" hidden="1" customWidth="1"/>
    <col min="14" max="14" width="9.140625" style="2" hidden="1" customWidth="1"/>
    <col min="15" max="15" width="10" hidden="1" customWidth="1"/>
    <col min="16" max="16" width="10.140625" hidden="1" customWidth="1"/>
    <col min="17" max="17" width="12.42578125" hidden="1" customWidth="1"/>
    <col min="18" max="18" width="9.140625" style="2" hidden="1" customWidth="1"/>
    <col min="19" max="19" width="9.140625" style="10" hidden="1" customWidth="1"/>
    <col min="20" max="20" width="9.140625" style="7" hidden="1" customWidth="1"/>
    <col min="21" max="30" width="11.42578125" style="7" hidden="1" customWidth="1"/>
    <col min="31" max="31" width="9.140625" style="7" hidden="1" customWidth="1"/>
    <col min="32" max="32" width="15.7109375" style="7" hidden="1" customWidth="1"/>
    <col min="33" max="54" width="9.140625" style="7" hidden="1" customWidth="1"/>
    <col min="55" max="55" width="9.140625" style="263" hidden="1" customWidth="1"/>
    <col min="56" max="63" width="9.140625" style="7" hidden="1" customWidth="1"/>
    <col min="64" max="64" width="5.140625" style="359" customWidth="1"/>
    <col min="65" max="66" width="9.140625" style="359"/>
    <col min="67" max="76" width="9.140625" style="359" customWidth="1"/>
    <col min="77" max="82" width="9.140625" style="359"/>
    <col min="83" max="83" width="9.140625" style="359" customWidth="1"/>
    <col min="84" max="94" width="9.140625" style="359"/>
    <col min="95" max="102" width="9.140625" style="10" customWidth="1"/>
    <col min="103" max="103" width="44.42578125" style="10" customWidth="1"/>
    <col min="104" max="104" width="33.85546875" style="10" customWidth="1"/>
    <col min="105" max="107" width="9.140625" style="10" customWidth="1"/>
    <col min="108" max="16384" width="9.140625" style="10"/>
  </cols>
  <sheetData>
    <row r="1" spans="1:180" ht="37.5" customHeight="1">
      <c r="C1" s="2">
        <f>SUM(C2:C27)</f>
        <v>60</v>
      </c>
      <c r="D1" s="2">
        <f>SUM(D2:D27)</f>
        <v>23</v>
      </c>
      <c r="F1" s="177" t="str">
        <f>_xlfn.CONCAT(E2:E27)</f>
        <v>11011000000000100101101</v>
      </c>
      <c r="G1" t="s">
        <v>0</v>
      </c>
      <c r="I1" s="580" t="str">
        <f>_xlfn.CONCAT(I2:I27)</f>
        <v>2AJa</v>
      </c>
      <c r="J1" s="580" t="str">
        <f>radix64</f>
        <v>2AJa</v>
      </c>
      <c r="K1" t="str">
        <f>J1</f>
        <v>2AJa</v>
      </c>
      <c r="L1" s="2" t="s">
        <v>0</v>
      </c>
      <c r="O1" t="str">
        <f>_xlfn.CONCAT((O2:O27))</f>
        <v>110110000000001001011010</v>
      </c>
      <c r="P1" s="177" t="str">
        <f>O1</f>
        <v>110110000000001001011010</v>
      </c>
      <c r="Q1" t="s">
        <v>0</v>
      </c>
      <c r="R1" s="2">
        <f>SUM(R2:R27)</f>
        <v>60</v>
      </c>
      <c r="T1" s="8"/>
      <c r="U1" s="8"/>
      <c r="V1" s="8"/>
      <c r="W1" s="8"/>
      <c r="X1" s="8"/>
      <c r="Y1" s="8"/>
      <c r="Z1" s="8"/>
      <c r="AA1" s="8"/>
      <c r="AB1" s="8"/>
      <c r="AC1" s="8"/>
      <c r="AF1" s="58">
        <f>AL51</f>
        <v>2</v>
      </c>
      <c r="AG1" s="58"/>
      <c r="AH1" s="80" t="str">
        <f>IF(AR17=2,"STF_lined","P_blank3")</f>
        <v>P_blank3</v>
      </c>
      <c r="AI1" s="58">
        <f>IF(AQ18=2,13,3)</f>
        <v>13</v>
      </c>
      <c r="AK1" s="155"/>
      <c r="AL1" s="155">
        <f>AL2-1</f>
        <v>1</v>
      </c>
      <c r="AM1" s="155"/>
      <c r="AQ1" s="12">
        <f>Cntrl2-1</f>
        <v>1</v>
      </c>
      <c r="AT1" s="12">
        <f>Cntrl1-1</f>
        <v>3</v>
      </c>
      <c r="AW1" s="12">
        <f>Cntrl3-1</f>
        <v>1</v>
      </c>
      <c r="AZ1" s="12">
        <f>Cntrl4-1</f>
        <v>1</v>
      </c>
      <c r="BI1" s="12">
        <f>Cntrl5-1</f>
        <v>54</v>
      </c>
      <c r="BK1" s="7" t="b">
        <f>NOT(AND(Cntrl1-1,Cntrl2-1,Cntrl3-1,Cntrl4-1,Cntrl5-1))</f>
        <v>0</v>
      </c>
      <c r="BL1" s="366"/>
      <c r="BM1" s="1014" t="e" vm="1">
        <v>#VALUE!</v>
      </c>
      <c r="BN1" s="1014"/>
      <c r="BO1" s="1015" t="s">
        <v>950</v>
      </c>
      <c r="BP1" s="1015"/>
      <c r="BQ1" s="1015"/>
      <c r="BR1" s="1015"/>
      <c r="BS1" s="1015"/>
      <c r="BT1" s="1015"/>
      <c r="BU1" s="1015"/>
      <c r="BV1" s="1091" t="str">
        <f>IF(BK1,"",I1)</f>
        <v>2AJa</v>
      </c>
      <c r="BW1" s="1091"/>
      <c r="BX1" s="1091"/>
      <c r="BY1" s="1091"/>
      <c r="BZ1" s="579"/>
      <c r="CA1" s="579"/>
      <c r="CB1" s="1025" t="s">
        <v>2</v>
      </c>
      <c r="CC1" s="1025"/>
      <c r="CD1" s="1025"/>
      <c r="CE1" s="1025"/>
      <c r="CF1" s="328"/>
      <c r="CG1" s="328"/>
      <c r="CH1" s="328"/>
      <c r="CI1" s="328"/>
      <c r="CJ1" s="328"/>
      <c r="CK1" s="328"/>
      <c r="CL1" s="905" t="s">
        <v>2261</v>
      </c>
      <c r="CM1" s="1041" t="s">
        <v>3</v>
      </c>
      <c r="CN1" s="1041"/>
      <c r="CO1" s="1092">
        <v>45988.700578703705</v>
      </c>
      <c r="CP1" s="1093"/>
    </row>
    <row r="2" spans="1:180">
      <c r="A2">
        <v>1</v>
      </c>
      <c r="B2" t="s">
        <v>4</v>
      </c>
      <c r="C2" s="142">
        <f>Cntrl5-1</f>
        <v>54</v>
      </c>
      <c r="D2" s="559">
        <f>BI2</f>
        <v>6</v>
      </c>
      <c r="E2" s="172" t="str">
        <f>IF(C2&lt;&gt;"",RIGHT("0000000000"&amp;TEXT(DEC2BIN(C2,D2),"0"),D2),"")</f>
        <v>110110</v>
      </c>
      <c r="F2" s="555" t="str">
        <f>F1</f>
        <v>11011000000000100101101</v>
      </c>
      <c r="G2" s="172" t="str">
        <f>IF(F2&lt;&gt;"",IF(LEN(F2)&gt;=6,LEFT(F2,6),LEFT(F2&amp;"000000",6)),"")</f>
        <v>110110</v>
      </c>
      <c r="H2">
        <f>IF(G2&lt;&gt;"",BIN2DEC(G2),"")</f>
        <v>54</v>
      </c>
      <c r="I2" s="552" t="str" cm="1">
        <f t="array" ref="I2">IF(H2&lt;&gt;"",INDEX($B$2:$B$66,H2+1),"")</f>
        <v>2</v>
      </c>
      <c r="J2" s="554">
        <f t="shared" ref="J2:J27" si="0">IF(D2&lt;&gt;"",D2,"")</f>
        <v>6</v>
      </c>
      <c r="K2" t="str">
        <f>J1</f>
        <v>2AJa</v>
      </c>
      <c r="L2" s="2" t="str">
        <f>LEFT(K2,1)</f>
        <v>2</v>
      </c>
      <c r="M2" t="b">
        <f>IF(L2&lt;&gt;"",EXACT(L2,UPPER(L2)),"")</f>
        <v>1</v>
      </c>
      <c r="N2" s="2">
        <f>IF(M2&lt;&gt;"",IF(M2,MATCH(L2,$B$2:$B$66,0)-1,MATCH(L2,$B$28:$B$66,0)+25),"")</f>
        <v>54</v>
      </c>
      <c r="O2" s="172" t="str">
        <f t="shared" ref="O2:O27" si="1">IF(N2&lt;&gt;"",DEC2BIN(N2,6),"")</f>
        <v>110110</v>
      </c>
      <c r="P2" s="177" t="str">
        <f>P1</f>
        <v>110110000000001001011010</v>
      </c>
      <c r="Q2" s="172" t="str">
        <f t="shared" ref="Q2:Q27" si="2">IF(J2&lt;&gt;"",LEFT(P2,J2),"")</f>
        <v>110110</v>
      </c>
      <c r="R2" s="553">
        <f>IF(Q2&lt;&gt;"",BIN2DEC(Q2),"")</f>
        <v>54</v>
      </c>
      <c r="S2" s="142" t="s">
        <v>57</v>
      </c>
      <c r="U2" s="7" t="s">
        <v>951</v>
      </c>
      <c r="V2" s="7" t="s">
        <v>951</v>
      </c>
      <c r="W2" s="7" t="s">
        <v>951</v>
      </c>
      <c r="X2" s="7" t="s">
        <v>951</v>
      </c>
      <c r="Y2" s="7" t="s">
        <v>952</v>
      </c>
      <c r="Z2" s="7" t="s">
        <v>952</v>
      </c>
      <c r="AA2" s="7" t="s">
        <v>952</v>
      </c>
      <c r="AB2" s="7" t="s">
        <v>952</v>
      </c>
      <c r="AC2" s="7" t="s">
        <v>953</v>
      </c>
      <c r="AD2" s="7" t="s">
        <v>953</v>
      </c>
      <c r="AE2" s="8"/>
      <c r="AF2" s="20" t="str" cm="1">
        <f t="array" ref="AF2">INDEX(U2:AD2,1,MAX(1,$AF$3))</f>
        <v>P_ST_O_D</v>
      </c>
      <c r="AG2" s="12"/>
      <c r="AH2" s="81" cm="1">
        <f t="array" ref="AH2">INDEX(U8:AD8,1,$AF$3)</f>
        <v>190</v>
      </c>
      <c r="AI2" s="12">
        <v>0</v>
      </c>
      <c r="AK2" s="155"/>
      <c r="AL2" s="155">
        <v>2</v>
      </c>
      <c r="AM2" s="155" t="str" cm="1">
        <f t="array" ref="AM2">INDEX(AM3:AM4,AL2)</f>
        <v>set</v>
      </c>
      <c r="AQ2" s="12">
        <f>IF(AQ3=1,1,INT(LOG(AQ3-1,2))+1)</f>
        <v>2</v>
      </c>
      <c r="AT2" s="12">
        <f>IF(AT3=1,1,INT(LOG(AT3-1,2))+1)</f>
        <v>3</v>
      </c>
      <c r="AW2" s="12">
        <f>IF(AW3=1,1,INT(LOG(AW3-1,2))+1)</f>
        <v>3</v>
      </c>
      <c r="AZ2" s="12">
        <f>IF(AZ3=1,1,INT(LOG(AZ3-1,2))+1)</f>
        <v>9</v>
      </c>
      <c r="BB2" s="8"/>
      <c r="BI2" s="12">
        <f>IF(BI3=1,1,INT(LOG(BI3-1,2))+1)</f>
        <v>6</v>
      </c>
      <c r="BK2" s="7" t="b">
        <f>OR(NOT(WebCntrl1),NOT(WebCntrl2),NOT(WebCntrl3),NOT(WebCntrl4),NOT(WebCntrl5))</f>
        <v>1</v>
      </c>
      <c r="BL2" s="193"/>
      <c r="BM2" s="193"/>
      <c r="BN2" s="193"/>
      <c r="BO2" s="193"/>
      <c r="BP2" s="193"/>
      <c r="BQ2" s="193"/>
      <c r="BR2" s="193"/>
      <c r="BS2" s="193"/>
      <c r="BT2" s="329"/>
      <c r="BU2" s="193"/>
      <c r="BV2" s="193"/>
      <c r="BW2" s="193"/>
      <c r="BX2" s="333"/>
      <c r="BY2" s="333"/>
      <c r="BZ2" s="333"/>
      <c r="CA2" s="333"/>
      <c r="CB2" s="333"/>
      <c r="CC2" s="333"/>
      <c r="CD2" s="333"/>
      <c r="CE2" s="333"/>
      <c r="CF2" s="333"/>
      <c r="CG2" s="333"/>
      <c r="CH2" s="333"/>
      <c r="CI2" s="333"/>
      <c r="CJ2" s="333"/>
      <c r="CK2" s="333"/>
      <c r="CL2" s="333"/>
      <c r="CM2" s="333"/>
      <c r="CN2" s="333"/>
      <c r="CO2" s="333"/>
      <c r="CP2" s="336"/>
      <c r="EA2" t="e" vm="10">
        <v>#VALUE!</v>
      </c>
      <c r="EB2" t="e" vm="11">
        <v>#VALUE!</v>
      </c>
      <c r="EC2" t="e" vm="12">
        <v>#VALUE!</v>
      </c>
      <c r="ED2" t="e" vm="13">
        <v>#VALUE!</v>
      </c>
      <c r="EE2" t="e" vm="14">
        <v>#VALUE!</v>
      </c>
      <c r="EF2" t="e" vm="15">
        <v>#VALUE!</v>
      </c>
      <c r="EG2" t="e" vm="16">
        <v>#VALUE!</v>
      </c>
      <c r="EH2" t="e" vm="17">
        <v>#VALUE!</v>
      </c>
      <c r="EI2" t="e" vm="18">
        <v>#VALUE!</v>
      </c>
      <c r="EJ2" t="e" vm="19">
        <v>#VALUE!</v>
      </c>
      <c r="EK2" t="e" vm="20">
        <v>#VALUE!</v>
      </c>
      <c r="EL2" t="e" vm="21">
        <v>#VALUE!</v>
      </c>
      <c r="EM2" t="e" vm="22">
        <v>#VALUE!</v>
      </c>
      <c r="EN2" t="e" vm="23">
        <v>#VALUE!</v>
      </c>
      <c r="EO2" t="e" vm="24">
        <v>#VALUE!</v>
      </c>
      <c r="EP2" t="e" vm="25">
        <v>#VALUE!</v>
      </c>
      <c r="EQ2" t="e" vm="26">
        <v>#VALUE!</v>
      </c>
      <c r="ER2" t="e" vm="27">
        <v>#VALUE!</v>
      </c>
      <c r="ES2" t="e" vm="28">
        <v>#VALUE!</v>
      </c>
      <c r="ET2" t="e" vm="29">
        <v>#VALUE!</v>
      </c>
      <c r="EU2" t="e" vm="30">
        <v>#VALUE!</v>
      </c>
      <c r="EV2" t="e" vm="31">
        <v>#VALUE!</v>
      </c>
      <c r="EW2" t="e" vm="32">
        <v>#VALUE!</v>
      </c>
      <c r="EX2" t="e" vm="33">
        <v>#VALUE!</v>
      </c>
      <c r="EY2" t="e" vm="34">
        <v>#VALUE!</v>
      </c>
      <c r="EZ2" t="e" vm="35">
        <v>#VALUE!</v>
      </c>
      <c r="FA2" t="e" vm="36">
        <v>#VALUE!</v>
      </c>
      <c r="FB2" t="e" vm="37">
        <v>#VALUE!</v>
      </c>
      <c r="FC2" t="e" vm="38">
        <v>#VALUE!</v>
      </c>
      <c r="FD2" t="e" vm="39">
        <v>#VALUE!</v>
      </c>
      <c r="FE2" t="e" vm="40">
        <v>#VALUE!</v>
      </c>
      <c r="FF2" t="e" vm="41">
        <v>#VALUE!</v>
      </c>
      <c r="FG2" t="e" vm="42">
        <v>#VALUE!</v>
      </c>
      <c r="FH2" t="e" vm="43">
        <v>#VALUE!</v>
      </c>
      <c r="FI2" t="e" vm="44">
        <v>#VALUE!</v>
      </c>
      <c r="FJ2" t="e" vm="45">
        <v>#VALUE!</v>
      </c>
      <c r="FK2" t="e" vm="46">
        <v>#VALUE!</v>
      </c>
      <c r="FL2" t="e" vm="47">
        <v>#VALUE!</v>
      </c>
      <c r="FM2" t="e" vm="48">
        <v>#VALUE!</v>
      </c>
      <c r="FN2" t="e" vm="49">
        <v>#VALUE!</v>
      </c>
      <c r="FO2" t="e" vm="50">
        <v>#VALUE!</v>
      </c>
      <c r="FP2" t="e" vm="51">
        <v>#VALUE!</v>
      </c>
      <c r="FQ2" t="e" vm="52">
        <v>#VALUE!</v>
      </c>
      <c r="FR2" t="e" vm="53">
        <v>#VALUE!</v>
      </c>
      <c r="FS2" t="e" vm="54">
        <v>#VALUE!</v>
      </c>
      <c r="FT2" t="e" vm="55">
        <v>#VALUE!</v>
      </c>
      <c r="FU2" t="e" vm="56">
        <v>#VALUE!</v>
      </c>
      <c r="FV2" t="e" vm="57">
        <v>#VALUE!</v>
      </c>
      <c r="FW2" t="e" vm="58">
        <v>#VALUE!</v>
      </c>
      <c r="FX2" t="e" vm="59">
        <v>#VALUE!</v>
      </c>
    </row>
    <row r="3" spans="1:180" ht="15.75" customHeight="1">
      <c r="A3">
        <v>2</v>
      </c>
      <c r="B3" t="s">
        <v>7</v>
      </c>
      <c r="C3" s="142">
        <f>Cntrl4-1</f>
        <v>1</v>
      </c>
      <c r="D3" s="559">
        <f>AZ2</f>
        <v>9</v>
      </c>
      <c r="E3" s="172" t="str">
        <f t="shared" ref="E3:E27" si="3">IF(C3&lt;&gt;"",RIGHT("0000000000"&amp;TEXT(DEC2BIN(C3,D3),"0"),D3),"")</f>
        <v>000000001</v>
      </c>
      <c r="F3" s="555" t="str">
        <f t="shared" ref="F3:F14" si="4">IF(LEN(F2)&gt;=6,RIGHT(F2,LEN(F2)-6),"")</f>
        <v>00000000100101101</v>
      </c>
      <c r="G3" s="172" t="str">
        <f t="shared" ref="G3:G27" si="5">IF(F3&lt;&gt;"",IF(LEN(F3)&gt;=6,LEFT(F3,6),LEFT(F3&amp;"000000",6)),"")</f>
        <v>000000</v>
      </c>
      <c r="H3">
        <f t="shared" ref="H3:H27" si="6">IF(G3&lt;&gt;"",BIN2DEC(G3),"")</f>
        <v>0</v>
      </c>
      <c r="I3" s="552" t="str" cm="1">
        <f t="array" ref="I3">IF(H3&lt;&gt;"",INDEX($B$2:$B$66,H3+1),"")</f>
        <v>A</v>
      </c>
      <c r="J3" s="554">
        <f t="shared" si="0"/>
        <v>9</v>
      </c>
      <c r="K3" t="str">
        <f t="shared" ref="K3:K11" si="7">IF(LEN(K2)&gt;1,RIGHT(K2,LEN(K2)-1),"")</f>
        <v>AJa</v>
      </c>
      <c r="L3" s="2" t="str">
        <f t="shared" ref="L3:L27" si="8">LEFT(K3,1)</f>
        <v>A</v>
      </c>
      <c r="M3" t="b">
        <f t="shared" ref="M3:M27" si="9">IF(L3&lt;&gt;"",EXACT(L3,UPPER(L3)),"")</f>
        <v>1</v>
      </c>
      <c r="N3" s="2">
        <f t="shared" ref="N3:N27" si="10">IF(M3&lt;&gt;"",IF(M3,MATCH(L3,$B$2:$B$66,0)-1,MATCH(L3,$B$28:$B$66,0)+25),"")</f>
        <v>0</v>
      </c>
      <c r="O3" s="172" t="str">
        <f t="shared" si="1"/>
        <v>000000</v>
      </c>
      <c r="P3" s="177" t="str">
        <f t="shared" ref="P3:P26" si="11">IF(J3&lt;&gt;"",RIGHT(P2,LEN(P2)-J2),"")</f>
        <v>000000001001011010</v>
      </c>
      <c r="Q3" s="172" t="str">
        <f t="shared" si="2"/>
        <v>000000001</v>
      </c>
      <c r="R3" s="553">
        <f t="shared" ref="R3:R27" si="12">IF(Q3&lt;&gt;"",BIN2DEC(Q3),"")</f>
        <v>1</v>
      </c>
      <c r="S3" s="142" t="s">
        <v>89</v>
      </c>
      <c r="U3" s="9"/>
      <c r="V3" s="9"/>
      <c r="W3" s="9"/>
      <c r="X3" s="9"/>
      <c r="Y3" s="9"/>
      <c r="Z3" s="9"/>
      <c r="AA3" s="9"/>
      <c r="AB3" s="9"/>
      <c r="AC3" s="9"/>
      <c r="AD3" s="9"/>
      <c r="AE3" s="9"/>
      <c r="AF3" s="9">
        <f>(AU17-1)*2+AR17</f>
        <v>5</v>
      </c>
      <c r="AG3" s="9"/>
      <c r="AH3" s="9"/>
      <c r="AI3" s="9"/>
      <c r="AK3" s="155"/>
      <c r="AL3" s="155">
        <v>1</v>
      </c>
      <c r="AM3" s="155" t="s">
        <v>578</v>
      </c>
      <c r="AQ3" s="12">
        <v>3</v>
      </c>
      <c r="AT3" s="12">
        <v>6</v>
      </c>
      <c r="AW3" s="12">
        <v>6</v>
      </c>
      <c r="AZ3" s="12">
        <v>452</v>
      </c>
      <c r="BI3" s="12">
        <v>64</v>
      </c>
      <c r="BL3" s="193" t="s">
        <v>9</v>
      </c>
      <c r="BM3" s="207"/>
      <c r="BN3" s="193"/>
      <c r="BO3" s="193"/>
      <c r="BP3" s="200" t="s">
        <v>10</v>
      </c>
      <c r="BQ3" s="193"/>
      <c r="BR3" s="250">
        <v>65</v>
      </c>
      <c r="BS3" s="193"/>
      <c r="BT3" s="260"/>
      <c r="BU3" s="193"/>
      <c r="BV3" s="193"/>
      <c r="BW3" s="199"/>
      <c r="BX3" s="333"/>
      <c r="BY3" s="333"/>
      <c r="BZ3" s="333"/>
      <c r="CA3" s="333"/>
      <c r="CB3" s="333"/>
      <c r="CC3" s="333"/>
      <c r="CD3" s="333"/>
      <c r="CE3" s="333"/>
      <c r="CF3" s="333"/>
      <c r="CG3" s="333"/>
      <c r="CH3" s="333"/>
      <c r="CI3" s="424"/>
      <c r="CJ3" s="333"/>
      <c r="CK3" s="333"/>
      <c r="CL3" s="333"/>
      <c r="CM3" s="333"/>
      <c r="CN3" s="333"/>
      <c r="CO3" s="333"/>
      <c r="CP3" s="336"/>
      <c r="EA3" t="e" vm="60">
        <v>#VALUE!</v>
      </c>
      <c r="EB3" t="e" vm="61">
        <v>#VALUE!</v>
      </c>
      <c r="EC3" t="e" vm="62">
        <v>#VALUE!</v>
      </c>
      <c r="ED3" t="e" vm="63">
        <v>#VALUE!</v>
      </c>
      <c r="EE3" t="e" vm="64">
        <v>#VALUE!</v>
      </c>
      <c r="EF3" t="e" vm="65">
        <v>#VALUE!</v>
      </c>
      <c r="EG3" t="e" vm="66">
        <v>#VALUE!</v>
      </c>
      <c r="EH3" t="e" vm="67">
        <v>#VALUE!</v>
      </c>
      <c r="EI3" t="e" vm="68">
        <v>#VALUE!</v>
      </c>
      <c r="EJ3" t="e" vm="69">
        <v>#VALUE!</v>
      </c>
      <c r="EK3" t="e" vm="70">
        <v>#VALUE!</v>
      </c>
      <c r="EL3" t="e" vm="71">
        <v>#VALUE!</v>
      </c>
      <c r="EM3" t="e" vm="72">
        <v>#VALUE!</v>
      </c>
      <c r="EN3" t="e" vm="73">
        <v>#VALUE!</v>
      </c>
      <c r="EO3" t="e" vm="74">
        <v>#VALUE!</v>
      </c>
      <c r="EP3" t="e" vm="75">
        <v>#VALUE!</v>
      </c>
      <c r="EQ3" t="e" vm="76">
        <v>#VALUE!</v>
      </c>
      <c r="ER3" t="e" vm="77">
        <v>#VALUE!</v>
      </c>
      <c r="ES3" t="e" vm="78">
        <v>#VALUE!</v>
      </c>
      <c r="ET3" t="e" vm="79">
        <v>#VALUE!</v>
      </c>
      <c r="EU3" t="e" vm="80">
        <v>#VALUE!</v>
      </c>
      <c r="EV3" t="e" vm="81">
        <v>#VALUE!</v>
      </c>
      <c r="EW3" t="e" vm="82">
        <v>#VALUE!</v>
      </c>
      <c r="EX3" t="e" vm="83">
        <v>#VALUE!</v>
      </c>
      <c r="EY3" t="e" vm="84">
        <v>#VALUE!</v>
      </c>
      <c r="EZ3" t="e" vm="85">
        <v>#VALUE!</v>
      </c>
      <c r="FA3" t="e" vm="86">
        <v>#VALUE!</v>
      </c>
      <c r="FB3" t="e" vm="87">
        <v>#VALUE!</v>
      </c>
      <c r="FC3" t="e" vm="88">
        <v>#VALUE!</v>
      </c>
      <c r="FD3" t="e" vm="89">
        <v>#VALUE!</v>
      </c>
      <c r="FE3" t="e" vm="90">
        <v>#VALUE!</v>
      </c>
      <c r="FF3" t="e" vm="91">
        <v>#VALUE!</v>
      </c>
      <c r="FG3" t="e" vm="92">
        <v>#VALUE!</v>
      </c>
      <c r="FH3" t="e" vm="93">
        <v>#VALUE!</v>
      </c>
      <c r="FI3" t="e" vm="94">
        <v>#VALUE!</v>
      </c>
      <c r="FJ3" t="e" vm="95">
        <v>#VALUE!</v>
      </c>
      <c r="FK3" t="e" vm="96">
        <v>#VALUE!</v>
      </c>
      <c r="FL3" t="e" vm="97">
        <v>#VALUE!</v>
      </c>
      <c r="FM3" t="e" vm="98">
        <v>#VALUE!</v>
      </c>
      <c r="FN3" t="e" vm="99">
        <v>#VALUE!</v>
      </c>
      <c r="FO3" t="e" vm="100">
        <v>#VALUE!</v>
      </c>
      <c r="FP3" t="e" vm="101">
        <v>#VALUE!</v>
      </c>
      <c r="FQ3" t="e" vm="102">
        <v>#VALUE!</v>
      </c>
      <c r="FR3" t="e" vm="103">
        <v>#VALUE!</v>
      </c>
      <c r="FS3" t="e" vm="104">
        <v>#VALUE!</v>
      </c>
      <c r="FT3" t="e" vm="105">
        <v>#VALUE!</v>
      </c>
      <c r="FU3" t="e" vm="106">
        <v>#VALUE!</v>
      </c>
      <c r="FV3" t="e" vm="107">
        <v>#VALUE!</v>
      </c>
      <c r="FW3" t="e" vm="108">
        <v>#VALUE!</v>
      </c>
      <c r="FX3" t="e" vm="109">
        <v>#VALUE!</v>
      </c>
    </row>
    <row r="4" spans="1:180" ht="15" customHeight="1">
      <c r="A4">
        <v>3</v>
      </c>
      <c r="B4" t="s">
        <v>11</v>
      </c>
      <c r="C4" s="142">
        <f>Cntrl3-1</f>
        <v>1</v>
      </c>
      <c r="D4" s="559">
        <f>AW2</f>
        <v>3</v>
      </c>
      <c r="E4" s="172" t="str">
        <f t="shared" si="3"/>
        <v>001</v>
      </c>
      <c r="F4" s="555" t="str">
        <f t="shared" si="4"/>
        <v>00100101101</v>
      </c>
      <c r="G4" s="172" t="str">
        <f t="shared" si="5"/>
        <v>001001</v>
      </c>
      <c r="H4">
        <f t="shared" si="6"/>
        <v>9</v>
      </c>
      <c r="I4" s="552" t="str" cm="1">
        <f t="array" ref="I4">IF(H4&lt;&gt;"",INDEX($B$2:$B$66,H4+1),"")</f>
        <v>J</v>
      </c>
      <c r="J4" s="554">
        <f t="shared" si="0"/>
        <v>3</v>
      </c>
      <c r="K4" t="str">
        <f t="shared" si="7"/>
        <v>Ja</v>
      </c>
      <c r="L4" s="2" t="str">
        <f t="shared" si="8"/>
        <v>J</v>
      </c>
      <c r="M4" t="b">
        <f t="shared" si="9"/>
        <v>1</v>
      </c>
      <c r="N4" s="2">
        <f t="shared" si="10"/>
        <v>9</v>
      </c>
      <c r="O4" s="172" t="str">
        <f t="shared" si="1"/>
        <v>001001</v>
      </c>
      <c r="P4" s="177" t="str">
        <f t="shared" si="11"/>
        <v>001011010</v>
      </c>
      <c r="Q4" s="172" t="str">
        <f t="shared" si="2"/>
        <v>001</v>
      </c>
      <c r="R4" s="553">
        <f t="shared" si="12"/>
        <v>1</v>
      </c>
      <c r="S4" s="142" t="s">
        <v>67</v>
      </c>
      <c r="U4" s="18"/>
      <c r="V4" s="18"/>
      <c r="W4" s="18"/>
      <c r="X4" s="18"/>
      <c r="Y4" s="18"/>
      <c r="Z4" s="18"/>
      <c r="AA4" s="18"/>
      <c r="AB4" s="18"/>
      <c r="AC4" s="18"/>
      <c r="AD4" s="18"/>
      <c r="AE4" s="18"/>
      <c r="AF4" s="18"/>
      <c r="AG4" s="63" t="s">
        <v>212</v>
      </c>
      <c r="AH4" s="63" t="s">
        <v>219</v>
      </c>
      <c r="AI4" s="63" t="s">
        <v>226</v>
      </c>
      <c r="AK4" s="155"/>
      <c r="AL4" s="155">
        <v>2</v>
      </c>
      <c r="AM4" s="155" t="s">
        <v>580</v>
      </c>
      <c r="BL4" s="193" t="s">
        <v>13</v>
      </c>
      <c r="BM4" s="207"/>
      <c r="BN4" s="193"/>
      <c r="BO4" s="193"/>
      <c r="BP4" s="193"/>
      <c r="BQ4" s="193"/>
      <c r="BR4" s="241" t="s">
        <v>14</v>
      </c>
      <c r="BS4" s="242" t="s">
        <v>15</v>
      </c>
      <c r="BT4" s="327">
        <f>INT(BR3/BR5*10+0.5)/10000</f>
        <v>6.5000000000000002E-2</v>
      </c>
      <c r="BU4" s="198" t="s">
        <v>16</v>
      </c>
      <c r="BV4" s="199"/>
      <c r="BW4" s="199"/>
      <c r="BX4" s="333"/>
      <c r="BY4" s="333"/>
      <c r="BZ4" s="333"/>
      <c r="CA4" s="333"/>
      <c r="CB4" s="333"/>
      <c r="CC4" s="333"/>
      <c r="CD4" s="333"/>
      <c r="CE4" s="333"/>
      <c r="CF4" s="333"/>
      <c r="CG4" s="333" t="s">
        <v>954</v>
      </c>
      <c r="CH4" s="333"/>
      <c r="CI4" s="333"/>
      <c r="CJ4" s="333"/>
      <c r="CK4" s="333"/>
      <c r="CL4" s="333"/>
      <c r="CM4" s="333"/>
      <c r="CN4" s="333"/>
      <c r="CO4" s="333"/>
      <c r="CP4" s="336"/>
      <c r="EA4" t="e" vm="110">
        <v>#VALUE!</v>
      </c>
      <c r="EB4" t="e" vm="111">
        <v>#VALUE!</v>
      </c>
      <c r="EC4" t="e" vm="112">
        <v>#VALUE!</v>
      </c>
      <c r="ED4" t="e" vm="113">
        <v>#VALUE!</v>
      </c>
      <c r="EE4" t="e" vm="114">
        <v>#VALUE!</v>
      </c>
      <c r="EF4" t="e" vm="115">
        <v>#VALUE!</v>
      </c>
      <c r="EG4" t="e" vm="116">
        <v>#VALUE!</v>
      </c>
      <c r="EH4" t="e" vm="117">
        <v>#VALUE!</v>
      </c>
      <c r="EI4" t="e" vm="118">
        <v>#VALUE!</v>
      </c>
      <c r="EJ4" t="e" vm="119">
        <v>#VALUE!</v>
      </c>
      <c r="EK4" t="e" vm="120">
        <v>#VALUE!</v>
      </c>
      <c r="EL4" t="e" vm="121">
        <v>#VALUE!</v>
      </c>
      <c r="EM4" t="e" vm="122">
        <v>#VALUE!</v>
      </c>
      <c r="EN4" t="e" vm="123">
        <v>#VALUE!</v>
      </c>
      <c r="EO4" t="e" vm="124">
        <v>#VALUE!</v>
      </c>
      <c r="EP4" t="e" vm="125">
        <v>#VALUE!</v>
      </c>
      <c r="EQ4" t="e" vm="126">
        <v>#VALUE!</v>
      </c>
      <c r="ER4" t="e" vm="127">
        <v>#VALUE!</v>
      </c>
      <c r="ES4" t="e" vm="128">
        <v>#VALUE!</v>
      </c>
      <c r="ET4" t="e" vm="129">
        <v>#VALUE!</v>
      </c>
      <c r="EU4" t="e" vm="130">
        <v>#VALUE!</v>
      </c>
      <c r="EV4" t="e" vm="131">
        <v>#VALUE!</v>
      </c>
      <c r="EW4" t="e" vm="132">
        <v>#VALUE!</v>
      </c>
      <c r="EX4" t="e" vm="133">
        <v>#VALUE!</v>
      </c>
      <c r="EY4" t="e" vm="134">
        <v>#VALUE!</v>
      </c>
      <c r="EZ4" t="e" vm="135">
        <v>#VALUE!</v>
      </c>
      <c r="FA4" t="e" vm="136">
        <v>#VALUE!</v>
      </c>
      <c r="FB4" t="e" vm="137">
        <v>#VALUE!</v>
      </c>
      <c r="FC4" t="e" vm="138">
        <v>#VALUE!</v>
      </c>
      <c r="FD4" t="e" vm="139">
        <v>#VALUE!</v>
      </c>
      <c r="FE4" t="e" vm="140">
        <v>#VALUE!</v>
      </c>
      <c r="FF4" t="e" vm="141">
        <v>#VALUE!</v>
      </c>
      <c r="FG4" t="e" vm="142">
        <v>#VALUE!</v>
      </c>
      <c r="FH4" t="e" vm="143">
        <v>#VALUE!</v>
      </c>
      <c r="FI4" t="e" vm="144">
        <v>#VALUE!</v>
      </c>
      <c r="FJ4" t="e" vm="145">
        <v>#VALUE!</v>
      </c>
      <c r="FK4" t="e" vm="146">
        <v>#VALUE!</v>
      </c>
      <c r="FL4" t="e" vm="147">
        <v>#VALUE!</v>
      </c>
      <c r="FM4" t="e" vm="148">
        <v>#VALUE!</v>
      </c>
      <c r="FN4" t="e" vm="149">
        <v>#VALUE!</v>
      </c>
      <c r="FO4" t="e" vm="150">
        <v>#VALUE!</v>
      </c>
      <c r="FP4" t="e" vm="151">
        <v>#VALUE!</v>
      </c>
      <c r="FQ4" t="e" vm="152">
        <v>#VALUE!</v>
      </c>
      <c r="FR4" t="e" vm="153">
        <v>#VALUE!</v>
      </c>
      <c r="FS4" t="e" vm="154">
        <v>#VALUE!</v>
      </c>
      <c r="FT4" t="e" vm="155">
        <v>#VALUE!</v>
      </c>
      <c r="FU4" t="e" vm="156">
        <v>#VALUE!</v>
      </c>
      <c r="FV4" t="e" vm="157">
        <v>#VALUE!</v>
      </c>
      <c r="FW4" t="e" vm="158">
        <v>#VALUE!</v>
      </c>
      <c r="FX4" t="e" vm="159">
        <v>#VALUE!</v>
      </c>
    </row>
    <row r="5" spans="1:180" ht="15.75" customHeight="1">
      <c r="A5">
        <v>4</v>
      </c>
      <c r="B5" t="s">
        <v>17</v>
      </c>
      <c r="C5" s="142">
        <f>Cntrl1-1</f>
        <v>3</v>
      </c>
      <c r="D5" s="559">
        <f>AT2</f>
        <v>3</v>
      </c>
      <c r="E5" s="172" t="str">
        <f t="shared" si="3"/>
        <v>011</v>
      </c>
      <c r="F5" s="555" t="str">
        <f t="shared" si="4"/>
        <v>01101</v>
      </c>
      <c r="G5" s="172" t="str">
        <f t="shared" si="5"/>
        <v>011010</v>
      </c>
      <c r="H5">
        <f t="shared" si="6"/>
        <v>26</v>
      </c>
      <c r="I5" s="552" t="str" cm="1">
        <f t="array" ref="I5">IF(H5&lt;&gt;"",INDEX($B$2:$B$66,H5+1),"")</f>
        <v>a</v>
      </c>
      <c r="J5" s="554">
        <f t="shared" si="0"/>
        <v>3</v>
      </c>
      <c r="K5" t="str">
        <f t="shared" si="7"/>
        <v>a</v>
      </c>
      <c r="L5" s="2" t="str">
        <f t="shared" si="8"/>
        <v>a</v>
      </c>
      <c r="M5" t="b">
        <f t="shared" si="9"/>
        <v>0</v>
      </c>
      <c r="N5" s="2">
        <f t="shared" si="10"/>
        <v>26</v>
      </c>
      <c r="O5" s="172" t="str">
        <f t="shared" si="1"/>
        <v>011010</v>
      </c>
      <c r="P5" s="177" t="str">
        <f t="shared" si="11"/>
        <v>011010</v>
      </c>
      <c r="Q5" s="172" t="str">
        <f t="shared" si="2"/>
        <v>011</v>
      </c>
      <c r="R5" s="553">
        <f t="shared" si="12"/>
        <v>3</v>
      </c>
      <c r="S5" s="142" t="s">
        <v>76</v>
      </c>
      <c r="U5" s="8"/>
      <c r="V5" s="8"/>
      <c r="W5" s="8"/>
      <c r="X5" s="8"/>
      <c r="Y5" s="8"/>
      <c r="Z5" s="8"/>
      <c r="AA5" s="8"/>
      <c r="AB5" s="8"/>
      <c r="AC5" s="8"/>
      <c r="AD5" s="8"/>
      <c r="AE5" s="8"/>
      <c r="AG5" s="63">
        <f t="shared" ref="AG5:AG13" si="13">AF14</f>
        <v>-2.4731656975550135E-2</v>
      </c>
      <c r="AH5" s="63">
        <f t="shared" ref="AH5:AH13" si="14">AF23</f>
        <v>-4.5351473922900058E-2</v>
      </c>
      <c r="AI5" s="63">
        <f t="shared" ref="AI5:AI13" si="15">AF32</f>
        <v>-1.3742431046412667E-2</v>
      </c>
      <c r="BB5" s="12"/>
      <c r="BL5" s="193" t="s">
        <v>29</v>
      </c>
      <c r="BM5" s="207"/>
      <c r="BN5" s="193"/>
      <c r="BO5" s="193"/>
      <c r="BP5" s="200" t="s">
        <v>30</v>
      </c>
      <c r="BQ5" s="193"/>
      <c r="BR5" s="368">
        <v>1</v>
      </c>
      <c r="BS5" s="193"/>
      <c r="BT5" s="259"/>
      <c r="BU5" s="201"/>
      <c r="BV5" s="199"/>
      <c r="BW5" s="199"/>
      <c r="BX5" s="333"/>
      <c r="BY5" s="333"/>
      <c r="BZ5" s="333"/>
      <c r="CA5" s="333"/>
      <c r="CB5" s="333"/>
      <c r="CC5" s="333"/>
      <c r="CD5" s="333"/>
      <c r="CE5" s="333"/>
      <c r="CF5" s="333"/>
      <c r="CG5" s="333" t="s">
        <v>955</v>
      </c>
      <c r="CH5" s="333"/>
      <c r="CI5" s="333"/>
      <c r="CJ5" s="333"/>
      <c r="CK5" s="333"/>
      <c r="CL5" s="333"/>
      <c r="CM5" s="333"/>
      <c r="CN5" s="333"/>
      <c r="CO5" s="333"/>
      <c r="CP5" s="336"/>
      <c r="EA5" t="e" vm="160">
        <v>#VALUE!</v>
      </c>
      <c r="EB5" t="e" vm="161">
        <v>#VALUE!</v>
      </c>
      <c r="EC5" t="e" vm="162">
        <v>#VALUE!</v>
      </c>
      <c r="ED5" t="e" vm="163">
        <v>#VALUE!</v>
      </c>
      <c r="EE5" t="e" vm="164">
        <v>#VALUE!</v>
      </c>
      <c r="EF5" t="e" vm="165">
        <v>#VALUE!</v>
      </c>
      <c r="EG5" t="e" vm="166">
        <v>#VALUE!</v>
      </c>
      <c r="EH5" t="e" vm="167">
        <v>#VALUE!</v>
      </c>
      <c r="EI5" t="e" vm="168">
        <v>#VALUE!</v>
      </c>
      <c r="EJ5" t="e" vm="169">
        <v>#VALUE!</v>
      </c>
      <c r="EK5" t="e" vm="170">
        <v>#VALUE!</v>
      </c>
      <c r="EL5" t="e" vm="171">
        <v>#VALUE!</v>
      </c>
      <c r="EM5" t="e" vm="172">
        <v>#VALUE!</v>
      </c>
      <c r="EN5" t="e" vm="173">
        <v>#VALUE!</v>
      </c>
      <c r="EO5" t="e" vm="174">
        <v>#VALUE!</v>
      </c>
      <c r="EP5" t="e" vm="175">
        <v>#VALUE!</v>
      </c>
      <c r="EQ5" t="e" vm="176">
        <v>#VALUE!</v>
      </c>
      <c r="ER5" t="e" vm="177">
        <v>#VALUE!</v>
      </c>
      <c r="ES5" t="e" vm="178">
        <v>#VALUE!</v>
      </c>
      <c r="ET5" t="e" vm="179">
        <v>#VALUE!</v>
      </c>
      <c r="EU5" t="e" vm="180">
        <v>#VALUE!</v>
      </c>
      <c r="EV5" t="e" vm="181">
        <v>#VALUE!</v>
      </c>
      <c r="EW5" t="e" vm="182">
        <v>#VALUE!</v>
      </c>
      <c r="EX5" t="e" vm="183">
        <v>#VALUE!</v>
      </c>
      <c r="EY5" t="e" vm="184">
        <v>#VALUE!</v>
      </c>
      <c r="EZ5" t="e" vm="185">
        <v>#VALUE!</v>
      </c>
      <c r="FA5" t="e" vm="186">
        <v>#VALUE!</v>
      </c>
      <c r="FB5" t="e" vm="187">
        <v>#VALUE!</v>
      </c>
      <c r="FC5" t="e" vm="188">
        <v>#VALUE!</v>
      </c>
      <c r="FD5" t="e" vm="189">
        <v>#VALUE!</v>
      </c>
      <c r="FE5" t="e" vm="190">
        <v>#VALUE!</v>
      </c>
      <c r="FF5" t="e" vm="191">
        <v>#VALUE!</v>
      </c>
      <c r="FG5" t="e" vm="192">
        <v>#VALUE!</v>
      </c>
      <c r="FH5" t="e" vm="193">
        <v>#VALUE!</v>
      </c>
      <c r="FI5" t="e" vm="194">
        <v>#VALUE!</v>
      </c>
      <c r="FJ5" t="e" vm="195">
        <v>#VALUE!</v>
      </c>
      <c r="FK5" t="e" vm="196">
        <v>#VALUE!</v>
      </c>
      <c r="FL5" t="e" vm="197">
        <v>#VALUE!</v>
      </c>
      <c r="FM5" t="e" vm="198">
        <v>#VALUE!</v>
      </c>
      <c r="FN5" t="e" vm="199">
        <v>#VALUE!</v>
      </c>
      <c r="FO5" t="e" vm="200">
        <v>#VALUE!</v>
      </c>
      <c r="FP5" t="e" vm="201">
        <v>#VALUE!</v>
      </c>
      <c r="FQ5" t="e" vm="202">
        <v>#VALUE!</v>
      </c>
      <c r="FR5" t="e" vm="203">
        <v>#VALUE!</v>
      </c>
      <c r="FS5" t="e" vm="204">
        <v>#VALUE!</v>
      </c>
      <c r="FT5" t="e" vm="205">
        <v>#VALUE!</v>
      </c>
      <c r="FU5" t="e" vm="206">
        <v>#VALUE!</v>
      </c>
      <c r="FV5" t="e" vm="207">
        <v>#VALUE!</v>
      </c>
      <c r="FW5" t="e" vm="208">
        <v>#VALUE!</v>
      </c>
      <c r="FX5" t="e" vm="209">
        <v>#VALUE!</v>
      </c>
    </row>
    <row r="6" spans="1:180">
      <c r="A6">
        <v>5</v>
      </c>
      <c r="B6" t="s">
        <v>31</v>
      </c>
      <c r="C6" s="142">
        <f>Cntrl2-1</f>
        <v>1</v>
      </c>
      <c r="D6" s="559">
        <f>AQ2</f>
        <v>2</v>
      </c>
      <c r="E6" s="172" t="str">
        <f t="shared" si="3"/>
        <v>01</v>
      </c>
      <c r="F6" s="555" t="str">
        <f t="shared" si="4"/>
        <v/>
      </c>
      <c r="G6" s="172" t="str">
        <f t="shared" si="5"/>
        <v/>
      </c>
      <c r="H6" t="str">
        <f t="shared" si="6"/>
        <v/>
      </c>
      <c r="I6" s="552" t="str" cm="1">
        <f t="array" ref="I6">IF(H6&lt;&gt;"",INDEX($B$2:$B$66,H6+1),"")</f>
        <v/>
      </c>
      <c r="J6" s="554">
        <f t="shared" si="0"/>
        <v>2</v>
      </c>
      <c r="K6" t="str">
        <f t="shared" si="7"/>
        <v/>
      </c>
      <c r="L6" s="2" t="str">
        <f t="shared" si="8"/>
        <v/>
      </c>
      <c r="M6" t="str">
        <f t="shared" si="9"/>
        <v/>
      </c>
      <c r="N6" s="2" t="str">
        <f t="shared" si="10"/>
        <v/>
      </c>
      <c r="O6" s="172" t="str">
        <f t="shared" si="1"/>
        <v/>
      </c>
      <c r="P6" s="177" t="str">
        <f t="shared" si="11"/>
        <v>010</v>
      </c>
      <c r="Q6" s="172" t="str">
        <f t="shared" si="2"/>
        <v>01</v>
      </c>
      <c r="R6" s="553">
        <f t="shared" si="12"/>
        <v>1</v>
      </c>
      <c r="S6" s="142" t="s">
        <v>83</v>
      </c>
      <c r="U6" s="82" t="s">
        <v>956</v>
      </c>
      <c r="V6" s="82" t="s">
        <v>957</v>
      </c>
      <c r="W6" s="84" t="s">
        <v>958</v>
      </c>
      <c r="X6" s="85" t="s">
        <v>958</v>
      </c>
      <c r="Y6" s="84" t="s">
        <v>959</v>
      </c>
      <c r="Z6" s="85" t="s">
        <v>960</v>
      </c>
      <c r="AA6" s="84" t="s">
        <v>961</v>
      </c>
      <c r="AB6" s="85" t="s">
        <v>962</v>
      </c>
      <c r="AC6" s="82" t="s">
        <v>963</v>
      </c>
      <c r="AD6" s="85" t="s">
        <v>964</v>
      </c>
      <c r="AF6" s="12"/>
      <c r="AG6" s="63">
        <f t="shared" si="13"/>
        <v>3.5750337559835109E-2</v>
      </c>
      <c r="AH6" s="63">
        <f t="shared" si="14"/>
        <v>5.9637188208614383E-2</v>
      </c>
      <c r="AI6" s="63">
        <f t="shared" si="15"/>
        <v>3.6582128328812309E-2</v>
      </c>
      <c r="AM6" s="64"/>
      <c r="AN6" s="9"/>
      <c r="BB6" s="9"/>
      <c r="BL6" s="193"/>
      <c r="BM6" s="193"/>
      <c r="BN6" s="193"/>
      <c r="BO6" s="193"/>
      <c r="BP6" s="193"/>
      <c r="BQ6" s="193"/>
      <c r="BR6" s="193"/>
      <c r="BS6" s="193"/>
      <c r="BT6" s="199"/>
      <c r="BU6" s="199"/>
      <c r="BV6" s="199"/>
      <c r="BW6" s="199"/>
      <c r="BX6" s="333"/>
      <c r="BY6" s="333"/>
      <c r="BZ6" s="333"/>
      <c r="CA6" s="333"/>
      <c r="CB6" s="333"/>
      <c r="CC6" s="333"/>
      <c r="CD6" s="333"/>
      <c r="CE6" s="333"/>
      <c r="CF6" s="333"/>
      <c r="CG6" s="333"/>
      <c r="CH6" s="333"/>
      <c r="CI6" s="333"/>
      <c r="CJ6" s="333"/>
      <c r="CK6" s="333"/>
      <c r="CL6" s="333"/>
      <c r="CM6" s="333"/>
      <c r="CN6" s="333"/>
      <c r="CO6" s="333"/>
      <c r="CP6" s="336"/>
      <c r="EA6" t="e" vm="210">
        <v>#VALUE!</v>
      </c>
      <c r="EB6" t="e" vm="211">
        <v>#VALUE!</v>
      </c>
      <c r="EC6" t="e" vm="212">
        <v>#VALUE!</v>
      </c>
      <c r="ED6" t="e" vm="213">
        <v>#VALUE!</v>
      </c>
      <c r="EE6" t="e" vm="214">
        <v>#VALUE!</v>
      </c>
      <c r="EF6" t="e" vm="215">
        <v>#VALUE!</v>
      </c>
      <c r="EG6" t="e" vm="216">
        <v>#VALUE!</v>
      </c>
      <c r="EH6" t="e" vm="217">
        <v>#VALUE!</v>
      </c>
      <c r="EI6" t="e" vm="218">
        <v>#VALUE!</v>
      </c>
      <c r="EJ6" t="e" vm="219">
        <v>#VALUE!</v>
      </c>
      <c r="EK6" t="e" vm="220">
        <v>#VALUE!</v>
      </c>
      <c r="EL6" t="e" vm="221">
        <v>#VALUE!</v>
      </c>
      <c r="EM6" t="e" vm="222">
        <v>#VALUE!</v>
      </c>
      <c r="EN6" t="e" vm="223">
        <v>#VALUE!</v>
      </c>
      <c r="EO6" t="e" vm="224">
        <v>#VALUE!</v>
      </c>
      <c r="EP6" t="e" vm="225">
        <v>#VALUE!</v>
      </c>
      <c r="EQ6" t="e" vm="226">
        <v>#VALUE!</v>
      </c>
      <c r="ER6" t="e" vm="227">
        <v>#VALUE!</v>
      </c>
      <c r="ES6" t="e" vm="228">
        <v>#VALUE!</v>
      </c>
      <c r="ET6" t="e" vm="229">
        <v>#VALUE!</v>
      </c>
      <c r="EU6" t="e" vm="230">
        <v>#VALUE!</v>
      </c>
      <c r="EV6" t="e" vm="231">
        <v>#VALUE!</v>
      </c>
      <c r="EW6" t="e" vm="232">
        <v>#VALUE!</v>
      </c>
      <c r="EX6" t="e" vm="233">
        <v>#VALUE!</v>
      </c>
      <c r="EY6" t="e" vm="234">
        <v>#VALUE!</v>
      </c>
      <c r="EZ6" t="e" vm="235">
        <v>#VALUE!</v>
      </c>
      <c r="FA6" t="e" vm="236">
        <v>#VALUE!</v>
      </c>
      <c r="FB6" t="e" vm="237">
        <v>#VALUE!</v>
      </c>
      <c r="FC6" t="e" vm="238">
        <v>#VALUE!</v>
      </c>
      <c r="FD6" t="e" vm="239">
        <v>#VALUE!</v>
      </c>
      <c r="FE6" t="e" vm="240">
        <v>#VALUE!</v>
      </c>
      <c r="FF6" t="e" vm="241">
        <v>#VALUE!</v>
      </c>
      <c r="FG6" t="e" vm="242">
        <v>#VALUE!</v>
      </c>
      <c r="FH6" t="e" vm="243">
        <v>#VALUE!</v>
      </c>
      <c r="FI6" t="e" vm="244">
        <v>#VALUE!</v>
      </c>
      <c r="FJ6" t="e" vm="245">
        <v>#VALUE!</v>
      </c>
      <c r="FK6" t="e" vm="246">
        <v>#VALUE!</v>
      </c>
      <c r="FL6" t="e" vm="247">
        <v>#VALUE!</v>
      </c>
      <c r="FM6" t="e" vm="248">
        <v>#VALUE!</v>
      </c>
      <c r="FN6" t="e" vm="249">
        <v>#VALUE!</v>
      </c>
      <c r="FO6" t="e" vm="250">
        <v>#VALUE!</v>
      </c>
      <c r="FP6" t="e" vm="251">
        <v>#VALUE!</v>
      </c>
      <c r="FQ6" t="e" vm="252">
        <v>#VALUE!</v>
      </c>
      <c r="FR6" t="e" vm="253">
        <v>#VALUE!</v>
      </c>
      <c r="FS6" t="e" vm="254">
        <v>#VALUE!</v>
      </c>
      <c r="FT6" t="e" vm="255">
        <v>#VALUE!</v>
      </c>
      <c r="FU6" t="e" vm="256">
        <v>#VALUE!</v>
      </c>
      <c r="FV6" t="e" vm="257">
        <v>#VALUE!</v>
      </c>
      <c r="FW6" t="e" vm="258">
        <v>#VALUE!</v>
      </c>
      <c r="FX6" t="e" vm="259">
        <v>#VALUE!</v>
      </c>
    </row>
    <row r="7" spans="1:180">
      <c r="A7">
        <v>6</v>
      </c>
      <c r="B7" t="s">
        <v>36</v>
      </c>
      <c r="C7" s="142"/>
      <c r="D7" s="559"/>
      <c r="E7" s="172" t="str">
        <f t="shared" si="3"/>
        <v/>
      </c>
      <c r="F7" s="555" t="str">
        <f t="shared" si="4"/>
        <v/>
      </c>
      <c r="G7" s="172" t="str">
        <f t="shared" si="5"/>
        <v/>
      </c>
      <c r="H7" t="str">
        <f t="shared" si="6"/>
        <v/>
      </c>
      <c r="I7" s="552" t="str" cm="1">
        <f t="array" ref="I7">IF(H7&lt;&gt;"",INDEX($B$2:$B$66,H7+1),"")</f>
        <v/>
      </c>
      <c r="J7" s="554" t="str">
        <f t="shared" si="0"/>
        <v/>
      </c>
      <c r="K7" t="str">
        <f t="shared" si="7"/>
        <v/>
      </c>
      <c r="L7" s="2" t="str">
        <f t="shared" si="8"/>
        <v/>
      </c>
      <c r="M7" t="str">
        <f t="shared" si="9"/>
        <v/>
      </c>
      <c r="N7" s="2" t="str">
        <f t="shared" si="10"/>
        <v/>
      </c>
      <c r="O7" s="172" t="str">
        <f t="shared" si="1"/>
        <v/>
      </c>
      <c r="P7" s="177" t="str">
        <f t="shared" si="11"/>
        <v/>
      </c>
      <c r="Q7" s="172" t="str">
        <f t="shared" si="2"/>
        <v/>
      </c>
      <c r="R7" s="553" t="str">
        <f t="shared" si="12"/>
        <v/>
      </c>
      <c r="S7" s="142"/>
      <c r="U7" s="8"/>
      <c r="W7" s="25"/>
      <c r="X7" s="26"/>
      <c r="Y7" s="25"/>
      <c r="Z7" s="27"/>
      <c r="AA7" s="25"/>
      <c r="AB7" s="27"/>
      <c r="AD7" s="27"/>
      <c r="AG7" s="141">
        <f t="shared" si="13"/>
        <v>-1.7631925659547451E-2</v>
      </c>
      <c r="AH7" s="141">
        <f t="shared" si="14"/>
        <v>-2.5956349206348539E-2</v>
      </c>
      <c r="AI7" s="141">
        <f t="shared" si="15"/>
        <v>-2.6092863901993543E-2</v>
      </c>
      <c r="AO7" s="8"/>
      <c r="BL7" s="332"/>
      <c r="BM7" s="333"/>
      <c r="BN7" s="333"/>
      <c r="BO7" s="333"/>
      <c r="BP7" s="333"/>
      <c r="BQ7" s="333"/>
      <c r="BR7" s="333"/>
      <c r="BS7" s="333"/>
      <c r="BT7" s="333"/>
      <c r="BU7" s="333"/>
      <c r="BV7" s="333"/>
      <c r="BW7" s="370"/>
      <c r="BX7" s="333"/>
      <c r="BY7" s="333"/>
      <c r="BZ7" s="333"/>
      <c r="CA7" s="1197" t="e" cm="1" vm="260">
        <f t="array" aca="1" ref="CA7" ca="1">OFFSET(INDIRECT("EA2"),BI15,BJ15)</f>
        <v>#VALUE!</v>
      </c>
      <c r="CB7" s="1197"/>
      <c r="CC7" s="1197"/>
      <c r="CD7" s="1197"/>
      <c r="CE7" s="1197"/>
      <c r="CF7" s="333"/>
      <c r="CG7" s="333" t="s">
        <v>965</v>
      </c>
      <c r="CH7" s="333"/>
      <c r="CI7" s="425"/>
      <c r="CJ7" s="333"/>
      <c r="CK7" s="333"/>
      <c r="CL7" s="333"/>
      <c r="CM7" s="333"/>
      <c r="CN7" s="333"/>
      <c r="CO7" s="333"/>
      <c r="CP7" s="336"/>
      <c r="EA7" t="e" vm="261">
        <v>#VALUE!</v>
      </c>
      <c r="EB7" t="e" vm="262">
        <v>#VALUE!</v>
      </c>
      <c r="EC7" t="e" vm="263">
        <v>#VALUE!</v>
      </c>
      <c r="ED7" t="e" vm="264">
        <v>#VALUE!</v>
      </c>
      <c r="EE7" t="e" vm="265">
        <v>#VALUE!</v>
      </c>
      <c r="EF7" t="e" vm="266">
        <v>#VALUE!</v>
      </c>
      <c r="EG7" t="e" vm="267">
        <v>#VALUE!</v>
      </c>
      <c r="EH7" t="e" vm="268">
        <v>#VALUE!</v>
      </c>
      <c r="EI7" t="e" vm="269">
        <v>#VALUE!</v>
      </c>
      <c r="EJ7" t="e" vm="270">
        <v>#VALUE!</v>
      </c>
      <c r="EK7" t="e" vm="271">
        <v>#VALUE!</v>
      </c>
      <c r="EL7" t="e" vm="272">
        <v>#VALUE!</v>
      </c>
      <c r="EM7" t="e" vm="273">
        <v>#VALUE!</v>
      </c>
      <c r="EN7" t="e" vm="274">
        <v>#VALUE!</v>
      </c>
      <c r="EO7" t="e" vm="275">
        <v>#VALUE!</v>
      </c>
      <c r="EP7" t="e" vm="276">
        <v>#VALUE!</v>
      </c>
      <c r="EQ7" t="e" vm="277">
        <v>#VALUE!</v>
      </c>
      <c r="ER7" t="e" vm="278">
        <v>#VALUE!</v>
      </c>
      <c r="ES7" t="e" vm="279">
        <v>#VALUE!</v>
      </c>
      <c r="ET7" t="e" vm="280">
        <v>#VALUE!</v>
      </c>
      <c r="EU7" t="e" vm="281">
        <v>#VALUE!</v>
      </c>
      <c r="EV7" t="e" vm="282">
        <v>#VALUE!</v>
      </c>
      <c r="EW7" t="e" vm="283">
        <v>#VALUE!</v>
      </c>
      <c r="EX7" t="e" vm="284">
        <v>#VALUE!</v>
      </c>
      <c r="EY7" t="e" vm="285">
        <v>#VALUE!</v>
      </c>
      <c r="EZ7" t="e" vm="286">
        <v>#VALUE!</v>
      </c>
      <c r="FA7" t="e" vm="287">
        <v>#VALUE!</v>
      </c>
      <c r="FB7" t="e" vm="288">
        <v>#VALUE!</v>
      </c>
      <c r="FC7" t="e" vm="289">
        <v>#VALUE!</v>
      </c>
      <c r="FD7" t="e" vm="290">
        <v>#VALUE!</v>
      </c>
      <c r="FE7" t="e" vm="291">
        <v>#VALUE!</v>
      </c>
      <c r="FF7" t="e" vm="292">
        <v>#VALUE!</v>
      </c>
      <c r="FG7" t="e" vm="293">
        <v>#VALUE!</v>
      </c>
      <c r="FH7" t="e" vm="294">
        <v>#VALUE!</v>
      </c>
      <c r="FI7" t="e" vm="295">
        <v>#VALUE!</v>
      </c>
      <c r="FJ7" t="e" vm="296">
        <v>#VALUE!</v>
      </c>
      <c r="FK7" t="e" vm="297">
        <v>#VALUE!</v>
      </c>
      <c r="FL7" t="e" vm="298">
        <v>#VALUE!</v>
      </c>
      <c r="FM7" t="e" vm="299">
        <v>#VALUE!</v>
      </c>
      <c r="FN7" t="e" vm="300">
        <v>#VALUE!</v>
      </c>
      <c r="FO7" t="e" vm="301">
        <v>#VALUE!</v>
      </c>
      <c r="FP7" t="e" vm="302">
        <v>#VALUE!</v>
      </c>
      <c r="FQ7" t="e" vm="303">
        <v>#VALUE!</v>
      </c>
      <c r="FR7" t="e" vm="304">
        <v>#VALUE!</v>
      </c>
      <c r="FS7" t="e" vm="305">
        <v>#VALUE!</v>
      </c>
      <c r="FT7" t="e" vm="306">
        <v>#VALUE!</v>
      </c>
      <c r="FU7" t="e" vm="307">
        <v>#VALUE!</v>
      </c>
      <c r="FV7" t="e" vm="308">
        <v>#VALUE!</v>
      </c>
      <c r="FW7" t="e" vm="309">
        <v>#VALUE!</v>
      </c>
      <c r="FX7" t="e" vm="310">
        <v>#VALUE!</v>
      </c>
    </row>
    <row r="8" spans="1:180">
      <c r="A8">
        <v>7</v>
      </c>
      <c r="B8" t="s">
        <v>43</v>
      </c>
      <c r="C8" s="142"/>
      <c r="D8" s="559"/>
      <c r="E8" s="172" t="str">
        <f t="shared" si="3"/>
        <v/>
      </c>
      <c r="F8" s="555" t="str">
        <f t="shared" si="4"/>
        <v/>
      </c>
      <c r="G8" s="172" t="str">
        <f t="shared" si="5"/>
        <v/>
      </c>
      <c r="H8" t="str">
        <f t="shared" si="6"/>
        <v/>
      </c>
      <c r="I8" s="552" t="str" cm="1">
        <f t="array" ref="I8">IF(H8&lt;&gt;"",INDEX($B$2:$B$66,H8+1),"")</f>
        <v/>
      </c>
      <c r="J8" s="554" t="str">
        <f t="shared" si="0"/>
        <v/>
      </c>
      <c r="K8" t="str">
        <f t="shared" si="7"/>
        <v/>
      </c>
      <c r="L8" s="2" t="str">
        <f t="shared" si="8"/>
        <v/>
      </c>
      <c r="M8" t="str">
        <f t="shared" si="9"/>
        <v/>
      </c>
      <c r="N8" s="2" t="str">
        <f t="shared" si="10"/>
        <v/>
      </c>
      <c r="O8" s="172" t="str">
        <f t="shared" si="1"/>
        <v/>
      </c>
      <c r="P8" s="177" t="str">
        <f t="shared" si="11"/>
        <v/>
      </c>
      <c r="Q8" s="172" t="str">
        <f t="shared" si="2"/>
        <v/>
      </c>
      <c r="R8" s="553" t="str">
        <f t="shared" si="12"/>
        <v/>
      </c>
      <c r="S8" s="142"/>
      <c r="T8" s="7" t="s">
        <v>102</v>
      </c>
      <c r="U8" s="24">
        <v>90</v>
      </c>
      <c r="V8" s="24">
        <v>90</v>
      </c>
      <c r="W8" s="86">
        <v>140</v>
      </c>
      <c r="X8" s="87">
        <v>140</v>
      </c>
      <c r="Y8" s="86">
        <v>190</v>
      </c>
      <c r="Z8" s="87">
        <v>190</v>
      </c>
      <c r="AA8" s="86">
        <v>290</v>
      </c>
      <c r="AB8" s="87">
        <v>290</v>
      </c>
      <c r="AC8" s="24">
        <v>225</v>
      </c>
      <c r="AD8" s="87">
        <v>225</v>
      </c>
      <c r="AG8" s="63">
        <f t="shared" si="13"/>
        <v>-0.40909433945109719</v>
      </c>
      <c r="AH8" s="63">
        <f t="shared" si="14"/>
        <v>-0.2089342403628186</v>
      </c>
      <c r="AI8" s="63">
        <f t="shared" si="15"/>
        <v>-0.28092381848405124</v>
      </c>
      <c r="AO8" s="8"/>
      <c r="BK8" s="7" t="b">
        <f>ISBLANK(WebCntrl1)</f>
        <v>0</v>
      </c>
      <c r="BL8" s="333"/>
      <c r="BM8" s="1098" t="s">
        <v>966</v>
      </c>
      <c r="BN8" s="1198"/>
      <c r="BO8" s="1200" t="s">
        <v>967</v>
      </c>
      <c r="BP8" s="1200"/>
      <c r="BQ8" s="1200"/>
      <c r="BR8" s="331">
        <v>2</v>
      </c>
      <c r="BS8" s="999" t="str">
        <f>IF(ISBLANK(WebCntrl1),"",AU18)</f>
        <v>joist 190 mm</v>
      </c>
      <c r="BT8" s="999"/>
      <c r="BU8" s="333"/>
      <c r="BV8" s="1101" t="s">
        <v>968</v>
      </c>
      <c r="BW8" s="1101"/>
      <c r="BX8" s="337">
        <v>1</v>
      </c>
      <c r="BY8" s="462">
        <f>IF(ISBLANK(WebCntrl3),"",AX18)</f>
        <v>600</v>
      </c>
      <c r="BZ8" s="333"/>
      <c r="CA8" s="1197"/>
      <c r="CB8" s="1197"/>
      <c r="CC8" s="1197"/>
      <c r="CD8" s="1197"/>
      <c r="CE8" s="1197"/>
      <c r="CF8" s="333"/>
      <c r="CG8" s="333"/>
      <c r="CH8" s="333"/>
      <c r="CI8" s="333"/>
      <c r="CJ8" s="333"/>
      <c r="CK8" s="333"/>
      <c r="CL8" s="333"/>
      <c r="CM8" s="333"/>
      <c r="CN8" s="333"/>
      <c r="CO8" s="333"/>
      <c r="CP8" s="336"/>
      <c r="EA8" t="e" vm="311">
        <v>#VALUE!</v>
      </c>
      <c r="EB8" t="e" vm="312">
        <v>#VALUE!</v>
      </c>
      <c r="EC8" t="e" vm="313">
        <v>#VALUE!</v>
      </c>
      <c r="ED8" t="e" vm="314">
        <v>#VALUE!</v>
      </c>
      <c r="EE8" t="e" vm="315">
        <v>#VALUE!</v>
      </c>
      <c r="EF8" t="e" vm="316">
        <v>#VALUE!</v>
      </c>
      <c r="EG8" t="e" vm="317">
        <v>#VALUE!</v>
      </c>
      <c r="EH8" t="e" vm="318">
        <v>#VALUE!</v>
      </c>
      <c r="EI8" t="e" vm="319">
        <v>#VALUE!</v>
      </c>
      <c r="EJ8" t="e" vm="320">
        <v>#VALUE!</v>
      </c>
      <c r="EK8" t="e" vm="321">
        <v>#VALUE!</v>
      </c>
      <c r="EL8" t="e" vm="322">
        <v>#VALUE!</v>
      </c>
      <c r="EM8" t="e" vm="323">
        <v>#VALUE!</v>
      </c>
      <c r="EN8" t="e" vm="324">
        <v>#VALUE!</v>
      </c>
      <c r="EO8" t="e" vm="325">
        <v>#VALUE!</v>
      </c>
      <c r="EP8" t="e" vm="326">
        <v>#VALUE!</v>
      </c>
      <c r="EQ8" t="e" vm="327">
        <v>#VALUE!</v>
      </c>
      <c r="ER8" t="e" vm="328">
        <v>#VALUE!</v>
      </c>
      <c r="ES8" t="e" vm="329">
        <v>#VALUE!</v>
      </c>
      <c r="ET8" t="e" vm="330">
        <v>#VALUE!</v>
      </c>
      <c r="EU8" t="e" vm="331">
        <v>#VALUE!</v>
      </c>
      <c r="EV8" t="e" vm="332">
        <v>#VALUE!</v>
      </c>
      <c r="EW8" t="e" vm="333">
        <v>#VALUE!</v>
      </c>
      <c r="EX8" t="e" vm="334">
        <v>#VALUE!</v>
      </c>
      <c r="EY8" t="e" vm="335">
        <v>#VALUE!</v>
      </c>
      <c r="EZ8" t="e" vm="336">
        <v>#VALUE!</v>
      </c>
      <c r="FA8" t="e" vm="337">
        <v>#VALUE!</v>
      </c>
      <c r="FB8" t="e" vm="338">
        <v>#VALUE!</v>
      </c>
      <c r="FC8" t="e" vm="339">
        <v>#VALUE!</v>
      </c>
      <c r="FD8" t="e" vm="340">
        <v>#VALUE!</v>
      </c>
      <c r="FE8" t="e" vm="341">
        <v>#VALUE!</v>
      </c>
      <c r="FF8" t="e" vm="342">
        <v>#VALUE!</v>
      </c>
      <c r="FG8" t="e" vm="343">
        <v>#VALUE!</v>
      </c>
      <c r="FH8" t="e" vm="344">
        <v>#VALUE!</v>
      </c>
      <c r="FI8" t="e" vm="345">
        <v>#VALUE!</v>
      </c>
      <c r="FJ8" t="e" vm="346">
        <v>#VALUE!</v>
      </c>
      <c r="FK8" t="e" vm="347">
        <v>#VALUE!</v>
      </c>
      <c r="FL8" t="e" vm="348">
        <v>#VALUE!</v>
      </c>
      <c r="FM8" t="e" vm="349">
        <v>#VALUE!</v>
      </c>
      <c r="FN8" t="e" vm="350">
        <v>#VALUE!</v>
      </c>
      <c r="FO8" t="e" vm="351">
        <v>#VALUE!</v>
      </c>
      <c r="FP8" t="e" vm="352">
        <v>#VALUE!</v>
      </c>
      <c r="FQ8" t="e" vm="353">
        <v>#VALUE!</v>
      </c>
      <c r="FR8" t="e" vm="354">
        <v>#VALUE!</v>
      </c>
      <c r="FS8" t="e" vm="355">
        <v>#VALUE!</v>
      </c>
      <c r="FT8" t="e" vm="356">
        <v>#VALUE!</v>
      </c>
      <c r="FU8" t="e" vm="357">
        <v>#VALUE!</v>
      </c>
      <c r="FV8" t="e" vm="358">
        <v>#VALUE!</v>
      </c>
      <c r="FW8" t="e" vm="359">
        <v>#VALUE!</v>
      </c>
      <c r="FX8" t="e" vm="360">
        <v>#VALUE!</v>
      </c>
    </row>
    <row r="9" spans="1:180">
      <c r="A9">
        <v>8</v>
      </c>
      <c r="B9" t="s">
        <v>47</v>
      </c>
      <c r="C9" s="142"/>
      <c r="D9" s="559"/>
      <c r="E9" s="172" t="str">
        <f t="shared" si="3"/>
        <v/>
      </c>
      <c r="F9" s="555" t="str">
        <f t="shared" si="4"/>
        <v/>
      </c>
      <c r="G9" s="172" t="str">
        <f t="shared" si="5"/>
        <v/>
      </c>
      <c r="H9" t="str">
        <f t="shared" si="6"/>
        <v/>
      </c>
      <c r="I9" s="552" t="str" cm="1">
        <f t="array" ref="I9">IF(H9&lt;&gt;"",INDEX($B$2:$B$66,H9+1),"")</f>
        <v/>
      </c>
      <c r="J9" s="554" t="str">
        <f t="shared" si="0"/>
        <v/>
      </c>
      <c r="K9" t="str">
        <f t="shared" si="7"/>
        <v/>
      </c>
      <c r="L9" s="2" t="str">
        <f t="shared" si="8"/>
        <v/>
      </c>
      <c r="M9" t="str">
        <f t="shared" si="9"/>
        <v/>
      </c>
      <c r="N9" s="2" t="str">
        <f t="shared" si="10"/>
        <v/>
      </c>
      <c r="O9" s="172" t="str">
        <f t="shared" si="1"/>
        <v/>
      </c>
      <c r="P9" s="177" t="str">
        <f t="shared" si="11"/>
        <v/>
      </c>
      <c r="Q9" s="172" t="str">
        <f t="shared" si="2"/>
        <v/>
      </c>
      <c r="R9" s="553" t="str">
        <f t="shared" si="12"/>
        <v/>
      </c>
      <c r="S9" s="142"/>
      <c r="U9" s="12"/>
      <c r="V9" s="12"/>
      <c r="W9" s="29"/>
      <c r="X9" s="30"/>
      <c r="Y9" s="29"/>
      <c r="Z9" s="30"/>
      <c r="AA9" s="29"/>
      <c r="AB9" s="30"/>
      <c r="AC9" s="12"/>
      <c r="AD9" s="30"/>
      <c r="AG9" s="63">
        <f t="shared" si="13"/>
        <v>0.61894139415625304</v>
      </c>
      <c r="AH9" s="63">
        <f t="shared" si="14"/>
        <v>0.35818185941043679</v>
      </c>
      <c r="AI9" s="63">
        <f t="shared" si="15"/>
        <v>0.34705870848894915</v>
      </c>
      <c r="AO9" s="8"/>
      <c r="BK9" s="7" t="b">
        <f>ISBLANK(WebCntrl3)</f>
        <v>0</v>
      </c>
      <c r="BL9" s="333"/>
      <c r="BM9" s="1199"/>
      <c r="BN9" s="1198"/>
      <c r="BO9" s="369"/>
      <c r="BP9" s="369"/>
      <c r="BQ9" s="369"/>
      <c r="BR9" s="369"/>
      <c r="BS9" s="334"/>
      <c r="BT9" s="333"/>
      <c r="BU9" s="333"/>
      <c r="BV9" s="333"/>
      <c r="BW9" s="333"/>
      <c r="BX9" s="333"/>
      <c r="BY9" s="333"/>
      <c r="BZ9" s="334"/>
      <c r="CA9" s="1197"/>
      <c r="CB9" s="1197"/>
      <c r="CC9" s="1197"/>
      <c r="CD9" s="1197"/>
      <c r="CE9" s="1197"/>
      <c r="CF9" s="333"/>
      <c r="CG9" s="333" t="s">
        <v>969</v>
      </c>
      <c r="CH9" s="333"/>
      <c r="CI9" s="333"/>
      <c r="CJ9" s="333"/>
      <c r="CK9" s="333"/>
      <c r="CL9" s="333"/>
      <c r="CM9" s="333"/>
      <c r="CN9" s="333"/>
      <c r="CO9" s="333"/>
      <c r="CP9" s="336"/>
      <c r="EA9" t="e" vm="361">
        <v>#VALUE!</v>
      </c>
      <c r="EB9" t="e" vm="362">
        <v>#VALUE!</v>
      </c>
      <c r="EC9" t="e" vm="363">
        <v>#VALUE!</v>
      </c>
      <c r="ED9" t="e" vm="364">
        <v>#VALUE!</v>
      </c>
      <c r="EE9" t="e" vm="365">
        <v>#VALUE!</v>
      </c>
      <c r="EF9" t="e" vm="366">
        <v>#VALUE!</v>
      </c>
      <c r="EG9" t="e" vm="367">
        <v>#VALUE!</v>
      </c>
      <c r="EH9" t="e" vm="368">
        <v>#VALUE!</v>
      </c>
      <c r="EI9" t="e" vm="369">
        <v>#VALUE!</v>
      </c>
      <c r="EJ9" t="e" vm="370">
        <v>#VALUE!</v>
      </c>
      <c r="EK9" t="e" vm="371">
        <v>#VALUE!</v>
      </c>
      <c r="EL9" t="e" vm="372">
        <v>#VALUE!</v>
      </c>
      <c r="EM9" t="e" vm="373">
        <v>#VALUE!</v>
      </c>
      <c r="EN9" t="e" vm="374">
        <v>#VALUE!</v>
      </c>
      <c r="EO9" t="e" vm="375">
        <v>#VALUE!</v>
      </c>
      <c r="EP9" t="e" vm="376">
        <v>#VALUE!</v>
      </c>
      <c r="EQ9" t="e" vm="377">
        <v>#VALUE!</v>
      </c>
      <c r="ER9" t="e" vm="378">
        <v>#VALUE!</v>
      </c>
      <c r="ES9" t="e" vm="379">
        <v>#VALUE!</v>
      </c>
      <c r="ET9" t="e" vm="380">
        <v>#VALUE!</v>
      </c>
      <c r="EU9" t="e" vm="381">
        <v>#VALUE!</v>
      </c>
      <c r="EV9" t="e" vm="382">
        <v>#VALUE!</v>
      </c>
      <c r="EW9" t="e" vm="383">
        <v>#VALUE!</v>
      </c>
      <c r="EX9" t="e" vm="384">
        <v>#VALUE!</v>
      </c>
      <c r="EY9" t="e" vm="385">
        <v>#VALUE!</v>
      </c>
      <c r="EZ9" t="e" vm="386">
        <v>#VALUE!</v>
      </c>
      <c r="FA9" t="e" vm="387">
        <v>#VALUE!</v>
      </c>
      <c r="FB9" t="e" vm="388">
        <v>#VALUE!</v>
      </c>
      <c r="FC9" t="e" vm="389">
        <v>#VALUE!</v>
      </c>
      <c r="FD9" t="e" vm="390">
        <v>#VALUE!</v>
      </c>
      <c r="FE9" t="e" vm="391">
        <v>#VALUE!</v>
      </c>
      <c r="FF9" t="e" vm="392">
        <v>#VALUE!</v>
      </c>
      <c r="FG9" t="e" vm="393">
        <v>#VALUE!</v>
      </c>
      <c r="FH9" t="e" vm="394">
        <v>#VALUE!</v>
      </c>
      <c r="FI9" t="e" vm="395">
        <v>#VALUE!</v>
      </c>
      <c r="FJ9" t="e" vm="396">
        <v>#VALUE!</v>
      </c>
      <c r="FK9" t="e" vm="397">
        <v>#VALUE!</v>
      </c>
      <c r="FL9" t="e" vm="398">
        <v>#VALUE!</v>
      </c>
      <c r="FM9" t="e" vm="399">
        <v>#VALUE!</v>
      </c>
      <c r="FN9" t="e" vm="400">
        <v>#VALUE!</v>
      </c>
      <c r="FO9" t="e" vm="401">
        <v>#VALUE!</v>
      </c>
      <c r="FP9" t="e" vm="402">
        <v>#VALUE!</v>
      </c>
      <c r="FQ9" t="e" vm="403">
        <v>#VALUE!</v>
      </c>
      <c r="FR9" t="e" vm="404">
        <v>#VALUE!</v>
      </c>
      <c r="FS9" t="e" vm="405">
        <v>#VALUE!</v>
      </c>
      <c r="FT9" t="e" vm="406">
        <v>#VALUE!</v>
      </c>
      <c r="FU9" t="e" vm="407">
        <v>#VALUE!</v>
      </c>
      <c r="FV9" t="e" vm="408">
        <v>#VALUE!</v>
      </c>
      <c r="FW9" t="e" vm="409">
        <v>#VALUE!</v>
      </c>
      <c r="FX9" t="e" vm="410">
        <v>#VALUE!</v>
      </c>
    </row>
    <row r="10" spans="1:180">
      <c r="A10">
        <v>9</v>
      </c>
      <c r="B10" t="s">
        <v>50</v>
      </c>
      <c r="C10" s="142"/>
      <c r="D10" s="559"/>
      <c r="E10" s="172" t="str">
        <f t="shared" si="3"/>
        <v/>
      </c>
      <c r="F10" s="555" t="str">
        <f t="shared" si="4"/>
        <v/>
      </c>
      <c r="G10" s="172" t="str">
        <f t="shared" si="5"/>
        <v/>
      </c>
      <c r="H10" t="str">
        <f t="shared" si="6"/>
        <v/>
      </c>
      <c r="I10" s="552" t="str" cm="1">
        <f t="array" ref="I10">IF(H10&lt;&gt;"",INDEX($B$2:$B$66,H10+1),"")</f>
        <v/>
      </c>
      <c r="J10" s="554" t="str">
        <f t="shared" si="0"/>
        <v/>
      </c>
      <c r="K10" t="str">
        <f t="shared" si="7"/>
        <v/>
      </c>
      <c r="L10" s="2" t="str">
        <f t="shared" si="8"/>
        <v/>
      </c>
      <c r="M10" t="str">
        <f t="shared" si="9"/>
        <v/>
      </c>
      <c r="N10" s="2" t="str">
        <f t="shared" si="10"/>
        <v/>
      </c>
      <c r="O10" s="172" t="str">
        <f t="shared" si="1"/>
        <v/>
      </c>
      <c r="P10" s="177" t="str">
        <f t="shared" si="11"/>
        <v/>
      </c>
      <c r="Q10" s="172" t="str">
        <f t="shared" si="2"/>
        <v/>
      </c>
      <c r="R10" s="553" t="str">
        <f t="shared" si="12"/>
        <v/>
      </c>
      <c r="S10" s="142"/>
      <c r="T10" s="7" t="s">
        <v>212</v>
      </c>
      <c r="U10" s="88" t="s">
        <v>970</v>
      </c>
      <c r="V10" s="63" t="s">
        <v>970</v>
      </c>
      <c r="W10" s="88" t="s">
        <v>970</v>
      </c>
      <c r="X10" s="63" t="s">
        <v>970</v>
      </c>
      <c r="Y10" s="89" t="s">
        <v>971</v>
      </c>
      <c r="Z10" s="90" t="s">
        <v>971</v>
      </c>
      <c r="AA10" s="89" t="s">
        <v>971</v>
      </c>
      <c r="AB10" s="90" t="s">
        <v>971</v>
      </c>
      <c r="AC10" s="89" t="s">
        <v>971</v>
      </c>
      <c r="AD10" s="90" t="s">
        <v>971</v>
      </c>
      <c r="AG10" s="141">
        <f t="shared" si="13"/>
        <v>0.69898201444801145</v>
      </c>
      <c r="AH10" s="141">
        <f t="shared" si="14"/>
        <v>0.80622968253968053</v>
      </c>
      <c r="AI10" s="141">
        <f t="shared" si="15"/>
        <v>0.86650204887696669</v>
      </c>
      <c r="AO10" s="8"/>
      <c r="BK10" s="7" t="b">
        <f>ISBLANK(WebCntrl4)</f>
        <v>0</v>
      </c>
      <c r="BL10" s="333"/>
      <c r="BM10" s="1199"/>
      <c r="BN10" s="1198"/>
      <c r="BO10" s="1100" t="s">
        <v>595</v>
      </c>
      <c r="BP10" s="1100"/>
      <c r="BQ10" s="1100"/>
      <c r="BR10" s="335">
        <v>4.4999999999999998E-2</v>
      </c>
      <c r="BS10" s="995">
        <f>IF(ISBLANK(WebCntrl4),"",BA18)</f>
        <v>6.5000000000000002E-2</v>
      </c>
      <c r="BT10" s="999"/>
      <c r="BU10" s="333"/>
      <c r="BV10" s="1102" t="s">
        <v>594</v>
      </c>
      <c r="BW10" s="1102"/>
      <c r="BX10" s="337">
        <v>4</v>
      </c>
      <c r="BY10" s="461" t="str">
        <f>IF(ISBLANK(WebCntrl5),"",BJ18)</f>
        <v>1.9</v>
      </c>
      <c r="BZ10" s="334"/>
      <c r="CA10" s="1197"/>
      <c r="CB10" s="1197"/>
      <c r="CC10" s="1197"/>
      <c r="CD10" s="1197"/>
      <c r="CE10" s="1197"/>
      <c r="CF10" s="333"/>
      <c r="CG10" s="333" t="s">
        <v>972</v>
      </c>
      <c r="CH10" s="333"/>
      <c r="CI10" s="333"/>
      <c r="CJ10" s="333"/>
      <c r="CK10" s="333"/>
      <c r="CL10" s="333"/>
      <c r="CM10" s="333"/>
      <c r="CN10" s="333"/>
      <c r="CO10" s="333"/>
      <c r="CP10" s="336"/>
      <c r="EA10" t="e" vm="411">
        <v>#VALUE!</v>
      </c>
      <c r="EB10" t="e" vm="412">
        <v>#VALUE!</v>
      </c>
      <c r="EC10" t="e" vm="413">
        <v>#VALUE!</v>
      </c>
      <c r="ED10" t="e" vm="414">
        <v>#VALUE!</v>
      </c>
      <c r="EE10" t="e" vm="415">
        <v>#VALUE!</v>
      </c>
      <c r="EF10" t="e" vm="416">
        <v>#VALUE!</v>
      </c>
      <c r="EG10" t="e" vm="417">
        <v>#VALUE!</v>
      </c>
      <c r="EH10" t="e" vm="418">
        <v>#VALUE!</v>
      </c>
      <c r="EI10" t="e" vm="419">
        <v>#VALUE!</v>
      </c>
      <c r="EJ10" t="e" vm="420">
        <v>#VALUE!</v>
      </c>
      <c r="EK10" t="e" vm="421">
        <v>#VALUE!</v>
      </c>
      <c r="EL10" t="e" vm="422">
        <v>#VALUE!</v>
      </c>
      <c r="EM10" t="e" vm="423">
        <v>#VALUE!</v>
      </c>
      <c r="EN10" t="e" vm="424">
        <v>#VALUE!</v>
      </c>
      <c r="EO10" t="e" vm="425">
        <v>#VALUE!</v>
      </c>
      <c r="EP10" t="e" vm="426">
        <v>#VALUE!</v>
      </c>
      <c r="EQ10" t="e" vm="427">
        <v>#VALUE!</v>
      </c>
      <c r="ER10" t="e" vm="428">
        <v>#VALUE!</v>
      </c>
      <c r="ES10" t="e" vm="429">
        <v>#VALUE!</v>
      </c>
      <c r="ET10" t="e" vm="430">
        <v>#VALUE!</v>
      </c>
      <c r="EU10" t="e" vm="431">
        <v>#VALUE!</v>
      </c>
      <c r="EV10" t="e" vm="432">
        <v>#VALUE!</v>
      </c>
      <c r="EW10" t="e" vm="433">
        <v>#VALUE!</v>
      </c>
      <c r="EX10" t="e" vm="434">
        <v>#VALUE!</v>
      </c>
      <c r="EY10" t="e" vm="435">
        <v>#VALUE!</v>
      </c>
      <c r="EZ10" t="e" vm="436">
        <v>#VALUE!</v>
      </c>
      <c r="FA10" t="e" vm="437">
        <v>#VALUE!</v>
      </c>
      <c r="FB10" t="e" vm="438">
        <v>#VALUE!</v>
      </c>
      <c r="FC10" t="e" vm="439">
        <v>#VALUE!</v>
      </c>
      <c r="FD10" t="e" vm="440">
        <v>#VALUE!</v>
      </c>
      <c r="FE10" t="e" vm="441">
        <v>#VALUE!</v>
      </c>
      <c r="FF10" t="e" vm="442">
        <v>#VALUE!</v>
      </c>
      <c r="FG10" t="e" vm="443">
        <v>#VALUE!</v>
      </c>
      <c r="FH10" t="e" vm="444">
        <v>#VALUE!</v>
      </c>
      <c r="FI10" t="e" vm="445">
        <v>#VALUE!</v>
      </c>
      <c r="FJ10" t="e" vm="446">
        <v>#VALUE!</v>
      </c>
      <c r="FK10" t="e" vm="447">
        <v>#VALUE!</v>
      </c>
      <c r="FL10" t="e" vm="448">
        <v>#VALUE!</v>
      </c>
      <c r="FM10" t="e" vm="449">
        <v>#VALUE!</v>
      </c>
      <c r="FN10" t="e" vm="450">
        <v>#VALUE!</v>
      </c>
      <c r="FO10" t="e" vm="451">
        <v>#VALUE!</v>
      </c>
      <c r="FP10" t="e" vm="452">
        <v>#VALUE!</v>
      </c>
      <c r="FQ10" t="e" vm="453">
        <v>#VALUE!</v>
      </c>
      <c r="FR10" t="e" vm="454">
        <v>#VALUE!</v>
      </c>
      <c r="FS10" t="e" vm="455">
        <v>#VALUE!</v>
      </c>
      <c r="FT10" t="e" vm="456">
        <v>#VALUE!</v>
      </c>
      <c r="FU10" t="e" vm="457">
        <v>#VALUE!</v>
      </c>
      <c r="FV10" t="e" vm="458">
        <v>#VALUE!</v>
      </c>
      <c r="FW10" t="e" vm="459">
        <v>#VALUE!</v>
      </c>
      <c r="FX10" t="e" vm="460">
        <v>#VALUE!</v>
      </c>
    </row>
    <row r="11" spans="1:180">
      <c r="A11">
        <v>10</v>
      </c>
      <c r="B11" t="s">
        <v>56</v>
      </c>
      <c r="C11" s="142"/>
      <c r="D11" s="559"/>
      <c r="E11" s="172" t="str">
        <f t="shared" si="3"/>
        <v/>
      </c>
      <c r="F11" s="555" t="str">
        <f t="shared" si="4"/>
        <v/>
      </c>
      <c r="G11" s="172" t="str">
        <f t="shared" si="5"/>
        <v/>
      </c>
      <c r="H11" t="str">
        <f t="shared" si="6"/>
        <v/>
      </c>
      <c r="I11" s="552" t="str" cm="1">
        <f t="array" ref="I11">IF(H11&lt;&gt;"",INDEX($B$2:$B$66,H11+1),"")</f>
        <v/>
      </c>
      <c r="J11" s="554" t="str">
        <f t="shared" si="0"/>
        <v/>
      </c>
      <c r="K11" t="str">
        <f t="shared" si="7"/>
        <v/>
      </c>
      <c r="L11" s="2" t="str">
        <f t="shared" si="8"/>
        <v/>
      </c>
      <c r="M11" t="str">
        <f t="shared" si="9"/>
        <v/>
      </c>
      <c r="N11" s="2" t="str">
        <f t="shared" si="10"/>
        <v/>
      </c>
      <c r="O11" s="172" t="str">
        <f t="shared" si="1"/>
        <v/>
      </c>
      <c r="P11" s="177" t="str">
        <f t="shared" si="11"/>
        <v/>
      </c>
      <c r="Q11" s="172" t="str">
        <f t="shared" si="2"/>
        <v/>
      </c>
      <c r="R11" s="553" t="str">
        <f t="shared" si="12"/>
        <v/>
      </c>
      <c r="S11" s="142"/>
      <c r="T11" s="7" t="s">
        <v>219</v>
      </c>
      <c r="U11" s="88" t="s">
        <v>973</v>
      </c>
      <c r="V11" s="63" t="s">
        <v>973</v>
      </c>
      <c r="W11" s="88" t="s">
        <v>973</v>
      </c>
      <c r="X11" s="63" t="s">
        <v>973</v>
      </c>
      <c r="Y11" s="89" t="s">
        <v>970</v>
      </c>
      <c r="Z11" s="90" t="s">
        <v>970</v>
      </c>
      <c r="AA11" s="89" t="s">
        <v>970</v>
      </c>
      <c r="AB11" s="90" t="s">
        <v>970</v>
      </c>
      <c r="AC11" s="89" t="s">
        <v>970</v>
      </c>
      <c r="AD11" s="90" t="s">
        <v>970</v>
      </c>
      <c r="AG11" s="63">
        <f t="shared" si="13"/>
        <v>6.7655102495456282E-2</v>
      </c>
      <c r="AH11" s="63">
        <f t="shared" si="14"/>
        <v>-9.9827664399022895E-2</v>
      </c>
      <c r="AI11" s="63">
        <f t="shared" si="15"/>
        <v>7.4599719900119585E-2</v>
      </c>
      <c r="AO11" s="8"/>
      <c r="BK11" s="7" t="b">
        <f>ISBLANK(WebCntrl5)</f>
        <v>0</v>
      </c>
      <c r="BL11" s="333"/>
      <c r="BM11" s="337">
        <v>2.5</v>
      </c>
      <c r="BN11" s="470" t="str">
        <f>BG18</f>
        <v>1.6</v>
      </c>
      <c r="BO11" s="369"/>
      <c r="BP11" s="333"/>
      <c r="BQ11" s="333"/>
      <c r="BR11" s="333"/>
      <c r="BS11" s="333"/>
      <c r="BT11" s="333"/>
      <c r="BU11" s="333"/>
      <c r="BV11" s="333"/>
      <c r="BW11" s="333"/>
      <c r="BX11" s="333"/>
      <c r="BY11" s="333"/>
      <c r="BZ11" s="334"/>
      <c r="CA11" s="1197"/>
      <c r="CB11" s="1197"/>
      <c r="CC11" s="1197"/>
      <c r="CD11" s="1197"/>
      <c r="CE11" s="1197"/>
      <c r="CF11" s="333"/>
      <c r="CG11" s="333" t="s">
        <v>974</v>
      </c>
      <c r="CH11" s="333"/>
      <c r="CI11" s="333"/>
      <c r="CJ11" s="333"/>
      <c r="CK11" s="333"/>
      <c r="CL11" s="333"/>
      <c r="CM11" s="333"/>
      <c r="CN11" s="333"/>
      <c r="CO11" s="333"/>
      <c r="CP11" s="336"/>
      <c r="EA11"/>
      <c r="EB11"/>
      <c r="EC11"/>
      <c r="ED11"/>
      <c r="EE11"/>
      <c r="EF11"/>
      <c r="EG11"/>
      <c r="EH11"/>
      <c r="EI11"/>
      <c r="EJ11"/>
      <c r="EK11" t="e" vm="461">
        <v>#VALUE!</v>
      </c>
      <c r="EL11" t="e" vm="462">
        <v>#VALUE!</v>
      </c>
      <c r="EM11" t="e" vm="463">
        <v>#VALUE!</v>
      </c>
      <c r="EN11" t="e" vm="464">
        <v>#VALUE!</v>
      </c>
      <c r="EO11" t="e" vm="465">
        <v>#VALUE!</v>
      </c>
      <c r="EP11" t="e" vm="466">
        <v>#VALUE!</v>
      </c>
      <c r="EQ11" t="e" vm="467">
        <v>#VALUE!</v>
      </c>
      <c r="ER11" t="e" vm="468">
        <v>#VALUE!</v>
      </c>
      <c r="ES11" t="e" vm="469">
        <v>#VALUE!</v>
      </c>
      <c r="ET11" t="e" vm="470">
        <v>#VALUE!</v>
      </c>
      <c r="EU11" t="e" vm="471">
        <v>#VALUE!</v>
      </c>
      <c r="EV11" t="e" vm="472">
        <v>#VALUE!</v>
      </c>
      <c r="EW11" t="e" vm="473">
        <v>#VALUE!</v>
      </c>
      <c r="EX11" t="e" vm="474">
        <v>#VALUE!</v>
      </c>
      <c r="EY11" t="e" vm="475">
        <v>#VALUE!</v>
      </c>
      <c r="EZ11" t="e" vm="476">
        <v>#VALUE!</v>
      </c>
      <c r="FA11" t="e" vm="477">
        <v>#VALUE!</v>
      </c>
      <c r="FB11" t="e" vm="478">
        <v>#VALUE!</v>
      </c>
      <c r="FC11" t="e" vm="479">
        <v>#VALUE!</v>
      </c>
      <c r="FD11" t="e" vm="480">
        <v>#VALUE!</v>
      </c>
      <c r="FE11" t="e" vm="481">
        <v>#VALUE!</v>
      </c>
      <c r="FF11" t="e" vm="482">
        <v>#VALUE!</v>
      </c>
      <c r="FG11" t="e" vm="483">
        <v>#VALUE!</v>
      </c>
      <c r="FH11" t="e" vm="484">
        <v>#VALUE!</v>
      </c>
      <c r="FI11" t="e" vm="485">
        <v>#VALUE!</v>
      </c>
      <c r="FJ11" t="e" vm="486">
        <v>#VALUE!</v>
      </c>
      <c r="FK11" t="e" vm="487">
        <v>#VALUE!</v>
      </c>
      <c r="FL11" t="e" vm="488">
        <v>#VALUE!</v>
      </c>
      <c r="FM11" t="e" vm="489">
        <v>#VALUE!</v>
      </c>
      <c r="FN11" t="e" vm="490">
        <v>#VALUE!</v>
      </c>
      <c r="FO11" t="e" vm="491">
        <v>#VALUE!</v>
      </c>
      <c r="FP11" t="e" vm="492">
        <v>#VALUE!</v>
      </c>
      <c r="FQ11" t="e" vm="493">
        <v>#VALUE!</v>
      </c>
      <c r="FR11" t="e" vm="494">
        <v>#VALUE!</v>
      </c>
      <c r="FS11" t="e" vm="495">
        <v>#VALUE!</v>
      </c>
      <c r="FT11" t="e" vm="496">
        <v>#VALUE!</v>
      </c>
      <c r="FU11" t="e" vm="497">
        <v>#VALUE!</v>
      </c>
      <c r="FV11" t="e" vm="498">
        <v>#VALUE!</v>
      </c>
      <c r="FW11" t="e" vm="499">
        <v>#VALUE!</v>
      </c>
      <c r="FX11" t="e" vm="500">
        <v>#VALUE!</v>
      </c>
    </row>
    <row r="12" spans="1:180" ht="15.75" customHeight="1">
      <c r="A12">
        <v>11</v>
      </c>
      <c r="B12" t="s">
        <v>66</v>
      </c>
      <c r="C12" s="142"/>
      <c r="D12" s="559"/>
      <c r="E12" s="172" t="str">
        <f t="shared" si="3"/>
        <v/>
      </c>
      <c r="F12" s="555" t="str">
        <f t="shared" si="4"/>
        <v/>
      </c>
      <c r="G12" s="172" t="str">
        <f t="shared" si="5"/>
        <v/>
      </c>
      <c r="H12" t="str">
        <f t="shared" si="6"/>
        <v/>
      </c>
      <c r="I12" s="552" t="str" cm="1">
        <f t="array" ref="I12">IF(H12&lt;&gt;"",INDEX($B$2:$B$66,H12+1),"")</f>
        <v/>
      </c>
      <c r="J12" s="554" t="str">
        <f t="shared" si="0"/>
        <v/>
      </c>
      <c r="K12" t="str">
        <f>IF(LEN(K11)&gt;1,RIGHT(K11,LEN(K11)-1),"")</f>
        <v/>
      </c>
      <c r="L12" s="2" t="str">
        <f t="shared" si="8"/>
        <v/>
      </c>
      <c r="M12" t="str">
        <f t="shared" si="9"/>
        <v/>
      </c>
      <c r="N12" s="2" t="str">
        <f t="shared" si="10"/>
        <v/>
      </c>
      <c r="O12" s="172" t="str">
        <f t="shared" si="1"/>
        <v/>
      </c>
      <c r="P12" s="177" t="str">
        <f t="shared" si="11"/>
        <v/>
      </c>
      <c r="Q12" s="172" t="str">
        <f t="shared" si="2"/>
        <v/>
      </c>
      <c r="R12" s="553" t="str">
        <f t="shared" si="12"/>
        <v/>
      </c>
      <c r="S12" s="142"/>
      <c r="T12" s="7" t="s">
        <v>226</v>
      </c>
      <c r="U12" s="88" t="s">
        <v>975</v>
      </c>
      <c r="V12" s="63" t="s">
        <v>975</v>
      </c>
      <c r="W12" s="88" t="s">
        <v>975</v>
      </c>
      <c r="X12" s="63" t="s">
        <v>975</v>
      </c>
      <c r="Y12" s="89" t="s">
        <v>973</v>
      </c>
      <c r="Z12" s="90" t="s">
        <v>973</v>
      </c>
      <c r="AA12" s="89" t="s">
        <v>973</v>
      </c>
      <c r="AB12" s="90" t="s">
        <v>973</v>
      </c>
      <c r="AC12" s="89" t="s">
        <v>973</v>
      </c>
      <c r="AD12" s="90" t="s">
        <v>973</v>
      </c>
      <c r="AG12" s="63">
        <f t="shared" si="13"/>
        <v>-0.11142045017073035</v>
      </c>
      <c r="AH12" s="63">
        <f t="shared" si="14"/>
        <v>9.1046712018073322E-2</v>
      </c>
      <c r="AI12" s="63">
        <f t="shared" si="15"/>
        <v>-3.3899592194923979E-2</v>
      </c>
      <c r="AO12" s="8"/>
      <c r="BK12" s="7" t="b">
        <f>ISBLANK(WebCntrl2)</f>
        <v>0</v>
      </c>
      <c r="BL12" s="333"/>
      <c r="BM12" s="394"/>
      <c r="BN12" s="475"/>
      <c r="BO12" s="1201" t="s">
        <v>976</v>
      </c>
      <c r="BP12" s="1058"/>
      <c r="BQ12" s="1202"/>
      <c r="BR12" s="331">
        <v>0</v>
      </c>
      <c r="BS12" s="996" t="str">
        <f>IF(ISBLANK(WebCntrl2),"",AR18)</f>
        <v>un-lined</v>
      </c>
      <c r="BT12" s="999"/>
      <c r="BU12" s="333"/>
      <c r="BV12" s="1103" t="s">
        <v>977</v>
      </c>
      <c r="BW12" s="1103"/>
      <c r="BX12" s="1203" cm="1">
        <f t="array" ref="BX12">IF(BK1,"",IF(BJ18&lt;&gt;"",INDEX(BC19:BC82,Cntrl5),"OR"))</f>
        <v>1.9692115519542848</v>
      </c>
      <c r="BY12" s="1203"/>
      <c r="BZ12" s="334"/>
      <c r="CA12" s="1197"/>
      <c r="CB12" s="1197"/>
      <c r="CC12" s="1197"/>
      <c r="CD12" s="1197"/>
      <c r="CE12" s="1197"/>
      <c r="CF12" s="333"/>
      <c r="CG12" s="333"/>
      <c r="CH12" s="333"/>
      <c r="CI12" s="333"/>
      <c r="CJ12" s="333"/>
      <c r="CK12" s="333"/>
      <c r="CL12" s="333"/>
      <c r="CM12" s="333"/>
      <c r="CN12" s="333"/>
      <c r="CO12" s="333"/>
      <c r="CP12" s="336"/>
      <c r="EA12"/>
      <c r="EB12"/>
      <c r="EC12"/>
      <c r="ED12"/>
      <c r="EE12"/>
      <c r="EF12"/>
      <c r="EG12"/>
      <c r="EH12"/>
      <c r="EI12"/>
      <c r="EJ12"/>
      <c r="EK12" t="e" vm="501">
        <v>#VALUE!</v>
      </c>
      <c r="EL12" t="e" vm="502">
        <v>#VALUE!</v>
      </c>
      <c r="EM12" t="e" vm="503">
        <v>#VALUE!</v>
      </c>
      <c r="EN12" t="e" vm="504">
        <v>#VALUE!</v>
      </c>
      <c r="EO12" t="e" vm="505">
        <v>#VALUE!</v>
      </c>
      <c r="EP12" t="e" vm="506">
        <v>#VALUE!</v>
      </c>
      <c r="EQ12" t="e" vm="507">
        <v>#VALUE!</v>
      </c>
      <c r="ER12" t="e" vm="508">
        <v>#VALUE!</v>
      </c>
      <c r="ES12" t="e" vm="509">
        <v>#VALUE!</v>
      </c>
      <c r="ET12" t="e" vm="510">
        <v>#VALUE!</v>
      </c>
      <c r="EU12" t="e" vm="511">
        <v>#VALUE!</v>
      </c>
      <c r="EV12" t="e" vm="512">
        <v>#VALUE!</v>
      </c>
      <c r="EW12" t="e" vm="513">
        <v>#VALUE!</v>
      </c>
      <c r="EX12" t="e" vm="514">
        <v>#VALUE!</v>
      </c>
      <c r="EY12" t="e" vm="515">
        <v>#VALUE!</v>
      </c>
      <c r="EZ12" t="e" vm="516">
        <v>#VALUE!</v>
      </c>
      <c r="FA12" t="e" vm="517">
        <v>#VALUE!</v>
      </c>
      <c r="FB12" t="e" vm="518">
        <v>#VALUE!</v>
      </c>
      <c r="FC12" t="e" vm="519">
        <v>#VALUE!</v>
      </c>
      <c r="FD12" t="e" vm="520">
        <v>#VALUE!</v>
      </c>
      <c r="FE12" t="e" vm="521">
        <v>#VALUE!</v>
      </c>
      <c r="FF12" t="e" vm="522">
        <v>#VALUE!</v>
      </c>
      <c r="FG12" t="e" vm="523">
        <v>#VALUE!</v>
      </c>
      <c r="FH12" t="e" vm="524">
        <v>#VALUE!</v>
      </c>
      <c r="FI12" t="e" vm="525">
        <v>#VALUE!</v>
      </c>
      <c r="FJ12" t="e" vm="526">
        <v>#VALUE!</v>
      </c>
      <c r="FK12" t="e" vm="527">
        <v>#VALUE!</v>
      </c>
      <c r="FL12" t="e" vm="528">
        <v>#VALUE!</v>
      </c>
      <c r="FM12" t="e" vm="529">
        <v>#VALUE!</v>
      </c>
      <c r="FN12" t="e" vm="530">
        <v>#VALUE!</v>
      </c>
      <c r="FO12" t="e" vm="531">
        <v>#VALUE!</v>
      </c>
      <c r="FP12" t="e" vm="532">
        <v>#VALUE!</v>
      </c>
      <c r="FQ12" t="e" vm="533">
        <v>#VALUE!</v>
      </c>
      <c r="FR12" t="e" vm="534">
        <v>#VALUE!</v>
      </c>
      <c r="FS12" t="e" vm="535">
        <v>#VALUE!</v>
      </c>
      <c r="FT12" t="e" vm="536">
        <v>#VALUE!</v>
      </c>
      <c r="FU12" t="e" vm="537">
        <v>#VALUE!</v>
      </c>
      <c r="FV12" t="e" vm="538">
        <v>#VALUE!</v>
      </c>
      <c r="FW12" t="e" vm="539">
        <v>#VALUE!</v>
      </c>
      <c r="FX12" t="e" vm="540">
        <v>#VALUE!</v>
      </c>
    </row>
    <row r="13" spans="1:180" ht="16.5" customHeight="1" thickBot="1">
      <c r="A13">
        <v>12</v>
      </c>
      <c r="B13" t="s">
        <v>75</v>
      </c>
      <c r="C13" s="142"/>
      <c r="D13" s="559"/>
      <c r="E13" s="172" t="str">
        <f t="shared" si="3"/>
        <v/>
      </c>
      <c r="F13" s="555" t="str">
        <f t="shared" si="4"/>
        <v/>
      </c>
      <c r="G13" s="172" t="str">
        <f t="shared" si="5"/>
        <v/>
      </c>
      <c r="H13" t="str">
        <f t="shared" si="6"/>
        <v/>
      </c>
      <c r="I13" s="552" t="str" cm="1">
        <f t="array" ref="I13">IF(H13&lt;&gt;"",INDEX($B$2:$B$66,H13+1),"")</f>
        <v/>
      </c>
      <c r="J13" s="554" t="str">
        <f t="shared" si="0"/>
        <v/>
      </c>
      <c r="K13" t="str">
        <f t="shared" ref="K13:K27" si="16">IF(LEN(K12)&gt;1,RIGHT(K12,LEN(K12)-1),"")</f>
        <v/>
      </c>
      <c r="L13" s="2" t="str">
        <f t="shared" si="8"/>
        <v/>
      </c>
      <c r="M13" t="str">
        <f t="shared" si="9"/>
        <v/>
      </c>
      <c r="N13" s="2" t="str">
        <f t="shared" si="10"/>
        <v/>
      </c>
      <c r="O13" s="172" t="str">
        <f t="shared" si="1"/>
        <v/>
      </c>
      <c r="P13" s="177" t="str">
        <f t="shared" si="11"/>
        <v/>
      </c>
      <c r="Q13" s="172" t="str">
        <f t="shared" si="2"/>
        <v/>
      </c>
      <c r="R13" s="553" t="str">
        <f t="shared" si="12"/>
        <v/>
      </c>
      <c r="S13" s="142"/>
      <c r="U13" s="12"/>
      <c r="V13" s="12"/>
      <c r="W13" s="29"/>
      <c r="X13" s="30"/>
      <c r="Y13" s="29"/>
      <c r="Z13" s="30"/>
      <c r="AA13" s="29"/>
      <c r="AB13" s="30"/>
      <c r="AC13" s="12"/>
      <c r="AD13" s="30"/>
      <c r="AF13" s="18" t="s">
        <v>0</v>
      </c>
      <c r="AG13" s="63">
        <f t="shared" si="13"/>
        <v>0.3438974683512121</v>
      </c>
      <c r="AH13" s="63">
        <f t="shared" si="14"/>
        <v>0.28952031746033441</v>
      </c>
      <c r="AI13" s="63">
        <f t="shared" si="15"/>
        <v>0.302434433599438</v>
      </c>
      <c r="AM13" s="8"/>
      <c r="AO13" s="8"/>
      <c r="BL13" s="333"/>
      <c r="BM13" s="394"/>
      <c r="BN13" s="475"/>
      <c r="BO13" s="333"/>
      <c r="BP13" s="333"/>
      <c r="BQ13" s="333"/>
      <c r="BR13" s="333"/>
      <c r="BS13" s="333"/>
      <c r="BT13" s="333"/>
      <c r="BU13" s="333"/>
      <c r="BV13" s="1103"/>
      <c r="BW13" s="1103"/>
      <c r="BX13" s="1203"/>
      <c r="BY13" s="1203"/>
      <c r="BZ13" s="334"/>
      <c r="CA13" s="1197"/>
      <c r="CB13" s="1197"/>
      <c r="CC13" s="1197"/>
      <c r="CD13" s="1197"/>
      <c r="CE13" s="1197"/>
      <c r="CF13" s="333"/>
      <c r="CG13" s="333" t="s">
        <v>978</v>
      </c>
      <c r="CH13" s="333"/>
      <c r="CI13" s="333"/>
      <c r="CJ13" s="333"/>
      <c r="CK13" s="333"/>
      <c r="CL13" s="333"/>
      <c r="CM13" s="333"/>
      <c r="CN13" s="333"/>
      <c r="CO13" s="333"/>
      <c r="CP13" s="336"/>
      <c r="EA13"/>
      <c r="EB13"/>
      <c r="EC13"/>
      <c r="ED13"/>
      <c r="EE13"/>
      <c r="EF13"/>
      <c r="EG13"/>
      <c r="EH13"/>
      <c r="EI13"/>
      <c r="EJ13"/>
      <c r="EK13" t="e" vm="541">
        <v>#VALUE!</v>
      </c>
      <c r="EL13" t="e" vm="542">
        <v>#VALUE!</v>
      </c>
      <c r="EM13" t="e" vm="543">
        <v>#VALUE!</v>
      </c>
      <c r="EN13" t="e" vm="544">
        <v>#VALUE!</v>
      </c>
      <c r="EO13" t="e" vm="545">
        <v>#VALUE!</v>
      </c>
      <c r="EP13" t="e" vm="546">
        <v>#VALUE!</v>
      </c>
      <c r="EQ13" t="e" vm="547">
        <v>#VALUE!</v>
      </c>
      <c r="ER13" t="e" vm="548">
        <v>#VALUE!</v>
      </c>
      <c r="ES13" t="e" vm="549">
        <v>#VALUE!</v>
      </c>
      <c r="ET13" t="e" vm="550">
        <v>#VALUE!</v>
      </c>
      <c r="EU13" t="e" vm="551">
        <v>#VALUE!</v>
      </c>
      <c r="EV13" t="e" vm="552">
        <v>#VALUE!</v>
      </c>
      <c r="EW13" t="e" vm="553">
        <v>#VALUE!</v>
      </c>
      <c r="EX13" t="e" vm="554">
        <v>#VALUE!</v>
      </c>
      <c r="EY13" t="e" vm="555">
        <v>#VALUE!</v>
      </c>
      <c r="EZ13" t="e" vm="556">
        <v>#VALUE!</v>
      </c>
      <c r="FA13" t="e" vm="557">
        <v>#VALUE!</v>
      </c>
      <c r="FB13" t="e" vm="558">
        <v>#VALUE!</v>
      </c>
      <c r="FC13" t="e" vm="559">
        <v>#VALUE!</v>
      </c>
      <c r="FD13" t="e" vm="560">
        <v>#VALUE!</v>
      </c>
      <c r="FE13" t="e" vm="561">
        <v>#VALUE!</v>
      </c>
      <c r="FF13" t="e" vm="562">
        <v>#VALUE!</v>
      </c>
      <c r="FG13" t="e" vm="563">
        <v>#VALUE!</v>
      </c>
      <c r="FH13" t="e" vm="564">
        <v>#VALUE!</v>
      </c>
      <c r="FI13" t="e" vm="565">
        <v>#VALUE!</v>
      </c>
      <c r="FJ13" t="e" vm="566">
        <v>#VALUE!</v>
      </c>
      <c r="FK13" t="e" vm="567">
        <v>#VALUE!</v>
      </c>
      <c r="FL13" t="e" vm="568">
        <v>#VALUE!</v>
      </c>
      <c r="FM13" t="e" vm="569">
        <v>#VALUE!</v>
      </c>
      <c r="FN13" t="e" vm="570">
        <v>#VALUE!</v>
      </c>
      <c r="FO13" t="e" vm="571">
        <v>#VALUE!</v>
      </c>
      <c r="FP13" t="e" vm="572">
        <v>#VALUE!</v>
      </c>
      <c r="FQ13" t="e" vm="573">
        <v>#VALUE!</v>
      </c>
      <c r="FR13" t="e" vm="574">
        <v>#VALUE!</v>
      </c>
      <c r="FS13" t="e" vm="575">
        <v>#VALUE!</v>
      </c>
      <c r="FT13" t="e" vm="576">
        <v>#VALUE!</v>
      </c>
      <c r="FU13" t="e" vm="577">
        <v>#VALUE!</v>
      </c>
      <c r="FV13" t="e" vm="578">
        <v>#VALUE!</v>
      </c>
      <c r="FW13" t="e" vm="579">
        <v>#VALUE!</v>
      </c>
      <c r="FX13" t="e" vm="580">
        <v>#VALUE!</v>
      </c>
    </row>
    <row r="14" spans="1:180">
      <c r="A14">
        <v>13</v>
      </c>
      <c r="B14" t="s">
        <v>82</v>
      </c>
      <c r="C14" s="142"/>
      <c r="D14" s="559"/>
      <c r="E14" s="172" t="str">
        <f t="shared" si="3"/>
        <v/>
      </c>
      <c r="F14" s="555" t="str">
        <f t="shared" si="4"/>
        <v/>
      </c>
      <c r="G14" s="172" t="str">
        <f t="shared" si="5"/>
        <v/>
      </c>
      <c r="H14" t="str">
        <f t="shared" si="6"/>
        <v/>
      </c>
      <c r="I14" s="552" t="str" cm="1">
        <f t="array" ref="I14">IF(H14&lt;&gt;"",INDEX($B$2:$B$66,H14+1),"")</f>
        <v/>
      </c>
      <c r="J14" s="554" t="str">
        <f t="shared" si="0"/>
        <v/>
      </c>
      <c r="K14" t="str">
        <f t="shared" si="16"/>
        <v/>
      </c>
      <c r="L14" s="2" t="str">
        <f t="shared" si="8"/>
        <v/>
      </c>
      <c r="M14" t="str">
        <f t="shared" si="9"/>
        <v/>
      </c>
      <c r="N14" s="2" t="str">
        <f t="shared" si="10"/>
        <v/>
      </c>
      <c r="O14" s="172" t="str">
        <f t="shared" si="1"/>
        <v/>
      </c>
      <c r="P14" s="177" t="str">
        <f t="shared" si="11"/>
        <v/>
      </c>
      <c r="Q14" s="172" t="str">
        <f t="shared" si="2"/>
        <v/>
      </c>
      <c r="R14" s="553" t="str">
        <f t="shared" si="12"/>
        <v/>
      </c>
      <c r="S14" s="142"/>
      <c r="T14" s="7" t="s">
        <v>212</v>
      </c>
      <c r="U14" s="92">
        <v>-8.5144685725275213E-2</v>
      </c>
      <c r="V14" s="93">
        <v>0.25528527669293088</v>
      </c>
      <c r="W14" s="92">
        <v>-4.7968873238522849E-2</v>
      </c>
      <c r="X14" s="94">
        <v>-7.2632747872422524E-3</v>
      </c>
      <c r="Y14" s="93">
        <v>-2.4731656975550135E-2</v>
      </c>
      <c r="Z14" s="93">
        <v>-7.7989459865191124E-2</v>
      </c>
      <c r="AA14" s="92">
        <v>2.7670064300081803E-3</v>
      </c>
      <c r="AB14" s="94">
        <v>-4.5290471852988984E-2</v>
      </c>
      <c r="AC14" s="93">
        <v>-2.199083961657698E-3</v>
      </c>
      <c r="AD14" s="94">
        <v>-4.9125536536077485E-2</v>
      </c>
      <c r="AE14" s="8"/>
      <c r="AF14" s="95">
        <f t="shared" ref="AF14:AF40" si="17">INDEX(U14:AD14,1,$AF$3)</f>
        <v>-2.4731656975550135E-2</v>
      </c>
      <c r="AO14" s="8"/>
      <c r="BL14" s="333"/>
      <c r="BM14" s="333"/>
      <c r="BN14" s="333"/>
      <c r="BO14" s="333"/>
      <c r="BP14" s="333"/>
      <c r="BQ14" s="333"/>
      <c r="BR14" s="333"/>
      <c r="BS14" s="333"/>
      <c r="BT14" s="333"/>
      <c r="BU14" s="333"/>
      <c r="BV14" s="333"/>
      <c r="BW14" s="333"/>
      <c r="BX14" s="333"/>
      <c r="BY14" s="333"/>
      <c r="BZ14" s="334"/>
      <c r="CA14" s="1197"/>
      <c r="CB14" s="1197"/>
      <c r="CC14" s="1197"/>
      <c r="CD14" s="1197"/>
      <c r="CE14" s="1197"/>
      <c r="CF14" s="333"/>
      <c r="CG14" s="333" t="s">
        <v>979</v>
      </c>
      <c r="CH14" s="333"/>
      <c r="CI14" s="333"/>
      <c r="CJ14" s="333"/>
      <c r="CK14" s="333"/>
      <c r="CL14" s="333"/>
      <c r="CM14" s="333"/>
      <c r="CN14" s="333"/>
      <c r="CO14" s="333"/>
      <c r="CP14" s="336"/>
      <c r="EA14"/>
      <c r="EB14"/>
      <c r="EC14"/>
      <c r="ED14"/>
      <c r="EE14"/>
      <c r="EF14"/>
      <c r="EG14"/>
      <c r="EH14"/>
      <c r="EI14"/>
      <c r="EJ14"/>
      <c r="EK14" t="e" vm="581">
        <v>#VALUE!</v>
      </c>
      <c r="EL14" t="e" vm="582">
        <v>#VALUE!</v>
      </c>
      <c r="EM14" t="e" vm="583">
        <v>#VALUE!</v>
      </c>
      <c r="EN14" t="e" vm="584">
        <v>#VALUE!</v>
      </c>
      <c r="EO14" t="e" vm="585">
        <v>#VALUE!</v>
      </c>
      <c r="EP14" t="e" vm="586">
        <v>#VALUE!</v>
      </c>
      <c r="EQ14" t="e" vm="587">
        <v>#VALUE!</v>
      </c>
      <c r="ER14" t="e" vm="588">
        <v>#VALUE!</v>
      </c>
      <c r="ES14" t="e" vm="589">
        <v>#VALUE!</v>
      </c>
      <c r="ET14" t="e" vm="590">
        <v>#VALUE!</v>
      </c>
      <c r="EU14" t="e" vm="591">
        <v>#VALUE!</v>
      </c>
      <c r="EV14" t="e" vm="592">
        <v>#VALUE!</v>
      </c>
      <c r="EW14" t="e" vm="593">
        <v>#VALUE!</v>
      </c>
      <c r="EX14" t="e" vm="594">
        <v>#VALUE!</v>
      </c>
      <c r="EY14" t="e" vm="595">
        <v>#VALUE!</v>
      </c>
      <c r="EZ14" t="e" vm="596">
        <v>#VALUE!</v>
      </c>
      <c r="FA14" t="e" vm="597">
        <v>#VALUE!</v>
      </c>
      <c r="FB14" t="e" vm="598">
        <v>#VALUE!</v>
      </c>
      <c r="FC14" t="e" vm="599">
        <v>#VALUE!</v>
      </c>
      <c r="FD14" t="e" vm="600">
        <v>#VALUE!</v>
      </c>
      <c r="FE14" t="e" vm="601">
        <v>#VALUE!</v>
      </c>
      <c r="FF14" t="e" vm="602">
        <v>#VALUE!</v>
      </c>
      <c r="FG14" t="e" vm="603">
        <v>#VALUE!</v>
      </c>
      <c r="FH14" t="e" vm="604">
        <v>#VALUE!</v>
      </c>
      <c r="FI14" t="e" vm="605">
        <v>#VALUE!</v>
      </c>
      <c r="FJ14" t="e" vm="606">
        <v>#VALUE!</v>
      </c>
      <c r="FK14" t="e" vm="607">
        <v>#VALUE!</v>
      </c>
      <c r="FL14" t="e" vm="608">
        <v>#VALUE!</v>
      </c>
      <c r="FM14" t="e" vm="609">
        <v>#VALUE!</v>
      </c>
      <c r="FN14" t="e" vm="610">
        <v>#VALUE!</v>
      </c>
      <c r="FO14" t="e" vm="611">
        <v>#VALUE!</v>
      </c>
      <c r="FP14" t="e" vm="612">
        <v>#VALUE!</v>
      </c>
      <c r="FQ14" t="e" vm="613">
        <v>#VALUE!</v>
      </c>
      <c r="FR14" t="e" vm="614">
        <v>#VALUE!</v>
      </c>
      <c r="FS14" t="e" vm="615">
        <v>#VALUE!</v>
      </c>
      <c r="FT14" t="e" vm="616">
        <v>#VALUE!</v>
      </c>
      <c r="FU14" t="e" vm="617">
        <v>#VALUE!</v>
      </c>
      <c r="FV14" t="e" vm="618">
        <v>#VALUE!</v>
      </c>
      <c r="FW14" t="e" vm="619">
        <v>#VALUE!</v>
      </c>
      <c r="FX14" t="e" vm="620">
        <v>#VALUE!</v>
      </c>
    </row>
    <row r="15" spans="1:180">
      <c r="A15">
        <v>14</v>
      </c>
      <c r="B15" t="s">
        <v>88</v>
      </c>
      <c r="C15" s="142"/>
      <c r="D15" s="559"/>
      <c r="E15" s="172" t="str">
        <f t="shared" si="3"/>
        <v/>
      </c>
      <c r="F15" s="555" t="str">
        <f>IF(LEN(F14)&gt;=6,RIGHT(F14,LEN(F14)-6),"")</f>
        <v/>
      </c>
      <c r="G15" s="172" t="str">
        <f t="shared" si="5"/>
        <v/>
      </c>
      <c r="H15" t="str">
        <f t="shared" si="6"/>
        <v/>
      </c>
      <c r="I15" s="552" t="str" cm="1">
        <f t="array" ref="I15">IF(H15&lt;&gt;"",INDEX($B$2:$B$66,H15+1),"")</f>
        <v/>
      </c>
      <c r="J15" s="554" t="str">
        <f t="shared" si="0"/>
        <v/>
      </c>
      <c r="K15" t="str">
        <f t="shared" si="16"/>
        <v/>
      </c>
      <c r="L15" s="2" t="str">
        <f t="shared" si="8"/>
        <v/>
      </c>
      <c r="M15" t="str">
        <f t="shared" si="9"/>
        <v/>
      </c>
      <c r="N15" s="2" t="str">
        <f t="shared" si="10"/>
        <v/>
      </c>
      <c r="O15" s="172" t="str">
        <f t="shared" si="1"/>
        <v/>
      </c>
      <c r="P15" s="177" t="str">
        <f t="shared" si="11"/>
        <v/>
      </c>
      <c r="Q15" s="172" t="str">
        <f t="shared" si="2"/>
        <v/>
      </c>
      <c r="R15" s="553" t="str">
        <f t="shared" si="12"/>
        <v/>
      </c>
      <c r="S15" s="142"/>
      <c r="U15" s="96">
        <v>0.14107137994930982</v>
      </c>
      <c r="V15" s="18">
        <v>-0.34806879651244771</v>
      </c>
      <c r="W15" s="96">
        <v>6.6825268179457178E-2</v>
      </c>
      <c r="X15" s="97">
        <v>-4.0556250084055882E-2</v>
      </c>
      <c r="Y15" s="18">
        <v>3.5750337559835109E-2</v>
      </c>
      <c r="Z15" s="18">
        <v>6.8984491303436465E-2</v>
      </c>
      <c r="AA15" s="96">
        <v>1.019975818512403E-3</v>
      </c>
      <c r="AB15" s="97">
        <v>4.8620519393011659E-2</v>
      </c>
      <c r="AC15" s="18">
        <v>1.0139660413486549E-2</v>
      </c>
      <c r="AD15" s="97">
        <v>6.8540036692692999E-2</v>
      </c>
      <c r="AE15" s="8"/>
      <c r="AF15" s="98">
        <f t="shared" si="17"/>
        <v>3.5750337559835109E-2</v>
      </c>
      <c r="AG15" s="63"/>
      <c r="AO15" s="8"/>
      <c r="BI15" s="7">
        <f>FLOOR(BA18*BJ18*1000,10)/10</f>
        <v>12</v>
      </c>
      <c r="BJ15" s="7">
        <f>(AU17-1)*10+(AV17-1)+(AR17-1)*5</f>
        <v>24</v>
      </c>
      <c r="BL15" s="333"/>
      <c r="BM15" s="333"/>
      <c r="BN15" s="333"/>
      <c r="BO15" s="333"/>
      <c r="BP15" s="333"/>
      <c r="BQ15" s="333"/>
      <c r="BR15" s="333"/>
      <c r="BS15" s="333"/>
      <c r="BT15" s="333"/>
      <c r="BU15" s="333"/>
      <c r="BV15" s="333"/>
      <c r="BW15" s="333"/>
      <c r="BX15" s="333"/>
      <c r="BY15" s="333"/>
      <c r="BZ15" s="333"/>
      <c r="CA15" s="334"/>
      <c r="CB15" s="333"/>
      <c r="CC15" s="333"/>
      <c r="CD15" s="333"/>
      <c r="CE15" s="333"/>
      <c r="CF15" s="333"/>
      <c r="CG15" s="333" t="s">
        <v>980</v>
      </c>
      <c r="CH15" s="333"/>
      <c r="CI15" s="333"/>
      <c r="CJ15" s="333"/>
      <c r="CK15" s="333"/>
      <c r="CL15" s="333"/>
      <c r="CM15" s="333"/>
      <c r="CN15" s="333"/>
      <c r="CO15" s="333"/>
      <c r="CP15" s="336"/>
      <c r="EA15"/>
      <c r="EB15"/>
      <c r="EC15"/>
      <c r="ED15"/>
      <c r="EE15"/>
      <c r="EF15"/>
      <c r="EG15"/>
      <c r="EH15"/>
      <c r="EI15"/>
      <c r="EJ15"/>
      <c r="EK15" t="e" vm="621">
        <v>#VALUE!</v>
      </c>
      <c r="EL15" t="e" vm="622">
        <v>#VALUE!</v>
      </c>
      <c r="EM15" t="e" vm="623">
        <v>#VALUE!</v>
      </c>
      <c r="EN15" t="e" vm="624">
        <v>#VALUE!</v>
      </c>
      <c r="EO15" t="e" vm="625">
        <v>#VALUE!</v>
      </c>
      <c r="EP15" t="e" vm="626">
        <v>#VALUE!</v>
      </c>
      <c r="EQ15" t="e" vm="627">
        <v>#VALUE!</v>
      </c>
      <c r="ER15" t="e" vm="628">
        <v>#VALUE!</v>
      </c>
      <c r="ES15" t="e" vm="629">
        <v>#VALUE!</v>
      </c>
      <c r="ET15" t="e" vm="630">
        <v>#VALUE!</v>
      </c>
      <c r="EU15" t="e" vm="631">
        <v>#VALUE!</v>
      </c>
      <c r="EV15" t="e" vm="632">
        <v>#VALUE!</v>
      </c>
      <c r="EW15" t="e" vm="633">
        <v>#VALUE!</v>
      </c>
      <c r="EX15" t="e" vm="634">
        <v>#VALUE!</v>
      </c>
      <c r="EY15" t="e" vm="635">
        <v>#VALUE!</v>
      </c>
      <c r="EZ15" t="e" vm="636">
        <v>#VALUE!</v>
      </c>
      <c r="FA15" t="e" vm="637">
        <v>#VALUE!</v>
      </c>
      <c r="FB15" t="e" vm="638">
        <v>#VALUE!</v>
      </c>
      <c r="FC15" t="e" vm="639">
        <v>#VALUE!</v>
      </c>
      <c r="FD15" t="e" vm="640">
        <v>#VALUE!</v>
      </c>
      <c r="FE15" t="e" vm="641">
        <v>#VALUE!</v>
      </c>
      <c r="FF15" t="e" vm="642">
        <v>#VALUE!</v>
      </c>
      <c r="FG15" t="e" vm="643">
        <v>#VALUE!</v>
      </c>
      <c r="FH15" t="e" vm="644">
        <v>#VALUE!</v>
      </c>
      <c r="FI15" t="e" vm="645">
        <v>#VALUE!</v>
      </c>
      <c r="FJ15" t="e" vm="646">
        <v>#VALUE!</v>
      </c>
      <c r="FK15" t="e" vm="647">
        <v>#VALUE!</v>
      </c>
      <c r="FL15" t="e" vm="648">
        <v>#VALUE!</v>
      </c>
      <c r="FM15" t="e" vm="649">
        <v>#VALUE!</v>
      </c>
      <c r="FN15" t="e" vm="650">
        <v>#VALUE!</v>
      </c>
      <c r="FO15" t="e" vm="651">
        <v>#VALUE!</v>
      </c>
      <c r="FP15" t="e" vm="652">
        <v>#VALUE!</v>
      </c>
      <c r="FQ15" t="e" vm="653">
        <v>#VALUE!</v>
      </c>
      <c r="FR15" t="e" vm="654">
        <v>#VALUE!</v>
      </c>
      <c r="FS15" t="e" vm="655">
        <v>#VALUE!</v>
      </c>
      <c r="FT15" t="e" vm="656">
        <v>#VALUE!</v>
      </c>
      <c r="FU15" t="e" vm="657">
        <v>#VALUE!</v>
      </c>
      <c r="FV15" t="e" vm="658">
        <v>#VALUE!</v>
      </c>
      <c r="FW15" t="e" vm="659">
        <v>#VALUE!</v>
      </c>
      <c r="FX15" t="e" vm="660">
        <v>#VALUE!</v>
      </c>
    </row>
    <row r="16" spans="1:180">
      <c r="A16">
        <v>15</v>
      </c>
      <c r="B16" t="s">
        <v>96</v>
      </c>
      <c r="C16" s="142"/>
      <c r="D16" s="559"/>
      <c r="E16" s="172" t="str">
        <f t="shared" si="3"/>
        <v/>
      </c>
      <c r="F16" s="555" t="str">
        <f t="shared" ref="F16:F27" si="18">IF(LEN(F15)&gt;=6,RIGHT(F15,LEN(F15)-6),"")</f>
        <v/>
      </c>
      <c r="G16" s="172" t="str">
        <f t="shared" si="5"/>
        <v/>
      </c>
      <c r="H16" t="str">
        <f t="shared" si="6"/>
        <v/>
      </c>
      <c r="I16" s="552" t="str" cm="1">
        <f t="array" ref="I16">IF(H16&lt;&gt;"",INDEX($B$2:$B$66,H16+1),"")</f>
        <v/>
      </c>
      <c r="J16" s="554" t="str">
        <f t="shared" si="0"/>
        <v/>
      </c>
      <c r="K16" t="str">
        <f t="shared" si="16"/>
        <v/>
      </c>
      <c r="L16" s="2" t="str">
        <f t="shared" si="8"/>
        <v/>
      </c>
      <c r="M16" t="str">
        <f t="shared" si="9"/>
        <v/>
      </c>
      <c r="N16" s="2" t="str">
        <f t="shared" si="10"/>
        <v/>
      </c>
      <c r="O16" s="172" t="str">
        <f t="shared" si="1"/>
        <v/>
      </c>
      <c r="P16" s="177" t="str">
        <f t="shared" si="11"/>
        <v/>
      </c>
      <c r="Q16" s="172" t="str">
        <f t="shared" si="2"/>
        <v/>
      </c>
      <c r="R16" s="553" t="str">
        <f t="shared" si="12"/>
        <v/>
      </c>
      <c r="S16" s="142"/>
      <c r="U16" s="96">
        <v>-8.0658849528901511E-2</v>
      </c>
      <c r="V16" s="18">
        <v>3.7469631110727819E-3</v>
      </c>
      <c r="W16" s="96">
        <v>-3.1473853920966882E-2</v>
      </c>
      <c r="X16" s="97">
        <v>1.6890389714699659E-2</v>
      </c>
      <c r="Y16" s="18">
        <v>-1.7631925659547451E-2</v>
      </c>
      <c r="Z16" s="18">
        <v>-1.2787055357690036E-2</v>
      </c>
      <c r="AA16" s="96">
        <v>-3.7415651774630092E-3</v>
      </c>
      <c r="AB16" s="97">
        <v>-8.4952148035383566E-3</v>
      </c>
      <c r="AC16" s="18">
        <v>-8.8647369019276678E-3</v>
      </c>
      <c r="AD16" s="97">
        <v>-4.172189962171232E-2</v>
      </c>
      <c r="AE16" s="8"/>
      <c r="AF16" s="99">
        <f t="shared" si="17"/>
        <v>-1.7631925659547451E-2</v>
      </c>
      <c r="AG16" s="63"/>
      <c r="AO16" s="8"/>
      <c r="AP16" s="8"/>
      <c r="AQ16" s="8"/>
      <c r="AR16" s="8"/>
      <c r="AS16" s="8"/>
      <c r="AT16" s="8"/>
      <c r="AU16" s="8"/>
      <c r="AX16" s="12"/>
      <c r="BL16" s="333"/>
      <c r="BM16" s="1105" t="s">
        <v>148</v>
      </c>
      <c r="BN16" s="1106"/>
      <c r="BO16" s="1107" t="s">
        <v>981</v>
      </c>
      <c r="BP16" s="1107"/>
      <c r="BQ16" s="1107"/>
      <c r="BR16" s="1107"/>
      <c r="BS16" s="1204"/>
      <c r="BT16" s="1105" t="s">
        <v>148</v>
      </c>
      <c r="BU16" s="1106"/>
      <c r="BV16" s="1107" t="s">
        <v>981</v>
      </c>
      <c r="BW16" s="1107"/>
      <c r="BX16" s="1107"/>
      <c r="BY16" s="1107"/>
      <c r="BZ16" s="1204"/>
      <c r="CA16" s="334"/>
      <c r="CB16" s="334"/>
      <c r="CC16" s="334"/>
      <c r="CD16" s="334"/>
      <c r="CE16" s="334"/>
      <c r="CF16" s="334"/>
      <c r="CG16" s="333"/>
      <c r="CH16" s="333"/>
      <c r="CI16" s="333"/>
      <c r="CJ16" s="333"/>
      <c r="CK16" s="333"/>
      <c r="CL16" s="333"/>
      <c r="CM16" s="333"/>
      <c r="CN16" s="333"/>
      <c r="CO16" s="333"/>
      <c r="CP16" s="336"/>
      <c r="EA16"/>
      <c r="EB16"/>
      <c r="EC16"/>
      <c r="ED16"/>
      <c r="EE16"/>
      <c r="EF16"/>
      <c r="EG16"/>
      <c r="EH16"/>
      <c r="EI16"/>
      <c r="EJ16"/>
      <c r="EK16"/>
      <c r="EL16"/>
      <c r="EM16"/>
      <c r="EN16"/>
      <c r="EO16"/>
      <c r="EP16"/>
      <c r="EQ16"/>
      <c r="ER16"/>
      <c r="ES16"/>
      <c r="ET16"/>
      <c r="EU16" t="e" vm="661">
        <v>#VALUE!</v>
      </c>
      <c r="EV16" t="e" vm="662">
        <v>#VALUE!</v>
      </c>
      <c r="EW16" t="e" vm="663">
        <v>#VALUE!</v>
      </c>
      <c r="EX16" t="e" vm="664">
        <v>#VALUE!</v>
      </c>
      <c r="EY16" t="e" vm="665">
        <v>#VALUE!</v>
      </c>
      <c r="EZ16" t="e" vm="666">
        <v>#VALUE!</v>
      </c>
      <c r="FA16" t="e" vm="667">
        <v>#VALUE!</v>
      </c>
      <c r="FB16" t="e" vm="668">
        <v>#VALUE!</v>
      </c>
      <c r="FC16" t="e" vm="669">
        <v>#VALUE!</v>
      </c>
      <c r="FD16" t="e" vm="670">
        <v>#VALUE!</v>
      </c>
      <c r="FE16" t="e" vm="671">
        <v>#VALUE!</v>
      </c>
      <c r="FF16" t="e" vm="672">
        <v>#VALUE!</v>
      </c>
      <c r="FG16" t="e" vm="673">
        <v>#VALUE!</v>
      </c>
      <c r="FH16" t="e" vm="674">
        <v>#VALUE!</v>
      </c>
      <c r="FI16" t="e" vm="675">
        <v>#VALUE!</v>
      </c>
      <c r="FJ16" t="e" vm="676">
        <v>#VALUE!</v>
      </c>
      <c r="FK16" t="e" vm="677">
        <v>#VALUE!</v>
      </c>
      <c r="FL16" t="e" vm="678">
        <v>#VALUE!</v>
      </c>
      <c r="FM16" t="e" vm="679">
        <v>#VALUE!</v>
      </c>
      <c r="FN16" t="e" vm="680">
        <v>#VALUE!</v>
      </c>
      <c r="FO16" t="e" vm="681">
        <v>#VALUE!</v>
      </c>
      <c r="FP16" t="e" vm="682">
        <v>#VALUE!</v>
      </c>
      <c r="FQ16" t="e" vm="683">
        <v>#VALUE!</v>
      </c>
      <c r="FR16" t="e" vm="684">
        <v>#VALUE!</v>
      </c>
      <c r="FS16" t="e" vm="685">
        <v>#VALUE!</v>
      </c>
      <c r="FT16" t="e" vm="686">
        <v>#VALUE!</v>
      </c>
      <c r="FU16" t="e" vm="687">
        <v>#VALUE!</v>
      </c>
      <c r="FV16" t="e" vm="688">
        <v>#VALUE!</v>
      </c>
      <c r="FW16" t="e" vm="689">
        <v>#VALUE!</v>
      </c>
      <c r="FX16" t="e" vm="690">
        <v>#VALUE!</v>
      </c>
    </row>
    <row r="17" spans="1:180">
      <c r="A17">
        <v>16</v>
      </c>
      <c r="B17" t="s">
        <v>103</v>
      </c>
      <c r="C17" s="142"/>
      <c r="D17" s="559"/>
      <c r="E17" s="172" t="str">
        <f t="shared" si="3"/>
        <v/>
      </c>
      <c r="F17" s="555" t="str">
        <f t="shared" si="18"/>
        <v/>
      </c>
      <c r="G17" s="172" t="str">
        <f t="shared" si="5"/>
        <v/>
      </c>
      <c r="H17" t="str">
        <f t="shared" si="6"/>
        <v/>
      </c>
      <c r="I17" s="552" t="str" cm="1">
        <f t="array" ref="I17">IF(H17&lt;&gt;"",INDEX($B$2:$B$66,H17+1),"")</f>
        <v/>
      </c>
      <c r="J17" s="554" t="str">
        <f t="shared" si="0"/>
        <v/>
      </c>
      <c r="K17" t="str">
        <f t="shared" si="16"/>
        <v/>
      </c>
      <c r="L17" s="2" t="str">
        <f t="shared" si="8"/>
        <v/>
      </c>
      <c r="M17" t="str">
        <f t="shared" si="9"/>
        <v/>
      </c>
      <c r="N17" s="2" t="str">
        <f t="shared" si="10"/>
        <v/>
      </c>
      <c r="O17" s="172" t="str">
        <f t="shared" si="1"/>
        <v/>
      </c>
      <c r="P17" s="177" t="str">
        <f t="shared" si="11"/>
        <v/>
      </c>
      <c r="Q17" s="172" t="str">
        <f t="shared" si="2"/>
        <v/>
      </c>
      <c r="R17" s="553" t="str">
        <f t="shared" si="12"/>
        <v/>
      </c>
      <c r="S17" s="142"/>
      <c r="U17" s="96">
        <v>-0.30316314705405589</v>
      </c>
      <c r="V17" s="18">
        <v>-1.6417526729836494</v>
      </c>
      <c r="W17" s="96">
        <v>-0.39371124967653731</v>
      </c>
      <c r="X17" s="97">
        <v>-0.7165899829960608</v>
      </c>
      <c r="Y17" s="18">
        <v>-0.40909433945109719</v>
      </c>
      <c r="Z17" s="18">
        <v>-0.18171544148598059</v>
      </c>
      <c r="AA17" s="96">
        <v>-0.57113851282349004</v>
      </c>
      <c r="AB17" s="97">
        <v>-0.20530188003231456</v>
      </c>
      <c r="AC17" s="18">
        <v>-0.545024478496694</v>
      </c>
      <c r="AD17" s="97">
        <v>0.11265884393893963</v>
      </c>
      <c r="AE17" s="8"/>
      <c r="AF17" s="100">
        <f t="shared" si="17"/>
        <v>-0.40909433945109719</v>
      </c>
      <c r="AO17" s="8"/>
      <c r="AQ17" s="635">
        <v>2</v>
      </c>
      <c r="AR17" s="9">
        <f>AQ18-1</f>
        <v>1</v>
      </c>
      <c r="AT17" s="635">
        <v>1</v>
      </c>
      <c r="AU17" s="9">
        <f>AT18-1</f>
        <v>3</v>
      </c>
      <c r="AV17" s="12">
        <f>7-Cntrl3</f>
        <v>5</v>
      </c>
      <c r="AW17" s="635">
        <v>3</v>
      </c>
      <c r="AX17" s="104">
        <f>AX18/1000</f>
        <v>0.6</v>
      </c>
      <c r="AZ17" s="635">
        <v>4</v>
      </c>
      <c r="BA17" s="63">
        <f>BA18</f>
        <v>6.5000000000000002E-2</v>
      </c>
      <c r="BB17" s="266">
        <f>$AX$18</f>
        <v>600</v>
      </c>
      <c r="BC17" s="7"/>
      <c r="BF17" s="635">
        <v>6</v>
      </c>
      <c r="BI17" s="635">
        <v>5</v>
      </c>
      <c r="BL17" s="333"/>
      <c r="BM17" s="1000"/>
      <c r="BN17" s="1001"/>
      <c r="BO17" s="1002"/>
      <c r="BP17" s="1002"/>
      <c r="BQ17" s="1002"/>
      <c r="BR17" s="1002"/>
      <c r="BS17" s="1003"/>
      <c r="BT17" s="1000"/>
      <c r="BU17" s="1001"/>
      <c r="BV17" s="1002"/>
      <c r="BW17" s="1002"/>
      <c r="BX17" s="1002"/>
      <c r="BY17" s="1002"/>
      <c r="BZ17" s="1003"/>
      <c r="CA17" s="334"/>
      <c r="CB17" s="334"/>
      <c r="CC17" s="334"/>
      <c r="CD17" s="334"/>
      <c r="CE17" s="334"/>
      <c r="CF17" s="334"/>
      <c r="CG17" s="426" t="s">
        <v>982</v>
      </c>
      <c r="CH17" s="333"/>
      <c r="CI17" s="333"/>
      <c r="CJ17" s="333"/>
      <c r="CK17" s="333"/>
      <c r="CL17" s="333"/>
      <c r="CM17" s="333"/>
      <c r="CN17" s="333"/>
      <c r="CO17" s="333"/>
      <c r="CP17" s="336"/>
      <c r="EA17"/>
      <c r="EB17"/>
      <c r="EC17"/>
      <c r="ED17"/>
      <c r="EE17"/>
      <c r="EF17"/>
      <c r="EG17"/>
      <c r="EH17"/>
      <c r="EI17"/>
      <c r="EJ17"/>
      <c r="EK17"/>
      <c r="EL17"/>
      <c r="EM17"/>
      <c r="EN17"/>
      <c r="EO17"/>
      <c r="EP17"/>
      <c r="EQ17"/>
      <c r="ER17"/>
      <c r="ES17"/>
      <c r="ET17"/>
      <c r="EU17" t="e" vm="691">
        <v>#VALUE!</v>
      </c>
      <c r="EV17" t="e" vm="692">
        <v>#VALUE!</v>
      </c>
      <c r="EW17" t="e" vm="693">
        <v>#VALUE!</v>
      </c>
      <c r="EX17" t="e" vm="694">
        <v>#VALUE!</v>
      </c>
      <c r="EY17" t="e" vm="695">
        <v>#VALUE!</v>
      </c>
      <c r="EZ17" t="e" vm="696">
        <v>#VALUE!</v>
      </c>
      <c r="FA17" t="e" vm="697">
        <v>#VALUE!</v>
      </c>
      <c r="FB17" t="e" vm="698">
        <v>#VALUE!</v>
      </c>
      <c r="FC17" t="e" vm="699">
        <v>#VALUE!</v>
      </c>
      <c r="FD17" t="e" vm="700">
        <v>#VALUE!</v>
      </c>
      <c r="FE17" t="e" vm="701">
        <v>#VALUE!</v>
      </c>
      <c r="FF17" t="e" vm="702">
        <v>#VALUE!</v>
      </c>
      <c r="FG17" t="e" vm="703">
        <v>#VALUE!</v>
      </c>
      <c r="FH17" t="e" vm="704">
        <v>#VALUE!</v>
      </c>
      <c r="FI17" t="e" vm="705">
        <v>#VALUE!</v>
      </c>
      <c r="FJ17" t="e" vm="706">
        <v>#VALUE!</v>
      </c>
      <c r="FK17" t="e" vm="707">
        <v>#VALUE!</v>
      </c>
      <c r="FL17" t="e" vm="708">
        <v>#VALUE!</v>
      </c>
      <c r="FM17" t="e" vm="709">
        <v>#VALUE!</v>
      </c>
      <c r="FN17" t="e" vm="710">
        <v>#VALUE!</v>
      </c>
      <c r="FO17" t="e" vm="711">
        <v>#VALUE!</v>
      </c>
      <c r="FP17" t="e" vm="712">
        <v>#VALUE!</v>
      </c>
      <c r="FQ17" t="e" vm="713">
        <v>#VALUE!</v>
      </c>
      <c r="FR17" t="e" vm="714">
        <v>#VALUE!</v>
      </c>
      <c r="FS17" t="e" vm="715">
        <v>#VALUE!</v>
      </c>
      <c r="FT17" t="e" vm="716">
        <v>#VALUE!</v>
      </c>
      <c r="FU17" t="e" vm="717">
        <v>#VALUE!</v>
      </c>
      <c r="FV17" t="e" vm="718">
        <v>#VALUE!</v>
      </c>
      <c r="FW17" t="e" vm="719">
        <v>#VALUE!</v>
      </c>
      <c r="FX17" t="e" vm="720">
        <v>#VALUE!</v>
      </c>
    </row>
    <row r="18" spans="1:180">
      <c r="A18">
        <v>17</v>
      </c>
      <c r="B18" t="s">
        <v>108</v>
      </c>
      <c r="C18" s="553"/>
      <c r="D18" s="554"/>
      <c r="E18" s="172" t="str">
        <f t="shared" si="3"/>
        <v/>
      </c>
      <c r="F18" s="555" t="str">
        <f t="shared" si="18"/>
        <v/>
      </c>
      <c r="G18" s="172" t="str">
        <f t="shared" si="5"/>
        <v/>
      </c>
      <c r="H18" t="str">
        <f t="shared" si="6"/>
        <v/>
      </c>
      <c r="I18" s="552" t="str" cm="1">
        <f t="array" ref="I18">IF(H18&lt;&gt;"",INDEX($B$2:$B$66,H18+1),"")</f>
        <v/>
      </c>
      <c r="J18" s="554" t="str">
        <f t="shared" si="0"/>
        <v/>
      </c>
      <c r="K18" t="str">
        <f t="shared" si="16"/>
        <v/>
      </c>
      <c r="L18" s="2" t="str">
        <f t="shared" si="8"/>
        <v/>
      </c>
      <c r="M18" t="str">
        <f t="shared" si="9"/>
        <v/>
      </c>
      <c r="N18" s="2" t="str">
        <f t="shared" si="10"/>
        <v/>
      </c>
      <c r="O18" s="172" t="str">
        <f t="shared" si="1"/>
        <v/>
      </c>
      <c r="P18" s="177" t="str">
        <f t="shared" si="11"/>
        <v/>
      </c>
      <c r="Q18" s="172" t="str">
        <f t="shared" si="2"/>
        <v/>
      </c>
      <c r="R18" s="553" t="str">
        <f t="shared" si="12"/>
        <v/>
      </c>
      <c r="S18" s="553"/>
      <c r="U18" s="96">
        <v>0.40093343909683182</v>
      </c>
      <c r="V18" s="18">
        <v>2.2857677897216888</v>
      </c>
      <c r="W18" s="96">
        <v>0.61508742995396526</v>
      </c>
      <c r="X18" s="97">
        <v>1.3257935171545947</v>
      </c>
      <c r="Y18" s="18">
        <v>0.61894139415625304</v>
      </c>
      <c r="Z18" s="18">
        <v>0.54422860157919228</v>
      </c>
      <c r="AA18" s="96">
        <v>0.81643923603190771</v>
      </c>
      <c r="AB18" s="97">
        <v>0.47903675893627107</v>
      </c>
      <c r="AC18" s="18">
        <v>0.76667608435557522</v>
      </c>
      <c r="AD18" s="97">
        <v>-0.13593669855186027</v>
      </c>
      <c r="AE18" s="8"/>
      <c r="AF18" s="98">
        <f t="shared" si="17"/>
        <v>0.61894139415625304</v>
      </c>
      <c r="AO18" s="8"/>
      <c r="AP18" s="275">
        <f>IF(WebCntrl2="",1,MIN(3,MAX(2,WebCntrl2+2)))</f>
        <v>2</v>
      </c>
      <c r="AQ18" s="39">
        <v>2</v>
      </c>
      <c r="AR18" s="91" t="str" cm="1">
        <f t="array" ref="AR18">INDEX(AR19:AR21,AQ18)</f>
        <v>un-lined</v>
      </c>
      <c r="AS18" s="275">
        <f>IF(WebCntrl1="",1,MIN(6,MAX(2,WebCntrl1+1)))</f>
        <v>3</v>
      </c>
      <c r="AT18" s="39">
        <v>4</v>
      </c>
      <c r="AU18" s="42" t="str" cm="1">
        <f t="array" ref="AU18">INDEX(AU19:AU24,AT18)</f>
        <v>joist 190 mm</v>
      </c>
      <c r="AV18" s="56">
        <f>IF(WebCntrl3="",1,MIN(6,MAX(2,WebCntrl3+1)))</f>
        <v>2</v>
      </c>
      <c r="AW18" s="39">
        <v>2</v>
      </c>
      <c r="AX18" s="33" cm="1">
        <f t="array" ref="AX18">INDEX(AX19:AX24,AW18)</f>
        <v>600</v>
      </c>
      <c r="AY18" s="275">
        <f>IF(WebCntrl4="",1,MAX(2,MIN(452,652-10000*WebCntrl4)))</f>
        <v>202</v>
      </c>
      <c r="AZ18" s="31">
        <v>2</v>
      </c>
      <c r="BA18" s="33" cm="1">
        <f t="array" ref="BA18">INDEX(BA19:BA470,AZ18)</f>
        <v>6.5000000000000002E-2</v>
      </c>
      <c r="BB18" s="12">
        <f>$BA$18</f>
        <v>6.5000000000000002E-2</v>
      </c>
      <c r="BC18" s="7"/>
      <c r="BE18" s="56">
        <f>IF(WebCntrl6="",1,MIN(64,MAX(2,74-10*WebCntrl6)))</f>
        <v>49</v>
      </c>
      <c r="BF18" s="39" t="s">
        <v>323</v>
      </c>
      <c r="BG18" s="17" t="str" cm="1">
        <f t="array" ref="BG18">INDEX(BG19:BG82,BF18)</f>
        <v>1.6</v>
      </c>
      <c r="BH18" s="56">
        <f>IF(WebCntrl5="",1,MIN(64,MAX(2,74-10*WebCntrl5)))</f>
        <v>34</v>
      </c>
      <c r="BI18" s="632" t="s">
        <v>319</v>
      </c>
      <c r="BJ18" s="17" t="str" cm="1">
        <f t="array" ref="BJ18">INDEX(BJ19:BJ82,BI18)</f>
        <v>1.9</v>
      </c>
      <c r="BL18" s="333"/>
      <c r="BM18" s="373" t="s">
        <v>102</v>
      </c>
      <c r="BN18" s="344" t="s">
        <v>158</v>
      </c>
      <c r="BO18" s="346">
        <v>400</v>
      </c>
      <c r="BP18" s="346">
        <v>450</v>
      </c>
      <c r="BQ18" s="346">
        <v>500</v>
      </c>
      <c r="BR18" s="346">
        <v>550</v>
      </c>
      <c r="BS18" s="347">
        <v>600</v>
      </c>
      <c r="BT18" s="373" t="s">
        <v>102</v>
      </c>
      <c r="BU18" s="344" t="s">
        <v>158</v>
      </c>
      <c r="BV18" s="346">
        <v>400</v>
      </c>
      <c r="BW18" s="346">
        <v>450</v>
      </c>
      <c r="BX18" s="346">
        <v>500</v>
      </c>
      <c r="BY18" s="346">
        <v>550</v>
      </c>
      <c r="BZ18" s="347">
        <v>600</v>
      </c>
      <c r="CA18" s="334"/>
      <c r="CB18" s="334"/>
      <c r="CC18" s="334"/>
      <c r="CD18" s="334"/>
      <c r="CE18" s="334"/>
      <c r="CF18" s="334"/>
      <c r="CG18" s="333"/>
      <c r="CH18" s="333"/>
      <c r="CI18" s="333"/>
      <c r="CJ18" s="333" t="s">
        <v>983</v>
      </c>
      <c r="CK18" s="333"/>
      <c r="CL18" s="333"/>
      <c r="CM18" s="333"/>
      <c r="CN18" s="333"/>
      <c r="CO18" s="333"/>
      <c r="CP18" s="336"/>
      <c r="EA18"/>
      <c r="EB18"/>
      <c r="EC18"/>
      <c r="ED18"/>
      <c r="EE18"/>
      <c r="EF18"/>
      <c r="EG18"/>
      <c r="EH18"/>
      <c r="EI18"/>
      <c r="EJ18"/>
      <c r="EK18"/>
      <c r="EL18"/>
      <c r="EM18"/>
      <c r="EN18"/>
      <c r="EO18"/>
      <c r="EP18"/>
      <c r="EQ18"/>
      <c r="ER18"/>
      <c r="ES18"/>
      <c r="ET18"/>
      <c r="EU18" t="e" vm="721">
        <v>#VALUE!</v>
      </c>
      <c r="EV18" t="e" vm="722">
        <v>#VALUE!</v>
      </c>
      <c r="EW18" t="e" vm="723">
        <v>#VALUE!</v>
      </c>
      <c r="EX18" t="e" vm="724">
        <v>#VALUE!</v>
      </c>
      <c r="EY18" t="e" vm="725">
        <v>#VALUE!</v>
      </c>
      <c r="EZ18" t="e" vm="726">
        <v>#VALUE!</v>
      </c>
      <c r="FA18" t="e" vm="727">
        <v>#VALUE!</v>
      </c>
      <c r="FB18" t="e" vm="728">
        <v>#VALUE!</v>
      </c>
      <c r="FC18" t="e" vm="729">
        <v>#VALUE!</v>
      </c>
      <c r="FD18" t="e" vm="730">
        <v>#VALUE!</v>
      </c>
      <c r="FE18" t="e" vm="731">
        <v>#VALUE!</v>
      </c>
      <c r="FF18" t="e" vm="732">
        <v>#VALUE!</v>
      </c>
      <c r="FG18" t="e" vm="733">
        <v>#VALUE!</v>
      </c>
      <c r="FH18" t="e" vm="734">
        <v>#VALUE!</v>
      </c>
      <c r="FI18" t="e" vm="735">
        <v>#VALUE!</v>
      </c>
      <c r="FJ18" t="e" vm="736">
        <v>#VALUE!</v>
      </c>
      <c r="FK18" t="e" vm="737">
        <v>#VALUE!</v>
      </c>
      <c r="FL18" t="e" vm="738">
        <v>#VALUE!</v>
      </c>
      <c r="FM18" t="e" vm="739">
        <v>#VALUE!</v>
      </c>
      <c r="FN18" t="e" vm="740">
        <v>#VALUE!</v>
      </c>
      <c r="FO18" t="e" vm="741">
        <v>#VALUE!</v>
      </c>
      <c r="FP18" t="e" vm="742">
        <v>#VALUE!</v>
      </c>
      <c r="FQ18" t="e" vm="743">
        <v>#VALUE!</v>
      </c>
      <c r="FR18" t="e" vm="744">
        <v>#VALUE!</v>
      </c>
      <c r="FS18" t="e" vm="745">
        <v>#VALUE!</v>
      </c>
      <c r="FT18" t="e" vm="746">
        <v>#VALUE!</v>
      </c>
      <c r="FU18" t="e" vm="747">
        <v>#VALUE!</v>
      </c>
      <c r="FV18" t="e" vm="748">
        <v>#VALUE!</v>
      </c>
      <c r="FW18" t="e" vm="749">
        <v>#VALUE!</v>
      </c>
      <c r="FX18" t="e" vm="750">
        <v>#VALUE!</v>
      </c>
    </row>
    <row r="19" spans="1:180">
      <c r="A19">
        <v>18</v>
      </c>
      <c r="B19" t="s">
        <v>112</v>
      </c>
      <c r="C19" s="553"/>
      <c r="D19" s="554"/>
      <c r="E19" s="172" t="str">
        <f t="shared" si="3"/>
        <v/>
      </c>
      <c r="F19" s="555" t="str">
        <f t="shared" si="18"/>
        <v/>
      </c>
      <c r="G19" s="172" t="str">
        <f t="shared" si="5"/>
        <v/>
      </c>
      <c r="H19" t="str">
        <f t="shared" si="6"/>
        <v/>
      </c>
      <c r="I19" s="552" t="str" cm="1">
        <f t="array" ref="I19">IF(H19&lt;&gt;"",INDEX($B$2:$B$66,H19+1),"")</f>
        <v/>
      </c>
      <c r="J19" s="554" t="str">
        <f t="shared" si="0"/>
        <v/>
      </c>
      <c r="K19" t="str">
        <f t="shared" si="16"/>
        <v/>
      </c>
      <c r="L19" s="2" t="str">
        <f t="shared" si="8"/>
        <v/>
      </c>
      <c r="M19" t="str">
        <f t="shared" si="9"/>
        <v/>
      </c>
      <c r="N19" s="2" t="str">
        <f t="shared" si="10"/>
        <v/>
      </c>
      <c r="O19" s="172" t="str">
        <f t="shared" si="1"/>
        <v/>
      </c>
      <c r="P19" s="177" t="str">
        <f t="shared" si="11"/>
        <v/>
      </c>
      <c r="Q19" s="172" t="str">
        <f t="shared" si="2"/>
        <v/>
      </c>
      <c r="R19" s="553" t="str">
        <f t="shared" si="12"/>
        <v/>
      </c>
      <c r="S19" s="553"/>
      <c r="U19" s="96">
        <v>0.85486661348060078</v>
      </c>
      <c r="V19" s="18">
        <v>0.41949515340291837</v>
      </c>
      <c r="W19" s="96">
        <v>0.69619306346481225</v>
      </c>
      <c r="X19" s="97">
        <v>0.34565255607577139</v>
      </c>
      <c r="Y19" s="18">
        <v>0.69898201444801145</v>
      </c>
      <c r="Z19" s="18">
        <v>0.60051072242007197</v>
      </c>
      <c r="AA19" s="96">
        <v>0.62502094904146177</v>
      </c>
      <c r="AB19" s="97">
        <v>0.61907674831238946</v>
      </c>
      <c r="AC19" s="18">
        <v>0.65266935659512626</v>
      </c>
      <c r="AD19" s="97">
        <v>1.0909695935233472</v>
      </c>
      <c r="AE19" s="8"/>
      <c r="AF19" s="99">
        <f t="shared" si="17"/>
        <v>0.69898201444801145</v>
      </c>
      <c r="AO19" s="8"/>
      <c r="AQ19" s="12">
        <v>1</v>
      </c>
      <c r="AR19" s="633"/>
      <c r="AT19" s="12">
        <v>1</v>
      </c>
      <c r="AU19" s="633"/>
      <c r="AV19" s="12"/>
      <c r="AW19" s="12">
        <v>1</v>
      </c>
      <c r="AX19" s="633"/>
      <c r="AY19" s="633"/>
      <c r="AZ19" s="185">
        <v>1</v>
      </c>
      <c r="BA19" s="633"/>
      <c r="BE19" s="633"/>
      <c r="BF19" s="82" t="s">
        <v>49</v>
      </c>
      <c r="BG19" s="633"/>
      <c r="BH19" s="633"/>
      <c r="BI19" s="82" t="s">
        <v>49</v>
      </c>
      <c r="BJ19" s="633"/>
      <c r="BL19" s="333"/>
      <c r="BM19" s="670" t="str">
        <f t="shared" ref="BM19:BM49" si="19">BE51</f>
        <v/>
      </c>
      <c r="BN19" s="349" t="str">
        <f>IF(BE51&lt;&gt;"",BG51,"")</f>
        <v/>
      </c>
      <c r="BO19" s="350" t="str">
        <f t="shared" ref="BO19:BS50" si="20">IF($BM19&lt;&gt;"",AI102,"")</f>
        <v/>
      </c>
      <c r="BP19" s="350" t="str">
        <f t="shared" si="20"/>
        <v/>
      </c>
      <c r="BQ19" s="350" t="str">
        <f t="shared" si="20"/>
        <v/>
      </c>
      <c r="BR19" s="350" t="str">
        <f t="shared" si="20"/>
        <v/>
      </c>
      <c r="BS19" s="351" t="str">
        <f t="shared" si="20"/>
        <v/>
      </c>
      <c r="BT19" s="348" t="str">
        <f t="shared" ref="BT19:BT50" si="21">BE20</f>
        <v/>
      </c>
      <c r="BU19" s="349" t="str">
        <f t="shared" ref="BU19:BU49" si="22">IF(BE20&lt;&gt;"",BG20,"")</f>
        <v/>
      </c>
      <c r="BV19" s="350" t="str">
        <f t="shared" ref="BV19:BZ50" si="23">IF($BT19&lt;&gt;"",AI71,"")</f>
        <v/>
      </c>
      <c r="BW19" s="350" t="str">
        <f t="shared" si="23"/>
        <v/>
      </c>
      <c r="BX19" s="350" t="str">
        <f t="shared" si="23"/>
        <v/>
      </c>
      <c r="BY19" s="350" t="str">
        <f t="shared" si="23"/>
        <v/>
      </c>
      <c r="BZ19" s="351" t="str">
        <f t="shared" si="23"/>
        <v/>
      </c>
      <c r="CA19" s="334"/>
      <c r="CB19" s="334"/>
      <c r="CC19" s="334"/>
      <c r="CD19" s="334"/>
      <c r="CE19" s="334"/>
      <c r="CF19" s="334"/>
      <c r="CG19" s="333"/>
      <c r="CH19" s="333"/>
      <c r="CI19" s="333"/>
      <c r="CJ19" s="426" t="s">
        <v>984</v>
      </c>
      <c r="CK19" s="333"/>
      <c r="CL19" s="333"/>
      <c r="CM19" s="333"/>
      <c r="CN19" s="333"/>
      <c r="CO19" s="333"/>
      <c r="CP19" s="336"/>
      <c r="EA19"/>
      <c r="EB19"/>
      <c r="EC19"/>
      <c r="ED19"/>
      <c r="EE19"/>
      <c r="EF19"/>
      <c r="EG19"/>
      <c r="EH19"/>
      <c r="EI19"/>
      <c r="EJ19"/>
      <c r="EK19"/>
      <c r="EL19"/>
      <c r="EM19"/>
      <c r="EN19"/>
      <c r="EO19"/>
      <c r="EP19"/>
      <c r="EQ19"/>
      <c r="ER19"/>
      <c r="ES19"/>
      <c r="ET19"/>
      <c r="EU19" t="e" vm="751">
        <v>#VALUE!</v>
      </c>
      <c r="EV19" t="e" vm="752">
        <v>#VALUE!</v>
      </c>
      <c r="EW19" t="e" vm="753">
        <v>#VALUE!</v>
      </c>
      <c r="EX19" t="e" vm="754">
        <v>#VALUE!</v>
      </c>
      <c r="EY19" t="e" vm="755">
        <v>#VALUE!</v>
      </c>
      <c r="EZ19" t="e" vm="756">
        <v>#VALUE!</v>
      </c>
      <c r="FA19" t="e" vm="757">
        <v>#VALUE!</v>
      </c>
      <c r="FB19" t="e" vm="758">
        <v>#VALUE!</v>
      </c>
      <c r="FC19" t="e" vm="759">
        <v>#VALUE!</v>
      </c>
      <c r="FD19" t="e" vm="760">
        <v>#VALUE!</v>
      </c>
      <c r="FE19" t="e" vm="761">
        <v>#VALUE!</v>
      </c>
      <c r="FF19" t="e" vm="762">
        <v>#VALUE!</v>
      </c>
      <c r="FG19" t="e" vm="763">
        <v>#VALUE!</v>
      </c>
      <c r="FH19" t="e" vm="764">
        <v>#VALUE!</v>
      </c>
      <c r="FI19" t="e" vm="765">
        <v>#VALUE!</v>
      </c>
      <c r="FJ19" t="e" vm="766">
        <v>#VALUE!</v>
      </c>
      <c r="FK19" t="e" vm="767">
        <v>#VALUE!</v>
      </c>
      <c r="FL19" t="e" vm="768">
        <v>#VALUE!</v>
      </c>
      <c r="FM19" t="e" vm="769">
        <v>#VALUE!</v>
      </c>
      <c r="FN19" t="e" vm="770">
        <v>#VALUE!</v>
      </c>
      <c r="FO19" t="e" vm="771">
        <v>#VALUE!</v>
      </c>
      <c r="FP19" t="e" vm="772">
        <v>#VALUE!</v>
      </c>
      <c r="FQ19" t="e" vm="773">
        <v>#VALUE!</v>
      </c>
      <c r="FR19" t="e" vm="774">
        <v>#VALUE!</v>
      </c>
      <c r="FS19" t="e" vm="775">
        <v>#VALUE!</v>
      </c>
      <c r="FT19" t="e" vm="776">
        <v>#VALUE!</v>
      </c>
      <c r="FU19" t="e" vm="777">
        <v>#VALUE!</v>
      </c>
      <c r="FV19" t="e" vm="778">
        <v>#VALUE!</v>
      </c>
      <c r="FW19" t="e" vm="779">
        <v>#VALUE!</v>
      </c>
      <c r="FX19" t="e" vm="780">
        <v>#VALUE!</v>
      </c>
    </row>
    <row r="20" spans="1:180">
      <c r="A20">
        <v>19</v>
      </c>
      <c r="B20" t="s">
        <v>117</v>
      </c>
      <c r="C20" s="553"/>
      <c r="D20" s="554"/>
      <c r="E20" s="172" t="str">
        <f t="shared" si="3"/>
        <v/>
      </c>
      <c r="F20" s="555" t="str">
        <f t="shared" si="18"/>
        <v/>
      </c>
      <c r="G20" s="172" t="str">
        <f t="shared" si="5"/>
        <v/>
      </c>
      <c r="H20" t="str">
        <f t="shared" si="6"/>
        <v/>
      </c>
      <c r="I20" s="552" t="str" cm="1">
        <f t="array" ref="I20">IF(H20&lt;&gt;"",INDEX($B$2:$B$66,H20+1),"")</f>
        <v/>
      </c>
      <c r="J20" s="554" t="str">
        <f t="shared" si="0"/>
        <v/>
      </c>
      <c r="K20" t="str">
        <f t="shared" si="16"/>
        <v/>
      </c>
      <c r="L20" s="2" t="str">
        <f t="shared" si="8"/>
        <v/>
      </c>
      <c r="M20" t="str">
        <f t="shared" si="9"/>
        <v/>
      </c>
      <c r="N20" s="2" t="str">
        <f t="shared" si="10"/>
        <v/>
      </c>
      <c r="O20" s="172" t="str">
        <f t="shared" si="1"/>
        <v/>
      </c>
      <c r="P20" s="177" t="str">
        <f t="shared" si="11"/>
        <v/>
      </c>
      <c r="Q20" s="172" t="str">
        <f t="shared" si="2"/>
        <v/>
      </c>
      <c r="R20" s="553" t="str">
        <f t="shared" si="12"/>
        <v/>
      </c>
      <c r="S20" s="553"/>
      <c r="U20" s="96">
        <v>-4.1351487627033993E-2</v>
      </c>
      <c r="V20" s="18">
        <v>1.0600451095222458</v>
      </c>
      <c r="W20" s="96">
        <v>3.2157651755453563E-2</v>
      </c>
      <c r="X20" s="97">
        <v>0.41690096216065453</v>
      </c>
      <c r="Y20" s="18">
        <v>6.7655102495456282E-2</v>
      </c>
      <c r="Z20" s="18">
        <v>-0.12220842833890568</v>
      </c>
      <c r="AA20" s="96">
        <v>0.24600732004398354</v>
      </c>
      <c r="AB20" s="97">
        <v>-0.16299171659227135</v>
      </c>
      <c r="AC20" s="18">
        <v>0.24359096720225759</v>
      </c>
      <c r="AD20" s="97">
        <v>-0.50102816663848782</v>
      </c>
      <c r="AE20" s="8"/>
      <c r="AF20" s="100">
        <f t="shared" si="17"/>
        <v>6.7655102495456282E-2</v>
      </c>
      <c r="AO20" s="8"/>
      <c r="AQ20" s="12">
        <v>2</v>
      </c>
      <c r="AR20" s="43" t="s">
        <v>985</v>
      </c>
      <c r="AT20" s="12">
        <v>2</v>
      </c>
      <c r="AU20" s="7" t="s">
        <v>986</v>
      </c>
      <c r="AW20" s="12">
        <v>2</v>
      </c>
      <c r="AX20" s="12">
        <v>600</v>
      </c>
      <c r="AY20" s="182">
        <v>6.5000000000000002E-2</v>
      </c>
      <c r="AZ20" s="185">
        <v>2</v>
      </c>
      <c r="BA20" s="182">
        <v>6.5000000000000002E-2</v>
      </c>
      <c r="BB20" s="13" cm="1">
        <f t="array" ref="BB20">INDEX(AI71:AM71,$AV$17)</f>
        <v>6.5369888900244462</v>
      </c>
      <c r="BC20" s="13">
        <f t="shared" ref="BC20:BC81" si="24">IF(BE19&lt;&gt;"",BB20,BC21)</f>
        <v>2.7566011716834651</v>
      </c>
      <c r="BD20" s="18" t="s">
        <v>157</v>
      </c>
      <c r="BE20" s="142" t="str">
        <f>IF($BK$1,"",IF($BD20*$BA$17*1000&lt;=$AH$2,$BD20*$BA$17*1000,""))</f>
        <v/>
      </c>
      <c r="BF20" s="82" t="s">
        <v>63</v>
      </c>
      <c r="BG20" s="83" t="str">
        <f t="shared" ref="BG20:BG81" si="25">IF($BE19&lt;&gt;"",$BD20,BG21)</f>
        <v>2.8</v>
      </c>
      <c r="BH20" s="142" t="str">
        <f>IF($BK$1,"",IF($BD20*$BA$17*1000&lt;=$AH$2,$BD20*$BA$17*1000,""))</f>
        <v/>
      </c>
      <c r="BI20" s="82" t="s">
        <v>63</v>
      </c>
      <c r="BJ20" s="83" t="str">
        <f t="shared" ref="BJ20:BJ81" si="26">IF($BE19&lt;&gt;"",$BD20,BJ21)</f>
        <v>2.8</v>
      </c>
      <c r="BL20" s="333"/>
      <c r="BM20" s="670" t="str">
        <f t="shared" si="19"/>
        <v/>
      </c>
      <c r="BN20" s="349" t="str">
        <f t="shared" ref="BN20:BN50" si="27">IF(BE52&lt;&gt;"",BG52,"")</f>
        <v/>
      </c>
      <c r="BO20" s="350" t="str">
        <f t="shared" si="20"/>
        <v/>
      </c>
      <c r="BP20" s="350" t="str">
        <f t="shared" si="20"/>
        <v/>
      </c>
      <c r="BQ20" s="350" t="str">
        <f t="shared" si="20"/>
        <v/>
      </c>
      <c r="BR20" s="350" t="str">
        <f t="shared" si="20"/>
        <v/>
      </c>
      <c r="BS20" s="351" t="str">
        <f t="shared" si="20"/>
        <v/>
      </c>
      <c r="BT20" s="348" t="str">
        <f t="shared" si="21"/>
        <v/>
      </c>
      <c r="BU20" s="349" t="str">
        <f t="shared" si="22"/>
        <v/>
      </c>
      <c r="BV20" s="350" t="str">
        <f t="shared" si="23"/>
        <v/>
      </c>
      <c r="BW20" s="350" t="str">
        <f t="shared" si="23"/>
        <v/>
      </c>
      <c r="BX20" s="350" t="str">
        <f t="shared" si="23"/>
        <v/>
      </c>
      <c r="BY20" s="350" t="str">
        <f t="shared" si="23"/>
        <v/>
      </c>
      <c r="BZ20" s="351" t="str">
        <f t="shared" si="23"/>
        <v/>
      </c>
      <c r="CA20" s="334"/>
      <c r="CB20" s="334"/>
      <c r="CC20" s="334"/>
      <c r="CD20" s="334"/>
      <c r="CE20" s="334"/>
      <c r="CF20" s="334"/>
      <c r="CG20" s="333"/>
      <c r="CH20" s="333"/>
      <c r="CI20" s="333"/>
      <c r="CJ20" s="333"/>
      <c r="CK20" s="333"/>
      <c r="CL20" s="333"/>
      <c r="CM20" s="333"/>
      <c r="CN20" s="333"/>
      <c r="CO20" s="333"/>
      <c r="CP20" s="336"/>
      <c r="EA20"/>
      <c r="EB20"/>
      <c r="EC20"/>
      <c r="ED20"/>
      <c r="EE20"/>
      <c r="EF20"/>
      <c r="EG20"/>
      <c r="EH20"/>
      <c r="EI20"/>
      <c r="EJ20"/>
      <c r="EK20"/>
      <c r="EL20"/>
      <c r="EM20"/>
      <c r="EN20"/>
      <c r="EO20"/>
      <c r="EP20"/>
      <c r="EQ20"/>
      <c r="ER20"/>
      <c r="ES20"/>
      <c r="ET20"/>
      <c r="EU20" t="e" vm="781">
        <v>#VALUE!</v>
      </c>
      <c r="EV20" t="e" vm="782">
        <v>#VALUE!</v>
      </c>
      <c r="EW20" t="e" vm="783">
        <v>#VALUE!</v>
      </c>
      <c r="EX20" t="e" vm="784">
        <v>#VALUE!</v>
      </c>
      <c r="EY20" t="e" vm="785">
        <v>#VALUE!</v>
      </c>
      <c r="EZ20" t="e" vm="786">
        <v>#VALUE!</v>
      </c>
      <c r="FA20" t="e" vm="787">
        <v>#VALUE!</v>
      </c>
      <c r="FB20" t="e" vm="788">
        <v>#VALUE!</v>
      </c>
      <c r="FC20" t="e" vm="789">
        <v>#VALUE!</v>
      </c>
      <c r="FD20" t="e" vm="790">
        <v>#VALUE!</v>
      </c>
      <c r="FE20" t="e" vm="791">
        <v>#VALUE!</v>
      </c>
      <c r="FF20" t="e" vm="792">
        <v>#VALUE!</v>
      </c>
      <c r="FG20" t="e" vm="793">
        <v>#VALUE!</v>
      </c>
      <c r="FH20" t="e" vm="794">
        <v>#VALUE!</v>
      </c>
      <c r="FI20" t="e" vm="795">
        <v>#VALUE!</v>
      </c>
      <c r="FJ20" t="e" vm="796">
        <v>#VALUE!</v>
      </c>
      <c r="FK20" t="e" vm="797">
        <v>#VALUE!</v>
      </c>
      <c r="FL20" t="e" vm="798">
        <v>#VALUE!</v>
      </c>
      <c r="FM20" t="e" vm="799">
        <v>#VALUE!</v>
      </c>
      <c r="FN20" t="e" vm="800">
        <v>#VALUE!</v>
      </c>
      <c r="FO20" t="e" vm="801">
        <v>#VALUE!</v>
      </c>
      <c r="FP20" t="e" vm="802">
        <v>#VALUE!</v>
      </c>
      <c r="FQ20" t="e" vm="803">
        <v>#VALUE!</v>
      </c>
      <c r="FR20" t="e" vm="804">
        <v>#VALUE!</v>
      </c>
      <c r="FS20" t="e" vm="805">
        <v>#VALUE!</v>
      </c>
      <c r="FT20" t="e" vm="806">
        <v>#VALUE!</v>
      </c>
      <c r="FU20" t="e" vm="807">
        <v>#VALUE!</v>
      </c>
      <c r="FV20" t="e" vm="808">
        <v>#VALUE!</v>
      </c>
      <c r="FW20" t="e" vm="809">
        <v>#VALUE!</v>
      </c>
      <c r="FX20" t="e" vm="810">
        <v>#VALUE!</v>
      </c>
    </row>
    <row r="21" spans="1:180">
      <c r="A21">
        <v>20</v>
      </c>
      <c r="B21" t="s">
        <v>121</v>
      </c>
      <c r="C21" s="553"/>
      <c r="D21" s="554"/>
      <c r="E21" s="172" t="str">
        <f t="shared" si="3"/>
        <v/>
      </c>
      <c r="F21" s="555" t="str">
        <f t="shared" si="18"/>
        <v/>
      </c>
      <c r="G21" s="172" t="str">
        <f t="shared" si="5"/>
        <v/>
      </c>
      <c r="H21" t="str">
        <f t="shared" si="6"/>
        <v/>
      </c>
      <c r="I21" s="552" t="str" cm="1">
        <f t="array" ref="I21">IF(H21&lt;&gt;"",INDEX($B$2:$B$66,H21+1),"")</f>
        <v/>
      </c>
      <c r="J21" s="554" t="str">
        <f t="shared" si="0"/>
        <v/>
      </c>
      <c r="K21" t="str">
        <f t="shared" si="16"/>
        <v/>
      </c>
      <c r="L21" s="2" t="str">
        <f t="shared" si="8"/>
        <v/>
      </c>
      <c r="M21" t="str">
        <f t="shared" si="9"/>
        <v/>
      </c>
      <c r="N21" s="2" t="str">
        <f t="shared" si="10"/>
        <v/>
      </c>
      <c r="O21" s="172" t="str">
        <f t="shared" si="1"/>
        <v/>
      </c>
      <c r="P21" s="177" t="str">
        <f t="shared" si="11"/>
        <v/>
      </c>
      <c r="Q21" s="172" t="str">
        <f t="shared" si="2"/>
        <v/>
      </c>
      <c r="R21" s="553" t="str">
        <f t="shared" si="12"/>
        <v/>
      </c>
      <c r="S21" s="553"/>
      <c r="U21" s="96">
        <v>9.9364287794569628E-2</v>
      </c>
      <c r="V21" s="18">
        <v>-1.3738696088552533</v>
      </c>
      <c r="W21" s="96">
        <v>-7.4347476953615405E-2</v>
      </c>
      <c r="X21" s="97">
        <v>-0.82164739814483667</v>
      </c>
      <c r="Y21" s="18">
        <v>-0.11142045017073035</v>
      </c>
      <c r="Z21" s="18">
        <v>-8.5283114553405537E-2</v>
      </c>
      <c r="AA21" s="96">
        <v>-0.32833081774287354</v>
      </c>
      <c r="AB21" s="97">
        <v>7.0030278662573206E-2</v>
      </c>
      <c r="AC21" s="18">
        <v>-0.29719391572781351</v>
      </c>
      <c r="AD21" s="97">
        <v>0.72449617136103817</v>
      </c>
      <c r="AE21" s="8"/>
      <c r="AF21" s="98">
        <f t="shared" si="17"/>
        <v>-0.11142045017073035</v>
      </c>
      <c r="AO21" s="8"/>
      <c r="AQ21" s="12">
        <v>3</v>
      </c>
      <c r="AR21" s="43" t="s">
        <v>987</v>
      </c>
      <c r="AT21" s="12">
        <v>3</v>
      </c>
      <c r="AU21" s="7" t="s">
        <v>988</v>
      </c>
      <c r="AV21" s="9"/>
      <c r="AW21" s="12">
        <v>3</v>
      </c>
      <c r="AX21" s="12">
        <v>550</v>
      </c>
      <c r="AY21" s="182">
        <v>6.4899999999999999E-2</v>
      </c>
      <c r="AZ21" s="185">
        <v>3</v>
      </c>
      <c r="BA21" s="182">
        <v>6.4899999999999999E-2</v>
      </c>
      <c r="BB21" s="13" cm="1">
        <f t="array" ref="BB21">INDEX(AI72:AM72,$AV$17)</f>
        <v>6.4523446252960763</v>
      </c>
      <c r="BC21" s="13">
        <f t="shared" si="24"/>
        <v>2.7566011716834651</v>
      </c>
      <c r="BD21" s="18" t="s">
        <v>162</v>
      </c>
      <c r="BE21" s="142" t="str">
        <f t="shared" ref="BE21:BE82" si="28">IF($BK$1,"",IF($BD21*$BA$17*1000&lt;=$AH$2,$BD21*$BA$17*1000,""))</f>
        <v/>
      </c>
      <c r="BF21" s="82" t="s">
        <v>73</v>
      </c>
      <c r="BG21" s="83" t="str">
        <f t="shared" si="25"/>
        <v>2.8</v>
      </c>
      <c r="BH21" s="142" t="str">
        <f t="shared" ref="BH21:BH82" si="29">IF($BK$1,"",IF($BD21*$BA$17*1000&lt;=$AH$2,$BD21*$BA$17*1000,""))</f>
        <v/>
      </c>
      <c r="BI21" s="82" t="s">
        <v>73</v>
      </c>
      <c r="BJ21" s="83" t="str">
        <f t="shared" si="26"/>
        <v>2.8</v>
      </c>
      <c r="BL21" s="333"/>
      <c r="BM21" s="670" t="str">
        <f t="shared" si="19"/>
        <v/>
      </c>
      <c r="BN21" s="349" t="str">
        <f t="shared" si="27"/>
        <v/>
      </c>
      <c r="BO21" s="350" t="str">
        <f t="shared" si="20"/>
        <v/>
      </c>
      <c r="BP21" s="350" t="str">
        <f t="shared" si="20"/>
        <v/>
      </c>
      <c r="BQ21" s="350" t="str">
        <f t="shared" si="20"/>
        <v/>
      </c>
      <c r="BR21" s="350" t="str">
        <f t="shared" si="20"/>
        <v/>
      </c>
      <c r="BS21" s="351" t="str">
        <f t="shared" si="20"/>
        <v/>
      </c>
      <c r="BT21" s="348" t="str">
        <f t="shared" si="21"/>
        <v/>
      </c>
      <c r="BU21" s="349" t="str">
        <f t="shared" si="22"/>
        <v/>
      </c>
      <c r="BV21" s="350" t="str">
        <f t="shared" si="23"/>
        <v/>
      </c>
      <c r="BW21" s="350" t="str">
        <f t="shared" si="23"/>
        <v/>
      </c>
      <c r="BX21" s="350" t="str">
        <f t="shared" si="23"/>
        <v/>
      </c>
      <c r="BY21" s="350" t="str">
        <f t="shared" si="23"/>
        <v/>
      </c>
      <c r="BZ21" s="351" t="str">
        <f t="shared" si="23"/>
        <v/>
      </c>
      <c r="CA21" s="334"/>
      <c r="CB21" s="334"/>
      <c r="CC21" s="334"/>
      <c r="CD21" s="334"/>
      <c r="CE21" s="334"/>
      <c r="CF21" s="334"/>
      <c r="CG21" s="333"/>
      <c r="CH21" s="333"/>
      <c r="CI21" s="333"/>
      <c r="CJ21" s="333"/>
      <c r="CK21" s="333"/>
      <c r="CL21" s="333"/>
      <c r="CM21" s="333"/>
      <c r="CN21" s="333"/>
      <c r="CO21" s="333"/>
      <c r="CP21" s="336"/>
      <c r="EA21"/>
      <c r="EB21"/>
      <c r="EC21"/>
      <c r="ED21"/>
      <c r="EE21"/>
      <c r="EF21"/>
      <c r="EG21"/>
      <c r="EH21"/>
      <c r="EI21"/>
      <c r="EJ21"/>
      <c r="EK21"/>
      <c r="EL21"/>
      <c r="EM21"/>
      <c r="EN21"/>
      <c r="EO21"/>
      <c r="EP21"/>
      <c r="EQ21"/>
      <c r="ER21"/>
      <c r="ES21"/>
      <c r="ET21"/>
      <c r="EU21"/>
      <c r="EV21"/>
      <c r="EW21"/>
      <c r="EX21"/>
      <c r="EY21"/>
      <c r="EZ21"/>
      <c r="FA21"/>
      <c r="FB21"/>
      <c r="FC21"/>
      <c r="FD21"/>
      <c r="FE21" t="e" vm="811">
        <v>#VALUE!</v>
      </c>
      <c r="FF21" t="e" vm="812">
        <v>#VALUE!</v>
      </c>
      <c r="FG21" t="e" vm="813">
        <v>#VALUE!</v>
      </c>
      <c r="FH21" t="e" vm="814">
        <v>#VALUE!</v>
      </c>
      <c r="FI21" t="e" vm="815">
        <v>#VALUE!</v>
      </c>
      <c r="FJ21" t="e" vm="816">
        <v>#VALUE!</v>
      </c>
      <c r="FK21" t="e" vm="817">
        <v>#VALUE!</v>
      </c>
      <c r="FL21" t="e" vm="818">
        <v>#VALUE!</v>
      </c>
      <c r="FM21" t="e" vm="819">
        <v>#VALUE!</v>
      </c>
      <c r="FN21" t="e" vm="820">
        <v>#VALUE!</v>
      </c>
      <c r="FO21" t="e" vm="821">
        <v>#VALUE!</v>
      </c>
      <c r="FP21" t="e" vm="822">
        <v>#VALUE!</v>
      </c>
      <c r="FQ21" t="e" vm="823">
        <v>#VALUE!</v>
      </c>
      <c r="FR21" t="e" vm="824">
        <v>#VALUE!</v>
      </c>
      <c r="FS21" t="e" vm="825">
        <v>#VALUE!</v>
      </c>
      <c r="FT21" t="e" vm="826">
        <v>#VALUE!</v>
      </c>
      <c r="FU21" t="e" vm="827">
        <v>#VALUE!</v>
      </c>
      <c r="FV21" t="e" vm="828">
        <v>#VALUE!</v>
      </c>
      <c r="FW21" t="e" vm="829">
        <v>#VALUE!</v>
      </c>
      <c r="FX21" t="e" vm="830">
        <v>#VALUE!</v>
      </c>
    </row>
    <row r="22" spans="1:180">
      <c r="A22">
        <v>21</v>
      </c>
      <c r="B22" t="s">
        <v>125</v>
      </c>
      <c r="C22" s="553"/>
      <c r="D22" s="554"/>
      <c r="E22" s="172" t="str">
        <f t="shared" si="3"/>
        <v/>
      </c>
      <c r="F22" s="555" t="str">
        <f t="shared" si="18"/>
        <v/>
      </c>
      <c r="G22" s="172" t="str">
        <f t="shared" si="5"/>
        <v/>
      </c>
      <c r="H22" t="str">
        <f t="shared" si="6"/>
        <v/>
      </c>
      <c r="I22" s="552" t="str" cm="1">
        <f t="array" ref="I22">IF(H22&lt;&gt;"",INDEX($B$2:$B$66,H22+1),"")</f>
        <v/>
      </c>
      <c r="J22" s="554" t="str">
        <f t="shared" si="0"/>
        <v/>
      </c>
      <c r="K22" t="str">
        <f t="shared" si="16"/>
        <v/>
      </c>
      <c r="L22" s="2" t="str">
        <f t="shared" si="8"/>
        <v/>
      </c>
      <c r="M22" t="str">
        <f t="shared" si="9"/>
        <v/>
      </c>
      <c r="N22" s="2" t="str">
        <f t="shared" si="10"/>
        <v/>
      </c>
      <c r="O22" s="172" t="str">
        <f t="shared" si="1"/>
        <v/>
      </c>
      <c r="P22" s="177" t="str">
        <f t="shared" si="11"/>
        <v/>
      </c>
      <c r="Q22" s="172" t="str">
        <f t="shared" si="2"/>
        <v/>
      </c>
      <c r="R22" s="553" t="str">
        <f t="shared" si="12"/>
        <v/>
      </c>
      <c r="S22" s="553"/>
      <c r="U22" s="101">
        <v>0.17005846208633382</v>
      </c>
      <c r="V22" s="102">
        <v>0.79671687031107119</v>
      </c>
      <c r="W22" s="101">
        <v>0.30002682529631802</v>
      </c>
      <c r="X22" s="103">
        <v>0.9325713641829203</v>
      </c>
      <c r="Y22" s="102">
        <v>0.3438974683512121</v>
      </c>
      <c r="Z22" s="102">
        <v>0.73302475997012506</v>
      </c>
      <c r="AA22" s="101">
        <v>0.42405042480407795</v>
      </c>
      <c r="AB22" s="103">
        <v>0.69281688766330807</v>
      </c>
      <c r="AC22" s="102">
        <v>0.39878529048955452</v>
      </c>
      <c r="AD22" s="103">
        <v>0.11135463518301542</v>
      </c>
      <c r="AE22" s="8"/>
      <c r="AF22" s="99">
        <f t="shared" si="17"/>
        <v>0.3438974683512121</v>
      </c>
      <c r="AO22" s="8"/>
      <c r="AT22" s="12">
        <v>4</v>
      </c>
      <c r="AU22" s="7" t="s">
        <v>989</v>
      </c>
      <c r="AV22" s="9"/>
      <c r="AW22" s="12">
        <v>4</v>
      </c>
      <c r="AX22" s="12">
        <v>500</v>
      </c>
      <c r="AY22" s="182">
        <v>6.4799999999999996E-2</v>
      </c>
      <c r="AZ22" s="185">
        <v>4</v>
      </c>
      <c r="BA22" s="182">
        <v>6.4799999999999996E-2</v>
      </c>
      <c r="BB22" s="13" cm="1">
        <f t="array" ref="BB22">INDEX(AI73:AM73,$AV$17)</f>
        <v>6.3676411215927669</v>
      </c>
      <c r="BC22" s="13">
        <f t="shared" si="24"/>
        <v>2.7566011716834651</v>
      </c>
      <c r="BD22" s="18" t="s">
        <v>166</v>
      </c>
      <c r="BE22" s="142" t="str">
        <f t="shared" si="28"/>
        <v/>
      </c>
      <c r="BF22" s="82" t="s">
        <v>80</v>
      </c>
      <c r="BG22" s="83" t="str">
        <f t="shared" si="25"/>
        <v>2.8</v>
      </c>
      <c r="BH22" s="142" t="str">
        <f t="shared" si="29"/>
        <v/>
      </c>
      <c r="BI22" s="82" t="s">
        <v>80</v>
      </c>
      <c r="BJ22" s="83" t="str">
        <f t="shared" si="26"/>
        <v>2.8</v>
      </c>
      <c r="BL22" s="333"/>
      <c r="BM22" s="670" t="str">
        <f t="shared" si="19"/>
        <v/>
      </c>
      <c r="BN22" s="349" t="str">
        <f t="shared" si="27"/>
        <v/>
      </c>
      <c r="BO22" s="350" t="str">
        <f t="shared" si="20"/>
        <v/>
      </c>
      <c r="BP22" s="350" t="str">
        <f t="shared" si="20"/>
        <v/>
      </c>
      <c r="BQ22" s="350" t="str">
        <f t="shared" si="20"/>
        <v/>
      </c>
      <c r="BR22" s="350" t="str">
        <f t="shared" si="20"/>
        <v/>
      </c>
      <c r="BS22" s="351" t="str">
        <f t="shared" si="20"/>
        <v/>
      </c>
      <c r="BT22" s="348" t="str">
        <f t="shared" si="21"/>
        <v/>
      </c>
      <c r="BU22" s="349" t="str">
        <f t="shared" si="22"/>
        <v/>
      </c>
      <c r="BV22" s="350" t="str">
        <f t="shared" si="23"/>
        <v/>
      </c>
      <c r="BW22" s="350" t="str">
        <f t="shared" si="23"/>
        <v/>
      </c>
      <c r="BX22" s="350" t="str">
        <f t="shared" si="23"/>
        <v/>
      </c>
      <c r="BY22" s="350" t="str">
        <f t="shared" si="23"/>
        <v/>
      </c>
      <c r="BZ22" s="351" t="str">
        <f t="shared" si="23"/>
        <v/>
      </c>
      <c r="CA22" s="334"/>
      <c r="CB22" s="334"/>
      <c r="CC22" s="334"/>
      <c r="CD22" s="334"/>
      <c r="CE22" s="334"/>
      <c r="CF22" s="334"/>
      <c r="CG22" s="333"/>
      <c r="CH22" s="333"/>
      <c r="CI22" s="333"/>
      <c r="CJ22" s="333"/>
      <c r="CK22" s="333"/>
      <c r="CL22" s="333"/>
      <c r="CM22" s="333"/>
      <c r="CN22" s="333"/>
      <c r="CO22" s="333"/>
      <c r="CP22" s="336"/>
      <c r="EA22"/>
      <c r="EB22"/>
      <c r="EC22"/>
      <c r="ED22"/>
      <c r="EE22"/>
      <c r="EF22"/>
      <c r="EG22"/>
      <c r="EH22"/>
      <c r="EI22"/>
      <c r="EJ22"/>
      <c r="EK22"/>
      <c r="EL22"/>
      <c r="EM22"/>
      <c r="EN22"/>
      <c r="EO22"/>
      <c r="EP22"/>
      <c r="EQ22"/>
      <c r="ER22"/>
      <c r="ES22"/>
      <c r="ET22"/>
      <c r="EU22"/>
      <c r="EV22"/>
      <c r="EW22"/>
      <c r="EX22"/>
      <c r="EY22"/>
      <c r="EZ22"/>
      <c r="FA22"/>
      <c r="FB22"/>
      <c r="FC22"/>
      <c r="FD22"/>
      <c r="FE22" t="e" vm="831">
        <v>#VALUE!</v>
      </c>
      <c r="FF22" t="e" vm="832">
        <v>#VALUE!</v>
      </c>
      <c r="FG22" t="e" vm="833">
        <v>#VALUE!</v>
      </c>
      <c r="FH22" t="e" vm="834">
        <v>#VALUE!</v>
      </c>
      <c r="FI22" t="e" vm="835">
        <v>#VALUE!</v>
      </c>
      <c r="FJ22" t="e" vm="836">
        <v>#VALUE!</v>
      </c>
      <c r="FK22" t="e" vm="837">
        <v>#VALUE!</v>
      </c>
      <c r="FL22" t="e" vm="838">
        <v>#VALUE!</v>
      </c>
      <c r="FM22" t="e" vm="839">
        <v>#VALUE!</v>
      </c>
      <c r="FN22" t="e" vm="840">
        <v>#VALUE!</v>
      </c>
      <c r="FO22" t="e" vm="841">
        <v>#VALUE!</v>
      </c>
      <c r="FP22" t="e" vm="842">
        <v>#VALUE!</v>
      </c>
      <c r="FQ22" t="e" vm="843">
        <v>#VALUE!</v>
      </c>
      <c r="FR22" t="e" vm="844">
        <v>#VALUE!</v>
      </c>
      <c r="FS22" t="e" vm="845">
        <v>#VALUE!</v>
      </c>
      <c r="FT22" t="e" vm="846">
        <v>#VALUE!</v>
      </c>
      <c r="FU22" t="e" vm="847">
        <v>#VALUE!</v>
      </c>
      <c r="FV22" t="e" vm="848">
        <v>#VALUE!</v>
      </c>
      <c r="FW22" t="e" vm="849">
        <v>#VALUE!</v>
      </c>
      <c r="FX22" t="e" vm="850">
        <v>#VALUE!</v>
      </c>
    </row>
    <row r="23" spans="1:180" ht="18">
      <c r="A23">
        <v>22</v>
      </c>
      <c r="B23" t="s">
        <v>129</v>
      </c>
      <c r="C23" s="553"/>
      <c r="D23" s="554"/>
      <c r="E23" s="172" t="str">
        <f t="shared" si="3"/>
        <v/>
      </c>
      <c r="F23" s="555" t="str">
        <f t="shared" si="18"/>
        <v/>
      </c>
      <c r="G23" s="172" t="str">
        <f t="shared" si="5"/>
        <v/>
      </c>
      <c r="H23" t="str">
        <f t="shared" si="6"/>
        <v/>
      </c>
      <c r="I23" s="552" t="str" cm="1">
        <f t="array" ref="I23">IF(H23&lt;&gt;"",INDEX($B$2:$B$66,H23+1),"")</f>
        <v/>
      </c>
      <c r="J23" s="554" t="str">
        <f t="shared" si="0"/>
        <v/>
      </c>
      <c r="K23" t="str">
        <f t="shared" si="16"/>
        <v/>
      </c>
      <c r="L23" s="2" t="str">
        <f t="shared" si="8"/>
        <v/>
      </c>
      <c r="M23" t="str">
        <f t="shared" si="9"/>
        <v/>
      </c>
      <c r="N23" s="2" t="str">
        <f t="shared" si="10"/>
        <v/>
      </c>
      <c r="O23" s="172" t="str">
        <f t="shared" si="1"/>
        <v/>
      </c>
      <c r="P23" s="177" t="str">
        <f t="shared" si="11"/>
        <v/>
      </c>
      <c r="Q23" s="172" t="str">
        <f t="shared" si="2"/>
        <v/>
      </c>
      <c r="R23" s="553" t="str">
        <f t="shared" si="12"/>
        <v/>
      </c>
      <c r="S23" s="553"/>
      <c r="T23" s="7" t="s">
        <v>219</v>
      </c>
      <c r="U23" s="92">
        <v>-0.25308947108265661</v>
      </c>
      <c r="V23" s="93">
        <v>0.23049219687864766</v>
      </c>
      <c r="W23" s="92">
        <v>-8.6630570595576092E-2</v>
      </c>
      <c r="X23" s="94">
        <v>-4.3921393439570831E-3</v>
      </c>
      <c r="Y23" s="93">
        <v>-4.5351473922900058E-2</v>
      </c>
      <c r="Z23" s="93">
        <v>-6.2040816326546858E-2</v>
      </c>
      <c r="AA23" s="92">
        <v>-7.252487771964836E-3</v>
      </c>
      <c r="AB23" s="94">
        <v>-4.7959183673469449E-2</v>
      </c>
      <c r="AC23" s="93">
        <v>-6.1160780649454063E-3</v>
      </c>
      <c r="AD23" s="94">
        <v>-7.0803831736772446E-2</v>
      </c>
      <c r="AE23" s="8"/>
      <c r="AF23" s="100">
        <f t="shared" si="17"/>
        <v>-4.5351473922900058E-2</v>
      </c>
      <c r="AG23" s="63"/>
      <c r="AI23" s="63"/>
      <c r="AO23" s="8"/>
      <c r="AT23" s="12">
        <v>5</v>
      </c>
      <c r="AU23" s="7" t="s">
        <v>990</v>
      </c>
      <c r="AV23" s="9"/>
      <c r="AW23" s="12">
        <v>5</v>
      </c>
      <c r="AX23" s="12" t="s">
        <v>991</v>
      </c>
      <c r="AY23" s="182">
        <v>6.4699999999999994E-2</v>
      </c>
      <c r="AZ23" s="185">
        <v>5</v>
      </c>
      <c r="BA23" s="182">
        <v>6.4699999999999994E-2</v>
      </c>
      <c r="BB23" s="13" cm="1">
        <f t="array" ref="BB23">INDEX(AI74:AM74,$AV$17)</f>
        <v>6.2828783789145213</v>
      </c>
      <c r="BC23" s="13">
        <f t="shared" si="24"/>
        <v>2.7566011716834651</v>
      </c>
      <c r="BD23" s="18" t="s">
        <v>172</v>
      </c>
      <c r="BE23" s="142" t="str">
        <f t="shared" si="28"/>
        <v/>
      </c>
      <c r="BF23" s="82" t="s">
        <v>86</v>
      </c>
      <c r="BG23" s="83" t="str">
        <f t="shared" si="25"/>
        <v>2.8</v>
      </c>
      <c r="BH23" s="142" t="str">
        <f t="shared" si="29"/>
        <v/>
      </c>
      <c r="BI23" s="82" t="s">
        <v>86</v>
      </c>
      <c r="BJ23" s="83" t="str">
        <f t="shared" si="26"/>
        <v>2.8</v>
      </c>
      <c r="BL23" s="333"/>
      <c r="BM23" s="670" t="str">
        <f t="shared" si="19"/>
        <v/>
      </c>
      <c r="BN23" s="349" t="str">
        <f t="shared" si="27"/>
        <v/>
      </c>
      <c r="BO23" s="350" t="str">
        <f t="shared" si="20"/>
        <v/>
      </c>
      <c r="BP23" s="350" t="str">
        <f t="shared" si="20"/>
        <v/>
      </c>
      <c r="BQ23" s="350" t="str">
        <f t="shared" si="20"/>
        <v/>
      </c>
      <c r="BR23" s="350" t="str">
        <f t="shared" si="20"/>
        <v/>
      </c>
      <c r="BS23" s="351" t="str">
        <f t="shared" si="20"/>
        <v/>
      </c>
      <c r="BT23" s="348" t="str">
        <f t="shared" si="21"/>
        <v/>
      </c>
      <c r="BU23" s="349" t="str">
        <f t="shared" si="22"/>
        <v/>
      </c>
      <c r="BV23" s="350" t="str">
        <f t="shared" si="23"/>
        <v/>
      </c>
      <c r="BW23" s="350" t="str">
        <f t="shared" si="23"/>
        <v/>
      </c>
      <c r="BX23" s="350" t="str">
        <f t="shared" si="23"/>
        <v/>
      </c>
      <c r="BY23" s="350" t="str">
        <f t="shared" si="23"/>
        <v/>
      </c>
      <c r="BZ23" s="351" t="str">
        <f t="shared" si="23"/>
        <v/>
      </c>
      <c r="CA23" s="334"/>
      <c r="CB23" s="334"/>
      <c r="CC23" s="334"/>
      <c r="CD23" s="334"/>
      <c r="CE23" s="334"/>
      <c r="CF23" s="334"/>
      <c r="CG23" s="1206" t="s">
        <v>992</v>
      </c>
      <c r="CH23" s="1206"/>
      <c r="CI23" s="1206"/>
      <c r="CJ23" s="1206"/>
      <c r="CK23" s="1206"/>
      <c r="CL23" s="1207" t="s">
        <v>993</v>
      </c>
      <c r="CM23" s="1207"/>
      <c r="CN23" s="1207"/>
      <c r="CO23" s="1207"/>
      <c r="CP23" s="1208"/>
      <c r="EA23"/>
      <c r="EB23"/>
      <c r="EC23"/>
      <c r="ED23"/>
      <c r="EE23"/>
      <c r="EF23"/>
      <c r="EG23"/>
      <c r="EH23"/>
      <c r="EI23"/>
      <c r="EJ23"/>
      <c r="EK23"/>
      <c r="EL23"/>
      <c r="EM23"/>
      <c r="EN23"/>
      <c r="EO23"/>
      <c r="EP23"/>
      <c r="EQ23"/>
      <c r="ER23"/>
      <c r="ES23"/>
      <c r="ET23"/>
      <c r="EU23"/>
      <c r="EV23"/>
      <c r="EW23"/>
      <c r="EX23"/>
      <c r="EY23"/>
      <c r="EZ23"/>
      <c r="FA23"/>
      <c r="FB23"/>
      <c r="FC23"/>
      <c r="FD23"/>
      <c r="FE23" t="e" vm="851">
        <v>#VALUE!</v>
      </c>
      <c r="FF23" t="e" vm="852">
        <v>#VALUE!</v>
      </c>
      <c r="FG23" t="e" vm="853">
        <v>#VALUE!</v>
      </c>
      <c r="FH23" t="e" vm="854">
        <v>#VALUE!</v>
      </c>
      <c r="FI23" t="e" vm="855">
        <v>#VALUE!</v>
      </c>
      <c r="FJ23" t="e" vm="856">
        <v>#VALUE!</v>
      </c>
      <c r="FK23" t="e" vm="857">
        <v>#VALUE!</v>
      </c>
      <c r="FL23" t="e" vm="858">
        <v>#VALUE!</v>
      </c>
      <c r="FM23" t="e" vm="859">
        <v>#VALUE!</v>
      </c>
      <c r="FN23" t="e" vm="860">
        <v>#VALUE!</v>
      </c>
      <c r="FO23" t="e" vm="861">
        <v>#VALUE!</v>
      </c>
      <c r="FP23" t="e" vm="862">
        <v>#VALUE!</v>
      </c>
      <c r="FQ23" t="e" vm="863">
        <v>#VALUE!</v>
      </c>
      <c r="FR23" t="e" vm="864">
        <v>#VALUE!</v>
      </c>
      <c r="FS23" t="e" vm="865">
        <v>#VALUE!</v>
      </c>
      <c r="FT23" t="e" vm="866">
        <v>#VALUE!</v>
      </c>
      <c r="FU23" t="e" vm="867">
        <v>#VALUE!</v>
      </c>
      <c r="FV23" t="e" vm="868">
        <v>#VALUE!</v>
      </c>
      <c r="FW23" t="e" vm="869">
        <v>#VALUE!</v>
      </c>
      <c r="FX23" t="e" vm="870">
        <v>#VALUE!</v>
      </c>
    </row>
    <row r="24" spans="1:180">
      <c r="A24">
        <v>23</v>
      </c>
      <c r="B24" t="s">
        <v>133</v>
      </c>
      <c r="C24" s="553"/>
      <c r="D24" s="554"/>
      <c r="E24" s="172" t="str">
        <f t="shared" si="3"/>
        <v/>
      </c>
      <c r="F24" s="555" t="str">
        <f t="shared" si="18"/>
        <v/>
      </c>
      <c r="G24" s="172" t="str">
        <f t="shared" si="5"/>
        <v/>
      </c>
      <c r="H24" t="str">
        <f t="shared" si="6"/>
        <v/>
      </c>
      <c r="I24" s="552" t="str" cm="1">
        <f t="array" ref="I24">IF(H24&lt;&gt;"",INDEX($B$2:$B$66,H24+1),"")</f>
        <v/>
      </c>
      <c r="J24" s="554" t="str">
        <f t="shared" si="0"/>
        <v/>
      </c>
      <c r="K24" t="str">
        <f t="shared" si="16"/>
        <v/>
      </c>
      <c r="L24" s="2" t="str">
        <f t="shared" si="8"/>
        <v/>
      </c>
      <c r="M24" t="str">
        <f t="shared" si="9"/>
        <v/>
      </c>
      <c r="N24" s="2" t="str">
        <f t="shared" si="10"/>
        <v/>
      </c>
      <c r="O24" s="172" t="str">
        <f t="shared" si="1"/>
        <v/>
      </c>
      <c r="P24" s="177" t="str">
        <f t="shared" si="11"/>
        <v/>
      </c>
      <c r="Q24" s="172" t="str">
        <f t="shared" si="2"/>
        <v/>
      </c>
      <c r="R24" s="553" t="str">
        <f t="shared" si="12"/>
        <v/>
      </c>
      <c r="S24" s="553"/>
      <c r="U24" s="96">
        <v>0.3644488383589819</v>
      </c>
      <c r="V24" s="18">
        <v>-0.33077889979511255</v>
      </c>
      <c r="W24" s="96">
        <v>0.11342681290202035</v>
      </c>
      <c r="X24" s="97">
        <v>-4.6614378049619487E-2</v>
      </c>
      <c r="Y24" s="18">
        <v>5.9637188208614383E-2</v>
      </c>
      <c r="Z24" s="18">
        <v>5.7355102040833182E-2</v>
      </c>
      <c r="AA24" s="96">
        <v>1.1916006071846424E-2</v>
      </c>
      <c r="AB24" s="97">
        <v>5.3230612244898425E-2</v>
      </c>
      <c r="AC24" s="18">
        <v>1.6343519717985696E-2</v>
      </c>
      <c r="AD24" s="97">
        <v>0.10024989587671318</v>
      </c>
      <c r="AE24" s="8"/>
      <c r="AF24" s="98">
        <f t="shared" si="17"/>
        <v>5.9637188208614383E-2</v>
      </c>
      <c r="AG24" s="63"/>
      <c r="AI24" s="63"/>
      <c r="AO24" s="8"/>
      <c r="AT24" s="12">
        <v>6</v>
      </c>
      <c r="AU24" s="7" t="s">
        <v>994</v>
      </c>
      <c r="AW24" s="12">
        <v>6</v>
      </c>
      <c r="AX24" s="12" t="s">
        <v>995</v>
      </c>
      <c r="AY24" s="182">
        <v>6.4600000000000005E-2</v>
      </c>
      <c r="AZ24" s="185">
        <v>6</v>
      </c>
      <c r="BA24" s="182">
        <v>6.4600000000000005E-2</v>
      </c>
      <c r="BB24" s="13" cm="1">
        <f t="array" ref="BB24">INDEX(AI75:AM75,$AV$17)</f>
        <v>6.1980563972613334</v>
      </c>
      <c r="BC24" s="13">
        <f t="shared" si="24"/>
        <v>2.7566011716834651</v>
      </c>
      <c r="BD24" s="18" t="s">
        <v>178</v>
      </c>
      <c r="BE24" s="142" t="str">
        <f t="shared" si="28"/>
        <v/>
      </c>
      <c r="BF24" s="82" t="s">
        <v>93</v>
      </c>
      <c r="BG24" s="83" t="str">
        <f t="shared" si="25"/>
        <v>2.8</v>
      </c>
      <c r="BH24" s="142" t="str">
        <f t="shared" si="29"/>
        <v/>
      </c>
      <c r="BI24" s="82" t="s">
        <v>93</v>
      </c>
      <c r="BJ24" s="83" t="str">
        <f t="shared" si="26"/>
        <v>2.8</v>
      </c>
      <c r="BL24" s="333"/>
      <c r="BM24" s="670" t="str">
        <f t="shared" si="19"/>
        <v/>
      </c>
      <c r="BN24" s="349" t="str">
        <f t="shared" si="27"/>
        <v/>
      </c>
      <c r="BO24" s="350" t="str">
        <f t="shared" si="20"/>
        <v/>
      </c>
      <c r="BP24" s="350" t="str">
        <f t="shared" si="20"/>
        <v/>
      </c>
      <c r="BQ24" s="350" t="str">
        <f t="shared" si="20"/>
        <v/>
      </c>
      <c r="BR24" s="350" t="str">
        <f t="shared" si="20"/>
        <v/>
      </c>
      <c r="BS24" s="351" t="str">
        <f t="shared" si="20"/>
        <v/>
      </c>
      <c r="BT24" s="348" t="str">
        <f t="shared" si="21"/>
        <v/>
      </c>
      <c r="BU24" s="349" t="str">
        <f t="shared" si="22"/>
        <v/>
      </c>
      <c r="BV24" s="350" t="str">
        <f t="shared" si="23"/>
        <v/>
      </c>
      <c r="BW24" s="350" t="str">
        <f t="shared" si="23"/>
        <v/>
      </c>
      <c r="BX24" s="350" t="str">
        <f t="shared" si="23"/>
        <v/>
      </c>
      <c r="BY24" s="350" t="str">
        <f t="shared" si="23"/>
        <v/>
      </c>
      <c r="BZ24" s="351" t="str">
        <f t="shared" si="23"/>
        <v/>
      </c>
      <c r="CA24" s="334"/>
      <c r="CB24" s="334"/>
      <c r="CC24" s="334"/>
      <c r="CD24" s="334"/>
      <c r="CE24" s="334"/>
      <c r="CF24" s="334"/>
      <c r="CG24" s="1206"/>
      <c r="CH24" s="1206"/>
      <c r="CI24" s="1206"/>
      <c r="CJ24" s="1206"/>
      <c r="CK24" s="1206"/>
      <c r="CL24" s="1209" t="s">
        <v>996</v>
      </c>
      <c r="CM24" s="1209"/>
      <c r="CN24" s="1209"/>
      <c r="CO24" s="1209"/>
      <c r="CP24" s="1210"/>
      <c r="EA24"/>
      <c r="EB24"/>
      <c r="EC24"/>
      <c r="ED24"/>
      <c r="EE24"/>
      <c r="EF24"/>
      <c r="EG24"/>
      <c r="EH24"/>
      <c r="EI24"/>
      <c r="EJ24"/>
      <c r="EK24"/>
      <c r="EL24"/>
      <c r="EM24"/>
      <c r="EN24"/>
      <c r="EO24"/>
      <c r="EP24"/>
      <c r="EQ24"/>
      <c r="ER24"/>
      <c r="ES24"/>
      <c r="ET24"/>
      <c r="EU24"/>
      <c r="EV24"/>
      <c r="EW24"/>
      <c r="EX24"/>
      <c r="EY24"/>
      <c r="EZ24"/>
      <c r="FA24"/>
      <c r="FB24"/>
      <c r="FC24"/>
      <c r="FD24"/>
      <c r="FE24" t="e" vm="871">
        <v>#VALUE!</v>
      </c>
      <c r="FF24" t="e" vm="872">
        <v>#VALUE!</v>
      </c>
      <c r="FG24" t="e" vm="873">
        <v>#VALUE!</v>
      </c>
      <c r="FH24" t="e" vm="874">
        <v>#VALUE!</v>
      </c>
      <c r="FI24" t="e" vm="875">
        <v>#VALUE!</v>
      </c>
      <c r="FJ24" t="e" vm="876">
        <v>#VALUE!</v>
      </c>
      <c r="FK24" t="e" vm="877">
        <v>#VALUE!</v>
      </c>
      <c r="FL24" t="e" vm="878">
        <v>#VALUE!</v>
      </c>
      <c r="FM24" t="e" vm="879">
        <v>#VALUE!</v>
      </c>
      <c r="FN24" t="e" vm="880">
        <v>#VALUE!</v>
      </c>
      <c r="FO24"/>
      <c r="FP24"/>
      <c r="FQ24"/>
      <c r="FR24"/>
      <c r="FS24"/>
      <c r="FT24"/>
      <c r="FU24"/>
      <c r="FV24"/>
      <c r="FW24"/>
      <c r="FX24"/>
    </row>
    <row r="25" spans="1:180">
      <c r="A25">
        <v>24</v>
      </c>
      <c r="B25" t="s">
        <v>139</v>
      </c>
      <c r="C25" s="553"/>
      <c r="D25" s="554"/>
      <c r="E25" s="172" t="str">
        <f t="shared" si="3"/>
        <v/>
      </c>
      <c r="F25" s="555" t="str">
        <f t="shared" si="18"/>
        <v/>
      </c>
      <c r="G25" s="172" t="str">
        <f t="shared" si="5"/>
        <v/>
      </c>
      <c r="H25" t="str">
        <f t="shared" si="6"/>
        <v/>
      </c>
      <c r="I25" s="552" t="str" cm="1">
        <f t="array" ref="I25">IF(H25&lt;&gt;"",INDEX($B$2:$B$66,H25+1),"")</f>
        <v/>
      </c>
      <c r="J25" s="554" t="str">
        <f t="shared" si="0"/>
        <v/>
      </c>
      <c r="K25" t="str">
        <f t="shared" si="16"/>
        <v/>
      </c>
      <c r="L25" s="2" t="str">
        <f t="shared" si="8"/>
        <v/>
      </c>
      <c r="M25" t="str">
        <f t="shared" si="9"/>
        <v/>
      </c>
      <c r="N25" s="2" t="str">
        <f t="shared" si="10"/>
        <v/>
      </c>
      <c r="O25" s="172" t="str">
        <f t="shared" si="1"/>
        <v/>
      </c>
      <c r="P25" s="177" t="str">
        <f t="shared" si="11"/>
        <v/>
      </c>
      <c r="Q25" s="172" t="str">
        <f t="shared" si="2"/>
        <v/>
      </c>
      <c r="R25" s="553" t="str">
        <f t="shared" si="12"/>
        <v/>
      </c>
      <c r="S25" s="553"/>
      <c r="U25" s="96">
        <v>-0.17415719228870696</v>
      </c>
      <c r="V25" s="18">
        <v>-6.1912011863592069E-2</v>
      </c>
      <c r="W25" s="96">
        <v>-4.7911888564946381E-2</v>
      </c>
      <c r="X25" s="97">
        <v>-1.4073092520986361E-2</v>
      </c>
      <c r="Y25" s="18">
        <v>-2.5956349206348539E-2</v>
      </c>
      <c r="Z25" s="18">
        <v>-2.7737142857147297E-2</v>
      </c>
      <c r="AA25" s="96">
        <v>-6.7544273907898722E-3</v>
      </c>
      <c r="AB25" s="97">
        <v>-1.6628571428571617E-2</v>
      </c>
      <c r="AC25" s="18">
        <v>-1.1809127397057882E-2</v>
      </c>
      <c r="AD25" s="97">
        <v>-6.7139941690960922E-2</v>
      </c>
      <c r="AE25" s="8"/>
      <c r="AF25" s="99">
        <f t="shared" si="17"/>
        <v>-2.5956349206348539E-2</v>
      </c>
      <c r="AG25" s="63"/>
      <c r="AI25" s="63"/>
      <c r="AO25" s="8"/>
      <c r="AY25" s="182">
        <v>6.4500000000000002E-2</v>
      </c>
      <c r="AZ25" s="185">
        <v>7</v>
      </c>
      <c r="BA25" s="182">
        <v>6.4500000000000002E-2</v>
      </c>
      <c r="BB25" s="13" cm="1">
        <f t="array" ref="BB25">INDEX(AI76:AM76,$AV$17)</f>
        <v>6.1131751766332103</v>
      </c>
      <c r="BC25" s="13">
        <f t="shared" si="24"/>
        <v>2.7566011716834651</v>
      </c>
      <c r="BD25" s="18" t="s">
        <v>185</v>
      </c>
      <c r="BE25" s="142" t="str">
        <f t="shared" si="28"/>
        <v/>
      </c>
      <c r="BF25" s="82" t="s">
        <v>99</v>
      </c>
      <c r="BG25" s="83" t="str">
        <f t="shared" si="25"/>
        <v>2.8</v>
      </c>
      <c r="BH25" s="142" t="str">
        <f t="shared" si="29"/>
        <v/>
      </c>
      <c r="BI25" s="82" t="s">
        <v>99</v>
      </c>
      <c r="BJ25" s="83" t="str">
        <f t="shared" si="26"/>
        <v>2.8</v>
      </c>
      <c r="BL25" s="333"/>
      <c r="BM25" s="670" t="str">
        <f t="shared" si="19"/>
        <v/>
      </c>
      <c r="BN25" s="349" t="str">
        <f t="shared" si="27"/>
        <v/>
      </c>
      <c r="BO25" s="350" t="str">
        <f t="shared" si="20"/>
        <v/>
      </c>
      <c r="BP25" s="350" t="str">
        <f t="shared" si="20"/>
        <v/>
      </c>
      <c r="BQ25" s="350" t="str">
        <f t="shared" si="20"/>
        <v/>
      </c>
      <c r="BR25" s="350" t="str">
        <f t="shared" si="20"/>
        <v/>
      </c>
      <c r="BS25" s="351" t="str">
        <f t="shared" si="20"/>
        <v/>
      </c>
      <c r="BT25" s="348" t="str">
        <f t="shared" si="21"/>
        <v/>
      </c>
      <c r="BU25" s="349" t="str">
        <f t="shared" si="22"/>
        <v/>
      </c>
      <c r="BV25" s="350" t="str">
        <f t="shared" si="23"/>
        <v/>
      </c>
      <c r="BW25" s="350" t="str">
        <f t="shared" si="23"/>
        <v/>
      </c>
      <c r="BX25" s="350" t="str">
        <f t="shared" si="23"/>
        <v/>
      </c>
      <c r="BY25" s="350" t="str">
        <f t="shared" si="23"/>
        <v/>
      </c>
      <c r="BZ25" s="351" t="str">
        <f t="shared" si="23"/>
        <v/>
      </c>
      <c r="CA25" s="333"/>
      <c r="CB25" s="334"/>
      <c r="CC25" s="334"/>
      <c r="CD25" s="334"/>
      <c r="CE25" s="334"/>
      <c r="CF25" s="334"/>
      <c r="CG25" s="333"/>
      <c r="CH25" s="333"/>
      <c r="CI25" s="333"/>
      <c r="CJ25" s="333"/>
      <c r="CK25" s="333"/>
      <c r="CL25" s="427">
        <v>1</v>
      </c>
      <c r="CM25" s="427">
        <v>2</v>
      </c>
      <c r="CN25" s="427">
        <v>3</v>
      </c>
      <c r="CO25" s="427">
        <v>4</v>
      </c>
      <c r="CP25" s="428">
        <v>5</v>
      </c>
      <c r="EA25"/>
      <c r="EB25"/>
      <c r="EC25"/>
      <c r="ED25"/>
      <c r="EE25"/>
      <c r="EF25"/>
      <c r="EG25"/>
      <c r="EH25"/>
      <c r="EI25"/>
      <c r="EJ25"/>
      <c r="EK25"/>
      <c r="EL25"/>
      <c r="EM25"/>
      <c r="EN25"/>
      <c r="EO25"/>
      <c r="EP25"/>
      <c r="EQ25"/>
      <c r="ER25"/>
      <c r="ES25"/>
      <c r="ET25"/>
      <c r="EU25"/>
      <c r="EV25"/>
      <c r="EW25"/>
      <c r="EX25"/>
      <c r="EY25"/>
      <c r="EZ25"/>
      <c r="FA25"/>
      <c r="FB25"/>
      <c r="FC25"/>
      <c r="FD25"/>
      <c r="FE25" t="e" vm="881">
        <v>#VALUE!</v>
      </c>
      <c r="FF25" t="e" vm="882">
        <v>#VALUE!</v>
      </c>
      <c r="FG25" t="e" vm="883">
        <v>#VALUE!</v>
      </c>
      <c r="FH25" t="e" vm="884">
        <v>#VALUE!</v>
      </c>
      <c r="FI25" t="e" vm="885">
        <v>#VALUE!</v>
      </c>
      <c r="FJ25" t="e" vm="886">
        <v>#VALUE!</v>
      </c>
      <c r="FK25" t="e" vm="887">
        <v>#VALUE!</v>
      </c>
      <c r="FL25" t="e" vm="888">
        <v>#VALUE!</v>
      </c>
      <c r="FM25" t="e" vm="889">
        <v>#VALUE!</v>
      </c>
      <c r="FN25" t="e" vm="890">
        <v>#VALUE!</v>
      </c>
      <c r="FO25"/>
      <c r="FP25"/>
      <c r="FQ25"/>
      <c r="FR25"/>
      <c r="FS25"/>
      <c r="FT25"/>
      <c r="FU25"/>
      <c r="FV25"/>
      <c r="FW25"/>
      <c r="FX25"/>
    </row>
    <row r="26" spans="1:180">
      <c r="A26">
        <v>25</v>
      </c>
      <c r="B26" t="s">
        <v>144</v>
      </c>
      <c r="C26" s="553"/>
      <c r="D26" s="554"/>
      <c r="E26" s="172" t="str">
        <f t="shared" si="3"/>
        <v/>
      </c>
      <c r="F26" s="555" t="str">
        <f t="shared" si="18"/>
        <v/>
      </c>
      <c r="G26" s="172" t="str">
        <f t="shared" si="5"/>
        <v/>
      </c>
      <c r="H26" t="str">
        <f t="shared" si="6"/>
        <v/>
      </c>
      <c r="I26" s="552" t="str" cm="1">
        <f t="array" ref="I26">IF(H26&lt;&gt;"",INDEX($B$2:$B$66,H26+1),"")</f>
        <v/>
      </c>
      <c r="J26" s="554" t="str">
        <f t="shared" si="0"/>
        <v/>
      </c>
      <c r="K26" t="str">
        <f t="shared" si="16"/>
        <v/>
      </c>
      <c r="L26" s="2" t="str">
        <f t="shared" si="8"/>
        <v/>
      </c>
      <c r="M26" t="str">
        <f t="shared" si="9"/>
        <v/>
      </c>
      <c r="N26" s="2" t="str">
        <f t="shared" si="10"/>
        <v/>
      </c>
      <c r="O26" s="172" t="str">
        <f t="shared" si="1"/>
        <v/>
      </c>
      <c r="P26" s="177" t="str">
        <f t="shared" si="11"/>
        <v/>
      </c>
      <c r="Q26" s="172" t="str">
        <f t="shared" si="2"/>
        <v/>
      </c>
      <c r="R26" s="553" t="str">
        <f t="shared" si="12"/>
        <v/>
      </c>
      <c r="S26" s="553"/>
      <c r="U26" s="96">
        <v>0.348314384577738</v>
      </c>
      <c r="V26" s="18">
        <v>-1.2782713085230339</v>
      </c>
      <c r="W26" s="96">
        <v>-0.13115646258507674</v>
      </c>
      <c r="X26" s="97">
        <v>-0.63601328456983741</v>
      </c>
      <c r="Y26" s="18">
        <v>-0.2089342403628186</v>
      </c>
      <c r="Z26" s="18">
        <v>-0.21534693877542863</v>
      </c>
      <c r="AA26" s="96">
        <v>-0.38960026986004098</v>
      </c>
      <c r="AB26" s="97">
        <v>-0.13302040816326854</v>
      </c>
      <c r="AC26" s="18">
        <v>-0.41073541591452606</v>
      </c>
      <c r="AD26" s="97">
        <v>0.21527696793003817</v>
      </c>
      <c r="AE26" s="8"/>
      <c r="AF26" s="100">
        <f t="shared" si="17"/>
        <v>-0.2089342403628186</v>
      </c>
      <c r="AG26" s="63"/>
      <c r="AO26" s="8"/>
      <c r="AY26" s="182">
        <v>6.4399999999999999E-2</v>
      </c>
      <c r="AZ26" s="185">
        <v>8</v>
      </c>
      <c r="BA26" s="182">
        <v>6.4399999999999999E-2</v>
      </c>
      <c r="BB26" s="13" cm="1">
        <f t="array" ref="BB26">INDEX(AI77:AM77,$AV$17)</f>
        <v>6.0282347170301405</v>
      </c>
      <c r="BC26" s="13">
        <f t="shared" si="24"/>
        <v>2.7566011716834651</v>
      </c>
      <c r="BD26" s="18" t="s">
        <v>189</v>
      </c>
      <c r="BE26" s="142" t="str">
        <f t="shared" si="28"/>
        <v/>
      </c>
      <c r="BF26" s="82" t="s">
        <v>106</v>
      </c>
      <c r="BG26" s="83" t="str">
        <f t="shared" si="25"/>
        <v>2.8</v>
      </c>
      <c r="BH26" s="142" t="str">
        <f t="shared" si="29"/>
        <v/>
      </c>
      <c r="BI26" s="82" t="s">
        <v>106</v>
      </c>
      <c r="BJ26" s="83" t="str">
        <f t="shared" si="26"/>
        <v>2.8</v>
      </c>
      <c r="BL26" s="333"/>
      <c r="BM26" s="670" t="str">
        <f t="shared" si="19"/>
        <v/>
      </c>
      <c r="BN26" s="349" t="str">
        <f t="shared" si="27"/>
        <v/>
      </c>
      <c r="BO26" s="350" t="str">
        <f t="shared" si="20"/>
        <v/>
      </c>
      <c r="BP26" s="350" t="str">
        <f t="shared" si="20"/>
        <v/>
      </c>
      <c r="BQ26" s="350" t="str">
        <f t="shared" si="20"/>
        <v/>
      </c>
      <c r="BR26" s="350" t="str">
        <f t="shared" si="20"/>
        <v/>
      </c>
      <c r="BS26" s="351" t="str">
        <f t="shared" si="20"/>
        <v/>
      </c>
      <c r="BT26" s="348" t="str">
        <f t="shared" si="21"/>
        <v/>
      </c>
      <c r="BU26" s="349" t="str">
        <f t="shared" si="22"/>
        <v/>
      </c>
      <c r="BV26" s="350" t="str">
        <f t="shared" si="23"/>
        <v/>
      </c>
      <c r="BW26" s="350" t="str">
        <f t="shared" si="23"/>
        <v/>
      </c>
      <c r="BX26" s="350" t="str">
        <f t="shared" si="23"/>
        <v/>
      </c>
      <c r="BY26" s="350" t="str">
        <f t="shared" si="23"/>
        <v/>
      </c>
      <c r="BZ26" s="351" t="str">
        <f t="shared" si="23"/>
        <v/>
      </c>
      <c r="CA26" s="333"/>
      <c r="CB26" s="334"/>
      <c r="CC26" s="334"/>
      <c r="CD26" s="334"/>
      <c r="CE26" s="334"/>
      <c r="CF26" s="334"/>
      <c r="CG26" s="333" t="s">
        <v>997</v>
      </c>
      <c r="CH26" s="333"/>
      <c r="CI26" s="333"/>
      <c r="CJ26" s="333"/>
      <c r="CK26" s="333"/>
      <c r="CL26" s="1007" t="s">
        <v>998</v>
      </c>
      <c r="CM26" s="1007"/>
      <c r="CN26" s="1007"/>
      <c r="CO26" s="1007"/>
      <c r="CP26" s="1211"/>
      <c r="EA26"/>
      <c r="EB26"/>
      <c r="EC26"/>
      <c r="ED26"/>
      <c r="EE26"/>
      <c r="EF26"/>
      <c r="EG26"/>
      <c r="EH26"/>
      <c r="EI26"/>
      <c r="EJ26"/>
      <c r="EK26"/>
      <c r="EL26"/>
      <c r="EM26"/>
      <c r="EN26"/>
      <c r="EO26"/>
      <c r="EP26"/>
      <c r="EQ26"/>
      <c r="ER26"/>
      <c r="ES26"/>
      <c r="ET26"/>
      <c r="EU26"/>
      <c r="EV26"/>
      <c r="EW26"/>
      <c r="EX26"/>
      <c r="EY26"/>
      <c r="EZ26"/>
      <c r="FA26"/>
      <c r="FB26"/>
      <c r="FC26"/>
      <c r="FD26"/>
      <c r="FE26" t="e" vm="891">
        <v>#VALUE!</v>
      </c>
      <c r="FF26" t="e" vm="892">
        <v>#VALUE!</v>
      </c>
      <c r="FG26" t="e" vm="893">
        <v>#VALUE!</v>
      </c>
      <c r="FH26" t="e" vm="894">
        <v>#VALUE!</v>
      </c>
      <c r="FI26" t="e" vm="895">
        <v>#VALUE!</v>
      </c>
      <c r="FJ26" t="e" vm="896">
        <v>#VALUE!</v>
      </c>
      <c r="FK26" t="e" vm="897">
        <v>#VALUE!</v>
      </c>
      <c r="FL26" t="e" vm="898">
        <v>#VALUE!</v>
      </c>
      <c r="FM26" t="e" vm="899">
        <v>#VALUE!</v>
      </c>
      <c r="FN26" t="e" vm="900">
        <v>#VALUE!</v>
      </c>
      <c r="FO26"/>
      <c r="FP26"/>
      <c r="FQ26"/>
      <c r="FR26"/>
      <c r="FS26"/>
      <c r="FT26"/>
      <c r="FU26"/>
      <c r="FV26"/>
      <c r="FW26"/>
      <c r="FX26"/>
    </row>
    <row r="27" spans="1:180">
      <c r="A27">
        <v>26</v>
      </c>
      <c r="B27" t="s">
        <v>150</v>
      </c>
      <c r="C27" s="553"/>
      <c r="D27" s="554"/>
      <c r="E27" s="172" t="str">
        <f t="shared" si="3"/>
        <v/>
      </c>
      <c r="F27" s="555" t="str">
        <f t="shared" si="18"/>
        <v/>
      </c>
      <c r="G27" s="172" t="str">
        <f t="shared" si="5"/>
        <v/>
      </c>
      <c r="H27" t="str">
        <f t="shared" si="6"/>
        <v/>
      </c>
      <c r="I27" s="552" t="str" cm="1">
        <f t="array" ref="I27">IF(H27&lt;&gt;"",INDEX($B$2:$B$66,H27+1),"")</f>
        <v/>
      </c>
      <c r="J27" s="554" t="str">
        <f t="shared" si="0"/>
        <v/>
      </c>
      <c r="K27" t="str">
        <f t="shared" si="16"/>
        <v/>
      </c>
      <c r="L27" s="2" t="str">
        <f t="shared" si="8"/>
        <v/>
      </c>
      <c r="M27" t="str">
        <f t="shared" si="9"/>
        <v/>
      </c>
      <c r="N27" s="2" t="str">
        <f t="shared" si="10"/>
        <v/>
      </c>
      <c r="O27" s="172" t="str">
        <f t="shared" si="1"/>
        <v/>
      </c>
      <c r="P27" s="177" t="str">
        <f>IF(J27&lt;&gt;"",RIGHT(P26,LEN(P26)-J26),"")</f>
        <v/>
      </c>
      <c r="Q27" s="172" t="str">
        <f t="shared" si="2"/>
        <v/>
      </c>
      <c r="R27" s="553" t="str">
        <f t="shared" si="12"/>
        <v/>
      </c>
      <c r="S27" s="553"/>
      <c r="U27" s="96">
        <v>-0.4603760751363245</v>
      </c>
      <c r="V27" s="18">
        <v>1.8486471859328388</v>
      </c>
      <c r="W27" s="96">
        <v>0.27753106575969011</v>
      </c>
      <c r="X27" s="97">
        <v>1.1639012940611095</v>
      </c>
      <c r="Y27" s="18">
        <v>0.35818185941043679</v>
      </c>
      <c r="Z27" s="18">
        <v>0.49159836734685392</v>
      </c>
      <c r="AA27" s="96">
        <v>0.57735021082816707</v>
      </c>
      <c r="AB27" s="97">
        <v>0.33863469387755124</v>
      </c>
      <c r="AC27" s="18">
        <v>0.57253544564545811</v>
      </c>
      <c r="AD27" s="97">
        <v>-0.2905749271137088</v>
      </c>
      <c r="AE27" s="8"/>
      <c r="AF27" s="98">
        <f t="shared" si="17"/>
        <v>0.35818185941043679</v>
      </c>
      <c r="AG27" s="63"/>
      <c r="AO27" s="8"/>
      <c r="AY27" s="182">
        <v>6.4299999999999996E-2</v>
      </c>
      <c r="AZ27" s="185">
        <v>9</v>
      </c>
      <c r="BA27" s="182">
        <v>6.4299999999999996E-2</v>
      </c>
      <c r="BB27" s="13" cm="1">
        <f t="array" ref="BB27">INDEX(AI78:AM78,$AV$17)</f>
        <v>5.9432350184521372</v>
      </c>
      <c r="BC27" s="13">
        <f t="shared" si="24"/>
        <v>2.7566011716834651</v>
      </c>
      <c r="BD27" s="18" t="s">
        <v>196</v>
      </c>
      <c r="BE27" s="142" t="str">
        <f t="shared" si="28"/>
        <v/>
      </c>
      <c r="BF27" s="82" t="s">
        <v>110</v>
      </c>
      <c r="BG27" s="83" t="str">
        <f t="shared" si="25"/>
        <v>2.8</v>
      </c>
      <c r="BH27" s="142" t="str">
        <f t="shared" si="29"/>
        <v/>
      </c>
      <c r="BI27" s="82" t="s">
        <v>110</v>
      </c>
      <c r="BJ27" s="83" t="str">
        <f t="shared" si="26"/>
        <v>2.8</v>
      </c>
      <c r="BL27" s="333"/>
      <c r="BM27" s="670" t="str">
        <f t="shared" si="19"/>
        <v/>
      </c>
      <c r="BN27" s="349" t="str">
        <f t="shared" si="27"/>
        <v/>
      </c>
      <c r="BO27" s="350" t="str">
        <f t="shared" si="20"/>
        <v/>
      </c>
      <c r="BP27" s="350" t="str">
        <f t="shared" si="20"/>
        <v/>
      </c>
      <c r="BQ27" s="350" t="str">
        <f t="shared" si="20"/>
        <v/>
      </c>
      <c r="BR27" s="350" t="str">
        <f t="shared" si="20"/>
        <v/>
      </c>
      <c r="BS27" s="351" t="str">
        <f t="shared" si="20"/>
        <v/>
      </c>
      <c r="BT27" s="348" t="str">
        <f t="shared" si="21"/>
        <v/>
      </c>
      <c r="BU27" s="349" t="str">
        <f t="shared" si="22"/>
        <v/>
      </c>
      <c r="BV27" s="350" t="str">
        <f t="shared" si="23"/>
        <v/>
      </c>
      <c r="BW27" s="350" t="str">
        <f t="shared" si="23"/>
        <v/>
      </c>
      <c r="BX27" s="350" t="str">
        <f t="shared" si="23"/>
        <v/>
      </c>
      <c r="BY27" s="350" t="str">
        <f t="shared" si="23"/>
        <v/>
      </c>
      <c r="BZ27" s="351" t="str">
        <f t="shared" si="23"/>
        <v/>
      </c>
      <c r="CA27" s="333"/>
      <c r="CB27" s="333"/>
      <c r="CC27" s="333"/>
      <c r="CD27" s="333"/>
      <c r="CE27" s="333"/>
      <c r="CF27" s="333"/>
      <c r="CG27" s="333" t="s">
        <v>999</v>
      </c>
      <c r="CH27" s="333"/>
      <c r="CI27" s="333"/>
      <c r="CJ27" s="333"/>
      <c r="CK27" s="333"/>
      <c r="CL27" s="1005">
        <v>0.1</v>
      </c>
      <c r="CM27" s="1005">
        <v>0.2</v>
      </c>
      <c r="CN27" s="1005">
        <v>0.3</v>
      </c>
      <c r="CO27" s="1005">
        <v>0.4</v>
      </c>
      <c r="CP27" s="1205">
        <v>0.5</v>
      </c>
      <c r="EA27"/>
      <c r="EB27"/>
      <c r="EC27"/>
      <c r="ED27"/>
      <c r="EE27"/>
      <c r="EF27"/>
      <c r="EG27"/>
      <c r="EH27"/>
      <c r="EI27"/>
      <c r="EJ27"/>
      <c r="EK27"/>
      <c r="EL27"/>
      <c r="EM27"/>
      <c r="EN27"/>
      <c r="EO27"/>
      <c r="EP27"/>
      <c r="EQ27"/>
      <c r="ER27"/>
      <c r="ES27"/>
      <c r="ET27"/>
      <c r="EU27"/>
      <c r="EV27"/>
      <c r="EW27"/>
      <c r="EX27"/>
      <c r="EY27"/>
      <c r="EZ27"/>
      <c r="FA27"/>
      <c r="FB27"/>
      <c r="FC27"/>
      <c r="FD27"/>
      <c r="FE27" t="e" vm="901">
        <v>#VALUE!</v>
      </c>
      <c r="FF27" t="e" vm="902">
        <v>#VALUE!</v>
      </c>
      <c r="FG27" t="e" vm="903">
        <v>#VALUE!</v>
      </c>
      <c r="FH27" t="e" vm="904">
        <v>#VALUE!</v>
      </c>
      <c r="FI27" t="e" vm="905">
        <v>#VALUE!</v>
      </c>
      <c r="FJ27" t="e" vm="906">
        <v>#VALUE!</v>
      </c>
      <c r="FK27" t="e" vm="907">
        <v>#VALUE!</v>
      </c>
      <c r="FL27" t="e" vm="908">
        <v>#VALUE!</v>
      </c>
      <c r="FM27" t="e" vm="909">
        <v>#VALUE!</v>
      </c>
      <c r="FN27" t="e" vm="910">
        <v>#VALUE!</v>
      </c>
      <c r="FO27"/>
      <c r="FP27"/>
      <c r="FQ27"/>
      <c r="FR27"/>
      <c r="FS27"/>
      <c r="FT27"/>
      <c r="FU27"/>
      <c r="FV27"/>
      <c r="FW27"/>
      <c r="FX27"/>
    </row>
    <row r="28" spans="1:180">
      <c r="A28">
        <v>27</v>
      </c>
      <c r="B28" t="s">
        <v>154</v>
      </c>
      <c r="C28" s="556"/>
      <c r="D28" s="556"/>
      <c r="E28" s="557"/>
      <c r="F28" s="557"/>
      <c r="G28" s="557"/>
      <c r="H28" s="557"/>
      <c r="I28" s="557"/>
      <c r="J28" s="556"/>
      <c r="K28" s="557"/>
      <c r="L28" s="556"/>
      <c r="M28" s="557"/>
      <c r="N28" s="556"/>
      <c r="O28" s="557"/>
      <c r="P28" s="557"/>
      <c r="Q28" s="557"/>
      <c r="R28" s="556"/>
      <c r="S28" s="556"/>
      <c r="U28" s="96">
        <v>1.2068643400890717</v>
      </c>
      <c r="V28" s="18">
        <v>0.65079766683152052</v>
      </c>
      <c r="W28" s="96">
        <v>0.8267377777777617</v>
      </c>
      <c r="X28" s="97">
        <v>0.56744156142753832</v>
      </c>
      <c r="Y28" s="18">
        <v>0.80622968253968053</v>
      </c>
      <c r="Z28" s="18">
        <v>0.74067428571430816</v>
      </c>
      <c r="AA28" s="96">
        <v>0.72231733175913981</v>
      </c>
      <c r="AB28" s="97">
        <v>0.75076228571428605</v>
      </c>
      <c r="AC28" s="18">
        <v>0.74143901293296288</v>
      </c>
      <c r="AD28" s="97">
        <v>1.2104036734693899</v>
      </c>
      <c r="AE28" s="8"/>
      <c r="AF28" s="99">
        <f t="shared" si="17"/>
        <v>0.80622968253968053</v>
      </c>
      <c r="AG28" s="63"/>
      <c r="AH28" s="63"/>
      <c r="AO28" s="8"/>
      <c r="AY28" s="182">
        <v>6.4199999999999993E-2</v>
      </c>
      <c r="AZ28" s="185">
        <v>10</v>
      </c>
      <c r="BA28" s="182">
        <v>6.4199999999999993E-2</v>
      </c>
      <c r="BB28" s="13" cm="1">
        <f t="array" ref="BB28">INDEX(AI79:AM79,$AV$17)</f>
        <v>5.8581760808991916</v>
      </c>
      <c r="BC28" s="13">
        <f t="shared" si="24"/>
        <v>2.7566011716834651</v>
      </c>
      <c r="BD28" s="18" t="s">
        <v>202</v>
      </c>
      <c r="BE28" s="142" t="str">
        <f t="shared" si="28"/>
        <v/>
      </c>
      <c r="BF28" s="82" t="s">
        <v>114</v>
      </c>
      <c r="BG28" s="83" t="str">
        <f t="shared" si="25"/>
        <v>2.8</v>
      </c>
      <c r="BH28" s="142" t="str">
        <f t="shared" si="29"/>
        <v/>
      </c>
      <c r="BI28" s="82" t="s">
        <v>114</v>
      </c>
      <c r="BJ28" s="83" t="str">
        <f t="shared" si="26"/>
        <v>2.8</v>
      </c>
      <c r="BL28" s="333"/>
      <c r="BM28" s="670" t="str">
        <f t="shared" si="19"/>
        <v/>
      </c>
      <c r="BN28" s="349" t="str">
        <f t="shared" si="27"/>
        <v/>
      </c>
      <c r="BO28" s="350" t="str">
        <f t="shared" si="20"/>
        <v/>
      </c>
      <c r="BP28" s="350" t="str">
        <f t="shared" si="20"/>
        <v/>
      </c>
      <c r="BQ28" s="350" t="str">
        <f t="shared" si="20"/>
        <v/>
      </c>
      <c r="BR28" s="350" t="str">
        <f t="shared" si="20"/>
        <v/>
      </c>
      <c r="BS28" s="351" t="str">
        <f t="shared" si="20"/>
        <v/>
      </c>
      <c r="BT28" s="348" t="str">
        <f t="shared" si="21"/>
        <v/>
      </c>
      <c r="BU28" s="349" t="str">
        <f t="shared" si="22"/>
        <v/>
      </c>
      <c r="BV28" s="350" t="str">
        <f t="shared" si="23"/>
        <v/>
      </c>
      <c r="BW28" s="350" t="str">
        <f t="shared" si="23"/>
        <v/>
      </c>
      <c r="BX28" s="350" t="str">
        <f t="shared" si="23"/>
        <v/>
      </c>
      <c r="BY28" s="350" t="str">
        <f t="shared" si="23"/>
        <v/>
      </c>
      <c r="BZ28" s="351" t="str">
        <f t="shared" si="23"/>
        <v/>
      </c>
      <c r="CA28" s="333"/>
      <c r="CB28" s="333"/>
      <c r="CC28" s="333"/>
      <c r="CD28" s="333"/>
      <c r="CE28" s="333"/>
      <c r="CF28" s="333"/>
      <c r="CG28" s="333" t="s">
        <v>1000</v>
      </c>
      <c r="CH28" s="333"/>
      <c r="CI28" s="333"/>
      <c r="CJ28" s="333"/>
      <c r="CK28" s="333"/>
      <c r="CL28" s="1005"/>
      <c r="CM28" s="1005"/>
      <c r="CN28" s="1005"/>
      <c r="CO28" s="1005"/>
      <c r="CP28" s="1205"/>
      <c r="EA28"/>
      <c r="EB28"/>
      <c r="EC28"/>
      <c r="ED28"/>
      <c r="EE28"/>
      <c r="EF28"/>
      <c r="EG28"/>
      <c r="EH28"/>
      <c r="EI28"/>
      <c r="EJ28"/>
      <c r="EK28"/>
      <c r="EL28"/>
      <c r="EM28"/>
      <c r="EN28"/>
      <c r="EO28"/>
      <c r="EP28"/>
      <c r="EQ28"/>
      <c r="ER28"/>
      <c r="ES28"/>
      <c r="ET28"/>
      <c r="EU28"/>
      <c r="EV28"/>
      <c r="EW28"/>
      <c r="EX28"/>
      <c r="EY28"/>
      <c r="EZ28"/>
      <c r="FA28"/>
      <c r="FB28"/>
      <c r="FC28"/>
      <c r="FD28"/>
      <c r="FE28" t="e" vm="911">
        <v>#VALUE!</v>
      </c>
      <c r="FF28" t="e" vm="912">
        <v>#VALUE!</v>
      </c>
      <c r="FG28" t="e" vm="913">
        <v>#VALUE!</v>
      </c>
      <c r="FH28" t="e" vm="914">
        <v>#VALUE!</v>
      </c>
      <c r="FI28" t="e" vm="915">
        <v>#VALUE!</v>
      </c>
      <c r="FJ28" t="e" vm="916">
        <v>#VALUE!</v>
      </c>
      <c r="FK28" t="e" vm="917">
        <v>#VALUE!</v>
      </c>
      <c r="FL28" t="e" vm="918">
        <v>#VALUE!</v>
      </c>
      <c r="FM28" t="e" vm="919">
        <v>#VALUE!</v>
      </c>
      <c r="FN28" t="e" vm="920">
        <v>#VALUE!</v>
      </c>
      <c r="FO28"/>
      <c r="FP28"/>
      <c r="FQ28"/>
      <c r="FR28"/>
      <c r="FS28"/>
      <c r="FT28"/>
      <c r="FU28"/>
      <c r="FV28"/>
      <c r="FW28"/>
      <c r="FX28"/>
    </row>
    <row r="29" spans="1:180">
      <c r="A29">
        <v>28</v>
      </c>
      <c r="B29" t="s">
        <v>159</v>
      </c>
      <c r="U29" s="96">
        <v>-0.55844191794398534</v>
      </c>
      <c r="V29" s="18">
        <v>0.67348859543782502</v>
      </c>
      <c r="W29" s="96">
        <v>-0.2269115646258138</v>
      </c>
      <c r="X29" s="97">
        <v>0.38823960874400343</v>
      </c>
      <c r="Y29" s="18">
        <v>-9.9827664399022895E-2</v>
      </c>
      <c r="Z29" s="18">
        <v>9.7795918366242081E-3</v>
      </c>
      <c r="AA29" s="96">
        <v>0.10496137628614204</v>
      </c>
      <c r="AB29" s="97">
        <v>-0.16768979591841021</v>
      </c>
      <c r="AC29" s="18">
        <v>0.12824158508355324</v>
      </c>
      <c r="AD29" s="97">
        <v>-0.45771428571433509</v>
      </c>
      <c r="AE29" s="8"/>
      <c r="AF29" s="100">
        <f t="shared" si="17"/>
        <v>-9.9827664399022895E-2</v>
      </c>
      <c r="AG29" s="63"/>
      <c r="AO29" s="8"/>
      <c r="AY29" s="182">
        <v>6.4100000000000004E-2</v>
      </c>
      <c r="AZ29" s="185">
        <v>11</v>
      </c>
      <c r="BA29" s="182">
        <v>6.4100000000000004E-2</v>
      </c>
      <c r="BB29" s="13" cm="1">
        <f t="array" ref="BB29">INDEX(AI80:AM80,$AV$17)</f>
        <v>5.7730579043713064</v>
      </c>
      <c r="BC29" s="13">
        <f t="shared" si="24"/>
        <v>2.7566011716834651</v>
      </c>
      <c r="BD29" s="18" t="s">
        <v>206</v>
      </c>
      <c r="BE29" s="142" t="str">
        <f t="shared" si="28"/>
        <v/>
      </c>
      <c r="BF29" s="82" t="s">
        <v>119</v>
      </c>
      <c r="BG29" s="83" t="str">
        <f t="shared" si="25"/>
        <v>2.8</v>
      </c>
      <c r="BH29" s="142" t="str">
        <f t="shared" si="29"/>
        <v/>
      </c>
      <c r="BI29" s="82" t="s">
        <v>119</v>
      </c>
      <c r="BJ29" s="83" t="str">
        <f t="shared" si="26"/>
        <v>2.8</v>
      </c>
      <c r="BL29" s="333"/>
      <c r="BM29" s="670" t="str">
        <f t="shared" si="19"/>
        <v/>
      </c>
      <c r="BN29" s="349" t="str">
        <f t="shared" si="27"/>
        <v/>
      </c>
      <c r="BO29" s="350" t="str">
        <f t="shared" si="20"/>
        <v/>
      </c>
      <c r="BP29" s="350" t="str">
        <f t="shared" si="20"/>
        <v/>
      </c>
      <c r="BQ29" s="350" t="str">
        <f t="shared" si="20"/>
        <v/>
      </c>
      <c r="BR29" s="350" t="str">
        <f t="shared" si="20"/>
        <v/>
      </c>
      <c r="BS29" s="351" t="str">
        <f t="shared" si="20"/>
        <v/>
      </c>
      <c r="BT29" s="348" t="str">
        <f t="shared" si="21"/>
        <v/>
      </c>
      <c r="BU29" s="349" t="str">
        <f t="shared" si="22"/>
        <v/>
      </c>
      <c r="BV29" s="350" t="str">
        <f t="shared" si="23"/>
        <v/>
      </c>
      <c r="BW29" s="350" t="str">
        <f t="shared" si="23"/>
        <v/>
      </c>
      <c r="BX29" s="350" t="str">
        <f t="shared" si="23"/>
        <v/>
      </c>
      <c r="BY29" s="350" t="str">
        <f t="shared" si="23"/>
        <v/>
      </c>
      <c r="BZ29" s="351" t="str">
        <f t="shared" si="23"/>
        <v/>
      </c>
      <c r="CA29" s="333"/>
      <c r="CB29" s="333"/>
      <c r="CC29" s="333"/>
      <c r="CD29" s="333"/>
      <c r="CE29" s="333"/>
      <c r="CF29" s="333"/>
      <c r="CG29" s="333" t="s">
        <v>1001</v>
      </c>
      <c r="CH29" s="333"/>
      <c r="CI29" s="333"/>
      <c r="CJ29" s="333"/>
      <c r="CK29" s="333"/>
      <c r="CL29" s="1005">
        <v>0.05</v>
      </c>
      <c r="CM29" s="1005">
        <v>0.11</v>
      </c>
      <c r="CN29" s="1005">
        <v>0.17</v>
      </c>
      <c r="CO29" s="1005">
        <v>0.22</v>
      </c>
      <c r="CP29" s="1205">
        <v>0.28000000000000003</v>
      </c>
      <c r="EA29"/>
      <c r="EB29"/>
      <c r="EC29"/>
      <c r="ED29"/>
      <c r="EE29"/>
      <c r="EF29"/>
      <c r="EG29"/>
      <c r="EH29"/>
      <c r="EI29"/>
      <c r="EJ29"/>
      <c r="EK29"/>
      <c r="EL29"/>
      <c r="EM29"/>
      <c r="EN29"/>
      <c r="EO29"/>
      <c r="EP29"/>
      <c r="EQ29"/>
      <c r="ER29"/>
      <c r="ES29"/>
      <c r="ET29"/>
      <c r="EU29"/>
      <c r="EV29"/>
      <c r="EW29"/>
      <c r="EX29"/>
      <c r="EY29"/>
      <c r="EZ29"/>
      <c r="FA29"/>
      <c r="FB29"/>
      <c r="FC29"/>
      <c r="FD29"/>
      <c r="FE29" t="e" vm="921">
        <v>#VALUE!</v>
      </c>
      <c r="FF29" t="e" vm="922">
        <v>#VALUE!</v>
      </c>
      <c r="FG29" t="e" vm="923">
        <v>#VALUE!</v>
      </c>
      <c r="FH29" t="e" vm="924">
        <v>#VALUE!</v>
      </c>
      <c r="FI29" t="e" vm="925">
        <v>#VALUE!</v>
      </c>
      <c r="FJ29" t="e" vm="926">
        <v>#VALUE!</v>
      </c>
      <c r="FK29" t="e" vm="927">
        <v>#VALUE!</v>
      </c>
      <c r="FL29" t="e" vm="928">
        <v>#VALUE!</v>
      </c>
      <c r="FM29" t="e" vm="929">
        <v>#VALUE!</v>
      </c>
      <c r="FN29" t="e" vm="930">
        <v>#VALUE!</v>
      </c>
      <c r="FO29"/>
      <c r="FP29"/>
      <c r="FQ29"/>
      <c r="FR29"/>
      <c r="FS29"/>
      <c r="FT29"/>
      <c r="FU29"/>
      <c r="FV29"/>
      <c r="FW29"/>
      <c r="FX29"/>
    </row>
    <row r="30" spans="1:180">
      <c r="A30">
        <v>29</v>
      </c>
      <c r="B30" t="s">
        <v>163</v>
      </c>
      <c r="U30" s="96">
        <v>0.76672106772155224</v>
      </c>
      <c r="V30" s="18">
        <v>-0.93799002895242467</v>
      </c>
      <c r="W30" s="96">
        <v>0.24327791383214864</v>
      </c>
      <c r="X30" s="97">
        <v>-0.72495573608795383</v>
      </c>
      <c r="Y30" s="18">
        <v>9.1046712018073322E-2</v>
      </c>
      <c r="Z30" s="18">
        <v>-0.1643704489794767</v>
      </c>
      <c r="AA30" s="96">
        <v>-0.14866607522357136</v>
      </c>
      <c r="AB30" s="97">
        <v>9.1080653061275066E-2</v>
      </c>
      <c r="AC30" s="18">
        <v>-0.1447616980610972</v>
      </c>
      <c r="AD30" s="97">
        <v>0.65503428571433586</v>
      </c>
      <c r="AE30" s="8"/>
      <c r="AF30" s="98">
        <f t="shared" si="17"/>
        <v>9.1046712018073322E-2</v>
      </c>
      <c r="AG30" s="63"/>
      <c r="AH30" s="63"/>
      <c r="AJ30" s="9"/>
      <c r="AO30" s="8"/>
      <c r="AY30" s="182">
        <v>6.4000000000000001E-2</v>
      </c>
      <c r="AZ30" s="185">
        <v>12</v>
      </c>
      <c r="BA30" s="182">
        <v>6.4000000000000001E-2</v>
      </c>
      <c r="BB30" s="13" cm="1">
        <f t="array" ref="BB30">INDEX(AI81:AM81,$AV$17)</f>
        <v>5.6878804888684833</v>
      </c>
      <c r="BC30" s="13">
        <f t="shared" si="24"/>
        <v>2.7566011716834651</v>
      </c>
      <c r="BD30" s="18" t="s">
        <v>210</v>
      </c>
      <c r="BE30" s="142" t="str">
        <f t="shared" si="28"/>
        <v/>
      </c>
      <c r="BF30" s="82" t="s">
        <v>123</v>
      </c>
      <c r="BG30" s="83" t="str">
        <f t="shared" si="25"/>
        <v>2.8</v>
      </c>
      <c r="BH30" s="142" t="str">
        <f t="shared" si="29"/>
        <v/>
      </c>
      <c r="BI30" s="82" t="s">
        <v>123</v>
      </c>
      <c r="BJ30" s="83" t="str">
        <f t="shared" si="26"/>
        <v>2.8</v>
      </c>
      <c r="BL30" s="333"/>
      <c r="BM30" s="670" t="str">
        <f t="shared" si="19"/>
        <v/>
      </c>
      <c r="BN30" s="349" t="str">
        <f t="shared" si="27"/>
        <v/>
      </c>
      <c r="BO30" s="350" t="str">
        <f t="shared" si="20"/>
        <v/>
      </c>
      <c r="BP30" s="350" t="str">
        <f t="shared" si="20"/>
        <v/>
      </c>
      <c r="BQ30" s="350" t="str">
        <f t="shared" si="20"/>
        <v/>
      </c>
      <c r="BR30" s="350" t="str">
        <f t="shared" si="20"/>
        <v/>
      </c>
      <c r="BS30" s="351" t="str">
        <f t="shared" si="20"/>
        <v/>
      </c>
      <c r="BT30" s="348" t="str">
        <f t="shared" si="21"/>
        <v/>
      </c>
      <c r="BU30" s="349" t="str">
        <f t="shared" si="22"/>
        <v/>
      </c>
      <c r="BV30" s="350" t="str">
        <f t="shared" si="23"/>
        <v/>
      </c>
      <c r="BW30" s="350" t="str">
        <f t="shared" si="23"/>
        <v/>
      </c>
      <c r="BX30" s="350" t="str">
        <f t="shared" si="23"/>
        <v/>
      </c>
      <c r="BY30" s="350" t="str">
        <f t="shared" si="23"/>
        <v/>
      </c>
      <c r="BZ30" s="351" t="str">
        <f t="shared" si="23"/>
        <v/>
      </c>
      <c r="CA30" s="333"/>
      <c r="CB30" s="333"/>
      <c r="CC30" s="333"/>
      <c r="CD30" s="333"/>
      <c r="CE30" s="333"/>
      <c r="CF30" s="333"/>
      <c r="CG30" s="333" t="s">
        <v>1002</v>
      </c>
      <c r="CH30" s="333"/>
      <c r="CI30" s="333"/>
      <c r="CJ30" s="333"/>
      <c r="CK30" s="333"/>
      <c r="CL30" s="1005"/>
      <c r="CM30" s="1005"/>
      <c r="CN30" s="1005"/>
      <c r="CO30" s="1005"/>
      <c r="CP30" s="1205"/>
      <c r="EA30"/>
      <c r="EB30"/>
      <c r="EC30"/>
      <c r="ED30"/>
      <c r="EE30"/>
      <c r="EF30"/>
      <c r="EG30"/>
      <c r="EH30"/>
      <c r="EI30"/>
      <c r="EJ30"/>
      <c r="EK30"/>
      <c r="EL30"/>
      <c r="EM30"/>
      <c r="EN30"/>
      <c r="EO30"/>
      <c r="EP30"/>
      <c r="EQ30"/>
      <c r="ER30"/>
      <c r="ES30"/>
      <c r="ET30"/>
      <c r="EU30"/>
      <c r="EV30"/>
      <c r="EW30"/>
      <c r="EX30"/>
      <c r="EY30"/>
      <c r="EZ30"/>
      <c r="FA30"/>
      <c r="FB30"/>
      <c r="FC30"/>
      <c r="FD30"/>
      <c r="FE30" t="e" vm="931">
        <v>#VALUE!</v>
      </c>
      <c r="FF30" t="e" vm="932">
        <v>#VALUE!</v>
      </c>
      <c r="FG30" t="e" vm="933">
        <v>#VALUE!</v>
      </c>
      <c r="FH30" t="e" vm="934">
        <v>#VALUE!</v>
      </c>
      <c r="FI30" t="e" vm="935">
        <v>#VALUE!</v>
      </c>
      <c r="FJ30" t="e" vm="936">
        <v>#VALUE!</v>
      </c>
      <c r="FK30" t="e" vm="937">
        <v>#VALUE!</v>
      </c>
      <c r="FL30" t="e" vm="938">
        <v>#VALUE!</v>
      </c>
      <c r="FM30" t="e" vm="939">
        <v>#VALUE!</v>
      </c>
      <c r="FN30" t="e" vm="940">
        <v>#VALUE!</v>
      </c>
      <c r="FO30"/>
      <c r="FP30"/>
      <c r="FQ30"/>
      <c r="FR30"/>
      <c r="FS30"/>
      <c r="FT30"/>
      <c r="FU30"/>
      <c r="FV30"/>
      <c r="FW30"/>
      <c r="FX30"/>
    </row>
    <row r="31" spans="1:180">
      <c r="A31">
        <v>30</v>
      </c>
      <c r="B31" t="s">
        <v>167</v>
      </c>
      <c r="U31" s="101">
        <v>-6.103455066741062E-2</v>
      </c>
      <c r="V31" s="102">
        <v>0.68564338111707679</v>
      </c>
      <c r="W31" s="101">
        <v>0.21651498412700071</v>
      </c>
      <c r="X31" s="103">
        <v>0.76920108204921789</v>
      </c>
      <c r="Y31" s="102">
        <v>0.28952031746033441</v>
      </c>
      <c r="Z31" s="102">
        <v>0.66290422857139886</v>
      </c>
      <c r="AA31" s="101">
        <v>0.37531269893745123</v>
      </c>
      <c r="AB31" s="103">
        <v>0.62183565714284372</v>
      </c>
      <c r="AC31" s="102">
        <v>0.35682955730637</v>
      </c>
      <c r="AD31" s="103">
        <v>0.13988799999998625</v>
      </c>
      <c r="AE31" s="8"/>
      <c r="AF31" s="99">
        <f t="shared" si="17"/>
        <v>0.28952031746033441</v>
      </c>
      <c r="AG31" s="63"/>
      <c r="AH31" s="63"/>
      <c r="AO31" s="8"/>
      <c r="AY31" s="182">
        <v>6.3899999999999998E-2</v>
      </c>
      <c r="AZ31" s="185">
        <v>13</v>
      </c>
      <c r="BA31" s="182">
        <v>6.3899999999999998E-2</v>
      </c>
      <c r="BB31" s="13" cm="1">
        <f t="array" ref="BB31">INDEX(AI82:AM82,$AV$17)</f>
        <v>5.6026438343907188</v>
      </c>
      <c r="BC31" s="13">
        <f t="shared" si="24"/>
        <v>2.7566011716834651</v>
      </c>
      <c r="BD31" s="18" t="s">
        <v>217</v>
      </c>
      <c r="BE31" s="142" t="str">
        <f t="shared" si="28"/>
        <v/>
      </c>
      <c r="BF31" s="82" t="s">
        <v>127</v>
      </c>
      <c r="BG31" s="83" t="str">
        <f t="shared" si="25"/>
        <v>2.8</v>
      </c>
      <c r="BH31" s="142" t="str">
        <f t="shared" si="29"/>
        <v/>
      </c>
      <c r="BI31" s="82" t="s">
        <v>127</v>
      </c>
      <c r="BJ31" s="83" t="str">
        <f t="shared" si="26"/>
        <v>2.8</v>
      </c>
      <c r="BL31" s="333"/>
      <c r="BM31" s="670">
        <f t="shared" si="19"/>
        <v>188.5</v>
      </c>
      <c r="BN31" s="349" t="str">
        <f t="shared" si="27"/>
        <v>2.8</v>
      </c>
      <c r="BO31" s="350">
        <f t="shared" si="20"/>
        <v>2.6783176049924746</v>
      </c>
      <c r="BP31" s="350">
        <f t="shared" si="20"/>
        <v>2.7323318693802543</v>
      </c>
      <c r="BQ31" s="350">
        <f t="shared" si="20"/>
        <v>2.7779158087331401</v>
      </c>
      <c r="BR31" s="350">
        <f t="shared" si="20"/>
        <v>2.8150694230511326</v>
      </c>
      <c r="BS31" s="351">
        <f t="shared" si="20"/>
        <v>2.8437927123342321</v>
      </c>
      <c r="BT31" s="348" t="str">
        <f t="shared" si="21"/>
        <v/>
      </c>
      <c r="BU31" s="349" t="str">
        <f t="shared" si="22"/>
        <v/>
      </c>
      <c r="BV31" s="350" t="str">
        <f t="shared" si="23"/>
        <v/>
      </c>
      <c r="BW31" s="350" t="str">
        <f t="shared" si="23"/>
        <v/>
      </c>
      <c r="BX31" s="350" t="str">
        <f t="shared" si="23"/>
        <v/>
      </c>
      <c r="BY31" s="350" t="str">
        <f t="shared" si="23"/>
        <v/>
      </c>
      <c r="BZ31" s="351" t="str">
        <f t="shared" si="23"/>
        <v/>
      </c>
      <c r="CA31" s="333"/>
      <c r="CB31" s="333"/>
      <c r="CC31" s="333"/>
      <c r="CD31" s="333"/>
      <c r="CE31" s="333"/>
      <c r="CF31" s="333"/>
      <c r="CG31" s="333" t="s">
        <v>1003</v>
      </c>
      <c r="CH31" s="333"/>
      <c r="CI31" s="333"/>
      <c r="CJ31" s="333"/>
      <c r="CK31" s="333"/>
      <c r="CL31" s="1005">
        <v>0</v>
      </c>
      <c r="CM31" s="1005">
        <v>0</v>
      </c>
      <c r="CN31" s="1005">
        <v>0</v>
      </c>
      <c r="CO31" s="1005">
        <v>0.01</v>
      </c>
      <c r="CP31" s="1205">
        <v>0.01</v>
      </c>
    </row>
    <row r="32" spans="1:180">
      <c r="A32">
        <v>31</v>
      </c>
      <c r="B32" t="s">
        <v>173</v>
      </c>
      <c r="T32" s="7" t="s">
        <v>226</v>
      </c>
      <c r="U32" s="92">
        <v>-0.44897959183666092</v>
      </c>
      <c r="V32" s="93">
        <v>0.22448979591827808</v>
      </c>
      <c r="W32" s="92">
        <v>-0.11661807580173808</v>
      </c>
      <c r="X32" s="94">
        <v>9.4451003541982173E-2</v>
      </c>
      <c r="Y32" s="93">
        <v>-1.3742431046412667E-2</v>
      </c>
      <c r="Z32" s="93">
        <v>-0.10459252530219482</v>
      </c>
      <c r="AA32" s="92">
        <v>7.001296528101093E-3</v>
      </c>
      <c r="AB32" s="94">
        <v>-5.0981355014496764E-2</v>
      </c>
      <c r="AC32" s="93">
        <v>-9.0322703139993601E-6</v>
      </c>
      <c r="AD32" s="94">
        <v>-0.10571494325703462</v>
      </c>
      <c r="AE32" s="8"/>
      <c r="AF32" s="100">
        <f t="shared" si="17"/>
        <v>-1.3742431046412667E-2</v>
      </c>
      <c r="AG32" s="63"/>
      <c r="AI32" s="63"/>
      <c r="AK32" s="18"/>
      <c r="AO32" s="8"/>
      <c r="AY32" s="182">
        <v>6.3799999999999996E-2</v>
      </c>
      <c r="AZ32" s="185">
        <v>14</v>
      </c>
      <c r="BA32" s="182">
        <v>6.3799999999999996E-2</v>
      </c>
      <c r="BB32" s="13" cm="1">
        <f t="array" ref="BB32">INDEX(AI83:AM83,$AV$17)</f>
        <v>5.5173479409380182</v>
      </c>
      <c r="BC32" s="13">
        <f t="shared" si="24"/>
        <v>2.7566011716834651</v>
      </c>
      <c r="BD32" s="18" t="s">
        <v>224</v>
      </c>
      <c r="BE32" s="142" t="str">
        <f t="shared" si="28"/>
        <v/>
      </c>
      <c r="BF32" s="82" t="s">
        <v>131</v>
      </c>
      <c r="BG32" s="83" t="str">
        <f t="shared" si="25"/>
        <v>2.8</v>
      </c>
      <c r="BH32" s="142" t="str">
        <f t="shared" si="29"/>
        <v/>
      </c>
      <c r="BI32" s="82" t="s">
        <v>131</v>
      </c>
      <c r="BJ32" s="83" t="str">
        <f t="shared" si="26"/>
        <v>2.8</v>
      </c>
      <c r="BL32" s="333"/>
      <c r="BM32" s="670">
        <f t="shared" si="19"/>
        <v>182</v>
      </c>
      <c r="BN32" s="349" t="str">
        <f t="shared" si="27"/>
        <v>2.8</v>
      </c>
      <c r="BO32" s="350">
        <f t="shared" si="20"/>
        <v>2.5978384553292009</v>
      </c>
      <c r="BP32" s="350">
        <f t="shared" si="20"/>
        <v>2.6496691178466483</v>
      </c>
      <c r="BQ32" s="350">
        <f t="shared" si="20"/>
        <v>2.6934064580781754</v>
      </c>
      <c r="BR32" s="350">
        <f t="shared" si="20"/>
        <v>2.7290504760237804</v>
      </c>
      <c r="BS32" s="351">
        <f t="shared" si="20"/>
        <v>2.7566011716834651</v>
      </c>
      <c r="BT32" s="348" t="str">
        <f t="shared" si="21"/>
        <v/>
      </c>
      <c r="BU32" s="349" t="str">
        <f t="shared" si="22"/>
        <v/>
      </c>
      <c r="BV32" s="350" t="str">
        <f t="shared" si="23"/>
        <v/>
      </c>
      <c r="BW32" s="350" t="str">
        <f t="shared" si="23"/>
        <v/>
      </c>
      <c r="BX32" s="350" t="str">
        <f t="shared" si="23"/>
        <v/>
      </c>
      <c r="BY32" s="350" t="str">
        <f t="shared" si="23"/>
        <v/>
      </c>
      <c r="BZ32" s="351" t="str">
        <f t="shared" si="23"/>
        <v/>
      </c>
      <c r="CA32" s="333"/>
      <c r="CB32" s="333"/>
      <c r="CC32" s="333"/>
      <c r="CD32" s="333"/>
      <c r="CE32" s="333"/>
      <c r="CF32" s="333"/>
      <c r="CG32" s="333"/>
      <c r="CH32" s="333"/>
      <c r="CI32" s="333"/>
      <c r="CJ32" s="333"/>
      <c r="CK32" s="333"/>
      <c r="CL32" s="1005"/>
      <c r="CM32" s="1005"/>
      <c r="CN32" s="1005"/>
      <c r="CO32" s="1005"/>
      <c r="CP32" s="1205"/>
    </row>
    <row r="33" spans="1:94">
      <c r="A33">
        <v>32</v>
      </c>
      <c r="B33" t="s">
        <v>180</v>
      </c>
      <c r="U33" s="96">
        <v>0.70326530612236549</v>
      </c>
      <c r="V33" s="18">
        <v>-0.28591836734683951</v>
      </c>
      <c r="W33" s="96">
        <v>0.15976676384838601</v>
      </c>
      <c r="X33" s="97">
        <v>-0.15395513577338774</v>
      </c>
      <c r="Y33" s="18">
        <v>3.6582128328812309E-2</v>
      </c>
      <c r="Z33" s="18">
        <v>0.11028700723531308</v>
      </c>
      <c r="AA33" s="96">
        <v>-1.3875296755726573E-3</v>
      </c>
      <c r="AB33" s="97">
        <v>6.3116299740316337E-2</v>
      </c>
      <c r="AC33" s="18">
        <v>1.2519989036451606E-2</v>
      </c>
      <c r="AD33" s="97">
        <v>0.15347906122449495</v>
      </c>
      <c r="AE33" s="8"/>
      <c r="AF33" s="98">
        <f t="shared" si="17"/>
        <v>3.6582128328812309E-2</v>
      </c>
      <c r="AG33" s="63"/>
      <c r="AI33" s="63"/>
      <c r="AK33" s="18"/>
      <c r="AO33" s="8"/>
      <c r="AY33" s="182">
        <v>6.3700000000000007E-2</v>
      </c>
      <c r="AZ33" s="185">
        <v>15</v>
      </c>
      <c r="BA33" s="182">
        <v>6.3700000000000007E-2</v>
      </c>
      <c r="BB33" s="13" cm="1">
        <f t="array" ref="BB33">INDEX(AI84:AM84,$AV$17)</f>
        <v>5.4319928085103726</v>
      </c>
      <c r="BC33" s="13">
        <f t="shared" si="24"/>
        <v>2.7566011716834651</v>
      </c>
      <c r="BD33" s="18" t="s">
        <v>230</v>
      </c>
      <c r="BE33" s="142" t="str">
        <f t="shared" si="28"/>
        <v/>
      </c>
      <c r="BF33" s="82" t="s">
        <v>135</v>
      </c>
      <c r="BG33" s="83" t="str">
        <f t="shared" si="25"/>
        <v>2.8</v>
      </c>
      <c r="BH33" s="142" t="str">
        <f t="shared" si="29"/>
        <v/>
      </c>
      <c r="BI33" s="82" t="s">
        <v>135</v>
      </c>
      <c r="BJ33" s="83" t="str">
        <f t="shared" si="26"/>
        <v>2.8</v>
      </c>
      <c r="BL33" s="333"/>
      <c r="BM33" s="670">
        <f t="shared" si="19"/>
        <v>175.50000000000003</v>
      </c>
      <c r="BN33" s="349" t="str">
        <f t="shared" si="27"/>
        <v>2.7</v>
      </c>
      <c r="BO33" s="350">
        <f t="shared" si="20"/>
        <v>2.5172755941708598</v>
      </c>
      <c r="BP33" s="350">
        <f t="shared" si="20"/>
        <v>2.5669278432377407</v>
      </c>
      <c r="BQ33" s="350">
        <f t="shared" si="20"/>
        <v>2.6088243925745167</v>
      </c>
      <c r="BR33" s="350">
        <f t="shared" si="20"/>
        <v>2.6429652421811909</v>
      </c>
      <c r="BS33" s="351">
        <f t="shared" si="20"/>
        <v>2.6693503920577593</v>
      </c>
      <c r="BT33" s="348" t="str">
        <f t="shared" si="21"/>
        <v/>
      </c>
      <c r="BU33" s="349" t="str">
        <f t="shared" si="22"/>
        <v/>
      </c>
      <c r="BV33" s="350" t="str">
        <f t="shared" si="23"/>
        <v/>
      </c>
      <c r="BW33" s="350" t="str">
        <f t="shared" si="23"/>
        <v/>
      </c>
      <c r="BX33" s="350" t="str">
        <f t="shared" si="23"/>
        <v/>
      </c>
      <c r="BY33" s="350" t="str">
        <f t="shared" si="23"/>
        <v/>
      </c>
      <c r="BZ33" s="351" t="str">
        <f t="shared" si="23"/>
        <v/>
      </c>
      <c r="CA33" s="333"/>
      <c r="CB33" s="333"/>
      <c r="CC33" s="333"/>
      <c r="CD33" s="333"/>
      <c r="CE33" s="333"/>
      <c r="CF33" s="333"/>
      <c r="CG33" s="333"/>
      <c r="CH33" s="333"/>
      <c r="CI33" s="333"/>
      <c r="CJ33" s="333"/>
      <c r="CK33" s="333"/>
      <c r="CL33" s="333"/>
      <c r="CM33" s="333"/>
      <c r="CN33" s="333"/>
      <c r="CO33" s="333"/>
      <c r="CP33" s="336"/>
    </row>
    <row r="34" spans="1:94">
      <c r="A34">
        <v>33</v>
      </c>
      <c r="B34" t="s">
        <v>186</v>
      </c>
      <c r="U34" s="96">
        <v>-0.358571428571407</v>
      </c>
      <c r="V34" s="18">
        <v>0.13057142857140161</v>
      </c>
      <c r="W34" s="96">
        <v>-7.1451895043728939E-2</v>
      </c>
      <c r="X34" s="97">
        <v>-6.5190082644610986E-2</v>
      </c>
      <c r="Y34" s="18">
        <v>-2.6092863901993543E-2</v>
      </c>
      <c r="Z34" s="18">
        <v>-7.7865261290229568E-2</v>
      </c>
      <c r="AA34" s="96">
        <v>-4.2927494939757373E-3</v>
      </c>
      <c r="AB34" s="97">
        <v>-3.102654825685415E-2</v>
      </c>
      <c r="AC34" s="18">
        <v>-1.2692438059438692E-2</v>
      </c>
      <c r="AD34" s="97">
        <v>-0.11603317659889199</v>
      </c>
      <c r="AE34" s="8"/>
      <c r="AF34" s="99">
        <f t="shared" si="17"/>
        <v>-2.6092863901993543E-2</v>
      </c>
      <c r="AG34" s="63"/>
      <c r="AI34" s="63"/>
      <c r="AK34" s="18"/>
      <c r="AO34" s="8"/>
      <c r="AY34" s="182">
        <v>6.3600000000000004E-2</v>
      </c>
      <c r="AZ34" s="185">
        <v>16</v>
      </c>
      <c r="BA34" s="182">
        <v>6.3600000000000004E-2</v>
      </c>
      <c r="BB34" s="13" cm="1">
        <f t="array" ref="BB34">INDEX(AI85:AM85,$AV$17)</f>
        <v>5.3465784371077927</v>
      </c>
      <c r="BC34" s="13">
        <f t="shared" si="24"/>
        <v>2.7566011716834651</v>
      </c>
      <c r="BD34" s="18" t="s">
        <v>235</v>
      </c>
      <c r="BE34" s="142" t="str">
        <f t="shared" si="28"/>
        <v/>
      </c>
      <c r="BF34" s="82" t="s">
        <v>141</v>
      </c>
      <c r="BG34" s="83" t="str">
        <f t="shared" si="25"/>
        <v>2.8</v>
      </c>
      <c r="BH34" s="142" t="str">
        <f t="shared" si="29"/>
        <v/>
      </c>
      <c r="BI34" s="82" t="s">
        <v>141</v>
      </c>
      <c r="BJ34" s="83" t="str">
        <f t="shared" si="26"/>
        <v>2.8</v>
      </c>
      <c r="BL34" s="333"/>
      <c r="BM34" s="670">
        <f t="shared" si="19"/>
        <v>169</v>
      </c>
      <c r="BN34" s="349" t="str">
        <f t="shared" si="27"/>
        <v>2.6</v>
      </c>
      <c r="BO34" s="350">
        <f t="shared" si="20"/>
        <v>2.43662902151745</v>
      </c>
      <c r="BP34" s="350">
        <f t="shared" si="20"/>
        <v>2.4841080455535289</v>
      </c>
      <c r="BQ34" s="350">
        <f t="shared" si="20"/>
        <v>2.5241696122221668</v>
      </c>
      <c r="BR34" s="350">
        <f t="shared" si="20"/>
        <v>2.5568137215233619</v>
      </c>
      <c r="BS34" s="351">
        <f t="shared" si="20"/>
        <v>2.5820403734571125</v>
      </c>
      <c r="BT34" s="348" t="str">
        <f t="shared" si="21"/>
        <v/>
      </c>
      <c r="BU34" s="349" t="str">
        <f t="shared" si="22"/>
        <v/>
      </c>
      <c r="BV34" s="350" t="str">
        <f t="shared" si="23"/>
        <v/>
      </c>
      <c r="BW34" s="350" t="str">
        <f t="shared" si="23"/>
        <v/>
      </c>
      <c r="BX34" s="350" t="str">
        <f t="shared" si="23"/>
        <v/>
      </c>
      <c r="BY34" s="350" t="str">
        <f t="shared" si="23"/>
        <v/>
      </c>
      <c r="BZ34" s="351" t="str">
        <f t="shared" si="23"/>
        <v/>
      </c>
      <c r="CA34" s="333"/>
      <c r="CB34" s="333"/>
      <c r="CC34" s="333"/>
      <c r="CD34" s="333"/>
      <c r="CE34" s="333"/>
      <c r="CF34" s="333"/>
      <c r="CG34" s="333"/>
      <c r="CH34" s="333"/>
      <c r="CI34" s="333"/>
      <c r="CJ34" s="333"/>
      <c r="CK34" s="333"/>
      <c r="CL34" s="333"/>
      <c r="CM34" s="333"/>
      <c r="CN34" s="333"/>
      <c r="CO34" s="333"/>
      <c r="CP34" s="336"/>
    </row>
    <row r="35" spans="1:94">
      <c r="A35">
        <v>34</v>
      </c>
      <c r="B35" t="s">
        <v>191</v>
      </c>
      <c r="F35" s="53" t="s">
        <v>879</v>
      </c>
      <c r="G35" s="53"/>
      <c r="U35" s="96">
        <v>0.8881632653059004</v>
      </c>
      <c r="V35" s="18">
        <v>-1.0183673469385108</v>
      </c>
      <c r="W35" s="96">
        <v>3.9183673469327905E-2</v>
      </c>
      <c r="X35" s="97">
        <v>-0.92004722550203455</v>
      </c>
      <c r="Y35" s="18">
        <v>-0.28092381848405124</v>
      </c>
      <c r="Z35" s="18">
        <v>1.3205619816953684E-2</v>
      </c>
      <c r="AA35" s="96">
        <v>-0.37241408512996643</v>
      </c>
      <c r="AB35" s="97">
        <v>-6.9738277203160129E-2</v>
      </c>
      <c r="AC35" s="18">
        <v>-0.34311735143467853</v>
      </c>
      <c r="AD35" s="97">
        <v>0.34491198474717555</v>
      </c>
      <c r="AE35" s="8"/>
      <c r="AF35" s="100">
        <f t="shared" si="17"/>
        <v>-0.28092381848405124</v>
      </c>
      <c r="AG35" s="63"/>
      <c r="AI35" s="63"/>
      <c r="AK35" s="18"/>
      <c r="AO35" s="8"/>
      <c r="AY35" s="182">
        <v>6.3500000000000001E-2</v>
      </c>
      <c r="AZ35" s="185">
        <v>17</v>
      </c>
      <c r="BA35" s="182">
        <v>6.3500000000000001E-2</v>
      </c>
      <c r="BB35" s="13" cm="1">
        <f t="array" ref="BB35">INDEX(AI86:AM86,$AV$17)</f>
        <v>5.2611048267302714</v>
      </c>
      <c r="BC35" s="13">
        <f t="shared" si="24"/>
        <v>2.7566011716834651</v>
      </c>
      <c r="BD35" s="18" t="s">
        <v>239</v>
      </c>
      <c r="BE35" s="142" t="str">
        <f t="shared" si="28"/>
        <v/>
      </c>
      <c r="BF35" s="82" t="s">
        <v>146</v>
      </c>
      <c r="BG35" s="83" t="str">
        <f t="shared" si="25"/>
        <v>2.8</v>
      </c>
      <c r="BH35" s="142" t="str">
        <f t="shared" si="29"/>
        <v/>
      </c>
      <c r="BI35" s="82" t="s">
        <v>146</v>
      </c>
      <c r="BJ35" s="83" t="str">
        <f t="shared" si="26"/>
        <v>2.8</v>
      </c>
      <c r="BL35" s="333"/>
      <c r="BM35" s="670">
        <f t="shared" si="19"/>
        <v>162.5</v>
      </c>
      <c r="BN35" s="349" t="str">
        <f t="shared" si="27"/>
        <v>2.5</v>
      </c>
      <c r="BO35" s="350">
        <f t="shared" si="20"/>
        <v>2.3558987373689715</v>
      </c>
      <c r="BP35" s="350">
        <f t="shared" si="20"/>
        <v>2.4012097247940165</v>
      </c>
      <c r="BQ35" s="350">
        <f t="shared" si="20"/>
        <v>2.4394421170211253</v>
      </c>
      <c r="BR35" s="350">
        <f t="shared" si="20"/>
        <v>2.4705959140502944</v>
      </c>
      <c r="BS35" s="351">
        <f t="shared" si="20"/>
        <v>2.494671115881526</v>
      </c>
      <c r="BT35" s="348" t="str">
        <f t="shared" si="21"/>
        <v/>
      </c>
      <c r="BU35" s="349" t="str">
        <f t="shared" si="22"/>
        <v/>
      </c>
      <c r="BV35" s="350" t="str">
        <f t="shared" si="23"/>
        <v/>
      </c>
      <c r="BW35" s="350" t="str">
        <f t="shared" si="23"/>
        <v/>
      </c>
      <c r="BX35" s="350" t="str">
        <f t="shared" si="23"/>
        <v/>
      </c>
      <c r="BY35" s="350" t="str">
        <f t="shared" si="23"/>
        <v/>
      </c>
      <c r="BZ35" s="351" t="str">
        <f t="shared" si="23"/>
        <v/>
      </c>
      <c r="CA35" s="333"/>
      <c r="CB35" s="333"/>
      <c r="CC35" s="333"/>
      <c r="CD35" s="333"/>
      <c r="CE35" s="333"/>
      <c r="CF35" s="333"/>
      <c r="CG35" s="333"/>
      <c r="CH35" s="333"/>
      <c r="CI35" s="333"/>
      <c r="CJ35" s="333"/>
      <c r="CK35" s="333"/>
      <c r="CL35" s="333"/>
      <c r="CM35" s="333"/>
      <c r="CN35" s="333"/>
      <c r="CO35" s="333"/>
      <c r="CP35" s="336"/>
    </row>
    <row r="36" spans="1:94">
      <c r="A36">
        <v>35</v>
      </c>
      <c r="B36" t="s">
        <v>197</v>
      </c>
      <c r="F36" s="850" t="s">
        <v>198</v>
      </c>
      <c r="G36" s="850" t="str">
        <f>J1</f>
        <v>2AJa</v>
      </c>
      <c r="U36" s="96">
        <v>-1.4290775510201561</v>
      </c>
      <c r="V36" s="18">
        <v>1.3623387755099092</v>
      </c>
      <c r="W36" s="96">
        <v>6.1061224490363449E-3</v>
      </c>
      <c r="X36" s="97">
        <v>1.3969860684772446</v>
      </c>
      <c r="Y36" s="18">
        <v>0.34705870848894915</v>
      </c>
      <c r="Z36" s="18">
        <v>0.16826203040062659</v>
      </c>
      <c r="AA36" s="96">
        <v>0.50304918429653256</v>
      </c>
      <c r="AB36" s="97">
        <v>0.1839342998132619</v>
      </c>
      <c r="AC36" s="18">
        <v>0.44722748042059679</v>
      </c>
      <c r="AD36" s="97">
        <v>-0.49224866538434592</v>
      </c>
      <c r="AE36" s="8"/>
      <c r="AF36" s="98">
        <f t="shared" si="17"/>
        <v>0.34705870848894915</v>
      </c>
      <c r="AG36" s="63"/>
      <c r="AI36" s="63"/>
      <c r="AK36" s="18"/>
      <c r="AO36" s="8"/>
      <c r="AY36" s="182">
        <v>6.3399999999999998E-2</v>
      </c>
      <c r="AZ36" s="185">
        <v>18</v>
      </c>
      <c r="BA36" s="182">
        <v>6.3399999999999998E-2</v>
      </c>
      <c r="BB36" s="13" cm="1">
        <f t="array" ref="BB36">INDEX(AI87:AM87,$AV$17)</f>
        <v>5.1755719773778104</v>
      </c>
      <c r="BC36" s="13">
        <f t="shared" si="24"/>
        <v>2.7566011716834651</v>
      </c>
      <c r="BD36" s="18" t="s">
        <v>244</v>
      </c>
      <c r="BE36" s="142" t="str">
        <f t="shared" si="28"/>
        <v/>
      </c>
      <c r="BF36" s="82" t="s">
        <v>152</v>
      </c>
      <c r="BG36" s="83" t="str">
        <f t="shared" si="25"/>
        <v>2.8</v>
      </c>
      <c r="BH36" s="142" t="str">
        <f t="shared" si="29"/>
        <v/>
      </c>
      <c r="BI36" s="82" t="s">
        <v>152</v>
      </c>
      <c r="BJ36" s="83" t="str">
        <f t="shared" si="26"/>
        <v>2.8</v>
      </c>
      <c r="BL36" s="333"/>
      <c r="BM36" s="670">
        <f t="shared" si="19"/>
        <v>156</v>
      </c>
      <c r="BN36" s="349" t="str">
        <f t="shared" si="27"/>
        <v>2.4</v>
      </c>
      <c r="BO36" s="350">
        <f t="shared" si="20"/>
        <v>2.2750847417254265</v>
      </c>
      <c r="BP36" s="350">
        <f t="shared" si="20"/>
        <v>2.3182328809592003</v>
      </c>
      <c r="BQ36" s="350">
        <f t="shared" si="20"/>
        <v>2.3546419069713878</v>
      </c>
      <c r="BR36" s="350">
        <f t="shared" si="20"/>
        <v>2.3843118197619888</v>
      </c>
      <c r="BS36" s="351">
        <f t="shared" si="20"/>
        <v>2.4072426193310026</v>
      </c>
      <c r="BT36" s="348" t="str">
        <f t="shared" si="21"/>
        <v/>
      </c>
      <c r="BU36" s="349" t="str">
        <f t="shared" si="22"/>
        <v/>
      </c>
      <c r="BV36" s="350" t="str">
        <f t="shared" si="23"/>
        <v/>
      </c>
      <c r="BW36" s="350" t="str">
        <f t="shared" si="23"/>
        <v/>
      </c>
      <c r="BX36" s="350" t="str">
        <f t="shared" si="23"/>
        <v/>
      </c>
      <c r="BY36" s="350" t="str">
        <f t="shared" si="23"/>
        <v/>
      </c>
      <c r="BZ36" s="351" t="str">
        <f t="shared" si="23"/>
        <v/>
      </c>
      <c r="CA36" s="333"/>
      <c r="CB36" s="333"/>
      <c r="CC36" s="333"/>
      <c r="CD36" s="333"/>
      <c r="CE36" s="333"/>
      <c r="CF36" s="333"/>
      <c r="CG36" s="333"/>
      <c r="CH36" s="333"/>
      <c r="CI36" s="333"/>
      <c r="CJ36" s="333"/>
      <c r="CK36" s="333"/>
      <c r="CL36" s="333"/>
      <c r="CM36" s="333"/>
      <c r="CN36" s="333"/>
      <c r="CO36" s="333"/>
      <c r="CP36" s="336"/>
    </row>
    <row r="37" spans="1:94">
      <c r="A37">
        <v>36</v>
      </c>
      <c r="B37" t="s">
        <v>203</v>
      </c>
      <c r="F37" s="53" t="str">
        <f>BO8</f>
        <v>Joist or Ibeam &amp; height</v>
      </c>
      <c r="G37" s="53" t="str">
        <f>AU18</f>
        <v>joist 190 mm</v>
      </c>
      <c r="U37" s="96">
        <v>1.7434685714285063</v>
      </c>
      <c r="V37" s="18">
        <v>-5.6988571428491397E-2</v>
      </c>
      <c r="W37" s="96">
        <v>0.967212244897944</v>
      </c>
      <c r="X37" s="97">
        <v>0.81167404958671119</v>
      </c>
      <c r="Y37" s="18">
        <v>0.86650204887696669</v>
      </c>
      <c r="Z37" s="18">
        <v>0.99129181003884304</v>
      </c>
      <c r="AA37" s="96">
        <v>0.78269081318281508</v>
      </c>
      <c r="AB37" s="97">
        <v>0.89439011471475405</v>
      </c>
      <c r="AC37" s="18">
        <v>0.81507156550981896</v>
      </c>
      <c r="AD37" s="97">
        <v>1.3941585087987893</v>
      </c>
      <c r="AE37" s="8"/>
      <c r="AF37" s="99">
        <f t="shared" si="17"/>
        <v>0.86650204887696669</v>
      </c>
      <c r="AG37" s="63"/>
      <c r="AI37" s="63"/>
      <c r="AK37" s="18"/>
      <c r="AO37" s="8"/>
      <c r="AY37" s="182">
        <v>6.3299999999999995E-2</v>
      </c>
      <c r="AZ37" s="185">
        <v>19</v>
      </c>
      <c r="BA37" s="182">
        <v>6.3299999999999995E-2</v>
      </c>
      <c r="BB37" s="13" cm="1">
        <f t="array" ref="BB37">INDEX(AI88:AM88,$AV$17)</f>
        <v>5.0899798890504089</v>
      </c>
      <c r="BC37" s="13">
        <f t="shared" si="24"/>
        <v>2.7566011716834651</v>
      </c>
      <c r="BD37" s="18" t="s">
        <v>248</v>
      </c>
      <c r="BE37" s="142" t="str">
        <f t="shared" si="28"/>
        <v/>
      </c>
      <c r="BF37" s="82" t="s">
        <v>156</v>
      </c>
      <c r="BG37" s="83" t="str">
        <f t="shared" si="25"/>
        <v>2.8</v>
      </c>
      <c r="BH37" s="142" t="str">
        <f t="shared" si="29"/>
        <v/>
      </c>
      <c r="BI37" s="82" t="s">
        <v>156</v>
      </c>
      <c r="BJ37" s="83" t="str">
        <f t="shared" si="26"/>
        <v>2.8</v>
      </c>
      <c r="BL37" s="333"/>
      <c r="BM37" s="670">
        <f t="shared" si="19"/>
        <v>149.5</v>
      </c>
      <c r="BN37" s="349" t="str">
        <f t="shared" si="27"/>
        <v>2.3</v>
      </c>
      <c r="BO37" s="350">
        <f t="shared" si="20"/>
        <v>2.1941870345868111</v>
      </c>
      <c r="BP37" s="350">
        <f t="shared" si="20"/>
        <v>2.2351775140490817</v>
      </c>
      <c r="BQ37" s="350">
        <f t="shared" si="20"/>
        <v>2.2697689820729576</v>
      </c>
      <c r="BR37" s="350">
        <f t="shared" si="20"/>
        <v>2.2979614386584437</v>
      </c>
      <c r="BS37" s="351">
        <f t="shared" si="20"/>
        <v>2.3197548838055386</v>
      </c>
      <c r="BT37" s="348" t="str">
        <f t="shared" si="21"/>
        <v/>
      </c>
      <c r="BU37" s="349" t="str">
        <f t="shared" si="22"/>
        <v/>
      </c>
      <c r="BV37" s="350" t="str">
        <f t="shared" si="23"/>
        <v/>
      </c>
      <c r="BW37" s="350" t="str">
        <f t="shared" si="23"/>
        <v/>
      </c>
      <c r="BX37" s="350" t="str">
        <f t="shared" si="23"/>
        <v/>
      </c>
      <c r="BY37" s="350" t="str">
        <f t="shared" si="23"/>
        <v/>
      </c>
      <c r="BZ37" s="351" t="str">
        <f t="shared" si="23"/>
        <v/>
      </c>
      <c r="CA37" s="333"/>
      <c r="CB37" s="333"/>
      <c r="CC37" s="333"/>
      <c r="CD37" s="333"/>
      <c r="CE37" s="333"/>
      <c r="CF37" s="333"/>
      <c r="CG37" s="193"/>
      <c r="CH37" s="193"/>
      <c r="CI37" s="193"/>
      <c r="CJ37" s="193"/>
      <c r="CK37" s="193"/>
      <c r="CL37" s="193"/>
      <c r="CM37" s="193"/>
      <c r="CN37" s="333"/>
      <c r="CO37" s="333"/>
      <c r="CP37" s="336"/>
    </row>
    <row r="38" spans="1:94">
      <c r="A38">
        <v>37</v>
      </c>
      <c r="B38" t="s">
        <v>207</v>
      </c>
      <c r="F38" s="53" t="str">
        <f>BO10</f>
        <v>Insulation conductivity</v>
      </c>
      <c r="G38" s="53">
        <f>BA18</f>
        <v>6.5000000000000002E-2</v>
      </c>
      <c r="U38" s="96">
        <v>-0.81869387755084622</v>
      </c>
      <c r="V38" s="18">
        <v>0.441632653061033</v>
      </c>
      <c r="W38" s="96">
        <v>-0.29942857142849155</v>
      </c>
      <c r="X38" s="97">
        <v>0.67494214876057568</v>
      </c>
      <c r="Y38" s="18">
        <v>7.4599719900119585E-2</v>
      </c>
      <c r="Z38" s="18">
        <v>-0.11781304876365974</v>
      </c>
      <c r="AA38" s="96">
        <v>0.16006534125215466</v>
      </c>
      <c r="AB38" s="97">
        <v>-9.3795243459471447E-2</v>
      </c>
      <c r="AC38" s="18">
        <v>0.14266908051915797</v>
      </c>
      <c r="AD38" s="97">
        <v>-0.44220847234958194</v>
      </c>
      <c r="AE38" s="8"/>
      <c r="AF38" s="100">
        <f t="shared" si="17"/>
        <v>7.4599719900119585E-2</v>
      </c>
      <c r="AG38" s="63"/>
      <c r="AI38" s="63"/>
      <c r="AK38" s="18"/>
      <c r="AO38" s="8"/>
      <c r="AY38" s="182">
        <v>6.3200000000000006E-2</v>
      </c>
      <c r="AZ38" s="185">
        <v>20</v>
      </c>
      <c r="BA38" s="182">
        <v>6.3200000000000006E-2</v>
      </c>
      <c r="BB38" s="13" cm="1">
        <f t="array" ref="BB38">INDEX(AI89:AM89,$AV$17)</f>
        <v>5.0043285617480695</v>
      </c>
      <c r="BC38" s="13">
        <f t="shared" si="24"/>
        <v>2.7566011716834651</v>
      </c>
      <c r="BD38" s="18" t="s">
        <v>254</v>
      </c>
      <c r="BE38" s="142" t="str">
        <f t="shared" si="28"/>
        <v/>
      </c>
      <c r="BF38" s="82" t="s">
        <v>161</v>
      </c>
      <c r="BG38" s="83" t="str">
        <f t="shared" si="25"/>
        <v>2.8</v>
      </c>
      <c r="BH38" s="142" t="str">
        <f t="shared" si="29"/>
        <v/>
      </c>
      <c r="BI38" s="82" t="s">
        <v>161</v>
      </c>
      <c r="BJ38" s="83" t="str">
        <f t="shared" si="26"/>
        <v>2.8</v>
      </c>
      <c r="BL38" s="333"/>
      <c r="BM38" s="670">
        <f t="shared" si="19"/>
        <v>143.00000000000003</v>
      </c>
      <c r="BN38" s="349" t="str">
        <f t="shared" si="27"/>
        <v>2.2</v>
      </c>
      <c r="BO38" s="350">
        <f t="shared" si="20"/>
        <v>2.1132056159531296</v>
      </c>
      <c r="BP38" s="350">
        <f t="shared" si="20"/>
        <v>2.1520436240636593</v>
      </c>
      <c r="BQ38" s="350">
        <f t="shared" si="20"/>
        <v>2.1848233423258359</v>
      </c>
      <c r="BR38" s="350">
        <f t="shared" si="20"/>
        <v>2.2115447707396623</v>
      </c>
      <c r="BS38" s="351">
        <f t="shared" si="20"/>
        <v>2.2322079093051341</v>
      </c>
      <c r="BT38" s="348" t="str">
        <f t="shared" si="21"/>
        <v/>
      </c>
      <c r="BU38" s="349" t="str">
        <f t="shared" si="22"/>
        <v/>
      </c>
      <c r="BV38" s="350" t="str">
        <f t="shared" si="23"/>
        <v/>
      </c>
      <c r="BW38" s="350" t="str">
        <f t="shared" si="23"/>
        <v/>
      </c>
      <c r="BX38" s="350" t="str">
        <f t="shared" si="23"/>
        <v/>
      </c>
      <c r="BY38" s="350" t="str">
        <f t="shared" si="23"/>
        <v/>
      </c>
      <c r="BZ38" s="351" t="str">
        <f t="shared" si="23"/>
        <v/>
      </c>
      <c r="CA38" s="333"/>
      <c r="CB38" s="333"/>
      <c r="CC38" s="333"/>
      <c r="CD38" s="333"/>
      <c r="CE38" s="333"/>
      <c r="CF38" s="333"/>
      <c r="CG38" s="333"/>
      <c r="CH38" s="333"/>
      <c r="CI38" s="333"/>
      <c r="CJ38" s="333"/>
      <c r="CK38" s="333"/>
      <c r="CL38" s="333"/>
      <c r="CM38" s="333"/>
      <c r="CN38" s="333"/>
      <c r="CO38" s="333"/>
      <c r="CP38" s="336"/>
    </row>
    <row r="39" spans="1:94">
      <c r="A39">
        <v>38</v>
      </c>
      <c r="B39" t="s">
        <v>211</v>
      </c>
      <c r="F39" s="53" t="str">
        <f>BO12</f>
        <v>Bottom of joists unlined or lined</v>
      </c>
      <c r="G39" s="851" t="str">
        <f>AR18</f>
        <v>un-lined</v>
      </c>
      <c r="U39" s="96">
        <v>1.3035795918365352</v>
      </c>
      <c r="V39" s="18">
        <v>-0.53234122448958354</v>
      </c>
      <c r="W39" s="96">
        <v>0.38178285714277838</v>
      </c>
      <c r="X39" s="97">
        <v>-0.98318842975231657</v>
      </c>
      <c r="Y39" s="18">
        <v>-3.3899592194923979E-2</v>
      </c>
      <c r="Z39" s="18">
        <v>7.9571538701350836E-3</v>
      </c>
      <c r="AA39" s="96">
        <v>-0.17763746311630121</v>
      </c>
      <c r="AB39" s="97">
        <v>6.3527562547602501E-2</v>
      </c>
      <c r="AC39" s="18">
        <v>-0.13625406971544177</v>
      </c>
      <c r="AD39" s="97">
        <v>0.63689752675177991</v>
      </c>
      <c r="AE39" s="8"/>
      <c r="AF39" s="98">
        <f t="shared" si="17"/>
        <v>-3.3899592194923979E-2</v>
      </c>
      <c r="AG39" s="63"/>
      <c r="AI39" s="63"/>
      <c r="AK39" s="18"/>
      <c r="AO39" s="8"/>
      <c r="AY39" s="182">
        <v>6.3100000000000003E-2</v>
      </c>
      <c r="AZ39" s="185">
        <v>21</v>
      </c>
      <c r="BA39" s="182">
        <v>6.3100000000000003E-2</v>
      </c>
      <c r="BB39" s="13" cm="1">
        <f t="array" ref="BB39">INDEX(AI90:AM90,$AV$17)</f>
        <v>4.9186179954707914</v>
      </c>
      <c r="BC39" s="13">
        <f t="shared" si="24"/>
        <v>2.7566011716834651</v>
      </c>
      <c r="BD39" s="18" t="s">
        <v>259</v>
      </c>
      <c r="BE39" s="142" t="str">
        <f t="shared" si="28"/>
        <v/>
      </c>
      <c r="BF39" s="82" t="s">
        <v>165</v>
      </c>
      <c r="BG39" s="83" t="str">
        <f t="shared" si="25"/>
        <v>2.8</v>
      </c>
      <c r="BH39" s="142" t="str">
        <f t="shared" si="29"/>
        <v/>
      </c>
      <c r="BI39" s="82" t="s">
        <v>165</v>
      </c>
      <c r="BJ39" s="83" t="str">
        <f t="shared" si="26"/>
        <v>2.8</v>
      </c>
      <c r="BL39" s="333"/>
      <c r="BM39" s="670">
        <f t="shared" si="19"/>
        <v>136.5</v>
      </c>
      <c r="BN39" s="349" t="str">
        <f t="shared" si="27"/>
        <v>2.1</v>
      </c>
      <c r="BO39" s="350">
        <f t="shared" si="20"/>
        <v>2.0321404858243799</v>
      </c>
      <c r="BP39" s="350">
        <f t="shared" si="20"/>
        <v>2.0688312110029354</v>
      </c>
      <c r="BQ39" s="350">
        <f t="shared" si="20"/>
        <v>2.0998049877300216</v>
      </c>
      <c r="BR39" s="350">
        <f t="shared" si="20"/>
        <v>2.1250618160056405</v>
      </c>
      <c r="BS39" s="351">
        <f t="shared" si="20"/>
        <v>2.1446016958297909</v>
      </c>
      <c r="BT39" s="348" t="str">
        <f t="shared" si="21"/>
        <v/>
      </c>
      <c r="BU39" s="349" t="str">
        <f t="shared" si="22"/>
        <v/>
      </c>
      <c r="BV39" s="350" t="str">
        <f t="shared" si="23"/>
        <v/>
      </c>
      <c r="BW39" s="350" t="str">
        <f t="shared" si="23"/>
        <v/>
      </c>
      <c r="BX39" s="350" t="str">
        <f t="shared" si="23"/>
        <v/>
      </c>
      <c r="BY39" s="350" t="str">
        <f t="shared" si="23"/>
        <v/>
      </c>
      <c r="BZ39" s="351" t="str">
        <f t="shared" si="23"/>
        <v/>
      </c>
      <c r="CA39" s="333"/>
      <c r="CB39" s="333"/>
      <c r="CC39" s="333"/>
      <c r="CD39" s="333"/>
      <c r="CE39" s="333"/>
      <c r="CF39" s="333"/>
      <c r="CG39" s="333"/>
      <c r="CH39" s="333"/>
      <c r="CI39" s="333"/>
      <c r="CJ39" s="333"/>
      <c r="CK39" s="333"/>
      <c r="CL39" s="333"/>
      <c r="CM39" s="333"/>
      <c r="CN39" s="333"/>
      <c r="CO39" s="333"/>
      <c r="CP39" s="336"/>
    </row>
    <row r="40" spans="1:94" ht="16.5" thickBot="1">
      <c r="A40">
        <v>39</v>
      </c>
      <c r="B40" t="s">
        <v>218</v>
      </c>
      <c r="F40" s="53" t="str">
        <f>BV8</f>
        <v>Joist spacing (mm)</v>
      </c>
      <c r="G40" s="53">
        <f>AX18</f>
        <v>600</v>
      </c>
      <c r="U40" s="101">
        <v>-0.36144742857137657</v>
      </c>
      <c r="V40" s="102">
        <v>1.3569754285713715</v>
      </c>
      <c r="W40" s="101">
        <v>0.15350285714287809</v>
      </c>
      <c r="X40" s="103">
        <v>0.61523289256204594</v>
      </c>
      <c r="Y40" s="102">
        <v>0.302434433599438</v>
      </c>
      <c r="Z40" s="102">
        <v>0.51027080664590307</v>
      </c>
      <c r="AA40" s="101">
        <v>0.37735693626652994</v>
      </c>
      <c r="AB40" s="103">
        <v>0.56120635183841561</v>
      </c>
      <c r="AC40" s="102">
        <v>0.35092496491787661</v>
      </c>
      <c r="AD40" s="103">
        <v>9.8744407710513321E-2</v>
      </c>
      <c r="AE40" s="8"/>
      <c r="AF40" s="105">
        <f t="shared" si="17"/>
        <v>0.302434433599438</v>
      </c>
      <c r="AG40" s="63"/>
      <c r="AI40" s="63"/>
      <c r="AK40" s="18"/>
      <c r="AO40" s="8"/>
      <c r="AY40" s="182">
        <v>6.3E-2</v>
      </c>
      <c r="AZ40" s="185">
        <v>22</v>
      </c>
      <c r="BA40" s="182">
        <v>6.3E-2</v>
      </c>
      <c r="BB40" s="13" cm="1">
        <f t="array" ref="BB40">INDEX(AI91:AM91,$AV$17)</f>
        <v>4.8328481902185718</v>
      </c>
      <c r="BC40" s="13">
        <f t="shared" si="24"/>
        <v>2.7566011716834651</v>
      </c>
      <c r="BD40" s="18" t="s">
        <v>264</v>
      </c>
      <c r="BE40" s="142" t="str">
        <f t="shared" si="28"/>
        <v/>
      </c>
      <c r="BF40" s="82" t="s">
        <v>171</v>
      </c>
      <c r="BG40" s="83" t="str">
        <f t="shared" si="25"/>
        <v>2.8</v>
      </c>
      <c r="BH40" s="142" t="str">
        <f t="shared" si="29"/>
        <v/>
      </c>
      <c r="BI40" s="82" t="s">
        <v>171</v>
      </c>
      <c r="BJ40" s="83" t="str">
        <f t="shared" si="26"/>
        <v>2.8</v>
      </c>
      <c r="BL40" s="333"/>
      <c r="BM40" s="670">
        <f t="shared" si="19"/>
        <v>130</v>
      </c>
      <c r="BN40" s="349" t="str">
        <f t="shared" si="27"/>
        <v>2.0</v>
      </c>
      <c r="BO40" s="350">
        <f t="shared" si="20"/>
        <v>1.9509916442005613</v>
      </c>
      <c r="BP40" s="350">
        <f t="shared" si="20"/>
        <v>1.9855402748669075</v>
      </c>
      <c r="BQ40" s="350">
        <f t="shared" si="20"/>
        <v>2.0147139182855138</v>
      </c>
      <c r="BR40" s="350">
        <f t="shared" si="20"/>
        <v>2.038512574456381</v>
      </c>
      <c r="BS40" s="351">
        <f t="shared" si="20"/>
        <v>2.056936243379508</v>
      </c>
      <c r="BT40" s="348" t="str">
        <f t="shared" si="21"/>
        <v/>
      </c>
      <c r="BU40" s="349" t="str">
        <f t="shared" si="22"/>
        <v/>
      </c>
      <c r="BV40" s="350" t="str">
        <f t="shared" si="23"/>
        <v/>
      </c>
      <c r="BW40" s="350" t="str">
        <f t="shared" si="23"/>
        <v/>
      </c>
      <c r="BX40" s="350" t="str">
        <f t="shared" si="23"/>
        <v/>
      </c>
      <c r="BY40" s="350" t="str">
        <f t="shared" si="23"/>
        <v/>
      </c>
      <c r="BZ40" s="351" t="str">
        <f t="shared" si="23"/>
        <v/>
      </c>
      <c r="CA40" s="333"/>
      <c r="CB40" s="333"/>
      <c r="CC40" s="333"/>
      <c r="CD40" s="333"/>
      <c r="CE40" s="333"/>
      <c r="CF40" s="333"/>
      <c r="CG40" s="333"/>
      <c r="CH40" s="333"/>
      <c r="CI40" s="333"/>
      <c r="CJ40" s="333"/>
      <c r="CK40" s="333"/>
      <c r="CL40" s="333"/>
      <c r="CM40" s="333"/>
      <c r="CN40" s="333"/>
      <c r="CO40" s="333"/>
      <c r="CP40" s="336"/>
    </row>
    <row r="41" spans="1:94">
      <c r="A41">
        <v>40</v>
      </c>
      <c r="B41" t="s">
        <v>225</v>
      </c>
      <c r="F41" s="53" t="str">
        <f>BV10</f>
        <v>Insulation R-value</v>
      </c>
      <c r="G41" s="852" t="str">
        <f>BJ18</f>
        <v>1.9</v>
      </c>
      <c r="AO41" s="8"/>
      <c r="AY41" s="182">
        <v>6.2899999999999998E-2</v>
      </c>
      <c r="AZ41" s="185">
        <v>23</v>
      </c>
      <c r="BA41" s="182">
        <v>6.2899999999999998E-2</v>
      </c>
      <c r="BB41" s="13" cm="1">
        <f t="array" ref="BB41">INDEX(AI92:AM92,$AV$17)</f>
        <v>4.7470191459914126</v>
      </c>
      <c r="BC41" s="13">
        <f t="shared" si="24"/>
        <v>2.7566011716834651</v>
      </c>
      <c r="BD41" s="18" t="s">
        <v>270</v>
      </c>
      <c r="BE41" s="142" t="str">
        <f t="shared" si="28"/>
        <v/>
      </c>
      <c r="BF41" s="82" t="s">
        <v>177</v>
      </c>
      <c r="BG41" s="83" t="str">
        <f t="shared" si="25"/>
        <v>2.8</v>
      </c>
      <c r="BH41" s="142" t="str">
        <f t="shared" si="29"/>
        <v/>
      </c>
      <c r="BI41" s="82" t="s">
        <v>177</v>
      </c>
      <c r="BJ41" s="83" t="str">
        <f t="shared" si="26"/>
        <v>2.8</v>
      </c>
      <c r="BL41" s="333"/>
      <c r="BM41" s="670">
        <f t="shared" si="19"/>
        <v>123.5</v>
      </c>
      <c r="BN41" s="349" t="str">
        <f t="shared" si="27"/>
        <v>1.9</v>
      </c>
      <c r="BO41" s="350">
        <f t="shared" si="20"/>
        <v>1.8697590910816748</v>
      </c>
      <c r="BP41" s="350">
        <f t="shared" si="20"/>
        <v>1.9021708156555777</v>
      </c>
      <c r="BQ41" s="350">
        <f t="shared" si="20"/>
        <v>1.9295501339923133</v>
      </c>
      <c r="BR41" s="350">
        <f t="shared" si="20"/>
        <v>1.9518970460918825</v>
      </c>
      <c r="BS41" s="351">
        <f t="shared" si="20"/>
        <v>1.9692115519542848</v>
      </c>
      <c r="BT41" s="348" t="str">
        <f t="shared" si="21"/>
        <v/>
      </c>
      <c r="BU41" s="349" t="str">
        <f t="shared" si="22"/>
        <v/>
      </c>
      <c r="BV41" s="350" t="str">
        <f t="shared" si="23"/>
        <v/>
      </c>
      <c r="BW41" s="350" t="str">
        <f t="shared" si="23"/>
        <v/>
      </c>
      <c r="BX41" s="350" t="str">
        <f t="shared" si="23"/>
        <v/>
      </c>
      <c r="BY41" s="350" t="str">
        <f t="shared" si="23"/>
        <v/>
      </c>
      <c r="BZ41" s="351" t="str">
        <f t="shared" si="23"/>
        <v/>
      </c>
      <c r="CA41" s="333"/>
      <c r="CB41" s="333"/>
      <c r="CC41" s="333"/>
      <c r="CD41" s="333"/>
      <c r="CE41" s="333"/>
      <c r="CF41" s="333"/>
      <c r="CG41" s="193"/>
      <c r="CH41" s="193"/>
      <c r="CI41" s="193"/>
      <c r="CJ41" s="193"/>
      <c r="CK41" s="193"/>
      <c r="CL41" s="193"/>
      <c r="CM41" s="193"/>
      <c r="CN41" s="333"/>
      <c r="CO41" s="333"/>
      <c r="CP41" s="336"/>
    </row>
    <row r="42" spans="1:94">
      <c r="A42">
        <v>41</v>
      </c>
      <c r="B42" t="s">
        <v>231</v>
      </c>
      <c r="F42" s="850" t="str">
        <f>BV12</f>
        <v>Floor thermal resistance</v>
      </c>
      <c r="G42" s="853">
        <f>BX12</f>
        <v>1.9692115519542848</v>
      </c>
      <c r="T42" s="8"/>
      <c r="V42" s="106">
        <v>6</v>
      </c>
      <c r="W42" s="18" t="str">
        <f>TEXT(V42,"0.0")</f>
        <v>6.0</v>
      </c>
      <c r="X42" s="106">
        <v>8.5000000000000107</v>
      </c>
      <c r="Y42" s="18" t="str">
        <f>TEXT(X42,"0.0")</f>
        <v>8.5</v>
      </c>
      <c r="Z42" s="8"/>
      <c r="AA42" s="106">
        <v>3.5</v>
      </c>
      <c r="AB42" s="18" t="str">
        <f>TEXT(AA42,"0.0")</f>
        <v>3.5</v>
      </c>
      <c r="AO42" s="8"/>
      <c r="AY42" s="182">
        <v>6.2799999999999995E-2</v>
      </c>
      <c r="AZ42" s="185">
        <v>24</v>
      </c>
      <c r="BA42" s="182">
        <v>6.2799999999999995E-2</v>
      </c>
      <c r="BB42" s="13" cm="1">
        <f t="array" ref="BB42">INDEX(AI93:AM93,$AV$17)</f>
        <v>4.6611308627893138</v>
      </c>
      <c r="BC42" s="13">
        <f t="shared" si="24"/>
        <v>2.7566011716834651</v>
      </c>
      <c r="BD42" s="18" t="s">
        <v>53</v>
      </c>
      <c r="BE42" s="142" t="str">
        <f t="shared" si="28"/>
        <v/>
      </c>
      <c r="BF42" s="82" t="s">
        <v>184</v>
      </c>
      <c r="BG42" s="83" t="str">
        <f t="shared" si="25"/>
        <v>2.8</v>
      </c>
      <c r="BH42" s="142" t="str">
        <f t="shared" si="29"/>
        <v/>
      </c>
      <c r="BI42" s="82" t="s">
        <v>184</v>
      </c>
      <c r="BJ42" s="83" t="str">
        <f t="shared" si="26"/>
        <v>2.8</v>
      </c>
      <c r="BL42" s="333"/>
      <c r="BM42" s="670">
        <f t="shared" si="19"/>
        <v>117</v>
      </c>
      <c r="BN42" s="349" t="str">
        <f t="shared" si="27"/>
        <v>1.8</v>
      </c>
      <c r="BO42" s="350">
        <f t="shared" si="20"/>
        <v>1.7884428264677208</v>
      </c>
      <c r="BP42" s="350">
        <f t="shared" si="20"/>
        <v>1.8187228333689449</v>
      </c>
      <c r="BQ42" s="350">
        <f t="shared" si="20"/>
        <v>1.8443136348504194</v>
      </c>
      <c r="BR42" s="350">
        <f t="shared" si="20"/>
        <v>1.8652152309121459</v>
      </c>
      <c r="BS42" s="351">
        <f t="shared" si="20"/>
        <v>1.8814276215541228</v>
      </c>
      <c r="BT42" s="348" t="str">
        <f t="shared" si="21"/>
        <v/>
      </c>
      <c r="BU42" s="349" t="str">
        <f t="shared" si="22"/>
        <v/>
      </c>
      <c r="BV42" s="350" t="str">
        <f t="shared" si="23"/>
        <v/>
      </c>
      <c r="BW42" s="350" t="str">
        <f t="shared" si="23"/>
        <v/>
      </c>
      <c r="BX42" s="350" t="str">
        <f t="shared" si="23"/>
        <v/>
      </c>
      <c r="BY42" s="350" t="str">
        <f t="shared" si="23"/>
        <v/>
      </c>
      <c r="BZ42" s="351" t="str">
        <f t="shared" si="23"/>
        <v/>
      </c>
      <c r="CA42" s="333"/>
      <c r="CB42" s="333"/>
      <c r="CC42" s="333"/>
      <c r="CD42" s="333"/>
      <c r="CE42" s="333"/>
      <c r="CF42" s="333"/>
      <c r="CG42" s="333"/>
      <c r="CH42" s="333"/>
      <c r="CI42" s="333"/>
      <c r="CJ42" s="333"/>
      <c r="CK42" s="333"/>
      <c r="CL42" s="333"/>
      <c r="CM42" s="333"/>
      <c r="CN42" s="333"/>
      <c r="CO42" s="333"/>
      <c r="CP42" s="336"/>
    </row>
    <row r="43" spans="1:94">
      <c r="A43">
        <v>42</v>
      </c>
      <c r="B43" t="s">
        <v>236</v>
      </c>
      <c r="T43" s="8"/>
      <c r="U43" s="8"/>
      <c r="V43" s="106">
        <v>5.9</v>
      </c>
      <c r="W43" s="18" t="str">
        <f t="shared" ref="W43:W67" si="30">TEXT(V43,"0.0")</f>
        <v>5.9</v>
      </c>
      <c r="X43" s="106">
        <v>8.4000000000000092</v>
      </c>
      <c r="Y43" s="18" t="str">
        <f t="shared" ref="Y43:Y67" si="31">TEXT(X43,"0.0")</f>
        <v>8.4</v>
      </c>
      <c r="Z43" s="8"/>
      <c r="AA43" s="106">
        <v>3.4</v>
      </c>
      <c r="AB43" s="18" t="str">
        <f t="shared" ref="AB43:AB67" si="32">TEXT(AA43,"0.0")</f>
        <v>3.4</v>
      </c>
      <c r="AO43" s="8"/>
      <c r="AY43" s="182">
        <v>6.2700000000000006E-2</v>
      </c>
      <c r="AZ43" s="185">
        <v>25</v>
      </c>
      <c r="BA43" s="182">
        <v>6.2700000000000006E-2</v>
      </c>
      <c r="BB43" s="13" cm="1">
        <f t="array" ref="BB43">INDEX(AI94:AM94,$AV$17)</f>
        <v>4.5751833406122788</v>
      </c>
      <c r="BC43" s="13">
        <f t="shared" si="24"/>
        <v>2.7566011716834651</v>
      </c>
      <c r="BD43" s="18" t="s">
        <v>62</v>
      </c>
      <c r="BE43" s="142" t="str">
        <f t="shared" si="28"/>
        <v/>
      </c>
      <c r="BF43" s="82" t="s">
        <v>188</v>
      </c>
      <c r="BG43" s="83" t="str">
        <f t="shared" si="25"/>
        <v>2.8</v>
      </c>
      <c r="BH43" s="142" t="str">
        <f t="shared" si="29"/>
        <v/>
      </c>
      <c r="BI43" s="82" t="s">
        <v>188</v>
      </c>
      <c r="BJ43" s="83" t="str">
        <f t="shared" si="26"/>
        <v>2.8</v>
      </c>
      <c r="BL43" s="333"/>
      <c r="BM43" s="670">
        <f t="shared" si="19"/>
        <v>110.5</v>
      </c>
      <c r="BN43" s="349" t="str">
        <f t="shared" si="27"/>
        <v>1.7</v>
      </c>
      <c r="BO43" s="350">
        <f t="shared" si="20"/>
        <v>1.7070428503586983</v>
      </c>
      <c r="BP43" s="350">
        <f t="shared" si="20"/>
        <v>1.7351963280070097</v>
      </c>
      <c r="BQ43" s="350">
        <f t="shared" si="20"/>
        <v>1.7590044208598328</v>
      </c>
      <c r="BR43" s="350">
        <f t="shared" si="20"/>
        <v>1.7784671289171703</v>
      </c>
      <c r="BS43" s="351">
        <f t="shared" si="20"/>
        <v>1.793584452179021</v>
      </c>
      <c r="BT43" s="348" t="str">
        <f t="shared" si="21"/>
        <v/>
      </c>
      <c r="BU43" s="349" t="str">
        <f t="shared" si="22"/>
        <v/>
      </c>
      <c r="BV43" s="350" t="str">
        <f t="shared" si="23"/>
        <v/>
      </c>
      <c r="BW43" s="350" t="str">
        <f t="shared" si="23"/>
        <v/>
      </c>
      <c r="BX43" s="350" t="str">
        <f t="shared" si="23"/>
        <v/>
      </c>
      <c r="BY43" s="350" t="str">
        <f t="shared" si="23"/>
        <v/>
      </c>
      <c r="BZ43" s="351" t="str">
        <f t="shared" si="23"/>
        <v/>
      </c>
      <c r="CA43" s="333"/>
      <c r="CB43" s="333"/>
      <c r="CC43" s="333"/>
      <c r="CD43" s="333"/>
      <c r="CE43" s="333"/>
      <c r="CF43" s="333"/>
      <c r="CG43" s="333"/>
      <c r="CH43" s="333"/>
      <c r="CI43" s="333"/>
      <c r="CJ43" s="333"/>
      <c r="CK43" s="333"/>
      <c r="CL43" s="333"/>
      <c r="CM43" s="333"/>
      <c r="CN43" s="333"/>
      <c r="CO43" s="333"/>
      <c r="CP43" s="336"/>
    </row>
    <row r="44" spans="1:94">
      <c r="A44">
        <v>43</v>
      </c>
      <c r="B44" t="s">
        <v>240</v>
      </c>
      <c r="T44" s="8"/>
      <c r="U44" s="8"/>
      <c r="V44" s="106">
        <v>5.8</v>
      </c>
      <c r="W44" s="18" t="str">
        <f t="shared" si="30"/>
        <v>5.8</v>
      </c>
      <c r="X44" s="106">
        <v>8.3000000000000096</v>
      </c>
      <c r="Y44" s="18" t="str">
        <f t="shared" si="31"/>
        <v>8.3</v>
      </c>
      <c r="Z44" s="8"/>
      <c r="AA44" s="106">
        <v>3.3</v>
      </c>
      <c r="AB44" s="18" t="str">
        <f t="shared" si="32"/>
        <v>3.3</v>
      </c>
      <c r="AO44" s="8"/>
      <c r="AY44" s="182">
        <v>6.2600000000000003E-2</v>
      </c>
      <c r="AZ44" s="185">
        <v>26</v>
      </c>
      <c r="BA44" s="182">
        <v>6.2600000000000003E-2</v>
      </c>
      <c r="BB44" s="13" cm="1">
        <f t="array" ref="BB44">INDEX(AI95:AM95,$AV$17)</f>
        <v>4.4891765794603007</v>
      </c>
      <c r="BC44" s="13">
        <f t="shared" si="24"/>
        <v>2.7566011716834651</v>
      </c>
      <c r="BD44" s="18" t="s">
        <v>72</v>
      </c>
      <c r="BE44" s="142" t="str">
        <f t="shared" si="28"/>
        <v/>
      </c>
      <c r="BF44" s="82" t="s">
        <v>195</v>
      </c>
      <c r="BG44" s="83" t="str">
        <f t="shared" si="25"/>
        <v>2.8</v>
      </c>
      <c r="BH44" s="142" t="str">
        <f t="shared" si="29"/>
        <v/>
      </c>
      <c r="BI44" s="82" t="s">
        <v>195</v>
      </c>
      <c r="BJ44" s="83" t="str">
        <f t="shared" si="26"/>
        <v>2.8</v>
      </c>
      <c r="BL44" s="333"/>
      <c r="BM44" s="670">
        <f t="shared" si="19"/>
        <v>104.00000000000001</v>
      </c>
      <c r="BN44" s="349" t="str">
        <f t="shared" si="27"/>
        <v>1.6</v>
      </c>
      <c r="BO44" s="350">
        <f t="shared" si="20"/>
        <v>1.6255591627546078</v>
      </c>
      <c r="BP44" s="350">
        <f t="shared" si="20"/>
        <v>1.6515912995697712</v>
      </c>
      <c r="BQ44" s="350">
        <f t="shared" si="20"/>
        <v>1.6736224920205536</v>
      </c>
      <c r="BR44" s="350">
        <f t="shared" si="20"/>
        <v>1.6916527401069579</v>
      </c>
      <c r="BS44" s="351">
        <f t="shared" si="20"/>
        <v>1.7056820438289799</v>
      </c>
      <c r="BT44" s="348" t="str">
        <f t="shared" si="21"/>
        <v/>
      </c>
      <c r="BU44" s="349" t="str">
        <f t="shared" si="22"/>
        <v/>
      </c>
      <c r="BV44" s="350" t="str">
        <f t="shared" si="23"/>
        <v/>
      </c>
      <c r="BW44" s="350" t="str">
        <f t="shared" si="23"/>
        <v/>
      </c>
      <c r="BX44" s="350" t="str">
        <f t="shared" si="23"/>
        <v/>
      </c>
      <c r="BY44" s="350" t="str">
        <f t="shared" si="23"/>
        <v/>
      </c>
      <c r="BZ44" s="351" t="str">
        <f t="shared" si="23"/>
        <v/>
      </c>
      <c r="CA44" s="333"/>
      <c r="CB44" s="333"/>
      <c r="CC44" s="333"/>
      <c r="CD44" s="333"/>
      <c r="CE44" s="333"/>
      <c r="CF44" s="333"/>
      <c r="CG44" s="333"/>
      <c r="CH44" s="333"/>
      <c r="CI44" s="333"/>
      <c r="CJ44" s="333"/>
      <c r="CK44" s="333"/>
      <c r="CL44" s="333"/>
      <c r="CM44" s="333"/>
      <c r="CN44" s="333"/>
      <c r="CO44" s="333"/>
      <c r="CP44" s="336"/>
    </row>
    <row r="45" spans="1:94">
      <c r="A45">
        <v>44</v>
      </c>
      <c r="B45" t="s">
        <v>245</v>
      </c>
      <c r="T45" s="8"/>
      <c r="U45" s="8"/>
      <c r="V45" s="106">
        <v>5.7</v>
      </c>
      <c r="W45" s="18" t="str">
        <f t="shared" si="30"/>
        <v>5.7</v>
      </c>
      <c r="X45" s="106">
        <v>8.2000000000000099</v>
      </c>
      <c r="Y45" s="18" t="str">
        <f t="shared" si="31"/>
        <v>8.2</v>
      </c>
      <c r="Z45" s="8"/>
      <c r="AA45" s="106">
        <v>3.2</v>
      </c>
      <c r="AB45" s="18" t="str">
        <f t="shared" si="32"/>
        <v>3.2</v>
      </c>
      <c r="AD45" s="7" t="s">
        <v>951</v>
      </c>
      <c r="AO45" s="8"/>
      <c r="AY45" s="182">
        <v>6.25E-2</v>
      </c>
      <c r="AZ45" s="185">
        <v>27</v>
      </c>
      <c r="BA45" s="182">
        <v>6.25E-2</v>
      </c>
      <c r="BB45" s="13" cm="1">
        <f t="array" ref="BB45">INDEX(AI96:AM96,$AV$17)</f>
        <v>4.403110579333382</v>
      </c>
      <c r="BC45" s="13">
        <f t="shared" si="24"/>
        <v>2.7566011716834651</v>
      </c>
      <c r="BD45" s="18" t="s">
        <v>79</v>
      </c>
      <c r="BE45" s="142" t="str">
        <f t="shared" si="28"/>
        <v/>
      </c>
      <c r="BF45" s="82" t="s">
        <v>201</v>
      </c>
      <c r="BG45" s="83" t="str">
        <f t="shared" si="25"/>
        <v>2.8</v>
      </c>
      <c r="BH45" s="142" t="str">
        <f t="shared" si="29"/>
        <v/>
      </c>
      <c r="BI45" s="82" t="s">
        <v>201</v>
      </c>
      <c r="BJ45" s="83" t="str">
        <f t="shared" si="26"/>
        <v>2.8</v>
      </c>
      <c r="BL45" s="333"/>
      <c r="BM45" s="670">
        <f t="shared" si="19"/>
        <v>97.5</v>
      </c>
      <c r="BN45" s="349" t="str">
        <f t="shared" si="27"/>
        <v>1.5</v>
      </c>
      <c r="BO45" s="350">
        <f t="shared" si="20"/>
        <v>1.5439917636554488</v>
      </c>
      <c r="BP45" s="350">
        <f t="shared" si="20"/>
        <v>1.5679077480572303</v>
      </c>
      <c r="BQ45" s="350">
        <f t="shared" si="20"/>
        <v>1.5881678483325818</v>
      </c>
      <c r="BR45" s="350">
        <f t="shared" si="20"/>
        <v>1.6047720644815056</v>
      </c>
      <c r="BS45" s="351">
        <f t="shared" si="20"/>
        <v>1.6177203965039997</v>
      </c>
      <c r="BT45" s="348" t="str">
        <f t="shared" si="21"/>
        <v/>
      </c>
      <c r="BU45" s="349" t="str">
        <f t="shared" si="22"/>
        <v/>
      </c>
      <c r="BV45" s="350" t="str">
        <f t="shared" si="23"/>
        <v/>
      </c>
      <c r="BW45" s="350" t="str">
        <f t="shared" si="23"/>
        <v/>
      </c>
      <c r="BX45" s="350" t="str">
        <f t="shared" si="23"/>
        <v/>
      </c>
      <c r="BY45" s="350" t="str">
        <f t="shared" si="23"/>
        <v/>
      </c>
      <c r="BZ45" s="351" t="str">
        <f t="shared" si="23"/>
        <v/>
      </c>
      <c r="CA45" s="333"/>
      <c r="CB45" s="333"/>
      <c r="CC45" s="333"/>
      <c r="CD45" s="333"/>
      <c r="CE45" s="333"/>
      <c r="CF45" s="333"/>
      <c r="CG45" s="333"/>
      <c r="CH45" s="333"/>
      <c r="CI45" s="333"/>
      <c r="CJ45" s="333"/>
      <c r="CK45" s="333"/>
      <c r="CL45" s="333"/>
      <c r="CM45" s="333"/>
      <c r="CN45" s="333"/>
      <c r="CO45" s="333"/>
      <c r="CP45" s="336"/>
    </row>
    <row r="46" spans="1:94">
      <c r="A46">
        <v>45</v>
      </c>
      <c r="B46" t="s">
        <v>250</v>
      </c>
      <c r="T46" s="8"/>
      <c r="U46" s="8"/>
      <c r="V46" s="106">
        <v>5.6</v>
      </c>
      <c r="W46" s="18" t="str">
        <f t="shared" si="30"/>
        <v>5.6</v>
      </c>
      <c r="X46" s="106">
        <v>8.1000000000000103</v>
      </c>
      <c r="Y46" s="18" t="str">
        <f t="shared" si="31"/>
        <v>8.1</v>
      </c>
      <c r="Z46" s="8"/>
      <c r="AA46" s="106">
        <v>3.1</v>
      </c>
      <c r="AB46" s="18" t="str">
        <f t="shared" si="32"/>
        <v>3.1</v>
      </c>
      <c r="AD46" s="7" t="s">
        <v>952</v>
      </c>
      <c r="AO46" s="8"/>
      <c r="AY46" s="182">
        <v>6.2399999999999997E-2</v>
      </c>
      <c r="AZ46" s="185">
        <v>28</v>
      </c>
      <c r="BA46" s="182">
        <v>6.2399999999999997E-2</v>
      </c>
      <c r="BB46" s="13" cm="1">
        <f t="array" ref="BB46">INDEX(AI97:AM97,$AV$17)</f>
        <v>4.3169853402315272</v>
      </c>
      <c r="BC46" s="13">
        <f t="shared" si="24"/>
        <v>2.7566011716834651</v>
      </c>
      <c r="BD46" s="18" t="s">
        <v>85</v>
      </c>
      <c r="BE46" s="142" t="str">
        <f t="shared" si="28"/>
        <v/>
      </c>
      <c r="BF46" s="82" t="s">
        <v>205</v>
      </c>
      <c r="BG46" s="83" t="str">
        <f t="shared" si="25"/>
        <v>2.8</v>
      </c>
      <c r="BH46" s="142" t="str">
        <f t="shared" si="29"/>
        <v/>
      </c>
      <c r="BI46" s="82" t="s">
        <v>205</v>
      </c>
      <c r="BJ46" s="83" t="str">
        <f t="shared" si="26"/>
        <v>2.8</v>
      </c>
      <c r="BL46" s="333"/>
      <c r="BM46" s="670">
        <f t="shared" si="19"/>
        <v>91</v>
      </c>
      <c r="BN46" s="349" t="str">
        <f t="shared" si="27"/>
        <v>1.4</v>
      </c>
      <c r="BO46" s="350">
        <f t="shared" si="20"/>
        <v>1.4623406530612222</v>
      </c>
      <c r="BP46" s="350">
        <f t="shared" si="20"/>
        <v>1.4841456734693861</v>
      </c>
      <c r="BQ46" s="350">
        <f t="shared" si="20"/>
        <v>1.5026404897959167</v>
      </c>
      <c r="BR46" s="350">
        <f t="shared" si="20"/>
        <v>1.5178251020408151</v>
      </c>
      <c r="BS46" s="351">
        <f t="shared" si="20"/>
        <v>1.5296995102040789</v>
      </c>
      <c r="BT46" s="348" t="str">
        <f t="shared" si="21"/>
        <v/>
      </c>
      <c r="BU46" s="349" t="str">
        <f t="shared" si="22"/>
        <v/>
      </c>
      <c r="BV46" s="350" t="str">
        <f t="shared" si="23"/>
        <v/>
      </c>
      <c r="BW46" s="350" t="str">
        <f t="shared" si="23"/>
        <v/>
      </c>
      <c r="BX46" s="350" t="str">
        <f t="shared" si="23"/>
        <v/>
      </c>
      <c r="BY46" s="350" t="str">
        <f t="shared" si="23"/>
        <v/>
      </c>
      <c r="BZ46" s="351" t="str">
        <f t="shared" si="23"/>
        <v/>
      </c>
      <c r="CA46" s="333"/>
      <c r="CB46" s="333"/>
      <c r="CC46" s="333"/>
      <c r="CD46" s="333"/>
      <c r="CE46" s="333"/>
      <c r="CF46" s="333"/>
      <c r="CG46" s="333"/>
      <c r="CH46" s="333"/>
      <c r="CI46" s="333"/>
      <c r="CJ46" s="333"/>
      <c r="CK46" s="333"/>
      <c r="CL46" s="333"/>
      <c r="CM46" s="333"/>
      <c r="CN46" s="333"/>
      <c r="CO46" s="333"/>
      <c r="CP46" s="336"/>
    </row>
    <row r="47" spans="1:94">
      <c r="A47">
        <v>46</v>
      </c>
      <c r="B47" t="s">
        <v>255</v>
      </c>
      <c r="T47" s="8"/>
      <c r="U47" s="8"/>
      <c r="V47" s="106">
        <v>5.5</v>
      </c>
      <c r="W47" s="18" t="str">
        <f t="shared" si="30"/>
        <v>5.5</v>
      </c>
      <c r="X47" s="106">
        <v>8.0000000000000107</v>
      </c>
      <c r="Y47" s="18" t="str">
        <f t="shared" si="31"/>
        <v>8.0</v>
      </c>
      <c r="Z47" s="8"/>
      <c r="AA47" s="106">
        <v>3</v>
      </c>
      <c r="AB47" s="18" t="str">
        <f t="shared" si="32"/>
        <v>3.0</v>
      </c>
      <c r="AD47" s="7" t="s">
        <v>1004</v>
      </c>
      <c r="AO47" s="8"/>
      <c r="AY47" s="182">
        <v>6.2300000000000001E-2</v>
      </c>
      <c r="AZ47" s="185">
        <v>29</v>
      </c>
      <c r="BA47" s="182">
        <v>6.2300000000000001E-2</v>
      </c>
      <c r="BB47" s="13" cm="1">
        <f t="array" ref="BB47">INDEX(AI98:AM98,$AV$17)</f>
        <v>4.2308008621547311</v>
      </c>
      <c r="BC47" s="13">
        <f t="shared" si="24"/>
        <v>2.7566011716834651</v>
      </c>
      <c r="BD47" s="18" t="s">
        <v>92</v>
      </c>
      <c r="BE47" s="142" t="str">
        <f t="shared" si="28"/>
        <v/>
      </c>
      <c r="BF47" s="82" t="s">
        <v>209</v>
      </c>
      <c r="BG47" s="83" t="str">
        <f t="shared" si="25"/>
        <v>2.8</v>
      </c>
      <c r="BH47" s="142" t="str">
        <f t="shared" si="29"/>
        <v/>
      </c>
      <c r="BI47" s="82" t="s">
        <v>209</v>
      </c>
      <c r="BJ47" s="83" t="str">
        <f t="shared" si="26"/>
        <v>2.8</v>
      </c>
      <c r="BL47" s="333"/>
      <c r="BM47" s="670">
        <f t="shared" si="19"/>
        <v>84.5</v>
      </c>
      <c r="BN47" s="349" t="str">
        <f t="shared" si="27"/>
        <v>1.3</v>
      </c>
      <c r="BO47" s="350">
        <f t="shared" si="20"/>
        <v>1.3806058309719278</v>
      </c>
      <c r="BP47" s="350">
        <f t="shared" si="20"/>
        <v>1.4003050758062399</v>
      </c>
      <c r="BQ47" s="350">
        <f t="shared" si="20"/>
        <v>1.4170404164105594</v>
      </c>
      <c r="BR47" s="350">
        <f t="shared" si="20"/>
        <v>1.4308118527848865</v>
      </c>
      <c r="BS47" s="351">
        <f t="shared" si="20"/>
        <v>1.4416193849292198</v>
      </c>
      <c r="BT47" s="348" t="str">
        <f t="shared" si="21"/>
        <v/>
      </c>
      <c r="BU47" s="349" t="str">
        <f t="shared" si="22"/>
        <v/>
      </c>
      <c r="BV47" s="350" t="str">
        <f t="shared" si="23"/>
        <v/>
      </c>
      <c r="BW47" s="350" t="str">
        <f t="shared" si="23"/>
        <v/>
      </c>
      <c r="BX47" s="350" t="str">
        <f t="shared" si="23"/>
        <v/>
      </c>
      <c r="BY47" s="350" t="str">
        <f t="shared" si="23"/>
        <v/>
      </c>
      <c r="BZ47" s="351" t="str">
        <f t="shared" si="23"/>
        <v/>
      </c>
      <c r="CA47" s="333"/>
      <c r="CB47" s="333"/>
      <c r="CC47" s="333"/>
      <c r="CD47" s="333"/>
      <c r="CE47" s="333"/>
      <c r="CF47" s="333"/>
      <c r="CG47" s="333"/>
      <c r="CH47" s="333"/>
      <c r="CI47" s="333"/>
      <c r="CJ47" s="333"/>
      <c r="CK47" s="333"/>
      <c r="CL47" s="333"/>
      <c r="CM47" s="333"/>
      <c r="CN47" s="333"/>
      <c r="CO47" s="333"/>
      <c r="CP47" s="336"/>
    </row>
    <row r="48" spans="1:94">
      <c r="A48">
        <v>47</v>
      </c>
      <c r="B48" t="s">
        <v>260</v>
      </c>
      <c r="T48" s="8"/>
      <c r="U48" s="8"/>
      <c r="V48" s="106">
        <v>5.4</v>
      </c>
      <c r="W48" s="18" t="str">
        <f t="shared" si="30"/>
        <v>5.4</v>
      </c>
      <c r="X48" s="106">
        <v>7.9000000000000101</v>
      </c>
      <c r="Y48" s="18" t="str">
        <f t="shared" si="31"/>
        <v>7.9</v>
      </c>
      <c r="Z48" s="8"/>
      <c r="AA48" s="106">
        <v>2.9</v>
      </c>
      <c r="AB48" s="18" t="str">
        <f t="shared" si="32"/>
        <v>2.9</v>
      </c>
      <c r="AD48" s="7" t="s">
        <v>953</v>
      </c>
      <c r="AO48" s="8"/>
      <c r="AY48" s="182">
        <v>6.2199999999999998E-2</v>
      </c>
      <c r="AZ48" s="185">
        <v>30</v>
      </c>
      <c r="BA48" s="182">
        <v>6.2199999999999998E-2</v>
      </c>
      <c r="BB48" s="13" cm="1">
        <f t="array" ref="BB48">INDEX(AI99:AM99,$AV$17)</f>
        <v>4.1445571451030014</v>
      </c>
      <c r="BC48" s="13">
        <f t="shared" si="24"/>
        <v>2.7566011716834651</v>
      </c>
      <c r="BD48" s="18" t="s">
        <v>98</v>
      </c>
      <c r="BE48" s="142" t="str">
        <f t="shared" si="28"/>
        <v/>
      </c>
      <c r="BF48" s="82" t="s">
        <v>216</v>
      </c>
      <c r="BG48" s="83" t="str">
        <f t="shared" si="25"/>
        <v>2.8</v>
      </c>
      <c r="BH48" s="142" t="str">
        <f t="shared" si="29"/>
        <v/>
      </c>
      <c r="BI48" s="82" t="s">
        <v>216</v>
      </c>
      <c r="BJ48" s="83" t="str">
        <f t="shared" si="26"/>
        <v>2.8</v>
      </c>
      <c r="BL48" s="333"/>
      <c r="BM48" s="670">
        <f t="shared" si="19"/>
        <v>78</v>
      </c>
      <c r="BN48" s="349" t="str">
        <f t="shared" si="27"/>
        <v>1.2</v>
      </c>
      <c r="BO48" s="350">
        <f t="shared" si="20"/>
        <v>1.2987872973875649</v>
      </c>
      <c r="BP48" s="350">
        <f t="shared" si="20"/>
        <v>1.3163859550677903</v>
      </c>
      <c r="BQ48" s="350">
        <f t="shared" si="20"/>
        <v>1.3313676281765083</v>
      </c>
      <c r="BR48" s="350">
        <f t="shared" si="20"/>
        <v>1.3437323167137183</v>
      </c>
      <c r="BS48" s="351">
        <f t="shared" si="20"/>
        <v>1.3534800206794206</v>
      </c>
      <c r="BT48" s="348" t="str">
        <f t="shared" si="21"/>
        <v/>
      </c>
      <c r="BU48" s="349" t="str">
        <f t="shared" si="22"/>
        <v/>
      </c>
      <c r="BV48" s="350" t="str">
        <f t="shared" si="23"/>
        <v/>
      </c>
      <c r="BW48" s="350" t="str">
        <f t="shared" si="23"/>
        <v/>
      </c>
      <c r="BX48" s="350" t="str">
        <f t="shared" si="23"/>
        <v/>
      </c>
      <c r="BY48" s="350" t="str">
        <f t="shared" si="23"/>
        <v/>
      </c>
      <c r="BZ48" s="351" t="str">
        <f t="shared" si="23"/>
        <v/>
      </c>
      <c r="CA48" s="333"/>
      <c r="CB48" s="333"/>
      <c r="CC48" s="333"/>
      <c r="CD48" s="333"/>
      <c r="CE48" s="333"/>
      <c r="CF48" s="333"/>
      <c r="CG48" s="333"/>
      <c r="CH48" s="333"/>
      <c r="CI48" s="333"/>
      <c r="CJ48" s="333"/>
      <c r="CK48" s="333"/>
      <c r="CL48" s="333"/>
      <c r="CM48" s="333"/>
      <c r="CN48" s="333"/>
      <c r="CO48" s="333"/>
      <c r="CP48" s="336"/>
    </row>
    <row r="49" spans="1:94">
      <c r="A49">
        <v>48</v>
      </c>
      <c r="B49" t="s">
        <v>266</v>
      </c>
      <c r="T49" s="8"/>
      <c r="U49" s="8"/>
      <c r="V49" s="106">
        <v>5.3</v>
      </c>
      <c r="W49" s="18" t="str">
        <f t="shared" si="30"/>
        <v>5.3</v>
      </c>
      <c r="X49" s="106">
        <v>7.8000000000000096</v>
      </c>
      <c r="Y49" s="18" t="str">
        <f t="shared" si="31"/>
        <v>7.8</v>
      </c>
      <c r="Z49" s="8"/>
      <c r="AA49" s="106">
        <v>2.8</v>
      </c>
      <c r="AB49" s="18" t="str">
        <f t="shared" si="32"/>
        <v>2.8</v>
      </c>
      <c r="AO49" s="8"/>
      <c r="AY49" s="182">
        <v>6.2100000000000002E-2</v>
      </c>
      <c r="AZ49" s="185">
        <v>31</v>
      </c>
      <c r="BA49" s="182">
        <v>6.2100000000000002E-2</v>
      </c>
      <c r="BB49" s="13" cm="1">
        <f t="array" ref="BB49">INDEX(AI100:AM100,$AV$17)</f>
        <v>4.0582541890763242</v>
      </c>
      <c r="BC49" s="13">
        <f t="shared" si="24"/>
        <v>2.7566011716834651</v>
      </c>
      <c r="BD49" s="18" t="s">
        <v>105</v>
      </c>
      <c r="BE49" s="142" t="str">
        <f t="shared" si="28"/>
        <v/>
      </c>
      <c r="BF49" s="82" t="s">
        <v>223</v>
      </c>
      <c r="BG49" s="83" t="str">
        <f t="shared" si="25"/>
        <v>2.8</v>
      </c>
      <c r="BH49" s="142" t="str">
        <f t="shared" si="29"/>
        <v/>
      </c>
      <c r="BI49" s="82" t="s">
        <v>223</v>
      </c>
      <c r="BJ49" s="83" t="str">
        <f t="shared" si="26"/>
        <v>2.8</v>
      </c>
      <c r="BL49" s="333"/>
      <c r="BM49" s="670">
        <f t="shared" si="19"/>
        <v>71.500000000000014</v>
      </c>
      <c r="BN49" s="349" t="str">
        <f t="shared" si="27"/>
        <v>1.1</v>
      </c>
      <c r="BO49" s="350">
        <f t="shared" si="20"/>
        <v>1.2168850523081338</v>
      </c>
      <c r="BP49" s="350">
        <f t="shared" si="20"/>
        <v>1.232388311254039</v>
      </c>
      <c r="BQ49" s="350">
        <f t="shared" si="20"/>
        <v>1.2456221250937645</v>
      </c>
      <c r="BR49" s="350">
        <f t="shared" si="20"/>
        <v>1.2565864938273128</v>
      </c>
      <c r="BS49" s="351">
        <f t="shared" si="20"/>
        <v>1.265281417454682</v>
      </c>
      <c r="BT49" s="348" t="str">
        <f t="shared" si="21"/>
        <v/>
      </c>
      <c r="BU49" s="349" t="str">
        <f t="shared" si="22"/>
        <v/>
      </c>
      <c r="BV49" s="350" t="str">
        <f t="shared" si="23"/>
        <v/>
      </c>
      <c r="BW49" s="350" t="str">
        <f t="shared" si="23"/>
        <v/>
      </c>
      <c r="BX49" s="350" t="str">
        <f t="shared" si="23"/>
        <v/>
      </c>
      <c r="BY49" s="350" t="str">
        <f t="shared" si="23"/>
        <v/>
      </c>
      <c r="BZ49" s="351" t="str">
        <f t="shared" si="23"/>
        <v/>
      </c>
      <c r="CA49" s="333"/>
      <c r="CB49" s="333"/>
      <c r="CC49" s="333"/>
      <c r="CD49" s="333"/>
      <c r="CE49" s="333"/>
      <c r="CF49" s="333"/>
      <c r="CG49" s="333"/>
      <c r="CH49" s="333"/>
      <c r="CI49" s="333"/>
      <c r="CJ49" s="333"/>
      <c r="CK49" s="333"/>
      <c r="CL49" s="333"/>
      <c r="CM49" s="333"/>
      <c r="CN49" s="333"/>
      <c r="CO49" s="333"/>
      <c r="CP49" s="336"/>
    </row>
    <row r="50" spans="1:94">
      <c r="A50">
        <v>49</v>
      </c>
      <c r="B50" t="s">
        <v>251</v>
      </c>
      <c r="T50" s="8"/>
      <c r="U50" s="8"/>
      <c r="V50" s="106">
        <v>5.2</v>
      </c>
      <c r="W50" s="18" t="str">
        <f t="shared" si="30"/>
        <v>5.2</v>
      </c>
      <c r="X50" s="106">
        <v>7.7000000000000099</v>
      </c>
      <c r="Y50" s="18" t="str">
        <f t="shared" si="31"/>
        <v>7.7</v>
      </c>
      <c r="Z50" s="8"/>
      <c r="AA50" s="106">
        <v>2.7</v>
      </c>
      <c r="AB50" s="18" t="str">
        <f t="shared" si="32"/>
        <v>2.7</v>
      </c>
      <c r="AO50" s="8"/>
      <c r="AY50" s="182">
        <v>6.2E-2</v>
      </c>
      <c r="AZ50" s="185">
        <v>32</v>
      </c>
      <c r="BA50" s="182">
        <v>6.2E-2</v>
      </c>
      <c r="BB50" s="13" cm="1">
        <f t="array" ref="BB50">INDEX(AI101:AM101,$AV$17)</f>
        <v>3.9718919940747095</v>
      </c>
      <c r="BC50" s="13">
        <f t="shared" si="24"/>
        <v>2.7566011716834651</v>
      </c>
      <c r="BD50" s="18" t="s">
        <v>109</v>
      </c>
      <c r="BE50" s="142" t="str">
        <f t="shared" si="28"/>
        <v/>
      </c>
      <c r="BF50" s="82" t="s">
        <v>229</v>
      </c>
      <c r="BG50" s="83" t="str">
        <f t="shared" si="25"/>
        <v>2.8</v>
      </c>
      <c r="BH50" s="142" t="str">
        <f t="shared" si="29"/>
        <v/>
      </c>
      <c r="BI50" s="82" t="s">
        <v>229</v>
      </c>
      <c r="BJ50" s="83" t="str">
        <f t="shared" si="26"/>
        <v>2.8</v>
      </c>
      <c r="BL50" s="333"/>
      <c r="BM50" s="670">
        <f>BE82</f>
        <v>65</v>
      </c>
      <c r="BN50" s="349" t="str">
        <f t="shared" si="27"/>
        <v>1.0</v>
      </c>
      <c r="BO50" s="350">
        <f t="shared" si="20"/>
        <v>1.1348990957336351</v>
      </c>
      <c r="BP50" s="350">
        <f t="shared" si="20"/>
        <v>1.1483121443649837</v>
      </c>
      <c r="BQ50" s="350">
        <f t="shared" si="20"/>
        <v>1.1598039071623278</v>
      </c>
      <c r="BR50" s="350">
        <f t="shared" si="20"/>
        <v>1.1693743841256685</v>
      </c>
      <c r="BS50" s="351">
        <f t="shared" si="20"/>
        <v>1.177023575255004</v>
      </c>
      <c r="BT50" s="348" t="str">
        <f t="shared" si="21"/>
        <v/>
      </c>
      <c r="BU50" s="349" t="str">
        <f>IF(BE51&lt;&gt;"",BG51,"")</f>
        <v/>
      </c>
      <c r="BV50" s="350" t="str">
        <f t="shared" si="23"/>
        <v/>
      </c>
      <c r="BW50" s="350" t="str">
        <f t="shared" si="23"/>
        <v/>
      </c>
      <c r="BX50" s="350" t="str">
        <f t="shared" si="23"/>
        <v/>
      </c>
      <c r="BY50" s="350" t="str">
        <f t="shared" si="23"/>
        <v/>
      </c>
      <c r="BZ50" s="351" t="str">
        <f t="shared" si="23"/>
        <v/>
      </c>
      <c r="CA50" s="333"/>
      <c r="CB50" s="333"/>
      <c r="CC50" s="333"/>
      <c r="CD50" s="333"/>
      <c r="CE50" s="333"/>
      <c r="CF50" s="333"/>
      <c r="CG50" s="333"/>
      <c r="CH50" s="333"/>
      <c r="CI50" s="333"/>
      <c r="CJ50" s="333"/>
      <c r="CK50" s="333"/>
      <c r="CL50" s="333"/>
      <c r="CM50" s="333"/>
      <c r="CN50" s="333"/>
      <c r="CO50" s="333"/>
      <c r="CP50" s="336"/>
    </row>
    <row r="51" spans="1:94" ht="16.5" thickBot="1">
      <c r="A51">
        <v>50</v>
      </c>
      <c r="B51" t="s">
        <v>276</v>
      </c>
      <c r="T51" s="8"/>
      <c r="U51" s="8"/>
      <c r="V51" s="106">
        <v>5.0999999999999996</v>
      </c>
      <c r="W51" s="18" t="str">
        <f t="shared" si="30"/>
        <v>5.1</v>
      </c>
      <c r="X51" s="106">
        <v>7.6000000000000103</v>
      </c>
      <c r="Y51" s="18" t="str">
        <f t="shared" si="31"/>
        <v>7.6</v>
      </c>
      <c r="Z51" s="8"/>
      <c r="AA51" s="106">
        <v>2.6</v>
      </c>
      <c r="AB51" s="18" t="str">
        <f t="shared" si="32"/>
        <v>2.6</v>
      </c>
      <c r="AD51" s="54">
        <f>MATCH(AF51,AF52:AF66,0)</f>
        <v>3</v>
      </c>
      <c r="AE51" s="54"/>
      <c r="AF51" s="55" t="str">
        <f>AH1</f>
        <v>P_blank3</v>
      </c>
      <c r="AG51" s="55"/>
      <c r="AH51" s="55"/>
      <c r="AI51" s="55"/>
      <c r="AL51" s="54">
        <f>MATCH(AM51,AM52:AM65,0)</f>
        <v>2</v>
      </c>
      <c r="AM51" s="55" t="str">
        <f>AF2</f>
        <v>P_ST_O_D</v>
      </c>
      <c r="AY51" s="182">
        <v>6.1899999999999997E-2</v>
      </c>
      <c r="AZ51" s="185">
        <v>33</v>
      </c>
      <c r="BA51" s="182">
        <v>6.1899999999999997E-2</v>
      </c>
      <c r="BB51" s="13" cm="1">
        <f t="array" ref="BB51">INDEX(AI102:AM102,$AV$17)</f>
        <v>3.8854705600981565</v>
      </c>
      <c r="BC51" s="13">
        <f t="shared" si="24"/>
        <v>2.7566011716834651</v>
      </c>
      <c r="BD51" s="18" t="s">
        <v>113</v>
      </c>
      <c r="BE51" s="142" t="str">
        <f t="shared" si="28"/>
        <v/>
      </c>
      <c r="BF51" s="82" t="s">
        <v>234</v>
      </c>
      <c r="BG51" s="83" t="str">
        <f t="shared" si="25"/>
        <v>2.8</v>
      </c>
      <c r="BH51" s="142" t="str">
        <f t="shared" si="29"/>
        <v/>
      </c>
      <c r="BI51" s="82" t="s">
        <v>234</v>
      </c>
      <c r="BJ51" s="83" t="str">
        <f t="shared" si="26"/>
        <v>2.8</v>
      </c>
      <c r="BL51" s="354"/>
      <c r="BM51" s="354"/>
      <c r="BN51" s="354"/>
      <c r="BO51" s="354"/>
      <c r="BP51" s="354"/>
      <c r="BQ51" s="354"/>
      <c r="BR51" s="354"/>
      <c r="BS51" s="354"/>
      <c r="BT51" s="354"/>
      <c r="BU51" s="354"/>
      <c r="BV51" s="354"/>
      <c r="BW51" s="354"/>
      <c r="BX51" s="354"/>
      <c r="BY51" s="354"/>
      <c r="BZ51" s="354"/>
      <c r="CA51" s="354"/>
      <c r="CB51" s="354"/>
      <c r="CC51" s="354"/>
      <c r="CD51" s="354"/>
      <c r="CE51" s="354"/>
      <c r="CF51" s="354"/>
      <c r="CG51" s="354"/>
      <c r="CH51" s="354"/>
      <c r="CI51" s="354"/>
      <c r="CJ51" s="354"/>
      <c r="CK51" s="354"/>
      <c r="CL51" s="354"/>
      <c r="CM51" s="354"/>
      <c r="CN51" s="354"/>
      <c r="CO51" s="354"/>
      <c r="CP51" s="355"/>
    </row>
    <row r="52" spans="1:94">
      <c r="A52">
        <v>51</v>
      </c>
      <c r="B52" t="s">
        <v>281</v>
      </c>
      <c r="T52" s="8"/>
      <c r="U52" s="8"/>
      <c r="V52" s="106">
        <v>5</v>
      </c>
      <c r="W52" s="18" t="str">
        <f t="shared" si="30"/>
        <v>5.0</v>
      </c>
      <c r="X52" s="106">
        <v>7.5000000000000098</v>
      </c>
      <c r="Y52" s="18" t="str">
        <f t="shared" si="31"/>
        <v>7.5</v>
      </c>
      <c r="Z52" s="8"/>
      <c r="AA52" s="106">
        <v>2.5</v>
      </c>
      <c r="AB52" s="18" t="str">
        <f t="shared" si="32"/>
        <v>2.5</v>
      </c>
      <c r="AD52" s="7">
        <v>1</v>
      </c>
      <c r="AF52" s="7" t="s">
        <v>272</v>
      </c>
      <c r="AL52" s="7">
        <v>1</v>
      </c>
      <c r="AM52" s="7" t="s">
        <v>951</v>
      </c>
      <c r="AY52" s="182">
        <v>6.1800000000000001E-2</v>
      </c>
      <c r="AZ52" s="185">
        <v>34</v>
      </c>
      <c r="BA52" s="182">
        <v>6.1800000000000001E-2</v>
      </c>
      <c r="BB52" s="13" cm="1">
        <f t="array" ref="BB52">INDEX(AI103:AM103,$AV$17)</f>
        <v>3.7989898871466634</v>
      </c>
      <c r="BC52" s="13">
        <f t="shared" si="24"/>
        <v>2.7566011716834651</v>
      </c>
      <c r="BD52" s="18" t="s">
        <v>118</v>
      </c>
      <c r="BE52" s="142" t="str">
        <f t="shared" si="28"/>
        <v/>
      </c>
      <c r="BF52" s="82" t="s">
        <v>238</v>
      </c>
      <c r="BG52" s="83" t="str">
        <f t="shared" si="25"/>
        <v>2.8</v>
      </c>
      <c r="BH52" s="142" t="str">
        <f t="shared" si="29"/>
        <v/>
      </c>
      <c r="BI52" s="82" t="s">
        <v>238</v>
      </c>
      <c r="BJ52" s="83" t="str">
        <f t="shared" si="26"/>
        <v>2.8</v>
      </c>
      <c r="BL52" s="356"/>
      <c r="BM52" s="356"/>
      <c r="BN52" s="356"/>
      <c r="BO52" s="356"/>
      <c r="BP52" s="356"/>
      <c r="BQ52" s="356"/>
      <c r="BR52" s="356"/>
      <c r="BS52" s="356"/>
      <c r="BT52" s="356"/>
      <c r="BU52" s="356"/>
      <c r="BV52" s="356"/>
      <c r="BW52" s="356"/>
      <c r="BX52" s="356"/>
      <c r="BY52" s="356"/>
      <c r="BZ52" s="356"/>
      <c r="CA52" s="356"/>
      <c r="CB52" s="356"/>
      <c r="CC52" s="356"/>
      <c r="CD52" s="356"/>
      <c r="CE52" s="356"/>
      <c r="CF52" s="356"/>
      <c r="CG52" s="356"/>
      <c r="CH52" s="356"/>
      <c r="CI52" s="356"/>
      <c r="CJ52" s="356"/>
      <c r="CK52" s="356"/>
      <c r="CL52" s="356"/>
      <c r="CM52" s="356"/>
      <c r="CN52" s="356"/>
      <c r="CO52" s="356"/>
      <c r="CP52" s="356"/>
    </row>
    <row r="53" spans="1:94">
      <c r="A53">
        <v>52</v>
      </c>
      <c r="B53" t="s">
        <v>286</v>
      </c>
      <c r="T53" s="8"/>
      <c r="U53" s="8"/>
      <c r="V53" s="106">
        <v>4.9000000000000004</v>
      </c>
      <c r="W53" s="18" t="str">
        <f t="shared" si="30"/>
        <v>4.9</v>
      </c>
      <c r="X53" s="106">
        <v>7.4000000000000101</v>
      </c>
      <c r="Y53" s="18" t="str">
        <f t="shared" si="31"/>
        <v>7.4</v>
      </c>
      <c r="Z53" s="8"/>
      <c r="AA53" s="106">
        <v>2.4</v>
      </c>
      <c r="AB53" s="18" t="str">
        <f t="shared" si="32"/>
        <v>2.4</v>
      </c>
      <c r="AD53" s="7">
        <v>2</v>
      </c>
      <c r="AF53" s="7" t="s">
        <v>278</v>
      </c>
      <c r="AL53" s="7">
        <v>2</v>
      </c>
      <c r="AM53" s="7" t="s">
        <v>952</v>
      </c>
      <c r="AY53" s="182">
        <v>6.1699999999999998E-2</v>
      </c>
      <c r="AZ53" s="185">
        <v>35</v>
      </c>
      <c r="BA53" s="182">
        <v>6.1699999999999998E-2</v>
      </c>
      <c r="BB53" s="13" cm="1">
        <f t="array" ref="BB53">INDEX(AI104:AM104,$AV$17)</f>
        <v>3.7124499752202293</v>
      </c>
      <c r="BC53" s="13">
        <f t="shared" si="24"/>
        <v>2.7566011716834651</v>
      </c>
      <c r="BD53" s="18" t="s">
        <v>122</v>
      </c>
      <c r="BE53" s="142" t="str">
        <f t="shared" si="28"/>
        <v/>
      </c>
      <c r="BF53" s="82" t="s">
        <v>243</v>
      </c>
      <c r="BG53" s="83" t="str">
        <f t="shared" si="25"/>
        <v>2.8</v>
      </c>
      <c r="BH53" s="142" t="str">
        <f t="shared" si="29"/>
        <v/>
      </c>
      <c r="BI53" s="82" t="s">
        <v>243</v>
      </c>
      <c r="BJ53" s="83" t="str">
        <f t="shared" si="26"/>
        <v>2.8</v>
      </c>
      <c r="BL53" s="356"/>
      <c r="BM53" s="357" t="s">
        <v>326</v>
      </c>
      <c r="BN53" s="356"/>
      <c r="BO53" s="356"/>
      <c r="BP53" s="356"/>
      <c r="BQ53" s="356"/>
      <c r="BR53" s="356"/>
      <c r="BS53" s="356"/>
      <c r="BT53" s="356"/>
      <c r="BU53" s="356"/>
      <c r="BV53" s="356"/>
      <c r="BW53" s="356"/>
      <c r="BX53" s="356"/>
      <c r="BY53" s="356"/>
      <c r="BZ53" s="356"/>
      <c r="CA53" s="356"/>
      <c r="CB53" s="356"/>
      <c r="CC53" s="356"/>
      <c r="CD53" s="356"/>
      <c r="CE53" s="356"/>
      <c r="CF53" s="356"/>
      <c r="CG53" s="356"/>
      <c r="CH53" s="356"/>
      <c r="CI53" s="356"/>
      <c r="CJ53" s="356"/>
      <c r="CK53" s="356"/>
      <c r="CL53" s="356"/>
      <c r="CM53" s="356"/>
      <c r="CN53" s="356"/>
      <c r="CO53" s="356"/>
      <c r="CP53" s="356"/>
    </row>
    <row r="54" spans="1:94">
      <c r="A54">
        <v>53</v>
      </c>
      <c r="B54" s="558" t="s">
        <v>291</v>
      </c>
      <c r="T54" s="8"/>
      <c r="U54" s="8"/>
      <c r="V54" s="106">
        <v>4.8</v>
      </c>
      <c r="W54" s="18" t="str">
        <f t="shared" si="30"/>
        <v>4.8</v>
      </c>
      <c r="X54" s="106">
        <v>7.3000000000000096</v>
      </c>
      <c r="Y54" s="18" t="str">
        <f t="shared" si="31"/>
        <v>7.3</v>
      </c>
      <c r="Z54" s="8"/>
      <c r="AA54" s="106">
        <v>2.2999999999999998</v>
      </c>
      <c r="AB54" s="18" t="str">
        <f t="shared" si="32"/>
        <v>2.3</v>
      </c>
      <c r="AD54" s="7">
        <v>3</v>
      </c>
      <c r="AF54" s="7" t="s">
        <v>283</v>
      </c>
      <c r="AL54" s="7">
        <v>3</v>
      </c>
      <c r="AM54" s="7" t="s">
        <v>953</v>
      </c>
      <c r="AY54" s="182">
        <v>6.1600000000000002E-2</v>
      </c>
      <c r="AZ54" s="185">
        <v>36</v>
      </c>
      <c r="BA54" s="182">
        <v>6.1600000000000002E-2</v>
      </c>
      <c r="BB54" s="13" cm="1">
        <f t="array" ref="BB54">INDEX(AI105:AM105,$AV$17)</f>
        <v>3.6258508243188583</v>
      </c>
      <c r="BC54" s="13">
        <f t="shared" si="24"/>
        <v>2.7566011716834651</v>
      </c>
      <c r="BD54" s="18" t="s">
        <v>126</v>
      </c>
      <c r="BE54" s="142" t="str">
        <f t="shared" si="28"/>
        <v/>
      </c>
      <c r="BF54" s="82" t="s">
        <v>247</v>
      </c>
      <c r="BG54" s="83" t="str">
        <f t="shared" si="25"/>
        <v>2.8</v>
      </c>
      <c r="BH54" s="142" t="str">
        <f t="shared" si="29"/>
        <v/>
      </c>
      <c r="BI54" s="82" t="s">
        <v>247</v>
      </c>
      <c r="BJ54" s="83" t="str">
        <f t="shared" si="26"/>
        <v>2.8</v>
      </c>
      <c r="BL54" s="356"/>
      <c r="BM54" s="357" t="s">
        <v>328</v>
      </c>
      <c r="BN54" s="356"/>
      <c r="BO54" s="356"/>
      <c r="BP54" s="356"/>
      <c r="BQ54" s="356"/>
      <c r="BR54" s="356"/>
      <c r="BS54" s="356"/>
      <c r="BT54" s="356"/>
      <c r="BU54" s="356"/>
      <c r="BV54" s="356"/>
      <c r="BW54" s="356"/>
      <c r="BX54" s="356"/>
      <c r="BY54" s="356"/>
      <c r="BZ54" s="356"/>
      <c r="CA54" s="356"/>
      <c r="CB54" s="356"/>
      <c r="CC54" s="356"/>
      <c r="CD54" s="356"/>
      <c r="CE54" s="356"/>
      <c r="CF54" s="356"/>
      <c r="CG54" s="356"/>
      <c r="CH54" s="356"/>
      <c r="CI54" s="356"/>
      <c r="CJ54" s="356"/>
      <c r="CK54" s="356"/>
      <c r="CL54" s="356"/>
      <c r="CM54" s="356"/>
      <c r="CN54" s="356"/>
      <c r="CO54" s="356"/>
      <c r="CP54" s="356"/>
    </row>
    <row r="55" spans="1:94">
      <c r="A55">
        <v>54</v>
      </c>
      <c r="B55" s="558" t="s">
        <v>49</v>
      </c>
      <c r="T55" s="8"/>
      <c r="U55" s="8"/>
      <c r="V55" s="106">
        <v>4.7</v>
      </c>
      <c r="W55" s="18" t="str">
        <f t="shared" si="30"/>
        <v>4.7</v>
      </c>
      <c r="X55" s="106">
        <v>7.2000000000000099</v>
      </c>
      <c r="Y55" s="18" t="str">
        <f t="shared" si="31"/>
        <v>7.2</v>
      </c>
      <c r="Z55" s="8"/>
      <c r="AA55" s="106">
        <v>2.2000000000000002</v>
      </c>
      <c r="AB55" s="18" t="str">
        <f t="shared" si="32"/>
        <v>2.2</v>
      </c>
      <c r="AD55" s="7">
        <v>4</v>
      </c>
      <c r="AF55" s="7" t="s">
        <v>288</v>
      </c>
      <c r="AL55" s="7">
        <v>4</v>
      </c>
      <c r="AY55" s="182">
        <v>6.1499999999999999E-2</v>
      </c>
      <c r="AZ55" s="185">
        <v>37</v>
      </c>
      <c r="BA55" s="182">
        <v>6.1499999999999999E-2</v>
      </c>
      <c r="BB55" s="13" cm="1">
        <f t="array" ref="BB55">INDEX(AI106:AM106,$AV$17)</f>
        <v>3.5391924344425476</v>
      </c>
      <c r="BC55" s="13">
        <f t="shared" si="24"/>
        <v>2.7566011716834651</v>
      </c>
      <c r="BD55" s="18" t="s">
        <v>130</v>
      </c>
      <c r="BE55" s="142" t="str">
        <f t="shared" si="28"/>
        <v/>
      </c>
      <c r="BF55" s="82" t="s">
        <v>253</v>
      </c>
      <c r="BG55" s="83" t="str">
        <f t="shared" si="25"/>
        <v>2.8</v>
      </c>
      <c r="BH55" s="142" t="str">
        <f t="shared" si="29"/>
        <v/>
      </c>
      <c r="BI55" s="82" t="s">
        <v>253</v>
      </c>
      <c r="BJ55" s="83" t="str">
        <f t="shared" si="26"/>
        <v>2.8</v>
      </c>
      <c r="BL55" s="356"/>
      <c r="BM55" s="356"/>
      <c r="BN55" s="356"/>
      <c r="BO55" s="356"/>
      <c r="BP55" s="356"/>
      <c r="BQ55" s="356"/>
      <c r="BR55" s="356"/>
      <c r="BS55" s="356"/>
      <c r="BT55" s="356"/>
      <c r="BU55" s="356"/>
      <c r="BV55" s="356"/>
      <c r="BW55" s="356"/>
      <c r="BX55" s="356"/>
      <c r="BY55" s="356"/>
      <c r="BZ55" s="356"/>
      <c r="CA55" s="356"/>
      <c r="CB55" s="356"/>
      <c r="CC55" s="356"/>
      <c r="CD55" s="356"/>
      <c r="CE55" s="356"/>
      <c r="CF55" s="356"/>
      <c r="CG55" s="356"/>
      <c r="CH55" s="356"/>
      <c r="CI55" s="356"/>
      <c r="CJ55" s="356"/>
      <c r="CK55" s="356"/>
      <c r="CL55" s="356"/>
      <c r="CM55" s="356"/>
      <c r="CN55" s="356"/>
      <c r="CO55" s="356"/>
      <c r="CP55" s="356"/>
    </row>
    <row r="56" spans="1:94">
      <c r="A56">
        <v>55</v>
      </c>
      <c r="B56" s="558" t="s">
        <v>63</v>
      </c>
      <c r="T56" s="8"/>
      <c r="U56" s="8"/>
      <c r="V56" s="106">
        <v>4.5999999999999996</v>
      </c>
      <c r="W56" s="18" t="str">
        <f t="shared" si="30"/>
        <v>4.6</v>
      </c>
      <c r="X56" s="106">
        <v>7.1</v>
      </c>
      <c r="Y56" s="18" t="str">
        <f t="shared" si="31"/>
        <v>7.1</v>
      </c>
      <c r="Z56" s="8"/>
      <c r="AA56" s="106">
        <v>2.1</v>
      </c>
      <c r="AB56" s="18" t="str">
        <f t="shared" si="32"/>
        <v>2.1</v>
      </c>
      <c r="AD56" s="7">
        <v>5</v>
      </c>
      <c r="AF56" s="7" t="s">
        <v>293</v>
      </c>
      <c r="AL56" s="7">
        <v>5</v>
      </c>
      <c r="AY56" s="182">
        <v>6.1400000000000003E-2</v>
      </c>
      <c r="AZ56" s="185">
        <v>38</v>
      </c>
      <c r="BA56" s="182">
        <v>6.1400000000000003E-2</v>
      </c>
      <c r="BB56" s="13" cm="1">
        <f t="array" ref="BB56">INDEX(AI107:AM107,$AV$17)</f>
        <v>3.4524748055912955</v>
      </c>
      <c r="BC56" s="13">
        <f t="shared" si="24"/>
        <v>2.7566011716834651</v>
      </c>
      <c r="BD56" s="18" t="s">
        <v>134</v>
      </c>
      <c r="BE56" s="142" t="str">
        <f t="shared" si="28"/>
        <v/>
      </c>
      <c r="BF56" s="82" t="s">
        <v>258</v>
      </c>
      <c r="BG56" s="83" t="str">
        <f t="shared" si="25"/>
        <v>2.8</v>
      </c>
      <c r="BH56" s="142" t="str">
        <f t="shared" si="29"/>
        <v/>
      </c>
      <c r="BI56" s="82" t="s">
        <v>258</v>
      </c>
      <c r="BJ56" s="83" t="str">
        <f t="shared" si="26"/>
        <v>2.8</v>
      </c>
      <c r="BL56" s="356"/>
      <c r="BM56" s="356"/>
      <c r="BN56" s="356"/>
      <c r="BO56" s="356"/>
      <c r="BP56" s="356"/>
      <c r="BQ56" s="356"/>
      <c r="BR56" s="356"/>
      <c r="BS56" s="356"/>
      <c r="BT56" s="356"/>
      <c r="BU56" s="356"/>
      <c r="BV56" s="356"/>
      <c r="BW56" s="356"/>
      <c r="BX56" s="356"/>
      <c r="BY56" s="356"/>
      <c r="BZ56" s="356"/>
      <c r="CA56" s="356"/>
      <c r="CB56" s="356"/>
      <c r="CC56" s="356"/>
      <c r="CD56" s="356"/>
      <c r="CE56" s="356"/>
      <c r="CF56" s="356"/>
      <c r="CG56" s="356"/>
      <c r="CH56" s="356"/>
      <c r="CI56" s="356"/>
      <c r="CJ56" s="356"/>
      <c r="CK56" s="356"/>
      <c r="CL56" s="356"/>
      <c r="CM56" s="356"/>
      <c r="CN56" s="356"/>
      <c r="CO56" s="356"/>
      <c r="CP56" s="356"/>
    </row>
    <row r="57" spans="1:94">
      <c r="A57">
        <v>56</v>
      </c>
      <c r="B57" s="558" t="s">
        <v>73</v>
      </c>
      <c r="T57" s="8"/>
      <c r="U57" s="8"/>
      <c r="V57" s="106">
        <v>4.5000000000000098</v>
      </c>
      <c r="W57" s="18" t="str">
        <f t="shared" si="30"/>
        <v>4.5</v>
      </c>
      <c r="X57" s="106">
        <v>7</v>
      </c>
      <c r="Y57" s="18" t="str">
        <f t="shared" si="31"/>
        <v>7.0</v>
      </c>
      <c r="Z57" s="8"/>
      <c r="AA57" s="106">
        <v>2</v>
      </c>
      <c r="AB57" s="18" t="str">
        <f t="shared" si="32"/>
        <v>2.0</v>
      </c>
      <c r="AD57" s="7">
        <v>6</v>
      </c>
      <c r="AF57" s="7" t="s">
        <v>297</v>
      </c>
      <c r="AL57" s="7">
        <v>6</v>
      </c>
      <c r="AY57" s="182">
        <v>6.13E-2</v>
      </c>
      <c r="AZ57" s="185">
        <v>39</v>
      </c>
      <c r="BA57" s="182">
        <v>6.13E-2</v>
      </c>
      <c r="BB57" s="13" cm="1">
        <f t="array" ref="BB57">INDEX(AI108:AM108,$AV$17)</f>
        <v>3.3656979377651037</v>
      </c>
      <c r="BC57" s="13">
        <f t="shared" si="24"/>
        <v>2.7566011716834651</v>
      </c>
      <c r="BD57" s="18" t="s">
        <v>140</v>
      </c>
      <c r="BE57" s="142" t="str">
        <f t="shared" si="28"/>
        <v/>
      </c>
      <c r="BF57" s="82" t="s">
        <v>263</v>
      </c>
      <c r="BG57" s="83" t="str">
        <f t="shared" si="25"/>
        <v>2.8</v>
      </c>
      <c r="BH57" s="142" t="str">
        <f t="shared" si="29"/>
        <v/>
      </c>
      <c r="BI57" s="82" t="s">
        <v>263</v>
      </c>
      <c r="BJ57" s="83" t="str">
        <f t="shared" si="26"/>
        <v>2.8</v>
      </c>
      <c r="BL57" s="356"/>
      <c r="BM57" s="356"/>
      <c r="BN57" s="356"/>
      <c r="BO57" s="356"/>
      <c r="BP57" s="356"/>
      <c r="BQ57" s="356"/>
      <c r="BR57" s="356"/>
      <c r="BS57" s="356"/>
      <c r="BT57" s="356"/>
      <c r="BU57" s="356"/>
      <c r="BV57" s="356"/>
      <c r="BW57" s="356"/>
      <c r="BX57" s="356"/>
      <c r="BY57" s="356"/>
      <c r="BZ57" s="356"/>
      <c r="CA57" s="356"/>
      <c r="CB57" s="356"/>
      <c r="CC57" s="356"/>
      <c r="CD57" s="356"/>
      <c r="CE57" s="356"/>
      <c r="CF57" s="356"/>
      <c r="CG57" s="356"/>
      <c r="CH57" s="356"/>
      <c r="CI57" s="356"/>
      <c r="CJ57" s="356"/>
      <c r="CK57" s="356"/>
      <c r="CL57" s="356"/>
      <c r="CM57" s="356"/>
      <c r="CN57" s="356"/>
      <c r="CO57" s="356"/>
      <c r="CP57" s="356"/>
    </row>
    <row r="58" spans="1:94">
      <c r="A58">
        <v>57</v>
      </c>
      <c r="B58" s="558" t="s">
        <v>80</v>
      </c>
      <c r="T58" s="8"/>
      <c r="U58" s="8"/>
      <c r="V58" s="106">
        <v>4.4000000000000101</v>
      </c>
      <c r="W58" s="18" t="str">
        <f t="shared" si="30"/>
        <v>4.4</v>
      </c>
      <c r="X58" s="106">
        <v>6.9</v>
      </c>
      <c r="Y58" s="18" t="str">
        <f t="shared" si="31"/>
        <v>6.9</v>
      </c>
      <c r="Z58" s="8"/>
      <c r="AA58" s="106">
        <v>1.9</v>
      </c>
      <c r="AB58" s="18" t="str">
        <f t="shared" si="32"/>
        <v>1.9</v>
      </c>
      <c r="AD58" s="7">
        <v>7</v>
      </c>
      <c r="AF58" s="7" t="s">
        <v>300</v>
      </c>
      <c r="AL58" s="7">
        <v>7</v>
      </c>
      <c r="AY58" s="182">
        <v>6.1199999999999997E-2</v>
      </c>
      <c r="AZ58" s="185">
        <v>40</v>
      </c>
      <c r="BA58" s="182">
        <v>6.1199999999999997E-2</v>
      </c>
      <c r="BB58" s="13" cm="1">
        <f t="array" ref="BB58">INDEX(AI109:AM109,$AV$17)</f>
        <v>3.2788618309639759</v>
      </c>
      <c r="BC58" s="13">
        <f t="shared" si="24"/>
        <v>2.7566011716834651</v>
      </c>
      <c r="BD58" s="18" t="s">
        <v>145</v>
      </c>
      <c r="BE58" s="142" t="str">
        <f t="shared" si="28"/>
        <v/>
      </c>
      <c r="BF58" s="82" t="s">
        <v>269</v>
      </c>
      <c r="BG58" s="83" t="str">
        <f t="shared" si="25"/>
        <v>2.8</v>
      </c>
      <c r="BH58" s="142" t="str">
        <f t="shared" si="29"/>
        <v/>
      </c>
      <c r="BI58" s="82" t="s">
        <v>269</v>
      </c>
      <c r="BJ58" s="83" t="str">
        <f t="shared" si="26"/>
        <v>2.8</v>
      </c>
      <c r="BL58" s="356"/>
      <c r="BM58" s="356"/>
      <c r="BN58" s="356"/>
      <c r="BO58" s="356"/>
      <c r="BP58" s="356"/>
      <c r="BQ58" s="356"/>
      <c r="BR58" s="356"/>
      <c r="BS58" s="356"/>
      <c r="BT58" s="356"/>
      <c r="BU58" s="356"/>
      <c r="BV58" s="356"/>
      <c r="BW58" s="356"/>
      <c r="BX58" s="356"/>
      <c r="BY58" s="356"/>
      <c r="BZ58" s="356"/>
      <c r="CA58" s="356"/>
      <c r="CB58" s="356"/>
      <c r="CC58" s="356"/>
      <c r="CD58" s="356"/>
      <c r="CE58" s="356"/>
      <c r="CF58" s="356"/>
      <c r="CG58" s="356"/>
      <c r="CH58" s="356"/>
      <c r="CI58" s="356"/>
      <c r="CJ58" s="356"/>
      <c r="CK58" s="356"/>
      <c r="CL58" s="356"/>
      <c r="CM58" s="356"/>
      <c r="CN58" s="356"/>
      <c r="CO58" s="356"/>
      <c r="CP58" s="356"/>
    </row>
    <row r="59" spans="1:94">
      <c r="A59">
        <v>58</v>
      </c>
      <c r="B59" s="558" t="s">
        <v>86</v>
      </c>
      <c r="T59" s="8"/>
      <c r="U59" s="8"/>
      <c r="V59" s="106">
        <v>4.3000000000000096</v>
      </c>
      <c r="W59" s="18" t="str">
        <f t="shared" si="30"/>
        <v>4.3</v>
      </c>
      <c r="X59" s="106">
        <v>6.8</v>
      </c>
      <c r="Y59" s="18" t="str">
        <f t="shared" si="31"/>
        <v>6.8</v>
      </c>
      <c r="Z59" s="8"/>
      <c r="AA59" s="106">
        <v>1.8</v>
      </c>
      <c r="AB59" s="18" t="str">
        <f t="shared" si="32"/>
        <v>1.8</v>
      </c>
      <c r="AD59" s="7">
        <v>8</v>
      </c>
      <c r="AF59" s="7" t="s">
        <v>303</v>
      </c>
      <c r="AL59" s="7">
        <v>8</v>
      </c>
      <c r="AY59" s="182">
        <v>6.1100000000000002E-2</v>
      </c>
      <c r="AZ59" s="185">
        <v>41</v>
      </c>
      <c r="BA59" s="182">
        <v>6.1100000000000002E-2</v>
      </c>
      <c r="BB59" s="13" cm="1">
        <f t="array" ref="BB59">INDEX(AI110:AM110,$AV$17)</f>
        <v>3.1919664851879039</v>
      </c>
      <c r="BC59" s="13">
        <f t="shared" si="24"/>
        <v>2.7566011716834651</v>
      </c>
      <c r="BD59" s="18" t="s">
        <v>151</v>
      </c>
      <c r="BE59" s="142" t="str">
        <f t="shared" si="28"/>
        <v/>
      </c>
      <c r="BF59" s="82" t="s">
        <v>275</v>
      </c>
      <c r="BG59" s="83" t="str">
        <f t="shared" si="25"/>
        <v>2.8</v>
      </c>
      <c r="BH59" s="142" t="str">
        <f t="shared" si="29"/>
        <v/>
      </c>
      <c r="BI59" s="82" t="s">
        <v>275</v>
      </c>
      <c r="BJ59" s="83" t="str">
        <f t="shared" si="26"/>
        <v>2.8</v>
      </c>
      <c r="BL59" s="356"/>
      <c r="BM59" s="356"/>
      <c r="BN59" s="356"/>
      <c r="BO59" s="356"/>
      <c r="BP59" s="356"/>
      <c r="BQ59" s="356"/>
      <c r="BR59" s="356"/>
      <c r="BS59" s="356"/>
      <c r="BT59" s="356"/>
      <c r="BU59" s="356"/>
      <c r="BV59" s="356"/>
      <c r="BW59" s="356"/>
      <c r="BX59" s="356"/>
      <c r="BY59" s="356"/>
      <c r="BZ59" s="356"/>
      <c r="CA59" s="356"/>
      <c r="CB59" s="356"/>
      <c r="CC59" s="356"/>
      <c r="CD59" s="356"/>
      <c r="CE59" s="356"/>
      <c r="CF59" s="356"/>
      <c r="CG59" s="356"/>
      <c r="CH59" s="356"/>
      <c r="CI59" s="356"/>
      <c r="CJ59" s="356"/>
      <c r="CK59" s="356"/>
      <c r="CL59" s="356"/>
      <c r="CM59" s="356"/>
      <c r="CN59" s="356"/>
      <c r="CO59" s="356"/>
      <c r="CP59" s="356"/>
    </row>
    <row r="60" spans="1:94">
      <c r="A60">
        <v>59</v>
      </c>
      <c r="B60" s="558" t="s">
        <v>93</v>
      </c>
      <c r="T60" s="8"/>
      <c r="U60" s="8"/>
      <c r="V60" s="106">
        <v>4.2000000000000099</v>
      </c>
      <c r="W60" s="18" t="str">
        <f t="shared" si="30"/>
        <v>4.2</v>
      </c>
      <c r="X60" s="106">
        <v>6.7</v>
      </c>
      <c r="Y60" s="18" t="str">
        <f t="shared" si="31"/>
        <v>6.7</v>
      </c>
      <c r="Z60" s="8"/>
      <c r="AA60" s="106">
        <v>1.7</v>
      </c>
      <c r="AB60" s="18" t="str">
        <f t="shared" si="32"/>
        <v>1.7</v>
      </c>
      <c r="AD60" s="7">
        <v>9</v>
      </c>
      <c r="AF60" s="7" t="s">
        <v>305</v>
      </c>
      <c r="AL60" s="7">
        <v>9</v>
      </c>
      <c r="AY60" s="182">
        <v>6.0999999999999999E-2</v>
      </c>
      <c r="AZ60" s="185">
        <v>42</v>
      </c>
      <c r="BA60" s="182">
        <v>6.0999999999999999E-2</v>
      </c>
      <c r="BB60" s="13" cm="1">
        <f t="array" ref="BB60">INDEX(AI111:AM111,$AV$17)</f>
        <v>3.1050119004368963</v>
      </c>
      <c r="BC60" s="13">
        <f t="shared" si="24"/>
        <v>2.7566011716834651</v>
      </c>
      <c r="BD60" s="18" t="s">
        <v>155</v>
      </c>
      <c r="BE60" s="142" t="str">
        <f t="shared" si="28"/>
        <v/>
      </c>
      <c r="BF60" s="82" t="s">
        <v>280</v>
      </c>
      <c r="BG60" s="83" t="str">
        <f t="shared" si="25"/>
        <v>2.8</v>
      </c>
      <c r="BH60" s="142" t="str">
        <f t="shared" si="29"/>
        <v/>
      </c>
      <c r="BI60" s="82" t="s">
        <v>280</v>
      </c>
      <c r="BJ60" s="83" t="str">
        <f t="shared" si="26"/>
        <v>2.8</v>
      </c>
      <c r="BL60" s="356"/>
      <c r="BM60" s="356"/>
      <c r="BN60" s="356"/>
      <c r="BO60" s="356"/>
      <c r="BP60" s="356"/>
      <c r="BQ60" s="356"/>
      <c r="BR60" s="356"/>
      <c r="BS60" s="356"/>
      <c r="BT60" s="356"/>
      <c r="BU60" s="356"/>
      <c r="BV60" s="356"/>
      <c r="BW60" s="356"/>
      <c r="BX60" s="356"/>
      <c r="BY60" s="356"/>
      <c r="BZ60" s="356"/>
      <c r="CA60" s="356"/>
      <c r="CB60" s="356"/>
      <c r="CC60" s="356"/>
      <c r="CD60" s="356"/>
      <c r="CE60" s="356"/>
      <c r="CF60" s="356"/>
      <c r="CG60" s="356"/>
      <c r="CH60" s="356"/>
      <c r="CI60" s="356"/>
      <c r="CJ60" s="356"/>
      <c r="CK60" s="356"/>
      <c r="CL60" s="356"/>
      <c r="CM60" s="356"/>
      <c r="CN60" s="356"/>
      <c r="CO60" s="356"/>
      <c r="CP60" s="356"/>
    </row>
    <row r="61" spans="1:94">
      <c r="A61">
        <v>60</v>
      </c>
      <c r="B61" s="558" t="s">
        <v>99</v>
      </c>
      <c r="T61" s="8"/>
      <c r="U61" s="8"/>
      <c r="V61" s="106">
        <v>4.1000000000000103</v>
      </c>
      <c r="W61" s="18" t="str">
        <f t="shared" si="30"/>
        <v>4.1</v>
      </c>
      <c r="X61" s="106">
        <v>6.6</v>
      </c>
      <c r="Y61" s="18" t="str">
        <f t="shared" si="31"/>
        <v>6.6</v>
      </c>
      <c r="Z61" s="8"/>
      <c r="AA61" s="106">
        <v>1.6</v>
      </c>
      <c r="AB61" s="18" t="str">
        <f t="shared" si="32"/>
        <v>1.6</v>
      </c>
      <c r="AD61" s="7">
        <v>10</v>
      </c>
      <c r="AF61" s="7" t="s">
        <v>307</v>
      </c>
      <c r="AL61" s="7">
        <v>10</v>
      </c>
      <c r="AY61" s="182">
        <v>6.0900000000000003E-2</v>
      </c>
      <c r="AZ61" s="185">
        <v>43</v>
      </c>
      <c r="BA61" s="182">
        <v>6.0900000000000003E-2</v>
      </c>
      <c r="BB61" s="13" cm="1">
        <f t="array" ref="BB61">INDEX(AI112:AM112,$AV$17)</f>
        <v>3.0179980767109482</v>
      </c>
      <c r="BC61" s="13">
        <f t="shared" si="24"/>
        <v>2.7566011716834651</v>
      </c>
      <c r="BD61" s="18" t="s">
        <v>160</v>
      </c>
      <c r="BE61" s="142" t="str">
        <f t="shared" si="28"/>
        <v/>
      </c>
      <c r="BF61" s="82" t="s">
        <v>285</v>
      </c>
      <c r="BG61" s="83" t="str">
        <f t="shared" si="25"/>
        <v>2.8</v>
      </c>
      <c r="BH61" s="142" t="str">
        <f t="shared" si="29"/>
        <v/>
      </c>
      <c r="BI61" s="82" t="s">
        <v>285</v>
      </c>
      <c r="BJ61" s="83" t="str">
        <f t="shared" si="26"/>
        <v>2.8</v>
      </c>
      <c r="BL61" s="356"/>
      <c r="BM61" s="356"/>
      <c r="BN61" s="356"/>
      <c r="BO61" s="356"/>
      <c r="BP61" s="356"/>
      <c r="BQ61" s="356"/>
      <c r="BR61" s="356"/>
      <c r="BS61" s="356"/>
      <c r="BT61" s="356"/>
      <c r="BU61" s="356"/>
      <c r="BV61" s="356"/>
      <c r="BW61" s="356"/>
      <c r="BX61" s="356"/>
      <c r="BY61" s="356"/>
      <c r="BZ61" s="356"/>
      <c r="CA61" s="356"/>
      <c r="CB61" s="356"/>
      <c r="CC61" s="356"/>
      <c r="CD61" s="356"/>
      <c r="CE61" s="356"/>
      <c r="CF61" s="356"/>
      <c r="CG61" s="356"/>
      <c r="CH61" s="356"/>
      <c r="CI61" s="356"/>
      <c r="CJ61" s="356"/>
      <c r="CK61" s="356"/>
      <c r="CL61" s="356"/>
      <c r="CM61" s="356"/>
      <c r="CN61" s="356"/>
      <c r="CO61" s="356"/>
      <c r="CP61" s="356"/>
    </row>
    <row r="62" spans="1:94">
      <c r="A62">
        <v>61</v>
      </c>
      <c r="B62" s="558" t="s">
        <v>106</v>
      </c>
      <c r="T62" s="8"/>
      <c r="U62" s="8"/>
      <c r="V62" s="106">
        <v>4.0000000000000098</v>
      </c>
      <c r="W62" s="18" t="str">
        <f t="shared" si="30"/>
        <v>4.0</v>
      </c>
      <c r="X62" s="106">
        <v>6.5</v>
      </c>
      <c r="Y62" s="18" t="str">
        <f t="shared" si="31"/>
        <v>6.5</v>
      </c>
      <c r="Z62" s="8"/>
      <c r="AA62" s="106">
        <v>1.5</v>
      </c>
      <c r="AB62" s="18" t="str">
        <f t="shared" si="32"/>
        <v>1.5</v>
      </c>
      <c r="AD62" s="7">
        <v>11</v>
      </c>
      <c r="AF62" s="7" t="s">
        <v>309</v>
      </c>
      <c r="AL62" s="7">
        <v>11</v>
      </c>
      <c r="AY62" s="182">
        <v>6.08E-2</v>
      </c>
      <c r="AZ62" s="185">
        <v>44</v>
      </c>
      <c r="BA62" s="182">
        <v>6.08E-2</v>
      </c>
      <c r="BB62" s="13" cm="1">
        <f t="array" ref="BB62">INDEX(AI113:AM113,$AV$17)</f>
        <v>2.9309250140100609</v>
      </c>
      <c r="BC62" s="13">
        <f t="shared" si="24"/>
        <v>2.7566011716834651</v>
      </c>
      <c r="BD62" s="18" t="s">
        <v>164</v>
      </c>
      <c r="BE62" s="142" t="str">
        <f t="shared" si="28"/>
        <v/>
      </c>
      <c r="BF62" s="82" t="s">
        <v>290</v>
      </c>
      <c r="BG62" s="83" t="str">
        <f t="shared" si="25"/>
        <v>2.8</v>
      </c>
      <c r="BH62" s="142" t="str">
        <f t="shared" si="29"/>
        <v/>
      </c>
      <c r="BI62" s="82" t="s">
        <v>290</v>
      </c>
      <c r="BJ62" s="83" t="str">
        <f t="shared" si="26"/>
        <v>2.8</v>
      </c>
      <c r="BL62" s="356"/>
      <c r="BM62" s="356"/>
      <c r="BN62" s="356"/>
      <c r="BO62" s="356"/>
      <c r="BP62" s="356"/>
      <c r="BQ62" s="356"/>
      <c r="BR62" s="356"/>
      <c r="BS62" s="356"/>
      <c r="BT62" s="356"/>
      <c r="BU62" s="356"/>
      <c r="BV62" s="356"/>
      <c r="BW62" s="356"/>
      <c r="BX62" s="356"/>
      <c r="BY62" s="356"/>
      <c r="BZ62" s="356"/>
      <c r="CA62" s="356"/>
      <c r="CB62" s="356"/>
      <c r="CC62" s="356"/>
      <c r="CD62" s="356"/>
      <c r="CE62" s="356"/>
      <c r="CF62" s="356"/>
      <c r="CG62" s="356"/>
      <c r="CH62" s="356"/>
      <c r="CI62" s="356"/>
      <c r="CJ62" s="356"/>
      <c r="CK62" s="356"/>
      <c r="CL62" s="356"/>
      <c r="CM62" s="356"/>
      <c r="CN62" s="356"/>
      <c r="CO62" s="356"/>
      <c r="CP62" s="356"/>
    </row>
    <row r="63" spans="1:94">
      <c r="A63">
        <v>62</v>
      </c>
      <c r="B63" s="558" t="s">
        <v>110</v>
      </c>
      <c r="T63" s="8"/>
      <c r="U63" s="8"/>
      <c r="V63" s="106">
        <v>3.9000000000000101</v>
      </c>
      <c r="W63" s="18" t="str">
        <f t="shared" si="30"/>
        <v>3.9</v>
      </c>
      <c r="X63" s="106">
        <v>6.4</v>
      </c>
      <c r="Y63" s="18" t="str">
        <f t="shared" si="31"/>
        <v>6.4</v>
      </c>
      <c r="Z63" s="8"/>
      <c r="AA63" s="106">
        <v>1.4</v>
      </c>
      <c r="AB63" s="18" t="str">
        <f t="shared" si="32"/>
        <v>1.4</v>
      </c>
      <c r="AD63" s="7">
        <v>12</v>
      </c>
      <c r="AF63" s="7" t="s">
        <v>311</v>
      </c>
      <c r="AL63" s="7">
        <v>12</v>
      </c>
      <c r="AY63" s="182">
        <v>6.0699999999999997E-2</v>
      </c>
      <c r="AZ63" s="185">
        <v>45</v>
      </c>
      <c r="BA63" s="182">
        <v>6.0699999999999997E-2</v>
      </c>
      <c r="BB63" s="13" cm="1">
        <f t="array" ref="BB63">INDEX(AI114:AM114,$AV$17)</f>
        <v>2.8437927123342321</v>
      </c>
      <c r="BC63" s="13">
        <f t="shared" si="24"/>
        <v>2.7566011716834651</v>
      </c>
      <c r="BD63" s="18" t="s">
        <v>170</v>
      </c>
      <c r="BE63" s="142">
        <f t="shared" si="28"/>
        <v>188.5</v>
      </c>
      <c r="BF63" s="82" t="s">
        <v>295</v>
      </c>
      <c r="BG63" s="83" t="str">
        <f t="shared" si="25"/>
        <v>2.8</v>
      </c>
      <c r="BH63" s="142">
        <f t="shared" si="29"/>
        <v>188.5</v>
      </c>
      <c r="BI63" s="82" t="s">
        <v>295</v>
      </c>
      <c r="BJ63" s="83" t="str">
        <f t="shared" si="26"/>
        <v>2.8</v>
      </c>
      <c r="BL63" s="356"/>
      <c r="BM63" s="356"/>
      <c r="BN63" s="356"/>
      <c r="BO63" s="356"/>
      <c r="BP63" s="356"/>
      <c r="BQ63" s="356"/>
      <c r="BR63" s="356"/>
      <c r="BS63" s="356"/>
      <c r="BT63" s="356"/>
      <c r="BU63" s="356"/>
      <c r="BV63" s="356"/>
      <c r="BW63" s="356"/>
      <c r="BX63" s="356"/>
      <c r="BY63" s="356"/>
      <c r="BZ63" s="356"/>
      <c r="CA63" s="356"/>
      <c r="CB63" s="356"/>
      <c r="CC63" s="356"/>
      <c r="CD63" s="356"/>
      <c r="CE63" s="356"/>
      <c r="CF63" s="356"/>
      <c r="CG63" s="356"/>
      <c r="CH63" s="356"/>
      <c r="CI63" s="356"/>
      <c r="CJ63" s="356"/>
      <c r="CK63" s="356"/>
      <c r="CL63" s="356"/>
      <c r="CM63" s="356"/>
      <c r="CN63" s="356"/>
      <c r="CO63" s="356"/>
      <c r="CP63" s="356"/>
    </row>
    <row r="64" spans="1:94">
      <c r="A64">
        <v>63</v>
      </c>
      <c r="B64" s="558" t="s">
        <v>317</v>
      </c>
      <c r="T64" s="8"/>
      <c r="U64" s="8"/>
      <c r="V64" s="106">
        <v>3.80000000000001</v>
      </c>
      <c r="W64" s="18" t="str">
        <f t="shared" si="30"/>
        <v>3.8</v>
      </c>
      <c r="X64" s="106">
        <v>6.3</v>
      </c>
      <c r="Y64" s="18" t="str">
        <f t="shared" si="31"/>
        <v>6.3</v>
      </c>
      <c r="Z64" s="8"/>
      <c r="AA64" s="106">
        <v>1.3</v>
      </c>
      <c r="AB64" s="18" t="str">
        <f t="shared" si="32"/>
        <v>1.3</v>
      </c>
      <c r="AD64" s="7">
        <v>13</v>
      </c>
      <c r="AF64" s="7" t="s">
        <v>313</v>
      </c>
      <c r="AL64" s="7">
        <v>13</v>
      </c>
      <c r="AY64" s="182">
        <v>6.0600000000000001E-2</v>
      </c>
      <c r="AZ64" s="185">
        <v>46</v>
      </c>
      <c r="BA64" s="182">
        <v>6.0600000000000001E-2</v>
      </c>
      <c r="BB64" s="13" cm="1">
        <f t="array" ref="BB64">INDEX(AI115:AM115,$AV$17)</f>
        <v>2.7566011716834651</v>
      </c>
      <c r="BC64" s="13">
        <f t="shared" si="24"/>
        <v>2.7566011716834651</v>
      </c>
      <c r="BD64" s="18" t="s">
        <v>176</v>
      </c>
      <c r="BE64" s="142">
        <f t="shared" si="28"/>
        <v>182</v>
      </c>
      <c r="BF64" s="82" t="s">
        <v>299</v>
      </c>
      <c r="BG64" s="83" t="str">
        <f t="shared" si="25"/>
        <v>2.8</v>
      </c>
      <c r="BH64" s="142">
        <f t="shared" si="29"/>
        <v>182</v>
      </c>
      <c r="BI64" s="82" t="s">
        <v>299</v>
      </c>
      <c r="BJ64" s="83" t="str">
        <f t="shared" si="26"/>
        <v>2.8</v>
      </c>
      <c r="BL64" s="356"/>
      <c r="BM64" s="356"/>
      <c r="BN64" s="356"/>
      <c r="BO64" s="356"/>
      <c r="BP64" s="356"/>
      <c r="BQ64" s="356"/>
      <c r="BR64" s="356"/>
      <c r="BS64" s="356"/>
      <c r="BT64" s="356"/>
      <c r="BU64" s="356"/>
      <c r="BV64" s="356"/>
      <c r="BW64" s="356"/>
      <c r="BX64" s="356"/>
      <c r="BY64" s="356"/>
      <c r="BZ64" s="356"/>
      <c r="CA64" s="356"/>
      <c r="CB64" s="356"/>
      <c r="CC64" s="356"/>
      <c r="CD64" s="356"/>
      <c r="CE64" s="356"/>
      <c r="CF64" s="356"/>
      <c r="CG64" s="356"/>
      <c r="CH64" s="356"/>
      <c r="CI64" s="356"/>
      <c r="CJ64" s="356"/>
      <c r="CK64" s="356"/>
      <c r="CL64" s="356"/>
      <c r="CM64" s="356"/>
      <c r="CN64" s="356"/>
      <c r="CO64" s="356"/>
      <c r="CP64" s="356"/>
    </row>
    <row r="65" spans="1:94">
      <c r="A65">
        <v>64</v>
      </c>
      <c r="B65" s="558" t="s">
        <v>320</v>
      </c>
      <c r="T65" s="8"/>
      <c r="U65" s="8"/>
      <c r="V65" s="106">
        <v>3.7000000000000099</v>
      </c>
      <c r="W65" s="18" t="str">
        <f t="shared" si="30"/>
        <v>3.7</v>
      </c>
      <c r="X65" s="106">
        <v>6.2</v>
      </c>
      <c r="Y65" s="18" t="str">
        <f t="shared" si="31"/>
        <v>6.2</v>
      </c>
      <c r="Z65" s="8"/>
      <c r="AA65" s="106">
        <v>1.2</v>
      </c>
      <c r="AB65" s="18" t="str">
        <f t="shared" si="32"/>
        <v>1.2</v>
      </c>
      <c r="AD65" s="7">
        <v>14</v>
      </c>
      <c r="AF65" s="7" t="s">
        <v>315</v>
      </c>
      <c r="AL65" s="7">
        <v>14</v>
      </c>
      <c r="AY65" s="182">
        <v>6.0499999999999998E-2</v>
      </c>
      <c r="AZ65" s="185">
        <v>47</v>
      </c>
      <c r="BA65" s="182">
        <v>6.0499999999999998E-2</v>
      </c>
      <c r="BB65" s="13" cm="1">
        <f t="array" ref="BB65">INDEX(AI116:AM116,$AV$17)</f>
        <v>2.6693503920577593</v>
      </c>
      <c r="BC65" s="13">
        <f t="shared" si="24"/>
        <v>2.6693503920577593</v>
      </c>
      <c r="BD65" s="18" t="s">
        <v>183</v>
      </c>
      <c r="BE65" s="142">
        <f t="shared" si="28"/>
        <v>175.50000000000003</v>
      </c>
      <c r="BF65" s="82" t="s">
        <v>302</v>
      </c>
      <c r="BG65" s="83" t="str">
        <f t="shared" si="25"/>
        <v>2.7</v>
      </c>
      <c r="BH65" s="142">
        <f t="shared" si="29"/>
        <v>175.50000000000003</v>
      </c>
      <c r="BI65" s="82" t="s">
        <v>302</v>
      </c>
      <c r="BJ65" s="83" t="str">
        <f t="shared" si="26"/>
        <v>2.7</v>
      </c>
      <c r="BL65" s="356"/>
      <c r="BM65" s="356"/>
      <c r="BN65" s="356"/>
      <c r="BO65" s="356"/>
      <c r="BP65" s="356"/>
      <c r="BQ65" s="356"/>
      <c r="BR65" s="356"/>
      <c r="BS65" s="356"/>
      <c r="BT65" s="356"/>
      <c r="BU65" s="356"/>
      <c r="BV65" s="356"/>
      <c r="BW65" s="356"/>
      <c r="BX65" s="356"/>
      <c r="BY65" s="356"/>
      <c r="BZ65" s="356"/>
      <c r="CA65" s="356"/>
      <c r="CB65" s="356"/>
      <c r="CC65" s="356"/>
      <c r="CD65" s="356"/>
      <c r="CE65" s="356"/>
      <c r="CF65" s="356"/>
      <c r="CG65" s="356"/>
      <c r="CH65" s="356"/>
      <c r="CI65" s="356"/>
      <c r="CJ65" s="356"/>
      <c r="CK65" s="356"/>
      <c r="CL65" s="356"/>
      <c r="CM65" s="356"/>
      <c r="CN65" s="356"/>
      <c r="CO65" s="356"/>
      <c r="CP65" s="356"/>
    </row>
    <row r="66" spans="1:94">
      <c r="A66">
        <v>65</v>
      </c>
      <c r="B66" s="558" t="s">
        <v>15</v>
      </c>
      <c r="T66" s="8"/>
      <c r="U66" s="8"/>
      <c r="V66" s="106">
        <v>3.6000000000000099</v>
      </c>
      <c r="W66" s="18" t="str">
        <f t="shared" si="30"/>
        <v>3.6</v>
      </c>
      <c r="X66" s="106">
        <v>6.1</v>
      </c>
      <c r="Y66" s="18" t="str">
        <f t="shared" si="31"/>
        <v>6.1</v>
      </c>
      <c r="Z66" s="8"/>
      <c r="AA66" s="106">
        <v>1.1000000000000001</v>
      </c>
      <c r="AB66" s="18" t="str">
        <f t="shared" si="32"/>
        <v>1.1</v>
      </c>
      <c r="AD66" s="7">
        <v>15</v>
      </c>
      <c r="AF66" s="7" t="s">
        <v>318</v>
      </c>
      <c r="AY66" s="182">
        <v>6.0400000000000002E-2</v>
      </c>
      <c r="AZ66" s="185">
        <v>48</v>
      </c>
      <c r="BA66" s="182">
        <v>6.0400000000000002E-2</v>
      </c>
      <c r="BB66" s="13" cm="1">
        <f t="array" ref="BB66">INDEX(AI117:AM117,$AV$17)</f>
        <v>2.5820403734571125</v>
      </c>
      <c r="BC66" s="13">
        <f t="shared" si="24"/>
        <v>2.5820403734571125</v>
      </c>
      <c r="BD66" s="18" t="s">
        <v>187</v>
      </c>
      <c r="BE66" s="142">
        <f t="shared" si="28"/>
        <v>169</v>
      </c>
      <c r="BF66" s="82" t="s">
        <v>304</v>
      </c>
      <c r="BG66" s="83" t="str">
        <f t="shared" si="25"/>
        <v>2.6</v>
      </c>
      <c r="BH66" s="142">
        <f t="shared" si="29"/>
        <v>169</v>
      </c>
      <c r="BI66" s="82" t="s">
        <v>304</v>
      </c>
      <c r="BJ66" s="83" t="str">
        <f t="shared" si="26"/>
        <v>2.6</v>
      </c>
      <c r="BL66" s="356"/>
      <c r="BM66" s="356"/>
      <c r="BN66" s="356"/>
      <c r="BO66" s="356"/>
      <c r="BP66" s="356"/>
      <c r="BQ66" s="356"/>
      <c r="BR66" s="356"/>
      <c r="BS66" s="356"/>
      <c r="BT66" s="356"/>
      <c r="BU66" s="356"/>
      <c r="BV66" s="356"/>
      <c r="BW66" s="356"/>
      <c r="BX66" s="356"/>
      <c r="BY66" s="356"/>
      <c r="BZ66" s="356"/>
      <c r="CA66" s="356"/>
      <c r="CB66" s="356"/>
      <c r="CC66" s="356"/>
      <c r="CD66" s="356"/>
      <c r="CE66" s="356"/>
      <c r="CF66" s="356"/>
      <c r="CG66" s="356"/>
      <c r="CH66" s="356"/>
      <c r="CI66" s="356"/>
      <c r="CJ66" s="356"/>
      <c r="CK66" s="356"/>
      <c r="CL66" s="356"/>
      <c r="CM66" s="356"/>
      <c r="CN66" s="356"/>
      <c r="CO66" s="356"/>
      <c r="CP66" s="356"/>
    </row>
    <row r="67" spans="1:94">
      <c r="T67" s="8"/>
      <c r="U67" s="8"/>
      <c r="V67" s="106">
        <v>3.5000000000000102</v>
      </c>
      <c r="W67" s="18" t="str">
        <f t="shared" si="30"/>
        <v>3.5</v>
      </c>
      <c r="X67" s="106">
        <v>6</v>
      </c>
      <c r="Y67" s="18" t="str">
        <f t="shared" si="31"/>
        <v>6.0</v>
      </c>
      <c r="Z67" s="8"/>
      <c r="AA67" s="106">
        <v>1</v>
      </c>
      <c r="AB67" s="18" t="str">
        <f t="shared" si="32"/>
        <v>1.0</v>
      </c>
      <c r="AY67" s="182">
        <v>6.0299999999999999E-2</v>
      </c>
      <c r="AZ67" s="185">
        <v>49</v>
      </c>
      <c r="BA67" s="182">
        <v>6.0299999999999999E-2</v>
      </c>
      <c r="BB67" s="13" cm="1">
        <f t="array" ref="BB67">INDEX(AI118:AM118,$AV$17)</f>
        <v>2.494671115881526</v>
      </c>
      <c r="BC67" s="13">
        <f t="shared" si="24"/>
        <v>2.494671115881526</v>
      </c>
      <c r="BD67" s="18" t="s">
        <v>194</v>
      </c>
      <c r="BE67" s="142">
        <f t="shared" si="28"/>
        <v>162.5</v>
      </c>
      <c r="BF67" s="82" t="s">
        <v>306</v>
      </c>
      <c r="BG67" s="83" t="str">
        <f t="shared" si="25"/>
        <v>2.5</v>
      </c>
      <c r="BH67" s="142">
        <f t="shared" si="29"/>
        <v>162.5</v>
      </c>
      <c r="BI67" s="82" t="s">
        <v>306</v>
      </c>
      <c r="BJ67" s="83" t="str">
        <f t="shared" si="26"/>
        <v>2.5</v>
      </c>
      <c r="BL67" s="356"/>
      <c r="BM67" s="356"/>
      <c r="BN67" s="356"/>
      <c r="BO67" s="356"/>
      <c r="BP67" s="356"/>
      <c r="BQ67" s="356"/>
      <c r="BR67" s="356"/>
      <c r="BS67" s="356"/>
      <c r="BT67" s="356"/>
      <c r="BU67" s="356"/>
      <c r="BV67" s="356"/>
      <c r="BW67" s="356"/>
      <c r="BX67" s="356"/>
      <c r="BY67" s="356"/>
      <c r="BZ67" s="356"/>
      <c r="CA67" s="356"/>
      <c r="CB67" s="356"/>
      <c r="CC67" s="356"/>
      <c r="CD67" s="356"/>
      <c r="CE67" s="356"/>
      <c r="CF67" s="356"/>
      <c r="CG67" s="356"/>
      <c r="CH67" s="356"/>
      <c r="CI67" s="356"/>
      <c r="CJ67" s="356"/>
      <c r="CK67" s="356"/>
      <c r="CL67" s="356"/>
      <c r="CM67" s="356"/>
      <c r="CN67" s="356"/>
      <c r="CO67" s="356"/>
      <c r="CP67" s="356"/>
    </row>
    <row r="68" spans="1:94">
      <c r="T68" s="8"/>
      <c r="U68" s="8"/>
      <c r="V68" s="8"/>
      <c r="W68" s="8"/>
      <c r="X68" s="8"/>
      <c r="Y68" s="8"/>
      <c r="Z68" s="8"/>
      <c r="AA68" s="8"/>
      <c r="AB68" s="106"/>
      <c r="AC68" s="18"/>
      <c r="AY68" s="182">
        <v>6.0199999999999997E-2</v>
      </c>
      <c r="AZ68" s="185">
        <v>50</v>
      </c>
      <c r="BA68" s="182">
        <v>6.0199999999999997E-2</v>
      </c>
      <c r="BB68" s="13" cm="1">
        <f t="array" ref="BB68">INDEX(AI119:AM119,$AV$17)</f>
        <v>2.4072426193310026</v>
      </c>
      <c r="BC68" s="13">
        <f t="shared" si="24"/>
        <v>2.4072426193310026</v>
      </c>
      <c r="BD68" s="18" t="s">
        <v>200</v>
      </c>
      <c r="BE68" s="142">
        <f t="shared" si="28"/>
        <v>156</v>
      </c>
      <c r="BF68" s="82" t="s">
        <v>308</v>
      </c>
      <c r="BG68" s="83" t="str">
        <f t="shared" si="25"/>
        <v>2.4</v>
      </c>
      <c r="BH68" s="142">
        <f t="shared" si="29"/>
        <v>156</v>
      </c>
      <c r="BI68" s="82" t="s">
        <v>308</v>
      </c>
      <c r="BJ68" s="83" t="str">
        <f t="shared" si="26"/>
        <v>2.4</v>
      </c>
      <c r="BL68" s="356"/>
      <c r="BM68" s="356"/>
      <c r="BN68" s="356"/>
      <c r="BO68" s="356"/>
      <c r="BP68" s="356"/>
      <c r="BQ68" s="356"/>
      <c r="BR68" s="356"/>
      <c r="BS68" s="356"/>
      <c r="BT68" s="356"/>
      <c r="BU68" s="356"/>
      <c r="BV68" s="356"/>
      <c r="BW68" s="356"/>
      <c r="BX68" s="356"/>
      <c r="BY68" s="356"/>
      <c r="BZ68" s="356"/>
      <c r="CA68" s="356"/>
      <c r="CB68" s="356"/>
      <c r="CC68" s="356"/>
      <c r="CD68" s="356"/>
      <c r="CE68" s="356"/>
      <c r="CF68" s="356"/>
      <c r="CG68" s="356"/>
      <c r="CH68" s="356"/>
      <c r="CI68" s="356"/>
      <c r="CJ68" s="356"/>
      <c r="CK68" s="356"/>
      <c r="CL68" s="356"/>
      <c r="CM68" s="356"/>
      <c r="CN68" s="356"/>
      <c r="CO68" s="356"/>
      <c r="CP68" s="356"/>
    </row>
    <row r="69" spans="1:94">
      <c r="T69" s="64">
        <f>AI69</f>
        <v>400</v>
      </c>
      <c r="U69" s="64">
        <f>AI69</f>
        <v>400</v>
      </c>
      <c r="V69" s="64">
        <f>AI69</f>
        <v>400</v>
      </c>
      <c r="W69" s="64">
        <f>AJ69</f>
        <v>450</v>
      </c>
      <c r="X69" s="64">
        <f>AJ69</f>
        <v>450</v>
      </c>
      <c r="Y69" s="64">
        <f>AJ69</f>
        <v>450</v>
      </c>
      <c r="Z69" s="64">
        <f>AK69</f>
        <v>500</v>
      </c>
      <c r="AA69" s="64">
        <f>AK69</f>
        <v>500</v>
      </c>
      <c r="AB69" s="64">
        <f>AK69</f>
        <v>500</v>
      </c>
      <c r="AC69" s="64">
        <f>AL69</f>
        <v>550</v>
      </c>
      <c r="AD69" s="64">
        <f>AL69</f>
        <v>550</v>
      </c>
      <c r="AE69" s="64">
        <f>AL69</f>
        <v>550</v>
      </c>
      <c r="AF69" s="64">
        <f>AM69</f>
        <v>600</v>
      </c>
      <c r="AG69" s="64">
        <f>AM69</f>
        <v>600</v>
      </c>
      <c r="AH69" s="64">
        <f>AM69</f>
        <v>600</v>
      </c>
      <c r="AI69" s="64">
        <v>400</v>
      </c>
      <c r="AJ69" s="64">
        <v>450</v>
      </c>
      <c r="AK69" s="64">
        <v>500</v>
      </c>
      <c r="AL69" s="64">
        <v>550</v>
      </c>
      <c r="AM69" s="64">
        <v>600</v>
      </c>
      <c r="AY69" s="182">
        <v>6.0100000000000001E-2</v>
      </c>
      <c r="AZ69" s="185">
        <v>51</v>
      </c>
      <c r="BA69" s="182">
        <v>6.0100000000000001E-2</v>
      </c>
      <c r="BB69" s="13" cm="1">
        <f t="array" ref="BB69">INDEX(AI120:AM120,$AV$17)</f>
        <v>2.3197548838055386</v>
      </c>
      <c r="BC69" s="13">
        <f t="shared" si="24"/>
        <v>2.3197548838055386</v>
      </c>
      <c r="BD69" s="18" t="s">
        <v>204</v>
      </c>
      <c r="BE69" s="142">
        <f t="shared" si="28"/>
        <v>149.5</v>
      </c>
      <c r="BF69" s="82" t="s">
        <v>310</v>
      </c>
      <c r="BG69" s="83" t="str">
        <f t="shared" si="25"/>
        <v>2.3</v>
      </c>
      <c r="BH69" s="142">
        <f t="shared" si="29"/>
        <v>149.5</v>
      </c>
      <c r="BI69" s="82" t="s">
        <v>310</v>
      </c>
      <c r="BJ69" s="83" t="str">
        <f t="shared" si="26"/>
        <v>2.3</v>
      </c>
      <c r="BL69" s="356"/>
      <c r="BM69" s="356"/>
      <c r="BN69" s="356"/>
      <c r="BO69" s="356"/>
      <c r="BP69" s="356"/>
      <c r="BQ69" s="356"/>
      <c r="BR69" s="356"/>
      <c r="BS69" s="356"/>
      <c r="BT69" s="356"/>
      <c r="BU69" s="356"/>
      <c r="BV69" s="356"/>
      <c r="BW69" s="356"/>
      <c r="BX69" s="356"/>
      <c r="BY69" s="356"/>
      <c r="BZ69" s="356"/>
      <c r="CA69" s="356"/>
      <c r="CB69" s="356"/>
      <c r="CC69" s="356"/>
      <c r="CD69" s="356"/>
      <c r="CE69" s="356"/>
      <c r="CF69" s="356"/>
      <c r="CG69" s="356"/>
      <c r="CH69" s="356"/>
      <c r="CI69" s="356"/>
      <c r="CJ69" s="356"/>
      <c r="CK69" s="356"/>
      <c r="CL69" s="356"/>
      <c r="CM69" s="356"/>
      <c r="CN69" s="356"/>
      <c r="CO69" s="356"/>
      <c r="CP69" s="356"/>
    </row>
    <row r="70" spans="1:94">
      <c r="T70" s="7">
        <v>0.05</v>
      </c>
      <c r="U70" s="7">
        <v>0.04</v>
      </c>
      <c r="V70" s="7">
        <v>3.2000000000000001E-2</v>
      </c>
      <c r="W70" s="7">
        <v>0.05</v>
      </c>
      <c r="X70" s="7">
        <v>0.04</v>
      </c>
      <c r="Y70" s="7">
        <v>3.2000000000000001E-2</v>
      </c>
      <c r="Z70" s="7">
        <v>0.05</v>
      </c>
      <c r="AA70" s="7">
        <v>0.04</v>
      </c>
      <c r="AB70" s="7">
        <v>3.2000000000000001E-2</v>
      </c>
      <c r="AC70" s="7">
        <v>0.05</v>
      </c>
      <c r="AD70" s="7">
        <v>0.04</v>
      </c>
      <c r="AE70" s="7">
        <v>3.2000000000000001E-2</v>
      </c>
      <c r="AF70" s="7">
        <v>0.05</v>
      </c>
      <c r="AG70" s="7">
        <v>0.04</v>
      </c>
      <c r="AH70" s="7">
        <v>3.2000000000000001E-2</v>
      </c>
      <c r="AI70" s="7">
        <f>$BA$18</f>
        <v>6.5000000000000002E-2</v>
      </c>
      <c r="AJ70" s="7">
        <f>$BA$18</f>
        <v>6.5000000000000002E-2</v>
      </c>
      <c r="AK70" s="7">
        <f>$BA$18</f>
        <v>6.5000000000000002E-2</v>
      </c>
      <c r="AL70" s="7">
        <f>$BA$18</f>
        <v>6.5000000000000002E-2</v>
      </c>
      <c r="AM70" s="7">
        <f>$BA$18</f>
        <v>6.5000000000000002E-2</v>
      </c>
      <c r="AY70" s="182">
        <v>0.06</v>
      </c>
      <c r="AZ70" s="185">
        <v>52</v>
      </c>
      <c r="BA70" s="182">
        <v>0.06</v>
      </c>
      <c r="BB70" s="13" cm="1">
        <f t="array" ref="BB70">INDEX(AI121:AM121,$AV$17)</f>
        <v>2.2322079093051341</v>
      </c>
      <c r="BC70" s="13">
        <f t="shared" si="24"/>
        <v>2.2322079093051341</v>
      </c>
      <c r="BD70" s="18" t="s">
        <v>208</v>
      </c>
      <c r="BE70" s="142">
        <f t="shared" si="28"/>
        <v>143.00000000000003</v>
      </c>
      <c r="BF70" s="82" t="s">
        <v>312</v>
      </c>
      <c r="BG70" s="83" t="str">
        <f t="shared" si="25"/>
        <v>2.2</v>
      </c>
      <c r="BH70" s="142">
        <f t="shared" si="29"/>
        <v>143.00000000000003</v>
      </c>
      <c r="BI70" s="82" t="s">
        <v>312</v>
      </c>
      <c r="BJ70" s="83" t="str">
        <f t="shared" si="26"/>
        <v>2.2</v>
      </c>
      <c r="BL70" s="356"/>
      <c r="BM70" s="356"/>
      <c r="BN70" s="356"/>
      <c r="BO70" s="356"/>
      <c r="BP70" s="356"/>
      <c r="BQ70" s="356"/>
      <c r="BR70" s="356"/>
      <c r="BS70" s="356"/>
      <c r="BT70" s="356"/>
      <c r="BU70" s="356"/>
      <c r="BV70" s="356"/>
      <c r="BW70" s="356"/>
      <c r="BX70" s="356"/>
      <c r="BY70" s="356"/>
      <c r="BZ70" s="356"/>
      <c r="CA70" s="356"/>
      <c r="CB70" s="356"/>
      <c r="CC70" s="356"/>
      <c r="CD70" s="356"/>
      <c r="CE70" s="356"/>
      <c r="CF70" s="356"/>
      <c r="CG70" s="356"/>
      <c r="CH70" s="356"/>
      <c r="CI70" s="356"/>
      <c r="CJ70" s="356"/>
      <c r="CK70" s="356"/>
      <c r="CL70" s="356"/>
      <c r="CM70" s="356"/>
      <c r="CN70" s="356"/>
      <c r="CO70" s="356"/>
      <c r="CP70" s="356"/>
    </row>
    <row r="71" spans="1:94">
      <c r="T71" s="106">
        <f t="shared" ref="T71:T133" si="33">($AG$5*(T$69/1000)^2+$AG$6*T$69/1000+$AG$7)*$BD20^2+($AG$8*(T$69/1000)^2+$AG$9*T$69/1000+$AG$10)*$BD20+($AG$11*(T$69/1000)^2+$AG$12*T$69/1000+$AG$13)</f>
        <v>6.2762448626620184</v>
      </c>
      <c r="U71" s="106">
        <f t="shared" ref="U71:U133" si="34">($AH$5*(U$69/1000)^2+$AH$6*U$69/1000+$AH$7)*$BD20^2+($AH$8*(U$69/1000)^2+$AH$9*U$69/1000+$AH$10)*$BD20+($AH$11*(U$69/1000)^2+$AH$12*U$69/1000+$AH$13)</f>
        <v>6.4205881269841285</v>
      </c>
      <c r="V71" s="106">
        <f t="shared" ref="V71:V133" si="35">($AI$5*(V$69/1000)^2+$AI$6*V$69/1000+$AI$7)*$BD20^2+($AI$8*(V$69/1000)^2+$AI$9*V$69/1000+$AI$10)*$BD20+($AI$11*(V$69/1000)^2+$AI$12*V$69/1000+$AI$13)</f>
        <v>6.5074578736497362</v>
      </c>
      <c r="W71" s="106">
        <f t="shared" ref="W71:W133" si="36">($AG$5*(W$69/1000)^2+$AG$6*W$69/1000+$AG$7)*$BD20^2+($AG$8*(W$69/1000)^2+$AG$9*W$69/1000+$AG$10)*$BD20+($AG$11*(W$69/1000)^2+$AG$12*W$69/1000+$AG$13)</f>
        <v>6.4093613043403144</v>
      </c>
      <c r="X71" s="106">
        <f t="shared" ref="X71:X133" si="37">($AH$5*(X$69/1000)^2+$AH$6*X$69/1000+$AH$7)*$BD20^2+($AH$8*(X$69/1000)^2+$AH$9*X$69/1000+$AH$10)*$BD20+($AH$11*(X$69/1000)^2+$AH$12*X$69/1000+$AH$13)</f>
        <v>6.5405706031746025</v>
      </c>
      <c r="Y71" s="106">
        <f t="shared" ref="Y71:Y133" si="38">($AI$5*(Y$69/1000)^2+$AI$6*Y$69/1000+$AI$7)*$BD20^2+($AI$8*(Y$69/1000)^2+$AI$9*Y$69/1000+$AI$10)*$BD20+($AI$11*(Y$69/1000)^2+$AI$12*Y$69/1000+$AI$13)</f>
        <v>6.6124553812824729</v>
      </c>
      <c r="Z71" s="106">
        <f t="shared" ref="Z71:Z133" si="39">($AG$5*(Z$69/1000)^2+$AG$6*Z$69/1000+$AG$7)*$BD20^2+($AG$8*(Z$69/1000)^2+$AG$9*Z$69/1000+$AG$10)*$BD20+($AG$11*(Z$69/1000)^2+$AG$12*Z$69/1000+$AG$13)</f>
        <v>6.5216781798227856</v>
      </c>
      <c r="AA71" s="106">
        <f t="shared" ref="AA71:AA133" si="40">($AH$5*(AA$69/1000)^2+$AH$6*AA$69/1000+$AH$7)*$BD20^2+($AH$8*(AA$69/1000)^2+$AH$9*AA$69/1000+$AH$10)*$BD20+($AH$11*(AA$69/1000)^2+$AH$12*AA$69/1000+$AH$13)</f>
        <v>6.6407772063492052</v>
      </c>
      <c r="AB71" s="106">
        <f t="shared" ref="AB71:AB133" si="41">($AI$5*(AB$69/1000)^2+$AI$6*AB$69/1000+$AI$7)*$BD20^2+($AI$8*(AB$69/1000)^2+$AI$9*AB$69/1000+$AI$10)*$BD20+($AI$11*(AB$69/1000)^2+$AI$12*AB$69/1000+$AI$13)</f>
        <v>6.7041505919220521</v>
      </c>
      <c r="AC71" s="106">
        <f t="shared" ref="AC71:AC133" si="42">($AG$5*(AC$69/1000)^2+$AG$6*AC$69/1000+$AG$7)*$BD20^2+($AG$8*(AC$69/1000)^2+$AG$9*AC$69/1000+$AG$10)*$BD20+($AG$11*(AC$69/1000)^2+$AG$12*AC$69/1000+$AG$13)</f>
        <v>6.6131954891094331</v>
      </c>
      <c r="AD71" s="106">
        <f t="shared" ref="AD71:AD133" si="43">($AH$5*(AD$69/1000)^2+$AH$6*AD$69/1000+$AH$7)*$BD20^2+($AH$8*(AD$69/1000)^2+$AH$9*AD$69/1000+$AH$10)*$BD20+($AH$11*(AD$69/1000)^2+$AH$12*AD$69/1000+$AH$13)</f>
        <v>6.7212079365079367</v>
      </c>
      <c r="AE71" s="106">
        <f t="shared" ref="AE71:AE133" si="44">($AI$5*(AE$69/1000)^2+$AI$6*AE$69/1000+$AI$7)*$BD20^2+($AI$8*(AE$69/1000)^2+$AI$9*AE$69/1000+$AI$10)*$BD20+($AI$11*(AE$69/1000)^2+$AI$12*AE$69/1000+$AI$13)</f>
        <v>6.7825435055684773</v>
      </c>
      <c r="AF71" s="106">
        <f t="shared" ref="AF71:AF133" si="45">($AG$5*(AF$69/1000)^2+$AG$6*AF$69/1000+$AG$7)*$BD20^2+($AG$8*(AF$69/1000)^2+$AG$9*AF$69/1000+$AG$10)*$BD20+($AG$11*(AF$69/1000)^2+$AG$12*AF$69/1000+$AG$13)</f>
        <v>6.683913232200255</v>
      </c>
      <c r="AG71" s="106">
        <f t="shared" ref="AG71:AG133" si="46">($AH$5*(AG$69/1000)^2+$AH$6*AG$69/1000+$AH$7)*$BD20^2+($AH$8*(AG$69/1000)^2+$AH$9*AG$69/1000+$AH$10)*$BD20+($AH$11*(AG$69/1000)^2+$AH$12*AG$69/1000+$AH$13)</f>
        <v>6.7818627936507943</v>
      </c>
      <c r="AH71" s="106">
        <f t="shared" ref="AH71:AH133" si="47">($AI$5*(AH$69/1000)^2+$AI$6*AH$69/1000+$AI$7)*$BD20^2+($AI$8*(AH$69/1000)^2+$AI$9*AH$69/1000+$AI$10)*$BD20+($AI$11*(AH$69/1000)^2+$AI$12*AH$69/1000+$AI$13)</f>
        <v>6.8476341222217476</v>
      </c>
      <c r="AI71" s="106">
        <f t="shared" ref="AI71:AI133" si="48">IF(AI$70&gt;=0.04,U71+(AI$70-0.04)/0.01*(T71-U71),U71+(AI$70-0.04)/0.008*(U71-V71))</f>
        <v>6.0597299661788533</v>
      </c>
      <c r="AJ71" s="106">
        <f t="shared" ref="AJ71:AJ133" si="49">IF(AJ$70&gt;=0.04,X71+(AJ$70-0.04)/0.01*(W71-X71),X71+(AJ$70-0.04)/0.008*(X71-Y71))</f>
        <v>6.2125473560888818</v>
      </c>
      <c r="AK71" s="106">
        <f t="shared" ref="AK71:AK133" si="50">IF(AK$70&gt;=0.04,AA71+(AK$70-0.04)/0.01*(Z71-AA71),AA71+(AK$70-0.04)/0.008*(AA71-AB71))</f>
        <v>6.3430296400331567</v>
      </c>
      <c r="AL71" s="106">
        <f t="shared" ref="AL71:AL133" si="51">IF(AL$70&gt;=0.04,AD71+(AL$70-0.04)/0.01*(AC71-AD71),AD71+(AL$70-0.04)/0.008*(AD71-AE71))</f>
        <v>6.4511768180116782</v>
      </c>
      <c r="AM71" s="106">
        <f t="shared" ref="AM71:AM133" si="52">IF(AM$70&gt;=0.04,AG71+(AM$70-0.04)/0.01*(AF71-AG71),AG71+(AM$70-0.04)/0.008*(AG71-AH71))</f>
        <v>6.5369888900244462</v>
      </c>
      <c r="AY71" s="182">
        <v>5.9900000000000002E-2</v>
      </c>
      <c r="AZ71" s="185">
        <v>53</v>
      </c>
      <c r="BA71" s="182">
        <v>5.9900000000000002E-2</v>
      </c>
      <c r="BB71" s="13" cm="1">
        <f t="array" ref="BB71">INDEX(AI122:AM122,$AV$17)</f>
        <v>2.1446016958297909</v>
      </c>
      <c r="BC71" s="13">
        <f t="shared" si="24"/>
        <v>2.1446016958297909</v>
      </c>
      <c r="BD71" s="18" t="s">
        <v>215</v>
      </c>
      <c r="BE71" s="142">
        <f t="shared" si="28"/>
        <v>136.5</v>
      </c>
      <c r="BF71" s="82" t="s">
        <v>314</v>
      </c>
      <c r="BG71" s="83" t="str">
        <f t="shared" si="25"/>
        <v>2.1</v>
      </c>
      <c r="BH71" s="142">
        <f t="shared" si="29"/>
        <v>136.5</v>
      </c>
      <c r="BI71" s="82" t="s">
        <v>314</v>
      </c>
      <c r="BJ71" s="83" t="str">
        <f t="shared" si="26"/>
        <v>2.1</v>
      </c>
      <c r="BL71" s="356"/>
      <c r="BM71" s="356"/>
      <c r="BN71" s="356"/>
      <c r="BO71" s="356"/>
      <c r="BP71" s="356"/>
      <c r="BQ71" s="356"/>
      <c r="BR71" s="356"/>
      <c r="BS71" s="356"/>
      <c r="BT71" s="356"/>
      <c r="BU71" s="356"/>
      <c r="BV71" s="356"/>
      <c r="BW71" s="356"/>
      <c r="BX71" s="356"/>
      <c r="BY71" s="356"/>
      <c r="BZ71" s="356"/>
      <c r="CA71" s="356"/>
      <c r="CB71" s="356"/>
      <c r="CC71" s="356"/>
      <c r="CD71" s="356"/>
      <c r="CE71" s="356"/>
      <c r="CF71" s="356"/>
      <c r="CG71" s="356"/>
      <c r="CH71" s="356"/>
      <c r="CI71" s="356"/>
      <c r="CJ71" s="356"/>
      <c r="CK71" s="356"/>
      <c r="CL71" s="356"/>
      <c r="CM71" s="356"/>
      <c r="CN71" s="356"/>
      <c r="CO71" s="356"/>
      <c r="CP71" s="356"/>
    </row>
    <row r="72" spans="1:94">
      <c r="T72" s="106">
        <f t="shared" si="33"/>
        <v>6.198557578607117</v>
      </c>
      <c r="U72" s="106">
        <f t="shared" si="34"/>
        <v>6.3423623571428589</v>
      </c>
      <c r="V72" s="106">
        <f t="shared" si="35"/>
        <v>6.4309521877174154</v>
      </c>
      <c r="W72" s="106">
        <f t="shared" si="36"/>
        <v>6.3292648815744599</v>
      </c>
      <c r="X72" s="106">
        <f t="shared" si="37"/>
        <v>6.4599340714285702</v>
      </c>
      <c r="Y72" s="106">
        <f t="shared" si="38"/>
        <v>6.5336279021076002</v>
      </c>
      <c r="Z72" s="106">
        <f t="shared" si="39"/>
        <v>6.4395539968630784</v>
      </c>
      <c r="AA72" s="106">
        <f t="shared" si="40"/>
        <v>6.5581586428571415</v>
      </c>
      <c r="AB72" s="106">
        <f t="shared" si="41"/>
        <v>6.623240039795852</v>
      </c>
      <c r="AC72" s="106">
        <f t="shared" si="42"/>
        <v>6.5294249244729743</v>
      </c>
      <c r="AD72" s="106">
        <f t="shared" si="43"/>
        <v>6.6370360714285708</v>
      </c>
      <c r="AE72" s="106">
        <f t="shared" si="44"/>
        <v>6.6997886007821723</v>
      </c>
      <c r="AF72" s="106">
        <f t="shared" si="45"/>
        <v>6.5988776644041449</v>
      </c>
      <c r="AG72" s="106">
        <f t="shared" si="46"/>
        <v>6.6965663571428573</v>
      </c>
      <c r="AH72" s="106">
        <f t="shared" si="47"/>
        <v>6.7632735850665622</v>
      </c>
      <c r="AI72" s="106">
        <f t="shared" si="48"/>
        <v>5.9828504108035041</v>
      </c>
      <c r="AJ72" s="106">
        <f t="shared" si="49"/>
        <v>6.1332610967932943</v>
      </c>
      <c r="AK72" s="106">
        <f t="shared" si="50"/>
        <v>6.2616470278719838</v>
      </c>
      <c r="AL72" s="106">
        <f t="shared" si="51"/>
        <v>6.3680082040395796</v>
      </c>
      <c r="AM72" s="106">
        <f t="shared" si="52"/>
        <v>6.4523446252960763</v>
      </c>
      <c r="AY72" s="182">
        <v>5.9799999999999999E-2</v>
      </c>
      <c r="AZ72" s="185">
        <v>54</v>
      </c>
      <c r="BA72" s="182">
        <v>5.9799999999999999E-2</v>
      </c>
      <c r="BB72" s="13" cm="1">
        <f t="array" ref="BB72">INDEX(AI123:AM123,$AV$17)</f>
        <v>2.056936243379508</v>
      </c>
      <c r="BC72" s="13">
        <f t="shared" si="24"/>
        <v>2.056936243379508</v>
      </c>
      <c r="BD72" s="18" t="s">
        <v>222</v>
      </c>
      <c r="BE72" s="142">
        <f t="shared" si="28"/>
        <v>130</v>
      </c>
      <c r="BF72" s="82" t="s">
        <v>316</v>
      </c>
      <c r="BG72" s="83" t="str">
        <f t="shared" si="25"/>
        <v>2.0</v>
      </c>
      <c r="BH72" s="142">
        <f t="shared" si="29"/>
        <v>130</v>
      </c>
      <c r="BI72" s="82" t="s">
        <v>316</v>
      </c>
      <c r="BJ72" s="83" t="str">
        <f t="shared" si="26"/>
        <v>2.0</v>
      </c>
      <c r="BL72" s="356"/>
      <c r="BM72" s="356"/>
      <c r="BN72" s="356"/>
      <c r="BO72" s="356"/>
      <c r="BP72" s="356"/>
      <c r="BQ72" s="356"/>
      <c r="BR72" s="356"/>
      <c r="BS72" s="356"/>
      <c r="BT72" s="356"/>
      <c r="BU72" s="356"/>
      <c r="BV72" s="356"/>
      <c r="BW72" s="356"/>
      <c r="BX72" s="356"/>
      <c r="BY72" s="356"/>
      <c r="BZ72" s="356"/>
      <c r="CA72" s="356"/>
      <c r="CB72" s="356"/>
      <c r="CC72" s="356"/>
      <c r="CD72" s="356"/>
      <c r="CE72" s="356"/>
      <c r="CF72" s="356"/>
      <c r="CG72" s="356"/>
      <c r="CH72" s="356"/>
      <c r="CI72" s="356"/>
      <c r="CJ72" s="356"/>
      <c r="CK72" s="356"/>
      <c r="CL72" s="356"/>
      <c r="CM72" s="356"/>
      <c r="CN72" s="356"/>
      <c r="CO72" s="356"/>
      <c r="CP72" s="356"/>
    </row>
    <row r="73" spans="1:94">
      <c r="T73" s="106">
        <f t="shared" si="33"/>
        <v>6.120724517437182</v>
      </c>
      <c r="U73" s="106">
        <f t="shared" si="34"/>
        <v>6.2639494331065775</v>
      </c>
      <c r="V73" s="106">
        <f t="shared" si="35"/>
        <v>6.3541733257543376</v>
      </c>
      <c r="W73" s="106">
        <f t="shared" si="36"/>
        <v>6.2490374101227033</v>
      </c>
      <c r="X73" s="106">
        <f t="shared" si="37"/>
        <v>6.3791314739229019</v>
      </c>
      <c r="Y73" s="106">
        <f t="shared" si="38"/>
        <v>6.4545521479639083</v>
      </c>
      <c r="Z73" s="106">
        <f t="shared" si="39"/>
        <v>6.3573110204809016</v>
      </c>
      <c r="AA73" s="106">
        <f t="shared" si="40"/>
        <v>6.4753905668934237</v>
      </c>
      <c r="AB73" s="106">
        <f t="shared" si="41"/>
        <v>6.5421047395196688</v>
      </c>
      <c r="AC73" s="106">
        <f t="shared" si="42"/>
        <v>6.4455453485117822</v>
      </c>
      <c r="AD73" s="106">
        <f t="shared" si="43"/>
        <v>6.5527267120181403</v>
      </c>
      <c r="AE73" s="106">
        <f t="shared" si="44"/>
        <v>6.6168311004216145</v>
      </c>
      <c r="AF73" s="106">
        <f t="shared" si="45"/>
        <v>6.5137403942153389</v>
      </c>
      <c r="AG73" s="106">
        <f t="shared" si="46"/>
        <v>6.6111399092970533</v>
      </c>
      <c r="AH73" s="106">
        <f t="shared" si="47"/>
        <v>6.6787312306697491</v>
      </c>
      <c r="AI73" s="106">
        <f t="shared" si="48"/>
        <v>5.9058871439330893</v>
      </c>
      <c r="AJ73" s="106">
        <f t="shared" si="49"/>
        <v>6.0538963144224054</v>
      </c>
      <c r="AK73" s="106">
        <f t="shared" si="50"/>
        <v>6.1801917008621183</v>
      </c>
      <c r="AL73" s="106">
        <f t="shared" si="51"/>
        <v>6.284773303252245</v>
      </c>
      <c r="AM73" s="106">
        <f t="shared" si="52"/>
        <v>6.3676411215927669</v>
      </c>
      <c r="AY73" s="182">
        <v>5.9700000000000003E-2</v>
      </c>
      <c r="AZ73" s="185">
        <v>55</v>
      </c>
      <c r="BA73" s="182">
        <v>5.9700000000000003E-2</v>
      </c>
      <c r="BB73" s="13" cm="1">
        <f t="array" ref="BB73">INDEX(AI124:AM124,$AV$17)</f>
        <v>1.9692115519542848</v>
      </c>
      <c r="BC73" s="13">
        <f t="shared" si="24"/>
        <v>1.9692115519542848</v>
      </c>
      <c r="BD73" s="18" t="s">
        <v>228</v>
      </c>
      <c r="BE73" s="142">
        <f t="shared" si="28"/>
        <v>123.5</v>
      </c>
      <c r="BF73" s="82" t="s">
        <v>319</v>
      </c>
      <c r="BG73" s="83" t="str">
        <f t="shared" si="25"/>
        <v>1.9</v>
      </c>
      <c r="BH73" s="142">
        <f t="shared" si="29"/>
        <v>123.5</v>
      </c>
      <c r="BI73" s="82" t="s">
        <v>319</v>
      </c>
      <c r="BJ73" s="83" t="str">
        <f t="shared" si="26"/>
        <v>1.9</v>
      </c>
      <c r="BL73" s="356"/>
      <c r="BM73" s="356"/>
      <c r="BN73" s="356"/>
      <c r="BO73" s="356"/>
      <c r="BP73" s="356"/>
      <c r="BQ73" s="356"/>
      <c r="BR73" s="356"/>
      <c r="BS73" s="356"/>
      <c r="BT73" s="356"/>
      <c r="BU73" s="356"/>
      <c r="BV73" s="356"/>
      <c r="BW73" s="356"/>
      <c r="BX73" s="356"/>
      <c r="BY73" s="356"/>
      <c r="BZ73" s="356"/>
      <c r="CA73" s="356"/>
      <c r="CB73" s="356"/>
      <c r="CC73" s="356"/>
      <c r="CD73" s="356"/>
      <c r="CE73" s="356"/>
      <c r="CF73" s="356"/>
      <c r="CG73" s="356"/>
      <c r="CH73" s="356"/>
      <c r="CI73" s="356"/>
      <c r="CJ73" s="356"/>
      <c r="CK73" s="356"/>
      <c r="CL73" s="356"/>
      <c r="CM73" s="356"/>
      <c r="CN73" s="356"/>
      <c r="CO73" s="356"/>
      <c r="CP73" s="356"/>
    </row>
    <row r="74" spans="1:94">
      <c r="T74" s="106">
        <f t="shared" si="33"/>
        <v>6.0427456791522136</v>
      </c>
      <c r="U74" s="106">
        <f t="shared" si="34"/>
        <v>6.1853493548752851</v>
      </c>
      <c r="V74" s="106">
        <f t="shared" si="35"/>
        <v>6.2771212877605009</v>
      </c>
      <c r="W74" s="106">
        <f t="shared" si="36"/>
        <v>6.168678889985042</v>
      </c>
      <c r="X74" s="106">
        <f t="shared" si="37"/>
        <v>6.2981628106575958</v>
      </c>
      <c r="Y74" s="106">
        <f t="shared" si="38"/>
        <v>6.3752281188513997</v>
      </c>
      <c r="Z74" s="106">
        <f t="shared" si="39"/>
        <v>6.2749492506762552</v>
      </c>
      <c r="AA74" s="106">
        <f t="shared" si="40"/>
        <v>6.3924729784580494</v>
      </c>
      <c r="AB74" s="106">
        <f t="shared" si="41"/>
        <v>6.4607446910934998</v>
      </c>
      <c r="AC74" s="106">
        <f t="shared" si="42"/>
        <v>6.3615567612258541</v>
      </c>
      <c r="AD74" s="106">
        <f t="shared" si="43"/>
        <v>6.4682798582766434</v>
      </c>
      <c r="AE74" s="106">
        <f t="shared" si="44"/>
        <v>6.5336710044868029</v>
      </c>
      <c r="AF74" s="106">
        <f t="shared" si="45"/>
        <v>6.4285014216338361</v>
      </c>
      <c r="AG74" s="106">
        <f t="shared" si="46"/>
        <v>6.5255834501133796</v>
      </c>
      <c r="AH74" s="106">
        <f t="shared" si="47"/>
        <v>6.5940070590313082</v>
      </c>
      <c r="AI74" s="106">
        <f t="shared" si="48"/>
        <v>5.8288401655676063</v>
      </c>
      <c r="AJ74" s="106">
        <f t="shared" si="49"/>
        <v>5.9744530089762113</v>
      </c>
      <c r="AK74" s="106">
        <f t="shared" si="50"/>
        <v>6.0986636590035639</v>
      </c>
      <c r="AL74" s="106">
        <f t="shared" si="51"/>
        <v>6.2014721156496702</v>
      </c>
      <c r="AM74" s="106">
        <f t="shared" si="52"/>
        <v>6.2828783789145213</v>
      </c>
      <c r="AY74" s="182">
        <v>5.96E-2</v>
      </c>
      <c r="AZ74" s="185">
        <v>56</v>
      </c>
      <c r="BA74" s="182">
        <v>5.96E-2</v>
      </c>
      <c r="BB74" s="13" cm="1">
        <f t="array" ref="BB74">INDEX(AI125:AM125,$AV$17)</f>
        <v>1.8814276215541228</v>
      </c>
      <c r="BC74" s="13">
        <f t="shared" si="24"/>
        <v>1.8814276215541228</v>
      </c>
      <c r="BD74" s="18" t="s">
        <v>233</v>
      </c>
      <c r="BE74" s="142">
        <f t="shared" si="28"/>
        <v>117</v>
      </c>
      <c r="BF74" s="82" t="s">
        <v>321</v>
      </c>
      <c r="BG74" s="83" t="str">
        <f t="shared" si="25"/>
        <v>1.8</v>
      </c>
      <c r="BH74" s="142">
        <f t="shared" si="29"/>
        <v>117</v>
      </c>
      <c r="BI74" s="82" t="s">
        <v>321</v>
      </c>
      <c r="BJ74" s="83" t="str">
        <f t="shared" si="26"/>
        <v>1.8</v>
      </c>
      <c r="BL74" s="356"/>
      <c r="BM74" s="356"/>
      <c r="BN74" s="356"/>
      <c r="BO74" s="356"/>
      <c r="BP74" s="356"/>
      <c r="BQ74" s="356"/>
      <c r="BR74" s="356"/>
      <c r="BS74" s="356"/>
      <c r="BT74" s="356"/>
      <c r="BU74" s="356"/>
      <c r="BV74" s="356"/>
      <c r="BW74" s="356"/>
      <c r="BX74" s="356"/>
      <c r="BY74" s="356"/>
      <c r="BZ74" s="356"/>
      <c r="CA74" s="356"/>
      <c r="CB74" s="356"/>
      <c r="CC74" s="356"/>
      <c r="CD74" s="356"/>
      <c r="CE74" s="356"/>
      <c r="CF74" s="356"/>
      <c r="CG74" s="356"/>
      <c r="CH74" s="356"/>
      <c r="CI74" s="356"/>
      <c r="CJ74" s="356"/>
      <c r="CK74" s="356"/>
      <c r="CL74" s="356"/>
      <c r="CM74" s="356"/>
      <c r="CN74" s="356"/>
      <c r="CO74" s="356"/>
      <c r="CP74" s="356"/>
    </row>
    <row r="75" spans="1:94">
      <c r="T75" s="106">
        <f t="shared" si="33"/>
        <v>5.9646210637522099</v>
      </c>
      <c r="U75" s="106">
        <f t="shared" si="34"/>
        <v>6.106562122448981</v>
      </c>
      <c r="V75" s="106">
        <f t="shared" si="35"/>
        <v>6.1997960737359064</v>
      </c>
      <c r="W75" s="106">
        <f t="shared" si="36"/>
        <v>6.0881893211614786</v>
      </c>
      <c r="X75" s="106">
        <f t="shared" si="37"/>
        <v>6.2170280816326526</v>
      </c>
      <c r="Y75" s="106">
        <f t="shared" si="38"/>
        <v>6.2956558147700719</v>
      </c>
      <c r="Z75" s="106">
        <f t="shared" si="39"/>
        <v>6.1924686874491375</v>
      </c>
      <c r="AA75" s="106">
        <f t="shared" si="40"/>
        <v>6.3094058775510202</v>
      </c>
      <c r="AB75" s="106">
        <f t="shared" si="41"/>
        <v>6.3791598945173487</v>
      </c>
      <c r="AC75" s="106">
        <f t="shared" si="42"/>
        <v>6.277459162615191</v>
      </c>
      <c r="AD75" s="106">
        <f t="shared" si="43"/>
        <v>6.3836955102040811</v>
      </c>
      <c r="AE75" s="106">
        <f t="shared" si="44"/>
        <v>6.4503083129777377</v>
      </c>
      <c r="AF75" s="106">
        <f t="shared" si="45"/>
        <v>6.3431607466596356</v>
      </c>
      <c r="AG75" s="106">
        <f t="shared" si="46"/>
        <v>6.439896979591837</v>
      </c>
      <c r="AH75" s="106">
        <f t="shared" si="47"/>
        <v>6.509101070151238</v>
      </c>
      <c r="AI75" s="106">
        <f t="shared" si="48"/>
        <v>5.7517094757070533</v>
      </c>
      <c r="AJ75" s="106">
        <f t="shared" si="49"/>
        <v>5.8949311804547175</v>
      </c>
      <c r="AK75" s="106">
        <f t="shared" si="50"/>
        <v>6.0170629022963134</v>
      </c>
      <c r="AL75" s="106">
        <f t="shared" si="51"/>
        <v>6.1181046412318558</v>
      </c>
      <c r="AM75" s="106">
        <f t="shared" si="52"/>
        <v>6.1980563972613334</v>
      </c>
      <c r="AY75" s="182">
        <v>5.9499999999999997E-2</v>
      </c>
      <c r="AZ75" s="185">
        <v>57</v>
      </c>
      <c r="BA75" s="182">
        <v>5.9499999999999997E-2</v>
      </c>
      <c r="BB75" s="13" cm="1">
        <f t="array" ref="BB75">INDEX(AI126:AM126,$AV$17)</f>
        <v>1.793584452179021</v>
      </c>
      <c r="BC75" s="13">
        <f t="shared" si="24"/>
        <v>1.793584452179021</v>
      </c>
      <c r="BD75" s="18" t="s">
        <v>237</v>
      </c>
      <c r="BE75" s="142">
        <f t="shared" si="28"/>
        <v>110.5</v>
      </c>
      <c r="BF75" s="82" t="s">
        <v>322</v>
      </c>
      <c r="BG75" s="83" t="str">
        <f t="shared" si="25"/>
        <v>1.7</v>
      </c>
      <c r="BH75" s="142">
        <f t="shared" si="29"/>
        <v>110.5</v>
      </c>
      <c r="BI75" s="82" t="s">
        <v>322</v>
      </c>
      <c r="BJ75" s="83" t="str">
        <f t="shared" si="26"/>
        <v>1.7</v>
      </c>
      <c r="BL75" s="356"/>
      <c r="BM75" s="356"/>
      <c r="BN75" s="356"/>
      <c r="BO75" s="356"/>
      <c r="BP75" s="356"/>
      <c r="BQ75" s="356"/>
      <c r="BR75" s="356"/>
      <c r="BS75" s="356"/>
      <c r="BT75" s="356"/>
      <c r="BU75" s="356"/>
      <c r="BV75" s="356"/>
      <c r="BW75" s="356"/>
      <c r="BX75" s="356"/>
      <c r="BY75" s="356"/>
      <c r="BZ75" s="356"/>
      <c r="CA75" s="356"/>
      <c r="CB75" s="356"/>
      <c r="CC75" s="356"/>
      <c r="CD75" s="356"/>
      <c r="CE75" s="356"/>
      <c r="CF75" s="356"/>
      <c r="CG75" s="356"/>
      <c r="CH75" s="356"/>
      <c r="CI75" s="356"/>
      <c r="CJ75" s="356"/>
      <c r="CK75" s="356"/>
      <c r="CL75" s="356"/>
      <c r="CM75" s="356"/>
      <c r="CN75" s="356"/>
      <c r="CO75" s="356"/>
      <c r="CP75" s="356"/>
    </row>
    <row r="76" spans="1:94">
      <c r="T76" s="106">
        <f t="shared" si="33"/>
        <v>5.8863506712371745</v>
      </c>
      <c r="U76" s="106">
        <f t="shared" si="34"/>
        <v>6.0275877358276659</v>
      </c>
      <c r="V76" s="106">
        <f t="shared" si="35"/>
        <v>6.1221976836805547</v>
      </c>
      <c r="W76" s="106">
        <f t="shared" si="36"/>
        <v>6.0075687036520105</v>
      </c>
      <c r="X76" s="106">
        <f t="shared" si="37"/>
        <v>6.1357272868480717</v>
      </c>
      <c r="Y76" s="106">
        <f t="shared" si="38"/>
        <v>6.2158352357199256</v>
      </c>
      <c r="Z76" s="106">
        <f t="shared" si="39"/>
        <v>6.1098693307995493</v>
      </c>
      <c r="AA76" s="106">
        <f t="shared" si="40"/>
        <v>6.2261892641723344</v>
      </c>
      <c r="AB76" s="106">
        <f t="shared" si="41"/>
        <v>6.2973503497912136</v>
      </c>
      <c r="AC76" s="106">
        <f t="shared" si="42"/>
        <v>6.1932525526797937</v>
      </c>
      <c r="AD76" s="106">
        <f t="shared" si="43"/>
        <v>6.2989736678004533</v>
      </c>
      <c r="AE76" s="106">
        <f t="shared" si="44"/>
        <v>6.3667430258944187</v>
      </c>
      <c r="AF76" s="106">
        <f t="shared" si="45"/>
        <v>6.2577183692927401</v>
      </c>
      <c r="AG76" s="106">
        <f t="shared" si="46"/>
        <v>6.3540804977324266</v>
      </c>
      <c r="AH76" s="106">
        <f t="shared" si="47"/>
        <v>6.42401326402954</v>
      </c>
      <c r="AI76" s="106">
        <f t="shared" si="48"/>
        <v>5.6744950743514373</v>
      </c>
      <c r="AJ76" s="106">
        <f t="shared" si="49"/>
        <v>5.8153308288579186</v>
      </c>
      <c r="AK76" s="106">
        <f t="shared" si="50"/>
        <v>5.9353894307403721</v>
      </c>
      <c r="AL76" s="106">
        <f t="shared" si="51"/>
        <v>6.0346708799988047</v>
      </c>
      <c r="AM76" s="106">
        <f t="shared" si="52"/>
        <v>6.1131751766332103</v>
      </c>
      <c r="AY76" s="182">
        <v>5.9400000000000001E-2</v>
      </c>
      <c r="AZ76" s="185">
        <v>58</v>
      </c>
      <c r="BA76" s="182">
        <v>5.9400000000000001E-2</v>
      </c>
      <c r="BB76" s="13" cm="1">
        <f t="array" ref="BB76">INDEX(AI127:AM127,$AV$17)</f>
        <v>1.7056820438289799</v>
      </c>
      <c r="BC76" s="13">
        <f t="shared" si="24"/>
        <v>1.7056820438289799</v>
      </c>
      <c r="BD76" s="18" t="s">
        <v>242</v>
      </c>
      <c r="BE76" s="142">
        <f t="shared" si="28"/>
        <v>104.00000000000001</v>
      </c>
      <c r="BF76" s="82" t="s">
        <v>323</v>
      </c>
      <c r="BG76" s="83" t="str">
        <f t="shared" si="25"/>
        <v>1.6</v>
      </c>
      <c r="BH76" s="142">
        <f t="shared" si="29"/>
        <v>104.00000000000001</v>
      </c>
      <c r="BI76" s="82" t="s">
        <v>323</v>
      </c>
      <c r="BJ76" s="83" t="str">
        <f t="shared" si="26"/>
        <v>1.6</v>
      </c>
      <c r="BL76" s="356"/>
      <c r="BM76" s="356"/>
      <c r="BN76" s="356"/>
      <c r="BO76" s="356"/>
      <c r="BP76" s="356"/>
      <c r="BQ76" s="356"/>
      <c r="BR76" s="356"/>
      <c r="BS76" s="356"/>
      <c r="BT76" s="356"/>
      <c r="BU76" s="356"/>
      <c r="BV76" s="356"/>
      <c r="BW76" s="356"/>
      <c r="BX76" s="356"/>
      <c r="BY76" s="356"/>
      <c r="BZ76" s="356"/>
      <c r="CA76" s="356"/>
      <c r="CB76" s="356"/>
      <c r="CC76" s="356"/>
      <c r="CD76" s="356"/>
      <c r="CE76" s="356"/>
      <c r="CF76" s="356"/>
      <c r="CG76" s="356"/>
      <c r="CH76" s="356"/>
      <c r="CI76" s="356"/>
      <c r="CJ76" s="356"/>
      <c r="CK76" s="356"/>
      <c r="CL76" s="356"/>
      <c r="CM76" s="356"/>
      <c r="CN76" s="356"/>
      <c r="CO76" s="356"/>
      <c r="CP76" s="356"/>
    </row>
    <row r="77" spans="1:94">
      <c r="T77" s="106">
        <f t="shared" si="33"/>
        <v>5.8079345016071038</v>
      </c>
      <c r="U77" s="106">
        <f t="shared" si="34"/>
        <v>5.9484261950113391</v>
      </c>
      <c r="V77" s="106">
        <f t="shared" si="35"/>
        <v>6.0443261175944443</v>
      </c>
      <c r="W77" s="106">
        <f t="shared" si="36"/>
        <v>5.9268170374566393</v>
      </c>
      <c r="X77" s="106">
        <f t="shared" si="37"/>
        <v>6.0542604263038537</v>
      </c>
      <c r="Y77" s="106">
        <f t="shared" si="38"/>
        <v>6.1357663817009591</v>
      </c>
      <c r="Z77" s="106">
        <f t="shared" si="39"/>
        <v>6.0271511807274916</v>
      </c>
      <c r="AA77" s="106">
        <f t="shared" si="40"/>
        <v>6.1428231383219938</v>
      </c>
      <c r="AB77" s="106">
        <f t="shared" si="41"/>
        <v>6.2153160569150927</v>
      </c>
      <c r="AC77" s="106">
        <f t="shared" si="42"/>
        <v>6.1089369314196604</v>
      </c>
      <c r="AD77" s="106">
        <f t="shared" si="43"/>
        <v>6.2141143310657583</v>
      </c>
      <c r="AE77" s="106">
        <f t="shared" si="44"/>
        <v>6.282975143236845</v>
      </c>
      <c r="AF77" s="106">
        <f t="shared" si="45"/>
        <v>6.1721742895331451</v>
      </c>
      <c r="AG77" s="106">
        <f t="shared" si="46"/>
        <v>6.2681340045351481</v>
      </c>
      <c r="AH77" s="106">
        <f t="shared" si="47"/>
        <v>6.3387436406662143</v>
      </c>
      <c r="AI77" s="106">
        <f t="shared" si="48"/>
        <v>5.5971969615007513</v>
      </c>
      <c r="AJ77" s="106">
        <f t="shared" si="49"/>
        <v>5.7356519541858173</v>
      </c>
      <c r="AK77" s="106">
        <f t="shared" si="50"/>
        <v>5.8536432443357382</v>
      </c>
      <c r="AL77" s="106">
        <f t="shared" si="51"/>
        <v>5.9511708319505132</v>
      </c>
      <c r="AM77" s="106">
        <f t="shared" si="52"/>
        <v>6.0282347170301405</v>
      </c>
      <c r="AY77" s="182">
        <v>5.9299999999999999E-2</v>
      </c>
      <c r="AZ77" s="185">
        <v>59</v>
      </c>
      <c r="BA77" s="182">
        <v>5.9299999999999999E-2</v>
      </c>
      <c r="BB77" s="13" cm="1">
        <f t="array" ref="BB77">INDEX(AI128:AM128,$AV$17)</f>
        <v>1.6177203965039997</v>
      </c>
      <c r="BC77" s="13">
        <f t="shared" si="24"/>
        <v>1.6177203965039997</v>
      </c>
      <c r="BD77" s="18" t="s">
        <v>246</v>
      </c>
      <c r="BE77" s="142">
        <f t="shared" si="28"/>
        <v>97.5</v>
      </c>
      <c r="BF77" s="82" t="s">
        <v>324</v>
      </c>
      <c r="BG77" s="83" t="str">
        <f t="shared" si="25"/>
        <v>1.5</v>
      </c>
      <c r="BH77" s="142">
        <f t="shared" si="29"/>
        <v>97.5</v>
      </c>
      <c r="BI77" s="82" t="s">
        <v>324</v>
      </c>
      <c r="BJ77" s="83" t="str">
        <f t="shared" si="26"/>
        <v>1.5</v>
      </c>
      <c r="BL77" s="356"/>
      <c r="BM77" s="356"/>
      <c r="BN77" s="356"/>
      <c r="BO77" s="356"/>
      <c r="BP77" s="356"/>
      <c r="BQ77" s="356"/>
      <c r="BR77" s="356"/>
      <c r="BS77" s="356"/>
      <c r="BT77" s="356"/>
      <c r="BU77" s="356"/>
      <c r="BV77" s="356"/>
      <c r="BW77" s="356"/>
      <c r="BX77" s="356"/>
      <c r="BY77" s="356"/>
      <c r="BZ77" s="356"/>
      <c r="CA77" s="356"/>
      <c r="CB77" s="356"/>
      <c r="CC77" s="356"/>
      <c r="CD77" s="356"/>
      <c r="CE77" s="356"/>
      <c r="CF77" s="356"/>
      <c r="CG77" s="356"/>
      <c r="CH77" s="356"/>
      <c r="CI77" s="356"/>
      <c r="CJ77" s="356"/>
      <c r="CK77" s="356"/>
      <c r="CL77" s="356"/>
      <c r="CM77" s="356"/>
      <c r="CN77" s="356"/>
      <c r="CO77" s="356"/>
      <c r="CP77" s="356"/>
    </row>
    <row r="78" spans="1:94">
      <c r="T78" s="106">
        <f t="shared" si="33"/>
        <v>5.7293725548619978</v>
      </c>
      <c r="U78" s="106">
        <f t="shared" si="34"/>
        <v>5.8690775000000013</v>
      </c>
      <c r="V78" s="106">
        <f t="shared" si="35"/>
        <v>5.9661813754775768</v>
      </c>
      <c r="W78" s="106">
        <f t="shared" si="36"/>
        <v>5.8459343225753653</v>
      </c>
      <c r="X78" s="106">
        <f t="shared" si="37"/>
        <v>5.9726274999999998</v>
      </c>
      <c r="Y78" s="106">
        <f t="shared" si="38"/>
        <v>6.0554492527131769</v>
      </c>
      <c r="Z78" s="106">
        <f t="shared" si="39"/>
        <v>5.9443142372329634</v>
      </c>
      <c r="AA78" s="106">
        <f t="shared" si="40"/>
        <v>6.0593074999999992</v>
      </c>
      <c r="AB78" s="106">
        <f t="shared" si="41"/>
        <v>6.1330570158889905</v>
      </c>
      <c r="AC78" s="106">
        <f t="shared" si="42"/>
        <v>6.0245122988347939</v>
      </c>
      <c r="AD78" s="106">
        <f t="shared" si="43"/>
        <v>6.1291174999999996</v>
      </c>
      <c r="AE78" s="106">
        <f t="shared" si="44"/>
        <v>6.1990046650050177</v>
      </c>
      <c r="AF78" s="106">
        <f t="shared" si="45"/>
        <v>6.086528507380855</v>
      </c>
      <c r="AG78" s="106">
        <f t="shared" si="46"/>
        <v>6.1820575</v>
      </c>
      <c r="AH78" s="106">
        <f t="shared" si="47"/>
        <v>6.2532922000612601</v>
      </c>
      <c r="AI78" s="106">
        <f t="shared" si="48"/>
        <v>5.5198151371549926</v>
      </c>
      <c r="AJ78" s="106">
        <f t="shared" si="49"/>
        <v>5.6558945564384135</v>
      </c>
      <c r="AK78" s="106">
        <f t="shared" si="50"/>
        <v>5.7718243430824092</v>
      </c>
      <c r="AL78" s="106">
        <f t="shared" si="51"/>
        <v>5.8676044970869849</v>
      </c>
      <c r="AM78" s="106">
        <f t="shared" si="52"/>
        <v>5.9432350184521372</v>
      </c>
      <c r="AY78" s="182">
        <v>5.9200000000000003E-2</v>
      </c>
      <c r="AZ78" s="185">
        <v>60</v>
      </c>
      <c r="BA78" s="182">
        <v>5.9200000000000003E-2</v>
      </c>
      <c r="BB78" s="13" cm="1">
        <f t="array" ref="BB78">INDEX(AI129:AM129,$AV$17)</f>
        <v>1.5296995102040789</v>
      </c>
      <c r="BC78" s="13">
        <f t="shared" si="24"/>
        <v>1.5296995102040789</v>
      </c>
      <c r="BD78" s="18" t="s">
        <v>252</v>
      </c>
      <c r="BE78" s="142">
        <f t="shared" si="28"/>
        <v>91</v>
      </c>
      <c r="BF78" s="82" t="s">
        <v>325</v>
      </c>
      <c r="BG78" s="83" t="str">
        <f t="shared" si="25"/>
        <v>1.4</v>
      </c>
      <c r="BH78" s="142">
        <f t="shared" si="29"/>
        <v>91</v>
      </c>
      <c r="BI78" s="82" t="s">
        <v>325</v>
      </c>
      <c r="BJ78" s="83" t="str">
        <f t="shared" si="26"/>
        <v>1.4</v>
      </c>
      <c r="BL78" s="356"/>
      <c r="BM78" s="356"/>
      <c r="BN78" s="356"/>
      <c r="BO78" s="356"/>
      <c r="BP78" s="356"/>
      <c r="BQ78" s="356"/>
      <c r="BR78" s="356"/>
      <c r="BS78" s="356"/>
      <c r="BT78" s="356"/>
      <c r="BU78" s="356"/>
      <c r="BV78" s="356"/>
      <c r="BW78" s="356"/>
      <c r="BX78" s="356"/>
      <c r="BY78" s="356"/>
      <c r="BZ78" s="356"/>
      <c r="CA78" s="356"/>
      <c r="CB78" s="356"/>
      <c r="CC78" s="356"/>
      <c r="CD78" s="356"/>
      <c r="CE78" s="356"/>
      <c r="CF78" s="356"/>
      <c r="CG78" s="356"/>
      <c r="CH78" s="356"/>
      <c r="CI78" s="356"/>
      <c r="CJ78" s="356"/>
      <c r="CK78" s="356"/>
      <c r="CL78" s="356"/>
      <c r="CM78" s="356"/>
      <c r="CN78" s="356"/>
      <c r="CO78" s="356"/>
      <c r="CP78" s="356"/>
    </row>
    <row r="79" spans="1:94">
      <c r="T79" s="106">
        <f t="shared" si="33"/>
        <v>5.6506648310018601</v>
      </c>
      <c r="U79" s="106">
        <f t="shared" si="34"/>
        <v>5.7895416507936526</v>
      </c>
      <c r="V79" s="106">
        <f t="shared" si="35"/>
        <v>5.8877634573299522</v>
      </c>
      <c r="W79" s="106">
        <f t="shared" si="36"/>
        <v>5.7649205590081873</v>
      </c>
      <c r="X79" s="106">
        <f t="shared" si="37"/>
        <v>5.8908285079365079</v>
      </c>
      <c r="Y79" s="106">
        <f t="shared" si="38"/>
        <v>5.9748838487565745</v>
      </c>
      <c r="Z79" s="106">
        <f t="shared" si="39"/>
        <v>5.8613585003159647</v>
      </c>
      <c r="AA79" s="106">
        <f t="shared" si="40"/>
        <v>5.9756423492063488</v>
      </c>
      <c r="AB79" s="106">
        <f t="shared" si="41"/>
        <v>6.0505732267129035</v>
      </c>
      <c r="AC79" s="106">
        <f t="shared" si="42"/>
        <v>5.9399786549251923</v>
      </c>
      <c r="AD79" s="106">
        <f t="shared" si="43"/>
        <v>6.0439831746031745</v>
      </c>
      <c r="AE79" s="106">
        <f t="shared" si="44"/>
        <v>6.1148315911989375</v>
      </c>
      <c r="AF79" s="106">
        <f t="shared" si="45"/>
        <v>6.0007810228358673</v>
      </c>
      <c r="AG79" s="106">
        <f t="shared" si="46"/>
        <v>6.0958509841269848</v>
      </c>
      <c r="AH79" s="106">
        <f t="shared" si="47"/>
        <v>6.1676589422146773</v>
      </c>
      <c r="AI79" s="106">
        <f t="shared" si="48"/>
        <v>5.4423496013141719</v>
      </c>
      <c r="AJ79" s="106">
        <f t="shared" si="49"/>
        <v>5.5760586356157065</v>
      </c>
      <c r="AK79" s="106">
        <f t="shared" si="50"/>
        <v>5.6899327269803885</v>
      </c>
      <c r="AL79" s="106">
        <f t="shared" si="51"/>
        <v>5.783971875408219</v>
      </c>
      <c r="AM79" s="106">
        <f t="shared" si="52"/>
        <v>5.8581760808991916</v>
      </c>
      <c r="AY79" s="182">
        <v>5.91E-2</v>
      </c>
      <c r="AZ79" s="185">
        <v>61</v>
      </c>
      <c r="BA79" s="182">
        <v>5.91E-2</v>
      </c>
      <c r="BB79" s="13" cm="1">
        <f t="array" ref="BB79">INDEX(AI130:AM130,$AV$17)</f>
        <v>1.4416193849292198</v>
      </c>
      <c r="BC79" s="13">
        <f t="shared" si="24"/>
        <v>1.4416193849292198</v>
      </c>
      <c r="BD79" s="18" t="s">
        <v>257</v>
      </c>
      <c r="BE79" s="142">
        <f t="shared" si="28"/>
        <v>84.5</v>
      </c>
      <c r="BF79" s="82" t="s">
        <v>327</v>
      </c>
      <c r="BG79" s="83" t="str">
        <f t="shared" si="25"/>
        <v>1.3</v>
      </c>
      <c r="BH79" s="142">
        <f t="shared" si="29"/>
        <v>84.5</v>
      </c>
      <c r="BI79" s="82" t="s">
        <v>327</v>
      </c>
      <c r="BJ79" s="83" t="str">
        <f t="shared" si="26"/>
        <v>1.3</v>
      </c>
      <c r="BL79" s="356"/>
      <c r="BM79" s="356"/>
      <c r="BN79" s="356"/>
      <c r="BO79" s="356"/>
      <c r="BP79" s="356"/>
      <c r="BQ79" s="356"/>
      <c r="BR79" s="356"/>
      <c r="BS79" s="356"/>
      <c r="BT79" s="356"/>
      <c r="BU79" s="356"/>
      <c r="BV79" s="356"/>
      <c r="BW79" s="356"/>
      <c r="BX79" s="356"/>
      <c r="BY79" s="356"/>
      <c r="BZ79" s="356"/>
      <c r="CA79" s="356"/>
      <c r="CB79" s="356"/>
      <c r="CC79" s="356"/>
      <c r="CD79" s="356"/>
      <c r="CE79" s="356"/>
      <c r="CF79" s="356"/>
      <c r="CG79" s="356"/>
      <c r="CH79" s="356"/>
      <c r="CI79" s="356"/>
      <c r="CJ79" s="356"/>
      <c r="CK79" s="356"/>
      <c r="CL79" s="356"/>
      <c r="CM79" s="356"/>
      <c r="CN79" s="356"/>
      <c r="CO79" s="356"/>
      <c r="CP79" s="356"/>
    </row>
    <row r="80" spans="1:94">
      <c r="T80" s="106">
        <f t="shared" si="33"/>
        <v>5.5718113300266872</v>
      </c>
      <c r="U80" s="106">
        <f t="shared" si="34"/>
        <v>5.7098186473922921</v>
      </c>
      <c r="V80" s="106">
        <f t="shared" si="35"/>
        <v>5.8090723631515671</v>
      </c>
      <c r="W80" s="106">
        <f t="shared" si="36"/>
        <v>5.6837757467551056</v>
      </c>
      <c r="X80" s="106">
        <f t="shared" si="37"/>
        <v>5.8088634501133782</v>
      </c>
      <c r="Y80" s="106">
        <f t="shared" si="38"/>
        <v>5.8940701698311546</v>
      </c>
      <c r="Z80" s="106">
        <f t="shared" si="39"/>
        <v>5.7782839699764947</v>
      </c>
      <c r="AA80" s="106">
        <f t="shared" si="40"/>
        <v>5.8918276859410428</v>
      </c>
      <c r="AB80" s="106">
        <f t="shared" si="41"/>
        <v>5.9678646893868317</v>
      </c>
      <c r="AC80" s="106">
        <f t="shared" si="42"/>
        <v>5.8553359996908547</v>
      </c>
      <c r="AD80" s="106">
        <f t="shared" si="43"/>
        <v>5.9587113548752821</v>
      </c>
      <c r="AE80" s="106">
        <f t="shared" si="44"/>
        <v>6.0304559218186027</v>
      </c>
      <c r="AF80" s="106">
        <f t="shared" si="45"/>
        <v>5.9149318358981828</v>
      </c>
      <c r="AG80" s="106">
        <f t="shared" si="46"/>
        <v>6.0095144569161008</v>
      </c>
      <c r="AH80" s="106">
        <f t="shared" si="47"/>
        <v>6.0818438671264659</v>
      </c>
      <c r="AI80" s="106">
        <f t="shared" si="48"/>
        <v>5.3648003539782803</v>
      </c>
      <c r="AJ80" s="106">
        <f t="shared" si="49"/>
        <v>5.496144191717697</v>
      </c>
      <c r="AK80" s="106">
        <f t="shared" si="50"/>
        <v>5.6079683960296727</v>
      </c>
      <c r="AL80" s="106">
        <f t="shared" si="51"/>
        <v>5.7002729669142136</v>
      </c>
      <c r="AM80" s="106">
        <f t="shared" si="52"/>
        <v>5.7730579043713064</v>
      </c>
      <c r="AY80" s="182">
        <v>5.8999999999999997E-2</v>
      </c>
      <c r="AZ80" s="185">
        <v>62</v>
      </c>
      <c r="BA80" s="182">
        <v>5.8999999999999997E-2</v>
      </c>
      <c r="BB80" s="13" cm="1">
        <f t="array" ref="BB80">INDEX(AI131:AM131,$AV$17)</f>
        <v>1.3534800206794206</v>
      </c>
      <c r="BC80" s="13">
        <f t="shared" si="24"/>
        <v>1.3534800206794206</v>
      </c>
      <c r="BD80" s="18" t="s">
        <v>262</v>
      </c>
      <c r="BE80" s="142">
        <f t="shared" si="28"/>
        <v>78</v>
      </c>
      <c r="BF80" s="82" t="s">
        <v>330</v>
      </c>
      <c r="BG80" s="83" t="str">
        <f t="shared" si="25"/>
        <v>1.2</v>
      </c>
      <c r="BH80" s="142">
        <f t="shared" si="29"/>
        <v>78</v>
      </c>
      <c r="BI80" s="82" t="s">
        <v>330</v>
      </c>
      <c r="BJ80" s="83" t="str">
        <f t="shared" si="26"/>
        <v>1.2</v>
      </c>
      <c r="BL80" s="356"/>
      <c r="BM80" s="356"/>
      <c r="BN80" s="356"/>
      <c r="BO80" s="356"/>
      <c r="BP80" s="356"/>
      <c r="BQ80" s="356"/>
      <c r="BR80" s="356"/>
      <c r="BS80" s="356"/>
      <c r="BT80" s="356"/>
      <c r="BU80" s="356"/>
      <c r="BV80" s="356"/>
      <c r="BW80" s="356"/>
      <c r="BX80" s="356"/>
      <c r="BY80" s="356"/>
      <c r="BZ80" s="356"/>
      <c r="CA80" s="356"/>
      <c r="CB80" s="356"/>
      <c r="CC80" s="356"/>
      <c r="CD80" s="356"/>
      <c r="CE80" s="356"/>
      <c r="CF80" s="356"/>
      <c r="CG80" s="356"/>
      <c r="CH80" s="356"/>
      <c r="CI80" s="356"/>
      <c r="CJ80" s="356"/>
      <c r="CK80" s="356"/>
      <c r="CL80" s="356"/>
      <c r="CM80" s="356"/>
      <c r="CN80" s="356"/>
      <c r="CO80" s="356"/>
      <c r="CP80" s="356"/>
    </row>
    <row r="81" spans="20:94">
      <c r="T81" s="106">
        <f t="shared" si="33"/>
        <v>5.4928120519364807</v>
      </c>
      <c r="U81" s="106">
        <f t="shared" si="34"/>
        <v>5.6299084897959197</v>
      </c>
      <c r="V81" s="106">
        <f t="shared" si="35"/>
        <v>5.7301080929424257</v>
      </c>
      <c r="W81" s="106">
        <f t="shared" si="36"/>
        <v>5.6024998858161217</v>
      </c>
      <c r="X81" s="106">
        <f t="shared" si="37"/>
        <v>5.7267323265306116</v>
      </c>
      <c r="Y81" s="106">
        <f t="shared" si="38"/>
        <v>5.8130082159369145</v>
      </c>
      <c r="Z81" s="106">
        <f t="shared" si="39"/>
        <v>5.6950906462145552</v>
      </c>
      <c r="AA81" s="106">
        <f t="shared" si="40"/>
        <v>5.8078635102040801</v>
      </c>
      <c r="AB81" s="106">
        <f t="shared" si="41"/>
        <v>5.8849314039107776</v>
      </c>
      <c r="AC81" s="106">
        <f t="shared" si="42"/>
        <v>5.770584333131783</v>
      </c>
      <c r="AD81" s="106">
        <f t="shared" si="43"/>
        <v>5.8733020408163261</v>
      </c>
      <c r="AE81" s="106">
        <f t="shared" si="44"/>
        <v>5.945877656864015</v>
      </c>
      <c r="AF81" s="106">
        <f t="shared" si="45"/>
        <v>5.8289809465678015</v>
      </c>
      <c r="AG81" s="106">
        <f t="shared" si="46"/>
        <v>5.923047918367347</v>
      </c>
      <c r="AH81" s="106">
        <f t="shared" si="47"/>
        <v>5.9958469747966268</v>
      </c>
      <c r="AI81" s="106">
        <f t="shared" si="48"/>
        <v>5.2871673951473221</v>
      </c>
      <c r="AJ81" s="106">
        <f t="shared" si="49"/>
        <v>5.4161512247443868</v>
      </c>
      <c r="AK81" s="106">
        <f t="shared" si="50"/>
        <v>5.5259313502302678</v>
      </c>
      <c r="AL81" s="106">
        <f t="shared" si="51"/>
        <v>5.6165077716049687</v>
      </c>
      <c r="AM81" s="106">
        <f t="shared" si="52"/>
        <v>5.6878804888684833</v>
      </c>
      <c r="AY81" s="182">
        <v>5.8900000000000001E-2</v>
      </c>
      <c r="AZ81" s="185">
        <v>63</v>
      </c>
      <c r="BA81" s="182">
        <v>5.8900000000000001E-2</v>
      </c>
      <c r="BB81" s="13" cm="1">
        <f t="array" ref="BB81">INDEX(AI132:AM132,$AV$17)</f>
        <v>1.265281417454682</v>
      </c>
      <c r="BC81" s="13">
        <f t="shared" si="24"/>
        <v>1.265281417454682</v>
      </c>
      <c r="BD81" s="18" t="s">
        <v>268</v>
      </c>
      <c r="BE81" s="142">
        <f t="shared" si="28"/>
        <v>71.500000000000014</v>
      </c>
      <c r="BF81" s="82" t="s">
        <v>331</v>
      </c>
      <c r="BG81" s="83" t="str">
        <f t="shared" si="25"/>
        <v>1.1</v>
      </c>
      <c r="BH81" s="142">
        <f t="shared" si="29"/>
        <v>71.500000000000014</v>
      </c>
      <c r="BI81" s="82" t="s">
        <v>331</v>
      </c>
      <c r="BJ81" s="83" t="str">
        <f t="shared" si="26"/>
        <v>1.1</v>
      </c>
      <c r="BL81" s="356"/>
      <c r="BM81" s="356"/>
      <c r="BN81" s="356"/>
      <c r="BO81" s="356"/>
      <c r="BP81" s="356"/>
      <c r="BQ81" s="356"/>
      <c r="BR81" s="356"/>
      <c r="BS81" s="356"/>
      <c r="BT81" s="356"/>
      <c r="BU81" s="356"/>
      <c r="BV81" s="356"/>
      <c r="BW81" s="356"/>
      <c r="BX81" s="356"/>
      <c r="BY81" s="356"/>
      <c r="BZ81" s="356"/>
      <c r="CA81" s="356"/>
      <c r="CB81" s="356"/>
      <c r="CC81" s="356"/>
      <c r="CD81" s="356"/>
      <c r="CE81" s="356"/>
      <c r="CF81" s="356"/>
      <c r="CG81" s="356"/>
      <c r="CH81" s="356"/>
      <c r="CI81" s="356"/>
      <c r="CJ81" s="356"/>
      <c r="CK81" s="356"/>
      <c r="CL81" s="356"/>
      <c r="CM81" s="356"/>
      <c r="CN81" s="356"/>
      <c r="CO81" s="356"/>
      <c r="CP81" s="356"/>
    </row>
    <row r="82" spans="20:94">
      <c r="T82" s="106">
        <f t="shared" si="33"/>
        <v>5.413666996731239</v>
      </c>
      <c r="U82" s="106">
        <f t="shared" si="34"/>
        <v>5.5498111780045365</v>
      </c>
      <c r="V82" s="106">
        <f t="shared" si="35"/>
        <v>5.6508706467025265</v>
      </c>
      <c r="W82" s="106">
        <f t="shared" si="36"/>
        <v>5.5210929761912331</v>
      </c>
      <c r="X82" s="106">
        <f t="shared" si="37"/>
        <v>5.644435137188208</v>
      </c>
      <c r="Y82" s="106">
        <f t="shared" si="38"/>
        <v>5.7316979870738569</v>
      </c>
      <c r="Z82" s="106">
        <f t="shared" si="39"/>
        <v>5.6117785290301452</v>
      </c>
      <c r="AA82" s="106">
        <f t="shared" si="40"/>
        <v>5.7237498219954634</v>
      </c>
      <c r="AB82" s="106">
        <f t="shared" si="41"/>
        <v>5.8017733702847396</v>
      </c>
      <c r="AC82" s="106">
        <f t="shared" si="42"/>
        <v>5.6857236552479771</v>
      </c>
      <c r="AD82" s="106">
        <f t="shared" si="43"/>
        <v>5.7877552324263029</v>
      </c>
      <c r="AE82" s="106">
        <f t="shared" si="44"/>
        <v>5.8610967963351728</v>
      </c>
      <c r="AF82" s="106">
        <f t="shared" si="45"/>
        <v>5.7429283548447234</v>
      </c>
      <c r="AG82" s="106">
        <f t="shared" si="46"/>
        <v>5.8364513684807262</v>
      </c>
      <c r="AH82" s="106">
        <f t="shared" si="47"/>
        <v>5.9096682652251582</v>
      </c>
      <c r="AI82" s="106">
        <f t="shared" si="48"/>
        <v>5.2094507248212931</v>
      </c>
      <c r="AJ82" s="106">
        <f t="shared" si="49"/>
        <v>5.3360797346957707</v>
      </c>
      <c r="AK82" s="106">
        <f t="shared" si="50"/>
        <v>5.4438215895821678</v>
      </c>
      <c r="AL82" s="106">
        <f t="shared" si="51"/>
        <v>5.532676289480488</v>
      </c>
      <c r="AM82" s="106">
        <f t="shared" si="52"/>
        <v>5.6026438343907188</v>
      </c>
      <c r="AY82" s="182">
        <v>5.8799999999999998E-2</v>
      </c>
      <c r="AZ82" s="185">
        <v>64</v>
      </c>
      <c r="BA82" s="182">
        <v>5.8799999999999998E-2</v>
      </c>
      <c r="BB82" s="13" cm="1">
        <f t="array" ref="BB82">INDEX(AI133:AM133,$AV$17)</f>
        <v>1.177023575255004</v>
      </c>
      <c r="BC82" s="13">
        <f>IF(BE81&lt;&gt;"",BB82,"")</f>
        <v>1.177023575255004</v>
      </c>
      <c r="BD82" s="18" t="s">
        <v>274</v>
      </c>
      <c r="BE82" s="142">
        <f t="shared" si="28"/>
        <v>65</v>
      </c>
      <c r="BF82" s="82" t="s">
        <v>334</v>
      </c>
      <c r="BG82" s="83" t="str">
        <f>IF($BE81&lt;&gt;"",$BD82,"1.4")</f>
        <v>1.0</v>
      </c>
      <c r="BH82" s="142">
        <f t="shared" si="29"/>
        <v>65</v>
      </c>
      <c r="BI82" s="82" t="s">
        <v>334</v>
      </c>
      <c r="BJ82" s="83" t="str">
        <f>IF($BE81&lt;&gt;"",$BD82,"1.4")</f>
        <v>1.0</v>
      </c>
      <c r="BL82" s="356"/>
      <c r="BM82" s="356"/>
      <c r="BN82" s="356"/>
      <c r="BO82" s="356"/>
      <c r="BP82" s="356"/>
      <c r="BQ82" s="356"/>
      <c r="BR82" s="356"/>
      <c r="BS82" s="356"/>
      <c r="BT82" s="356"/>
      <c r="BU82" s="356"/>
      <c r="BV82" s="356"/>
      <c r="BW82" s="356"/>
      <c r="BX82" s="356"/>
      <c r="BY82" s="356"/>
      <c r="BZ82" s="356"/>
      <c r="CA82" s="356"/>
      <c r="CB82" s="356"/>
      <c r="CC82" s="356"/>
      <c r="CD82" s="356"/>
      <c r="CE82" s="356"/>
      <c r="CF82" s="356"/>
      <c r="CG82" s="356"/>
      <c r="CH82" s="356"/>
      <c r="CI82" s="356"/>
      <c r="CJ82" s="356"/>
      <c r="CK82" s="356"/>
      <c r="CL82" s="356"/>
      <c r="CM82" s="356"/>
      <c r="CN82" s="356"/>
      <c r="CO82" s="356"/>
      <c r="CP82" s="356"/>
    </row>
    <row r="83" spans="20:94">
      <c r="T83" s="106">
        <f t="shared" si="33"/>
        <v>5.3343761644109637</v>
      </c>
      <c r="U83" s="106">
        <f t="shared" si="34"/>
        <v>5.4695267120181414</v>
      </c>
      <c r="V83" s="106">
        <f t="shared" si="35"/>
        <v>5.5713600244318693</v>
      </c>
      <c r="W83" s="106">
        <f t="shared" si="36"/>
        <v>5.4395550178804424</v>
      </c>
      <c r="X83" s="106">
        <f t="shared" si="37"/>
        <v>5.5619718820861674</v>
      </c>
      <c r="Y83" s="106">
        <f t="shared" si="38"/>
        <v>5.6501394832419809</v>
      </c>
      <c r="Z83" s="106">
        <f t="shared" si="39"/>
        <v>5.5283476184232656</v>
      </c>
      <c r="AA83" s="106">
        <f t="shared" si="40"/>
        <v>5.639486621315192</v>
      </c>
      <c r="AB83" s="106">
        <f t="shared" si="41"/>
        <v>5.7183905885087167</v>
      </c>
      <c r="AC83" s="106">
        <f t="shared" si="42"/>
        <v>5.6007539660394343</v>
      </c>
      <c r="AD83" s="106">
        <f t="shared" si="43"/>
        <v>5.702070929705215</v>
      </c>
      <c r="AE83" s="106">
        <f t="shared" si="44"/>
        <v>5.7761133402320768</v>
      </c>
      <c r="AF83" s="106">
        <f t="shared" si="45"/>
        <v>5.6567740607289485</v>
      </c>
      <c r="AG83" s="106">
        <f t="shared" si="46"/>
        <v>5.7497248072562357</v>
      </c>
      <c r="AH83" s="106">
        <f t="shared" si="47"/>
        <v>5.8233077384120628</v>
      </c>
      <c r="AI83" s="106">
        <f t="shared" si="48"/>
        <v>5.1316503430001976</v>
      </c>
      <c r="AJ83" s="106">
        <f t="shared" si="49"/>
        <v>5.2559297215718548</v>
      </c>
      <c r="AK83" s="106">
        <f t="shared" si="50"/>
        <v>5.3616391140853761</v>
      </c>
      <c r="AL83" s="106">
        <f t="shared" si="51"/>
        <v>5.4487785205407633</v>
      </c>
      <c r="AM83" s="106">
        <f t="shared" si="52"/>
        <v>5.5173479409380182</v>
      </c>
      <c r="AY83" s="182">
        <v>5.8700000000000002E-2</v>
      </c>
      <c r="AZ83" s="185">
        <v>65</v>
      </c>
      <c r="BA83" s="182">
        <v>5.8700000000000002E-2</v>
      </c>
      <c r="BL83" s="356"/>
      <c r="BM83" s="356"/>
      <c r="BN83" s="356"/>
      <c r="BO83" s="356"/>
      <c r="BP83" s="356"/>
      <c r="BQ83" s="356"/>
      <c r="BR83" s="356"/>
      <c r="BS83" s="356"/>
      <c r="BT83" s="356"/>
      <c r="BU83" s="356"/>
      <c r="BV83" s="356"/>
      <c r="BW83" s="356"/>
      <c r="BX83" s="356"/>
      <c r="BY83" s="356"/>
      <c r="BZ83" s="356"/>
      <c r="CA83" s="356"/>
      <c r="CB83" s="356"/>
      <c r="CC83" s="356"/>
      <c r="CD83" s="356"/>
      <c r="CE83" s="356"/>
      <c r="CF83" s="356"/>
      <c r="CG83" s="356"/>
      <c r="CH83" s="356"/>
      <c r="CI83" s="356"/>
      <c r="CJ83" s="356"/>
      <c r="CK83" s="356"/>
      <c r="CL83" s="356"/>
      <c r="CM83" s="356"/>
      <c r="CN83" s="356"/>
      <c r="CO83" s="356"/>
      <c r="CP83" s="356"/>
    </row>
    <row r="84" spans="20:94">
      <c r="T84" s="106">
        <f t="shared" si="33"/>
        <v>5.254939554975655</v>
      </c>
      <c r="U84" s="106">
        <f t="shared" si="34"/>
        <v>5.3890550918367355</v>
      </c>
      <c r="V84" s="106">
        <f t="shared" si="35"/>
        <v>5.4915762261304542</v>
      </c>
      <c r="W84" s="106">
        <f t="shared" si="36"/>
        <v>5.3578860108837478</v>
      </c>
      <c r="X84" s="106">
        <f t="shared" si="37"/>
        <v>5.4793425612244882</v>
      </c>
      <c r="Y84" s="106">
        <f t="shared" si="38"/>
        <v>5.5683327044412865</v>
      </c>
      <c r="Z84" s="106">
        <f t="shared" si="39"/>
        <v>5.4447979143939147</v>
      </c>
      <c r="AA84" s="106">
        <f t="shared" si="40"/>
        <v>5.5550739081632647</v>
      </c>
      <c r="AB84" s="106">
        <f t="shared" si="41"/>
        <v>5.6347830585827117</v>
      </c>
      <c r="AC84" s="106">
        <f t="shared" si="42"/>
        <v>5.5156752655061583</v>
      </c>
      <c r="AD84" s="106">
        <f t="shared" si="43"/>
        <v>5.6162491326530608</v>
      </c>
      <c r="AE84" s="106">
        <f t="shared" si="44"/>
        <v>5.6909272885547288</v>
      </c>
      <c r="AF84" s="106">
        <f t="shared" si="45"/>
        <v>5.5705180642204759</v>
      </c>
      <c r="AG84" s="106">
        <f t="shared" si="46"/>
        <v>5.6628682346938781</v>
      </c>
      <c r="AH84" s="106">
        <f t="shared" si="47"/>
        <v>5.7367653943573389</v>
      </c>
      <c r="AI84" s="106">
        <f t="shared" si="48"/>
        <v>5.0537662496840348</v>
      </c>
      <c r="AJ84" s="106">
        <f t="shared" si="49"/>
        <v>5.1757011853726373</v>
      </c>
      <c r="AK84" s="106">
        <f t="shared" si="50"/>
        <v>5.2793839237398892</v>
      </c>
      <c r="AL84" s="106">
        <f t="shared" si="51"/>
        <v>5.3648144647858045</v>
      </c>
      <c r="AM84" s="106">
        <f t="shared" si="52"/>
        <v>5.4319928085103726</v>
      </c>
      <c r="AY84" s="182">
        <v>5.8599999999999999E-2</v>
      </c>
      <c r="AZ84" s="185">
        <v>66</v>
      </c>
      <c r="BA84" s="182">
        <v>5.8599999999999999E-2</v>
      </c>
      <c r="BL84" s="356"/>
      <c r="BM84" s="356"/>
      <c r="BN84" s="356"/>
      <c r="BO84" s="356"/>
      <c r="BP84" s="356"/>
      <c r="BQ84" s="356"/>
      <c r="BR84" s="356"/>
      <c r="BS84" s="356"/>
      <c r="BT84" s="356"/>
      <c r="BU84" s="356"/>
      <c r="BV84" s="356"/>
      <c r="BW84" s="356"/>
      <c r="BX84" s="356"/>
      <c r="BY84" s="356"/>
      <c r="BZ84" s="356"/>
      <c r="CA84" s="356"/>
      <c r="CB84" s="356"/>
      <c r="CC84" s="356"/>
      <c r="CD84" s="356"/>
      <c r="CE84" s="356"/>
      <c r="CF84" s="356"/>
      <c r="CG84" s="356"/>
      <c r="CH84" s="356"/>
      <c r="CI84" s="356"/>
      <c r="CJ84" s="356"/>
      <c r="CK84" s="356"/>
      <c r="CL84" s="356"/>
      <c r="CM84" s="356"/>
      <c r="CN84" s="356"/>
      <c r="CO84" s="356"/>
      <c r="CP84" s="356"/>
    </row>
    <row r="85" spans="20:94">
      <c r="T85" s="106">
        <f t="shared" si="33"/>
        <v>5.175357168425311</v>
      </c>
      <c r="U85" s="106">
        <f t="shared" si="34"/>
        <v>5.3083963174603177</v>
      </c>
      <c r="V85" s="106">
        <f t="shared" si="35"/>
        <v>5.4115192517982811</v>
      </c>
      <c r="W85" s="106">
        <f t="shared" si="36"/>
        <v>5.2760859552011485</v>
      </c>
      <c r="X85" s="106">
        <f t="shared" si="37"/>
        <v>5.3965471746031728</v>
      </c>
      <c r="Y85" s="106">
        <f t="shared" si="38"/>
        <v>5.4862776506717728</v>
      </c>
      <c r="Z85" s="106">
        <f t="shared" si="39"/>
        <v>5.3611294169420942</v>
      </c>
      <c r="AA85" s="106">
        <f t="shared" si="40"/>
        <v>5.4705116825396818</v>
      </c>
      <c r="AB85" s="106">
        <f t="shared" si="41"/>
        <v>5.5509507805067209</v>
      </c>
      <c r="AC85" s="106">
        <f t="shared" si="42"/>
        <v>5.4304875536481481</v>
      </c>
      <c r="AD85" s="106">
        <f t="shared" si="43"/>
        <v>5.5302898412698402</v>
      </c>
      <c r="AE85" s="106">
        <f t="shared" si="44"/>
        <v>5.6055386413031254</v>
      </c>
      <c r="AF85" s="106">
        <f t="shared" si="45"/>
        <v>5.4841603653193074</v>
      </c>
      <c r="AG85" s="106">
        <f t="shared" si="46"/>
        <v>5.5758816507936508</v>
      </c>
      <c r="AH85" s="106">
        <f t="shared" si="47"/>
        <v>5.6500412330609855</v>
      </c>
      <c r="AI85" s="106">
        <f t="shared" si="48"/>
        <v>4.975798444872801</v>
      </c>
      <c r="AJ85" s="106">
        <f t="shared" si="49"/>
        <v>5.0953941260981122</v>
      </c>
      <c r="AK85" s="106">
        <f t="shared" si="50"/>
        <v>5.1970560185457124</v>
      </c>
      <c r="AL85" s="106">
        <f t="shared" si="51"/>
        <v>5.2807841222156098</v>
      </c>
      <c r="AM85" s="106">
        <f t="shared" si="52"/>
        <v>5.3465784371077927</v>
      </c>
      <c r="AY85" s="182">
        <v>5.8500000000000003E-2</v>
      </c>
      <c r="AZ85" s="185">
        <v>67</v>
      </c>
      <c r="BA85" s="182">
        <v>5.8500000000000003E-2</v>
      </c>
      <c r="BL85" s="356"/>
      <c r="BM85" s="356"/>
      <c r="BN85" s="356"/>
      <c r="BO85" s="356"/>
      <c r="BP85" s="356"/>
      <c r="BQ85" s="356"/>
      <c r="BR85" s="356"/>
      <c r="BS85" s="356"/>
      <c r="BT85" s="356"/>
      <c r="BU85" s="356"/>
      <c r="BV85" s="356"/>
      <c r="BW85" s="356"/>
      <c r="BX85" s="356"/>
      <c r="BY85" s="356"/>
      <c r="BZ85" s="356"/>
      <c r="CA85" s="356"/>
      <c r="CB85" s="356"/>
      <c r="CC85" s="356"/>
      <c r="CD85" s="356"/>
      <c r="CE85" s="356"/>
      <c r="CF85" s="356"/>
      <c r="CG85" s="356"/>
      <c r="CH85" s="356"/>
      <c r="CI85" s="356"/>
      <c r="CJ85" s="356"/>
      <c r="CK85" s="356"/>
      <c r="CL85" s="356"/>
      <c r="CM85" s="356"/>
      <c r="CN85" s="356"/>
      <c r="CO85" s="356"/>
      <c r="CP85" s="356"/>
    </row>
    <row r="86" spans="20:94">
      <c r="T86" s="106">
        <f t="shared" si="33"/>
        <v>5.0956290047599353</v>
      </c>
      <c r="U86" s="106">
        <f t="shared" si="34"/>
        <v>5.2275503888888899</v>
      </c>
      <c r="V86" s="106">
        <f t="shared" si="35"/>
        <v>5.3311891014353501</v>
      </c>
      <c r="W86" s="106">
        <f t="shared" si="36"/>
        <v>5.1941548508326481</v>
      </c>
      <c r="X86" s="106">
        <f t="shared" si="37"/>
        <v>5.3135857222222205</v>
      </c>
      <c r="Y86" s="106">
        <f t="shared" si="38"/>
        <v>5.4039743219334415</v>
      </c>
      <c r="Z86" s="106">
        <f t="shared" si="39"/>
        <v>5.2773421260678024</v>
      </c>
      <c r="AA86" s="106">
        <f t="shared" si="40"/>
        <v>5.3857999444444431</v>
      </c>
      <c r="AB86" s="106">
        <f t="shared" si="41"/>
        <v>5.466893754280747</v>
      </c>
      <c r="AC86" s="106">
        <f t="shared" si="42"/>
        <v>5.3451908304654019</v>
      </c>
      <c r="AD86" s="106">
        <f t="shared" si="43"/>
        <v>5.4441930555555551</v>
      </c>
      <c r="AE86" s="106">
        <f t="shared" si="44"/>
        <v>5.5199473984772691</v>
      </c>
      <c r="AF86" s="106">
        <f t="shared" si="45"/>
        <v>5.3977009640254421</v>
      </c>
      <c r="AG86" s="106">
        <f t="shared" si="46"/>
        <v>5.4887650555555556</v>
      </c>
      <c r="AH86" s="106">
        <f t="shared" si="47"/>
        <v>5.5631352545230062</v>
      </c>
      <c r="AI86" s="106">
        <f t="shared" si="48"/>
        <v>4.8977469285665034</v>
      </c>
      <c r="AJ86" s="106">
        <f t="shared" si="49"/>
        <v>5.015008543748289</v>
      </c>
      <c r="AK86" s="106">
        <f t="shared" si="50"/>
        <v>5.1146553985028413</v>
      </c>
      <c r="AL86" s="106">
        <f t="shared" si="51"/>
        <v>5.1966874928301721</v>
      </c>
      <c r="AM86" s="106">
        <f t="shared" si="52"/>
        <v>5.2611048267302714</v>
      </c>
      <c r="AY86" s="182">
        <v>5.8400000000000001E-2</v>
      </c>
      <c r="AZ86" s="185">
        <v>68</v>
      </c>
      <c r="BA86" s="182">
        <v>5.8400000000000001E-2</v>
      </c>
      <c r="BL86" s="356"/>
      <c r="BM86" s="356"/>
      <c r="BN86" s="356"/>
      <c r="BO86" s="356"/>
      <c r="BP86" s="356"/>
      <c r="BQ86" s="356"/>
      <c r="BR86" s="356"/>
      <c r="BS86" s="356"/>
      <c r="BT86" s="356"/>
      <c r="BU86" s="356"/>
      <c r="BV86" s="356"/>
      <c r="BW86" s="356"/>
      <c r="BX86" s="356"/>
      <c r="BY86" s="356"/>
      <c r="BZ86" s="356"/>
      <c r="CA86" s="356"/>
      <c r="CB86" s="356"/>
      <c r="CC86" s="356"/>
      <c r="CD86" s="356"/>
      <c r="CE86" s="356"/>
      <c r="CF86" s="356"/>
      <c r="CG86" s="356"/>
      <c r="CH86" s="356"/>
      <c r="CI86" s="356"/>
      <c r="CJ86" s="356"/>
      <c r="CK86" s="356"/>
      <c r="CL86" s="356"/>
      <c r="CM86" s="356"/>
      <c r="CN86" s="356"/>
      <c r="CO86" s="356"/>
      <c r="CP86" s="356"/>
    </row>
    <row r="87" spans="20:94">
      <c r="T87" s="106">
        <f t="shared" si="33"/>
        <v>5.0157550639795225</v>
      </c>
      <c r="U87" s="106">
        <f t="shared" si="34"/>
        <v>5.1465173061224494</v>
      </c>
      <c r="V87" s="106">
        <f t="shared" si="35"/>
        <v>5.2505857750416602</v>
      </c>
      <c r="W87" s="106">
        <f t="shared" si="36"/>
        <v>5.1120926977782419</v>
      </c>
      <c r="X87" s="106">
        <f t="shared" si="37"/>
        <v>5.2304582040816312</v>
      </c>
      <c r="Y87" s="106">
        <f t="shared" si="38"/>
        <v>5.321422718226291</v>
      </c>
      <c r="Z87" s="106">
        <f t="shared" si="39"/>
        <v>5.1934360417710401</v>
      </c>
      <c r="AA87" s="106">
        <f t="shared" si="40"/>
        <v>5.3009386938775496</v>
      </c>
      <c r="AB87" s="106">
        <f t="shared" si="41"/>
        <v>5.3826119799047891</v>
      </c>
      <c r="AC87" s="106">
        <f t="shared" si="42"/>
        <v>5.2597850959579207</v>
      </c>
      <c r="AD87" s="106">
        <f t="shared" si="43"/>
        <v>5.3579587755102027</v>
      </c>
      <c r="AE87" s="106">
        <f t="shared" si="44"/>
        <v>5.4341535600771573</v>
      </c>
      <c r="AF87" s="106">
        <f t="shared" si="45"/>
        <v>5.3111398603388791</v>
      </c>
      <c r="AG87" s="106">
        <f t="shared" si="46"/>
        <v>5.4015184489795915</v>
      </c>
      <c r="AH87" s="106">
        <f t="shared" si="47"/>
        <v>5.4760474587433965</v>
      </c>
      <c r="AI87" s="106">
        <f t="shared" si="48"/>
        <v>4.8196117007651322</v>
      </c>
      <c r="AJ87" s="106">
        <f t="shared" si="49"/>
        <v>4.934544438323158</v>
      </c>
      <c r="AK87" s="106">
        <f t="shared" si="50"/>
        <v>5.032182063611276</v>
      </c>
      <c r="AL87" s="106">
        <f t="shared" si="51"/>
        <v>5.1125245766294976</v>
      </c>
      <c r="AM87" s="106">
        <f t="shared" si="52"/>
        <v>5.1755719773778104</v>
      </c>
      <c r="AY87" s="182">
        <v>5.8299999999999998E-2</v>
      </c>
      <c r="AZ87" s="185">
        <v>69</v>
      </c>
      <c r="BA87" s="182">
        <v>5.8299999999999998E-2</v>
      </c>
      <c r="BL87" s="356"/>
      <c r="BM87" s="356"/>
      <c r="BN87" s="356"/>
      <c r="BO87" s="356"/>
      <c r="BP87" s="356"/>
      <c r="BQ87" s="356"/>
      <c r="BR87" s="356"/>
      <c r="BS87" s="356"/>
      <c r="BT87" s="356"/>
      <c r="BU87" s="356"/>
      <c r="BV87" s="356"/>
      <c r="BW87" s="356"/>
      <c r="BX87" s="356"/>
      <c r="BY87" s="356"/>
      <c r="BZ87" s="356"/>
      <c r="CA87" s="356"/>
      <c r="CB87" s="356"/>
      <c r="CC87" s="356"/>
      <c r="CD87" s="356"/>
      <c r="CE87" s="356"/>
      <c r="CF87" s="356"/>
      <c r="CG87" s="356"/>
      <c r="CH87" s="356"/>
      <c r="CI87" s="356"/>
      <c r="CJ87" s="356"/>
      <c r="CK87" s="356"/>
      <c r="CL87" s="356"/>
      <c r="CM87" s="356"/>
      <c r="CN87" s="356"/>
      <c r="CO87" s="356"/>
      <c r="CP87" s="356"/>
    </row>
    <row r="88" spans="20:94">
      <c r="T88" s="106">
        <f t="shared" si="33"/>
        <v>4.9357353460840798</v>
      </c>
      <c r="U88" s="106">
        <f t="shared" si="34"/>
        <v>5.065297069160998</v>
      </c>
      <c r="V88" s="106">
        <f t="shared" si="35"/>
        <v>5.1697092726172142</v>
      </c>
      <c r="W88" s="106">
        <f t="shared" si="36"/>
        <v>5.0298994960379337</v>
      </c>
      <c r="X88" s="106">
        <f t="shared" si="37"/>
        <v>5.1471646201814041</v>
      </c>
      <c r="Y88" s="106">
        <f t="shared" si="38"/>
        <v>5.238622839550322</v>
      </c>
      <c r="Z88" s="106">
        <f t="shared" si="39"/>
        <v>5.1094111640518083</v>
      </c>
      <c r="AA88" s="106">
        <f t="shared" si="40"/>
        <v>5.2159279308390012</v>
      </c>
      <c r="AB88" s="106">
        <f t="shared" si="41"/>
        <v>5.2981054573788491</v>
      </c>
      <c r="AC88" s="106">
        <f t="shared" si="42"/>
        <v>5.1742703501257052</v>
      </c>
      <c r="AD88" s="106">
        <f t="shared" si="43"/>
        <v>5.2715870011337858</v>
      </c>
      <c r="AE88" s="106">
        <f t="shared" si="44"/>
        <v>5.3481571261027936</v>
      </c>
      <c r="AF88" s="106">
        <f t="shared" si="45"/>
        <v>5.2244770542596193</v>
      </c>
      <c r="AG88" s="106">
        <f t="shared" si="46"/>
        <v>5.3141418310657595</v>
      </c>
      <c r="AH88" s="106">
        <f t="shared" si="47"/>
        <v>5.3887778457221591</v>
      </c>
      <c r="AI88" s="106">
        <f t="shared" si="48"/>
        <v>4.7413927614687026</v>
      </c>
      <c r="AJ88" s="106">
        <f t="shared" si="49"/>
        <v>4.8540018098227282</v>
      </c>
      <c r="AK88" s="106">
        <f t="shared" si="50"/>
        <v>4.9496360138710189</v>
      </c>
      <c r="AL88" s="106">
        <f t="shared" si="51"/>
        <v>5.0282953736135845</v>
      </c>
      <c r="AM88" s="106">
        <f t="shared" si="52"/>
        <v>5.0899798890504089</v>
      </c>
      <c r="AY88" s="182">
        <v>5.8200000000000002E-2</v>
      </c>
      <c r="AZ88" s="185">
        <v>70</v>
      </c>
      <c r="BA88" s="182">
        <v>5.8200000000000002E-2</v>
      </c>
      <c r="BL88" s="356"/>
      <c r="BM88" s="356"/>
      <c r="BN88" s="356"/>
      <c r="BO88" s="356"/>
      <c r="BP88" s="356"/>
      <c r="BQ88" s="356"/>
      <c r="BR88" s="356"/>
      <c r="BS88" s="356"/>
      <c r="BT88" s="356"/>
      <c r="BU88" s="356"/>
      <c r="BV88" s="356"/>
      <c r="BW88" s="356"/>
      <c r="BX88" s="356"/>
      <c r="BY88" s="356"/>
      <c r="BZ88" s="356"/>
      <c r="CA88" s="356"/>
      <c r="CB88" s="356"/>
      <c r="CC88" s="356"/>
      <c r="CD88" s="356"/>
      <c r="CE88" s="356"/>
      <c r="CF88" s="356"/>
      <c r="CG88" s="356"/>
      <c r="CH88" s="356"/>
      <c r="CI88" s="356"/>
      <c r="CJ88" s="356"/>
      <c r="CK88" s="356"/>
      <c r="CL88" s="356"/>
      <c r="CM88" s="356"/>
      <c r="CN88" s="356"/>
      <c r="CO88" s="356"/>
      <c r="CP88" s="356"/>
    </row>
    <row r="89" spans="20:94">
      <c r="T89" s="106">
        <f t="shared" si="33"/>
        <v>4.8555698510736001</v>
      </c>
      <c r="U89" s="106">
        <f t="shared" si="34"/>
        <v>4.9838896780045365</v>
      </c>
      <c r="V89" s="106">
        <f t="shared" si="35"/>
        <v>5.0885595941620103</v>
      </c>
      <c r="W89" s="106">
        <f t="shared" si="36"/>
        <v>4.9475752456117226</v>
      </c>
      <c r="X89" s="106">
        <f t="shared" si="37"/>
        <v>5.0637049705215409</v>
      </c>
      <c r="Y89" s="106">
        <f t="shared" si="38"/>
        <v>5.1555746859055347</v>
      </c>
      <c r="Z89" s="106">
        <f t="shared" si="39"/>
        <v>5.025267492910106</v>
      </c>
      <c r="AA89" s="106">
        <f t="shared" si="40"/>
        <v>5.130767655328798</v>
      </c>
      <c r="AB89" s="106">
        <f t="shared" si="41"/>
        <v>5.2133741867029233</v>
      </c>
      <c r="AC89" s="106">
        <f t="shared" si="42"/>
        <v>5.0886465929687548</v>
      </c>
      <c r="AD89" s="106">
        <f t="shared" si="43"/>
        <v>5.1850777324263033</v>
      </c>
      <c r="AE89" s="106">
        <f t="shared" si="44"/>
        <v>5.2619580965541761</v>
      </c>
      <c r="AF89" s="106">
        <f t="shared" si="45"/>
        <v>5.1377125457876636</v>
      </c>
      <c r="AG89" s="106">
        <f t="shared" si="46"/>
        <v>5.2266352018140596</v>
      </c>
      <c r="AH89" s="106">
        <f t="shared" si="47"/>
        <v>5.3013264154592932</v>
      </c>
      <c r="AI89" s="106">
        <f t="shared" si="48"/>
        <v>4.6630901106771958</v>
      </c>
      <c r="AJ89" s="106">
        <f t="shared" si="49"/>
        <v>4.7733806582469951</v>
      </c>
      <c r="AK89" s="106">
        <f t="shared" si="50"/>
        <v>4.8670172492820676</v>
      </c>
      <c r="AL89" s="106">
        <f t="shared" si="51"/>
        <v>4.9439998837824319</v>
      </c>
      <c r="AM89" s="106">
        <f t="shared" si="52"/>
        <v>5.0043285617480695</v>
      </c>
      <c r="AY89" s="182">
        <v>5.8099999999999999E-2</v>
      </c>
      <c r="AZ89" s="185">
        <v>71</v>
      </c>
      <c r="BA89" s="182">
        <v>5.8099999999999999E-2</v>
      </c>
      <c r="BL89" s="356"/>
      <c r="BM89" s="356"/>
      <c r="BN89" s="356"/>
      <c r="BO89" s="356"/>
      <c r="BP89" s="356"/>
      <c r="BQ89" s="356"/>
      <c r="BR89" s="356"/>
      <c r="BS89" s="356"/>
      <c r="BT89" s="356"/>
      <c r="BU89" s="356"/>
      <c r="BV89" s="356"/>
      <c r="BW89" s="356"/>
      <c r="BX89" s="356"/>
      <c r="BY89" s="356"/>
      <c r="BZ89" s="356"/>
      <c r="CA89" s="356"/>
      <c r="CB89" s="356"/>
      <c r="CC89" s="356"/>
      <c r="CD89" s="356"/>
      <c r="CE89" s="356"/>
      <c r="CF89" s="356"/>
      <c r="CG89" s="356"/>
      <c r="CH89" s="356"/>
      <c r="CI89" s="356"/>
      <c r="CJ89" s="356"/>
      <c r="CK89" s="356"/>
      <c r="CL89" s="356"/>
      <c r="CM89" s="356"/>
      <c r="CN89" s="356"/>
      <c r="CO89" s="356"/>
      <c r="CP89" s="356"/>
    </row>
    <row r="90" spans="20:94">
      <c r="T90" s="106">
        <f t="shared" si="33"/>
        <v>4.775258578948085</v>
      </c>
      <c r="U90" s="106">
        <f t="shared" si="34"/>
        <v>4.9022951326530624</v>
      </c>
      <c r="V90" s="106">
        <f t="shared" si="35"/>
        <v>5.0071367396760467</v>
      </c>
      <c r="W90" s="106">
        <f t="shared" si="36"/>
        <v>4.8651199464996058</v>
      </c>
      <c r="X90" s="106">
        <f t="shared" si="37"/>
        <v>4.980079255102039</v>
      </c>
      <c r="Y90" s="106">
        <f t="shared" si="38"/>
        <v>5.0722782572919289</v>
      </c>
      <c r="Z90" s="106">
        <f t="shared" si="39"/>
        <v>4.9410050283459332</v>
      </c>
      <c r="AA90" s="106">
        <f t="shared" si="40"/>
        <v>5.0454578673469381</v>
      </c>
      <c r="AB90" s="106">
        <f t="shared" si="41"/>
        <v>5.1284181678770144</v>
      </c>
      <c r="AC90" s="106">
        <f t="shared" si="42"/>
        <v>5.0029138244870692</v>
      </c>
      <c r="AD90" s="106">
        <f t="shared" si="43"/>
        <v>5.0984309693877536</v>
      </c>
      <c r="AE90" s="106">
        <f t="shared" si="44"/>
        <v>5.175556471431304</v>
      </c>
      <c r="AF90" s="106">
        <f t="shared" si="45"/>
        <v>5.0508463349230102</v>
      </c>
      <c r="AG90" s="106">
        <f t="shared" si="46"/>
        <v>5.1389985612244891</v>
      </c>
      <c r="AH90" s="106">
        <f t="shared" si="47"/>
        <v>5.2136931679547986</v>
      </c>
      <c r="AI90" s="106">
        <f t="shared" si="48"/>
        <v>4.584703748390619</v>
      </c>
      <c r="AJ90" s="106">
        <f t="shared" si="49"/>
        <v>4.692680983595956</v>
      </c>
      <c r="AK90" s="106">
        <f t="shared" si="50"/>
        <v>4.7843257698444255</v>
      </c>
      <c r="AL90" s="106">
        <f t="shared" si="51"/>
        <v>4.8596381071360426</v>
      </c>
      <c r="AM90" s="106">
        <f t="shared" si="52"/>
        <v>4.9186179954707914</v>
      </c>
      <c r="AY90" s="182">
        <v>5.8000000000000003E-2</v>
      </c>
      <c r="AZ90" s="185">
        <v>72</v>
      </c>
      <c r="BA90" s="182">
        <v>5.8000000000000003E-2</v>
      </c>
      <c r="BL90" s="356"/>
      <c r="BM90" s="356"/>
      <c r="BN90" s="356"/>
      <c r="BO90" s="356"/>
      <c r="BP90" s="356"/>
      <c r="BQ90" s="356"/>
      <c r="BR90" s="356"/>
      <c r="BS90" s="356"/>
      <c r="BT90" s="356"/>
      <c r="BU90" s="356"/>
      <c r="BV90" s="356"/>
      <c r="BW90" s="356"/>
      <c r="BX90" s="356"/>
      <c r="BY90" s="356"/>
      <c r="BZ90" s="356"/>
      <c r="CA90" s="356"/>
      <c r="CB90" s="356"/>
      <c r="CC90" s="356"/>
      <c r="CD90" s="356"/>
      <c r="CE90" s="356"/>
      <c r="CF90" s="356"/>
      <c r="CG90" s="356"/>
      <c r="CH90" s="356"/>
      <c r="CI90" s="356"/>
      <c r="CJ90" s="356"/>
      <c r="CK90" s="356"/>
      <c r="CL90" s="356"/>
      <c r="CM90" s="356"/>
      <c r="CN90" s="356"/>
      <c r="CO90" s="356"/>
      <c r="CP90" s="356"/>
    </row>
    <row r="91" spans="20:94">
      <c r="T91" s="106">
        <f t="shared" si="33"/>
        <v>4.6948015297075401</v>
      </c>
      <c r="U91" s="106">
        <f t="shared" si="34"/>
        <v>4.8205134331065764</v>
      </c>
      <c r="V91" s="106">
        <f t="shared" si="35"/>
        <v>4.9254407091593269</v>
      </c>
      <c r="W91" s="106">
        <f t="shared" si="36"/>
        <v>4.7825335987015878</v>
      </c>
      <c r="X91" s="106">
        <f t="shared" si="37"/>
        <v>4.896287473922901</v>
      </c>
      <c r="Y91" s="106">
        <f t="shared" si="38"/>
        <v>4.9887335537095048</v>
      </c>
      <c r="Z91" s="106">
        <f t="shared" si="39"/>
        <v>4.8566237703592909</v>
      </c>
      <c r="AA91" s="106">
        <f t="shared" si="40"/>
        <v>4.9599985668934226</v>
      </c>
      <c r="AB91" s="106">
        <f t="shared" si="41"/>
        <v>5.0432374009011225</v>
      </c>
      <c r="AC91" s="106">
        <f t="shared" si="42"/>
        <v>4.9170720446806495</v>
      </c>
      <c r="AD91" s="106">
        <f t="shared" si="43"/>
        <v>5.0116467120181403</v>
      </c>
      <c r="AE91" s="106">
        <f t="shared" si="44"/>
        <v>5.0889522507341782</v>
      </c>
      <c r="AF91" s="106">
        <f t="shared" si="45"/>
        <v>4.96387842166566</v>
      </c>
      <c r="AG91" s="106">
        <f t="shared" si="46"/>
        <v>5.0512319092970523</v>
      </c>
      <c r="AH91" s="106">
        <f t="shared" si="47"/>
        <v>5.1258781032086764</v>
      </c>
      <c r="AI91" s="106">
        <f t="shared" si="48"/>
        <v>4.5062336746089855</v>
      </c>
      <c r="AJ91" s="106">
        <f t="shared" si="49"/>
        <v>4.611902785869618</v>
      </c>
      <c r="AK91" s="106">
        <f t="shared" si="50"/>
        <v>4.7015615755580935</v>
      </c>
      <c r="AL91" s="106">
        <f t="shared" si="51"/>
        <v>4.7752100436744129</v>
      </c>
      <c r="AM91" s="106">
        <f t="shared" si="52"/>
        <v>4.8328481902185718</v>
      </c>
      <c r="AY91" s="182">
        <v>5.79E-2</v>
      </c>
      <c r="AZ91" s="185">
        <v>73</v>
      </c>
      <c r="BA91" s="182">
        <v>5.79E-2</v>
      </c>
      <c r="BL91" s="356"/>
      <c r="BM91" s="356"/>
      <c r="BN91" s="356"/>
      <c r="BO91" s="356"/>
      <c r="BP91" s="356"/>
      <c r="BQ91" s="356"/>
      <c r="BR91" s="356"/>
      <c r="BS91" s="356"/>
      <c r="BT91" s="356"/>
      <c r="BU91" s="356"/>
      <c r="BV91" s="356"/>
      <c r="BW91" s="356"/>
      <c r="BX91" s="356"/>
      <c r="BY91" s="356"/>
      <c r="BZ91" s="356"/>
      <c r="CA91" s="356"/>
      <c r="CB91" s="356"/>
      <c r="CC91" s="356"/>
      <c r="CD91" s="356"/>
      <c r="CE91" s="356"/>
      <c r="CF91" s="356"/>
      <c r="CG91" s="356"/>
      <c r="CH91" s="356"/>
      <c r="CI91" s="356"/>
      <c r="CJ91" s="356"/>
      <c r="CK91" s="356"/>
      <c r="CL91" s="356"/>
      <c r="CM91" s="356"/>
      <c r="CN91" s="356"/>
      <c r="CO91" s="356"/>
      <c r="CP91" s="356"/>
    </row>
    <row r="92" spans="20:94">
      <c r="T92" s="106">
        <f t="shared" si="33"/>
        <v>4.614198703351958</v>
      </c>
      <c r="U92" s="106">
        <f t="shared" si="34"/>
        <v>4.7385445793650804</v>
      </c>
      <c r="V92" s="106">
        <f t="shared" si="35"/>
        <v>4.8434715026118482</v>
      </c>
      <c r="W92" s="106">
        <f t="shared" si="36"/>
        <v>4.6998162022176651</v>
      </c>
      <c r="X92" s="106">
        <f t="shared" si="37"/>
        <v>4.8123296269841251</v>
      </c>
      <c r="Y92" s="106">
        <f t="shared" si="38"/>
        <v>4.9049405751582604</v>
      </c>
      <c r="Z92" s="106">
        <f t="shared" si="39"/>
        <v>4.7721237189501764</v>
      </c>
      <c r="AA92" s="106">
        <f t="shared" si="40"/>
        <v>4.8743897539682521</v>
      </c>
      <c r="AB92" s="106">
        <f t="shared" si="41"/>
        <v>4.9578318857752448</v>
      </c>
      <c r="AC92" s="106">
        <f t="shared" si="42"/>
        <v>4.8311212535494938</v>
      </c>
      <c r="AD92" s="106">
        <f t="shared" si="43"/>
        <v>4.9247249603174588</v>
      </c>
      <c r="AE92" s="106">
        <f t="shared" si="44"/>
        <v>5.0021454344627996</v>
      </c>
      <c r="AF92" s="106">
        <f t="shared" si="45"/>
        <v>4.8768088060156121</v>
      </c>
      <c r="AG92" s="106">
        <f t="shared" si="46"/>
        <v>4.963335246031745</v>
      </c>
      <c r="AH92" s="106">
        <f t="shared" si="47"/>
        <v>5.0378812212209256</v>
      </c>
      <c r="AI92" s="106">
        <f t="shared" si="48"/>
        <v>4.4276798893322749</v>
      </c>
      <c r="AJ92" s="106">
        <f t="shared" si="49"/>
        <v>4.5310460650679749</v>
      </c>
      <c r="AK92" s="106">
        <f t="shared" si="50"/>
        <v>4.6187246664230628</v>
      </c>
      <c r="AL92" s="106">
        <f t="shared" si="51"/>
        <v>4.6907156933975465</v>
      </c>
      <c r="AM92" s="106">
        <f t="shared" si="52"/>
        <v>4.7470191459914126</v>
      </c>
      <c r="AY92" s="182">
        <v>5.7799999999999997E-2</v>
      </c>
      <c r="AZ92" s="185">
        <v>74</v>
      </c>
      <c r="BA92" s="182">
        <v>5.7799999999999997E-2</v>
      </c>
      <c r="BL92" s="356"/>
      <c r="BM92" s="356"/>
      <c r="BN92" s="356"/>
      <c r="BO92" s="356"/>
      <c r="BP92" s="356"/>
      <c r="BQ92" s="356"/>
      <c r="BR92" s="356"/>
      <c r="BS92" s="356"/>
      <c r="BT92" s="356"/>
      <c r="BU92" s="356"/>
      <c r="BV92" s="356"/>
      <c r="BW92" s="356"/>
      <c r="BX92" s="356"/>
      <c r="BY92" s="356"/>
      <c r="BZ92" s="356"/>
      <c r="CA92" s="356"/>
      <c r="CB92" s="356"/>
      <c r="CC92" s="356"/>
      <c r="CD92" s="356"/>
      <c r="CE92" s="356"/>
      <c r="CF92" s="356"/>
      <c r="CG92" s="356"/>
      <c r="CH92" s="356"/>
      <c r="CI92" s="356"/>
      <c r="CJ92" s="356"/>
      <c r="CK92" s="356"/>
      <c r="CL92" s="356"/>
      <c r="CM92" s="356"/>
      <c r="CN92" s="356"/>
      <c r="CO92" s="356"/>
      <c r="CP92" s="356"/>
    </row>
    <row r="93" spans="20:94">
      <c r="T93" s="106">
        <f t="shared" si="33"/>
        <v>4.5334500998813425</v>
      </c>
      <c r="U93" s="106">
        <f t="shared" si="34"/>
        <v>4.6563885714285718</v>
      </c>
      <c r="V93" s="106">
        <f t="shared" si="35"/>
        <v>4.7612291200336117</v>
      </c>
      <c r="W93" s="106">
        <f t="shared" si="36"/>
        <v>4.6169677570478393</v>
      </c>
      <c r="X93" s="106">
        <f t="shared" si="37"/>
        <v>4.7282057142857132</v>
      </c>
      <c r="Y93" s="106">
        <f t="shared" si="38"/>
        <v>4.8208993216381995</v>
      </c>
      <c r="Z93" s="106">
        <f t="shared" si="39"/>
        <v>4.6875048741185941</v>
      </c>
      <c r="AA93" s="106">
        <f t="shared" si="40"/>
        <v>4.7886314285714278</v>
      </c>
      <c r="AB93" s="106">
        <f t="shared" si="41"/>
        <v>4.8722016224993849</v>
      </c>
      <c r="AC93" s="106">
        <f t="shared" si="42"/>
        <v>4.745061451093604</v>
      </c>
      <c r="AD93" s="106">
        <f t="shared" si="43"/>
        <v>4.8376657142857136</v>
      </c>
      <c r="AE93" s="106">
        <f t="shared" si="44"/>
        <v>4.9151360226171672</v>
      </c>
      <c r="AF93" s="106">
        <f t="shared" si="45"/>
        <v>4.7896374879728683</v>
      </c>
      <c r="AG93" s="106">
        <f t="shared" si="46"/>
        <v>4.8753085714285715</v>
      </c>
      <c r="AH93" s="106">
        <f t="shared" si="47"/>
        <v>4.9497025219915471</v>
      </c>
      <c r="AI93" s="106">
        <f t="shared" si="48"/>
        <v>4.3490423925604986</v>
      </c>
      <c r="AJ93" s="106">
        <f t="shared" si="49"/>
        <v>4.4501108211910285</v>
      </c>
      <c r="AK93" s="106">
        <f t="shared" si="50"/>
        <v>4.535815042439344</v>
      </c>
      <c r="AL93" s="106">
        <f t="shared" si="51"/>
        <v>4.6061550563054396</v>
      </c>
      <c r="AM93" s="106">
        <f t="shared" si="52"/>
        <v>4.6611308627893138</v>
      </c>
      <c r="AY93" s="182">
        <v>5.7700000000000001E-2</v>
      </c>
      <c r="AZ93" s="185">
        <v>75</v>
      </c>
      <c r="BA93" s="182">
        <v>5.7700000000000001E-2</v>
      </c>
      <c r="BL93" s="356"/>
      <c r="BM93" s="356"/>
      <c r="BN93" s="356"/>
      <c r="BO93" s="356"/>
      <c r="BP93" s="356"/>
      <c r="BQ93" s="356"/>
      <c r="BR93" s="356"/>
      <c r="BS93" s="356"/>
      <c r="BT93" s="356"/>
      <c r="BU93" s="356"/>
      <c r="BV93" s="356"/>
      <c r="BW93" s="356"/>
      <c r="BX93" s="356"/>
      <c r="BY93" s="356"/>
      <c r="BZ93" s="356"/>
      <c r="CA93" s="356"/>
      <c r="CB93" s="356"/>
      <c r="CC93" s="356"/>
      <c r="CD93" s="356"/>
      <c r="CE93" s="356"/>
      <c r="CF93" s="356"/>
      <c r="CG93" s="356"/>
      <c r="CH93" s="356"/>
      <c r="CI93" s="356"/>
      <c r="CJ93" s="356"/>
      <c r="CK93" s="356"/>
      <c r="CL93" s="356"/>
      <c r="CM93" s="356"/>
      <c r="CN93" s="356"/>
      <c r="CO93" s="356"/>
      <c r="CP93" s="356"/>
    </row>
    <row r="94" spans="20:94">
      <c r="T94" s="106">
        <f t="shared" si="33"/>
        <v>4.4525557192956935</v>
      </c>
      <c r="U94" s="106">
        <f t="shared" si="34"/>
        <v>4.5740454092970522</v>
      </c>
      <c r="V94" s="106">
        <f t="shared" si="35"/>
        <v>4.6787135614246189</v>
      </c>
      <c r="W94" s="106">
        <f t="shared" si="36"/>
        <v>4.5339882631921116</v>
      </c>
      <c r="X94" s="106">
        <f t="shared" si="37"/>
        <v>4.6439157358276635</v>
      </c>
      <c r="Y94" s="106">
        <f t="shared" si="38"/>
        <v>4.7366097931493201</v>
      </c>
      <c r="Z94" s="106">
        <f t="shared" si="39"/>
        <v>4.6027672358645395</v>
      </c>
      <c r="AA94" s="106">
        <f t="shared" si="40"/>
        <v>4.7027235907029477</v>
      </c>
      <c r="AB94" s="106">
        <f t="shared" si="41"/>
        <v>4.7863466110735411</v>
      </c>
      <c r="AC94" s="106">
        <f t="shared" si="42"/>
        <v>4.65889263731298</v>
      </c>
      <c r="AD94" s="106">
        <f t="shared" si="43"/>
        <v>4.750468973922902</v>
      </c>
      <c r="AE94" s="106">
        <f t="shared" si="44"/>
        <v>4.8279240151972811</v>
      </c>
      <c r="AF94" s="106">
        <f t="shared" si="45"/>
        <v>4.7023644675374285</v>
      </c>
      <c r="AG94" s="106">
        <f t="shared" si="46"/>
        <v>4.7871518854875283</v>
      </c>
      <c r="AH94" s="106">
        <f t="shared" si="47"/>
        <v>4.8613420055205401</v>
      </c>
      <c r="AI94" s="106">
        <f t="shared" si="48"/>
        <v>4.270321184293655</v>
      </c>
      <c r="AJ94" s="106">
        <f t="shared" si="49"/>
        <v>4.3690970542387841</v>
      </c>
      <c r="AK94" s="106">
        <f t="shared" si="50"/>
        <v>4.4528327036069273</v>
      </c>
      <c r="AL94" s="106">
        <f t="shared" si="51"/>
        <v>4.5215281323980969</v>
      </c>
      <c r="AM94" s="106">
        <f t="shared" si="52"/>
        <v>4.5751833406122788</v>
      </c>
      <c r="AY94" s="182">
        <v>5.7599999999999998E-2</v>
      </c>
      <c r="AZ94" s="185">
        <v>76</v>
      </c>
      <c r="BA94" s="182">
        <v>5.7599999999999998E-2</v>
      </c>
      <c r="BL94" s="356"/>
      <c r="BM94" s="356"/>
      <c r="BN94" s="356"/>
      <c r="BO94" s="356"/>
      <c r="BP94" s="356"/>
      <c r="BQ94" s="356"/>
      <c r="BR94" s="356"/>
      <c r="BS94" s="356"/>
      <c r="BT94" s="356"/>
      <c r="BU94" s="356"/>
      <c r="BV94" s="356"/>
      <c r="BW94" s="356"/>
      <c r="BX94" s="356"/>
      <c r="BY94" s="356"/>
      <c r="BZ94" s="356"/>
      <c r="CA94" s="356"/>
      <c r="CB94" s="356"/>
      <c r="CC94" s="356"/>
      <c r="CD94" s="356"/>
      <c r="CE94" s="356"/>
      <c r="CF94" s="356"/>
      <c r="CG94" s="356"/>
      <c r="CH94" s="356"/>
      <c r="CI94" s="356"/>
      <c r="CJ94" s="356"/>
      <c r="CK94" s="356"/>
      <c r="CL94" s="356"/>
      <c r="CM94" s="356"/>
      <c r="CN94" s="356"/>
      <c r="CO94" s="356"/>
      <c r="CP94" s="356"/>
    </row>
    <row r="95" spans="20:94">
      <c r="T95" s="106">
        <f t="shared" si="33"/>
        <v>4.371515561595011</v>
      </c>
      <c r="U95" s="106">
        <f t="shared" si="34"/>
        <v>4.4915150929705216</v>
      </c>
      <c r="V95" s="106">
        <f t="shared" si="35"/>
        <v>4.5959248267848656</v>
      </c>
      <c r="W95" s="106">
        <f t="shared" si="36"/>
        <v>4.4508777206504782</v>
      </c>
      <c r="X95" s="106">
        <f t="shared" si="37"/>
        <v>4.5594596916099759</v>
      </c>
      <c r="Y95" s="106">
        <f t="shared" si="38"/>
        <v>4.6520719896916214</v>
      </c>
      <c r="Z95" s="106">
        <f t="shared" si="39"/>
        <v>4.5179108041880145</v>
      </c>
      <c r="AA95" s="106">
        <f t="shared" si="40"/>
        <v>4.6166662403628109</v>
      </c>
      <c r="AB95" s="106">
        <f t="shared" si="41"/>
        <v>4.7002668514977124</v>
      </c>
      <c r="AC95" s="106">
        <f t="shared" si="42"/>
        <v>4.57261481220762</v>
      </c>
      <c r="AD95" s="106">
        <f t="shared" si="43"/>
        <v>4.6631347392290241</v>
      </c>
      <c r="AE95" s="106">
        <f t="shared" si="44"/>
        <v>4.7405094122031395</v>
      </c>
      <c r="AF95" s="106">
        <f t="shared" si="45"/>
        <v>4.6149897447092902</v>
      </c>
      <c r="AG95" s="106">
        <f t="shared" si="46"/>
        <v>4.6988651882086163</v>
      </c>
      <c r="AH95" s="106">
        <f t="shared" si="47"/>
        <v>4.7727996718079044</v>
      </c>
      <c r="AI95" s="106">
        <f t="shared" si="48"/>
        <v>4.191516264531745</v>
      </c>
      <c r="AJ95" s="106">
        <f t="shared" si="49"/>
        <v>4.288004764211232</v>
      </c>
      <c r="AK95" s="106">
        <f t="shared" si="50"/>
        <v>4.3697776499258199</v>
      </c>
      <c r="AL95" s="106">
        <f t="shared" si="51"/>
        <v>4.4368349216755139</v>
      </c>
      <c r="AM95" s="106">
        <f t="shared" si="52"/>
        <v>4.4891765794603007</v>
      </c>
      <c r="AY95" s="182">
        <v>5.7500000000000002E-2</v>
      </c>
      <c r="AZ95" s="185">
        <v>77</v>
      </c>
      <c r="BA95" s="182">
        <v>5.7500000000000002E-2</v>
      </c>
      <c r="BL95" s="356"/>
      <c r="BM95" s="356"/>
      <c r="BN95" s="356"/>
      <c r="BO95" s="356"/>
      <c r="BP95" s="356"/>
      <c r="BQ95" s="356"/>
      <c r="BR95" s="356"/>
      <c r="BS95" s="356"/>
      <c r="BT95" s="356"/>
      <c r="BU95" s="356"/>
      <c r="BV95" s="356"/>
      <c r="BW95" s="356"/>
      <c r="BX95" s="356"/>
      <c r="BY95" s="356"/>
      <c r="BZ95" s="356"/>
      <c r="CA95" s="356"/>
      <c r="CB95" s="356"/>
      <c r="CC95" s="356"/>
      <c r="CD95" s="356"/>
      <c r="CE95" s="356"/>
      <c r="CF95" s="356"/>
      <c r="CG95" s="356"/>
      <c r="CH95" s="356"/>
      <c r="CI95" s="356"/>
      <c r="CJ95" s="356"/>
      <c r="CK95" s="356"/>
      <c r="CL95" s="356"/>
      <c r="CM95" s="356"/>
      <c r="CN95" s="356"/>
      <c r="CO95" s="356"/>
      <c r="CP95" s="356"/>
    </row>
    <row r="96" spans="20:94">
      <c r="T96" s="106">
        <f t="shared" si="33"/>
        <v>4.2903296267792932</v>
      </c>
      <c r="U96" s="106">
        <f t="shared" si="34"/>
        <v>4.4087976224489802</v>
      </c>
      <c r="V96" s="106">
        <f t="shared" si="35"/>
        <v>4.512862916114357</v>
      </c>
      <c r="W96" s="106">
        <f t="shared" si="36"/>
        <v>4.3676361294229427</v>
      </c>
      <c r="X96" s="106">
        <f t="shared" si="37"/>
        <v>4.4748375816326522</v>
      </c>
      <c r="Y96" s="106">
        <f t="shared" si="38"/>
        <v>4.5672859112651043</v>
      </c>
      <c r="Z96" s="106">
        <f t="shared" si="39"/>
        <v>4.4329355790890199</v>
      </c>
      <c r="AA96" s="106">
        <f t="shared" si="40"/>
        <v>4.5304593775510194</v>
      </c>
      <c r="AB96" s="106">
        <f t="shared" si="41"/>
        <v>4.6139623437719006</v>
      </c>
      <c r="AC96" s="106">
        <f t="shared" si="42"/>
        <v>4.4862279757775259</v>
      </c>
      <c r="AD96" s="106">
        <f t="shared" si="43"/>
        <v>4.5756630102040807</v>
      </c>
      <c r="AE96" s="106">
        <f t="shared" si="44"/>
        <v>4.6528922136347459</v>
      </c>
      <c r="AF96" s="106">
        <f t="shared" si="45"/>
        <v>4.5275133194884551</v>
      </c>
      <c r="AG96" s="106">
        <f t="shared" si="46"/>
        <v>4.6104484795918372</v>
      </c>
      <c r="AH96" s="106">
        <f t="shared" si="47"/>
        <v>4.6840755208536411</v>
      </c>
      <c r="AI96" s="106">
        <f t="shared" si="48"/>
        <v>4.1126276332747622</v>
      </c>
      <c r="AJ96" s="106">
        <f t="shared" si="49"/>
        <v>4.2068339511083783</v>
      </c>
      <c r="AK96" s="106">
        <f t="shared" si="50"/>
        <v>4.2866498813960208</v>
      </c>
      <c r="AL96" s="106">
        <f t="shared" si="51"/>
        <v>4.3520754241376931</v>
      </c>
      <c r="AM96" s="106">
        <f t="shared" si="52"/>
        <v>4.403110579333382</v>
      </c>
      <c r="AY96" s="182">
        <v>5.74E-2</v>
      </c>
      <c r="AZ96" s="185">
        <v>78</v>
      </c>
      <c r="BA96" s="182">
        <v>5.74E-2</v>
      </c>
      <c r="BL96" s="356"/>
      <c r="BM96" s="356"/>
      <c r="BN96" s="356"/>
      <c r="BO96" s="356"/>
      <c r="BP96" s="356"/>
      <c r="BQ96" s="356"/>
      <c r="BR96" s="356"/>
      <c r="BS96" s="356"/>
      <c r="BT96" s="356"/>
      <c r="BU96" s="356"/>
      <c r="BV96" s="356"/>
      <c r="BW96" s="356"/>
      <c r="BX96" s="356"/>
      <c r="BY96" s="356"/>
      <c r="BZ96" s="356"/>
      <c r="CA96" s="356"/>
      <c r="CB96" s="356"/>
      <c r="CC96" s="356"/>
      <c r="CD96" s="356"/>
      <c r="CE96" s="356"/>
      <c r="CF96" s="356"/>
      <c r="CG96" s="356"/>
      <c r="CH96" s="356"/>
      <c r="CI96" s="356"/>
      <c r="CJ96" s="356"/>
      <c r="CK96" s="356"/>
      <c r="CL96" s="356"/>
      <c r="CM96" s="356"/>
      <c r="CN96" s="356"/>
      <c r="CO96" s="356"/>
      <c r="CP96" s="356"/>
    </row>
    <row r="97" spans="20:94">
      <c r="T97" s="106">
        <f t="shared" si="33"/>
        <v>4.2089979148485401</v>
      </c>
      <c r="U97" s="106">
        <f t="shared" si="34"/>
        <v>4.3258929977324261</v>
      </c>
      <c r="V97" s="106">
        <f t="shared" si="35"/>
        <v>4.4295278294130886</v>
      </c>
      <c r="W97" s="106">
        <f t="shared" si="36"/>
        <v>4.2842634895095033</v>
      </c>
      <c r="X97" s="106">
        <f t="shared" si="37"/>
        <v>4.3900494058956898</v>
      </c>
      <c r="Y97" s="106">
        <f t="shared" si="38"/>
        <v>4.4822515578697679</v>
      </c>
      <c r="Z97" s="106">
        <f t="shared" si="39"/>
        <v>4.3478415605675549</v>
      </c>
      <c r="AA97" s="106">
        <f t="shared" si="40"/>
        <v>4.444103002267572</v>
      </c>
      <c r="AB97" s="106">
        <f t="shared" si="41"/>
        <v>4.5274330878961049</v>
      </c>
      <c r="AC97" s="106">
        <f t="shared" si="42"/>
        <v>4.3997321280226958</v>
      </c>
      <c r="AD97" s="106">
        <f t="shared" si="43"/>
        <v>4.488053786848071</v>
      </c>
      <c r="AE97" s="106">
        <f t="shared" si="44"/>
        <v>4.5650724194920977</v>
      </c>
      <c r="AF97" s="106">
        <f t="shared" si="45"/>
        <v>4.4399351918749232</v>
      </c>
      <c r="AG97" s="106">
        <f t="shared" si="46"/>
        <v>4.5219017596371875</v>
      </c>
      <c r="AH97" s="106">
        <f t="shared" si="47"/>
        <v>4.5951695526577483</v>
      </c>
      <c r="AI97" s="106">
        <f t="shared" si="48"/>
        <v>4.0336552905227112</v>
      </c>
      <c r="AJ97" s="106">
        <f t="shared" si="49"/>
        <v>4.125584614930224</v>
      </c>
      <c r="AK97" s="106">
        <f t="shared" si="50"/>
        <v>4.2034493980175291</v>
      </c>
      <c r="AL97" s="106">
        <f t="shared" si="51"/>
        <v>4.2672496397846329</v>
      </c>
      <c r="AM97" s="106">
        <f t="shared" si="52"/>
        <v>4.3169853402315272</v>
      </c>
      <c r="AY97" s="182">
        <v>5.7299999999999997E-2</v>
      </c>
      <c r="AZ97" s="185">
        <v>79</v>
      </c>
      <c r="BA97" s="182">
        <v>5.7299999999999997E-2</v>
      </c>
      <c r="BL97" s="356"/>
      <c r="BM97" s="356"/>
      <c r="BN97" s="356"/>
      <c r="BO97" s="356"/>
      <c r="BP97" s="356"/>
      <c r="BQ97" s="356"/>
      <c r="BR97" s="356"/>
      <c r="BS97" s="356"/>
      <c r="BT97" s="356"/>
      <c r="BU97" s="356"/>
      <c r="BV97" s="356"/>
      <c r="BW97" s="356"/>
      <c r="BX97" s="356"/>
      <c r="BY97" s="356"/>
      <c r="BZ97" s="356"/>
      <c r="CA97" s="356"/>
      <c r="CB97" s="356"/>
      <c r="CC97" s="356"/>
      <c r="CD97" s="356"/>
      <c r="CE97" s="356"/>
      <c r="CF97" s="356"/>
      <c r="CG97" s="356"/>
      <c r="CH97" s="356"/>
      <c r="CI97" s="356"/>
      <c r="CJ97" s="356"/>
      <c r="CK97" s="356"/>
      <c r="CL97" s="356"/>
      <c r="CM97" s="356"/>
      <c r="CN97" s="356"/>
      <c r="CO97" s="356"/>
      <c r="CP97" s="356"/>
    </row>
    <row r="98" spans="20:94">
      <c r="T98" s="106">
        <f t="shared" si="33"/>
        <v>4.1275204258027554</v>
      </c>
      <c r="U98" s="106">
        <f t="shared" si="34"/>
        <v>4.2428012188208628</v>
      </c>
      <c r="V98" s="106">
        <f t="shared" si="35"/>
        <v>4.3459195666810624</v>
      </c>
      <c r="W98" s="106">
        <f t="shared" si="36"/>
        <v>4.200759800910161</v>
      </c>
      <c r="X98" s="106">
        <f t="shared" si="37"/>
        <v>4.3050951643990922</v>
      </c>
      <c r="Y98" s="106">
        <f t="shared" si="38"/>
        <v>4.396968929505614</v>
      </c>
      <c r="Z98" s="106">
        <f t="shared" si="39"/>
        <v>4.2626287486236194</v>
      </c>
      <c r="AA98" s="106">
        <f t="shared" si="40"/>
        <v>4.3575971145124708</v>
      </c>
      <c r="AB98" s="106">
        <f t="shared" si="41"/>
        <v>4.4406790838703252</v>
      </c>
      <c r="AC98" s="106">
        <f t="shared" si="42"/>
        <v>4.3131272689431315</v>
      </c>
      <c r="AD98" s="106">
        <f t="shared" si="43"/>
        <v>4.4003070691609967</v>
      </c>
      <c r="AE98" s="106">
        <f t="shared" si="44"/>
        <v>4.4770500297751967</v>
      </c>
      <c r="AF98" s="106">
        <f t="shared" si="45"/>
        <v>4.3522553618686954</v>
      </c>
      <c r="AG98" s="106">
        <f t="shared" si="46"/>
        <v>4.4332250283446717</v>
      </c>
      <c r="AH98" s="106">
        <f t="shared" si="47"/>
        <v>4.5060817672202287</v>
      </c>
      <c r="AI98" s="106">
        <f t="shared" si="48"/>
        <v>3.9545992362755942</v>
      </c>
      <c r="AJ98" s="106">
        <f t="shared" si="49"/>
        <v>4.0442567556767646</v>
      </c>
      <c r="AK98" s="106">
        <f t="shared" si="50"/>
        <v>4.1201761997903423</v>
      </c>
      <c r="AL98" s="106">
        <f t="shared" si="51"/>
        <v>4.1823575686163341</v>
      </c>
      <c r="AM98" s="106">
        <f t="shared" si="52"/>
        <v>4.2308008621547311</v>
      </c>
      <c r="AY98" s="182">
        <v>5.7200000000000001E-2</v>
      </c>
      <c r="AZ98" s="185">
        <v>80</v>
      </c>
      <c r="BA98" s="182">
        <v>5.7200000000000001E-2</v>
      </c>
      <c r="BL98" s="356"/>
      <c r="BM98" s="356"/>
      <c r="BN98" s="356"/>
      <c r="BO98" s="356"/>
      <c r="BP98" s="356"/>
      <c r="BQ98" s="356"/>
      <c r="BR98" s="356"/>
      <c r="BS98" s="356"/>
      <c r="BT98" s="356"/>
      <c r="BU98" s="356"/>
      <c r="BV98" s="356"/>
      <c r="BW98" s="356"/>
      <c r="BX98" s="356"/>
      <c r="BY98" s="356"/>
      <c r="BZ98" s="356"/>
      <c r="CA98" s="356"/>
      <c r="CB98" s="356"/>
      <c r="CC98" s="356"/>
      <c r="CD98" s="356"/>
      <c r="CE98" s="356"/>
      <c r="CF98" s="356"/>
      <c r="CG98" s="356"/>
      <c r="CH98" s="356"/>
      <c r="CI98" s="356"/>
      <c r="CJ98" s="356"/>
      <c r="CK98" s="356"/>
      <c r="CL98" s="356"/>
      <c r="CM98" s="356"/>
      <c r="CN98" s="356"/>
      <c r="CO98" s="356"/>
      <c r="CP98" s="356"/>
    </row>
    <row r="99" spans="20:94">
      <c r="T99" s="106">
        <f t="shared" si="33"/>
        <v>4.0458971596419371</v>
      </c>
      <c r="U99" s="106">
        <f t="shared" si="34"/>
        <v>4.1595222857142859</v>
      </c>
      <c r="V99" s="106">
        <f t="shared" si="35"/>
        <v>4.26203812791828</v>
      </c>
      <c r="W99" s="106">
        <f t="shared" si="36"/>
        <v>4.1171250636249157</v>
      </c>
      <c r="X99" s="106">
        <f t="shared" si="37"/>
        <v>4.2199748571428559</v>
      </c>
      <c r="Y99" s="106">
        <f t="shared" si="38"/>
        <v>4.3114380261726426</v>
      </c>
      <c r="Z99" s="106">
        <f t="shared" si="39"/>
        <v>4.1772971432572135</v>
      </c>
      <c r="AA99" s="106">
        <f t="shared" si="40"/>
        <v>4.2709417142857138</v>
      </c>
      <c r="AB99" s="106">
        <f t="shared" si="41"/>
        <v>4.3537003316945624</v>
      </c>
      <c r="AC99" s="106">
        <f t="shared" si="42"/>
        <v>4.226413398538833</v>
      </c>
      <c r="AD99" s="106">
        <f t="shared" si="43"/>
        <v>4.3124228571428569</v>
      </c>
      <c r="AE99" s="106">
        <f t="shared" si="44"/>
        <v>4.3888250444840411</v>
      </c>
      <c r="AF99" s="106">
        <f t="shared" si="45"/>
        <v>4.2644738294697717</v>
      </c>
      <c r="AG99" s="106">
        <f t="shared" si="46"/>
        <v>4.3444182857142852</v>
      </c>
      <c r="AH99" s="106">
        <f t="shared" si="47"/>
        <v>4.4168121645410796</v>
      </c>
      <c r="AI99" s="106">
        <f t="shared" si="48"/>
        <v>3.8754594705334138</v>
      </c>
      <c r="AJ99" s="106">
        <f t="shared" si="49"/>
        <v>3.9628503733480054</v>
      </c>
      <c r="AK99" s="106">
        <f t="shared" si="50"/>
        <v>4.036830286714463</v>
      </c>
      <c r="AL99" s="106">
        <f t="shared" si="51"/>
        <v>4.0973992106327977</v>
      </c>
      <c r="AM99" s="106">
        <f t="shared" si="52"/>
        <v>4.1445571451030014</v>
      </c>
      <c r="AY99" s="182">
        <v>5.7099999999999998E-2</v>
      </c>
      <c r="AZ99" s="185">
        <v>81</v>
      </c>
      <c r="BA99" s="182">
        <v>5.7099999999999998E-2</v>
      </c>
      <c r="BL99" s="356"/>
      <c r="BM99" s="356"/>
      <c r="BN99" s="356"/>
      <c r="BO99" s="356"/>
      <c r="BP99" s="356"/>
      <c r="BQ99" s="356"/>
      <c r="BR99" s="356"/>
      <c r="BS99" s="356"/>
      <c r="BT99" s="356"/>
      <c r="BU99" s="356"/>
      <c r="BV99" s="356"/>
      <c r="BW99" s="356"/>
      <c r="BX99" s="356"/>
      <c r="BY99" s="356"/>
      <c r="BZ99" s="356"/>
      <c r="CA99" s="356"/>
      <c r="CB99" s="356"/>
      <c r="CC99" s="356"/>
      <c r="CD99" s="356"/>
      <c r="CE99" s="356"/>
      <c r="CF99" s="356"/>
      <c r="CG99" s="356"/>
      <c r="CH99" s="356"/>
      <c r="CI99" s="356"/>
      <c r="CJ99" s="356"/>
      <c r="CK99" s="356"/>
      <c r="CL99" s="356"/>
      <c r="CM99" s="356"/>
      <c r="CN99" s="356"/>
      <c r="CO99" s="356"/>
      <c r="CP99" s="356"/>
    </row>
    <row r="100" spans="20:94">
      <c r="T100" s="106">
        <f t="shared" si="33"/>
        <v>3.9641281163660826</v>
      </c>
      <c r="U100" s="106">
        <f t="shared" si="34"/>
        <v>4.0760561984126982</v>
      </c>
      <c r="V100" s="106">
        <f t="shared" si="35"/>
        <v>4.1778835131247378</v>
      </c>
      <c r="W100" s="106">
        <f t="shared" si="36"/>
        <v>4.0333592776537657</v>
      </c>
      <c r="X100" s="106">
        <f t="shared" si="37"/>
        <v>4.1346884841269826</v>
      </c>
      <c r="Y100" s="106">
        <f t="shared" si="38"/>
        <v>4.2256588478708501</v>
      </c>
      <c r="Z100" s="106">
        <f t="shared" si="39"/>
        <v>4.0918467444683371</v>
      </c>
      <c r="AA100" s="106">
        <f t="shared" si="40"/>
        <v>4.1841368015873011</v>
      </c>
      <c r="AB100" s="106">
        <f t="shared" si="41"/>
        <v>4.2664968313688156</v>
      </c>
      <c r="AC100" s="106">
        <f t="shared" si="42"/>
        <v>4.1395905168097986</v>
      </c>
      <c r="AD100" s="106">
        <f t="shared" si="43"/>
        <v>4.2244011507936499</v>
      </c>
      <c r="AE100" s="106">
        <f t="shared" si="44"/>
        <v>4.3003974636186326</v>
      </c>
      <c r="AF100" s="106">
        <f t="shared" si="45"/>
        <v>4.1765905946781485</v>
      </c>
      <c r="AG100" s="106">
        <f t="shared" si="46"/>
        <v>4.2554815317460317</v>
      </c>
      <c r="AH100" s="106">
        <f t="shared" si="47"/>
        <v>4.327360744620302</v>
      </c>
      <c r="AI100" s="106">
        <f t="shared" si="48"/>
        <v>3.7962359932961594</v>
      </c>
      <c r="AJ100" s="106">
        <f t="shared" si="49"/>
        <v>3.8813654679439402</v>
      </c>
      <c r="AK100" s="106">
        <f t="shared" si="50"/>
        <v>3.9534116587898911</v>
      </c>
      <c r="AL100" s="106">
        <f t="shared" si="51"/>
        <v>4.0123745658340217</v>
      </c>
      <c r="AM100" s="106">
        <f t="shared" si="52"/>
        <v>4.0582541890763242</v>
      </c>
      <c r="AY100" s="182">
        <v>5.7000000000000002E-2</v>
      </c>
      <c r="AZ100" s="185">
        <v>82</v>
      </c>
      <c r="BA100" s="182">
        <v>5.7000000000000002E-2</v>
      </c>
      <c r="BL100" s="356"/>
      <c r="BM100" s="356"/>
      <c r="BN100" s="356"/>
      <c r="BO100" s="356"/>
      <c r="BP100" s="356"/>
      <c r="BQ100" s="356"/>
      <c r="BR100" s="356"/>
      <c r="BS100" s="356"/>
      <c r="BT100" s="356"/>
      <c r="BU100" s="356"/>
      <c r="BV100" s="356"/>
      <c r="BW100" s="356"/>
      <c r="BX100" s="356"/>
      <c r="BY100" s="356"/>
      <c r="BZ100" s="356"/>
      <c r="CA100" s="356"/>
      <c r="CB100" s="356"/>
      <c r="CC100" s="356"/>
      <c r="CD100" s="356"/>
      <c r="CE100" s="356"/>
      <c r="CF100" s="356"/>
      <c r="CG100" s="356"/>
      <c r="CH100" s="356"/>
      <c r="CI100" s="356"/>
      <c r="CJ100" s="356"/>
      <c r="CK100" s="356"/>
      <c r="CL100" s="356"/>
      <c r="CM100" s="356"/>
      <c r="CN100" s="356"/>
      <c r="CO100" s="356"/>
      <c r="CP100" s="356"/>
    </row>
    <row r="101" spans="20:94">
      <c r="T101" s="106">
        <f t="shared" si="33"/>
        <v>3.8822132959751956</v>
      </c>
      <c r="U101" s="106">
        <f t="shared" si="34"/>
        <v>3.9924029569160999</v>
      </c>
      <c r="V101" s="106">
        <f t="shared" si="35"/>
        <v>4.0934557223004377</v>
      </c>
      <c r="W101" s="106">
        <f t="shared" si="36"/>
        <v>3.9494624429967127</v>
      </c>
      <c r="X101" s="106">
        <f t="shared" si="37"/>
        <v>4.0492360453514733</v>
      </c>
      <c r="Y101" s="106">
        <f t="shared" si="38"/>
        <v>4.1396313946002401</v>
      </c>
      <c r="Z101" s="106">
        <f t="shared" si="39"/>
        <v>4.0062775522569911</v>
      </c>
      <c r="AA101" s="106">
        <f t="shared" si="40"/>
        <v>4.0971823764172326</v>
      </c>
      <c r="AB101" s="106">
        <f t="shared" si="41"/>
        <v>4.179068582893084</v>
      </c>
      <c r="AC101" s="106">
        <f t="shared" si="42"/>
        <v>4.05265862375603</v>
      </c>
      <c r="AD101" s="106">
        <f t="shared" si="43"/>
        <v>4.1362419501133783</v>
      </c>
      <c r="AE101" s="106">
        <f t="shared" si="44"/>
        <v>4.2117672871789695</v>
      </c>
      <c r="AF101" s="106">
        <f t="shared" si="45"/>
        <v>4.0886056574938294</v>
      </c>
      <c r="AG101" s="106">
        <f t="shared" si="46"/>
        <v>4.1664147664399094</v>
      </c>
      <c r="AH101" s="106">
        <f t="shared" si="47"/>
        <v>4.2377275074578975</v>
      </c>
      <c r="AI101" s="106">
        <f t="shared" si="48"/>
        <v>3.7169288045638389</v>
      </c>
      <c r="AJ101" s="106">
        <f t="shared" si="49"/>
        <v>3.7998020394645717</v>
      </c>
      <c r="AK101" s="106">
        <f t="shared" si="50"/>
        <v>3.8699203160166289</v>
      </c>
      <c r="AL101" s="106">
        <f t="shared" si="51"/>
        <v>3.9272836342200077</v>
      </c>
      <c r="AM101" s="106">
        <f t="shared" si="52"/>
        <v>3.9718919940747095</v>
      </c>
      <c r="AY101" s="182">
        <v>5.6899999999999999E-2</v>
      </c>
      <c r="AZ101" s="185">
        <v>83</v>
      </c>
      <c r="BA101" s="182">
        <v>5.6899999999999999E-2</v>
      </c>
      <c r="BL101" s="356"/>
      <c r="BM101" s="356"/>
      <c r="BN101" s="356"/>
      <c r="BO101" s="356"/>
      <c r="BP101" s="356"/>
      <c r="BQ101" s="356"/>
      <c r="BR101" s="356"/>
      <c r="BS101" s="356"/>
      <c r="BT101" s="356"/>
      <c r="BU101" s="356"/>
      <c r="BV101" s="356"/>
      <c r="BW101" s="356"/>
      <c r="BX101" s="356"/>
      <c r="BY101" s="356"/>
      <c r="BZ101" s="356"/>
      <c r="CA101" s="356"/>
      <c r="CB101" s="356"/>
      <c r="CC101" s="356"/>
      <c r="CD101" s="356"/>
      <c r="CE101" s="356"/>
      <c r="CF101" s="356"/>
      <c r="CG101" s="356"/>
      <c r="CH101" s="356"/>
      <c r="CI101" s="356"/>
      <c r="CJ101" s="356"/>
      <c r="CK101" s="356"/>
      <c r="CL101" s="356"/>
      <c r="CM101" s="356"/>
      <c r="CN101" s="356"/>
      <c r="CO101" s="356"/>
      <c r="CP101" s="356"/>
    </row>
    <row r="102" spans="20:94">
      <c r="T102" s="106">
        <f t="shared" si="33"/>
        <v>3.8001526984692737</v>
      </c>
      <c r="U102" s="106">
        <f t="shared" si="34"/>
        <v>3.9085625612244894</v>
      </c>
      <c r="V102" s="106">
        <f t="shared" si="35"/>
        <v>4.0087547554453806</v>
      </c>
      <c r="W102" s="106">
        <f t="shared" si="36"/>
        <v>3.8654345596537558</v>
      </c>
      <c r="X102" s="106">
        <f t="shared" si="37"/>
        <v>3.9636175408163252</v>
      </c>
      <c r="Y102" s="106">
        <f t="shared" si="38"/>
        <v>4.0533556663608117</v>
      </c>
      <c r="Z102" s="106">
        <f t="shared" si="39"/>
        <v>3.9205895666231738</v>
      </c>
      <c r="AA102" s="106">
        <f t="shared" si="40"/>
        <v>4.0100784387755084</v>
      </c>
      <c r="AB102" s="106">
        <f t="shared" si="41"/>
        <v>4.0914155862673693</v>
      </c>
      <c r="AC102" s="106">
        <f t="shared" si="42"/>
        <v>3.9656177193775259</v>
      </c>
      <c r="AD102" s="106">
        <f t="shared" si="43"/>
        <v>4.0479452551020394</v>
      </c>
      <c r="AE102" s="106">
        <f t="shared" si="44"/>
        <v>4.1229345151650527</v>
      </c>
      <c r="AF102" s="106">
        <f t="shared" si="45"/>
        <v>4.0005190179168135</v>
      </c>
      <c r="AG102" s="106">
        <f t="shared" si="46"/>
        <v>4.0772179897959182</v>
      </c>
      <c r="AH102" s="106">
        <f t="shared" si="47"/>
        <v>4.1479124530538636</v>
      </c>
      <c r="AI102" s="106">
        <f t="shared" si="48"/>
        <v>3.6375379043364502</v>
      </c>
      <c r="AJ102" s="106">
        <f t="shared" si="49"/>
        <v>3.7181600879099017</v>
      </c>
      <c r="AK102" s="106">
        <f t="shared" si="50"/>
        <v>3.7863562583946719</v>
      </c>
      <c r="AL102" s="106">
        <f t="shared" si="51"/>
        <v>3.842126415790756</v>
      </c>
      <c r="AM102" s="106">
        <f t="shared" si="52"/>
        <v>3.8854705600981565</v>
      </c>
      <c r="AY102" s="182">
        <v>5.6800000000000003E-2</v>
      </c>
      <c r="AZ102" s="185">
        <v>84</v>
      </c>
      <c r="BA102" s="182">
        <v>5.6800000000000003E-2</v>
      </c>
    </row>
    <row r="103" spans="20:94">
      <c r="T103" s="106">
        <f t="shared" si="33"/>
        <v>3.7179463238483184</v>
      </c>
      <c r="U103" s="106">
        <f t="shared" si="34"/>
        <v>3.8245350113378684</v>
      </c>
      <c r="V103" s="106">
        <f t="shared" si="35"/>
        <v>3.9237806125595656</v>
      </c>
      <c r="W103" s="106">
        <f t="shared" si="36"/>
        <v>3.7812756276248969</v>
      </c>
      <c r="X103" s="106">
        <f t="shared" si="37"/>
        <v>3.8778329705215411</v>
      </c>
      <c r="Y103" s="106">
        <f t="shared" si="38"/>
        <v>3.9668316631525649</v>
      </c>
      <c r="Z103" s="106">
        <f t="shared" si="39"/>
        <v>3.834782787566887</v>
      </c>
      <c r="AA103" s="106">
        <f t="shared" si="40"/>
        <v>3.9228249886621303</v>
      </c>
      <c r="AB103" s="106">
        <f t="shared" si="41"/>
        <v>4.0035378414916707</v>
      </c>
      <c r="AC103" s="106">
        <f t="shared" si="42"/>
        <v>3.8784678036742881</v>
      </c>
      <c r="AD103" s="106">
        <f t="shared" si="43"/>
        <v>3.9595110657596368</v>
      </c>
      <c r="AE103" s="106">
        <f t="shared" si="44"/>
        <v>4.0338991475768831</v>
      </c>
      <c r="AF103" s="106">
        <f t="shared" si="45"/>
        <v>3.9123306759471008</v>
      </c>
      <c r="AG103" s="106">
        <f t="shared" si="46"/>
        <v>3.9878912018140591</v>
      </c>
      <c r="AH103" s="106">
        <f t="shared" si="47"/>
        <v>4.057915581408202</v>
      </c>
      <c r="AI103" s="106">
        <f t="shared" si="48"/>
        <v>3.5580632926139932</v>
      </c>
      <c r="AJ103" s="106">
        <f t="shared" si="49"/>
        <v>3.6364396132799306</v>
      </c>
      <c r="AK103" s="106">
        <f t="shared" si="50"/>
        <v>3.702719485924022</v>
      </c>
      <c r="AL103" s="106">
        <f t="shared" si="51"/>
        <v>3.7569029105462652</v>
      </c>
      <c r="AM103" s="106">
        <f t="shared" si="52"/>
        <v>3.7989898871466634</v>
      </c>
      <c r="AY103" s="182">
        <v>5.67E-2</v>
      </c>
      <c r="AZ103" s="185">
        <v>85</v>
      </c>
      <c r="BA103" s="182">
        <v>5.67E-2</v>
      </c>
    </row>
    <row r="104" spans="20:94">
      <c r="T104" s="106">
        <f t="shared" si="33"/>
        <v>3.6355941721123286</v>
      </c>
      <c r="U104" s="106">
        <f t="shared" si="34"/>
        <v>3.7403203072562357</v>
      </c>
      <c r="V104" s="106">
        <f t="shared" si="35"/>
        <v>3.8385332936429926</v>
      </c>
      <c r="W104" s="106">
        <f t="shared" si="36"/>
        <v>3.6969856469101341</v>
      </c>
      <c r="X104" s="106">
        <f t="shared" si="37"/>
        <v>3.7918823344671195</v>
      </c>
      <c r="Y104" s="106">
        <f t="shared" si="38"/>
        <v>3.8800593849754992</v>
      </c>
      <c r="Z104" s="106">
        <f t="shared" si="39"/>
        <v>3.7488572150881296</v>
      </c>
      <c r="AA104" s="106">
        <f t="shared" si="40"/>
        <v>3.8354220260770964</v>
      </c>
      <c r="AB104" s="106">
        <f t="shared" si="41"/>
        <v>3.9154353485659881</v>
      </c>
      <c r="AC104" s="106">
        <f t="shared" si="42"/>
        <v>3.7912088766463148</v>
      </c>
      <c r="AD104" s="106">
        <f t="shared" si="43"/>
        <v>3.8709393820861675</v>
      </c>
      <c r="AE104" s="106">
        <f t="shared" si="44"/>
        <v>3.9446611844144592</v>
      </c>
      <c r="AF104" s="106">
        <f t="shared" si="45"/>
        <v>3.8240406315846904</v>
      </c>
      <c r="AG104" s="106">
        <f t="shared" si="46"/>
        <v>3.8984344024943312</v>
      </c>
      <c r="AH104" s="106">
        <f t="shared" si="47"/>
        <v>3.9677368925209118</v>
      </c>
      <c r="AI104" s="106">
        <f t="shared" si="48"/>
        <v>3.478504969396468</v>
      </c>
      <c r="AJ104" s="106">
        <f t="shared" si="49"/>
        <v>3.5546406155746562</v>
      </c>
      <c r="AK104" s="106">
        <f t="shared" si="50"/>
        <v>3.6190099986046795</v>
      </c>
      <c r="AL104" s="106">
        <f t="shared" si="51"/>
        <v>3.6716131184865359</v>
      </c>
      <c r="AM104" s="106">
        <f t="shared" si="52"/>
        <v>3.7124499752202293</v>
      </c>
      <c r="AY104" s="182">
        <v>5.6599999999999998E-2</v>
      </c>
      <c r="AZ104" s="185">
        <v>86</v>
      </c>
      <c r="BA104" s="182">
        <v>5.6599999999999998E-2</v>
      </c>
    </row>
    <row r="105" spans="20:94">
      <c r="T105" s="106">
        <f t="shared" si="33"/>
        <v>3.5530962432613054</v>
      </c>
      <c r="U105" s="106">
        <f t="shared" si="34"/>
        <v>3.6559184489795915</v>
      </c>
      <c r="V105" s="106">
        <f t="shared" si="35"/>
        <v>3.7530127986956616</v>
      </c>
      <c r="W105" s="106">
        <f t="shared" si="36"/>
        <v>3.6125646175094674</v>
      </c>
      <c r="X105" s="106">
        <f t="shared" si="37"/>
        <v>3.7057656326530606</v>
      </c>
      <c r="Y105" s="106">
        <f t="shared" si="38"/>
        <v>3.7930388318296155</v>
      </c>
      <c r="Z105" s="106">
        <f t="shared" si="39"/>
        <v>3.662812849186901</v>
      </c>
      <c r="AA105" s="106">
        <f t="shared" si="40"/>
        <v>3.7478695510204068</v>
      </c>
      <c r="AB105" s="106">
        <f t="shared" si="41"/>
        <v>3.8271081074903224</v>
      </c>
      <c r="AC105" s="106">
        <f t="shared" si="42"/>
        <v>3.7038409382936068</v>
      </c>
      <c r="AD105" s="106">
        <f t="shared" si="43"/>
        <v>3.7822302040816322</v>
      </c>
      <c r="AE105" s="106">
        <f t="shared" si="44"/>
        <v>3.8552206256777817</v>
      </c>
      <c r="AF105" s="106">
        <f t="shared" si="45"/>
        <v>3.7356488848295841</v>
      </c>
      <c r="AG105" s="106">
        <f t="shared" si="46"/>
        <v>3.8088475918367348</v>
      </c>
      <c r="AH105" s="106">
        <f t="shared" si="47"/>
        <v>3.877376386391993</v>
      </c>
      <c r="AI105" s="106">
        <f t="shared" si="48"/>
        <v>3.3988629346838763</v>
      </c>
      <c r="AJ105" s="106">
        <f t="shared" si="49"/>
        <v>3.472763094794078</v>
      </c>
      <c r="AK105" s="106">
        <f t="shared" si="50"/>
        <v>3.5352277964366423</v>
      </c>
      <c r="AL105" s="106">
        <f t="shared" si="51"/>
        <v>3.5862570396115689</v>
      </c>
      <c r="AM105" s="106">
        <f t="shared" si="52"/>
        <v>3.6258508243188583</v>
      </c>
      <c r="AY105" s="182">
        <v>5.6500000000000002E-2</v>
      </c>
      <c r="AZ105" s="185">
        <v>87</v>
      </c>
      <c r="BA105" s="182">
        <v>5.6500000000000002E-2</v>
      </c>
    </row>
    <row r="106" spans="20:94">
      <c r="T106" s="106">
        <f t="shared" si="33"/>
        <v>3.4704525372952482</v>
      </c>
      <c r="U106" s="106">
        <f t="shared" si="34"/>
        <v>3.5713294365079364</v>
      </c>
      <c r="V106" s="106">
        <f t="shared" si="35"/>
        <v>3.6672191277175727</v>
      </c>
      <c r="W106" s="106">
        <f t="shared" si="36"/>
        <v>3.5280125394228978</v>
      </c>
      <c r="X106" s="106">
        <f t="shared" si="37"/>
        <v>3.6194828650793647</v>
      </c>
      <c r="Y106" s="106">
        <f t="shared" si="38"/>
        <v>3.7057700037149135</v>
      </c>
      <c r="Z106" s="106">
        <f t="shared" si="39"/>
        <v>3.5766496898632028</v>
      </c>
      <c r="AA106" s="106">
        <f t="shared" si="40"/>
        <v>3.6601675634920632</v>
      </c>
      <c r="AB106" s="106">
        <f t="shared" si="41"/>
        <v>3.7385561182646727</v>
      </c>
      <c r="AC106" s="106">
        <f t="shared" si="42"/>
        <v>3.6163639886161643</v>
      </c>
      <c r="AD106" s="106">
        <f t="shared" si="43"/>
        <v>3.6933835317460315</v>
      </c>
      <c r="AE106" s="106">
        <f t="shared" si="44"/>
        <v>3.7655774713668504</v>
      </c>
      <c r="AF106" s="106">
        <f t="shared" si="45"/>
        <v>3.647155435681781</v>
      </c>
      <c r="AG106" s="106">
        <f t="shared" si="46"/>
        <v>3.7191307698412701</v>
      </c>
      <c r="AH106" s="106">
        <f t="shared" si="47"/>
        <v>3.7868340630214474</v>
      </c>
      <c r="AI106" s="106">
        <f t="shared" si="48"/>
        <v>3.3191371884762155</v>
      </c>
      <c r="AJ106" s="106">
        <f t="shared" si="49"/>
        <v>3.3908070509381973</v>
      </c>
      <c r="AK106" s="106">
        <f t="shared" si="50"/>
        <v>3.4513728794199121</v>
      </c>
      <c r="AL106" s="106">
        <f t="shared" si="51"/>
        <v>3.5008346739213634</v>
      </c>
      <c r="AM106" s="106">
        <f t="shared" si="52"/>
        <v>3.5391924344425476</v>
      </c>
      <c r="AY106" s="182">
        <v>5.6399999999999999E-2</v>
      </c>
      <c r="AZ106" s="185">
        <v>88</v>
      </c>
      <c r="BA106" s="182">
        <v>5.6399999999999999E-2</v>
      </c>
    </row>
    <row r="107" spans="20:94">
      <c r="T107" s="106">
        <f t="shared" si="33"/>
        <v>3.3876630542141557</v>
      </c>
      <c r="U107" s="106">
        <f t="shared" si="34"/>
        <v>3.48655326984127</v>
      </c>
      <c r="V107" s="106">
        <f t="shared" si="35"/>
        <v>3.5811522807087268</v>
      </c>
      <c r="W107" s="106">
        <f t="shared" si="36"/>
        <v>3.4433294126504244</v>
      </c>
      <c r="X107" s="106">
        <f t="shared" si="37"/>
        <v>3.5330340317460314</v>
      </c>
      <c r="Y107" s="106">
        <f t="shared" si="38"/>
        <v>3.6182529006313926</v>
      </c>
      <c r="Z107" s="106">
        <f t="shared" si="39"/>
        <v>3.4903677371170341</v>
      </c>
      <c r="AA107" s="106">
        <f t="shared" si="40"/>
        <v>3.572316063492063</v>
      </c>
      <c r="AB107" s="106">
        <f t="shared" si="41"/>
        <v>3.6497793808890386</v>
      </c>
      <c r="AC107" s="106">
        <f t="shared" si="42"/>
        <v>3.5287780276139866</v>
      </c>
      <c r="AD107" s="106">
        <f t="shared" si="43"/>
        <v>3.6043993650793649</v>
      </c>
      <c r="AE107" s="106">
        <f t="shared" si="44"/>
        <v>3.6757317214816654</v>
      </c>
      <c r="AF107" s="106">
        <f t="shared" si="45"/>
        <v>3.5585602841412802</v>
      </c>
      <c r="AG107" s="106">
        <f t="shared" si="46"/>
        <v>3.6292839365079366</v>
      </c>
      <c r="AH107" s="106">
        <f t="shared" si="47"/>
        <v>3.6961099224092715</v>
      </c>
      <c r="AI107" s="106">
        <f t="shared" si="48"/>
        <v>3.2393277307734842</v>
      </c>
      <c r="AJ107" s="106">
        <f t="shared" si="49"/>
        <v>3.3087724840070138</v>
      </c>
      <c r="AK107" s="106">
        <f t="shared" si="50"/>
        <v>3.3674452475544907</v>
      </c>
      <c r="AL107" s="106">
        <f t="shared" si="51"/>
        <v>3.4153460214159193</v>
      </c>
      <c r="AM107" s="106">
        <f t="shared" si="52"/>
        <v>3.4524748055912955</v>
      </c>
      <c r="AY107" s="182">
        <v>5.6300000000000003E-2</v>
      </c>
      <c r="AZ107" s="185">
        <v>89</v>
      </c>
      <c r="BA107" s="182">
        <v>5.6300000000000003E-2</v>
      </c>
    </row>
    <row r="108" spans="20:94">
      <c r="T108" s="106">
        <f t="shared" si="33"/>
        <v>3.3047277940180302</v>
      </c>
      <c r="U108" s="106">
        <f t="shared" si="34"/>
        <v>3.4015899489795918</v>
      </c>
      <c r="V108" s="106">
        <f t="shared" si="35"/>
        <v>3.4948122576691221</v>
      </c>
      <c r="W108" s="106">
        <f t="shared" si="36"/>
        <v>3.3585152371920479</v>
      </c>
      <c r="X108" s="106">
        <f t="shared" si="37"/>
        <v>3.4464191326530607</v>
      </c>
      <c r="Y108" s="106">
        <f t="shared" si="38"/>
        <v>3.5304875225790529</v>
      </c>
      <c r="Z108" s="106">
        <f t="shared" si="39"/>
        <v>3.4039669909483949</v>
      </c>
      <c r="AA108" s="106">
        <f t="shared" si="40"/>
        <v>3.4843150510204071</v>
      </c>
      <c r="AB108" s="106">
        <f t="shared" si="41"/>
        <v>3.560777895363421</v>
      </c>
      <c r="AC108" s="106">
        <f t="shared" si="42"/>
        <v>3.4410830552870739</v>
      </c>
      <c r="AD108" s="106">
        <f t="shared" si="43"/>
        <v>3.5152777040816323</v>
      </c>
      <c r="AE108" s="106">
        <f t="shared" si="44"/>
        <v>3.5856833760222262</v>
      </c>
      <c r="AF108" s="106">
        <f t="shared" si="45"/>
        <v>3.4698634302080826</v>
      </c>
      <c r="AG108" s="106">
        <f t="shared" si="46"/>
        <v>3.5393070918367351</v>
      </c>
      <c r="AH108" s="106">
        <f t="shared" si="47"/>
        <v>3.6052039645554688</v>
      </c>
      <c r="AI108" s="106">
        <f t="shared" si="48"/>
        <v>3.1594345615756878</v>
      </c>
      <c r="AJ108" s="106">
        <f t="shared" si="49"/>
        <v>3.2266593940005288</v>
      </c>
      <c r="AK108" s="106">
        <f t="shared" si="50"/>
        <v>3.2834449008403768</v>
      </c>
      <c r="AL108" s="106">
        <f t="shared" si="51"/>
        <v>3.3297910820952366</v>
      </c>
      <c r="AM108" s="106">
        <f t="shared" si="52"/>
        <v>3.3656979377651037</v>
      </c>
      <c r="AY108" s="182">
        <v>5.62E-2</v>
      </c>
      <c r="AZ108" s="185">
        <v>90</v>
      </c>
      <c r="BA108" s="182">
        <v>5.62E-2</v>
      </c>
    </row>
    <row r="109" spans="20:94">
      <c r="T109" s="106">
        <f t="shared" si="33"/>
        <v>3.2216467567068703</v>
      </c>
      <c r="U109" s="106">
        <f t="shared" si="34"/>
        <v>3.3164394739229022</v>
      </c>
      <c r="V109" s="106">
        <f t="shared" si="35"/>
        <v>3.4081990585987594</v>
      </c>
      <c r="W109" s="106">
        <f t="shared" si="36"/>
        <v>3.2735700130477676</v>
      </c>
      <c r="X109" s="106">
        <f t="shared" si="37"/>
        <v>3.359638167800453</v>
      </c>
      <c r="Y109" s="106">
        <f t="shared" si="38"/>
        <v>3.4424738695578947</v>
      </c>
      <c r="Z109" s="106">
        <f t="shared" si="39"/>
        <v>3.3174474513572854</v>
      </c>
      <c r="AA109" s="106">
        <f t="shared" si="40"/>
        <v>3.3961645260770972</v>
      </c>
      <c r="AB109" s="106">
        <f t="shared" si="41"/>
        <v>3.4715516616878195</v>
      </c>
      <c r="AC109" s="106">
        <f t="shared" si="42"/>
        <v>3.3532790716354266</v>
      </c>
      <c r="AD109" s="106">
        <f t="shared" si="43"/>
        <v>3.4260185487528338</v>
      </c>
      <c r="AE109" s="106">
        <f t="shared" si="44"/>
        <v>3.4954324349885337</v>
      </c>
      <c r="AF109" s="106">
        <f t="shared" si="45"/>
        <v>3.3810648738821891</v>
      </c>
      <c r="AG109" s="106">
        <f t="shared" si="46"/>
        <v>3.4492002358276648</v>
      </c>
      <c r="AH109" s="106">
        <f t="shared" si="47"/>
        <v>3.5141161894600366</v>
      </c>
      <c r="AI109" s="106">
        <f t="shared" si="48"/>
        <v>3.0794576808828227</v>
      </c>
      <c r="AJ109" s="106">
        <f t="shared" si="49"/>
        <v>3.1444677809187396</v>
      </c>
      <c r="AK109" s="106">
        <f t="shared" si="50"/>
        <v>3.1993718392775676</v>
      </c>
      <c r="AL109" s="106">
        <f t="shared" si="51"/>
        <v>3.2441698559593157</v>
      </c>
      <c r="AM109" s="106">
        <f t="shared" si="52"/>
        <v>3.2788618309639759</v>
      </c>
      <c r="AY109" s="182">
        <v>5.6099999999999997E-2</v>
      </c>
      <c r="AZ109" s="185">
        <v>91</v>
      </c>
      <c r="BA109" s="182">
        <v>5.6099999999999997E-2</v>
      </c>
    </row>
    <row r="110" spans="20:94">
      <c r="T110" s="106">
        <f t="shared" si="33"/>
        <v>3.1384199422806764</v>
      </c>
      <c r="U110" s="106">
        <f t="shared" si="34"/>
        <v>3.2311018446712017</v>
      </c>
      <c r="V110" s="106">
        <f t="shared" si="35"/>
        <v>3.3213126834976388</v>
      </c>
      <c r="W110" s="106">
        <f t="shared" si="36"/>
        <v>3.1884937402175835</v>
      </c>
      <c r="X110" s="106">
        <f t="shared" si="37"/>
        <v>3.2726911371882079</v>
      </c>
      <c r="Y110" s="106">
        <f t="shared" si="38"/>
        <v>3.3542119415679181</v>
      </c>
      <c r="Z110" s="106">
        <f t="shared" si="39"/>
        <v>3.2308091183437062</v>
      </c>
      <c r="AA110" s="106">
        <f t="shared" si="40"/>
        <v>3.3078644886621307</v>
      </c>
      <c r="AB110" s="106">
        <f t="shared" si="41"/>
        <v>3.3821006798622344</v>
      </c>
      <c r="AC110" s="106">
        <f t="shared" si="42"/>
        <v>3.2653660766590442</v>
      </c>
      <c r="AD110" s="106">
        <f t="shared" si="43"/>
        <v>3.3366218990929699</v>
      </c>
      <c r="AE110" s="106">
        <f t="shared" si="44"/>
        <v>3.4049788983805875</v>
      </c>
      <c r="AF110" s="106">
        <f t="shared" si="45"/>
        <v>3.292164615163597</v>
      </c>
      <c r="AG110" s="106">
        <f t="shared" si="46"/>
        <v>3.3589633684807256</v>
      </c>
      <c r="AH110" s="106">
        <f t="shared" si="47"/>
        <v>3.4228465971229767</v>
      </c>
      <c r="AI110" s="106">
        <f t="shared" si="48"/>
        <v>2.9993970886948889</v>
      </c>
      <c r="AJ110" s="106">
        <f t="shared" si="49"/>
        <v>3.062197644761647</v>
      </c>
      <c r="AK110" s="106">
        <f t="shared" si="50"/>
        <v>3.1152260628660695</v>
      </c>
      <c r="AL110" s="106">
        <f t="shared" si="51"/>
        <v>3.1584823430081554</v>
      </c>
      <c r="AM110" s="106">
        <f t="shared" si="52"/>
        <v>3.1919664851879039</v>
      </c>
      <c r="AY110" s="182">
        <v>5.6000000000000001E-2</v>
      </c>
      <c r="AZ110" s="185">
        <v>92</v>
      </c>
      <c r="BA110" s="182">
        <v>5.6000000000000001E-2</v>
      </c>
    </row>
    <row r="111" spans="20:94">
      <c r="T111" s="106">
        <f t="shared" si="33"/>
        <v>3.0550473507394491</v>
      </c>
      <c r="U111" s="106">
        <f t="shared" si="34"/>
        <v>3.1455770612244898</v>
      </c>
      <c r="V111" s="106">
        <f t="shared" si="35"/>
        <v>3.2341531323657611</v>
      </c>
      <c r="W111" s="106">
        <f t="shared" si="36"/>
        <v>3.1032864187014972</v>
      </c>
      <c r="X111" s="106">
        <f t="shared" si="37"/>
        <v>3.1855780408163263</v>
      </c>
      <c r="Y111" s="106">
        <f t="shared" si="38"/>
        <v>3.2657017386091236</v>
      </c>
      <c r="Z111" s="106">
        <f t="shared" si="39"/>
        <v>3.1440519919076566</v>
      </c>
      <c r="AA111" s="106">
        <f t="shared" si="40"/>
        <v>3.2194149387755093</v>
      </c>
      <c r="AB111" s="106">
        <f t="shared" si="41"/>
        <v>3.2924249498866658</v>
      </c>
      <c r="AC111" s="106">
        <f t="shared" si="42"/>
        <v>3.1773440703579272</v>
      </c>
      <c r="AD111" s="106">
        <f t="shared" si="43"/>
        <v>3.2470877551020405</v>
      </c>
      <c r="AE111" s="106">
        <f t="shared" si="44"/>
        <v>3.3143227661983876</v>
      </c>
      <c r="AF111" s="106">
        <f t="shared" si="45"/>
        <v>3.2031626540523099</v>
      </c>
      <c r="AG111" s="106">
        <f t="shared" si="46"/>
        <v>3.268596489795919</v>
      </c>
      <c r="AH111" s="106">
        <f t="shared" si="47"/>
        <v>3.3313951875442891</v>
      </c>
      <c r="AI111" s="106">
        <f t="shared" si="48"/>
        <v>2.9192527850118881</v>
      </c>
      <c r="AJ111" s="106">
        <f t="shared" si="49"/>
        <v>2.9798489855292534</v>
      </c>
      <c r="AK111" s="106">
        <f t="shared" si="50"/>
        <v>3.0310075716058775</v>
      </c>
      <c r="AL111" s="106">
        <f t="shared" si="51"/>
        <v>3.072728543241757</v>
      </c>
      <c r="AM111" s="106">
        <f t="shared" si="52"/>
        <v>3.1050119004368963</v>
      </c>
      <c r="AY111" s="182">
        <v>5.5899999999999998E-2</v>
      </c>
      <c r="AZ111" s="185">
        <v>93</v>
      </c>
      <c r="BA111" s="182">
        <v>5.5899999999999998E-2</v>
      </c>
    </row>
    <row r="112" spans="20:94">
      <c r="T112" s="106">
        <f t="shared" si="33"/>
        <v>2.9715289820831874</v>
      </c>
      <c r="U112" s="106">
        <f t="shared" si="34"/>
        <v>3.0598651235827665</v>
      </c>
      <c r="V112" s="106">
        <f t="shared" si="35"/>
        <v>3.1467204052031246</v>
      </c>
      <c r="W112" s="106">
        <f t="shared" si="36"/>
        <v>3.0179480484995072</v>
      </c>
      <c r="X112" s="106">
        <f t="shared" si="37"/>
        <v>3.0982988786848069</v>
      </c>
      <c r="Y112" s="106">
        <f t="shared" si="38"/>
        <v>3.1769432606815098</v>
      </c>
      <c r="Z112" s="106">
        <f t="shared" si="39"/>
        <v>3.0571760720491357</v>
      </c>
      <c r="AA112" s="106">
        <f t="shared" si="40"/>
        <v>3.1308158764172331</v>
      </c>
      <c r="AB112" s="106">
        <f t="shared" si="41"/>
        <v>3.2025244717611128</v>
      </c>
      <c r="AC112" s="106">
        <f t="shared" si="42"/>
        <v>3.0892130527320751</v>
      </c>
      <c r="AD112" s="106">
        <f t="shared" si="43"/>
        <v>3.1574161167800452</v>
      </c>
      <c r="AE112" s="106">
        <f t="shared" si="44"/>
        <v>3.2234640384419335</v>
      </c>
      <c r="AF112" s="106">
        <f t="shared" si="45"/>
        <v>3.1140589905483251</v>
      </c>
      <c r="AG112" s="106">
        <f t="shared" si="46"/>
        <v>3.1780995997732431</v>
      </c>
      <c r="AH112" s="106">
        <f t="shared" si="47"/>
        <v>3.239761960723972</v>
      </c>
      <c r="AI112" s="106">
        <f t="shared" si="48"/>
        <v>2.8390247698338187</v>
      </c>
      <c r="AJ112" s="106">
        <f t="shared" si="49"/>
        <v>2.8974218032215573</v>
      </c>
      <c r="AK112" s="106">
        <f t="shared" si="50"/>
        <v>2.9467163654969895</v>
      </c>
      <c r="AL112" s="106">
        <f t="shared" si="51"/>
        <v>2.9869084566601201</v>
      </c>
      <c r="AM112" s="106">
        <f t="shared" si="52"/>
        <v>3.0179980767109482</v>
      </c>
      <c r="AY112" s="182">
        <v>5.5800000000000002E-2</v>
      </c>
      <c r="AZ112" s="185">
        <v>94</v>
      </c>
      <c r="BA112" s="182">
        <v>5.5800000000000002E-2</v>
      </c>
    </row>
    <row r="113" spans="20:53">
      <c r="T113" s="106">
        <f t="shared" si="33"/>
        <v>2.8878648363118913</v>
      </c>
      <c r="U113" s="106">
        <f t="shared" si="34"/>
        <v>2.9739660317460319</v>
      </c>
      <c r="V113" s="106">
        <f t="shared" si="35"/>
        <v>3.0590145020097301</v>
      </c>
      <c r="W113" s="106">
        <f t="shared" si="36"/>
        <v>2.9324786296116132</v>
      </c>
      <c r="X113" s="106">
        <f t="shared" si="37"/>
        <v>3.0108536507936505</v>
      </c>
      <c r="Y113" s="106">
        <f t="shared" si="38"/>
        <v>3.0879365077850776</v>
      </c>
      <c r="Z113" s="106">
        <f t="shared" si="39"/>
        <v>2.9701813587681452</v>
      </c>
      <c r="AA113" s="106">
        <f t="shared" si="40"/>
        <v>3.0420673015873012</v>
      </c>
      <c r="AB113" s="106">
        <f t="shared" si="41"/>
        <v>3.1123992454855762</v>
      </c>
      <c r="AC113" s="106">
        <f t="shared" si="42"/>
        <v>3.0009730237814884</v>
      </c>
      <c r="AD113" s="106">
        <f t="shared" si="43"/>
        <v>3.067606984126984</v>
      </c>
      <c r="AE113" s="106">
        <f t="shared" si="44"/>
        <v>3.1324027151112261</v>
      </c>
      <c r="AF113" s="106">
        <f t="shared" si="45"/>
        <v>3.0248536246516435</v>
      </c>
      <c r="AG113" s="106">
        <f t="shared" si="46"/>
        <v>3.0874726984126988</v>
      </c>
      <c r="AH113" s="106">
        <f t="shared" si="47"/>
        <v>3.1479469166620273</v>
      </c>
      <c r="AI113" s="106">
        <f t="shared" si="48"/>
        <v>2.7587130431606806</v>
      </c>
      <c r="AJ113" s="106">
        <f t="shared" si="49"/>
        <v>2.814916097838557</v>
      </c>
      <c r="AK113" s="106">
        <f t="shared" si="50"/>
        <v>2.8623524445394111</v>
      </c>
      <c r="AL113" s="106">
        <f t="shared" si="51"/>
        <v>2.9010220832632454</v>
      </c>
      <c r="AM113" s="106">
        <f t="shared" si="52"/>
        <v>2.9309250140100609</v>
      </c>
      <c r="AY113" s="182">
        <v>5.57E-2</v>
      </c>
      <c r="AZ113" s="185">
        <v>95</v>
      </c>
      <c r="BA113" s="182">
        <v>5.57E-2</v>
      </c>
    </row>
    <row r="114" spans="20:53">
      <c r="T114" s="106">
        <f t="shared" si="33"/>
        <v>2.8040549134255612</v>
      </c>
      <c r="U114" s="106">
        <f t="shared" si="34"/>
        <v>2.8878797857142855</v>
      </c>
      <c r="V114" s="106">
        <f t="shared" si="35"/>
        <v>2.9710354227855786</v>
      </c>
      <c r="W114" s="106">
        <f t="shared" si="36"/>
        <v>2.8468781620378154</v>
      </c>
      <c r="X114" s="106">
        <f t="shared" si="37"/>
        <v>2.9232423571428563</v>
      </c>
      <c r="Y114" s="106">
        <f t="shared" si="38"/>
        <v>2.9986814799198265</v>
      </c>
      <c r="Z114" s="106">
        <f t="shared" si="39"/>
        <v>2.8830678520646842</v>
      </c>
      <c r="AA114" s="106">
        <f t="shared" si="40"/>
        <v>2.9531692142857136</v>
      </c>
      <c r="AB114" s="106">
        <f t="shared" si="41"/>
        <v>3.0220492710600557</v>
      </c>
      <c r="AC114" s="106">
        <f t="shared" si="42"/>
        <v>2.9126239835061671</v>
      </c>
      <c r="AD114" s="106">
        <f t="shared" si="43"/>
        <v>2.9776603571428568</v>
      </c>
      <c r="AE114" s="106">
        <f t="shared" si="44"/>
        <v>3.041138796206265</v>
      </c>
      <c r="AF114" s="106">
        <f t="shared" si="45"/>
        <v>2.9355465563622642</v>
      </c>
      <c r="AG114" s="106">
        <f t="shared" si="46"/>
        <v>2.9967157857142857</v>
      </c>
      <c r="AH114" s="106">
        <f t="shared" si="47"/>
        <v>3.055950055358454</v>
      </c>
      <c r="AI114" s="106">
        <f t="shared" si="48"/>
        <v>2.6783176049924746</v>
      </c>
      <c r="AJ114" s="106">
        <f t="shared" si="49"/>
        <v>2.7323318693802543</v>
      </c>
      <c r="AK114" s="106">
        <f t="shared" si="50"/>
        <v>2.7779158087331401</v>
      </c>
      <c r="AL114" s="106">
        <f t="shared" si="51"/>
        <v>2.8150694230511326</v>
      </c>
      <c r="AM114" s="106">
        <f t="shared" si="52"/>
        <v>2.8437927123342321</v>
      </c>
      <c r="AY114" s="182">
        <v>5.5599999999999997E-2</v>
      </c>
      <c r="AZ114" s="185">
        <v>96</v>
      </c>
      <c r="BA114" s="182">
        <v>5.5599999999999997E-2</v>
      </c>
    </row>
    <row r="115" spans="20:53">
      <c r="T115" s="106">
        <f t="shared" si="33"/>
        <v>2.7200992134241972</v>
      </c>
      <c r="U115" s="106">
        <f t="shared" si="34"/>
        <v>2.8016063854875282</v>
      </c>
      <c r="V115" s="106">
        <f t="shared" si="35"/>
        <v>2.8827831675306683</v>
      </c>
      <c r="W115" s="106">
        <f t="shared" si="36"/>
        <v>2.7611466457781146</v>
      </c>
      <c r="X115" s="106">
        <f t="shared" si="37"/>
        <v>2.8354649977324256</v>
      </c>
      <c r="Y115" s="106">
        <f t="shared" si="38"/>
        <v>2.9091781770857574</v>
      </c>
      <c r="Z115" s="106">
        <f t="shared" si="39"/>
        <v>2.7958355519387528</v>
      </c>
      <c r="AA115" s="106">
        <f t="shared" si="40"/>
        <v>2.864121614512471</v>
      </c>
      <c r="AB115" s="106">
        <f t="shared" si="41"/>
        <v>2.9314745484845512</v>
      </c>
      <c r="AC115" s="106">
        <f t="shared" si="42"/>
        <v>2.8241659319061108</v>
      </c>
      <c r="AD115" s="106">
        <f t="shared" si="43"/>
        <v>2.8875762358276642</v>
      </c>
      <c r="AE115" s="106">
        <f t="shared" si="44"/>
        <v>2.9496722817270498</v>
      </c>
      <c r="AF115" s="106">
        <f t="shared" si="45"/>
        <v>2.846137785680189</v>
      </c>
      <c r="AG115" s="106">
        <f t="shared" si="46"/>
        <v>2.905828861678005</v>
      </c>
      <c r="AH115" s="106">
        <f t="shared" si="47"/>
        <v>2.963771376813253</v>
      </c>
      <c r="AI115" s="106">
        <f t="shared" si="48"/>
        <v>2.5978384553292009</v>
      </c>
      <c r="AJ115" s="106">
        <f t="shared" si="49"/>
        <v>2.6496691178466483</v>
      </c>
      <c r="AK115" s="106">
        <f t="shared" si="50"/>
        <v>2.6934064580781754</v>
      </c>
      <c r="AL115" s="106">
        <f t="shared" si="51"/>
        <v>2.7290504760237804</v>
      </c>
      <c r="AM115" s="106">
        <f t="shared" si="52"/>
        <v>2.7566011716834651</v>
      </c>
      <c r="AY115" s="182">
        <v>5.5500000000000001E-2</v>
      </c>
      <c r="AZ115" s="185">
        <v>97</v>
      </c>
      <c r="BA115" s="182">
        <v>5.5500000000000001E-2</v>
      </c>
    </row>
    <row r="116" spans="20:53">
      <c r="T116" s="106">
        <f t="shared" si="33"/>
        <v>2.6359977363077998</v>
      </c>
      <c r="U116" s="106">
        <f t="shared" si="34"/>
        <v>2.7151458310657599</v>
      </c>
      <c r="V116" s="106">
        <f t="shared" si="35"/>
        <v>2.794257736245001</v>
      </c>
      <c r="W116" s="106">
        <f t="shared" si="36"/>
        <v>2.6752840808325109</v>
      </c>
      <c r="X116" s="106">
        <f t="shared" si="37"/>
        <v>2.7475215725623578</v>
      </c>
      <c r="Y116" s="106">
        <f t="shared" si="38"/>
        <v>2.81942659928287</v>
      </c>
      <c r="Z116" s="106">
        <f t="shared" si="39"/>
        <v>2.7084844583903509</v>
      </c>
      <c r="AA116" s="106">
        <f t="shared" si="40"/>
        <v>2.7749245022675737</v>
      </c>
      <c r="AB116" s="106">
        <f t="shared" si="41"/>
        <v>2.8406750777590637</v>
      </c>
      <c r="AC116" s="106">
        <f t="shared" si="42"/>
        <v>2.7355988689813198</v>
      </c>
      <c r="AD116" s="106">
        <f t="shared" si="43"/>
        <v>2.7973546201814057</v>
      </c>
      <c r="AE116" s="106">
        <f t="shared" si="44"/>
        <v>2.8580031716735812</v>
      </c>
      <c r="AF116" s="106">
        <f t="shared" si="45"/>
        <v>2.756627312605417</v>
      </c>
      <c r="AG116" s="106">
        <f t="shared" si="46"/>
        <v>2.8148119263038556</v>
      </c>
      <c r="AH116" s="106">
        <f t="shared" si="47"/>
        <v>2.8714108810264234</v>
      </c>
      <c r="AI116" s="106">
        <f t="shared" si="48"/>
        <v>2.5172755941708598</v>
      </c>
      <c r="AJ116" s="106">
        <f t="shared" si="49"/>
        <v>2.5669278432377407</v>
      </c>
      <c r="AK116" s="106">
        <f t="shared" si="50"/>
        <v>2.6088243925745167</v>
      </c>
      <c r="AL116" s="106">
        <f t="shared" si="51"/>
        <v>2.6429652421811909</v>
      </c>
      <c r="AM116" s="106">
        <f t="shared" si="52"/>
        <v>2.6693503920577593</v>
      </c>
      <c r="AY116" s="182">
        <v>5.5399999999999998E-2</v>
      </c>
      <c r="AZ116" s="185">
        <v>98</v>
      </c>
      <c r="BA116" s="182">
        <v>5.5399999999999998E-2</v>
      </c>
    </row>
    <row r="117" spans="20:53">
      <c r="T117" s="106">
        <f t="shared" si="33"/>
        <v>2.5517504820763679</v>
      </c>
      <c r="U117" s="106">
        <f t="shared" si="34"/>
        <v>2.6284981224489798</v>
      </c>
      <c r="V117" s="106">
        <f t="shared" si="35"/>
        <v>2.7054591289285748</v>
      </c>
      <c r="W117" s="106">
        <f t="shared" si="36"/>
        <v>2.5892904672010033</v>
      </c>
      <c r="X117" s="106">
        <f t="shared" si="37"/>
        <v>2.6594120816326527</v>
      </c>
      <c r="Y117" s="106">
        <f t="shared" si="38"/>
        <v>2.7294267465111637</v>
      </c>
      <c r="Z117" s="106">
        <f t="shared" si="39"/>
        <v>2.6210145714194786</v>
      </c>
      <c r="AA117" s="106">
        <f t="shared" si="40"/>
        <v>2.6855778775510197</v>
      </c>
      <c r="AB117" s="106">
        <f t="shared" si="41"/>
        <v>2.7496508588835917</v>
      </c>
      <c r="AC117" s="106">
        <f t="shared" si="42"/>
        <v>2.6469227947317937</v>
      </c>
      <c r="AD117" s="106">
        <f t="shared" si="43"/>
        <v>2.7069955102040817</v>
      </c>
      <c r="AE117" s="106">
        <f t="shared" si="44"/>
        <v>2.7661314660458589</v>
      </c>
      <c r="AF117" s="106">
        <f t="shared" si="45"/>
        <v>2.6670151371379474</v>
      </c>
      <c r="AG117" s="106">
        <f t="shared" si="46"/>
        <v>2.7236649795918373</v>
      </c>
      <c r="AH117" s="106">
        <f t="shared" si="47"/>
        <v>2.7788685679979652</v>
      </c>
      <c r="AI117" s="106">
        <f t="shared" si="48"/>
        <v>2.43662902151745</v>
      </c>
      <c r="AJ117" s="106">
        <f t="shared" si="49"/>
        <v>2.4841080455535289</v>
      </c>
      <c r="AK117" s="106">
        <f t="shared" si="50"/>
        <v>2.5241696122221668</v>
      </c>
      <c r="AL117" s="106">
        <f t="shared" si="51"/>
        <v>2.5568137215233619</v>
      </c>
      <c r="AM117" s="106">
        <f t="shared" si="52"/>
        <v>2.5820403734571125</v>
      </c>
      <c r="AY117" s="182">
        <v>5.5300000000000002E-2</v>
      </c>
      <c r="AZ117" s="185">
        <v>99</v>
      </c>
      <c r="BA117" s="182">
        <v>5.5300000000000002E-2</v>
      </c>
    </row>
    <row r="118" spans="20:53">
      <c r="T118" s="106">
        <f t="shared" si="33"/>
        <v>2.4673574507299016</v>
      </c>
      <c r="U118" s="106">
        <f t="shared" si="34"/>
        <v>2.5416632596371884</v>
      </c>
      <c r="V118" s="106">
        <f t="shared" si="35"/>
        <v>2.6163873455813915</v>
      </c>
      <c r="W118" s="106">
        <f t="shared" si="36"/>
        <v>2.5031658048835927</v>
      </c>
      <c r="X118" s="106">
        <f t="shared" si="37"/>
        <v>2.5711365249433102</v>
      </c>
      <c r="Y118" s="106">
        <f t="shared" si="38"/>
        <v>2.639178618770639</v>
      </c>
      <c r="Z118" s="106">
        <f t="shared" si="39"/>
        <v>2.5334258910261367</v>
      </c>
      <c r="AA118" s="106">
        <f t="shared" si="40"/>
        <v>2.5960817403628109</v>
      </c>
      <c r="AB118" s="106">
        <f t="shared" si="41"/>
        <v>2.6584018918581358</v>
      </c>
      <c r="AC118" s="106">
        <f t="shared" si="42"/>
        <v>2.5581377091575326</v>
      </c>
      <c r="AD118" s="106">
        <f t="shared" si="43"/>
        <v>2.6164989058956913</v>
      </c>
      <c r="AE118" s="106">
        <f t="shared" si="44"/>
        <v>2.6740571648438829</v>
      </c>
      <c r="AF118" s="106">
        <f t="shared" si="45"/>
        <v>2.5773012592777809</v>
      </c>
      <c r="AG118" s="106">
        <f t="shared" si="46"/>
        <v>2.6323880215419506</v>
      </c>
      <c r="AH118" s="106">
        <f t="shared" si="47"/>
        <v>2.6861444377278785</v>
      </c>
      <c r="AI118" s="106">
        <f t="shared" si="48"/>
        <v>2.3558987373689715</v>
      </c>
      <c r="AJ118" s="106">
        <f t="shared" si="49"/>
        <v>2.4012097247940165</v>
      </c>
      <c r="AK118" s="106">
        <f t="shared" si="50"/>
        <v>2.4394421170211253</v>
      </c>
      <c r="AL118" s="106">
        <f t="shared" si="51"/>
        <v>2.4705959140502944</v>
      </c>
      <c r="AM118" s="106">
        <f t="shared" si="52"/>
        <v>2.494671115881526</v>
      </c>
      <c r="AY118" s="182">
        <v>5.5199999999999999E-2</v>
      </c>
      <c r="AZ118" s="185">
        <v>100</v>
      </c>
      <c r="BA118" s="182">
        <v>5.5199999999999999E-2</v>
      </c>
    </row>
    <row r="119" spans="20:53">
      <c r="T119" s="106">
        <f t="shared" si="33"/>
        <v>2.3828186422684019</v>
      </c>
      <c r="U119" s="106">
        <f t="shared" si="34"/>
        <v>2.4546412426303856</v>
      </c>
      <c r="V119" s="106">
        <f t="shared" si="35"/>
        <v>2.5270423862034495</v>
      </c>
      <c r="W119" s="106">
        <f t="shared" si="36"/>
        <v>2.4169100938802783</v>
      </c>
      <c r="X119" s="106">
        <f t="shared" si="37"/>
        <v>2.4826949024943303</v>
      </c>
      <c r="Y119" s="106">
        <f t="shared" si="38"/>
        <v>2.5486822160612954</v>
      </c>
      <c r="Z119" s="106">
        <f t="shared" si="39"/>
        <v>2.4457184172103235</v>
      </c>
      <c r="AA119" s="106">
        <f t="shared" si="40"/>
        <v>2.5064360907029473</v>
      </c>
      <c r="AB119" s="106">
        <f t="shared" si="41"/>
        <v>2.5669281766826963</v>
      </c>
      <c r="AC119" s="106">
        <f t="shared" si="42"/>
        <v>2.4692436122585368</v>
      </c>
      <c r="AD119" s="106">
        <f t="shared" si="43"/>
        <v>2.5258648072562355</v>
      </c>
      <c r="AE119" s="106">
        <f t="shared" si="44"/>
        <v>2.5817802680676527</v>
      </c>
      <c r="AF119" s="106">
        <f t="shared" si="45"/>
        <v>2.4874856790249185</v>
      </c>
      <c r="AG119" s="106">
        <f t="shared" si="46"/>
        <v>2.5409810521541956</v>
      </c>
      <c r="AH119" s="106">
        <f t="shared" si="47"/>
        <v>2.5932384902161649</v>
      </c>
      <c r="AI119" s="106">
        <f t="shared" si="48"/>
        <v>2.2750847417254265</v>
      </c>
      <c r="AJ119" s="106">
        <f t="shared" si="49"/>
        <v>2.3182328809592003</v>
      </c>
      <c r="AK119" s="106">
        <f t="shared" si="50"/>
        <v>2.3546419069713878</v>
      </c>
      <c r="AL119" s="106">
        <f t="shared" si="51"/>
        <v>2.3843118197619888</v>
      </c>
      <c r="AM119" s="106">
        <f t="shared" si="52"/>
        <v>2.4072426193310026</v>
      </c>
      <c r="AY119" s="182">
        <v>5.5100000000000003E-2</v>
      </c>
      <c r="AZ119" s="185">
        <v>101</v>
      </c>
      <c r="BA119" s="182">
        <v>5.5100000000000003E-2</v>
      </c>
    </row>
    <row r="120" spans="20:53">
      <c r="T120" s="106">
        <f t="shared" si="33"/>
        <v>2.2981340566918673</v>
      </c>
      <c r="U120" s="106">
        <f t="shared" si="34"/>
        <v>2.3674320714285715</v>
      </c>
      <c r="V120" s="106">
        <f t="shared" si="35"/>
        <v>2.4374242507947503</v>
      </c>
      <c r="W120" s="106">
        <f t="shared" si="36"/>
        <v>2.3305233341910609</v>
      </c>
      <c r="X120" s="106">
        <f t="shared" si="37"/>
        <v>2.3940872142857139</v>
      </c>
      <c r="Y120" s="106">
        <f t="shared" si="38"/>
        <v>2.4579375383831334</v>
      </c>
      <c r="Z120" s="106">
        <f t="shared" si="39"/>
        <v>2.3578921499720398</v>
      </c>
      <c r="AA120" s="106">
        <f t="shared" si="40"/>
        <v>2.4166409285714279</v>
      </c>
      <c r="AB120" s="106">
        <f t="shared" si="41"/>
        <v>2.4752297133572734</v>
      </c>
      <c r="AC120" s="106">
        <f t="shared" si="42"/>
        <v>2.380240504034806</v>
      </c>
      <c r="AD120" s="106">
        <f t="shared" si="43"/>
        <v>2.4350932142857142</v>
      </c>
      <c r="AE120" s="106">
        <f t="shared" si="44"/>
        <v>2.4893007757171688</v>
      </c>
      <c r="AF120" s="106">
        <f t="shared" si="45"/>
        <v>2.3975683963793584</v>
      </c>
      <c r="AG120" s="106">
        <f t="shared" si="46"/>
        <v>2.4494440714285717</v>
      </c>
      <c r="AH120" s="106">
        <f t="shared" si="47"/>
        <v>2.5001507254628219</v>
      </c>
      <c r="AI120" s="106">
        <f t="shared" si="48"/>
        <v>2.1941870345868111</v>
      </c>
      <c r="AJ120" s="106">
        <f t="shared" si="49"/>
        <v>2.2351775140490817</v>
      </c>
      <c r="AK120" s="106">
        <f t="shared" si="50"/>
        <v>2.2697689820729576</v>
      </c>
      <c r="AL120" s="106">
        <f t="shared" si="51"/>
        <v>2.2979614386584437</v>
      </c>
      <c r="AM120" s="106">
        <f t="shared" si="52"/>
        <v>2.3197548838055386</v>
      </c>
      <c r="AY120" s="182">
        <v>5.5E-2</v>
      </c>
      <c r="AZ120" s="185">
        <v>102</v>
      </c>
      <c r="BA120" s="182">
        <v>5.5E-2</v>
      </c>
    </row>
    <row r="121" spans="20:53">
      <c r="T121" s="106">
        <f t="shared" si="33"/>
        <v>2.2133036940002997</v>
      </c>
      <c r="U121" s="106">
        <f t="shared" si="34"/>
        <v>2.2800357460317464</v>
      </c>
      <c r="V121" s="106">
        <f t="shared" si="35"/>
        <v>2.3475329393552933</v>
      </c>
      <c r="W121" s="106">
        <f t="shared" si="36"/>
        <v>2.2440055258159397</v>
      </c>
      <c r="X121" s="106">
        <f t="shared" si="37"/>
        <v>2.3053134603174601</v>
      </c>
      <c r="Y121" s="106">
        <f t="shared" si="38"/>
        <v>2.3669445857361535</v>
      </c>
      <c r="Z121" s="106">
        <f t="shared" si="39"/>
        <v>2.2699470893112865</v>
      </c>
      <c r="AA121" s="106">
        <f t="shared" si="40"/>
        <v>2.3266962539682536</v>
      </c>
      <c r="AB121" s="106">
        <f t="shared" si="41"/>
        <v>2.3833065018818664</v>
      </c>
      <c r="AC121" s="106">
        <f t="shared" si="42"/>
        <v>2.291128384486341</v>
      </c>
      <c r="AD121" s="106">
        <f t="shared" si="43"/>
        <v>2.344184126984127</v>
      </c>
      <c r="AE121" s="106">
        <f t="shared" si="44"/>
        <v>2.396618687792432</v>
      </c>
      <c r="AF121" s="106">
        <f t="shared" si="45"/>
        <v>2.3075494113411015</v>
      </c>
      <c r="AG121" s="106">
        <f t="shared" si="46"/>
        <v>2.3577770793650799</v>
      </c>
      <c r="AH121" s="106">
        <f t="shared" si="47"/>
        <v>2.4068811434678503</v>
      </c>
      <c r="AI121" s="106">
        <f t="shared" si="48"/>
        <v>2.1132056159531296</v>
      </c>
      <c r="AJ121" s="106">
        <f t="shared" si="49"/>
        <v>2.1520436240636593</v>
      </c>
      <c r="AK121" s="106">
        <f t="shared" si="50"/>
        <v>2.1848233423258359</v>
      </c>
      <c r="AL121" s="106">
        <f t="shared" si="51"/>
        <v>2.2115447707396623</v>
      </c>
      <c r="AM121" s="106">
        <f t="shared" si="52"/>
        <v>2.2322079093051341</v>
      </c>
      <c r="AY121" s="182">
        <v>5.4899999999999997E-2</v>
      </c>
      <c r="AZ121" s="185">
        <v>103</v>
      </c>
      <c r="BA121" s="182">
        <v>5.4899999999999997E-2</v>
      </c>
    </row>
    <row r="122" spans="20:53">
      <c r="T122" s="106">
        <f t="shared" si="33"/>
        <v>2.1283275541936977</v>
      </c>
      <c r="U122" s="106">
        <f t="shared" si="34"/>
        <v>2.1924522664399095</v>
      </c>
      <c r="V122" s="106">
        <f t="shared" si="35"/>
        <v>2.2573684518850783</v>
      </c>
      <c r="W122" s="106">
        <f t="shared" si="36"/>
        <v>2.1573566687549155</v>
      </c>
      <c r="X122" s="106">
        <f t="shared" si="37"/>
        <v>2.2163736405895689</v>
      </c>
      <c r="Y122" s="106">
        <f t="shared" si="38"/>
        <v>2.2757033581203547</v>
      </c>
      <c r="Z122" s="106">
        <f t="shared" si="39"/>
        <v>2.1818832352280628</v>
      </c>
      <c r="AA122" s="106">
        <f t="shared" si="40"/>
        <v>2.2366020668934237</v>
      </c>
      <c r="AB122" s="106">
        <f t="shared" si="41"/>
        <v>2.2911585422564751</v>
      </c>
      <c r="AC122" s="106">
        <f t="shared" si="42"/>
        <v>2.2019072536131405</v>
      </c>
      <c r="AD122" s="106">
        <f t="shared" si="43"/>
        <v>2.2531375453514739</v>
      </c>
      <c r="AE122" s="106">
        <f t="shared" si="44"/>
        <v>2.3037340042934411</v>
      </c>
      <c r="AF122" s="106">
        <f t="shared" si="45"/>
        <v>2.2174287239101478</v>
      </c>
      <c r="AG122" s="106">
        <f t="shared" si="46"/>
        <v>2.2659800759637192</v>
      </c>
      <c r="AH122" s="106">
        <f t="shared" si="47"/>
        <v>2.313429744231251</v>
      </c>
      <c r="AI122" s="106">
        <f t="shared" si="48"/>
        <v>2.0321404858243799</v>
      </c>
      <c r="AJ122" s="106">
        <f t="shared" si="49"/>
        <v>2.0688312110029354</v>
      </c>
      <c r="AK122" s="106">
        <f t="shared" si="50"/>
        <v>2.0998049877300216</v>
      </c>
      <c r="AL122" s="106">
        <f t="shared" si="51"/>
        <v>2.1250618160056405</v>
      </c>
      <c r="AM122" s="106">
        <f t="shared" si="52"/>
        <v>2.1446016958297909</v>
      </c>
      <c r="AY122" s="182">
        <v>5.4800000000000001E-2</v>
      </c>
      <c r="AZ122" s="185">
        <v>104</v>
      </c>
      <c r="BA122" s="182">
        <v>5.4800000000000001E-2</v>
      </c>
    </row>
    <row r="123" spans="20:53">
      <c r="T123" s="106">
        <f t="shared" si="33"/>
        <v>2.0432056372720613</v>
      </c>
      <c r="U123" s="106">
        <f t="shared" si="34"/>
        <v>2.1046816326530613</v>
      </c>
      <c r="V123" s="106">
        <f t="shared" si="35"/>
        <v>2.1669307883841054</v>
      </c>
      <c r="W123" s="106">
        <f t="shared" si="36"/>
        <v>2.0705767630079874</v>
      </c>
      <c r="X123" s="106">
        <f t="shared" si="37"/>
        <v>2.1272677551020407</v>
      </c>
      <c r="Y123" s="106">
        <f t="shared" si="38"/>
        <v>2.1842138555357371</v>
      </c>
      <c r="Z123" s="106">
        <f t="shared" si="39"/>
        <v>2.0937005877223687</v>
      </c>
      <c r="AA123" s="106">
        <f t="shared" si="40"/>
        <v>2.1463583673469384</v>
      </c>
      <c r="AB123" s="106">
        <f t="shared" si="41"/>
        <v>2.1987858344811007</v>
      </c>
      <c r="AC123" s="106">
        <f t="shared" si="42"/>
        <v>2.1125771114152054</v>
      </c>
      <c r="AD123" s="106">
        <f t="shared" si="43"/>
        <v>2.1619534693877549</v>
      </c>
      <c r="AE123" s="106">
        <f t="shared" si="44"/>
        <v>2.210646725220196</v>
      </c>
      <c r="AF123" s="106">
        <f t="shared" si="45"/>
        <v>2.1272063340864973</v>
      </c>
      <c r="AG123" s="106">
        <f t="shared" si="46"/>
        <v>2.1740530612244902</v>
      </c>
      <c r="AH123" s="106">
        <f t="shared" si="47"/>
        <v>2.2197965277530232</v>
      </c>
      <c r="AI123" s="106">
        <f t="shared" si="48"/>
        <v>1.9509916442005613</v>
      </c>
      <c r="AJ123" s="106">
        <f t="shared" si="49"/>
        <v>1.9855402748669075</v>
      </c>
      <c r="AK123" s="106">
        <f t="shared" si="50"/>
        <v>2.0147139182855138</v>
      </c>
      <c r="AL123" s="106">
        <f t="shared" si="51"/>
        <v>2.038512574456381</v>
      </c>
      <c r="AM123" s="106">
        <f t="shared" si="52"/>
        <v>2.056936243379508</v>
      </c>
      <c r="AY123" s="182">
        <v>5.4699999999999999E-2</v>
      </c>
      <c r="AZ123" s="185">
        <v>105</v>
      </c>
      <c r="BA123" s="182">
        <v>5.4699999999999999E-2</v>
      </c>
    </row>
    <row r="124" spans="20:53">
      <c r="T124" s="106">
        <f t="shared" si="33"/>
        <v>1.9579379432353912</v>
      </c>
      <c r="U124" s="106">
        <f t="shared" si="34"/>
        <v>2.0167238446712021</v>
      </c>
      <c r="V124" s="106">
        <f t="shared" si="35"/>
        <v>2.0762199488523745</v>
      </c>
      <c r="W124" s="106">
        <f t="shared" si="36"/>
        <v>1.9836658085751562</v>
      </c>
      <c r="X124" s="106">
        <f t="shared" si="37"/>
        <v>2.0379958038548751</v>
      </c>
      <c r="Y124" s="106">
        <f t="shared" si="38"/>
        <v>2.0924760779823011</v>
      </c>
      <c r="Z124" s="106">
        <f t="shared" si="39"/>
        <v>2.0053991467942041</v>
      </c>
      <c r="AA124" s="106">
        <f t="shared" si="40"/>
        <v>2.0559651553287979</v>
      </c>
      <c r="AB124" s="106">
        <f t="shared" si="41"/>
        <v>2.1061883785557418</v>
      </c>
      <c r="AC124" s="106">
        <f t="shared" si="42"/>
        <v>2.0231379578925353</v>
      </c>
      <c r="AD124" s="106">
        <f t="shared" si="43"/>
        <v>2.0706318990929704</v>
      </c>
      <c r="AE124" s="106">
        <f t="shared" si="44"/>
        <v>2.1173568505726976</v>
      </c>
      <c r="AF124" s="106">
        <f t="shared" si="45"/>
        <v>2.0368822418701495</v>
      </c>
      <c r="AG124" s="106">
        <f t="shared" si="46"/>
        <v>2.0819960351473927</v>
      </c>
      <c r="AH124" s="106">
        <f t="shared" si="47"/>
        <v>2.1259814940331667</v>
      </c>
      <c r="AI124" s="106">
        <f t="shared" si="48"/>
        <v>1.8697590910816748</v>
      </c>
      <c r="AJ124" s="106">
        <f t="shared" si="49"/>
        <v>1.9021708156555777</v>
      </c>
      <c r="AK124" s="106">
        <f t="shared" si="50"/>
        <v>1.9295501339923133</v>
      </c>
      <c r="AL124" s="106">
        <f t="shared" si="51"/>
        <v>1.9518970460918825</v>
      </c>
      <c r="AM124" s="106">
        <f t="shared" si="52"/>
        <v>1.9692115519542848</v>
      </c>
      <c r="AY124" s="182">
        <v>5.4600000000000003E-2</v>
      </c>
      <c r="AZ124" s="185">
        <v>106</v>
      </c>
      <c r="BA124" s="182">
        <v>5.4600000000000003E-2</v>
      </c>
    </row>
    <row r="125" spans="20:53">
      <c r="T125" s="106">
        <f t="shared" si="33"/>
        <v>1.8725244720836871</v>
      </c>
      <c r="U125" s="106">
        <f t="shared" si="34"/>
        <v>1.9285789024943314</v>
      </c>
      <c r="V125" s="106">
        <f t="shared" si="35"/>
        <v>1.9852359332898857</v>
      </c>
      <c r="W125" s="106">
        <f t="shared" si="36"/>
        <v>1.8966238054564215</v>
      </c>
      <c r="X125" s="106">
        <f t="shared" si="37"/>
        <v>1.9485577868480726</v>
      </c>
      <c r="Y125" s="106">
        <f t="shared" si="38"/>
        <v>2.0004900254600466</v>
      </c>
      <c r="Z125" s="106">
        <f t="shared" si="39"/>
        <v>1.916978912443569</v>
      </c>
      <c r="AA125" s="106">
        <f t="shared" si="40"/>
        <v>1.965422430839002</v>
      </c>
      <c r="AB125" s="106">
        <f t="shared" si="41"/>
        <v>2.0133661744803995</v>
      </c>
      <c r="AC125" s="106">
        <f t="shared" si="42"/>
        <v>1.9335897930451305</v>
      </c>
      <c r="AD125" s="106">
        <f t="shared" si="43"/>
        <v>1.9791728344671202</v>
      </c>
      <c r="AE125" s="106">
        <f t="shared" si="44"/>
        <v>2.0238643803509451</v>
      </c>
      <c r="AF125" s="106">
        <f t="shared" si="45"/>
        <v>1.9464564472611052</v>
      </c>
      <c r="AG125" s="106">
        <f t="shared" si="46"/>
        <v>1.9898089977324269</v>
      </c>
      <c r="AH125" s="106">
        <f t="shared" si="47"/>
        <v>2.031984643071683</v>
      </c>
      <c r="AI125" s="106">
        <f t="shared" si="48"/>
        <v>1.7884428264677208</v>
      </c>
      <c r="AJ125" s="106">
        <f t="shared" si="49"/>
        <v>1.8187228333689449</v>
      </c>
      <c r="AK125" s="106">
        <f t="shared" si="50"/>
        <v>1.8443136348504194</v>
      </c>
      <c r="AL125" s="106">
        <f t="shared" si="51"/>
        <v>1.8652152309121459</v>
      </c>
      <c r="AM125" s="106">
        <f t="shared" si="52"/>
        <v>1.8814276215541228</v>
      </c>
      <c r="AY125" s="182">
        <v>5.45E-2</v>
      </c>
      <c r="AZ125" s="185">
        <v>107</v>
      </c>
      <c r="BA125" s="182">
        <v>5.45E-2</v>
      </c>
    </row>
    <row r="126" spans="20:53">
      <c r="T126" s="106">
        <f t="shared" si="33"/>
        <v>1.7869652238169489</v>
      </c>
      <c r="U126" s="106">
        <f t="shared" si="34"/>
        <v>1.8402468061224493</v>
      </c>
      <c r="V126" s="106">
        <f t="shared" si="35"/>
        <v>1.8939787416966387</v>
      </c>
      <c r="W126" s="106">
        <f t="shared" si="36"/>
        <v>1.8094507536517834</v>
      </c>
      <c r="X126" s="106">
        <f t="shared" si="37"/>
        <v>1.8589537040816326</v>
      </c>
      <c r="Y126" s="106">
        <f t="shared" si="38"/>
        <v>1.9082556979689733</v>
      </c>
      <c r="Z126" s="106">
        <f t="shared" si="39"/>
        <v>1.8284398846704637</v>
      </c>
      <c r="AA126" s="106">
        <f t="shared" si="40"/>
        <v>1.8747301938775509</v>
      </c>
      <c r="AB126" s="106">
        <f t="shared" si="41"/>
        <v>1.9203192222550736</v>
      </c>
      <c r="AC126" s="106">
        <f t="shared" si="42"/>
        <v>1.8439326168729906</v>
      </c>
      <c r="AD126" s="106">
        <f t="shared" si="43"/>
        <v>1.8875762755102041</v>
      </c>
      <c r="AE126" s="106">
        <f t="shared" si="44"/>
        <v>1.9301693145549392</v>
      </c>
      <c r="AF126" s="106">
        <f t="shared" si="45"/>
        <v>1.8559289502593639</v>
      </c>
      <c r="AG126" s="106">
        <f t="shared" si="46"/>
        <v>1.8974919489795925</v>
      </c>
      <c r="AH126" s="106">
        <f t="shared" si="47"/>
        <v>1.9378059748685701</v>
      </c>
      <c r="AI126" s="106">
        <f t="shared" si="48"/>
        <v>1.7070428503586983</v>
      </c>
      <c r="AJ126" s="106">
        <f t="shared" si="49"/>
        <v>1.7351963280070097</v>
      </c>
      <c r="AK126" s="106">
        <f t="shared" si="50"/>
        <v>1.7590044208598328</v>
      </c>
      <c r="AL126" s="106">
        <f t="shared" si="51"/>
        <v>1.7784671289171703</v>
      </c>
      <c r="AM126" s="106">
        <f t="shared" si="52"/>
        <v>1.793584452179021</v>
      </c>
      <c r="AY126" s="182">
        <v>5.4399999999999997E-2</v>
      </c>
      <c r="AZ126" s="185">
        <v>108</v>
      </c>
      <c r="BA126" s="182">
        <v>5.4399999999999997E-2</v>
      </c>
    </row>
    <row r="127" spans="20:53">
      <c r="T127" s="106">
        <f t="shared" si="33"/>
        <v>1.7012601984351767</v>
      </c>
      <c r="U127" s="106">
        <f t="shared" si="34"/>
        <v>1.751727555555556</v>
      </c>
      <c r="V127" s="106">
        <f t="shared" si="35"/>
        <v>1.8024483740726345</v>
      </c>
      <c r="W127" s="106">
        <f t="shared" si="36"/>
        <v>1.7221466531612419</v>
      </c>
      <c r="X127" s="106">
        <f t="shared" si="37"/>
        <v>1.7691835555555557</v>
      </c>
      <c r="Y127" s="106">
        <f t="shared" si="38"/>
        <v>1.8157730955090821</v>
      </c>
      <c r="Z127" s="106">
        <f t="shared" si="39"/>
        <v>1.7397820634748882</v>
      </c>
      <c r="AA127" s="106">
        <f t="shared" si="40"/>
        <v>1.7838884444444445</v>
      </c>
      <c r="AB127" s="106">
        <f t="shared" si="41"/>
        <v>1.8270475218797639</v>
      </c>
      <c r="AC127" s="106">
        <f t="shared" si="42"/>
        <v>1.7541664293761166</v>
      </c>
      <c r="AD127" s="106">
        <f t="shared" si="43"/>
        <v>1.7958422222222223</v>
      </c>
      <c r="AE127" s="106">
        <f t="shared" si="44"/>
        <v>1.8362716531846797</v>
      </c>
      <c r="AF127" s="106">
        <f t="shared" si="45"/>
        <v>1.7652997508649257</v>
      </c>
      <c r="AG127" s="106">
        <f t="shared" si="46"/>
        <v>1.8050448888888897</v>
      </c>
      <c r="AH127" s="106">
        <f t="shared" si="47"/>
        <v>1.8434454894238295</v>
      </c>
      <c r="AI127" s="106">
        <f t="shared" si="48"/>
        <v>1.6255591627546078</v>
      </c>
      <c r="AJ127" s="106">
        <f t="shared" si="49"/>
        <v>1.6515912995697712</v>
      </c>
      <c r="AK127" s="106">
        <f t="shared" si="50"/>
        <v>1.6736224920205536</v>
      </c>
      <c r="AL127" s="106">
        <f t="shared" si="51"/>
        <v>1.6916527401069579</v>
      </c>
      <c r="AM127" s="106">
        <f t="shared" si="52"/>
        <v>1.7056820438289799</v>
      </c>
      <c r="AY127" s="182">
        <v>5.4300000000000001E-2</v>
      </c>
      <c r="AZ127" s="185">
        <v>109</v>
      </c>
      <c r="BA127" s="182">
        <v>5.4300000000000001E-2</v>
      </c>
    </row>
    <row r="128" spans="20:53">
      <c r="T128" s="106">
        <f t="shared" si="33"/>
        <v>1.6154093959383702</v>
      </c>
      <c r="U128" s="106">
        <f t="shared" si="34"/>
        <v>1.6630211507936512</v>
      </c>
      <c r="V128" s="106">
        <f t="shared" si="35"/>
        <v>1.7106448304178719</v>
      </c>
      <c r="W128" s="106">
        <f t="shared" si="36"/>
        <v>1.634711503984797</v>
      </c>
      <c r="X128" s="106">
        <f t="shared" si="37"/>
        <v>1.6792473412698414</v>
      </c>
      <c r="Y128" s="106">
        <f t="shared" si="38"/>
        <v>1.7230422180803719</v>
      </c>
      <c r="Z128" s="106">
        <f t="shared" si="39"/>
        <v>1.6510054488568422</v>
      </c>
      <c r="AA128" s="106">
        <f t="shared" si="40"/>
        <v>1.6928971825396824</v>
      </c>
      <c r="AB128" s="106">
        <f t="shared" si="41"/>
        <v>1.7335510733544699</v>
      </c>
      <c r="AC128" s="106">
        <f t="shared" si="42"/>
        <v>1.664291230554507</v>
      </c>
      <c r="AD128" s="106">
        <f t="shared" si="43"/>
        <v>1.7039706746031746</v>
      </c>
      <c r="AE128" s="106">
        <f t="shared" si="44"/>
        <v>1.7421713962401659</v>
      </c>
      <c r="AF128" s="106">
        <f t="shared" si="45"/>
        <v>1.6745688490777908</v>
      </c>
      <c r="AG128" s="106">
        <f t="shared" si="46"/>
        <v>1.7124678174603183</v>
      </c>
      <c r="AH128" s="106">
        <f t="shared" si="47"/>
        <v>1.74890318673746</v>
      </c>
      <c r="AI128" s="106">
        <f t="shared" si="48"/>
        <v>1.5439917636554488</v>
      </c>
      <c r="AJ128" s="106">
        <f t="shared" si="49"/>
        <v>1.5679077480572303</v>
      </c>
      <c r="AK128" s="106">
        <f t="shared" si="50"/>
        <v>1.5881678483325818</v>
      </c>
      <c r="AL128" s="106">
        <f t="shared" si="51"/>
        <v>1.6047720644815056</v>
      </c>
      <c r="AM128" s="106">
        <f t="shared" si="52"/>
        <v>1.6177203965039997</v>
      </c>
      <c r="AY128" s="182">
        <v>5.4199999999999998E-2</v>
      </c>
      <c r="AZ128" s="185">
        <v>110</v>
      </c>
      <c r="BA128" s="182">
        <v>5.4199999999999998E-2</v>
      </c>
    </row>
    <row r="129" spans="20:53">
      <c r="T129" s="106">
        <f t="shared" si="33"/>
        <v>1.5294128163265299</v>
      </c>
      <c r="U129" s="106">
        <f t="shared" si="34"/>
        <v>1.574127591836735</v>
      </c>
      <c r="V129" s="106">
        <f t="shared" si="35"/>
        <v>1.6185681107323513</v>
      </c>
      <c r="W129" s="106">
        <f t="shared" si="36"/>
        <v>1.5471453061224483</v>
      </c>
      <c r="X129" s="106">
        <f t="shared" si="37"/>
        <v>1.5891450612244897</v>
      </c>
      <c r="Y129" s="106">
        <f t="shared" si="38"/>
        <v>1.630063065682843</v>
      </c>
      <c r="Z129" s="106">
        <f t="shared" si="39"/>
        <v>1.5621100408163258</v>
      </c>
      <c r="AA129" s="106">
        <f t="shared" si="40"/>
        <v>1.6017564081632651</v>
      </c>
      <c r="AB129" s="106">
        <f t="shared" si="41"/>
        <v>1.6398298766791923</v>
      </c>
      <c r="AC129" s="106">
        <f t="shared" si="42"/>
        <v>1.5743070204081628</v>
      </c>
      <c r="AD129" s="106">
        <f t="shared" si="43"/>
        <v>1.6119616326530612</v>
      </c>
      <c r="AE129" s="106">
        <f t="shared" si="44"/>
        <v>1.6478685437213985</v>
      </c>
      <c r="AF129" s="106">
        <f t="shared" si="45"/>
        <v>1.5837362448979586</v>
      </c>
      <c r="AG129" s="106">
        <f t="shared" si="46"/>
        <v>1.6197607346938785</v>
      </c>
      <c r="AH129" s="106">
        <f t="shared" si="47"/>
        <v>1.6541790668094627</v>
      </c>
      <c r="AI129" s="106">
        <f t="shared" si="48"/>
        <v>1.4623406530612222</v>
      </c>
      <c r="AJ129" s="106">
        <f t="shared" si="49"/>
        <v>1.4841456734693861</v>
      </c>
      <c r="AK129" s="106">
        <f t="shared" si="50"/>
        <v>1.5026404897959167</v>
      </c>
      <c r="AL129" s="106">
        <f t="shared" si="51"/>
        <v>1.5178251020408151</v>
      </c>
      <c r="AM129" s="106">
        <f t="shared" si="52"/>
        <v>1.5296995102040789</v>
      </c>
      <c r="AY129" s="182">
        <v>5.4100000000000002E-2</v>
      </c>
      <c r="AZ129" s="185">
        <v>111</v>
      </c>
      <c r="BA129" s="182">
        <v>5.4100000000000002E-2</v>
      </c>
    </row>
    <row r="130" spans="20:53">
      <c r="T130" s="106">
        <f t="shared" si="33"/>
        <v>1.4432704595996557</v>
      </c>
      <c r="U130" s="106">
        <f t="shared" si="34"/>
        <v>1.4850468786848077</v>
      </c>
      <c r="V130" s="106">
        <f t="shared" si="35"/>
        <v>1.5262182150160732</v>
      </c>
      <c r="W130" s="106">
        <f t="shared" si="36"/>
        <v>1.4594480595741965</v>
      </c>
      <c r="X130" s="106">
        <f t="shared" si="37"/>
        <v>1.4988767154195011</v>
      </c>
      <c r="Y130" s="106">
        <f t="shared" si="38"/>
        <v>1.5368356383164961</v>
      </c>
      <c r="Z130" s="106">
        <f t="shared" si="39"/>
        <v>1.4730958393533393</v>
      </c>
      <c r="AA130" s="106">
        <f t="shared" si="40"/>
        <v>1.5104661213151926</v>
      </c>
      <c r="AB130" s="106">
        <f t="shared" si="41"/>
        <v>1.545883931853931</v>
      </c>
      <c r="AC130" s="106">
        <f t="shared" si="42"/>
        <v>1.4842137989370841</v>
      </c>
      <c r="AD130" s="106">
        <f t="shared" si="43"/>
        <v>1.5198150963718824</v>
      </c>
      <c r="AE130" s="106">
        <f t="shared" si="44"/>
        <v>1.5533630956283777</v>
      </c>
      <c r="AF130" s="106">
        <f t="shared" si="45"/>
        <v>1.4928019383254301</v>
      </c>
      <c r="AG130" s="106">
        <f t="shared" si="46"/>
        <v>1.5269236405895703</v>
      </c>
      <c r="AH130" s="106">
        <f t="shared" si="47"/>
        <v>1.5592731296398368</v>
      </c>
      <c r="AI130" s="106">
        <f t="shared" si="48"/>
        <v>1.3806058309719278</v>
      </c>
      <c r="AJ130" s="106">
        <f t="shared" si="49"/>
        <v>1.4003050758062399</v>
      </c>
      <c r="AK130" s="106">
        <f t="shared" si="50"/>
        <v>1.4170404164105594</v>
      </c>
      <c r="AL130" s="106">
        <f t="shared" si="51"/>
        <v>1.4308118527848865</v>
      </c>
      <c r="AM130" s="106">
        <f t="shared" si="52"/>
        <v>1.4416193849292198</v>
      </c>
      <c r="AY130" s="182">
        <v>5.3999999999999999E-2</v>
      </c>
      <c r="AZ130" s="185">
        <v>112</v>
      </c>
      <c r="BA130" s="182">
        <v>5.3999999999999999E-2</v>
      </c>
    </row>
    <row r="131" spans="20:53">
      <c r="T131" s="106">
        <f t="shared" si="33"/>
        <v>1.3569823257577474</v>
      </c>
      <c r="U131" s="106">
        <f t="shared" si="34"/>
        <v>1.395779011337869</v>
      </c>
      <c r="V131" s="106">
        <f t="shared" si="35"/>
        <v>1.433595143269037</v>
      </c>
      <c r="W131" s="106">
        <f t="shared" si="36"/>
        <v>1.3716197643400414</v>
      </c>
      <c r="X131" s="106">
        <f t="shared" si="37"/>
        <v>1.4084423038548755</v>
      </c>
      <c r="Y131" s="106">
        <f t="shared" si="38"/>
        <v>1.4433599359813303</v>
      </c>
      <c r="Z131" s="106">
        <f t="shared" si="39"/>
        <v>1.3839628444678822</v>
      </c>
      <c r="AA131" s="106">
        <f t="shared" si="40"/>
        <v>1.4190263219954649</v>
      </c>
      <c r="AB131" s="106">
        <f t="shared" si="41"/>
        <v>1.4517132388786855</v>
      </c>
      <c r="AC131" s="106">
        <f t="shared" si="42"/>
        <v>1.3940115661412698</v>
      </c>
      <c r="AD131" s="106">
        <f t="shared" si="43"/>
        <v>1.4275310657596374</v>
      </c>
      <c r="AE131" s="106">
        <f t="shared" si="44"/>
        <v>1.4586550519611032</v>
      </c>
      <c r="AF131" s="106">
        <f t="shared" si="45"/>
        <v>1.4017659293602043</v>
      </c>
      <c r="AG131" s="106">
        <f t="shared" si="46"/>
        <v>1.4339565351473933</v>
      </c>
      <c r="AH131" s="106">
        <f t="shared" si="47"/>
        <v>1.4641853752285827</v>
      </c>
      <c r="AI131" s="106">
        <f t="shared" si="48"/>
        <v>1.2987872973875649</v>
      </c>
      <c r="AJ131" s="106">
        <f t="shared" si="49"/>
        <v>1.3163859550677903</v>
      </c>
      <c r="AK131" s="106">
        <f t="shared" si="50"/>
        <v>1.3313676281765083</v>
      </c>
      <c r="AL131" s="106">
        <f t="shared" si="51"/>
        <v>1.3437323167137183</v>
      </c>
      <c r="AM131" s="106">
        <f t="shared" si="52"/>
        <v>1.3534800206794206</v>
      </c>
      <c r="AY131" s="182">
        <v>5.3900000000000003E-2</v>
      </c>
      <c r="AZ131" s="185">
        <v>113</v>
      </c>
      <c r="BA131" s="182">
        <v>5.3900000000000003E-2</v>
      </c>
    </row>
    <row r="132" spans="20:53">
      <c r="T132" s="106">
        <f t="shared" si="33"/>
        <v>1.270548414800805</v>
      </c>
      <c r="U132" s="106">
        <f t="shared" si="34"/>
        <v>1.3063239897959191</v>
      </c>
      <c r="V132" s="106">
        <f t="shared" si="35"/>
        <v>1.3406988954912431</v>
      </c>
      <c r="W132" s="106">
        <f t="shared" si="36"/>
        <v>1.2836604204199831</v>
      </c>
      <c r="X132" s="106">
        <f t="shared" si="37"/>
        <v>1.3178418265306124</v>
      </c>
      <c r="Y132" s="106">
        <f t="shared" si="38"/>
        <v>1.3496359586773461</v>
      </c>
      <c r="Z132" s="106">
        <f t="shared" si="39"/>
        <v>1.2947110561599549</v>
      </c>
      <c r="AA132" s="106">
        <f t="shared" si="40"/>
        <v>1.3274370102040818</v>
      </c>
      <c r="AB132" s="106">
        <f t="shared" si="41"/>
        <v>1.3573177977534567</v>
      </c>
      <c r="AC132" s="106">
        <f t="shared" si="42"/>
        <v>1.3037003220207213</v>
      </c>
      <c r="AD132" s="106">
        <f t="shared" si="43"/>
        <v>1.3351095408163269</v>
      </c>
      <c r="AE132" s="106">
        <f t="shared" si="44"/>
        <v>1.3637444127195746</v>
      </c>
      <c r="AF132" s="106">
        <f t="shared" si="45"/>
        <v>1.3106282180022817</v>
      </c>
      <c r="AG132" s="106">
        <f t="shared" si="46"/>
        <v>1.3408594183673481</v>
      </c>
      <c r="AH132" s="106">
        <f t="shared" si="47"/>
        <v>1.3689158035757005</v>
      </c>
      <c r="AI132" s="106">
        <f t="shared" si="48"/>
        <v>1.2168850523081338</v>
      </c>
      <c r="AJ132" s="106">
        <f t="shared" si="49"/>
        <v>1.232388311254039</v>
      </c>
      <c r="AK132" s="106">
        <f t="shared" si="50"/>
        <v>1.2456221250937645</v>
      </c>
      <c r="AL132" s="106">
        <f t="shared" si="51"/>
        <v>1.2565864938273128</v>
      </c>
      <c r="AM132" s="106">
        <f t="shared" si="52"/>
        <v>1.265281417454682</v>
      </c>
      <c r="AY132" s="182">
        <v>5.3800000000000001E-2</v>
      </c>
      <c r="AZ132" s="185">
        <v>114</v>
      </c>
      <c r="BA132" s="182">
        <v>5.3800000000000001E-2</v>
      </c>
    </row>
    <row r="133" spans="20:53">
      <c r="T133" s="106">
        <f t="shared" si="33"/>
        <v>1.1839687267288286</v>
      </c>
      <c r="U133" s="106">
        <f t="shared" si="34"/>
        <v>1.2166818140589575</v>
      </c>
      <c r="V133" s="106">
        <f t="shared" si="35"/>
        <v>1.247529471682691</v>
      </c>
      <c r="W133" s="106">
        <f t="shared" si="36"/>
        <v>1.1955700278140209</v>
      </c>
      <c r="X133" s="106">
        <f t="shared" si="37"/>
        <v>1.2270752834467122</v>
      </c>
      <c r="Y133" s="106">
        <f t="shared" si="38"/>
        <v>1.2556637064045433</v>
      </c>
      <c r="Z133" s="106">
        <f t="shared" si="39"/>
        <v>1.2053404744295571</v>
      </c>
      <c r="AA133" s="106">
        <f t="shared" si="40"/>
        <v>1.2356981859410432</v>
      </c>
      <c r="AB133" s="106">
        <f t="shared" si="41"/>
        <v>1.2626976084782437</v>
      </c>
      <c r="AC133" s="106">
        <f t="shared" si="42"/>
        <v>1.2132800665754377</v>
      </c>
      <c r="AD133" s="106">
        <f t="shared" si="43"/>
        <v>1.2425505215419506</v>
      </c>
      <c r="AE133" s="106">
        <f t="shared" si="44"/>
        <v>1.2686311779037927</v>
      </c>
      <c r="AF133" s="106">
        <f t="shared" si="45"/>
        <v>1.2193888042516621</v>
      </c>
      <c r="AG133" s="106">
        <f t="shared" si="46"/>
        <v>1.2476322902494341</v>
      </c>
      <c r="AH133" s="106">
        <f t="shared" si="47"/>
        <v>1.2734644146811895</v>
      </c>
      <c r="AI133" s="106">
        <f t="shared" si="48"/>
        <v>1.1348990957336351</v>
      </c>
      <c r="AJ133" s="106">
        <f t="shared" si="49"/>
        <v>1.1483121443649837</v>
      </c>
      <c r="AK133" s="106">
        <f t="shared" si="50"/>
        <v>1.1598039071623278</v>
      </c>
      <c r="AL133" s="106">
        <f t="shared" si="51"/>
        <v>1.1693743841256685</v>
      </c>
      <c r="AM133" s="106">
        <f t="shared" si="52"/>
        <v>1.177023575255004</v>
      </c>
      <c r="AY133" s="182">
        <v>5.3699999999999998E-2</v>
      </c>
      <c r="AZ133" s="185">
        <v>115</v>
      </c>
      <c r="BA133" s="182">
        <v>5.3699999999999998E-2</v>
      </c>
    </row>
    <row r="134" spans="20:53">
      <c r="AY134" s="182">
        <v>5.3600000000000002E-2</v>
      </c>
      <c r="AZ134" s="185">
        <v>116</v>
      </c>
      <c r="BA134" s="182">
        <v>5.3600000000000002E-2</v>
      </c>
    </row>
    <row r="135" spans="20:53">
      <c r="AY135" s="182">
        <v>5.3499999999999999E-2</v>
      </c>
      <c r="AZ135" s="185">
        <v>117</v>
      </c>
      <c r="BA135" s="182">
        <v>5.3499999999999999E-2</v>
      </c>
    </row>
    <row r="136" spans="20:53">
      <c r="AY136" s="182">
        <v>5.3400000000000003E-2</v>
      </c>
      <c r="AZ136" s="185">
        <v>118</v>
      </c>
      <c r="BA136" s="182">
        <v>5.3400000000000003E-2</v>
      </c>
    </row>
    <row r="137" spans="20:53">
      <c r="AY137" s="182">
        <v>5.33E-2</v>
      </c>
      <c r="AZ137" s="185">
        <v>119</v>
      </c>
      <c r="BA137" s="182">
        <v>5.33E-2</v>
      </c>
    </row>
    <row r="138" spans="20:53">
      <c r="AY138" s="182">
        <v>5.3199999999999997E-2</v>
      </c>
      <c r="AZ138" s="185">
        <v>120</v>
      </c>
      <c r="BA138" s="182">
        <v>5.3199999999999997E-2</v>
      </c>
    </row>
    <row r="139" spans="20:53">
      <c r="AY139" s="182">
        <v>5.3100000000000001E-2</v>
      </c>
      <c r="AZ139" s="185">
        <v>121</v>
      </c>
      <c r="BA139" s="182">
        <v>5.3100000000000001E-2</v>
      </c>
    </row>
    <row r="140" spans="20:53">
      <c r="AY140" s="182">
        <v>5.2999999999999999E-2</v>
      </c>
      <c r="AZ140" s="185">
        <v>122</v>
      </c>
      <c r="BA140" s="182">
        <v>5.2999999999999999E-2</v>
      </c>
    </row>
    <row r="141" spans="20:53">
      <c r="AY141" s="182">
        <v>5.2900000000000003E-2</v>
      </c>
      <c r="AZ141" s="185">
        <v>123</v>
      </c>
      <c r="BA141" s="182">
        <v>5.2900000000000003E-2</v>
      </c>
    </row>
    <row r="142" spans="20:53">
      <c r="AY142" s="182">
        <v>5.28E-2</v>
      </c>
      <c r="AZ142" s="185">
        <v>124</v>
      </c>
      <c r="BA142" s="182">
        <v>5.28E-2</v>
      </c>
    </row>
    <row r="143" spans="20:53">
      <c r="AY143" s="182">
        <v>5.2699999999999997E-2</v>
      </c>
      <c r="AZ143" s="185">
        <v>125</v>
      </c>
      <c r="BA143" s="182">
        <v>5.2699999999999997E-2</v>
      </c>
    </row>
    <row r="144" spans="20:53">
      <c r="AY144" s="182">
        <v>5.2600000000000001E-2</v>
      </c>
      <c r="AZ144" s="185">
        <v>126</v>
      </c>
      <c r="BA144" s="182">
        <v>5.2600000000000001E-2</v>
      </c>
    </row>
    <row r="145" spans="51:53">
      <c r="AY145" s="182">
        <v>5.2499999999999998E-2</v>
      </c>
      <c r="AZ145" s="185">
        <v>127</v>
      </c>
      <c r="BA145" s="182">
        <v>5.2499999999999998E-2</v>
      </c>
    </row>
    <row r="146" spans="51:53">
      <c r="AY146" s="182">
        <v>5.2400000000000002E-2</v>
      </c>
      <c r="AZ146" s="185">
        <v>128</v>
      </c>
      <c r="BA146" s="182">
        <v>5.2400000000000002E-2</v>
      </c>
    </row>
    <row r="147" spans="51:53">
      <c r="AY147" s="182">
        <v>5.2299999999999999E-2</v>
      </c>
      <c r="AZ147" s="185">
        <v>129</v>
      </c>
      <c r="BA147" s="182">
        <v>5.2299999999999999E-2</v>
      </c>
    </row>
    <row r="148" spans="51:53">
      <c r="AY148" s="182">
        <v>5.2200000000000003E-2</v>
      </c>
      <c r="AZ148" s="185">
        <v>130</v>
      </c>
      <c r="BA148" s="182">
        <v>5.2200000000000003E-2</v>
      </c>
    </row>
    <row r="149" spans="51:53">
      <c r="AY149" s="182">
        <v>5.21E-2</v>
      </c>
      <c r="AZ149" s="185">
        <v>131</v>
      </c>
      <c r="BA149" s="182">
        <v>5.21E-2</v>
      </c>
    </row>
    <row r="150" spans="51:53">
      <c r="AY150" s="182">
        <v>5.1999999999999998E-2</v>
      </c>
      <c r="AZ150" s="185">
        <v>132</v>
      </c>
      <c r="BA150" s="182">
        <v>5.1999999999999998E-2</v>
      </c>
    </row>
    <row r="151" spans="51:53">
      <c r="AY151" s="182">
        <v>5.1900000000000002E-2</v>
      </c>
      <c r="AZ151" s="185">
        <v>133</v>
      </c>
      <c r="BA151" s="182">
        <v>5.1900000000000002E-2</v>
      </c>
    </row>
    <row r="152" spans="51:53">
      <c r="AY152" s="182">
        <v>5.1799999999999999E-2</v>
      </c>
      <c r="AZ152" s="185">
        <v>134</v>
      </c>
      <c r="BA152" s="182">
        <v>5.1799999999999999E-2</v>
      </c>
    </row>
    <row r="153" spans="51:53">
      <c r="AY153" s="182">
        <v>5.1700000000000003E-2</v>
      </c>
      <c r="AZ153" s="185">
        <v>135</v>
      </c>
      <c r="BA153" s="182">
        <v>5.1700000000000003E-2</v>
      </c>
    </row>
    <row r="154" spans="51:53">
      <c r="AY154" s="182">
        <v>5.16E-2</v>
      </c>
      <c r="AZ154" s="185">
        <v>136</v>
      </c>
      <c r="BA154" s="182">
        <v>5.16E-2</v>
      </c>
    </row>
    <row r="155" spans="51:53">
      <c r="AY155" s="182">
        <v>5.1499999999999997E-2</v>
      </c>
      <c r="AZ155" s="185">
        <v>137</v>
      </c>
      <c r="BA155" s="182">
        <v>5.1499999999999997E-2</v>
      </c>
    </row>
    <row r="156" spans="51:53">
      <c r="AY156" s="182">
        <v>5.1400000000000001E-2</v>
      </c>
      <c r="AZ156" s="185">
        <v>138</v>
      </c>
      <c r="BA156" s="182">
        <v>5.1400000000000001E-2</v>
      </c>
    </row>
    <row r="157" spans="51:53">
      <c r="AY157" s="182">
        <v>5.1299999999999998E-2</v>
      </c>
      <c r="AZ157" s="185">
        <v>139</v>
      </c>
      <c r="BA157" s="182">
        <v>5.1299999999999998E-2</v>
      </c>
    </row>
    <row r="158" spans="51:53">
      <c r="AY158" s="182">
        <v>5.1200000000000002E-2</v>
      </c>
      <c r="AZ158" s="185">
        <v>140</v>
      </c>
      <c r="BA158" s="182">
        <v>5.1200000000000002E-2</v>
      </c>
    </row>
    <row r="159" spans="51:53">
      <c r="AY159" s="182">
        <v>5.11E-2</v>
      </c>
      <c r="AZ159" s="185">
        <v>141</v>
      </c>
      <c r="BA159" s="182">
        <v>5.11E-2</v>
      </c>
    </row>
    <row r="160" spans="51:53">
      <c r="AY160" s="182">
        <v>5.0999999999999997E-2</v>
      </c>
      <c r="AZ160" s="185">
        <v>142</v>
      </c>
      <c r="BA160" s="182">
        <v>5.0999999999999997E-2</v>
      </c>
    </row>
    <row r="161" spans="51:53">
      <c r="AY161" s="182">
        <v>5.0900000000000001E-2</v>
      </c>
      <c r="AZ161" s="185">
        <v>143</v>
      </c>
      <c r="BA161" s="182">
        <v>5.0900000000000001E-2</v>
      </c>
    </row>
    <row r="162" spans="51:53">
      <c r="AY162" s="182">
        <v>5.0799999999999998E-2</v>
      </c>
      <c r="AZ162" s="185">
        <v>144</v>
      </c>
      <c r="BA162" s="182">
        <v>5.0799999999999998E-2</v>
      </c>
    </row>
    <row r="163" spans="51:53">
      <c r="AY163" s="182">
        <v>5.0700000000000002E-2</v>
      </c>
      <c r="AZ163" s="185">
        <v>145</v>
      </c>
      <c r="BA163" s="182">
        <v>5.0700000000000002E-2</v>
      </c>
    </row>
    <row r="164" spans="51:53">
      <c r="AY164" s="182">
        <v>5.0599999999999999E-2</v>
      </c>
      <c r="AZ164" s="185">
        <v>146</v>
      </c>
      <c r="BA164" s="182">
        <v>5.0599999999999999E-2</v>
      </c>
    </row>
    <row r="165" spans="51:53">
      <c r="AY165" s="182">
        <v>5.0500000000000003E-2</v>
      </c>
      <c r="AZ165" s="185">
        <v>147</v>
      </c>
      <c r="BA165" s="182">
        <v>5.0500000000000003E-2</v>
      </c>
    </row>
    <row r="166" spans="51:53">
      <c r="AY166" s="182">
        <v>5.04E-2</v>
      </c>
      <c r="AZ166" s="185">
        <v>148</v>
      </c>
      <c r="BA166" s="182">
        <v>5.04E-2</v>
      </c>
    </row>
    <row r="167" spans="51:53">
      <c r="AY167" s="182">
        <v>5.0299999999999997E-2</v>
      </c>
      <c r="AZ167" s="185">
        <v>149</v>
      </c>
      <c r="BA167" s="182">
        <v>5.0299999999999997E-2</v>
      </c>
    </row>
    <row r="168" spans="51:53">
      <c r="AY168" s="182">
        <v>5.0200000000000002E-2</v>
      </c>
      <c r="AZ168" s="185">
        <v>150</v>
      </c>
      <c r="BA168" s="182">
        <v>5.0200000000000002E-2</v>
      </c>
    </row>
    <row r="169" spans="51:53">
      <c r="AY169" s="182">
        <v>5.0099999999999999E-2</v>
      </c>
      <c r="AZ169" s="185">
        <v>151</v>
      </c>
      <c r="BA169" s="182">
        <v>5.0099999999999999E-2</v>
      </c>
    </row>
    <row r="170" spans="51:53">
      <c r="AY170" s="182">
        <v>0.05</v>
      </c>
      <c r="AZ170" s="185">
        <v>152</v>
      </c>
      <c r="BA170" s="182">
        <v>0.05</v>
      </c>
    </row>
    <row r="171" spans="51:53">
      <c r="AY171" s="182">
        <v>4.99E-2</v>
      </c>
      <c r="AZ171" s="185">
        <v>153</v>
      </c>
      <c r="BA171" s="182">
        <v>4.99E-2</v>
      </c>
    </row>
    <row r="172" spans="51:53">
      <c r="AY172" s="182">
        <v>4.9799999999999997E-2</v>
      </c>
      <c r="AZ172" s="185">
        <v>154</v>
      </c>
      <c r="BA172" s="182">
        <v>4.9799999999999997E-2</v>
      </c>
    </row>
    <row r="173" spans="51:53">
      <c r="AY173" s="182">
        <v>4.9700000000000001E-2</v>
      </c>
      <c r="AZ173" s="185">
        <v>155</v>
      </c>
      <c r="BA173" s="182">
        <v>4.9700000000000001E-2</v>
      </c>
    </row>
    <row r="174" spans="51:53">
      <c r="AY174" s="182">
        <v>4.9599999999999998E-2</v>
      </c>
      <c r="AZ174" s="185">
        <v>156</v>
      </c>
      <c r="BA174" s="182">
        <v>4.9599999999999998E-2</v>
      </c>
    </row>
    <row r="175" spans="51:53">
      <c r="AY175" s="182">
        <v>4.9500000000000002E-2</v>
      </c>
      <c r="AZ175" s="185">
        <v>157</v>
      </c>
      <c r="BA175" s="182">
        <v>4.9500000000000002E-2</v>
      </c>
    </row>
    <row r="176" spans="51:53">
      <c r="AY176" s="182">
        <v>4.9399999999999999E-2</v>
      </c>
      <c r="AZ176" s="185">
        <v>158</v>
      </c>
      <c r="BA176" s="182">
        <v>4.9399999999999999E-2</v>
      </c>
    </row>
    <row r="177" spans="51:53">
      <c r="AY177" s="182">
        <v>4.9299999999999997E-2</v>
      </c>
      <c r="AZ177" s="185">
        <v>159</v>
      </c>
      <c r="BA177" s="182">
        <v>4.9299999999999997E-2</v>
      </c>
    </row>
    <row r="178" spans="51:53">
      <c r="AY178" s="182">
        <v>4.9200000000000001E-2</v>
      </c>
      <c r="AZ178" s="185">
        <v>160</v>
      </c>
      <c r="BA178" s="182">
        <v>4.9200000000000001E-2</v>
      </c>
    </row>
    <row r="179" spans="51:53">
      <c r="AY179" s="182">
        <v>4.9099999999999998E-2</v>
      </c>
      <c r="AZ179" s="185">
        <v>161</v>
      </c>
      <c r="BA179" s="182">
        <v>4.9099999999999998E-2</v>
      </c>
    </row>
    <row r="180" spans="51:53">
      <c r="AY180" s="182">
        <v>4.9000000000000002E-2</v>
      </c>
      <c r="AZ180" s="185">
        <v>162</v>
      </c>
      <c r="BA180" s="182">
        <v>4.9000000000000002E-2</v>
      </c>
    </row>
    <row r="181" spans="51:53">
      <c r="AY181" s="182">
        <v>4.8899999999999999E-2</v>
      </c>
      <c r="AZ181" s="185">
        <v>163</v>
      </c>
      <c r="BA181" s="182">
        <v>4.8899999999999999E-2</v>
      </c>
    </row>
    <row r="182" spans="51:53">
      <c r="AY182" s="182">
        <v>4.8800000000000003E-2</v>
      </c>
      <c r="AZ182" s="185">
        <v>164</v>
      </c>
      <c r="BA182" s="182">
        <v>4.8800000000000003E-2</v>
      </c>
    </row>
    <row r="183" spans="51:53">
      <c r="AY183" s="182">
        <v>4.87E-2</v>
      </c>
      <c r="AZ183" s="185">
        <v>165</v>
      </c>
      <c r="BA183" s="182">
        <v>4.87E-2</v>
      </c>
    </row>
    <row r="184" spans="51:53">
      <c r="AY184" s="182">
        <v>4.8599999999999997E-2</v>
      </c>
      <c r="AZ184" s="185">
        <v>166</v>
      </c>
      <c r="BA184" s="182">
        <v>4.8599999999999997E-2</v>
      </c>
    </row>
    <row r="185" spans="51:53">
      <c r="AY185" s="182">
        <v>4.8500000000000001E-2</v>
      </c>
      <c r="AZ185" s="185">
        <v>167</v>
      </c>
      <c r="BA185" s="182">
        <v>4.8500000000000001E-2</v>
      </c>
    </row>
    <row r="186" spans="51:53">
      <c r="AY186" s="182">
        <v>4.8399999999999999E-2</v>
      </c>
      <c r="AZ186" s="185">
        <v>168</v>
      </c>
      <c r="BA186" s="182">
        <v>4.8399999999999999E-2</v>
      </c>
    </row>
    <row r="187" spans="51:53">
      <c r="AY187" s="182">
        <v>4.8300000000000003E-2</v>
      </c>
      <c r="AZ187" s="185">
        <v>169</v>
      </c>
      <c r="BA187" s="182">
        <v>4.8300000000000003E-2</v>
      </c>
    </row>
    <row r="188" spans="51:53">
      <c r="AY188" s="182">
        <v>4.82E-2</v>
      </c>
      <c r="AZ188" s="185">
        <v>170</v>
      </c>
      <c r="BA188" s="182">
        <v>4.82E-2</v>
      </c>
    </row>
    <row r="189" spans="51:53">
      <c r="AY189" s="182">
        <v>4.8099999999999997E-2</v>
      </c>
      <c r="AZ189" s="185">
        <v>171</v>
      </c>
      <c r="BA189" s="182">
        <v>4.8099999999999997E-2</v>
      </c>
    </row>
    <row r="190" spans="51:53">
      <c r="AY190" s="182">
        <v>4.8000000000000001E-2</v>
      </c>
      <c r="AZ190" s="185">
        <v>172</v>
      </c>
      <c r="BA190" s="182">
        <v>4.8000000000000001E-2</v>
      </c>
    </row>
    <row r="191" spans="51:53">
      <c r="AY191" s="182">
        <v>4.7899999999999998E-2</v>
      </c>
      <c r="AZ191" s="185">
        <v>173</v>
      </c>
      <c r="BA191" s="182">
        <v>4.7899999999999998E-2</v>
      </c>
    </row>
    <row r="192" spans="51:53">
      <c r="AY192" s="182">
        <v>4.7800000000000002E-2</v>
      </c>
      <c r="AZ192" s="185">
        <v>174</v>
      </c>
      <c r="BA192" s="182">
        <v>4.7800000000000002E-2</v>
      </c>
    </row>
    <row r="193" spans="51:53">
      <c r="AY193" s="182">
        <v>4.7699999999999999E-2</v>
      </c>
      <c r="AZ193" s="185">
        <v>175</v>
      </c>
      <c r="BA193" s="182">
        <v>4.7699999999999999E-2</v>
      </c>
    </row>
    <row r="194" spans="51:53">
      <c r="AY194" s="182">
        <v>4.7600000000000003E-2</v>
      </c>
      <c r="AZ194" s="185">
        <v>176</v>
      </c>
      <c r="BA194" s="182">
        <v>4.7600000000000003E-2</v>
      </c>
    </row>
    <row r="195" spans="51:53">
      <c r="AY195" s="182">
        <v>4.7500000000000001E-2</v>
      </c>
      <c r="AZ195" s="185">
        <v>177</v>
      </c>
      <c r="BA195" s="182">
        <v>4.7500000000000001E-2</v>
      </c>
    </row>
    <row r="196" spans="51:53">
      <c r="AY196" s="182">
        <v>4.7399999999999998E-2</v>
      </c>
      <c r="AZ196" s="185">
        <v>178</v>
      </c>
      <c r="BA196" s="182">
        <v>4.7399999999999998E-2</v>
      </c>
    </row>
    <row r="197" spans="51:53">
      <c r="AY197" s="182">
        <v>4.7300000000000002E-2</v>
      </c>
      <c r="AZ197" s="185">
        <v>179</v>
      </c>
      <c r="BA197" s="182">
        <v>4.7300000000000002E-2</v>
      </c>
    </row>
    <row r="198" spans="51:53">
      <c r="AY198" s="182">
        <v>4.7199999999999999E-2</v>
      </c>
      <c r="AZ198" s="185">
        <v>180</v>
      </c>
      <c r="BA198" s="182">
        <v>4.7199999999999999E-2</v>
      </c>
    </row>
    <row r="199" spans="51:53">
      <c r="AY199" s="182">
        <v>4.7100000000000003E-2</v>
      </c>
      <c r="AZ199" s="185">
        <v>181</v>
      </c>
      <c r="BA199" s="182">
        <v>4.7100000000000003E-2</v>
      </c>
    </row>
    <row r="200" spans="51:53">
      <c r="AY200" s="182">
        <v>4.7E-2</v>
      </c>
      <c r="AZ200" s="185">
        <v>182</v>
      </c>
      <c r="BA200" s="182">
        <v>4.7E-2</v>
      </c>
    </row>
    <row r="201" spans="51:53">
      <c r="AY201" s="182">
        <v>4.6899999999999997E-2</v>
      </c>
      <c r="AZ201" s="185">
        <v>183</v>
      </c>
      <c r="BA201" s="182">
        <v>4.6899999999999997E-2</v>
      </c>
    </row>
    <row r="202" spans="51:53">
      <c r="AY202" s="182">
        <v>4.6800000000000001E-2</v>
      </c>
      <c r="AZ202" s="185">
        <v>184</v>
      </c>
      <c r="BA202" s="182">
        <v>4.6800000000000001E-2</v>
      </c>
    </row>
    <row r="203" spans="51:53">
      <c r="AY203" s="182">
        <v>4.6699999999999998E-2</v>
      </c>
      <c r="AZ203" s="185">
        <v>185</v>
      </c>
      <c r="BA203" s="182">
        <v>4.6699999999999998E-2</v>
      </c>
    </row>
    <row r="204" spans="51:53">
      <c r="AY204" s="182">
        <v>4.6600000000000003E-2</v>
      </c>
      <c r="AZ204" s="185">
        <v>186</v>
      </c>
      <c r="BA204" s="182">
        <v>4.6600000000000003E-2</v>
      </c>
    </row>
    <row r="205" spans="51:53">
      <c r="AY205" s="182">
        <v>4.65E-2</v>
      </c>
      <c r="AZ205" s="185">
        <v>187</v>
      </c>
      <c r="BA205" s="182">
        <v>4.65E-2</v>
      </c>
    </row>
    <row r="206" spans="51:53">
      <c r="AY206" s="182">
        <v>4.6399999999999997E-2</v>
      </c>
      <c r="AZ206" s="185">
        <v>188</v>
      </c>
      <c r="BA206" s="182">
        <v>4.6399999999999997E-2</v>
      </c>
    </row>
    <row r="207" spans="51:53">
      <c r="AY207" s="182">
        <v>4.6300000000000001E-2</v>
      </c>
      <c r="AZ207" s="185">
        <v>189</v>
      </c>
      <c r="BA207" s="182">
        <v>4.6300000000000001E-2</v>
      </c>
    </row>
    <row r="208" spans="51:53">
      <c r="AY208" s="182">
        <v>4.6199999999999998E-2</v>
      </c>
      <c r="AZ208" s="185">
        <v>190</v>
      </c>
      <c r="BA208" s="182">
        <v>4.6199999999999998E-2</v>
      </c>
    </row>
    <row r="209" spans="51:53">
      <c r="AY209" s="182">
        <v>4.6100000000000002E-2</v>
      </c>
      <c r="AZ209" s="185">
        <v>191</v>
      </c>
      <c r="BA209" s="182">
        <v>4.6100000000000002E-2</v>
      </c>
    </row>
    <row r="210" spans="51:53">
      <c r="AY210" s="182">
        <v>4.5999999999999999E-2</v>
      </c>
      <c r="AZ210" s="185">
        <v>192</v>
      </c>
      <c r="BA210" s="182">
        <v>4.5999999999999999E-2</v>
      </c>
    </row>
    <row r="211" spans="51:53">
      <c r="AY211" s="182">
        <v>4.5900000000000003E-2</v>
      </c>
      <c r="AZ211" s="185">
        <v>193</v>
      </c>
      <c r="BA211" s="182">
        <v>4.5900000000000003E-2</v>
      </c>
    </row>
    <row r="212" spans="51:53">
      <c r="AY212" s="182">
        <v>4.58E-2</v>
      </c>
      <c r="AZ212" s="185">
        <v>194</v>
      </c>
      <c r="BA212" s="182">
        <v>4.58E-2</v>
      </c>
    </row>
    <row r="213" spans="51:53">
      <c r="AY213" s="182">
        <v>4.5699999999999998E-2</v>
      </c>
      <c r="AZ213" s="185">
        <v>195</v>
      </c>
      <c r="BA213" s="182">
        <v>4.5699999999999998E-2</v>
      </c>
    </row>
    <row r="214" spans="51:53">
      <c r="AY214" s="182">
        <v>4.5600000000000002E-2</v>
      </c>
      <c r="AZ214" s="185">
        <v>196</v>
      </c>
      <c r="BA214" s="182">
        <v>4.5600000000000002E-2</v>
      </c>
    </row>
    <row r="215" spans="51:53">
      <c r="AY215" s="182">
        <v>4.5499999999999999E-2</v>
      </c>
      <c r="AZ215" s="185">
        <v>197</v>
      </c>
      <c r="BA215" s="182">
        <v>4.5499999999999999E-2</v>
      </c>
    </row>
    <row r="216" spans="51:53">
      <c r="AY216" s="182">
        <v>4.5400000000000003E-2</v>
      </c>
      <c r="AZ216" s="185">
        <v>198</v>
      </c>
      <c r="BA216" s="182">
        <v>4.5400000000000003E-2</v>
      </c>
    </row>
    <row r="217" spans="51:53">
      <c r="AY217" s="182">
        <v>4.53E-2</v>
      </c>
      <c r="AZ217" s="185">
        <v>199</v>
      </c>
      <c r="BA217" s="182">
        <v>4.53E-2</v>
      </c>
    </row>
    <row r="218" spans="51:53">
      <c r="AY218" s="182">
        <v>4.5199999999999997E-2</v>
      </c>
      <c r="AZ218" s="185">
        <v>200</v>
      </c>
      <c r="BA218" s="182">
        <v>4.5199999999999997E-2</v>
      </c>
    </row>
    <row r="219" spans="51:53">
      <c r="AY219" s="182">
        <v>4.5100000000000001E-2</v>
      </c>
      <c r="AZ219" s="185">
        <v>201</v>
      </c>
      <c r="BA219" s="182">
        <v>4.5100000000000001E-2</v>
      </c>
    </row>
    <row r="220" spans="51:53">
      <c r="AY220" s="182">
        <v>4.4999999999999998E-2</v>
      </c>
      <c r="AZ220" s="185">
        <v>202</v>
      </c>
      <c r="BA220" s="182">
        <v>4.4999999999999998E-2</v>
      </c>
    </row>
    <row r="221" spans="51:53">
      <c r="AY221" s="182">
        <v>4.4900000000000002E-2</v>
      </c>
      <c r="AZ221" s="185">
        <v>203</v>
      </c>
      <c r="BA221" s="182">
        <v>4.4900000000000002E-2</v>
      </c>
    </row>
    <row r="222" spans="51:53">
      <c r="AY222" s="182">
        <v>4.48E-2</v>
      </c>
      <c r="AZ222" s="185">
        <v>204</v>
      </c>
      <c r="BA222" s="182">
        <v>4.48E-2</v>
      </c>
    </row>
    <row r="223" spans="51:53">
      <c r="AY223" s="182">
        <v>4.4699999999999997E-2</v>
      </c>
      <c r="AZ223" s="185">
        <v>205</v>
      </c>
      <c r="BA223" s="182">
        <v>4.4699999999999997E-2</v>
      </c>
    </row>
    <row r="224" spans="51:53">
      <c r="AY224" s="182">
        <v>4.4600000000000001E-2</v>
      </c>
      <c r="AZ224" s="185">
        <v>206</v>
      </c>
      <c r="BA224" s="182">
        <v>4.4600000000000001E-2</v>
      </c>
    </row>
    <row r="225" spans="51:53">
      <c r="AY225" s="182">
        <v>4.4499999999999998E-2</v>
      </c>
      <c r="AZ225" s="185">
        <v>207</v>
      </c>
      <c r="BA225" s="182">
        <v>4.4499999999999998E-2</v>
      </c>
    </row>
    <row r="226" spans="51:53">
      <c r="AY226" s="182">
        <v>4.4400000000000002E-2</v>
      </c>
      <c r="AZ226" s="185">
        <v>208</v>
      </c>
      <c r="BA226" s="182">
        <v>4.4400000000000002E-2</v>
      </c>
    </row>
    <row r="227" spans="51:53">
      <c r="AY227" s="182">
        <v>4.4299999999999999E-2</v>
      </c>
      <c r="AZ227" s="185">
        <v>209</v>
      </c>
      <c r="BA227" s="182">
        <v>4.4299999999999999E-2</v>
      </c>
    </row>
    <row r="228" spans="51:53">
      <c r="AY228" s="182">
        <v>4.4200000000000003E-2</v>
      </c>
      <c r="AZ228" s="185">
        <v>210</v>
      </c>
      <c r="BA228" s="182">
        <v>4.4200000000000003E-2</v>
      </c>
    </row>
    <row r="229" spans="51:53">
      <c r="AY229" s="182">
        <v>4.41E-2</v>
      </c>
      <c r="AZ229" s="185">
        <v>211</v>
      </c>
      <c r="BA229" s="182">
        <v>4.41E-2</v>
      </c>
    </row>
    <row r="230" spans="51:53">
      <c r="AY230" s="182">
        <v>4.3999999999999997E-2</v>
      </c>
      <c r="AZ230" s="185">
        <v>212</v>
      </c>
      <c r="BA230" s="182">
        <v>4.3999999999999997E-2</v>
      </c>
    </row>
    <row r="231" spans="51:53">
      <c r="AY231" s="182">
        <v>4.3900000000000002E-2</v>
      </c>
      <c r="AZ231" s="185">
        <v>213</v>
      </c>
      <c r="BA231" s="182">
        <v>4.3900000000000002E-2</v>
      </c>
    </row>
    <row r="232" spans="51:53">
      <c r="AY232" s="182">
        <v>4.3799999999999999E-2</v>
      </c>
      <c r="AZ232" s="185">
        <v>214</v>
      </c>
      <c r="BA232" s="182">
        <v>4.3799999999999999E-2</v>
      </c>
    </row>
    <row r="233" spans="51:53">
      <c r="AY233" s="182">
        <v>4.3700000000000003E-2</v>
      </c>
      <c r="AZ233" s="185">
        <v>215</v>
      </c>
      <c r="BA233" s="182">
        <v>4.3700000000000003E-2</v>
      </c>
    </row>
    <row r="234" spans="51:53">
      <c r="AY234" s="182">
        <v>4.36E-2</v>
      </c>
      <c r="AZ234" s="185">
        <v>216</v>
      </c>
      <c r="BA234" s="182">
        <v>4.36E-2</v>
      </c>
    </row>
    <row r="235" spans="51:53">
      <c r="AY235" s="182">
        <v>4.3499999999999997E-2</v>
      </c>
      <c r="AZ235" s="185">
        <v>217</v>
      </c>
      <c r="BA235" s="182">
        <v>4.3499999999999997E-2</v>
      </c>
    </row>
    <row r="236" spans="51:53">
      <c r="AY236" s="182">
        <v>4.3400000000000001E-2</v>
      </c>
      <c r="AZ236" s="185">
        <v>218</v>
      </c>
      <c r="BA236" s="182">
        <v>4.3400000000000001E-2</v>
      </c>
    </row>
    <row r="237" spans="51:53">
      <c r="AY237" s="182">
        <v>4.3299999999999998E-2</v>
      </c>
      <c r="AZ237" s="185">
        <v>219</v>
      </c>
      <c r="BA237" s="182">
        <v>4.3299999999999998E-2</v>
      </c>
    </row>
    <row r="238" spans="51:53">
      <c r="AY238" s="182">
        <v>4.3200000000000002E-2</v>
      </c>
      <c r="AZ238" s="185">
        <v>220</v>
      </c>
      <c r="BA238" s="182">
        <v>4.3200000000000002E-2</v>
      </c>
    </row>
    <row r="239" spans="51:53">
      <c r="AY239" s="182">
        <v>4.3099999999999999E-2</v>
      </c>
      <c r="AZ239" s="185">
        <v>221</v>
      </c>
      <c r="BA239" s="182">
        <v>4.3099999999999999E-2</v>
      </c>
    </row>
    <row r="240" spans="51:53">
      <c r="AY240" s="182">
        <v>4.2999999999999997E-2</v>
      </c>
      <c r="AZ240" s="185">
        <v>222</v>
      </c>
      <c r="BA240" s="182">
        <v>4.2999999999999997E-2</v>
      </c>
    </row>
    <row r="241" spans="51:53">
      <c r="AY241" s="182">
        <v>4.2900000000000001E-2</v>
      </c>
      <c r="AZ241" s="185">
        <v>223</v>
      </c>
      <c r="BA241" s="182">
        <v>4.2900000000000001E-2</v>
      </c>
    </row>
    <row r="242" spans="51:53">
      <c r="AY242" s="182">
        <v>4.2799999999999998E-2</v>
      </c>
      <c r="AZ242" s="185">
        <v>224</v>
      </c>
      <c r="BA242" s="182">
        <v>4.2799999999999998E-2</v>
      </c>
    </row>
    <row r="243" spans="51:53">
      <c r="AY243" s="182">
        <v>4.2700000000000002E-2</v>
      </c>
      <c r="AZ243" s="185">
        <v>225</v>
      </c>
      <c r="BA243" s="182">
        <v>4.2700000000000002E-2</v>
      </c>
    </row>
    <row r="244" spans="51:53">
      <c r="AY244" s="182">
        <v>4.2599999999999999E-2</v>
      </c>
      <c r="AZ244" s="185">
        <v>226</v>
      </c>
      <c r="BA244" s="182">
        <v>4.2599999999999999E-2</v>
      </c>
    </row>
    <row r="245" spans="51:53">
      <c r="AY245" s="182">
        <v>4.2500000000000003E-2</v>
      </c>
      <c r="AZ245" s="185">
        <v>227</v>
      </c>
      <c r="BA245" s="182">
        <v>4.2500000000000003E-2</v>
      </c>
    </row>
    <row r="246" spans="51:53">
      <c r="AY246" s="182">
        <v>4.24E-2</v>
      </c>
      <c r="AZ246" s="185">
        <v>228</v>
      </c>
      <c r="BA246" s="182">
        <v>4.24E-2</v>
      </c>
    </row>
    <row r="247" spans="51:53">
      <c r="AY247" s="182">
        <v>4.2299999999999997E-2</v>
      </c>
      <c r="AZ247" s="185">
        <v>229</v>
      </c>
      <c r="BA247" s="182">
        <v>4.2299999999999997E-2</v>
      </c>
    </row>
    <row r="248" spans="51:53">
      <c r="AY248" s="182">
        <v>4.2200000000000001E-2</v>
      </c>
      <c r="AZ248" s="185">
        <v>230</v>
      </c>
      <c r="BA248" s="182">
        <v>4.2200000000000001E-2</v>
      </c>
    </row>
    <row r="249" spans="51:53">
      <c r="AY249" s="182">
        <v>4.2099999999999999E-2</v>
      </c>
      <c r="AZ249" s="185">
        <v>231</v>
      </c>
      <c r="BA249" s="182">
        <v>4.2099999999999999E-2</v>
      </c>
    </row>
    <row r="250" spans="51:53">
      <c r="AY250" s="182">
        <v>4.2000000000000003E-2</v>
      </c>
      <c r="AZ250" s="185">
        <v>232</v>
      </c>
      <c r="BA250" s="182">
        <v>4.2000000000000003E-2</v>
      </c>
    </row>
    <row r="251" spans="51:53">
      <c r="AY251" s="182">
        <v>4.19E-2</v>
      </c>
      <c r="AZ251" s="185">
        <v>233</v>
      </c>
      <c r="BA251" s="182">
        <v>4.19E-2</v>
      </c>
    </row>
    <row r="252" spans="51:53">
      <c r="AY252" s="182">
        <v>4.1799999999999997E-2</v>
      </c>
      <c r="AZ252" s="185">
        <v>234</v>
      </c>
      <c r="BA252" s="182">
        <v>4.1799999999999997E-2</v>
      </c>
    </row>
    <row r="253" spans="51:53">
      <c r="AY253" s="182">
        <v>4.1700000000000001E-2</v>
      </c>
      <c r="AZ253" s="185">
        <v>235</v>
      </c>
      <c r="BA253" s="182">
        <v>4.1700000000000001E-2</v>
      </c>
    </row>
    <row r="254" spans="51:53">
      <c r="AY254" s="182">
        <v>4.1599999999999998E-2</v>
      </c>
      <c r="AZ254" s="185">
        <v>236</v>
      </c>
      <c r="BA254" s="182">
        <v>4.1599999999999998E-2</v>
      </c>
    </row>
    <row r="255" spans="51:53">
      <c r="AY255" s="182">
        <v>4.1500000000000002E-2</v>
      </c>
      <c r="AZ255" s="185">
        <v>237</v>
      </c>
      <c r="BA255" s="182">
        <v>4.1500000000000002E-2</v>
      </c>
    </row>
    <row r="256" spans="51:53">
      <c r="AY256" s="182">
        <v>4.1399999999999999E-2</v>
      </c>
      <c r="AZ256" s="185">
        <v>238</v>
      </c>
      <c r="BA256" s="182">
        <v>4.1399999999999999E-2</v>
      </c>
    </row>
    <row r="257" spans="51:53">
      <c r="AY257" s="182">
        <v>4.1300000000000003E-2</v>
      </c>
      <c r="AZ257" s="185">
        <v>239</v>
      </c>
      <c r="BA257" s="182">
        <v>4.1300000000000003E-2</v>
      </c>
    </row>
    <row r="258" spans="51:53">
      <c r="AY258" s="182">
        <v>4.1200000000000001E-2</v>
      </c>
      <c r="AZ258" s="185">
        <v>240</v>
      </c>
      <c r="BA258" s="182">
        <v>4.1200000000000001E-2</v>
      </c>
    </row>
    <row r="259" spans="51:53">
      <c r="AY259" s="182">
        <v>4.1099999999999998E-2</v>
      </c>
      <c r="AZ259" s="185">
        <v>241</v>
      </c>
      <c r="BA259" s="182">
        <v>4.1099999999999998E-2</v>
      </c>
    </row>
    <row r="260" spans="51:53">
      <c r="AY260" s="182">
        <v>4.1000000000000002E-2</v>
      </c>
      <c r="AZ260" s="185">
        <v>242</v>
      </c>
      <c r="BA260" s="182">
        <v>4.1000000000000002E-2</v>
      </c>
    </row>
    <row r="261" spans="51:53">
      <c r="AY261" s="182">
        <v>4.0899999999999999E-2</v>
      </c>
      <c r="AZ261" s="185">
        <v>243</v>
      </c>
      <c r="BA261" s="182">
        <v>4.0899999999999999E-2</v>
      </c>
    </row>
    <row r="262" spans="51:53">
      <c r="AY262" s="182">
        <v>4.0800000000000003E-2</v>
      </c>
      <c r="AZ262" s="185">
        <v>244</v>
      </c>
      <c r="BA262" s="182">
        <v>4.0800000000000003E-2</v>
      </c>
    </row>
    <row r="263" spans="51:53">
      <c r="AY263" s="182">
        <v>4.07E-2</v>
      </c>
      <c r="AZ263" s="185">
        <v>245</v>
      </c>
      <c r="BA263" s="182">
        <v>4.07E-2</v>
      </c>
    </row>
    <row r="264" spans="51:53">
      <c r="AY264" s="182">
        <v>4.0599999999999997E-2</v>
      </c>
      <c r="AZ264" s="185">
        <v>246</v>
      </c>
      <c r="BA264" s="182">
        <v>4.0599999999999997E-2</v>
      </c>
    </row>
    <row r="265" spans="51:53">
      <c r="AY265" s="182">
        <v>4.0500000000000001E-2</v>
      </c>
      <c r="AZ265" s="185">
        <v>247</v>
      </c>
      <c r="BA265" s="182">
        <v>4.0500000000000001E-2</v>
      </c>
    </row>
    <row r="266" spans="51:53">
      <c r="AY266" s="182">
        <v>4.0399999999999998E-2</v>
      </c>
      <c r="AZ266" s="185">
        <v>248</v>
      </c>
      <c r="BA266" s="182">
        <v>4.0399999999999998E-2</v>
      </c>
    </row>
    <row r="267" spans="51:53">
      <c r="AY267" s="182">
        <v>4.0300000000000002E-2</v>
      </c>
      <c r="AZ267" s="185">
        <v>249</v>
      </c>
      <c r="BA267" s="182">
        <v>4.0300000000000002E-2</v>
      </c>
    </row>
    <row r="268" spans="51:53">
      <c r="AY268" s="182">
        <v>4.02E-2</v>
      </c>
      <c r="AZ268" s="185">
        <v>250</v>
      </c>
      <c r="BA268" s="182">
        <v>4.02E-2</v>
      </c>
    </row>
    <row r="269" spans="51:53">
      <c r="AY269" s="182">
        <v>4.0099999999999997E-2</v>
      </c>
      <c r="AZ269" s="185">
        <v>251</v>
      </c>
      <c r="BA269" s="182">
        <v>4.0099999999999997E-2</v>
      </c>
    </row>
    <row r="270" spans="51:53">
      <c r="AY270" s="182">
        <v>0.04</v>
      </c>
      <c r="AZ270" s="185">
        <v>252</v>
      </c>
      <c r="BA270" s="182">
        <v>0.04</v>
      </c>
    </row>
    <row r="271" spans="51:53">
      <c r="AY271" s="182">
        <v>3.9899999999999998E-2</v>
      </c>
      <c r="AZ271" s="185">
        <v>253</v>
      </c>
      <c r="BA271" s="182">
        <v>3.9899999999999998E-2</v>
      </c>
    </row>
    <row r="272" spans="51:53">
      <c r="AY272" s="182">
        <v>3.9800000000000002E-2</v>
      </c>
      <c r="AZ272" s="185">
        <v>254</v>
      </c>
      <c r="BA272" s="182">
        <v>3.9800000000000002E-2</v>
      </c>
    </row>
    <row r="273" spans="51:53">
      <c r="AY273" s="182">
        <v>3.9699999999999999E-2</v>
      </c>
      <c r="AZ273" s="185">
        <v>255</v>
      </c>
      <c r="BA273" s="182">
        <v>3.9699999999999999E-2</v>
      </c>
    </row>
    <row r="274" spans="51:53">
      <c r="AY274" s="182">
        <v>3.9600000000000003E-2</v>
      </c>
      <c r="AZ274" s="185">
        <v>256</v>
      </c>
      <c r="BA274" s="182">
        <v>3.9600000000000003E-2</v>
      </c>
    </row>
    <row r="275" spans="51:53">
      <c r="AY275" s="182">
        <v>3.95E-2</v>
      </c>
      <c r="AZ275" s="185">
        <v>257</v>
      </c>
      <c r="BA275" s="182">
        <v>3.95E-2</v>
      </c>
    </row>
    <row r="276" spans="51:53">
      <c r="AY276" s="182">
        <v>3.9399999999999998E-2</v>
      </c>
      <c r="AZ276" s="185">
        <v>258</v>
      </c>
      <c r="BA276" s="182">
        <v>3.9399999999999998E-2</v>
      </c>
    </row>
    <row r="277" spans="51:53">
      <c r="AY277" s="182">
        <v>3.9300000000000002E-2</v>
      </c>
      <c r="AZ277" s="185">
        <v>259</v>
      </c>
      <c r="BA277" s="182">
        <v>3.9300000000000002E-2</v>
      </c>
    </row>
    <row r="278" spans="51:53">
      <c r="AY278" s="182">
        <v>3.9199999999999999E-2</v>
      </c>
      <c r="AZ278" s="185">
        <v>260</v>
      </c>
      <c r="BA278" s="182">
        <v>3.9199999999999999E-2</v>
      </c>
    </row>
    <row r="279" spans="51:53">
      <c r="AY279" s="182">
        <v>3.9100000000000003E-2</v>
      </c>
      <c r="AZ279" s="185">
        <v>261</v>
      </c>
      <c r="BA279" s="182">
        <v>3.9100000000000003E-2</v>
      </c>
    </row>
    <row r="280" spans="51:53">
      <c r="AY280" s="182">
        <v>3.9E-2</v>
      </c>
      <c r="AZ280" s="185">
        <v>262</v>
      </c>
      <c r="BA280" s="182">
        <v>3.9E-2</v>
      </c>
    </row>
    <row r="281" spans="51:53">
      <c r="AY281" s="182">
        <v>3.8899999999999997E-2</v>
      </c>
      <c r="AZ281" s="185">
        <v>263</v>
      </c>
      <c r="BA281" s="182">
        <v>3.8899999999999997E-2</v>
      </c>
    </row>
    <row r="282" spans="51:53">
      <c r="AY282" s="182">
        <v>3.8800000000000001E-2</v>
      </c>
      <c r="AZ282" s="185">
        <v>264</v>
      </c>
      <c r="BA282" s="182">
        <v>3.8800000000000001E-2</v>
      </c>
    </row>
    <row r="283" spans="51:53">
      <c r="AY283" s="182">
        <v>3.8699999999999998E-2</v>
      </c>
      <c r="AZ283" s="185">
        <v>265</v>
      </c>
      <c r="BA283" s="182">
        <v>3.8699999999999998E-2</v>
      </c>
    </row>
    <row r="284" spans="51:53">
      <c r="AY284" s="182">
        <v>3.8600000000000002E-2</v>
      </c>
      <c r="AZ284" s="185">
        <v>266</v>
      </c>
      <c r="BA284" s="182">
        <v>3.8600000000000002E-2</v>
      </c>
    </row>
    <row r="285" spans="51:53">
      <c r="AY285" s="182">
        <v>3.85E-2</v>
      </c>
      <c r="AZ285" s="185">
        <v>267</v>
      </c>
      <c r="BA285" s="182">
        <v>3.85E-2</v>
      </c>
    </row>
    <row r="286" spans="51:53">
      <c r="AY286" s="182">
        <v>3.8399999999999997E-2</v>
      </c>
      <c r="AZ286" s="185">
        <v>268</v>
      </c>
      <c r="BA286" s="182">
        <v>3.8399999999999997E-2</v>
      </c>
    </row>
    <row r="287" spans="51:53">
      <c r="AY287" s="182">
        <v>3.8300000000000001E-2</v>
      </c>
      <c r="AZ287" s="185">
        <v>269</v>
      </c>
      <c r="BA287" s="182">
        <v>3.8300000000000001E-2</v>
      </c>
    </row>
    <row r="288" spans="51:53">
      <c r="AY288" s="182">
        <v>3.8199999999999998E-2</v>
      </c>
      <c r="AZ288" s="185">
        <v>270</v>
      </c>
      <c r="BA288" s="182">
        <v>3.8199999999999998E-2</v>
      </c>
    </row>
    <row r="289" spans="51:53">
      <c r="AY289" s="182">
        <v>3.8100000000000002E-2</v>
      </c>
      <c r="AZ289" s="185">
        <v>271</v>
      </c>
      <c r="BA289" s="182">
        <v>3.8100000000000002E-2</v>
      </c>
    </row>
    <row r="290" spans="51:53">
      <c r="AY290" s="182">
        <v>3.7999999999999999E-2</v>
      </c>
      <c r="AZ290" s="185">
        <v>272</v>
      </c>
      <c r="BA290" s="182">
        <v>3.7999999999999999E-2</v>
      </c>
    </row>
    <row r="291" spans="51:53">
      <c r="AY291" s="182">
        <v>3.7900000000000003E-2</v>
      </c>
      <c r="AZ291" s="185">
        <v>273</v>
      </c>
      <c r="BA291" s="182">
        <v>3.7900000000000003E-2</v>
      </c>
    </row>
    <row r="292" spans="51:53">
      <c r="AY292" s="182">
        <v>3.78E-2</v>
      </c>
      <c r="AZ292" s="185">
        <v>274</v>
      </c>
      <c r="BA292" s="182">
        <v>3.78E-2</v>
      </c>
    </row>
    <row r="293" spans="51:53">
      <c r="AY293" s="182">
        <v>3.7699999999999997E-2</v>
      </c>
      <c r="AZ293" s="185">
        <v>275</v>
      </c>
      <c r="BA293" s="182">
        <v>3.7699999999999997E-2</v>
      </c>
    </row>
    <row r="294" spans="51:53">
      <c r="AY294" s="182">
        <v>3.7600000000000001E-2</v>
      </c>
      <c r="AZ294" s="185">
        <v>276</v>
      </c>
      <c r="BA294" s="182">
        <v>3.7600000000000001E-2</v>
      </c>
    </row>
    <row r="295" spans="51:53">
      <c r="AY295" s="182">
        <v>3.7499999999999999E-2</v>
      </c>
      <c r="AZ295" s="185">
        <v>277</v>
      </c>
      <c r="BA295" s="182">
        <v>3.7499999999999999E-2</v>
      </c>
    </row>
    <row r="296" spans="51:53">
      <c r="AY296" s="182">
        <v>3.7400000000000003E-2</v>
      </c>
      <c r="AZ296" s="185">
        <v>278</v>
      </c>
      <c r="BA296" s="182">
        <v>3.7400000000000003E-2</v>
      </c>
    </row>
    <row r="297" spans="51:53">
      <c r="AY297" s="182">
        <v>3.73E-2</v>
      </c>
      <c r="AZ297" s="185">
        <v>279</v>
      </c>
      <c r="BA297" s="182">
        <v>3.73E-2</v>
      </c>
    </row>
    <row r="298" spans="51:53">
      <c r="AY298" s="182">
        <v>3.7199999999999997E-2</v>
      </c>
      <c r="AZ298" s="185">
        <v>280</v>
      </c>
      <c r="BA298" s="182">
        <v>3.7199999999999997E-2</v>
      </c>
    </row>
    <row r="299" spans="51:53">
      <c r="AY299" s="182">
        <v>3.7100000000000001E-2</v>
      </c>
      <c r="AZ299" s="185">
        <v>281</v>
      </c>
      <c r="BA299" s="182">
        <v>3.7100000000000001E-2</v>
      </c>
    </row>
    <row r="300" spans="51:53">
      <c r="AY300" s="182">
        <v>3.6999999999999998E-2</v>
      </c>
      <c r="AZ300" s="185">
        <v>282</v>
      </c>
      <c r="BA300" s="182">
        <v>3.6999999999999998E-2</v>
      </c>
    </row>
    <row r="301" spans="51:53">
      <c r="AY301" s="182">
        <v>3.6900000000000002E-2</v>
      </c>
      <c r="AZ301" s="185">
        <v>283</v>
      </c>
      <c r="BA301" s="182">
        <v>3.6900000000000002E-2</v>
      </c>
    </row>
    <row r="302" spans="51:53">
      <c r="AY302" s="182">
        <v>3.6799999999999999E-2</v>
      </c>
      <c r="AZ302" s="185">
        <v>284</v>
      </c>
      <c r="BA302" s="182">
        <v>3.6799999999999999E-2</v>
      </c>
    </row>
    <row r="303" spans="51:53">
      <c r="AY303" s="182">
        <v>3.6700000000000003E-2</v>
      </c>
      <c r="AZ303" s="185">
        <v>285</v>
      </c>
      <c r="BA303" s="182">
        <v>3.6700000000000003E-2</v>
      </c>
    </row>
    <row r="304" spans="51:53">
      <c r="AY304" s="182">
        <v>3.6600000000000001E-2</v>
      </c>
      <c r="AZ304" s="185">
        <v>286</v>
      </c>
      <c r="BA304" s="182">
        <v>3.6600000000000001E-2</v>
      </c>
    </row>
    <row r="305" spans="51:53">
      <c r="AY305" s="182">
        <v>3.6499999999999998E-2</v>
      </c>
      <c r="AZ305" s="185">
        <v>287</v>
      </c>
      <c r="BA305" s="182">
        <v>3.6499999999999998E-2</v>
      </c>
    </row>
    <row r="306" spans="51:53">
      <c r="AY306" s="182">
        <v>3.6400000000000002E-2</v>
      </c>
      <c r="AZ306" s="185">
        <v>288</v>
      </c>
      <c r="BA306" s="182">
        <v>3.6400000000000002E-2</v>
      </c>
    </row>
    <row r="307" spans="51:53">
      <c r="AY307" s="182">
        <v>3.6299999999999999E-2</v>
      </c>
      <c r="AZ307" s="185">
        <v>289</v>
      </c>
      <c r="BA307" s="182">
        <v>3.6299999999999999E-2</v>
      </c>
    </row>
    <row r="308" spans="51:53">
      <c r="AY308" s="182">
        <v>3.6200000000000003E-2</v>
      </c>
      <c r="AZ308" s="185">
        <v>290</v>
      </c>
      <c r="BA308" s="182">
        <v>3.6200000000000003E-2</v>
      </c>
    </row>
    <row r="309" spans="51:53">
      <c r="AY309" s="182">
        <v>3.61E-2</v>
      </c>
      <c r="AZ309" s="185">
        <v>291</v>
      </c>
      <c r="BA309" s="182">
        <v>3.61E-2</v>
      </c>
    </row>
    <row r="310" spans="51:53">
      <c r="AY310" s="182">
        <v>3.5999999999999997E-2</v>
      </c>
      <c r="AZ310" s="185">
        <v>292</v>
      </c>
      <c r="BA310" s="182">
        <v>3.5999999999999997E-2</v>
      </c>
    </row>
    <row r="311" spans="51:53">
      <c r="AY311" s="182">
        <v>3.5900000000000001E-2</v>
      </c>
      <c r="AZ311" s="185">
        <v>293</v>
      </c>
      <c r="BA311" s="182">
        <v>3.5900000000000001E-2</v>
      </c>
    </row>
    <row r="312" spans="51:53">
      <c r="AY312" s="182">
        <v>3.5799999999999998E-2</v>
      </c>
      <c r="AZ312" s="185">
        <v>294</v>
      </c>
      <c r="BA312" s="182">
        <v>3.5799999999999998E-2</v>
      </c>
    </row>
    <row r="313" spans="51:53">
      <c r="AY313" s="182">
        <v>3.5700000000000003E-2</v>
      </c>
      <c r="AZ313" s="185">
        <v>295</v>
      </c>
      <c r="BA313" s="182">
        <v>3.5700000000000003E-2</v>
      </c>
    </row>
    <row r="314" spans="51:53">
      <c r="AY314" s="182">
        <v>3.56E-2</v>
      </c>
      <c r="AZ314" s="185">
        <v>296</v>
      </c>
      <c r="BA314" s="182">
        <v>3.56E-2</v>
      </c>
    </row>
    <row r="315" spans="51:53">
      <c r="AY315" s="182">
        <v>3.5499999999999997E-2</v>
      </c>
      <c r="AZ315" s="185">
        <v>297</v>
      </c>
      <c r="BA315" s="182">
        <v>3.5499999999999997E-2</v>
      </c>
    </row>
    <row r="316" spans="51:53">
      <c r="AY316" s="182">
        <v>3.5400000000000001E-2</v>
      </c>
      <c r="AZ316" s="185">
        <v>298</v>
      </c>
      <c r="BA316" s="182">
        <v>3.5400000000000001E-2</v>
      </c>
    </row>
    <row r="317" spans="51:53">
      <c r="AY317" s="182">
        <v>3.5299999999999998E-2</v>
      </c>
      <c r="AZ317" s="185">
        <v>299</v>
      </c>
      <c r="BA317" s="182">
        <v>3.5299999999999998E-2</v>
      </c>
    </row>
    <row r="318" spans="51:53">
      <c r="AY318" s="182">
        <v>3.5200000000000002E-2</v>
      </c>
      <c r="AZ318" s="185">
        <v>300</v>
      </c>
      <c r="BA318" s="182">
        <v>3.5200000000000002E-2</v>
      </c>
    </row>
    <row r="319" spans="51:53">
      <c r="AY319" s="182">
        <v>3.5099999999999999E-2</v>
      </c>
      <c r="AZ319" s="185">
        <v>301</v>
      </c>
      <c r="BA319" s="182">
        <v>3.5099999999999999E-2</v>
      </c>
    </row>
    <row r="320" spans="51:53">
      <c r="AY320" s="182">
        <v>3.5000000000000003E-2</v>
      </c>
      <c r="AZ320" s="185">
        <v>302</v>
      </c>
      <c r="BA320" s="182">
        <v>3.5000000000000003E-2</v>
      </c>
    </row>
    <row r="321" spans="51:53">
      <c r="AY321" s="182">
        <v>3.49E-2</v>
      </c>
      <c r="AZ321" s="185">
        <v>303</v>
      </c>
      <c r="BA321" s="182">
        <v>3.49E-2</v>
      </c>
    </row>
    <row r="322" spans="51:53">
      <c r="AY322" s="182">
        <v>3.4799999999999998E-2</v>
      </c>
      <c r="AZ322" s="185">
        <v>304</v>
      </c>
      <c r="BA322" s="182">
        <v>3.4799999999999998E-2</v>
      </c>
    </row>
    <row r="323" spans="51:53">
      <c r="AY323" s="182">
        <v>3.4700000000000002E-2</v>
      </c>
      <c r="AZ323" s="185">
        <v>305</v>
      </c>
      <c r="BA323" s="182">
        <v>3.4700000000000002E-2</v>
      </c>
    </row>
    <row r="324" spans="51:53">
      <c r="AY324" s="182">
        <v>3.4599999999999999E-2</v>
      </c>
      <c r="AZ324" s="185">
        <v>306</v>
      </c>
      <c r="BA324" s="182">
        <v>3.4599999999999999E-2</v>
      </c>
    </row>
    <row r="325" spans="51:53">
      <c r="AY325" s="182">
        <v>3.4500000000000003E-2</v>
      </c>
      <c r="AZ325" s="185">
        <v>307</v>
      </c>
      <c r="BA325" s="182">
        <v>3.4500000000000003E-2</v>
      </c>
    </row>
    <row r="326" spans="51:53">
      <c r="AY326" s="182">
        <v>3.44E-2</v>
      </c>
      <c r="AZ326" s="185">
        <v>308</v>
      </c>
      <c r="BA326" s="182">
        <v>3.44E-2</v>
      </c>
    </row>
    <row r="327" spans="51:53">
      <c r="AY327" s="182">
        <v>3.4299999999999997E-2</v>
      </c>
      <c r="AZ327" s="185">
        <v>309</v>
      </c>
      <c r="BA327" s="182">
        <v>3.4299999999999997E-2</v>
      </c>
    </row>
    <row r="328" spans="51:53">
      <c r="AY328" s="182">
        <v>3.4200000000000001E-2</v>
      </c>
      <c r="AZ328" s="185">
        <v>310</v>
      </c>
      <c r="BA328" s="182">
        <v>3.4200000000000001E-2</v>
      </c>
    </row>
    <row r="329" spans="51:53">
      <c r="AY329" s="182">
        <v>3.4099999999999998E-2</v>
      </c>
      <c r="AZ329" s="185">
        <v>311</v>
      </c>
      <c r="BA329" s="182">
        <v>3.4099999999999998E-2</v>
      </c>
    </row>
    <row r="330" spans="51:53">
      <c r="AY330" s="182">
        <v>3.4000000000000002E-2</v>
      </c>
      <c r="AZ330" s="185">
        <v>312</v>
      </c>
      <c r="BA330" s="182">
        <v>3.4000000000000002E-2</v>
      </c>
    </row>
    <row r="331" spans="51:53">
      <c r="AY331" s="182">
        <v>3.39E-2</v>
      </c>
      <c r="AZ331" s="185">
        <v>313</v>
      </c>
      <c r="BA331" s="182">
        <v>3.39E-2</v>
      </c>
    </row>
    <row r="332" spans="51:53">
      <c r="AY332" s="182">
        <v>3.3799999999999997E-2</v>
      </c>
      <c r="AZ332" s="185">
        <v>314</v>
      </c>
      <c r="BA332" s="182">
        <v>3.3799999999999997E-2</v>
      </c>
    </row>
    <row r="333" spans="51:53">
      <c r="AY333" s="182">
        <v>3.3700000000000001E-2</v>
      </c>
      <c r="AZ333" s="185">
        <v>315</v>
      </c>
      <c r="BA333" s="182">
        <v>3.3700000000000001E-2</v>
      </c>
    </row>
    <row r="334" spans="51:53">
      <c r="AY334" s="182">
        <v>3.3599999999999998E-2</v>
      </c>
      <c r="AZ334" s="185">
        <v>316</v>
      </c>
      <c r="BA334" s="182">
        <v>3.3599999999999998E-2</v>
      </c>
    </row>
    <row r="335" spans="51:53">
      <c r="AY335" s="182">
        <v>3.3500000000000002E-2</v>
      </c>
      <c r="AZ335" s="185">
        <v>317</v>
      </c>
      <c r="BA335" s="182">
        <v>3.3500000000000002E-2</v>
      </c>
    </row>
    <row r="336" spans="51:53">
      <c r="AY336" s="182">
        <v>3.3399999999999999E-2</v>
      </c>
      <c r="AZ336" s="185">
        <v>318</v>
      </c>
      <c r="BA336" s="182">
        <v>3.3399999999999999E-2</v>
      </c>
    </row>
    <row r="337" spans="51:53">
      <c r="AY337" s="182">
        <v>3.3300000000000003E-2</v>
      </c>
      <c r="AZ337" s="185">
        <v>319</v>
      </c>
      <c r="BA337" s="182">
        <v>3.3300000000000003E-2</v>
      </c>
    </row>
    <row r="338" spans="51:53">
      <c r="AY338" s="182">
        <v>3.32E-2</v>
      </c>
      <c r="AZ338" s="185">
        <v>320</v>
      </c>
      <c r="BA338" s="182">
        <v>3.32E-2</v>
      </c>
    </row>
    <row r="339" spans="51:53">
      <c r="AY339" s="182">
        <v>3.3099999999999997E-2</v>
      </c>
      <c r="AZ339" s="185">
        <v>321</v>
      </c>
      <c r="BA339" s="182">
        <v>3.3099999999999997E-2</v>
      </c>
    </row>
    <row r="340" spans="51:53">
      <c r="AY340" s="182">
        <v>3.3000000000000002E-2</v>
      </c>
      <c r="AZ340" s="185">
        <v>322</v>
      </c>
      <c r="BA340" s="182">
        <v>3.3000000000000002E-2</v>
      </c>
    </row>
    <row r="341" spans="51:53">
      <c r="AY341" s="182">
        <v>3.2899999999999999E-2</v>
      </c>
      <c r="AZ341" s="185">
        <v>323</v>
      </c>
      <c r="BA341" s="182">
        <v>3.2899999999999999E-2</v>
      </c>
    </row>
    <row r="342" spans="51:53">
      <c r="AY342" s="182">
        <v>3.2800000000000003E-2</v>
      </c>
      <c r="AZ342" s="185">
        <v>324</v>
      </c>
      <c r="BA342" s="182">
        <v>3.2800000000000003E-2</v>
      </c>
    </row>
    <row r="343" spans="51:53">
      <c r="AY343" s="182">
        <v>3.27E-2</v>
      </c>
      <c r="AZ343" s="185">
        <v>325</v>
      </c>
      <c r="BA343" s="182">
        <v>3.27E-2</v>
      </c>
    </row>
    <row r="344" spans="51:53">
      <c r="AY344" s="182">
        <v>3.2599999999999997E-2</v>
      </c>
      <c r="AZ344" s="185">
        <v>326</v>
      </c>
      <c r="BA344" s="182">
        <v>3.2599999999999997E-2</v>
      </c>
    </row>
    <row r="345" spans="51:53">
      <c r="AY345" s="182">
        <v>3.2500000000000001E-2</v>
      </c>
      <c r="AZ345" s="185">
        <v>327</v>
      </c>
      <c r="BA345" s="182">
        <v>3.2500000000000001E-2</v>
      </c>
    </row>
    <row r="346" spans="51:53">
      <c r="AY346" s="182">
        <v>3.2399999999999998E-2</v>
      </c>
      <c r="AZ346" s="185">
        <v>328</v>
      </c>
      <c r="BA346" s="182">
        <v>3.2399999999999998E-2</v>
      </c>
    </row>
    <row r="347" spans="51:53">
      <c r="AY347" s="182">
        <v>3.2300000000000002E-2</v>
      </c>
      <c r="AZ347" s="185">
        <v>329</v>
      </c>
      <c r="BA347" s="182">
        <v>3.2300000000000002E-2</v>
      </c>
    </row>
    <row r="348" spans="51:53">
      <c r="AY348" s="182">
        <v>3.2199999999999999E-2</v>
      </c>
      <c r="AZ348" s="185">
        <v>330</v>
      </c>
      <c r="BA348" s="182">
        <v>3.2199999999999999E-2</v>
      </c>
    </row>
    <row r="349" spans="51:53">
      <c r="AY349" s="182">
        <v>3.2099999999999997E-2</v>
      </c>
      <c r="AZ349" s="185">
        <v>331</v>
      </c>
      <c r="BA349" s="182">
        <v>3.2099999999999997E-2</v>
      </c>
    </row>
    <row r="350" spans="51:53">
      <c r="AY350" s="182">
        <v>3.2000000000000001E-2</v>
      </c>
      <c r="AZ350" s="185">
        <v>332</v>
      </c>
      <c r="BA350" s="182">
        <v>3.2000000000000001E-2</v>
      </c>
    </row>
    <row r="351" spans="51:53">
      <c r="AY351" s="182">
        <v>3.1899999999999998E-2</v>
      </c>
      <c r="AZ351" s="185">
        <v>333</v>
      </c>
      <c r="BA351" s="182">
        <v>3.1899999999999998E-2</v>
      </c>
    </row>
    <row r="352" spans="51:53">
      <c r="AY352" s="182">
        <v>3.1800000000000002E-2</v>
      </c>
      <c r="AZ352" s="185">
        <v>334</v>
      </c>
      <c r="BA352" s="182">
        <v>3.1800000000000002E-2</v>
      </c>
    </row>
    <row r="353" spans="51:53">
      <c r="AY353" s="182">
        <v>3.1699999999999999E-2</v>
      </c>
      <c r="AZ353" s="185">
        <v>335</v>
      </c>
      <c r="BA353" s="182">
        <v>3.1699999999999999E-2</v>
      </c>
    </row>
    <row r="354" spans="51:53">
      <c r="AY354" s="182">
        <v>3.1600000000000003E-2</v>
      </c>
      <c r="AZ354" s="185">
        <v>336</v>
      </c>
      <c r="BA354" s="182">
        <v>3.1600000000000003E-2</v>
      </c>
    </row>
    <row r="355" spans="51:53">
      <c r="AY355" s="182">
        <v>3.15E-2</v>
      </c>
      <c r="AZ355" s="185">
        <v>337</v>
      </c>
      <c r="BA355" s="182">
        <v>3.15E-2</v>
      </c>
    </row>
    <row r="356" spans="51:53">
      <c r="AY356" s="182">
        <v>3.1399999999999997E-2</v>
      </c>
      <c r="AZ356" s="185">
        <v>338</v>
      </c>
      <c r="BA356" s="182">
        <v>3.1399999999999997E-2</v>
      </c>
    </row>
    <row r="357" spans="51:53">
      <c r="AY357" s="182">
        <v>3.1300000000000001E-2</v>
      </c>
      <c r="AZ357" s="185">
        <v>339</v>
      </c>
      <c r="BA357" s="182">
        <v>3.1300000000000001E-2</v>
      </c>
    </row>
    <row r="358" spans="51:53">
      <c r="AY358" s="182">
        <v>3.1199999999999999E-2</v>
      </c>
      <c r="AZ358" s="185">
        <v>340</v>
      </c>
      <c r="BA358" s="182">
        <v>3.1199999999999999E-2</v>
      </c>
    </row>
    <row r="359" spans="51:53">
      <c r="AY359" s="182">
        <v>3.1099999999999999E-2</v>
      </c>
      <c r="AZ359" s="185">
        <v>341</v>
      </c>
      <c r="BA359" s="182">
        <v>3.1099999999999999E-2</v>
      </c>
    </row>
    <row r="360" spans="51:53">
      <c r="AY360" s="182">
        <v>3.1E-2</v>
      </c>
      <c r="AZ360" s="185">
        <v>342</v>
      </c>
      <c r="BA360" s="182">
        <v>3.1E-2</v>
      </c>
    </row>
    <row r="361" spans="51:53">
      <c r="AY361" s="182">
        <v>3.09E-2</v>
      </c>
      <c r="AZ361" s="185">
        <v>343</v>
      </c>
      <c r="BA361" s="182">
        <v>3.09E-2</v>
      </c>
    </row>
    <row r="362" spans="51:53">
      <c r="AY362" s="182">
        <v>3.0800000000000001E-2</v>
      </c>
      <c r="AZ362" s="185">
        <v>344</v>
      </c>
      <c r="BA362" s="182">
        <v>3.0800000000000001E-2</v>
      </c>
    </row>
    <row r="363" spans="51:53">
      <c r="AY363" s="182">
        <v>3.0700000000000002E-2</v>
      </c>
      <c r="AZ363" s="185">
        <v>345</v>
      </c>
      <c r="BA363" s="182">
        <v>3.0700000000000002E-2</v>
      </c>
    </row>
    <row r="364" spans="51:53">
      <c r="AY364" s="182">
        <v>3.0599999999999999E-2</v>
      </c>
      <c r="AZ364" s="185">
        <v>346</v>
      </c>
      <c r="BA364" s="182">
        <v>3.0599999999999999E-2</v>
      </c>
    </row>
    <row r="365" spans="51:53">
      <c r="AY365" s="182">
        <v>3.0499999999999999E-2</v>
      </c>
      <c r="AZ365" s="185">
        <v>347</v>
      </c>
      <c r="BA365" s="182">
        <v>3.0499999999999999E-2</v>
      </c>
    </row>
    <row r="366" spans="51:53">
      <c r="AY366" s="182">
        <v>3.04E-2</v>
      </c>
      <c r="AZ366" s="185">
        <v>348</v>
      </c>
      <c r="BA366" s="182">
        <v>3.04E-2</v>
      </c>
    </row>
    <row r="367" spans="51:53">
      <c r="AY367" s="182">
        <v>3.0300000000000001E-2</v>
      </c>
      <c r="AZ367" s="185">
        <v>349</v>
      </c>
      <c r="BA367" s="182">
        <v>3.0300000000000001E-2</v>
      </c>
    </row>
    <row r="368" spans="51:53">
      <c r="AY368" s="182">
        <v>3.0200000000000001E-2</v>
      </c>
      <c r="AZ368" s="185">
        <v>350</v>
      </c>
      <c r="BA368" s="182">
        <v>3.0200000000000001E-2</v>
      </c>
    </row>
    <row r="369" spans="51:53">
      <c r="AY369" s="182">
        <v>3.0099999999999998E-2</v>
      </c>
      <c r="AZ369" s="185">
        <v>351</v>
      </c>
      <c r="BA369" s="182">
        <v>3.0099999999999998E-2</v>
      </c>
    </row>
    <row r="370" spans="51:53">
      <c r="AY370" s="182">
        <v>0.03</v>
      </c>
      <c r="AZ370" s="185">
        <v>352</v>
      </c>
      <c r="BA370" s="182">
        <v>0.03</v>
      </c>
    </row>
    <row r="371" spans="51:53">
      <c r="AY371" s="182">
        <v>2.9899999999999999E-2</v>
      </c>
      <c r="AZ371" s="185">
        <v>353</v>
      </c>
      <c r="BA371" s="182">
        <v>2.9899999999999999E-2</v>
      </c>
    </row>
    <row r="372" spans="51:53">
      <c r="AY372" s="182">
        <v>2.98E-2</v>
      </c>
      <c r="AZ372" s="185">
        <v>354</v>
      </c>
      <c r="BA372" s="182">
        <v>2.98E-2</v>
      </c>
    </row>
    <row r="373" spans="51:53">
      <c r="AY373" s="182">
        <v>2.9700000000000001E-2</v>
      </c>
      <c r="AZ373" s="185">
        <v>355</v>
      </c>
      <c r="BA373" s="182">
        <v>2.9700000000000001E-2</v>
      </c>
    </row>
    <row r="374" spans="51:53">
      <c r="AY374" s="182">
        <v>2.9600000000000001E-2</v>
      </c>
      <c r="AZ374" s="185">
        <v>356</v>
      </c>
      <c r="BA374" s="182">
        <v>2.9600000000000001E-2</v>
      </c>
    </row>
    <row r="375" spans="51:53">
      <c r="AY375" s="182">
        <v>2.9499999999999998E-2</v>
      </c>
      <c r="AZ375" s="185">
        <v>357</v>
      </c>
      <c r="BA375" s="182">
        <v>2.9499999999999998E-2</v>
      </c>
    </row>
    <row r="376" spans="51:53">
      <c r="AY376" s="182">
        <v>2.9399999999999999E-2</v>
      </c>
      <c r="AZ376" s="185">
        <v>358</v>
      </c>
      <c r="BA376" s="182">
        <v>2.9399999999999999E-2</v>
      </c>
    </row>
    <row r="377" spans="51:53">
      <c r="AY377" s="182">
        <v>2.93E-2</v>
      </c>
      <c r="AZ377" s="185">
        <v>359</v>
      </c>
      <c r="BA377" s="182">
        <v>2.93E-2</v>
      </c>
    </row>
    <row r="378" spans="51:53">
      <c r="AY378" s="182">
        <v>2.92E-2</v>
      </c>
      <c r="AZ378" s="185">
        <v>360</v>
      </c>
      <c r="BA378" s="182">
        <v>2.92E-2</v>
      </c>
    </row>
    <row r="379" spans="51:53">
      <c r="AY379" s="182">
        <v>2.9100000000000001E-2</v>
      </c>
      <c r="AZ379" s="185">
        <v>361</v>
      </c>
      <c r="BA379" s="182">
        <v>2.9100000000000001E-2</v>
      </c>
    </row>
    <row r="380" spans="51:53">
      <c r="AY380" s="182">
        <v>2.9000000000000001E-2</v>
      </c>
      <c r="AZ380" s="185">
        <v>362</v>
      </c>
      <c r="BA380" s="182">
        <v>2.9000000000000001E-2</v>
      </c>
    </row>
    <row r="381" spans="51:53">
      <c r="AY381" s="182">
        <v>2.8899999999999999E-2</v>
      </c>
      <c r="AZ381" s="185">
        <v>363</v>
      </c>
      <c r="BA381" s="182">
        <v>2.8899999999999999E-2</v>
      </c>
    </row>
    <row r="382" spans="51:53">
      <c r="AY382" s="182">
        <v>2.8799999999999999E-2</v>
      </c>
      <c r="AZ382" s="185">
        <v>364</v>
      </c>
      <c r="BA382" s="182">
        <v>2.8799999999999999E-2</v>
      </c>
    </row>
    <row r="383" spans="51:53">
      <c r="AY383" s="182">
        <v>2.87E-2</v>
      </c>
      <c r="AZ383" s="185">
        <v>365</v>
      </c>
      <c r="BA383" s="182">
        <v>2.87E-2</v>
      </c>
    </row>
    <row r="384" spans="51:53">
      <c r="AY384" s="182">
        <v>2.86E-2</v>
      </c>
      <c r="AZ384" s="185">
        <v>366</v>
      </c>
      <c r="BA384" s="182">
        <v>2.86E-2</v>
      </c>
    </row>
    <row r="385" spans="51:53">
      <c r="AY385" s="182">
        <v>2.8500000000000001E-2</v>
      </c>
      <c r="AZ385" s="185">
        <v>367</v>
      </c>
      <c r="BA385" s="182">
        <v>2.8500000000000001E-2</v>
      </c>
    </row>
    <row r="386" spans="51:53">
      <c r="AY386" s="182">
        <v>2.8400000000000002E-2</v>
      </c>
      <c r="AZ386" s="185">
        <v>368</v>
      </c>
      <c r="BA386" s="182">
        <v>2.8400000000000002E-2</v>
      </c>
    </row>
    <row r="387" spans="51:53">
      <c r="AY387" s="182">
        <v>2.8299999999999999E-2</v>
      </c>
      <c r="AZ387" s="185">
        <v>369</v>
      </c>
      <c r="BA387" s="182">
        <v>2.8299999999999999E-2</v>
      </c>
    </row>
    <row r="388" spans="51:53">
      <c r="AY388" s="182">
        <v>2.8199999999999999E-2</v>
      </c>
      <c r="AZ388" s="185">
        <v>370</v>
      </c>
      <c r="BA388" s="182">
        <v>2.8199999999999999E-2</v>
      </c>
    </row>
    <row r="389" spans="51:53">
      <c r="AY389" s="182">
        <v>2.81E-2</v>
      </c>
      <c r="AZ389" s="185">
        <v>371</v>
      </c>
      <c r="BA389" s="182">
        <v>2.81E-2</v>
      </c>
    </row>
    <row r="390" spans="51:53">
      <c r="AY390" s="182">
        <v>2.8000000000000001E-2</v>
      </c>
      <c r="AZ390" s="185">
        <v>372</v>
      </c>
      <c r="BA390" s="182">
        <v>2.8000000000000001E-2</v>
      </c>
    </row>
    <row r="391" spans="51:53">
      <c r="AY391" s="182">
        <v>2.7900000000000001E-2</v>
      </c>
      <c r="AZ391" s="185">
        <v>373</v>
      </c>
      <c r="BA391" s="182">
        <v>2.7900000000000001E-2</v>
      </c>
    </row>
    <row r="392" spans="51:53">
      <c r="AY392" s="182">
        <v>2.7799999999999998E-2</v>
      </c>
      <c r="AZ392" s="185">
        <v>374</v>
      </c>
      <c r="BA392" s="182">
        <v>2.7799999999999998E-2</v>
      </c>
    </row>
    <row r="393" spans="51:53">
      <c r="AY393" s="182">
        <v>2.7699999999999999E-2</v>
      </c>
      <c r="AZ393" s="185">
        <v>375</v>
      </c>
      <c r="BA393" s="182">
        <v>2.7699999999999999E-2</v>
      </c>
    </row>
    <row r="394" spans="51:53">
      <c r="AY394" s="182">
        <v>2.76E-2</v>
      </c>
      <c r="AZ394" s="185">
        <v>376</v>
      </c>
      <c r="BA394" s="182">
        <v>2.76E-2</v>
      </c>
    </row>
    <row r="395" spans="51:53">
      <c r="AY395" s="182">
        <v>2.75E-2</v>
      </c>
      <c r="AZ395" s="185">
        <v>377</v>
      </c>
      <c r="BA395" s="182">
        <v>2.75E-2</v>
      </c>
    </row>
    <row r="396" spans="51:53">
      <c r="AY396" s="182">
        <v>2.7400000000000001E-2</v>
      </c>
      <c r="AZ396" s="185">
        <v>378</v>
      </c>
      <c r="BA396" s="182">
        <v>2.7400000000000001E-2</v>
      </c>
    </row>
    <row r="397" spans="51:53">
      <c r="AY397" s="182">
        <v>2.7300000000000001E-2</v>
      </c>
      <c r="AZ397" s="185">
        <v>379</v>
      </c>
      <c r="BA397" s="182">
        <v>2.7300000000000001E-2</v>
      </c>
    </row>
    <row r="398" spans="51:53">
      <c r="AY398" s="182">
        <v>2.7199999999999998E-2</v>
      </c>
      <c r="AZ398" s="185">
        <v>380</v>
      </c>
      <c r="BA398" s="182">
        <v>2.7199999999999998E-2</v>
      </c>
    </row>
    <row r="399" spans="51:53">
      <c r="AY399" s="182">
        <v>2.7099999999999999E-2</v>
      </c>
      <c r="AZ399" s="185">
        <v>381</v>
      </c>
      <c r="BA399" s="182">
        <v>2.7099999999999999E-2</v>
      </c>
    </row>
    <row r="400" spans="51:53">
      <c r="AY400" s="182">
        <v>2.7E-2</v>
      </c>
      <c r="AZ400" s="185">
        <v>382</v>
      </c>
      <c r="BA400" s="182">
        <v>2.7E-2</v>
      </c>
    </row>
    <row r="401" spans="51:53">
      <c r="AY401" s="182">
        <v>2.69E-2</v>
      </c>
      <c r="AZ401" s="185">
        <v>383</v>
      </c>
      <c r="BA401" s="182">
        <v>2.69E-2</v>
      </c>
    </row>
    <row r="402" spans="51:53">
      <c r="AY402" s="182">
        <v>2.6800000000000001E-2</v>
      </c>
      <c r="AZ402" s="185">
        <v>384</v>
      </c>
      <c r="BA402" s="182">
        <v>2.6800000000000001E-2</v>
      </c>
    </row>
    <row r="403" spans="51:53">
      <c r="AY403" s="182">
        <v>2.6700000000000002E-2</v>
      </c>
      <c r="AZ403" s="185">
        <v>385</v>
      </c>
      <c r="BA403" s="182">
        <v>2.6700000000000002E-2</v>
      </c>
    </row>
    <row r="404" spans="51:53">
      <c r="AY404" s="182">
        <v>2.6599999999999999E-2</v>
      </c>
      <c r="AZ404" s="185">
        <v>386</v>
      </c>
      <c r="BA404" s="182">
        <v>2.6599999999999999E-2</v>
      </c>
    </row>
    <row r="405" spans="51:53">
      <c r="AY405" s="182">
        <v>2.6499999999999999E-2</v>
      </c>
      <c r="AZ405" s="185">
        <v>387</v>
      </c>
      <c r="BA405" s="182">
        <v>2.6499999999999999E-2</v>
      </c>
    </row>
    <row r="406" spans="51:53">
      <c r="AY406" s="182">
        <v>2.64E-2</v>
      </c>
      <c r="AZ406" s="185">
        <v>388</v>
      </c>
      <c r="BA406" s="182">
        <v>2.64E-2</v>
      </c>
    </row>
    <row r="407" spans="51:53">
      <c r="AY407" s="182">
        <v>2.63E-2</v>
      </c>
      <c r="AZ407" s="185">
        <v>389</v>
      </c>
      <c r="BA407" s="182">
        <v>2.63E-2</v>
      </c>
    </row>
    <row r="408" spans="51:53">
      <c r="AY408" s="182">
        <v>2.6200000000000001E-2</v>
      </c>
      <c r="AZ408" s="185">
        <v>390</v>
      </c>
      <c r="BA408" s="182">
        <v>2.6200000000000001E-2</v>
      </c>
    </row>
    <row r="409" spans="51:53">
      <c r="AY409" s="182">
        <v>2.6100000000000002E-2</v>
      </c>
      <c r="AZ409" s="185">
        <v>391</v>
      </c>
      <c r="BA409" s="182">
        <v>2.6100000000000002E-2</v>
      </c>
    </row>
    <row r="410" spans="51:53">
      <c r="AY410" s="182">
        <v>2.5999999999999999E-2</v>
      </c>
      <c r="AZ410" s="185">
        <v>392</v>
      </c>
      <c r="BA410" s="182">
        <v>2.5999999999999999E-2</v>
      </c>
    </row>
    <row r="411" spans="51:53">
      <c r="AY411" s="182">
        <v>2.5899999999999999E-2</v>
      </c>
      <c r="AZ411" s="185">
        <v>393</v>
      </c>
      <c r="BA411" s="182">
        <v>2.5899999999999999E-2</v>
      </c>
    </row>
    <row r="412" spans="51:53">
      <c r="AY412" s="182">
        <v>2.58E-2</v>
      </c>
      <c r="AZ412" s="185">
        <v>394</v>
      </c>
      <c r="BA412" s="182">
        <v>2.58E-2</v>
      </c>
    </row>
    <row r="413" spans="51:53">
      <c r="AY413" s="182">
        <v>2.5700000000000001E-2</v>
      </c>
      <c r="AZ413" s="185">
        <v>395</v>
      </c>
      <c r="BA413" s="182">
        <v>2.5700000000000001E-2</v>
      </c>
    </row>
    <row r="414" spans="51:53">
      <c r="AY414" s="182">
        <v>2.5600000000000001E-2</v>
      </c>
      <c r="AZ414" s="185">
        <v>396</v>
      </c>
      <c r="BA414" s="182">
        <v>2.5600000000000001E-2</v>
      </c>
    </row>
    <row r="415" spans="51:53">
      <c r="AY415" s="182">
        <v>2.5499999999999998E-2</v>
      </c>
      <c r="AZ415" s="185">
        <v>397</v>
      </c>
      <c r="BA415" s="182">
        <v>2.5499999999999998E-2</v>
      </c>
    </row>
    <row r="416" spans="51:53">
      <c r="AY416" s="182">
        <v>2.5399999999999999E-2</v>
      </c>
      <c r="AZ416" s="185">
        <v>398</v>
      </c>
      <c r="BA416" s="182">
        <v>2.5399999999999999E-2</v>
      </c>
    </row>
    <row r="417" spans="51:53">
      <c r="AY417" s="182">
        <v>2.53E-2</v>
      </c>
      <c r="AZ417" s="185">
        <v>399</v>
      </c>
      <c r="BA417" s="182">
        <v>2.53E-2</v>
      </c>
    </row>
    <row r="418" spans="51:53">
      <c r="AY418" s="182">
        <v>2.52E-2</v>
      </c>
      <c r="AZ418" s="185">
        <v>400</v>
      </c>
      <c r="BA418" s="182">
        <v>2.52E-2</v>
      </c>
    </row>
    <row r="419" spans="51:53">
      <c r="AY419" s="182">
        <v>2.5100000000000001E-2</v>
      </c>
      <c r="AZ419" s="185">
        <v>401</v>
      </c>
      <c r="BA419" s="182">
        <v>2.5100000000000001E-2</v>
      </c>
    </row>
    <row r="420" spans="51:53">
      <c r="AY420" s="182">
        <v>2.5000000000000001E-2</v>
      </c>
      <c r="AZ420" s="185">
        <v>402</v>
      </c>
      <c r="BA420" s="182">
        <v>2.5000000000000001E-2</v>
      </c>
    </row>
    <row r="421" spans="51:53">
      <c r="AY421" s="182">
        <v>2.4899999999999999E-2</v>
      </c>
      <c r="AZ421" s="185">
        <v>403</v>
      </c>
      <c r="BA421" s="182">
        <v>2.4899999999999999E-2</v>
      </c>
    </row>
    <row r="422" spans="51:53">
      <c r="AY422" s="182">
        <v>2.4799999999999999E-2</v>
      </c>
      <c r="AZ422" s="185">
        <v>404</v>
      </c>
      <c r="BA422" s="182">
        <v>2.4799999999999999E-2</v>
      </c>
    </row>
    <row r="423" spans="51:53">
      <c r="AY423" s="182">
        <v>2.47E-2</v>
      </c>
      <c r="AZ423" s="185">
        <v>405</v>
      </c>
      <c r="BA423" s="182">
        <v>2.47E-2</v>
      </c>
    </row>
    <row r="424" spans="51:53">
      <c r="AY424" s="182">
        <v>2.46E-2</v>
      </c>
      <c r="AZ424" s="185">
        <v>406</v>
      </c>
      <c r="BA424" s="182">
        <v>2.46E-2</v>
      </c>
    </row>
    <row r="425" spans="51:53">
      <c r="AY425" s="182">
        <v>2.4500000000000001E-2</v>
      </c>
      <c r="AZ425" s="185">
        <v>407</v>
      </c>
      <c r="BA425" s="182">
        <v>2.4500000000000001E-2</v>
      </c>
    </row>
    <row r="426" spans="51:53">
      <c r="AY426" s="182">
        <v>2.4400000000000002E-2</v>
      </c>
      <c r="AZ426" s="185">
        <v>408</v>
      </c>
      <c r="BA426" s="182">
        <v>2.4400000000000002E-2</v>
      </c>
    </row>
    <row r="427" spans="51:53">
      <c r="AY427" s="182">
        <v>2.4299999999999999E-2</v>
      </c>
      <c r="AZ427" s="185">
        <v>409</v>
      </c>
      <c r="BA427" s="182">
        <v>2.4299999999999999E-2</v>
      </c>
    </row>
    <row r="428" spans="51:53">
      <c r="AY428" s="182">
        <v>2.4199999999999999E-2</v>
      </c>
      <c r="AZ428" s="185">
        <v>410</v>
      </c>
      <c r="BA428" s="182">
        <v>2.4199999999999999E-2</v>
      </c>
    </row>
    <row r="429" spans="51:53">
      <c r="AY429" s="182">
        <v>2.41E-2</v>
      </c>
      <c r="AZ429" s="185">
        <v>411</v>
      </c>
      <c r="BA429" s="182">
        <v>2.41E-2</v>
      </c>
    </row>
    <row r="430" spans="51:53">
      <c r="AY430" s="182">
        <v>2.4E-2</v>
      </c>
      <c r="AZ430" s="185">
        <v>412</v>
      </c>
      <c r="BA430" s="182">
        <v>2.4E-2</v>
      </c>
    </row>
    <row r="431" spans="51:53">
      <c r="AY431" s="182">
        <v>2.3900000000000001E-2</v>
      </c>
      <c r="AZ431" s="185">
        <v>413</v>
      </c>
      <c r="BA431" s="182">
        <v>2.3900000000000001E-2</v>
      </c>
    </row>
    <row r="432" spans="51:53">
      <c r="AY432" s="182">
        <v>2.3800000000000002E-2</v>
      </c>
      <c r="AZ432" s="185">
        <v>414</v>
      </c>
      <c r="BA432" s="182">
        <v>2.3800000000000002E-2</v>
      </c>
    </row>
    <row r="433" spans="51:53">
      <c r="AY433" s="182">
        <v>2.3699999999999999E-2</v>
      </c>
      <c r="AZ433" s="185">
        <v>415</v>
      </c>
      <c r="BA433" s="182">
        <v>2.3699999999999999E-2</v>
      </c>
    </row>
    <row r="434" spans="51:53">
      <c r="AY434" s="182">
        <v>2.3599999999999999E-2</v>
      </c>
      <c r="AZ434" s="185">
        <v>416</v>
      </c>
      <c r="BA434" s="182">
        <v>2.3599999999999999E-2</v>
      </c>
    </row>
    <row r="435" spans="51:53">
      <c r="AY435" s="182">
        <v>2.35E-2</v>
      </c>
      <c r="AZ435" s="185">
        <v>417</v>
      </c>
      <c r="BA435" s="182">
        <v>2.35E-2</v>
      </c>
    </row>
    <row r="436" spans="51:53">
      <c r="AY436" s="182">
        <v>2.3400000000000001E-2</v>
      </c>
      <c r="AZ436" s="185">
        <v>418</v>
      </c>
      <c r="BA436" s="182">
        <v>2.3400000000000001E-2</v>
      </c>
    </row>
    <row r="437" spans="51:53">
      <c r="AY437" s="182">
        <v>2.3300000000000001E-2</v>
      </c>
      <c r="AZ437" s="185">
        <v>419</v>
      </c>
      <c r="BA437" s="182">
        <v>2.3300000000000001E-2</v>
      </c>
    </row>
    <row r="438" spans="51:53">
      <c r="AY438" s="182">
        <v>2.3199999999999998E-2</v>
      </c>
      <c r="AZ438" s="185">
        <v>420</v>
      </c>
      <c r="BA438" s="182">
        <v>2.3199999999999998E-2</v>
      </c>
    </row>
    <row r="439" spans="51:53">
      <c r="AY439" s="182">
        <v>2.3099999999999999E-2</v>
      </c>
      <c r="AZ439" s="185">
        <v>421</v>
      </c>
      <c r="BA439" s="182">
        <v>2.3099999999999999E-2</v>
      </c>
    </row>
    <row r="440" spans="51:53">
      <c r="AY440" s="182">
        <v>2.3E-2</v>
      </c>
      <c r="AZ440" s="185">
        <v>422</v>
      </c>
      <c r="BA440" s="182">
        <v>2.3E-2</v>
      </c>
    </row>
    <row r="441" spans="51:53">
      <c r="AY441" s="182">
        <v>2.29E-2</v>
      </c>
      <c r="AZ441" s="185">
        <v>423</v>
      </c>
      <c r="BA441" s="182">
        <v>2.29E-2</v>
      </c>
    </row>
    <row r="442" spans="51:53">
      <c r="AY442" s="182">
        <v>2.2800000000000001E-2</v>
      </c>
      <c r="AZ442" s="185">
        <v>424</v>
      </c>
      <c r="BA442" s="182">
        <v>2.2800000000000001E-2</v>
      </c>
    </row>
    <row r="443" spans="51:53">
      <c r="AY443" s="182">
        <v>2.2700000000000001E-2</v>
      </c>
      <c r="AZ443" s="185">
        <v>425</v>
      </c>
      <c r="BA443" s="182">
        <v>2.2700000000000001E-2</v>
      </c>
    </row>
    <row r="444" spans="51:53">
      <c r="AY444" s="182">
        <v>2.2599999999999999E-2</v>
      </c>
      <c r="AZ444" s="185">
        <v>426</v>
      </c>
      <c r="BA444" s="182">
        <v>2.2599999999999999E-2</v>
      </c>
    </row>
    <row r="445" spans="51:53">
      <c r="AY445" s="182">
        <v>2.2499999999999999E-2</v>
      </c>
      <c r="AZ445" s="185">
        <v>427</v>
      </c>
      <c r="BA445" s="182">
        <v>2.2499999999999999E-2</v>
      </c>
    </row>
    <row r="446" spans="51:53">
      <c r="AY446" s="182">
        <v>2.24E-2</v>
      </c>
      <c r="AZ446" s="185">
        <v>428</v>
      </c>
      <c r="BA446" s="182">
        <v>2.24E-2</v>
      </c>
    </row>
    <row r="447" spans="51:53">
      <c r="AY447" s="182">
        <v>2.23E-2</v>
      </c>
      <c r="AZ447" s="185">
        <v>429</v>
      </c>
      <c r="BA447" s="182">
        <v>2.23E-2</v>
      </c>
    </row>
    <row r="448" spans="51:53">
      <c r="AY448" s="182">
        <v>2.2200000000000001E-2</v>
      </c>
      <c r="AZ448" s="185">
        <v>430</v>
      </c>
      <c r="BA448" s="182">
        <v>2.2200000000000001E-2</v>
      </c>
    </row>
    <row r="449" spans="51:53">
      <c r="AY449" s="182">
        <v>2.2100000000000002E-2</v>
      </c>
      <c r="AZ449" s="185">
        <v>431</v>
      </c>
      <c r="BA449" s="182">
        <v>2.2100000000000002E-2</v>
      </c>
    </row>
    <row r="450" spans="51:53">
      <c r="AY450" s="182">
        <v>2.1999999999999999E-2</v>
      </c>
      <c r="AZ450" s="185">
        <v>432</v>
      </c>
      <c r="BA450" s="182">
        <v>2.1999999999999999E-2</v>
      </c>
    </row>
    <row r="451" spans="51:53">
      <c r="AY451" s="182">
        <v>2.1899999999999999E-2</v>
      </c>
      <c r="AZ451" s="185">
        <v>433</v>
      </c>
      <c r="BA451" s="182">
        <v>2.1899999999999999E-2</v>
      </c>
    </row>
    <row r="452" spans="51:53">
      <c r="AY452" s="182">
        <v>2.18E-2</v>
      </c>
      <c r="AZ452" s="185">
        <v>434</v>
      </c>
      <c r="BA452" s="182">
        <v>2.18E-2</v>
      </c>
    </row>
    <row r="453" spans="51:53">
      <c r="AY453" s="182">
        <v>2.1700000000000001E-2</v>
      </c>
      <c r="AZ453" s="185">
        <v>435</v>
      </c>
      <c r="BA453" s="182">
        <v>2.1700000000000001E-2</v>
      </c>
    </row>
    <row r="454" spans="51:53">
      <c r="AY454" s="182">
        <v>2.1600000000000001E-2</v>
      </c>
      <c r="AZ454" s="185">
        <v>436</v>
      </c>
      <c r="BA454" s="182">
        <v>2.1600000000000001E-2</v>
      </c>
    </row>
    <row r="455" spans="51:53">
      <c r="AY455" s="182">
        <v>2.1499999999999998E-2</v>
      </c>
      <c r="AZ455" s="185">
        <v>437</v>
      </c>
      <c r="BA455" s="182">
        <v>2.1499999999999998E-2</v>
      </c>
    </row>
    <row r="456" spans="51:53">
      <c r="AY456" s="182">
        <v>2.1399999999999999E-2</v>
      </c>
      <c r="AZ456" s="185">
        <v>438</v>
      </c>
      <c r="BA456" s="182">
        <v>2.1399999999999999E-2</v>
      </c>
    </row>
    <row r="457" spans="51:53">
      <c r="AY457" s="182">
        <v>2.1299999999999999E-2</v>
      </c>
      <c r="AZ457" s="185">
        <v>439</v>
      </c>
      <c r="BA457" s="182">
        <v>2.1299999999999999E-2</v>
      </c>
    </row>
    <row r="458" spans="51:53">
      <c r="AY458" s="182">
        <v>2.12E-2</v>
      </c>
      <c r="AZ458" s="185">
        <v>440</v>
      </c>
      <c r="BA458" s="182">
        <v>2.12E-2</v>
      </c>
    </row>
    <row r="459" spans="51:53">
      <c r="AY459" s="182">
        <v>2.1100000000000001E-2</v>
      </c>
      <c r="AZ459" s="185">
        <v>441</v>
      </c>
      <c r="BA459" s="182">
        <v>2.1100000000000001E-2</v>
      </c>
    </row>
    <row r="460" spans="51:53">
      <c r="AY460" s="182">
        <v>2.1000000000000001E-2</v>
      </c>
      <c r="AZ460" s="185">
        <v>442</v>
      </c>
      <c r="BA460" s="182">
        <v>2.1000000000000001E-2</v>
      </c>
    </row>
    <row r="461" spans="51:53">
      <c r="AY461" s="182">
        <v>2.0899999999999998E-2</v>
      </c>
      <c r="AZ461" s="185">
        <v>443</v>
      </c>
      <c r="BA461" s="182">
        <v>2.0899999999999998E-2</v>
      </c>
    </row>
    <row r="462" spans="51:53">
      <c r="AY462" s="182">
        <v>2.0799999999999999E-2</v>
      </c>
      <c r="AZ462" s="185">
        <v>444</v>
      </c>
      <c r="BA462" s="182">
        <v>2.0799999999999999E-2</v>
      </c>
    </row>
    <row r="463" spans="51:53">
      <c r="AY463" s="182">
        <v>2.07E-2</v>
      </c>
      <c r="AZ463" s="185">
        <v>445</v>
      </c>
      <c r="BA463" s="182">
        <v>2.07E-2</v>
      </c>
    </row>
    <row r="464" spans="51:53">
      <c r="AY464" s="182">
        <v>2.06E-2</v>
      </c>
      <c r="AZ464" s="185">
        <v>446</v>
      </c>
      <c r="BA464" s="182">
        <v>2.06E-2</v>
      </c>
    </row>
    <row r="465" spans="51:53">
      <c r="AY465" s="182">
        <v>2.0500000000000001E-2</v>
      </c>
      <c r="AZ465" s="185">
        <v>447</v>
      </c>
      <c r="BA465" s="182">
        <v>2.0500000000000001E-2</v>
      </c>
    </row>
    <row r="466" spans="51:53">
      <c r="AY466" s="182">
        <v>2.0400000000000001E-2</v>
      </c>
      <c r="AZ466" s="185">
        <v>448</v>
      </c>
      <c r="BA466" s="182">
        <v>2.0400000000000001E-2</v>
      </c>
    </row>
    <row r="467" spans="51:53">
      <c r="AY467" s="182">
        <v>2.0299999999999999E-2</v>
      </c>
      <c r="AZ467" s="185">
        <v>449</v>
      </c>
      <c r="BA467" s="182">
        <v>2.0299999999999999E-2</v>
      </c>
    </row>
    <row r="468" spans="51:53">
      <c r="AY468" s="182">
        <v>2.0199999999999999E-2</v>
      </c>
      <c r="AZ468" s="185">
        <v>450</v>
      </c>
      <c r="BA468" s="182">
        <v>2.0199999999999999E-2</v>
      </c>
    </row>
    <row r="469" spans="51:53">
      <c r="AY469" s="182">
        <v>2.01E-2</v>
      </c>
      <c r="AZ469" s="185">
        <v>451</v>
      </c>
      <c r="BA469" s="182">
        <v>2.01E-2</v>
      </c>
    </row>
    <row r="470" spans="51:53">
      <c r="AY470" s="182">
        <v>0.02</v>
      </c>
      <c r="AZ470" s="185">
        <v>452</v>
      </c>
      <c r="BA470" s="182">
        <v>0.02</v>
      </c>
    </row>
  </sheetData>
  <sheetProtection algorithmName="SHA-512" hashValue="tnR2FFuC2b2x45TnEhZKOprz8aaXj4JcpgiFzDU2GkzxPoZ92Ggl1Apuu3e2+tc5tqy1M2pFYvOHDd/KHoC0CQ==" saltValue="Ig4k8FmIWvBmn7YpWxx7OQ==" spinCount="100000" sheet="1" objects="1" scenarios="1"/>
  <mergeCells count="41">
    <mergeCell ref="CL29:CL30"/>
    <mergeCell ref="CM29:CM30"/>
    <mergeCell ref="CN29:CN30"/>
    <mergeCell ref="CO29:CO30"/>
    <mergeCell ref="CP29:CP30"/>
    <mergeCell ref="CL31:CL32"/>
    <mergeCell ref="CM31:CM32"/>
    <mergeCell ref="CN31:CN32"/>
    <mergeCell ref="CO31:CO32"/>
    <mergeCell ref="CP31:CP32"/>
    <mergeCell ref="CM27:CM28"/>
    <mergeCell ref="CN27:CN28"/>
    <mergeCell ref="CO27:CO28"/>
    <mergeCell ref="CP27:CP28"/>
    <mergeCell ref="CG23:CK24"/>
    <mergeCell ref="CL23:CP23"/>
    <mergeCell ref="CL24:CP24"/>
    <mergeCell ref="CL26:CP26"/>
    <mergeCell ref="BM16:BN17"/>
    <mergeCell ref="BO16:BS17"/>
    <mergeCell ref="BT16:BU17"/>
    <mergeCell ref="BV16:BZ17"/>
    <mergeCell ref="CL27:CL28"/>
    <mergeCell ref="CA7:CE14"/>
    <mergeCell ref="BM8:BN10"/>
    <mergeCell ref="BO8:BQ8"/>
    <mergeCell ref="BS8:BT8"/>
    <mergeCell ref="BV8:BW8"/>
    <mergeCell ref="BO10:BQ10"/>
    <mergeCell ref="BS10:BT10"/>
    <mergeCell ref="BV10:BW10"/>
    <mergeCell ref="BO12:BQ12"/>
    <mergeCell ref="BS12:BT12"/>
    <mergeCell ref="BV12:BW13"/>
    <mergeCell ref="BX12:BY13"/>
    <mergeCell ref="CO1:CP1"/>
    <mergeCell ref="BM1:BN1"/>
    <mergeCell ref="BO1:BU1"/>
    <mergeCell ref="BV1:BY1"/>
    <mergeCell ref="CB1:CE1"/>
    <mergeCell ref="CM1:CN1"/>
  </mergeCells>
  <conditionalFormatting sqref="BM19:BN50 BT19:BU50">
    <cfRule type="cellIs" dxfId="36" priority="7" stopIfTrue="1" operator="equal">
      <formula>""</formula>
    </cfRule>
  </conditionalFormatting>
  <conditionalFormatting sqref="BO19:BS50 BV19:BZ50">
    <cfRule type="cellIs" dxfId="35" priority="9" stopIfTrue="1" operator="equal">
      <formula>$BX$12</formula>
    </cfRule>
    <cfRule type="cellIs" dxfId="34" priority="10" stopIfTrue="1" operator="equal">
      <formula>""</formula>
    </cfRule>
    <cfRule type="cellIs" dxfId="33" priority="11" stopIfTrue="1" operator="between">
      <formula>$BG$18-0.05</formula>
      <formula>12</formula>
    </cfRule>
  </conditionalFormatting>
  <conditionalFormatting sqref="BR8">
    <cfRule type="expression" dxfId="32" priority="5">
      <formula>$BK$8</formula>
    </cfRule>
  </conditionalFormatting>
  <conditionalFormatting sqref="BR10">
    <cfRule type="expression" dxfId="31" priority="3">
      <formula>$BK$10</formula>
    </cfRule>
  </conditionalFormatting>
  <conditionalFormatting sqref="BR12">
    <cfRule type="expression" dxfId="30" priority="1">
      <formula>$BK$12</formula>
    </cfRule>
  </conditionalFormatting>
  <conditionalFormatting sqref="BX8">
    <cfRule type="expression" dxfId="29" priority="4">
      <formula>$BK$9</formula>
    </cfRule>
  </conditionalFormatting>
  <conditionalFormatting sqref="BX10">
    <cfRule type="expression" dxfId="28" priority="2">
      <formula>$BK$11</formula>
    </cfRule>
  </conditionalFormatting>
  <conditionalFormatting sqref="BX12">
    <cfRule type="cellIs" dxfId="27" priority="8" stopIfTrue="1" operator="greaterThanOrEqual">
      <formula>$BG$18-0.05</formula>
    </cfRule>
  </conditionalFormatting>
  <conditionalFormatting sqref="BX12:BY13">
    <cfRule type="expression" dxfId="26" priority="6">
      <formula>$BK$1</formula>
    </cfRule>
  </conditionalFormatting>
  <hyperlinks>
    <hyperlink ref="CB1" r:id="rId1" xr:uid="{5F321A1F-F25B-4C1A-A7DF-36E2CFDC8A9C}"/>
  </hyperlinks>
  <pageMargins left="0.7" right="0.7" top="0.75" bottom="0.75" header="0.3" footer="0.3"/>
  <pageSetup orientation="portrait" r:id="rId2"/>
  <drawing r:id="rId3"/>
  <legacyDrawing r:id="rId4"/>
  <controls>
    <mc:AlternateContent xmlns:mc="http://schemas.openxmlformats.org/markup-compatibility/2006">
      <mc:Choice Requires="x14">
        <control shapeId="141318" r:id="rId5" name="ComboBox_1">
          <controlPr defaultSize="0" autoLine="0" linkedCell="$BF$18" listFillRange="$BF$19:$BG$81" r:id="rId6">
            <anchor moveWithCells="1">
              <from>
                <xdr:col>64</xdr:col>
                <xdr:colOff>0</xdr:colOff>
                <xdr:row>9</xdr:row>
                <xdr:rowOff>171450</xdr:rowOff>
              </from>
              <to>
                <xdr:col>66</xdr:col>
                <xdr:colOff>9525</xdr:colOff>
                <xdr:row>11</xdr:row>
                <xdr:rowOff>9525</xdr:rowOff>
              </to>
            </anchor>
          </controlPr>
        </control>
      </mc:Choice>
      <mc:Fallback>
        <control shapeId="141318" r:id="rId5" name="ComboBox_1"/>
      </mc:Fallback>
    </mc:AlternateContent>
    <mc:AlternateContent xmlns:mc="http://schemas.openxmlformats.org/markup-compatibility/2006">
      <mc:Choice Requires="x14">
        <control shapeId="141317" r:id="rId7" name="ComboBox_6">
          <controlPr defaultSize="0" autoLine="0" linkedCell="$AQ$18" listFillRange="$AQ$19:$AR$21" r:id="rId8">
            <anchor moveWithCells="1">
              <from>
                <xdr:col>68</xdr:col>
                <xdr:colOff>600075</xdr:colOff>
                <xdr:row>10</xdr:row>
                <xdr:rowOff>171450</xdr:rowOff>
              </from>
              <to>
                <xdr:col>72</xdr:col>
                <xdr:colOff>142875</xdr:colOff>
                <xdr:row>12</xdr:row>
                <xdr:rowOff>9525</xdr:rowOff>
              </to>
            </anchor>
          </controlPr>
        </control>
      </mc:Choice>
      <mc:Fallback>
        <control shapeId="141317" r:id="rId7" name="ComboBox_6"/>
      </mc:Fallback>
    </mc:AlternateContent>
    <mc:AlternateContent xmlns:mc="http://schemas.openxmlformats.org/markup-compatibility/2006">
      <mc:Choice Requires="x14">
        <control shapeId="141316" r:id="rId9" name="ComboBox_5">
          <controlPr defaultSize="0" autoLine="0" linkedCell="$AZ$18" listFillRange="$AZ$19:$BA$470" r:id="rId10">
            <anchor moveWithCells="1">
              <from>
                <xdr:col>68</xdr:col>
                <xdr:colOff>600075</xdr:colOff>
                <xdr:row>8</xdr:row>
                <xdr:rowOff>180975</xdr:rowOff>
              </from>
              <to>
                <xdr:col>72</xdr:col>
                <xdr:colOff>142875</xdr:colOff>
                <xdr:row>10</xdr:row>
                <xdr:rowOff>19050</xdr:rowOff>
              </to>
            </anchor>
          </controlPr>
        </control>
      </mc:Choice>
      <mc:Fallback>
        <control shapeId="141316" r:id="rId9" name="ComboBox_5"/>
      </mc:Fallback>
    </mc:AlternateContent>
    <mc:AlternateContent xmlns:mc="http://schemas.openxmlformats.org/markup-compatibility/2006">
      <mc:Choice Requires="x14">
        <control shapeId="141315" r:id="rId11" name="ComboBox_4">
          <controlPr defaultSize="0" autoLine="0" linkedCell="$AW$18" listFillRange="$AW$19:$AX$24" r:id="rId12">
            <anchor moveWithCells="1">
              <from>
                <xdr:col>74</xdr:col>
                <xdr:colOff>600075</xdr:colOff>
                <xdr:row>6</xdr:row>
                <xdr:rowOff>171450</xdr:rowOff>
              </from>
              <to>
                <xdr:col>77</xdr:col>
                <xdr:colOff>0</xdr:colOff>
                <xdr:row>8</xdr:row>
                <xdr:rowOff>9525</xdr:rowOff>
              </to>
            </anchor>
          </controlPr>
        </control>
      </mc:Choice>
      <mc:Fallback>
        <control shapeId="141315" r:id="rId11" name="ComboBox_4"/>
      </mc:Fallback>
    </mc:AlternateContent>
    <mc:AlternateContent xmlns:mc="http://schemas.openxmlformats.org/markup-compatibility/2006">
      <mc:Choice Requires="x14">
        <control shapeId="141314" r:id="rId13" name="ComboBox_3">
          <controlPr defaultSize="0" autoLine="0" linkedCell="$AT$18" listFillRange="$AT$19:$AU$24" r:id="rId14">
            <anchor moveWithCells="1">
              <from>
                <xdr:col>68</xdr:col>
                <xdr:colOff>600075</xdr:colOff>
                <xdr:row>6</xdr:row>
                <xdr:rowOff>180975</xdr:rowOff>
              </from>
              <to>
                <xdr:col>72</xdr:col>
                <xdr:colOff>142875</xdr:colOff>
                <xdr:row>8</xdr:row>
                <xdr:rowOff>19050</xdr:rowOff>
              </to>
            </anchor>
          </controlPr>
        </control>
      </mc:Choice>
      <mc:Fallback>
        <control shapeId="141314" r:id="rId13" name="ComboBox_3"/>
      </mc:Fallback>
    </mc:AlternateContent>
    <mc:AlternateContent xmlns:mc="http://schemas.openxmlformats.org/markup-compatibility/2006">
      <mc:Choice Requires="x14">
        <control shapeId="141313" r:id="rId15" name="ComboBox_2">
          <controlPr defaultSize="0" autoLine="0" linkedCell="$BI$18" listFillRange="$BI$19:$BJ$82" r:id="rId16">
            <anchor moveWithCells="1">
              <from>
                <xdr:col>74</xdr:col>
                <xdr:colOff>600075</xdr:colOff>
                <xdr:row>8</xdr:row>
                <xdr:rowOff>171450</xdr:rowOff>
              </from>
              <to>
                <xdr:col>77</xdr:col>
                <xdr:colOff>0</xdr:colOff>
                <xdr:row>10</xdr:row>
                <xdr:rowOff>9525</xdr:rowOff>
              </to>
            </anchor>
          </controlPr>
        </control>
      </mc:Choice>
      <mc:Fallback>
        <control shapeId="141313" r:id="rId15" name="ComboBox_2"/>
      </mc:Fallback>
    </mc:AlternateContent>
  </controls>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4A835E6-C030-4844-A1D1-2DC8952CF691}">
  <sheetPr codeName="Sheet11112"/>
  <dimension ref="A1:DC203"/>
  <sheetViews>
    <sheetView showGridLines="0" showRowColHeaders="0" topLeftCell="BM1" zoomScaleNormal="100" workbookViewId="0">
      <selection activeCell="BM1" sqref="BM1"/>
    </sheetView>
  </sheetViews>
  <sheetFormatPr defaultColWidth="9.140625" defaultRowHeight="15.75"/>
  <cols>
    <col min="1" max="2" width="9.140625" hidden="1" customWidth="1"/>
    <col min="3" max="3" width="9.140625" style="2" hidden="1" customWidth="1"/>
    <col min="4" max="4" width="12.85546875" style="2" hidden="1" customWidth="1"/>
    <col min="5" max="5" width="16.85546875" hidden="1" customWidth="1"/>
    <col min="6" max="6" width="110.7109375" hidden="1" customWidth="1"/>
    <col min="7" max="8" width="9.140625" hidden="1" customWidth="1"/>
    <col min="9" max="9" width="24.85546875" hidden="1" customWidth="1"/>
    <col min="10" max="10" width="26.28515625" style="2" hidden="1" customWidth="1"/>
    <col min="11" max="11" width="6.42578125" hidden="1" customWidth="1"/>
    <col min="12" max="12" width="9.140625" style="2" hidden="1" customWidth="1"/>
    <col min="13" max="13" width="9.140625" hidden="1" customWidth="1"/>
    <col min="14" max="14" width="9.140625" style="2" hidden="1" customWidth="1"/>
    <col min="15" max="15" width="10" hidden="1" customWidth="1"/>
    <col min="16" max="16" width="10.140625" hidden="1" customWidth="1"/>
    <col min="17" max="17" width="12.42578125" hidden="1" customWidth="1"/>
    <col min="18" max="18" width="9.140625" style="2" hidden="1" customWidth="1"/>
    <col min="19" max="54" width="9.140625" style="10" hidden="1" customWidth="1"/>
    <col min="55" max="55" width="33.7109375" style="10" hidden="1" customWidth="1"/>
    <col min="56" max="64" width="9.140625" style="10" hidden="1" customWidth="1"/>
    <col min="65" max="65" width="5" style="359" customWidth="1"/>
    <col min="66" max="67" width="9.140625" style="359"/>
    <col min="68" max="77" width="9.140625" style="359" customWidth="1"/>
    <col min="78" max="85" width="9.140625" style="359"/>
    <col min="86" max="86" width="9.140625" style="359" customWidth="1"/>
    <col min="87" max="89" width="9.140625" style="359"/>
    <col min="90" max="95" width="9.140625" style="359" customWidth="1"/>
    <col min="96" max="107" width="9.140625" style="10" hidden="1" customWidth="1"/>
    <col min="108" max="113" width="0" style="10" hidden="1" customWidth="1"/>
    <col min="114" max="16384" width="9.140625" style="10"/>
  </cols>
  <sheetData>
    <row r="1" spans="1:98" ht="37.5" customHeight="1">
      <c r="C1" s="2">
        <f>SUM(C2:C27)</f>
        <v>46</v>
      </c>
      <c r="D1" s="2">
        <f>SUM(D2:D27)</f>
        <v>20</v>
      </c>
      <c r="F1" s="177" t="str">
        <f>_xlfn.CONCAT(E2:E27)</f>
        <v>10010100011010101001</v>
      </c>
      <c r="G1" t="s">
        <v>0</v>
      </c>
      <c r="I1" s="580" t="str">
        <f>_xlfn.CONCAT(I2:I27)</f>
        <v>lGqQ</v>
      </c>
      <c r="J1" s="580" t="str">
        <f>radix64</f>
        <v>lGqQ</v>
      </c>
      <c r="K1" t="str">
        <f>J1</f>
        <v>lGqQ</v>
      </c>
      <c r="L1" s="2" t="s">
        <v>0</v>
      </c>
      <c r="O1" t="str">
        <f>_xlfn.CONCAT((O2:O27))</f>
        <v>100101000110101010010000</v>
      </c>
      <c r="P1" s="177" t="str">
        <f>O1</f>
        <v>100101000110101010010000</v>
      </c>
      <c r="Q1" t="s">
        <v>0</v>
      </c>
      <c r="R1" s="2">
        <f>SUM(R2:R27)</f>
        <v>46</v>
      </c>
      <c r="T1" s="7"/>
      <c r="U1" s="8"/>
      <c r="V1" s="8"/>
      <c r="W1" s="8"/>
      <c r="X1" s="8"/>
      <c r="Y1" s="8"/>
      <c r="Z1" s="8"/>
      <c r="AA1" s="8"/>
      <c r="AB1" s="273"/>
      <c r="AC1" s="58"/>
      <c r="AE1" s="69" cm="1">
        <f t="array" aca="1" ref="AE1" ca="1">IF(BL1,0,INDEX(AX28:BB82,Cntrl7-1,MIN(5,7-Cntrl6)))</f>
        <v>1.0015778534598689</v>
      </c>
      <c r="AF1" s="107">
        <f ca="1">ROUND(1/(BH14/AE1+(1-BH14)/VALUE(AG1)),2)</f>
        <v>1</v>
      </c>
      <c r="AG1" s="962" cm="1">
        <f t="array" aca="1" ref="AG1" ca="1">IF(BL1,0,INDEX(AQ28:AU82,Cntrl7-1,MIN(5,7-Cntrl6)))</f>
        <v>1.0015778534598689</v>
      </c>
      <c r="AI1" s="953" t="s">
        <v>2253</v>
      </c>
      <c r="AJ1" s="63">
        <f>coef_m1*A_P^coef_c1*(coef_m5*thick_mult+IF(_90mm,1,coef_c5))</f>
        <v>0</v>
      </c>
      <c r="AK1" s="10" t="s">
        <v>2254</v>
      </c>
      <c r="AL1" s="7"/>
      <c r="AO1" s="59">
        <f>AO15-1</f>
        <v>1</v>
      </c>
      <c r="AQ1" s="11"/>
      <c r="AR1" s="59">
        <f>AR15-1</f>
        <v>1</v>
      </c>
      <c r="AU1" s="59">
        <f>AU15-1</f>
        <v>1</v>
      </c>
      <c r="AX1" s="59">
        <f>AX15-1</f>
        <v>5</v>
      </c>
      <c r="BA1" s="59">
        <f>BA15-1</f>
        <v>1</v>
      </c>
      <c r="BD1" s="59">
        <f>BD15-1</f>
        <v>37</v>
      </c>
      <c r="BG1" s="59">
        <f>BG15-1</f>
        <v>50</v>
      </c>
      <c r="BJ1" s="59">
        <f>BJ15-1</f>
        <v>50</v>
      </c>
      <c r="BL1" s="263" t="b">
        <f>NOT(AND(Cntrl1-1,Cntrl2-1,Cntrl3-1,Cntrl4-1,Cntrl6-1,Cntrl7-1))</f>
        <v>0</v>
      </c>
      <c r="BM1" s="579"/>
      <c r="BN1" s="1014" t="e" vm="1">
        <v>#VALUE!</v>
      </c>
      <c r="BO1" s="1014"/>
      <c r="BP1" s="1015" t="s">
        <v>1006</v>
      </c>
      <c r="BQ1" s="1015"/>
      <c r="BR1" s="1015"/>
      <c r="BS1" s="1015"/>
      <c r="BT1" s="1015"/>
      <c r="BU1" s="1015"/>
      <c r="BV1" s="1091" t="str">
        <f>IF(BL1,"",I1)</f>
        <v>lGqQ</v>
      </c>
      <c r="BW1" s="1091"/>
      <c r="BX1" s="1091"/>
      <c r="BY1" s="1091"/>
      <c r="BZ1" s="1025" t="s">
        <v>2</v>
      </c>
      <c r="CA1" s="1025"/>
      <c r="CB1" s="1025"/>
      <c r="CC1" s="1025"/>
      <c r="CD1" s="1025"/>
      <c r="CE1" s="328"/>
      <c r="CF1" s="328"/>
      <c r="CG1" s="328"/>
      <c r="CH1" s="328"/>
      <c r="CI1" s="328"/>
      <c r="CJ1" s="905" t="s">
        <v>2261</v>
      </c>
      <c r="CK1" s="1041" t="s">
        <v>3</v>
      </c>
      <c r="CL1" s="1041"/>
      <c r="CM1" s="1092">
        <v>45988.700578703705</v>
      </c>
      <c r="CN1" s="1093"/>
    </row>
    <row r="2" spans="1:98">
      <c r="A2">
        <v>1</v>
      </c>
      <c r="B2" t="s">
        <v>4</v>
      </c>
      <c r="C2" s="142">
        <f>Cntrl7-1</f>
        <v>37</v>
      </c>
      <c r="D2" s="559">
        <f>BD2</f>
        <v>6</v>
      </c>
      <c r="E2" s="172" t="str">
        <f>IF(C2&lt;&gt;"",RIGHT("0000000000"&amp;TEXT(DEC2BIN(C2,D2),"0"),D2),"")</f>
        <v>100101</v>
      </c>
      <c r="F2" s="555" t="str">
        <f>F1</f>
        <v>10010100011010101001</v>
      </c>
      <c r="G2" s="172" t="str">
        <f>IF(F2&lt;&gt;"",IF(LEN(F2)&gt;=6,LEFT(F2,6),LEFT(F2&amp;"000000",6)),"")</f>
        <v>100101</v>
      </c>
      <c r="H2">
        <f>IF(G2&lt;&gt;"",BIN2DEC(G2),"")</f>
        <v>37</v>
      </c>
      <c r="I2" s="552" t="str" cm="1">
        <f t="array" ref="I2">IF(H2&lt;&gt;"",INDEX($B$2:$B$66,H2+1),"")</f>
        <v>l</v>
      </c>
      <c r="J2" s="554">
        <f t="shared" ref="J2:J27" si="0">IF(D2&lt;&gt;"",D2,"")</f>
        <v>6</v>
      </c>
      <c r="K2" t="str">
        <f>J1</f>
        <v>lGqQ</v>
      </c>
      <c r="L2" s="2" t="str">
        <f>LEFT(K2,1)</f>
        <v>l</v>
      </c>
      <c r="M2" t="b">
        <f>IF(L2&lt;&gt;"",EXACT(L2,UPPER(L2)),"")</f>
        <v>0</v>
      </c>
      <c r="N2" s="2">
        <f>IF(M2&lt;&gt;"",IF(M2,MATCH(L2,$B$2:$B$66,0)-1,MATCH(L2,$B$28:$B$66,0)+25),"")</f>
        <v>37</v>
      </c>
      <c r="O2" s="172" t="str">
        <f t="shared" ref="O2:O27" si="1">IF(N2&lt;&gt;"",DEC2BIN(N2,6),"")</f>
        <v>100101</v>
      </c>
      <c r="P2" s="177" t="str">
        <f>P1</f>
        <v>100101000110101010010000</v>
      </c>
      <c r="Q2" s="172" t="str">
        <f t="shared" ref="Q2:Q27" si="2">IF(J2&lt;&gt;"",LEFT(P2,J2),"")</f>
        <v>100101</v>
      </c>
      <c r="R2" s="553">
        <f>IF(Q2&lt;&gt;"",BIN2DEC(Q2),"")</f>
        <v>37</v>
      </c>
      <c r="S2" s="142" t="s">
        <v>541</v>
      </c>
      <c r="U2"/>
      <c r="V2" t="s">
        <v>1036</v>
      </c>
      <c r="W2"/>
      <c r="X2"/>
      <c r="Y2"/>
      <c r="Z2" t="s">
        <v>1052</v>
      </c>
      <c r="AA2"/>
      <c r="AB2"/>
      <c r="AC2"/>
      <c r="AN2" s="13"/>
      <c r="AO2" s="12">
        <f>IF(AO3=1,1,INT(LOG(AO3-1,2))+1)</f>
        <v>3</v>
      </c>
      <c r="AR2" s="12">
        <f>IF(AR3=1,1,INT(LOG(AR3-1,2))+1)</f>
        <v>2</v>
      </c>
      <c r="AS2" s="560"/>
      <c r="AT2" s="560"/>
      <c r="AU2" s="12">
        <f>IF(AU3=1,1,INT(LOG(AU3-1,2))+1)</f>
        <v>2</v>
      </c>
      <c r="AV2" s="560"/>
      <c r="AW2" s="560"/>
      <c r="AX2" s="12">
        <f>IF(AX3=1,1,INT(LOG(AX3-1,2))+1)</f>
        <v>3</v>
      </c>
      <c r="AY2" s="560"/>
      <c r="AZ2" s="560"/>
      <c r="BA2" s="12">
        <f>IF(BA3=1,1,INT(LOG(BA3-1,2))+1)</f>
        <v>4</v>
      </c>
      <c r="BB2" s="560"/>
      <c r="BC2" s="560"/>
      <c r="BD2" s="12">
        <f>IF(BD3=1,1,INT(LOG(BD3-1,2))+1)</f>
        <v>6</v>
      </c>
      <c r="BE2" s="560"/>
      <c r="BF2" s="560"/>
      <c r="BG2" s="12">
        <f>IF(BG3=1,1,INT(LOG(BG3-1,2))+1)</f>
        <v>6</v>
      </c>
      <c r="BH2" s="560"/>
      <c r="BI2" s="560"/>
      <c r="BJ2" s="12">
        <f>IF(BJ3=1,1,INT(LOG(BJ3-1,2))+1)</f>
        <v>6</v>
      </c>
      <c r="BK2" s="560"/>
      <c r="BL2" s="263" t="b">
        <f>OR(NOT(WebCntrl1),NOT(WebCntrl2),NOT(WebCntrl3),NOT(WebCntrl4),NOT(WebCntrl6),NOT(WebCntrl7))</f>
        <v>1</v>
      </c>
      <c r="BM2" s="332"/>
      <c r="BN2" s="333"/>
      <c r="BO2" s="333"/>
      <c r="BP2" s="333"/>
      <c r="BQ2" s="333"/>
      <c r="BR2" s="333"/>
      <c r="BS2" s="333"/>
      <c r="BT2" s="333"/>
      <c r="BU2" s="333"/>
      <c r="BV2" s="333"/>
      <c r="BW2" s="333"/>
      <c r="BX2" s="333"/>
      <c r="BY2" s="333"/>
      <c r="BZ2" s="333"/>
      <c r="CA2" s="333"/>
      <c r="CB2" s="1007" t="e" vm="941">
        <f>IF(BL1,"",diagrams2!E2)</f>
        <v>#VALUE!</v>
      </c>
      <c r="CC2" s="1007"/>
      <c r="CD2" s="1007"/>
      <c r="CE2" s="1007"/>
      <c r="CF2" s="1007"/>
      <c r="CG2" s="1007"/>
      <c r="CH2" s="1007" t="e" vm="942">
        <f>IF(BL1,"",diagrams3!$B$2)</f>
        <v>#VALUE!</v>
      </c>
      <c r="CI2" s="1007"/>
      <c r="CJ2" s="1007"/>
      <c r="CK2" s="1007"/>
      <c r="CL2" s="1007"/>
      <c r="CM2" s="1007"/>
      <c r="CN2" s="336"/>
      <c r="CO2" s="974"/>
      <c r="CP2" s="974"/>
    </row>
    <row r="3" spans="1:98" ht="16.5" customHeight="1">
      <c r="A3">
        <v>2</v>
      </c>
      <c r="B3" t="s">
        <v>7</v>
      </c>
      <c r="C3" s="142">
        <f>Cntrl4-1</f>
        <v>1</v>
      </c>
      <c r="D3" s="559">
        <f>BA2</f>
        <v>4</v>
      </c>
      <c r="E3" s="172" t="str">
        <f t="shared" ref="E3:E27" si="3">IF(C3&lt;&gt;"",RIGHT("0000000000"&amp;TEXT(DEC2BIN(C3,D3),"0"),D3),"")</f>
        <v>0001</v>
      </c>
      <c r="F3" s="555" t="str">
        <f t="shared" ref="F3:F14" si="4">IF(LEN(F2)&gt;=6,RIGHT(F2,LEN(F2)-6),"")</f>
        <v>00011010101001</v>
      </c>
      <c r="G3" s="172" t="str">
        <f t="shared" ref="G3:G27" si="5">IF(F3&lt;&gt;"",IF(LEN(F3)&gt;=6,LEFT(F3,6),LEFT(F3&amp;"000000",6)),"")</f>
        <v>000110</v>
      </c>
      <c r="H3">
        <f t="shared" ref="H3:H27" si="6">IF(G3&lt;&gt;"",BIN2DEC(G3),"")</f>
        <v>6</v>
      </c>
      <c r="I3" s="552" t="str" cm="1">
        <f t="array" ref="I3">IF(H3&lt;&gt;"",INDEX($B$2:$B$66,H3+1),"")</f>
        <v>G</v>
      </c>
      <c r="J3" s="554">
        <f t="shared" si="0"/>
        <v>4</v>
      </c>
      <c r="K3" t="str">
        <f t="shared" ref="K3:K11" si="7">IF(LEN(K2)&gt;1,RIGHT(K2,LEN(K2)-1),"")</f>
        <v>GqQ</v>
      </c>
      <c r="L3" s="2" t="str">
        <f t="shared" ref="L3:L27" si="8">LEFT(K3,1)</f>
        <v>G</v>
      </c>
      <c r="M3" t="b">
        <f t="shared" ref="M3:M27" si="9">IF(L3&lt;&gt;"",EXACT(L3,UPPER(L3)),"")</f>
        <v>1</v>
      </c>
      <c r="N3" s="2">
        <f t="shared" ref="N3:N27" si="10">IF(M3&lt;&gt;"",IF(M3,MATCH(L3,$B$2:$B$66,0)-1,MATCH(L3,$B$28:$B$66,0)+25),"")</f>
        <v>6</v>
      </c>
      <c r="O3" s="172" t="str">
        <f t="shared" si="1"/>
        <v>000110</v>
      </c>
      <c r="P3" s="177" t="str">
        <f t="shared" ref="P3:P26" si="11">IF(J3&lt;&gt;"",RIGHT(P2,LEN(P2)-J2),"")</f>
        <v>000110101010010000</v>
      </c>
      <c r="Q3" s="172" t="str">
        <f t="shared" si="2"/>
        <v>0001</v>
      </c>
      <c r="R3" s="553">
        <f t="shared" ref="R3:R27" si="12">IF(Q3&lt;&gt;"",BIN2DEC(Q3),"")</f>
        <v>1</v>
      </c>
      <c r="S3" s="142" t="s">
        <v>89</v>
      </c>
      <c r="U3"/>
      <c r="V3" t="s">
        <v>1037</v>
      </c>
      <c r="W3" t="s">
        <v>1042</v>
      </c>
      <c r="X3" t="s">
        <v>276</v>
      </c>
      <c r="Y3" t="s">
        <v>163</v>
      </c>
      <c r="Z3" t="s">
        <v>1037</v>
      </c>
      <c r="AA3" t="s">
        <v>1042</v>
      </c>
      <c r="AB3" t="s">
        <v>276</v>
      </c>
      <c r="AC3" t="s">
        <v>163</v>
      </c>
      <c r="AG3" s="12" t="s">
        <v>2227</v>
      </c>
      <c r="AH3" s="12" t="s">
        <v>1024</v>
      </c>
      <c r="AI3" s="19" t="s">
        <v>1015</v>
      </c>
      <c r="AJ3" s="19" t="s">
        <v>1017</v>
      </c>
      <c r="AK3" s="19" t="s">
        <v>1016</v>
      </c>
      <c r="AL3" s="19" t="s">
        <v>1014</v>
      </c>
      <c r="AO3" s="577">
        <v>6</v>
      </c>
      <c r="AP3" s="577"/>
      <c r="AQ3" s="577"/>
      <c r="AR3" s="577">
        <v>3</v>
      </c>
      <c r="AS3" s="577"/>
      <c r="AT3" s="9"/>
      <c r="AU3" s="9">
        <v>3</v>
      </c>
      <c r="AV3" s="9"/>
      <c r="AW3" s="9"/>
      <c r="AX3" s="9">
        <v>6</v>
      </c>
      <c r="AY3" s="9"/>
      <c r="AZ3" s="9"/>
      <c r="BA3" s="9">
        <v>9</v>
      </c>
      <c r="BB3" s="9"/>
      <c r="BC3" s="9"/>
      <c r="BD3" s="9">
        <v>56</v>
      </c>
      <c r="BE3" s="9"/>
      <c r="BF3" s="9"/>
      <c r="BG3" s="9">
        <v>51</v>
      </c>
      <c r="BH3" s="9"/>
      <c r="BI3" s="9"/>
      <c r="BJ3" s="9">
        <v>56</v>
      </c>
      <c r="BK3" s="13"/>
      <c r="BL3" s="13" t="b">
        <f>ISBLANK(WebCntrl1)</f>
        <v>0</v>
      </c>
      <c r="BM3" s="333"/>
      <c r="BN3" s="1228" t="s">
        <v>1008</v>
      </c>
      <c r="BO3" s="1228"/>
      <c r="BP3" s="1229"/>
      <c r="BQ3" s="337">
        <v>1</v>
      </c>
      <c r="BR3" s="1154" t="str">
        <f>IF(ISBLANK(WebCntrl1),"",AV15)</f>
        <v>other than masonry veneer</v>
      </c>
      <c r="BS3" s="1154"/>
      <c r="BT3" s="1154"/>
      <c r="BU3" s="1154"/>
      <c r="BV3" s="333"/>
      <c r="BW3" s="1101" t="s">
        <v>1009</v>
      </c>
      <c r="BX3" s="1221"/>
      <c r="BY3" s="337">
        <v>5</v>
      </c>
      <c r="BZ3" s="462" t="str">
        <f>IF(ISBLANK(WebCntrl6),"",AY15)</f>
        <v>90 +</v>
      </c>
      <c r="CA3" s="333"/>
      <c r="CB3" s="1007"/>
      <c r="CC3" s="1007"/>
      <c r="CD3" s="1007"/>
      <c r="CE3" s="1007"/>
      <c r="CF3" s="1007"/>
      <c r="CG3" s="1007"/>
      <c r="CH3" s="1007"/>
      <c r="CI3" s="1007"/>
      <c r="CJ3" s="1007"/>
      <c r="CK3" s="1007"/>
      <c r="CL3" s="1007"/>
      <c r="CM3" s="1007"/>
      <c r="CN3" s="336"/>
      <c r="CO3" s="974"/>
      <c r="CP3" s="974"/>
    </row>
    <row r="4" spans="1:98" ht="15" customHeight="1">
      <c r="A4">
        <v>3</v>
      </c>
      <c r="B4" t="s">
        <v>11</v>
      </c>
      <c r="C4" s="142">
        <f>Cntrl6-1</f>
        <v>5</v>
      </c>
      <c r="D4" s="559">
        <f>AX2</f>
        <v>3</v>
      </c>
      <c r="E4" s="172" t="str">
        <f t="shared" si="3"/>
        <v>101</v>
      </c>
      <c r="F4" s="555" t="str">
        <f t="shared" si="4"/>
        <v>10101001</v>
      </c>
      <c r="G4" s="172" t="str">
        <f t="shared" si="5"/>
        <v>101010</v>
      </c>
      <c r="H4">
        <f t="shared" si="6"/>
        <v>42</v>
      </c>
      <c r="I4" s="552" t="str" cm="1">
        <f t="array" ref="I4">IF(H4&lt;&gt;"",INDEX($B$2:$B$66,H4+1),"")</f>
        <v>q</v>
      </c>
      <c r="J4" s="554">
        <f t="shared" si="0"/>
        <v>3</v>
      </c>
      <c r="K4" t="str">
        <f t="shared" si="7"/>
        <v>qQ</v>
      </c>
      <c r="L4" s="2" t="str">
        <f t="shared" si="8"/>
        <v>q</v>
      </c>
      <c r="M4" t="b">
        <f t="shared" si="9"/>
        <v>0</v>
      </c>
      <c r="N4" s="2">
        <f t="shared" si="10"/>
        <v>42</v>
      </c>
      <c r="O4" s="172" t="str">
        <f t="shared" si="1"/>
        <v>101010</v>
      </c>
      <c r="P4" s="177" t="str">
        <f t="shared" si="11"/>
        <v>10101010010000</v>
      </c>
      <c r="Q4" s="172" t="str">
        <f t="shared" si="2"/>
        <v>101</v>
      </c>
      <c r="R4" s="553">
        <f t="shared" si="12"/>
        <v>5</v>
      </c>
      <c r="S4" s="142" t="s">
        <v>8</v>
      </c>
      <c r="T4" s="172"/>
      <c r="U4" s="2">
        <v>90</v>
      </c>
      <c r="V4" s="606">
        <v>-0.22112268518518777</v>
      </c>
      <c r="W4" s="607">
        <v>0.61762896825397673</v>
      </c>
      <c r="X4" s="607">
        <v>-0.20302017195768082</v>
      </c>
      <c r="Y4" s="607">
        <v>0.40801261904762176</v>
      </c>
      <c r="Z4" s="607">
        <v>2.7058402250245832E-4</v>
      </c>
      <c r="AA4" s="607">
        <v>-4.499741060246888E-3</v>
      </c>
      <c r="AB4" s="607">
        <v>0.3168747551352139</v>
      </c>
      <c r="AC4" s="608">
        <v>0.26325639611530366</v>
      </c>
      <c r="AE4" s="671"/>
      <c r="AG4" s="320">
        <f>IF(Cntrl1=3,1,0)</f>
        <v>0</v>
      </c>
      <c r="AH4" s="320">
        <f>IF(Cntrl4&gt;=7,1,0)</f>
        <v>0</v>
      </c>
      <c r="AI4" s="715">
        <f>IF(AND(Cntrl4&gt;=3,Cntrl4&lt;&gt;7),1,0)</f>
        <v>0</v>
      </c>
      <c r="AJ4" s="715">
        <f>IF(OR(Cntrl4=5,Cntrl4=6,Cntrl4=9),1,0)</f>
        <v>0</v>
      </c>
      <c r="AK4" s="715">
        <f>IF(OR(Cntrl4=4,Cntrl4=6),1,0)</f>
        <v>0</v>
      </c>
      <c r="AL4" s="715">
        <f>IF(Cntrl3&gt;=3,1,0)</f>
        <v>0</v>
      </c>
      <c r="BL4" s="10" t="b">
        <f>ISBLANK(WebCntrl6)</f>
        <v>0</v>
      </c>
      <c r="BM4" s="333"/>
      <c r="BN4" s="369"/>
      <c r="BO4" s="369"/>
      <c r="BP4" s="369"/>
      <c r="BQ4" s="369"/>
      <c r="BR4" s="369"/>
      <c r="BS4" s="333"/>
      <c r="BT4" s="333"/>
      <c r="BU4" s="333"/>
      <c r="BV4" s="333"/>
      <c r="BW4" s="333"/>
      <c r="BX4" s="333"/>
      <c r="BY4" s="333"/>
      <c r="BZ4" s="333"/>
      <c r="CA4" s="333"/>
      <c r="CB4" s="1007"/>
      <c r="CC4" s="1007"/>
      <c r="CD4" s="1007"/>
      <c r="CE4" s="1007"/>
      <c r="CF4" s="1007"/>
      <c r="CG4" s="1007"/>
      <c r="CH4" s="1007"/>
      <c r="CI4" s="1007"/>
      <c r="CJ4" s="1007"/>
      <c r="CK4" s="1007"/>
      <c r="CL4" s="1007"/>
      <c r="CM4" s="1007"/>
      <c r="CN4" s="336"/>
      <c r="CO4" s="974"/>
      <c r="CP4" s="974"/>
    </row>
    <row r="5" spans="1:98" ht="15.75" customHeight="1">
      <c r="A5">
        <v>4</v>
      </c>
      <c r="B5" t="s">
        <v>17</v>
      </c>
      <c r="C5" s="142">
        <f>Cntrl1-1</f>
        <v>1</v>
      </c>
      <c r="D5" s="559">
        <f>AU2</f>
        <v>2</v>
      </c>
      <c r="E5" s="172" t="str">
        <f t="shared" si="3"/>
        <v>01</v>
      </c>
      <c r="F5" s="555" t="str">
        <f t="shared" si="4"/>
        <v>01</v>
      </c>
      <c r="G5" s="172" t="str">
        <f t="shared" si="5"/>
        <v>010000</v>
      </c>
      <c r="H5">
        <f t="shared" si="6"/>
        <v>16</v>
      </c>
      <c r="I5" s="552" t="str" cm="1">
        <f t="array" ref="I5">IF(H5&lt;&gt;"",INDEX($B$2:$B$66,H5+1),"")</f>
        <v>Q</v>
      </c>
      <c r="J5" s="554">
        <f t="shared" si="0"/>
        <v>2</v>
      </c>
      <c r="K5" t="str">
        <f t="shared" si="7"/>
        <v>Q</v>
      </c>
      <c r="L5" s="2" t="str">
        <f t="shared" si="8"/>
        <v>Q</v>
      </c>
      <c r="M5" t="b">
        <f t="shared" si="9"/>
        <v>1</v>
      </c>
      <c r="N5" s="2">
        <f t="shared" si="10"/>
        <v>16</v>
      </c>
      <c r="O5" s="172" t="str">
        <f t="shared" si="1"/>
        <v>010000</v>
      </c>
      <c r="P5" s="177" t="str">
        <f t="shared" si="11"/>
        <v>01010010000</v>
      </c>
      <c r="Q5" s="172" t="str">
        <f t="shared" si="2"/>
        <v>01</v>
      </c>
      <c r="R5" s="553">
        <f t="shared" si="12"/>
        <v>1</v>
      </c>
      <c r="S5" s="142" t="s">
        <v>76</v>
      </c>
      <c r="T5" s="172"/>
      <c r="U5" s="2">
        <v>135</v>
      </c>
      <c r="V5" s="611">
        <v>-0.18969907407407605</v>
      </c>
      <c r="W5" s="176">
        <v>0.50819444444445117</v>
      </c>
      <c r="X5" s="176">
        <v>-6.4515211640218867E-2</v>
      </c>
      <c r="Y5" s="176">
        <v>0.36848904761904999</v>
      </c>
      <c r="Z5" s="176">
        <v>2.8613814156796332E-4</v>
      </c>
      <c r="AA5" s="176">
        <v>-4.7399720824272329E-3</v>
      </c>
      <c r="AB5" s="176">
        <v>0.32628327605305601</v>
      </c>
      <c r="AC5" s="612">
        <v>0.27831618041770562</v>
      </c>
      <c r="AE5" s="63"/>
      <c r="AG5" s="19">
        <f>mv*16</f>
        <v>0</v>
      </c>
      <c r="AH5" s="19">
        <f>raft_*5</f>
        <v>0</v>
      </c>
      <c r="AI5" s="19">
        <f>under</f>
        <v>0</v>
      </c>
      <c r="AJ5" s="19">
        <f>thick+IF(NOT(raft_),thick,0)</f>
        <v>0</v>
      </c>
      <c r="AK5" s="19">
        <f>IF(raft_,0,full)</f>
        <v>0</v>
      </c>
      <c r="AL5" s="19">
        <f>perim*8</f>
        <v>0</v>
      </c>
      <c r="BL5" s="10" t="b">
        <f>ISBLANK(WebCntrl2)</f>
        <v>0</v>
      </c>
      <c r="BM5" s="333"/>
      <c r="BN5" s="1142" t="s">
        <v>1010</v>
      </c>
      <c r="BO5" s="1142"/>
      <c r="BP5" s="1143"/>
      <c r="BQ5" s="337">
        <v>0</v>
      </c>
      <c r="BR5" s="1154" t="str">
        <f>IF(ISBLANK(WebCntrl2),"",AS15)</f>
        <v>none</v>
      </c>
      <c r="BS5" s="1154"/>
      <c r="BT5" s="1154"/>
      <c r="BU5" s="1154"/>
      <c r="BV5" s="333"/>
      <c r="BW5" s="1222" t="s">
        <v>1011</v>
      </c>
      <c r="BX5" s="1223"/>
      <c r="BY5" s="340">
        <v>2</v>
      </c>
      <c r="BZ5" s="462">
        <f>IF(ISBLANK(WebCntrl7),"",BE15)</f>
        <v>2.4</v>
      </c>
      <c r="CA5" s="333"/>
      <c r="CB5" s="1007"/>
      <c r="CC5" s="1007"/>
      <c r="CD5" s="1007"/>
      <c r="CE5" s="1007"/>
      <c r="CF5" s="1007"/>
      <c r="CG5" s="1007"/>
      <c r="CH5" s="1007"/>
      <c r="CI5" s="1007"/>
      <c r="CJ5" s="1007"/>
      <c r="CK5" s="1007"/>
      <c r="CL5" s="1007"/>
      <c r="CM5" s="1007"/>
      <c r="CN5" s="336"/>
      <c r="CO5" s="974"/>
      <c r="CP5" s="974"/>
    </row>
    <row r="6" spans="1:98">
      <c r="A6">
        <v>5</v>
      </c>
      <c r="B6" t="s">
        <v>31</v>
      </c>
      <c r="C6" s="142">
        <f>Cntrl2-1</f>
        <v>1</v>
      </c>
      <c r="D6" s="559">
        <f>AR2</f>
        <v>2</v>
      </c>
      <c r="E6" s="172" t="str">
        <f t="shared" si="3"/>
        <v>01</v>
      </c>
      <c r="F6" s="555" t="str">
        <f t="shared" si="4"/>
        <v/>
      </c>
      <c r="G6" s="172" t="str">
        <f t="shared" si="5"/>
        <v/>
      </c>
      <c r="H6" t="str">
        <f t="shared" si="6"/>
        <v/>
      </c>
      <c r="I6" s="552" t="str" cm="1">
        <f t="array" ref="I6">IF(H6&lt;&gt;"",INDEX($B$2:$B$66,H6+1),"")</f>
        <v/>
      </c>
      <c r="J6" s="554">
        <f t="shared" si="0"/>
        <v>2</v>
      </c>
      <c r="K6" t="str">
        <f t="shared" si="7"/>
        <v/>
      </c>
      <c r="L6" s="2" t="str">
        <f t="shared" si="8"/>
        <v/>
      </c>
      <c r="M6" t="str">
        <f t="shared" si="9"/>
        <v/>
      </c>
      <c r="N6" s="2" t="str">
        <f t="shared" si="10"/>
        <v/>
      </c>
      <c r="O6" s="172" t="str">
        <f t="shared" si="1"/>
        <v/>
      </c>
      <c r="P6" s="177" t="str">
        <f t="shared" si="11"/>
        <v>010010000</v>
      </c>
      <c r="Q6" s="172" t="str">
        <f t="shared" si="2"/>
        <v>01</v>
      </c>
      <c r="R6" s="553">
        <f t="shared" si="12"/>
        <v>1</v>
      </c>
      <c r="S6" s="142" t="s">
        <v>83</v>
      </c>
      <c r="T6" s="172" t="s">
        <v>180</v>
      </c>
      <c r="U6" s="2">
        <v>180</v>
      </c>
      <c r="V6" s="611">
        <v>-0.14913194444444691</v>
      </c>
      <c r="W6" s="176">
        <v>0.38997023809524639</v>
      </c>
      <c r="X6" s="176">
        <v>4.5131944444435836E-2</v>
      </c>
      <c r="Y6" s="176">
        <v>0.35627642857143138</v>
      </c>
      <c r="Z6" s="176">
        <v>2.9829249820559502E-4</v>
      </c>
      <c r="AA6" s="176">
        <v>-4.9269622055224298E-3</v>
      </c>
      <c r="AB6" s="176">
        <v>0.33475152582974499</v>
      </c>
      <c r="AC6" s="612">
        <v>0.29237944174698494</v>
      </c>
      <c r="AE6" s="727"/>
      <c r="AH6" s="19">
        <f>SUM(AG5:AH5)+1</f>
        <v>1</v>
      </c>
      <c r="AK6" s="19">
        <f>SUM(AG5:AK5)+1</f>
        <v>1</v>
      </c>
      <c r="AL6" s="19">
        <f>SUM(AG5:AL5)+1</f>
        <v>1</v>
      </c>
      <c r="BL6" s="10" t="b">
        <f>ISBLANK(WebCntrl7)</f>
        <v>0</v>
      </c>
      <c r="BM6" s="333"/>
      <c r="BN6" s="333"/>
      <c r="BO6" s="333"/>
      <c r="BP6" s="333"/>
      <c r="BQ6" s="333"/>
      <c r="BR6" s="333"/>
      <c r="BS6" s="333"/>
      <c r="BT6" s="333"/>
      <c r="BU6" s="333"/>
      <c r="BV6" s="333"/>
      <c r="BW6" s="333"/>
      <c r="BX6" s="333"/>
      <c r="BY6" s="333"/>
      <c r="BZ6" s="333"/>
      <c r="CA6" s="333"/>
      <c r="CB6" s="1007"/>
      <c r="CC6" s="1007"/>
      <c r="CD6" s="1007"/>
      <c r="CE6" s="1007"/>
      <c r="CF6" s="1007"/>
      <c r="CG6" s="1007"/>
      <c r="CH6" s="1007"/>
      <c r="CI6" s="1007"/>
      <c r="CJ6" s="1007"/>
      <c r="CK6" s="1007"/>
      <c r="CL6" s="1007"/>
      <c r="CM6" s="1007"/>
      <c r="CN6" s="336"/>
      <c r="CO6" s="974"/>
      <c r="CP6" s="974"/>
      <c r="CS6" s="277">
        <f>BV16</f>
        <v>10</v>
      </c>
      <c r="CT6" s="277">
        <f ca="1">BW16</f>
        <v>3.252613863945212</v>
      </c>
    </row>
    <row r="7" spans="1:98" ht="15.75" customHeight="1">
      <c r="A7">
        <v>6</v>
      </c>
      <c r="B7" t="s">
        <v>36</v>
      </c>
      <c r="C7" s="142">
        <f>Cntrl3-1</f>
        <v>1</v>
      </c>
      <c r="D7" s="559">
        <f>AO2</f>
        <v>3</v>
      </c>
      <c r="E7" s="172" t="str">
        <f t="shared" si="3"/>
        <v>001</v>
      </c>
      <c r="F7" s="555" t="str">
        <f t="shared" si="4"/>
        <v/>
      </c>
      <c r="G7" s="172" t="str">
        <f t="shared" si="5"/>
        <v/>
      </c>
      <c r="H7" t="str">
        <f t="shared" si="6"/>
        <v/>
      </c>
      <c r="I7" s="552" t="str" cm="1">
        <f t="array" ref="I7">IF(H7&lt;&gt;"",INDEX($B$2:$B$66,H7+1),"")</f>
        <v/>
      </c>
      <c r="J7" s="554">
        <f t="shared" si="0"/>
        <v>3</v>
      </c>
      <c r="K7" t="str">
        <f t="shared" si="7"/>
        <v/>
      </c>
      <c r="L7" s="2" t="str">
        <f t="shared" si="8"/>
        <v/>
      </c>
      <c r="M7" t="str">
        <f t="shared" si="9"/>
        <v/>
      </c>
      <c r="N7" s="2" t="str">
        <f t="shared" si="10"/>
        <v/>
      </c>
      <c r="O7" s="172" t="str">
        <f t="shared" si="1"/>
        <v/>
      </c>
      <c r="P7" s="177" t="str">
        <f t="shared" si="11"/>
        <v>0010000</v>
      </c>
      <c r="Q7" s="172" t="str">
        <f t="shared" si="2"/>
        <v>001</v>
      </c>
      <c r="R7" s="553">
        <f t="shared" si="12"/>
        <v>1</v>
      </c>
      <c r="S7" s="142" t="s">
        <v>67</v>
      </c>
      <c r="T7" s="172"/>
      <c r="U7" s="2">
        <v>250</v>
      </c>
      <c r="V7" s="611">
        <v>-0.12494212962963179</v>
      </c>
      <c r="W7" s="176">
        <v>0.35518849206349912</v>
      </c>
      <c r="X7" s="176">
        <v>4.6227843915336714E-2</v>
      </c>
      <c r="Y7" s="176">
        <v>0.38106833333333562</v>
      </c>
      <c r="Z7" s="176">
        <v>3.1783056057922216E-4</v>
      </c>
      <c r="AA7" s="176">
        <v>-5.2352230315837961E-3</v>
      </c>
      <c r="AB7" s="176">
        <v>0.34694217659198739</v>
      </c>
      <c r="AC7" s="612">
        <v>0.31197240939383131</v>
      </c>
      <c r="AD7" s="953"/>
      <c r="AE7" s="671"/>
      <c r="AF7" s="7"/>
      <c r="AG7" s="671"/>
      <c r="AI7" s="7"/>
      <c r="AL7" s="953"/>
      <c r="BL7" s="10" t="b">
        <f>ISBLANK(WebCntrl3)</f>
        <v>0</v>
      </c>
      <c r="BM7" s="333"/>
      <c r="BN7" s="1142" t="s">
        <v>1012</v>
      </c>
      <c r="BO7" s="1142"/>
      <c r="BP7" s="1143"/>
      <c r="BQ7" s="337">
        <v>1</v>
      </c>
      <c r="BR7" s="1154" t="str">
        <f>IF(ISBLANK(WebCntrl3),"",AP15)</f>
        <v>none</v>
      </c>
      <c r="BS7" s="1154"/>
      <c r="BT7" s="1154"/>
      <c r="BU7" s="1154"/>
      <c r="BV7" s="333"/>
      <c r="BW7" s="1226" t="s">
        <v>1013</v>
      </c>
      <c r="BX7" s="1227"/>
      <c r="BY7" s="1214">
        <f ca="1">IF(BL1,"",AG1)</f>
        <v>1.0015778534598689</v>
      </c>
      <c r="BZ7" s="1215"/>
      <c r="CA7" s="333"/>
      <c r="CB7" s="1007"/>
      <c r="CC7" s="1007"/>
      <c r="CD7" s="1007"/>
      <c r="CE7" s="1007"/>
      <c r="CF7" s="1007"/>
      <c r="CG7" s="1007"/>
      <c r="CH7" s="1007"/>
      <c r="CI7" s="1007"/>
      <c r="CJ7" s="1007"/>
      <c r="CK7" s="1007"/>
      <c r="CL7" s="1007"/>
      <c r="CM7" s="1007"/>
      <c r="CN7" s="336"/>
      <c r="CO7" s="974"/>
      <c r="CP7" s="974"/>
      <c r="CS7" s="277">
        <f t="shared" ref="CS7:CT33" si="13">BV17</f>
        <v>9.5</v>
      </c>
      <c r="CT7" s="277">
        <f t="shared" ca="1" si="13"/>
        <v>3.0994569155055993</v>
      </c>
    </row>
    <row r="8" spans="1:98">
      <c r="A8">
        <v>7</v>
      </c>
      <c r="B8" t="s">
        <v>43</v>
      </c>
      <c r="C8" s="142"/>
      <c r="D8" s="559"/>
      <c r="E8" s="172" t="str">
        <f t="shared" si="3"/>
        <v/>
      </c>
      <c r="F8" s="555" t="str">
        <f t="shared" si="4"/>
        <v/>
      </c>
      <c r="G8" s="172" t="str">
        <f t="shared" si="5"/>
        <v/>
      </c>
      <c r="H8" t="str">
        <f t="shared" si="6"/>
        <v/>
      </c>
      <c r="I8" s="552" t="str" cm="1">
        <f t="array" ref="I8">IF(H8&lt;&gt;"",INDEX($B$2:$B$66,H8+1),"")</f>
        <v/>
      </c>
      <c r="J8" s="554" t="str">
        <f t="shared" si="0"/>
        <v/>
      </c>
      <c r="K8" t="str">
        <f t="shared" si="7"/>
        <v/>
      </c>
      <c r="L8" s="2" t="str">
        <f t="shared" si="8"/>
        <v/>
      </c>
      <c r="M8" t="str">
        <f t="shared" si="9"/>
        <v/>
      </c>
      <c r="N8" s="2" t="str">
        <f t="shared" si="10"/>
        <v/>
      </c>
      <c r="O8" s="172" t="str">
        <f t="shared" si="1"/>
        <v/>
      </c>
      <c r="P8" s="177" t="str">
        <f t="shared" si="11"/>
        <v/>
      </c>
      <c r="Q8" s="172" t="str">
        <f t="shared" si="2"/>
        <v/>
      </c>
      <c r="R8" s="553" t="str">
        <f t="shared" si="12"/>
        <v/>
      </c>
      <c r="S8" s="142"/>
      <c r="T8" s="172"/>
      <c r="U8" s="2">
        <v>300</v>
      </c>
      <c r="V8" s="613">
        <v>-0.16574074074074199</v>
      </c>
      <c r="W8" s="614">
        <v>0.4562301587301627</v>
      </c>
      <c r="X8" s="614">
        <v>-3.3306878306919871E-3</v>
      </c>
      <c r="Y8" s="614">
        <v>0.39403619047619209</v>
      </c>
      <c r="Z8" s="614">
        <v>3.3155506875806037E-4</v>
      </c>
      <c r="AA8" s="614">
        <v>-5.4534452154310293E-3</v>
      </c>
      <c r="AB8" s="614">
        <v>0.3549999068363075</v>
      </c>
      <c r="AC8" s="615">
        <v>0.32468816639703829</v>
      </c>
      <c r="AG8" s="3">
        <f>AL6</f>
        <v>1</v>
      </c>
      <c r="AH8" s="153" t="str" cm="1">
        <f t="array" ref="AH8">TEXT(INDEX(AG12:AG43,AG8),"")</f>
        <v>f</v>
      </c>
      <c r="AI8" s="1224" t="str" cm="1">
        <f t="array" ref="AI8">INDEX(AH12:AH43,AG8)</f>
        <v>Std, non-mv, no insulation</v>
      </c>
      <c r="AJ8" s="1224"/>
      <c r="AK8" s="1224"/>
      <c r="AL8" s="1224"/>
      <c r="AM8" s="1224"/>
      <c r="AX8" s="19" t="s">
        <v>1018</v>
      </c>
      <c r="AY8" s="9">
        <v>90</v>
      </c>
      <c r="BM8" s="333"/>
      <c r="BN8" s="333"/>
      <c r="BO8" s="333"/>
      <c r="BP8" s="333"/>
      <c r="BQ8" s="333"/>
      <c r="BR8" s="333"/>
      <c r="BS8" s="333"/>
      <c r="BT8" s="333"/>
      <c r="BU8" s="333"/>
      <c r="BV8" s="333"/>
      <c r="BW8" s="1226"/>
      <c r="BX8" s="1227"/>
      <c r="BY8" s="1216"/>
      <c r="BZ8" s="1217"/>
      <c r="CA8" s="333"/>
      <c r="CB8" s="1007"/>
      <c r="CC8" s="1007"/>
      <c r="CD8" s="1007"/>
      <c r="CE8" s="1007"/>
      <c r="CF8" s="1007"/>
      <c r="CG8" s="1007"/>
      <c r="CH8" s="1007"/>
      <c r="CI8" s="1007"/>
      <c r="CJ8" s="1007"/>
      <c r="CK8" s="1007"/>
      <c r="CL8" s="1007"/>
      <c r="CM8" s="1007"/>
      <c r="CN8" s="336"/>
      <c r="CO8" s="974"/>
      <c r="CP8" s="974"/>
      <c r="CS8" s="277">
        <f t="shared" si="13"/>
        <v>9</v>
      </c>
      <c r="CT8" s="277">
        <f t="shared" ca="1" si="13"/>
        <v>2.9479059188565229</v>
      </c>
    </row>
    <row r="9" spans="1:98">
      <c r="A9">
        <v>8</v>
      </c>
      <c r="B9" t="s">
        <v>47</v>
      </c>
      <c r="C9" s="142"/>
      <c r="D9" s="559"/>
      <c r="E9" s="172" t="str">
        <f t="shared" si="3"/>
        <v/>
      </c>
      <c r="F9" s="555" t="str">
        <f t="shared" si="4"/>
        <v/>
      </c>
      <c r="G9" s="172" t="str">
        <f t="shared" si="5"/>
        <v/>
      </c>
      <c r="H9" t="str">
        <f t="shared" si="6"/>
        <v/>
      </c>
      <c r="I9" s="552" t="str" cm="1">
        <f t="array" ref="I9">IF(H9&lt;&gt;"",INDEX($B$2:$B$66,H9+1),"")</f>
        <v/>
      </c>
      <c r="J9" s="554" t="str">
        <f t="shared" si="0"/>
        <v/>
      </c>
      <c r="K9" t="str">
        <f t="shared" si="7"/>
        <v/>
      </c>
      <c r="L9" s="2" t="str">
        <f t="shared" si="8"/>
        <v/>
      </c>
      <c r="M9" t="str">
        <f t="shared" si="9"/>
        <v/>
      </c>
      <c r="N9" s="2" t="str">
        <f t="shared" si="10"/>
        <v/>
      </c>
      <c r="O9" s="172" t="str">
        <f t="shared" si="1"/>
        <v/>
      </c>
      <c r="P9" s="177" t="str">
        <f t="shared" si="11"/>
        <v/>
      </c>
      <c r="Q9" s="172" t="str">
        <f t="shared" si="2"/>
        <v/>
      </c>
      <c r="R9" s="553" t="str">
        <f t="shared" si="12"/>
        <v/>
      </c>
      <c r="S9" s="142"/>
      <c r="T9" s="172"/>
      <c r="U9" s="2">
        <v>90</v>
      </c>
      <c r="V9" s="606">
        <v>-0.16793981481481593</v>
      </c>
      <c r="W9" s="607">
        <v>-1.646825396821753E-3</v>
      </c>
      <c r="X9" s="607">
        <v>0.99072552910052536</v>
      </c>
      <c r="Y9" s="607">
        <v>9.0068095238096557E-2</v>
      </c>
      <c r="Z9" s="607">
        <v>-3.0842024582030189E-4</v>
      </c>
      <c r="AA9" s="607">
        <v>7.879804049146729E-3</v>
      </c>
      <c r="AB9" s="607">
        <v>0.25668652528940644</v>
      </c>
      <c r="AC9" s="608">
        <v>0.54525775114717911</v>
      </c>
      <c r="AG9" s="775">
        <f>AK6</f>
        <v>1</v>
      </c>
      <c r="AH9" s="153" t="str" cm="1">
        <f t="array" ref="AH9">TEXT(INDEX(AG12:AG43,AG9),"")</f>
        <v>f</v>
      </c>
      <c r="AI9" s="1224" t="str" cm="1">
        <f t="array" ref="AI9">INDEX(AH12:AH43,AG9)</f>
        <v>Std, non-mv, no insulation</v>
      </c>
      <c r="AJ9" s="1224"/>
      <c r="AK9" s="1224"/>
      <c r="AL9" s="1224"/>
      <c r="AM9" s="1224"/>
      <c r="AX9" s="9" t="b">
        <f>NOT(_90mm)</f>
        <v>0</v>
      </c>
      <c r="AY9" s="9" t="b">
        <f>IF(Cntrl6=6,TRUE,FALSE)</f>
        <v>1</v>
      </c>
      <c r="BL9" s="10" t="b">
        <f>ISBLANK(WebCntrl4)</f>
        <v>0</v>
      </c>
      <c r="BM9" s="333"/>
      <c r="BN9" s="1230" t="s">
        <v>1019</v>
      </c>
      <c r="BO9" s="1230"/>
      <c r="BP9" s="1230"/>
      <c r="BQ9" s="337">
        <v>6</v>
      </c>
      <c r="BR9" s="1154" t="str">
        <f>IF(ISBLANK(WebCntrl4),"",BB15)</f>
        <v>Slab floor without insulation</v>
      </c>
      <c r="BS9" s="1154"/>
      <c r="BT9" s="1154"/>
      <c r="BU9" s="1154"/>
      <c r="BV9" s="333"/>
      <c r="BW9" s="1226"/>
      <c r="BX9" s="1227"/>
      <c r="BY9" s="1216"/>
      <c r="BZ9" s="1217"/>
      <c r="CA9" s="333"/>
      <c r="CB9" s="1007"/>
      <c r="CC9" s="1007"/>
      <c r="CD9" s="1007"/>
      <c r="CE9" s="1007"/>
      <c r="CF9" s="1007"/>
      <c r="CG9" s="1007"/>
      <c r="CH9" s="1007"/>
      <c r="CI9" s="1007"/>
      <c r="CJ9" s="1007"/>
      <c r="CK9" s="1007"/>
      <c r="CL9" s="1007"/>
      <c r="CM9" s="1007"/>
      <c r="CN9" s="952"/>
      <c r="CO9" s="968"/>
      <c r="CP9" s="968"/>
      <c r="CS9" s="277">
        <f t="shared" si="13"/>
        <v>8.5</v>
      </c>
      <c r="CT9" s="277">
        <f t="shared" ca="1" si="13"/>
        <v>2.7977579359811067</v>
      </c>
    </row>
    <row r="10" spans="1:98" ht="15.75" customHeight="1">
      <c r="A10">
        <v>9</v>
      </c>
      <c r="B10" t="s">
        <v>50</v>
      </c>
      <c r="C10" s="142"/>
      <c r="D10" s="559"/>
      <c r="E10" s="172" t="str">
        <f t="shared" si="3"/>
        <v/>
      </c>
      <c r="F10" s="555" t="str">
        <f t="shared" si="4"/>
        <v/>
      </c>
      <c r="G10" s="172" t="str">
        <f t="shared" si="5"/>
        <v/>
      </c>
      <c r="H10" t="str">
        <f t="shared" si="6"/>
        <v/>
      </c>
      <c r="I10" s="552" t="str" cm="1">
        <f t="array" ref="I10">IF(H10&lt;&gt;"",INDEX($B$2:$B$66,H10+1),"")</f>
        <v/>
      </c>
      <c r="J10" s="554" t="str">
        <f t="shared" si="0"/>
        <v/>
      </c>
      <c r="K10" t="str">
        <f t="shared" si="7"/>
        <v/>
      </c>
      <c r="L10" s="2" t="str">
        <f t="shared" si="8"/>
        <v/>
      </c>
      <c r="M10" t="str">
        <f t="shared" si="9"/>
        <v/>
      </c>
      <c r="N10" s="2" t="str">
        <f t="shared" si="10"/>
        <v/>
      </c>
      <c r="O10" s="172" t="str">
        <f t="shared" si="1"/>
        <v/>
      </c>
      <c r="P10" s="177" t="str">
        <f t="shared" si="11"/>
        <v/>
      </c>
      <c r="Q10" s="172" t="str">
        <f t="shared" si="2"/>
        <v/>
      </c>
      <c r="R10" s="553" t="str">
        <f t="shared" si="12"/>
        <v/>
      </c>
      <c r="S10" s="142"/>
      <c r="T10" s="172"/>
      <c r="U10" s="2">
        <v>135</v>
      </c>
      <c r="V10" s="611">
        <v>0.19328703703703973</v>
      </c>
      <c r="W10" s="176">
        <v>-1.1615079365079453</v>
      </c>
      <c r="X10" s="176">
        <v>2.1099272486772582</v>
      </c>
      <c r="Y10" s="176">
        <v>-0.16076666666667</v>
      </c>
      <c r="Z10" s="176">
        <v>-3.2082067899975164E-4</v>
      </c>
      <c r="AA10" s="176">
        <v>8.2965927597189789E-3</v>
      </c>
      <c r="AB10" s="176">
        <v>0.26307931669593704</v>
      </c>
      <c r="AC10" s="612">
        <v>0.58219679453767781</v>
      </c>
      <c r="AG10" s="10">
        <f>AH6</f>
        <v>1</v>
      </c>
      <c r="AH10" s="153" t="str" cm="1">
        <f t="array" ref="AH10">TEXT(INDEX(AG12:AG43,AG10),"")</f>
        <v>f</v>
      </c>
      <c r="AI10" s="1224" t="str" cm="1">
        <f t="array" ref="AI10">INDEX(AH12:AH43,AG10)</f>
        <v>Std, non-mv, no insulation</v>
      </c>
      <c r="AJ10" s="1224"/>
      <c r="AK10" s="1224"/>
      <c r="AL10" s="1224"/>
      <c r="AM10" s="1224"/>
      <c r="AX10" s="19" t="s">
        <v>1020</v>
      </c>
      <c r="AY10" s="8"/>
      <c r="BM10" s="333"/>
      <c r="BN10" s="1230"/>
      <c r="BO10" s="1230"/>
      <c r="BP10" s="1230"/>
      <c r="BQ10" s="333"/>
      <c r="BR10" s="333"/>
      <c r="BS10" s="333"/>
      <c r="BT10" s="333"/>
      <c r="BU10" s="333"/>
      <c r="BV10" s="333"/>
      <c r="BW10" s="656" t="s">
        <v>2193</v>
      </c>
      <c r="BX10" s="969">
        <f ca="1">IF(BL1,"",AF78)</f>
        <v>1.0015778534598689</v>
      </c>
      <c r="BY10" s="643"/>
      <c r="BZ10" s="977" t="s">
        <v>2269</v>
      </c>
      <c r="CA10" s="969">
        <f ca="1">IF(BL1,"",AE1)</f>
        <v>1.0015778534598689</v>
      </c>
      <c r="CB10" s="1007"/>
      <c r="CC10" s="1007"/>
      <c r="CD10" s="1007"/>
      <c r="CE10" s="1007"/>
      <c r="CF10" s="1007"/>
      <c r="CG10" s="1007"/>
      <c r="CH10" s="1007"/>
      <c r="CI10" s="1007"/>
      <c r="CJ10" s="1007"/>
      <c r="CK10" s="1007"/>
      <c r="CL10" s="1007"/>
      <c r="CM10" s="1007"/>
      <c r="CN10" s="952"/>
      <c r="CO10" s="968"/>
      <c r="CP10" s="968"/>
      <c r="CS10" s="277">
        <f t="shared" si="13"/>
        <v>8</v>
      </c>
      <c r="CT10" s="277">
        <f t="shared" ca="1" si="13"/>
        <v>2.648810028862473</v>
      </c>
    </row>
    <row r="11" spans="1:98" ht="15.75" customHeight="1">
      <c r="A11">
        <v>10</v>
      </c>
      <c r="B11" t="s">
        <v>56</v>
      </c>
      <c r="C11" s="142"/>
      <c r="D11" s="559"/>
      <c r="E11" s="172" t="str">
        <f t="shared" si="3"/>
        <v/>
      </c>
      <c r="F11" s="555" t="str">
        <f t="shared" si="4"/>
        <v/>
      </c>
      <c r="G11" s="172" t="str">
        <f t="shared" si="5"/>
        <v/>
      </c>
      <c r="H11" t="str">
        <f t="shared" si="6"/>
        <v/>
      </c>
      <c r="I11" s="552" t="str" cm="1">
        <f t="array" ref="I11">IF(H11&lt;&gt;"",INDEX($B$2:$B$66,H11+1),"")</f>
        <v/>
      </c>
      <c r="J11" s="554" t="str">
        <f t="shared" si="0"/>
        <v/>
      </c>
      <c r="K11" t="str">
        <f t="shared" si="7"/>
        <v/>
      </c>
      <c r="L11" s="2" t="str">
        <f t="shared" si="8"/>
        <v/>
      </c>
      <c r="M11" t="str">
        <f t="shared" si="9"/>
        <v/>
      </c>
      <c r="N11" s="2" t="str">
        <f t="shared" si="10"/>
        <v/>
      </c>
      <c r="O11" s="172" t="str">
        <f t="shared" si="1"/>
        <v/>
      </c>
      <c r="P11" s="177" t="str">
        <f t="shared" si="11"/>
        <v/>
      </c>
      <c r="Q11" s="172" t="str">
        <f t="shared" si="2"/>
        <v/>
      </c>
      <c r="R11" s="553" t="str">
        <f t="shared" si="12"/>
        <v/>
      </c>
      <c r="S11" s="142"/>
      <c r="T11" s="172" t="s">
        <v>203</v>
      </c>
      <c r="U11" s="2">
        <v>180</v>
      </c>
      <c r="V11" s="611">
        <v>0.24363425925926172</v>
      </c>
      <c r="W11" s="176">
        <v>-1.3618055555555639</v>
      </c>
      <c r="X11" s="176">
        <v>2.3210085978836075</v>
      </c>
      <c r="Y11" s="176">
        <v>-0.14617380952381287</v>
      </c>
      <c r="Z11" s="176">
        <v>-3.353391675822798E-4</v>
      </c>
      <c r="AA11" s="176">
        <v>8.7273165007213105E-3</v>
      </c>
      <c r="AB11" s="176">
        <v>0.26871664643682558</v>
      </c>
      <c r="AC11" s="612">
        <v>0.61675874403419395</v>
      </c>
      <c r="AX11" s="19">
        <f>6-Cntrl6</f>
        <v>0</v>
      </c>
      <c r="AY11" s="8"/>
      <c r="BA11" s="10" t="b">
        <f>NOT(BB14)</f>
        <v>1</v>
      </c>
      <c r="BM11" s="333"/>
      <c r="BN11" s="429"/>
      <c r="BO11" s="333"/>
      <c r="BP11" s="333"/>
      <c r="BQ11" s="333"/>
      <c r="BR11" s="333"/>
      <c r="BS11" s="333"/>
      <c r="BT11" s="333"/>
      <c r="BU11" s="333"/>
      <c r="BV11" s="333"/>
      <c r="BW11" s="970" t="s">
        <v>2268</v>
      </c>
      <c r="BX11" s="971">
        <f ca="1">IF(BL1,"",BY7-BX10)</f>
        <v>0</v>
      </c>
      <c r="BY11" s="333"/>
      <c r="BZ11" s="970" t="s">
        <v>2268</v>
      </c>
      <c r="CA11" s="973">
        <f ca="1">IF(BL1,"",BY7-CA10)</f>
        <v>0</v>
      </c>
      <c r="CB11" s="1007"/>
      <c r="CC11" s="1007"/>
      <c r="CD11" s="1007"/>
      <c r="CE11" s="1007"/>
      <c r="CF11" s="1007"/>
      <c r="CG11" s="1007"/>
      <c r="CH11" s="1007"/>
      <c r="CI11" s="1007"/>
      <c r="CJ11" s="1007"/>
      <c r="CK11" s="1007"/>
      <c r="CL11" s="1007"/>
      <c r="CM11" s="1007"/>
      <c r="CN11" s="952"/>
      <c r="CO11" s="968"/>
      <c r="CP11" s="968"/>
      <c r="CS11" s="277">
        <f t="shared" si="13"/>
        <v>7.5</v>
      </c>
      <c r="CT11" s="277">
        <f t="shared" ca="1" si="13"/>
        <v>2.5008592594837453</v>
      </c>
    </row>
    <row r="12" spans="1:98">
      <c r="A12">
        <v>11</v>
      </c>
      <c r="B12" t="s">
        <v>66</v>
      </c>
      <c r="C12" s="142"/>
      <c r="D12" s="559"/>
      <c r="E12" s="172" t="str">
        <f t="shared" si="3"/>
        <v/>
      </c>
      <c r="F12" s="555" t="str">
        <f t="shared" si="4"/>
        <v/>
      </c>
      <c r="G12" s="172" t="str">
        <f t="shared" si="5"/>
        <v/>
      </c>
      <c r="H12" t="str">
        <f t="shared" si="6"/>
        <v/>
      </c>
      <c r="I12" s="552" t="str" cm="1">
        <f t="array" ref="I12">IF(H12&lt;&gt;"",INDEX($B$2:$B$66,H12+1),"")</f>
        <v/>
      </c>
      <c r="J12" s="554" t="str">
        <f t="shared" si="0"/>
        <v/>
      </c>
      <c r="K12" t="str">
        <f>IF(LEN(K11)&gt;1,RIGHT(K11,LEN(K11)-1),"")</f>
        <v/>
      </c>
      <c r="L12" s="2" t="str">
        <f t="shared" si="8"/>
        <v/>
      </c>
      <c r="M12" t="str">
        <f t="shared" si="9"/>
        <v/>
      </c>
      <c r="N12" s="2" t="str">
        <f t="shared" si="10"/>
        <v/>
      </c>
      <c r="O12" s="172" t="str">
        <f t="shared" si="1"/>
        <v/>
      </c>
      <c r="P12" s="177" t="str">
        <f t="shared" si="11"/>
        <v/>
      </c>
      <c r="Q12" s="172" t="str">
        <f t="shared" si="2"/>
        <v/>
      </c>
      <c r="R12" s="553" t="str">
        <f t="shared" si="12"/>
        <v/>
      </c>
      <c r="S12" s="142"/>
      <c r="T12" s="172"/>
      <c r="U12" s="2">
        <v>250</v>
      </c>
      <c r="V12" s="611">
        <v>0.66493055555556368</v>
      </c>
      <c r="W12" s="176">
        <v>-2.6967261904762179</v>
      </c>
      <c r="X12" s="176">
        <v>3.602569444444474</v>
      </c>
      <c r="Y12" s="176">
        <v>-0.44470714285715296</v>
      </c>
      <c r="Z12" s="176">
        <v>-3.371625051799994E-4</v>
      </c>
      <c r="AA12" s="176">
        <v>8.9643234017915945E-3</v>
      </c>
      <c r="AB12" s="176">
        <v>0.27851409350777923</v>
      </c>
      <c r="AC12" s="612">
        <v>0.65955002324219036</v>
      </c>
      <c r="AF12">
        <v>1</v>
      </c>
      <c r="AG12" t="s">
        <v>180</v>
      </c>
      <c r="AH12" s="177" t="s">
        <v>2232</v>
      </c>
      <c r="AI12"/>
      <c r="AJ12"/>
      <c r="AK12"/>
      <c r="AL12"/>
      <c r="AO12" s="12" t="s">
        <v>1015</v>
      </c>
      <c r="AP12" s="19" t="s">
        <v>1021</v>
      </c>
      <c r="BA12" s="9">
        <f>IF(Cntrl4&gt;=7,0,Cntrl4-1)</f>
        <v>1</v>
      </c>
      <c r="BM12" s="333"/>
      <c r="BN12" s="1098" t="s">
        <v>1007</v>
      </c>
      <c r="BO12" s="1099"/>
      <c r="BP12" s="430"/>
      <c r="BQ12" s="1218" t="s">
        <v>1022</v>
      </c>
      <c r="BR12" s="1219"/>
      <c r="BS12" s="1219"/>
      <c r="BT12" s="1219"/>
      <c r="BU12" s="1219"/>
      <c r="BV12" s="1219"/>
      <c r="BW12" s="1219"/>
      <c r="BX12" s="1219"/>
      <c r="BY12" s="1219"/>
      <c r="BZ12" s="1219"/>
      <c r="CA12" s="1220"/>
      <c r="CB12" s="1007"/>
      <c r="CC12" s="1007"/>
      <c r="CD12" s="1007"/>
      <c r="CE12" s="1007"/>
      <c r="CF12" s="1007"/>
      <c r="CG12" s="1007"/>
      <c r="CH12" s="1007"/>
      <c r="CI12" s="1007"/>
      <c r="CJ12" s="1007"/>
      <c r="CK12" s="1007"/>
      <c r="CL12" s="1007"/>
      <c r="CM12" s="1007"/>
      <c r="CN12" s="952"/>
      <c r="CO12" s="968"/>
      <c r="CP12" s="968"/>
      <c r="CS12" s="277">
        <f t="shared" si="13"/>
        <v>7</v>
      </c>
      <c r="CT12" s="277">
        <f t="shared" ca="1" si="13"/>
        <v>2.3537026898280469</v>
      </c>
    </row>
    <row r="13" spans="1:98">
      <c r="A13">
        <v>12</v>
      </c>
      <c r="B13" t="s">
        <v>75</v>
      </c>
      <c r="C13" s="142"/>
      <c r="D13" s="559"/>
      <c r="E13" s="172" t="str">
        <f t="shared" si="3"/>
        <v/>
      </c>
      <c r="F13" s="555" t="str">
        <f t="shared" si="4"/>
        <v/>
      </c>
      <c r="G13" s="172" t="str">
        <f t="shared" si="5"/>
        <v/>
      </c>
      <c r="H13" t="str">
        <f t="shared" si="6"/>
        <v/>
      </c>
      <c r="I13" s="552" t="str" cm="1">
        <f t="array" ref="I13">IF(H13&lt;&gt;"",INDEX($B$2:$B$66,H13+1),"")</f>
        <v/>
      </c>
      <c r="J13" s="554" t="str">
        <f t="shared" si="0"/>
        <v/>
      </c>
      <c r="K13" t="str">
        <f t="shared" ref="K13:K27" si="14">IF(LEN(K12)&gt;1,RIGHT(K12,LEN(K12)-1),"")</f>
        <v/>
      </c>
      <c r="L13" s="2" t="str">
        <f t="shared" si="8"/>
        <v/>
      </c>
      <c r="M13" t="str">
        <f t="shared" si="9"/>
        <v/>
      </c>
      <c r="N13" s="2" t="str">
        <f t="shared" si="10"/>
        <v/>
      </c>
      <c r="O13" s="172" t="str">
        <f t="shared" si="1"/>
        <v/>
      </c>
      <c r="P13" s="177" t="str">
        <f t="shared" si="11"/>
        <v/>
      </c>
      <c r="Q13" s="172" t="str">
        <f t="shared" si="2"/>
        <v/>
      </c>
      <c r="R13" s="553" t="str">
        <f t="shared" si="12"/>
        <v/>
      </c>
      <c r="S13" s="142"/>
      <c r="T13" s="172"/>
      <c r="U13" s="2">
        <v>300</v>
      </c>
      <c r="V13" s="611">
        <v>0.59317129629630294</v>
      </c>
      <c r="W13" s="176">
        <v>-2.5054563492063715</v>
      </c>
      <c r="X13" s="176">
        <v>3.4121858465608708</v>
      </c>
      <c r="Y13" s="176">
        <v>-0.30229761904762698</v>
      </c>
      <c r="Z13" s="176">
        <v>-3.1925141472937324E-4</v>
      </c>
      <c r="AA13" s="176">
        <v>8.7148667277769636E-3</v>
      </c>
      <c r="AB13" s="176">
        <v>0.28693388095206468</v>
      </c>
      <c r="AC13" s="612">
        <v>0.67884636304182233</v>
      </c>
      <c r="AF13">
        <v>2</v>
      </c>
      <c r="AG13" t="s">
        <v>203</v>
      </c>
      <c r="AH13" s="177" t="s">
        <v>2237</v>
      </c>
      <c r="AI13"/>
      <c r="AJ13"/>
      <c r="AK13"/>
      <c r="AL13"/>
      <c r="AO13" s="12">
        <f>IF(Cntrl3&gt;=4,1,0)</f>
        <v>0</v>
      </c>
      <c r="AP13" s="19">
        <f>IF(AND(BA12,Cntrl3=5),1,0)</f>
        <v>0</v>
      </c>
      <c r="BA13" s="12" t="s">
        <v>1023</v>
      </c>
      <c r="BB13" s="18" t="s">
        <v>1024</v>
      </c>
      <c r="BM13" s="333"/>
      <c r="BN13" s="1098"/>
      <c r="BO13" s="1099"/>
      <c r="BP13" s="1213" t="s">
        <v>1025</v>
      </c>
      <c r="BQ13" s="431" t="s">
        <v>1026</v>
      </c>
      <c r="BR13" s="431" t="s">
        <v>1027</v>
      </c>
      <c r="BS13" s="431" t="s">
        <v>1028</v>
      </c>
      <c r="BT13" s="431" t="s">
        <v>1029</v>
      </c>
      <c r="BU13" s="432" t="s">
        <v>1030</v>
      </c>
      <c r="BV13" s="1212" t="s">
        <v>1025</v>
      </c>
      <c r="BW13" s="431" t="s">
        <v>1026</v>
      </c>
      <c r="BX13" s="431" t="s">
        <v>1027</v>
      </c>
      <c r="BY13" s="431" t="s">
        <v>1028</v>
      </c>
      <c r="BZ13" s="431" t="s">
        <v>1029</v>
      </c>
      <c r="CA13" s="432" t="s">
        <v>1030</v>
      </c>
      <c r="CB13" s="1007"/>
      <c r="CC13" s="1007"/>
      <c r="CD13" s="1007"/>
      <c r="CE13" s="1007"/>
      <c r="CF13" s="1007"/>
      <c r="CG13" s="1007"/>
      <c r="CH13" s="1007"/>
      <c r="CI13" s="1007"/>
      <c r="CJ13" s="1007"/>
      <c r="CK13" s="1007"/>
      <c r="CL13" s="1007"/>
      <c r="CM13" s="1007"/>
      <c r="CN13" s="952"/>
      <c r="CO13" s="968"/>
      <c r="CP13" s="968"/>
      <c r="CS13" s="277">
        <f t="shared" si="13"/>
        <v>6.5</v>
      </c>
      <c r="CT13" s="277">
        <f t="shared" ca="1" si="13"/>
        <v>2.2071373818785007</v>
      </c>
    </row>
    <row r="14" spans="1:98" ht="15.75" customHeight="1">
      <c r="A14">
        <v>13</v>
      </c>
      <c r="B14" t="s">
        <v>82</v>
      </c>
      <c r="C14" s="142"/>
      <c r="D14" s="559"/>
      <c r="E14" s="172" t="str">
        <f t="shared" si="3"/>
        <v/>
      </c>
      <c r="F14" s="555" t="str">
        <f t="shared" si="4"/>
        <v/>
      </c>
      <c r="G14" s="172" t="str">
        <f t="shared" si="5"/>
        <v/>
      </c>
      <c r="H14" t="str">
        <f t="shared" si="6"/>
        <v/>
      </c>
      <c r="I14" s="552" t="str" cm="1">
        <f t="array" ref="I14">IF(H14&lt;&gt;"",INDEX($B$2:$B$66,H14+1),"")</f>
        <v/>
      </c>
      <c r="J14" s="554" t="str">
        <f t="shared" si="0"/>
        <v/>
      </c>
      <c r="K14" t="str">
        <f t="shared" si="14"/>
        <v/>
      </c>
      <c r="L14" s="2" t="str">
        <f t="shared" si="8"/>
        <v/>
      </c>
      <c r="M14" t="str">
        <f t="shared" si="9"/>
        <v/>
      </c>
      <c r="N14" s="2" t="str">
        <f t="shared" si="10"/>
        <v/>
      </c>
      <c r="O14" s="172" t="str">
        <f t="shared" si="1"/>
        <v/>
      </c>
      <c r="P14" s="177" t="str">
        <f t="shared" si="11"/>
        <v/>
      </c>
      <c r="Q14" s="172" t="str">
        <f t="shared" si="2"/>
        <v/>
      </c>
      <c r="R14" s="553" t="str">
        <f t="shared" si="12"/>
        <v/>
      </c>
      <c r="S14" s="142"/>
      <c r="T14" s="172"/>
      <c r="U14" s="2">
        <v>90</v>
      </c>
      <c r="V14" s="606">
        <v>0.26215277777777857</v>
      </c>
      <c r="W14" s="607">
        <v>-0.93363095238095539</v>
      </c>
      <c r="X14" s="607">
        <v>1.5817757936507977</v>
      </c>
      <c r="Y14" s="607">
        <v>-8.0307142857144354E-2</v>
      </c>
      <c r="Z14" s="607">
        <v>1.0111521945252201E-3</v>
      </c>
      <c r="AA14" s="607">
        <v>-1.9934793355707362E-2</v>
      </c>
      <c r="AB14" s="607">
        <v>0.46833471320546405</v>
      </c>
      <c r="AC14" s="608">
        <v>0.44269330021809816</v>
      </c>
      <c r="AF14">
        <v>3</v>
      </c>
      <c r="AG14" t="s">
        <v>225</v>
      </c>
      <c r="AH14" s="177" t="s">
        <v>2241</v>
      </c>
      <c r="AI14"/>
      <c r="AJ14"/>
      <c r="AK14"/>
      <c r="AL14"/>
      <c r="AN14" s="12">
        <f>IF(Cntrl3&gt;=3,1,0)</f>
        <v>0</v>
      </c>
      <c r="AO14" s="635">
        <v>3</v>
      </c>
      <c r="AR14" s="635">
        <v>2</v>
      </c>
      <c r="AS14" s="12">
        <f>IF(AR15=3,1,0)</f>
        <v>0</v>
      </c>
      <c r="AU14" s="635">
        <v>1</v>
      </c>
      <c r="AV14" s="12">
        <f>AU15-2</f>
        <v>0</v>
      </c>
      <c r="AW14" s="7"/>
      <c r="AX14" s="635">
        <v>6</v>
      </c>
      <c r="AY14" s="12">
        <f>VALUE(LEFT(AY15,3))</f>
        <v>90</v>
      </c>
      <c r="BA14" s="635">
        <v>4</v>
      </c>
      <c r="BB14" s="10" t="b">
        <f>NOT(BA12)</f>
        <v>0</v>
      </c>
      <c r="BC14" s="13"/>
      <c r="BD14" s="635">
        <v>7</v>
      </c>
      <c r="BE14" s="13"/>
      <c r="BF14" s="7"/>
      <c r="BG14" s="635">
        <v>5</v>
      </c>
      <c r="BH14" s="12">
        <f>VALUE(BH15)</f>
        <v>0</v>
      </c>
      <c r="BI14" s="13"/>
      <c r="BJ14" s="635">
        <v>8</v>
      </c>
      <c r="BK14" s="13"/>
      <c r="BL14" s="13"/>
      <c r="BM14" s="333"/>
      <c r="BN14" s="1098"/>
      <c r="BO14" s="1099"/>
      <c r="BP14" s="1213"/>
      <c r="BQ14" s="433" t="s">
        <v>1031</v>
      </c>
      <c r="BR14" s="433" t="s">
        <v>1032</v>
      </c>
      <c r="BS14" s="433" t="s">
        <v>1033</v>
      </c>
      <c r="BT14" s="433" t="s">
        <v>1034</v>
      </c>
      <c r="BU14" s="433" t="s">
        <v>1035</v>
      </c>
      <c r="BV14" s="1213"/>
      <c r="BW14" s="434" t="s">
        <v>1031</v>
      </c>
      <c r="BX14" s="433" t="s">
        <v>1032</v>
      </c>
      <c r="BY14" s="433" t="s">
        <v>1033</v>
      </c>
      <c r="BZ14" s="433" t="s">
        <v>1034</v>
      </c>
      <c r="CA14" s="434" t="s">
        <v>1035</v>
      </c>
      <c r="CB14" s="976" t="str">
        <f>IF(BL1,"",IF(Cntrl3&gt;=4,"Including insulation under perimeter foundations requires specific engineering design",""))</f>
        <v/>
      </c>
      <c r="CC14" s="333"/>
      <c r="CD14" s="333"/>
      <c r="CE14" s="333"/>
      <c r="CF14" s="333"/>
      <c r="CG14" s="333"/>
      <c r="CH14" s="333"/>
      <c r="CI14" s="333"/>
      <c r="CJ14" s="333"/>
      <c r="CK14" s="333"/>
      <c r="CL14" s="333"/>
      <c r="CM14" s="333"/>
      <c r="CN14" s="952"/>
      <c r="CO14" s="968"/>
      <c r="CP14" s="968"/>
      <c r="CS14" s="277">
        <f t="shared" si="13"/>
        <v>6</v>
      </c>
      <c r="CT14" s="277">
        <f t="shared" ca="1" si="13"/>
        <v>2.06096039761823</v>
      </c>
    </row>
    <row r="15" spans="1:98">
      <c r="A15">
        <v>14</v>
      </c>
      <c r="B15" t="s">
        <v>88</v>
      </c>
      <c r="C15" s="142"/>
      <c r="D15" s="559"/>
      <c r="E15" s="172" t="str">
        <f t="shared" si="3"/>
        <v/>
      </c>
      <c r="F15" s="555" t="str">
        <f>IF(LEN(F14)&gt;=6,RIGHT(F14,LEN(F14)-6),"")</f>
        <v/>
      </c>
      <c r="G15" s="172" t="str">
        <f t="shared" si="5"/>
        <v/>
      </c>
      <c r="H15" t="str">
        <f t="shared" si="6"/>
        <v/>
      </c>
      <c r="I15" s="552" t="str" cm="1">
        <f t="array" ref="I15">IF(H15&lt;&gt;"",INDEX($B$2:$B$66,H15+1),"")</f>
        <v/>
      </c>
      <c r="J15" s="554" t="str">
        <f t="shared" si="0"/>
        <v/>
      </c>
      <c r="K15" t="str">
        <f t="shared" si="14"/>
        <v/>
      </c>
      <c r="L15" s="2" t="str">
        <f t="shared" si="8"/>
        <v/>
      </c>
      <c r="M15" t="str">
        <f t="shared" si="9"/>
        <v/>
      </c>
      <c r="N15" s="2" t="str">
        <f t="shared" si="10"/>
        <v/>
      </c>
      <c r="O15" s="172" t="str">
        <f t="shared" si="1"/>
        <v/>
      </c>
      <c r="P15" s="177" t="str">
        <f t="shared" si="11"/>
        <v/>
      </c>
      <c r="Q15" s="172" t="str">
        <f t="shared" si="2"/>
        <v/>
      </c>
      <c r="R15" s="553" t="str">
        <f t="shared" si="12"/>
        <v/>
      </c>
      <c r="S15" s="142"/>
      <c r="T15" s="172"/>
      <c r="U15" s="2">
        <v>135</v>
      </c>
      <c r="V15" s="611">
        <v>0.19791666666666746</v>
      </c>
      <c r="W15" s="176">
        <v>-0.75535714285714617</v>
      </c>
      <c r="X15" s="176">
        <v>1.4420833333333378</v>
      </c>
      <c r="Y15" s="176">
        <v>3.2557142857141452E-2</v>
      </c>
      <c r="Z15" s="176">
        <v>1.043024421099946E-3</v>
      </c>
      <c r="AA15" s="176">
        <v>-2.0347231027914352E-2</v>
      </c>
      <c r="AB15" s="176">
        <v>0.4808449844481944</v>
      </c>
      <c r="AC15" s="612">
        <v>0.50698522688223879</v>
      </c>
      <c r="AF15">
        <v>4</v>
      </c>
      <c r="AG15" t="s">
        <v>211</v>
      </c>
      <c r="AH15" s="177" t="s">
        <v>2239</v>
      </c>
      <c r="AI15"/>
      <c r="AJ15"/>
      <c r="AK15"/>
      <c r="AL15"/>
      <c r="AN15" s="56">
        <f>IF(WebCntrl3="",1,MIN(5,MAX(2,WebCntrl3+2)))</f>
        <v>3</v>
      </c>
      <c r="AO15" s="14">
        <v>2</v>
      </c>
      <c r="AP15" s="42" t="str" cm="1">
        <f t="array" ref="AP15">INDEX(AP16:AP21,AO15)</f>
        <v>none</v>
      </c>
      <c r="AQ15" s="56">
        <f>IF(WebCntrl2="",1,MIN(3,MAX(2,WebCntrl2+2)))</f>
        <v>2</v>
      </c>
      <c r="AR15" s="14">
        <v>2</v>
      </c>
      <c r="AS15" s="42" t="str" cm="1">
        <f t="array" ref="AS15">INDEX(AS16:AS18,AR15)</f>
        <v>none</v>
      </c>
      <c r="AT15" s="192">
        <f>IF(WebCntrl1="",1,MIN(3,MAX(2,WebCntrl1+1)))</f>
        <v>2</v>
      </c>
      <c r="AU15" s="14">
        <v>2</v>
      </c>
      <c r="AV15" s="42" t="str" cm="1">
        <f t="array" ref="AV15">INDEX(AV16:AV18,AU15)</f>
        <v>other than masonry veneer</v>
      </c>
      <c r="AW15" s="56">
        <f>IF(WebCntrl6="",1,MIN(6,MAX(2,WebCntrl6+1)))</f>
        <v>6</v>
      </c>
      <c r="AX15" s="39">
        <v>6</v>
      </c>
      <c r="AY15" s="33" t="str" cm="1">
        <f t="array" ref="AY15">INDEX(AY16:AY21,AX15)</f>
        <v>90 +</v>
      </c>
      <c r="AZ15" s="192">
        <f>IF(WebCntrl4="",1,MIN(9,MAX(2,WebCntrl4+1)))</f>
        <v>7</v>
      </c>
      <c r="BA15" s="39">
        <v>2</v>
      </c>
      <c r="BB15" s="42" t="str" cm="1">
        <f t="array" ref="BB15">INDEX(BB16:BB24,BA15)</f>
        <v>Slab floor without insulation</v>
      </c>
      <c r="BC15" s="296">
        <f>IF(WebCntrl7="",1,MIN(56,MAX(2,IF(WebCntrl7&lt;=5,62-10*WebCntrl7,22-WebCntrl7/0.5))))</f>
        <v>42</v>
      </c>
      <c r="BD15" s="108" t="s">
        <v>258</v>
      </c>
      <c r="BE15" s="17" cm="1">
        <f t="array" ref="BE15">INDEX(BE16:BE71,BD15)</f>
        <v>2.4</v>
      </c>
      <c r="BF15" s="274">
        <f>IF(WebCntrl5="",1,MIN(50,MAX(1,51-100*WebCntrl5)))</f>
        <v>50</v>
      </c>
      <c r="BG15" s="14" t="s">
        <v>310</v>
      </c>
      <c r="BH15" s="33" t="str" cm="1">
        <f t="array" ref="BH15">INDEX(BH16:BH66,BG15)</f>
        <v>0 %</v>
      </c>
      <c r="BI15" s="192">
        <f>IF(WebCntrl8="",1,MIN(56,MAX(1,61-10*WebCntrl8)))</f>
        <v>46</v>
      </c>
      <c r="BJ15" s="108" t="s">
        <v>310</v>
      </c>
      <c r="BK15" s="487" t="str" cm="1">
        <f t="array" ref="BK15">INDEX(BK16:BK71,BJ15)</f>
        <v>1.0</v>
      </c>
      <c r="BL15" s="631"/>
      <c r="BM15" s="333"/>
      <c r="BN15" s="1098"/>
      <c r="BO15" s="1099"/>
      <c r="BP15" s="1213"/>
      <c r="BQ15" s="435" t="s">
        <v>1038</v>
      </c>
      <c r="BR15" s="435" t="s">
        <v>1039</v>
      </c>
      <c r="BS15" s="435" t="s">
        <v>1040</v>
      </c>
      <c r="BT15" s="435" t="s">
        <v>1041</v>
      </c>
      <c r="BU15" s="342"/>
      <c r="BV15" s="1213"/>
      <c r="BW15" s="436" t="s">
        <v>1038</v>
      </c>
      <c r="BX15" s="435" t="s">
        <v>1039</v>
      </c>
      <c r="BY15" s="435" t="s">
        <v>1040</v>
      </c>
      <c r="BZ15" s="435" t="s">
        <v>1041</v>
      </c>
      <c r="CA15" s="437"/>
      <c r="CB15" s="976" t="str">
        <f>IF(BL1,"",IF(Cntrl4&gt;=8,"Including insulation under foundation ribs requires specific engineering design",""))</f>
        <v/>
      </c>
      <c r="CC15" s="333"/>
      <c r="CD15" s="333"/>
      <c r="CE15" s="333"/>
      <c r="CF15" s="333"/>
      <c r="CG15" s="333"/>
      <c r="CH15" s="333"/>
      <c r="CI15" s="333"/>
      <c r="CJ15" s="333"/>
      <c r="CK15" s="333"/>
      <c r="CL15" s="333"/>
      <c r="CM15" s="333"/>
      <c r="CN15" s="952"/>
      <c r="CO15" s="968"/>
      <c r="CP15" s="968"/>
      <c r="CS15" s="277">
        <f t="shared" si="13"/>
        <v>5.5</v>
      </c>
      <c r="CT15" s="277">
        <f t="shared" ca="1" si="13"/>
        <v>1.9149687990303583</v>
      </c>
    </row>
    <row r="16" spans="1:98">
      <c r="A16">
        <v>15</v>
      </c>
      <c r="B16" t="s">
        <v>96</v>
      </c>
      <c r="C16" s="142"/>
      <c r="D16" s="559"/>
      <c r="E16" s="172" t="str">
        <f t="shared" si="3"/>
        <v/>
      </c>
      <c r="F16" s="555" t="str">
        <f t="shared" ref="F16:F27" si="15">IF(LEN(F15)&gt;=6,RIGHT(F15,LEN(F15)-6),"")</f>
        <v/>
      </c>
      <c r="G16" s="172" t="str">
        <f t="shared" si="5"/>
        <v/>
      </c>
      <c r="H16" t="str">
        <f t="shared" si="6"/>
        <v/>
      </c>
      <c r="I16" s="552" t="str" cm="1">
        <f t="array" ref="I16">IF(H16&lt;&gt;"",INDEX($B$2:$B$66,H16+1),"")</f>
        <v/>
      </c>
      <c r="J16" s="554" t="str">
        <f t="shared" si="0"/>
        <v/>
      </c>
      <c r="K16" t="str">
        <f t="shared" si="14"/>
        <v/>
      </c>
      <c r="L16" s="2" t="str">
        <f t="shared" si="8"/>
        <v/>
      </c>
      <c r="M16" t="str">
        <f t="shared" si="9"/>
        <v/>
      </c>
      <c r="N16" s="2" t="str">
        <f t="shared" si="10"/>
        <v/>
      </c>
      <c r="O16" s="172" t="str">
        <f t="shared" si="1"/>
        <v/>
      </c>
      <c r="P16" s="177" t="str">
        <f t="shared" si="11"/>
        <v/>
      </c>
      <c r="Q16" s="172" t="str">
        <f t="shared" si="2"/>
        <v/>
      </c>
      <c r="R16" s="553" t="str">
        <f t="shared" si="12"/>
        <v/>
      </c>
      <c r="S16" s="142"/>
      <c r="T16" s="172" t="s">
        <v>225</v>
      </c>
      <c r="U16" s="2">
        <v>180</v>
      </c>
      <c r="V16" s="611">
        <v>5.96064814814816E-2</v>
      </c>
      <c r="W16" s="176">
        <v>-0.34335317460317549</v>
      </c>
      <c r="X16" s="176">
        <v>1.0843220899470916</v>
      </c>
      <c r="Y16" s="176">
        <v>0.20052619047619</v>
      </c>
      <c r="Z16" s="176">
        <v>1.0631945160474389E-3</v>
      </c>
      <c r="AA16" s="176">
        <v>-2.0509131908018827E-2</v>
      </c>
      <c r="AB16" s="176">
        <v>0.49068665076662388</v>
      </c>
      <c r="AC16" s="612">
        <v>0.57417763318965809</v>
      </c>
      <c r="AF16">
        <v>5</v>
      </c>
      <c r="AG16" t="s">
        <v>236</v>
      </c>
      <c r="AH16" s="177" t="s">
        <v>2243</v>
      </c>
      <c r="AI16"/>
      <c r="AJ16"/>
      <c r="AK16"/>
      <c r="AL16"/>
      <c r="AN16" s="7"/>
      <c r="AO16" s="12">
        <v>1</v>
      </c>
      <c r="AP16" s="634"/>
      <c r="AR16" s="12">
        <v>1</v>
      </c>
      <c r="AS16" s="634"/>
      <c r="AU16" s="12">
        <v>1</v>
      </c>
      <c r="AV16" s="634"/>
      <c r="AW16" s="7"/>
      <c r="AX16" s="12">
        <v>1</v>
      </c>
      <c r="AY16" s="634"/>
      <c r="BA16" s="12">
        <v>1</v>
      </c>
      <c r="BB16" s="634"/>
      <c r="BC16" s="634"/>
      <c r="BD16" s="12" t="s">
        <v>49</v>
      </c>
      <c r="BE16" s="634"/>
      <c r="BF16" s="634"/>
      <c r="BG16" s="12" t="s">
        <v>49</v>
      </c>
      <c r="BH16" s="109" t="s">
        <v>1043</v>
      </c>
      <c r="BJ16" s="12" t="s">
        <v>49</v>
      </c>
      <c r="BK16" s="262" t="s">
        <v>224</v>
      </c>
      <c r="BL16" s="13"/>
      <c r="BM16" s="333"/>
      <c r="BN16" s="340">
        <v>1.5</v>
      </c>
      <c r="BO16" s="470" t="str">
        <f>BK15</f>
        <v>1.0</v>
      </c>
      <c r="BP16" s="438">
        <v>3.3</v>
      </c>
      <c r="BQ16" s="716">
        <f ca="1">IF($BL$1,"",AQ55)</f>
        <v>1.2696648859320916</v>
      </c>
      <c r="BR16" s="717">
        <f t="shared" ref="BR16:BR43" ca="1" si="16">IF($BL$1,"",AR55)</f>
        <v>1.3137156418086857</v>
      </c>
      <c r="BS16" s="717">
        <f t="shared" ref="BS16:BS43" ca="1" si="17">IF($BL$1,"",AS55)</f>
        <v>1.3541245960750186</v>
      </c>
      <c r="BT16" s="717">
        <f t="shared" ref="BT16:BT43" ca="1" si="18">IF($BL$1,"",AT55)</f>
        <v>1.4112918901889775</v>
      </c>
      <c r="BU16" s="718">
        <f t="shared" ref="BU16:BU43" ca="1" si="19">IF($BL$1,"",AU55)</f>
        <v>1.4487149350667674</v>
      </c>
      <c r="BV16" s="972">
        <v>10</v>
      </c>
      <c r="BW16" s="716">
        <f t="shared" ref="BW16:BW43" ca="1" si="20">IF($BL$1,"",AQ28)</f>
        <v>3.252613863945212</v>
      </c>
      <c r="BX16" s="717">
        <f t="shared" ref="BX16:BX43" ca="1" si="21">IF($BL$1,"",AR28)</f>
        <v>3.3532898742735058</v>
      </c>
      <c r="BY16" s="717">
        <f t="shared" ref="BY16:BY43" ca="1" si="22">IF($BL$1,"",AS28)</f>
        <v>3.4454909776977862</v>
      </c>
      <c r="BZ16" s="717">
        <f t="shared" ref="BZ16:BZ43" ca="1" si="23">IF($BL$1,"",AT28)</f>
        <v>3.5757024327345475</v>
      </c>
      <c r="CA16" s="718">
        <f t="shared" ref="CA16:CA43" ca="1" si="24">IF($BL$1,"",AU28)</f>
        <v>3.6608977819750708</v>
      </c>
      <c r="CB16" s="976" t="str">
        <f>IF(BL1,"",IF(OR(Cntrl3&gt;=4,Cntrl4&gt;=8),"The SED needs to consider both compressive strength and thickness creep in the foam",""))</f>
        <v/>
      </c>
      <c r="CC16" s="333"/>
      <c r="CD16" s="333"/>
      <c r="CE16" s="333"/>
      <c r="CF16" s="333"/>
      <c r="CG16" s="333"/>
      <c r="CH16" s="333"/>
      <c r="CI16" s="333"/>
      <c r="CJ16" s="333"/>
      <c r="CK16" s="333"/>
      <c r="CL16" s="333"/>
      <c r="CM16" s="333"/>
      <c r="CN16" s="952"/>
      <c r="CO16" s="968"/>
      <c r="CP16" s="968"/>
      <c r="CS16" s="277">
        <f t="shared" si="13"/>
        <v>5</v>
      </c>
      <c r="CT16" s="277">
        <f t="shared" ca="1" si="13"/>
        <v>1.7689596480980081</v>
      </c>
    </row>
    <row r="17" spans="1:98">
      <c r="A17">
        <v>16</v>
      </c>
      <c r="B17" t="s">
        <v>103</v>
      </c>
      <c r="C17" s="142"/>
      <c r="D17" s="559"/>
      <c r="E17" s="172" t="str">
        <f t="shared" si="3"/>
        <v/>
      </c>
      <c r="F17" s="555" t="str">
        <f t="shared" si="15"/>
        <v/>
      </c>
      <c r="G17" s="172" t="str">
        <f t="shared" si="5"/>
        <v/>
      </c>
      <c r="H17" t="str">
        <f t="shared" si="6"/>
        <v/>
      </c>
      <c r="I17" s="552" t="str" cm="1">
        <f t="array" ref="I17">IF(H17&lt;&gt;"",INDEX($B$2:$B$66,H17+1),"")</f>
        <v/>
      </c>
      <c r="J17" s="554" t="str">
        <f t="shared" si="0"/>
        <v/>
      </c>
      <c r="K17" t="str">
        <f t="shared" si="14"/>
        <v/>
      </c>
      <c r="L17" s="2" t="str">
        <f t="shared" si="8"/>
        <v/>
      </c>
      <c r="M17" t="str">
        <f t="shared" si="9"/>
        <v/>
      </c>
      <c r="N17" s="2" t="str">
        <f t="shared" si="10"/>
        <v/>
      </c>
      <c r="O17" s="172" t="str">
        <f t="shared" si="1"/>
        <v/>
      </c>
      <c r="P17" s="177" t="str">
        <f t="shared" si="11"/>
        <v/>
      </c>
      <c r="Q17" s="172" t="str">
        <f t="shared" si="2"/>
        <v/>
      </c>
      <c r="R17" s="553" t="str">
        <f t="shared" si="12"/>
        <v/>
      </c>
      <c r="S17" s="142"/>
      <c r="T17" s="172"/>
      <c r="U17" s="2">
        <v>250</v>
      </c>
      <c r="V17" s="611">
        <v>0.15856481481481563</v>
      </c>
      <c r="W17" s="176">
        <v>-0.64067460317460634</v>
      </c>
      <c r="X17" s="176">
        <v>1.3857208994709036</v>
      </c>
      <c r="Y17" s="176">
        <v>0.19380476190476054</v>
      </c>
      <c r="Z17" s="176">
        <v>1.0710052912994298E-3</v>
      </c>
      <c r="AA17" s="176">
        <v>-2.0257677499706014E-2</v>
      </c>
      <c r="AB17" s="176">
        <v>0.50058550610413644</v>
      </c>
      <c r="AC17" s="612">
        <v>0.67915420525539871</v>
      </c>
      <c r="AF17">
        <v>6</v>
      </c>
      <c r="AG17" t="s">
        <v>159</v>
      </c>
      <c r="AH17" s="177" t="s">
        <v>2229</v>
      </c>
      <c r="AI17"/>
      <c r="AJ17"/>
      <c r="AK17"/>
      <c r="AL17"/>
      <c r="AN17" s="7"/>
      <c r="AO17" s="12">
        <v>2</v>
      </c>
      <c r="AP17" s="7" t="s">
        <v>61</v>
      </c>
      <c r="AQ17" s="7"/>
      <c r="AR17" s="12">
        <v>2</v>
      </c>
      <c r="AS17" s="7" t="s">
        <v>61</v>
      </c>
      <c r="AU17" s="12">
        <v>2</v>
      </c>
      <c r="AV17" s="7" t="s">
        <v>1044</v>
      </c>
      <c r="AW17" s="7"/>
      <c r="AX17" s="12">
        <v>2</v>
      </c>
      <c r="AY17" s="24" t="s">
        <v>1030</v>
      </c>
      <c r="BA17" s="12">
        <v>2</v>
      </c>
      <c r="BB17" s="32" t="s">
        <v>1045</v>
      </c>
      <c r="BC17" s="63"/>
      <c r="BD17" s="12" t="s">
        <v>63</v>
      </c>
      <c r="BE17" s="486">
        <v>10</v>
      </c>
      <c r="BF17" s="13">
        <v>10</v>
      </c>
      <c r="BG17" s="12" t="s">
        <v>63</v>
      </c>
      <c r="BH17" s="109" t="s">
        <v>1046</v>
      </c>
      <c r="BJ17" s="12" t="s">
        <v>63</v>
      </c>
      <c r="BK17" s="262" t="s">
        <v>230</v>
      </c>
      <c r="BL17" s="13"/>
      <c r="BM17" s="333"/>
      <c r="BN17" s="394"/>
      <c r="BO17" s="475"/>
      <c r="BP17" s="438">
        <v>3.2</v>
      </c>
      <c r="BQ17" s="439">
        <f t="shared" ref="BQ17:BQ42" ca="1" si="25">IF($BL$1,"",AQ56)</f>
        <v>1.2400447613404206</v>
      </c>
      <c r="BR17" s="350">
        <f t="shared" ca="1" si="16"/>
        <v>1.2832615242863292</v>
      </c>
      <c r="BS17" s="350">
        <f t="shared" ca="1" si="17"/>
        <v>1.3229066799988203</v>
      </c>
      <c r="BT17" s="350">
        <f t="shared" ca="1" si="18"/>
        <v>1.3789933624538331</v>
      </c>
      <c r="BU17" s="351">
        <f t="shared" ca="1" si="19"/>
        <v>1.4157089857602727</v>
      </c>
      <c r="BV17" s="972">
        <v>9.5</v>
      </c>
      <c r="BW17" s="439">
        <f t="shared" ca="1" si="20"/>
        <v>3.0994569155055993</v>
      </c>
      <c r="BX17" s="350">
        <f t="shared" ca="1" si="21"/>
        <v>3.1955525116095127</v>
      </c>
      <c r="BY17" s="350">
        <f t="shared" ca="1" si="22"/>
        <v>3.283609128730185</v>
      </c>
      <c r="BZ17" s="350">
        <f t="shared" ca="1" si="23"/>
        <v>3.4079441852938843</v>
      </c>
      <c r="CA17" s="351">
        <f t="shared" ca="1" si="24"/>
        <v>3.4892808777257511</v>
      </c>
      <c r="CB17" s="333"/>
      <c r="CC17" s="333"/>
      <c r="CD17" s="333"/>
      <c r="CE17" s="333"/>
      <c r="CF17" s="333"/>
      <c r="CG17" s="333"/>
      <c r="CH17" s="333"/>
      <c r="CI17" s="333"/>
      <c r="CJ17" s="333"/>
      <c r="CK17" s="333"/>
      <c r="CL17" s="333"/>
      <c r="CM17" s="333"/>
      <c r="CN17" s="952"/>
      <c r="CO17" s="968"/>
      <c r="CP17" s="968"/>
      <c r="CS17" s="277">
        <f t="shared" si="13"/>
        <v>4.9000000000000004</v>
      </c>
      <c r="CT17" s="277">
        <f t="shared" ca="1" si="13"/>
        <v>1.7397378530847156</v>
      </c>
    </row>
    <row r="18" spans="1:98" ht="18">
      <c r="A18">
        <v>17</v>
      </c>
      <c r="B18" t="s">
        <v>108</v>
      </c>
      <c r="C18" s="553"/>
      <c r="D18" s="554"/>
      <c r="E18" s="172" t="str">
        <f t="shared" si="3"/>
        <v/>
      </c>
      <c r="F18" s="555" t="str">
        <f t="shared" si="15"/>
        <v/>
      </c>
      <c r="G18" s="172" t="str">
        <f t="shared" si="5"/>
        <v/>
      </c>
      <c r="H18" t="str">
        <f t="shared" si="6"/>
        <v/>
      </c>
      <c r="I18" s="552" t="str" cm="1">
        <f t="array" ref="I18">IF(H18&lt;&gt;"",INDEX($B$2:$B$66,H18+1),"")</f>
        <v/>
      </c>
      <c r="J18" s="554" t="str">
        <f t="shared" si="0"/>
        <v/>
      </c>
      <c r="K18" t="str">
        <f t="shared" si="14"/>
        <v/>
      </c>
      <c r="L18" s="2" t="str">
        <f t="shared" si="8"/>
        <v/>
      </c>
      <c r="M18" t="str">
        <f t="shared" si="9"/>
        <v/>
      </c>
      <c r="N18" s="2" t="str">
        <f t="shared" si="10"/>
        <v/>
      </c>
      <c r="O18" s="172" t="str">
        <f t="shared" si="1"/>
        <v/>
      </c>
      <c r="P18" s="177" t="str">
        <f t="shared" si="11"/>
        <v/>
      </c>
      <c r="Q18" s="172" t="str">
        <f t="shared" si="2"/>
        <v/>
      </c>
      <c r="R18" s="553" t="str">
        <f t="shared" si="12"/>
        <v/>
      </c>
      <c r="S18" s="553"/>
      <c r="T18" s="172"/>
      <c r="U18" s="2">
        <v>300</v>
      </c>
      <c r="V18" s="613">
        <v>0.14351851851851832</v>
      </c>
      <c r="W18" s="614">
        <v>-0.65039682539682531</v>
      </c>
      <c r="X18" s="614">
        <v>1.4700529100529107</v>
      </c>
      <c r="Y18" s="614">
        <v>0.22232380952380942</v>
      </c>
      <c r="Z18" s="614">
        <v>1.0661802048437588E-3</v>
      </c>
      <c r="AA18" s="614">
        <v>-1.9897587882864439E-2</v>
      </c>
      <c r="AB18" s="614">
        <v>0.50510155857346628</v>
      </c>
      <c r="AC18" s="615">
        <v>0.74653447548175911</v>
      </c>
      <c r="AD18" s="325"/>
      <c r="AF18">
        <v>7</v>
      </c>
      <c r="AG18" t="s">
        <v>717</v>
      </c>
      <c r="AH18" s="177" t="s">
        <v>2271</v>
      </c>
      <c r="AI18"/>
      <c r="AJ18"/>
      <c r="AK18"/>
      <c r="AL18"/>
      <c r="AM18" s="13"/>
      <c r="AN18" s="7"/>
      <c r="AO18" s="12">
        <v>3</v>
      </c>
      <c r="AP18" s="7" t="s">
        <v>1047</v>
      </c>
      <c r="AR18" s="12">
        <v>3</v>
      </c>
      <c r="AS18" s="7" t="s">
        <v>1048</v>
      </c>
      <c r="AU18" s="12">
        <v>3</v>
      </c>
      <c r="AV18" s="7" t="s">
        <v>1049</v>
      </c>
      <c r="AW18" s="7"/>
      <c r="AX18" s="12">
        <v>3</v>
      </c>
      <c r="AY18" s="24" t="s">
        <v>1029</v>
      </c>
      <c r="BA18" s="12">
        <v>3</v>
      </c>
      <c r="BB18" s="7" t="s">
        <v>1050</v>
      </c>
      <c r="BC18" s="63"/>
      <c r="BD18" s="12" t="s">
        <v>73</v>
      </c>
      <c r="BE18" s="486">
        <v>9.5</v>
      </c>
      <c r="BF18" s="13">
        <v>9.5</v>
      </c>
      <c r="BG18" s="12" t="s">
        <v>73</v>
      </c>
      <c r="BH18" s="109" t="s">
        <v>1051</v>
      </c>
      <c r="BJ18" s="12" t="s">
        <v>73</v>
      </c>
      <c r="BK18" s="262" t="s">
        <v>235</v>
      </c>
      <c r="BL18" s="13"/>
      <c r="BM18" s="333"/>
      <c r="BN18" s="394"/>
      <c r="BO18" s="475"/>
      <c r="BP18" s="438">
        <v>3.1</v>
      </c>
      <c r="BQ18" s="439">
        <f t="shared" ca="1" si="25"/>
        <v>1.210386594059865</v>
      </c>
      <c r="BR18" s="350">
        <f t="shared" ca="1" si="16"/>
        <v>1.2527675458455048</v>
      </c>
      <c r="BS18" s="350">
        <f t="shared" ca="1" si="17"/>
        <v>1.2916474968381668</v>
      </c>
      <c r="BT18" s="350">
        <f t="shared" ca="1" si="18"/>
        <v>1.3466511537256873</v>
      </c>
      <c r="BU18" s="351">
        <f t="shared" ca="1" si="19"/>
        <v>1.3826576261226706</v>
      </c>
      <c r="BV18" s="972">
        <v>9</v>
      </c>
      <c r="BW18" s="439">
        <f t="shared" ca="1" si="20"/>
        <v>2.9479059188565229</v>
      </c>
      <c r="BX18" s="350">
        <f t="shared" ca="1" si="21"/>
        <v>3.039522631421649</v>
      </c>
      <c r="BY18" s="350">
        <f t="shared" ca="1" si="22"/>
        <v>3.1235144667592518</v>
      </c>
      <c r="BZ18" s="350">
        <f t="shared" ca="1" si="23"/>
        <v>3.2420974118256836</v>
      </c>
      <c r="CA18" s="351">
        <f t="shared" ca="1" si="24"/>
        <v>3.3196619105985188</v>
      </c>
      <c r="CB18" s="333"/>
      <c r="CC18" s="334"/>
      <c r="CD18" s="334"/>
      <c r="CE18" s="333"/>
      <c r="CF18" s="333"/>
      <c r="CG18" s="333"/>
      <c r="CH18" s="333"/>
      <c r="CI18" s="333"/>
      <c r="CJ18" s="333"/>
      <c r="CK18" s="333"/>
      <c r="CL18" s="333"/>
      <c r="CM18" s="333"/>
      <c r="CN18" s="952"/>
      <c r="CO18" s="968"/>
      <c r="CP18" s="968"/>
      <c r="CS18" s="277">
        <f t="shared" si="13"/>
        <v>4.8</v>
      </c>
      <c r="CT18" s="277">
        <f t="shared" ca="1" si="13"/>
        <v>1.7105056149528339</v>
      </c>
    </row>
    <row r="19" spans="1:98">
      <c r="A19">
        <v>18</v>
      </c>
      <c r="B19" t="s">
        <v>112</v>
      </c>
      <c r="C19" s="553"/>
      <c r="D19" s="554"/>
      <c r="E19" s="172" t="str">
        <f t="shared" si="3"/>
        <v/>
      </c>
      <c r="F19" s="555" t="str">
        <f t="shared" si="15"/>
        <v/>
      </c>
      <c r="G19" s="172" t="str">
        <f t="shared" si="5"/>
        <v/>
      </c>
      <c r="H19" t="str">
        <f t="shared" si="6"/>
        <v/>
      </c>
      <c r="I19" s="552" t="str" cm="1">
        <f t="array" ref="I19">IF(H19&lt;&gt;"",INDEX($B$2:$B$66,H19+1),"")</f>
        <v/>
      </c>
      <c r="J19" s="554" t="str">
        <f t="shared" si="0"/>
        <v/>
      </c>
      <c r="K19" t="str">
        <f t="shared" si="14"/>
        <v/>
      </c>
      <c r="L19" s="2" t="str">
        <f t="shared" si="8"/>
        <v/>
      </c>
      <c r="M19" t="str">
        <f t="shared" si="9"/>
        <v/>
      </c>
      <c r="N19" s="2" t="str">
        <f t="shared" si="10"/>
        <v/>
      </c>
      <c r="O19" s="172" t="str">
        <f t="shared" si="1"/>
        <v/>
      </c>
      <c r="P19" s="177" t="str">
        <f t="shared" si="11"/>
        <v/>
      </c>
      <c r="Q19" s="172" t="str">
        <f t="shared" si="2"/>
        <v/>
      </c>
      <c r="R19" s="553" t="str">
        <f t="shared" si="12"/>
        <v/>
      </c>
      <c r="S19" s="553"/>
      <c r="T19" s="172"/>
      <c r="U19" s="2">
        <v>90</v>
      </c>
      <c r="V19" s="606">
        <v>8.7384259259261202E-2</v>
      </c>
      <c r="W19" s="607">
        <v>-1.0493055555555626</v>
      </c>
      <c r="X19" s="607">
        <v>2.2986871693121778</v>
      </c>
      <c r="Y19" s="607">
        <v>-0.29524523809524139</v>
      </c>
      <c r="Z19" s="607">
        <v>-5.4902534129301454E-4</v>
      </c>
      <c r="AA19" s="607">
        <v>1.2908028855710071E-2</v>
      </c>
      <c r="AB19" s="607">
        <v>0.22919490531704392</v>
      </c>
      <c r="AC19" s="608">
        <v>0.64053049942745577</v>
      </c>
      <c r="AD19" s="53"/>
      <c r="AF19">
        <v>8</v>
      </c>
      <c r="AG19" t="s">
        <v>2278</v>
      </c>
      <c r="AH19" s="177" t="s">
        <v>2275</v>
      </c>
      <c r="AI19"/>
      <c r="AJ19"/>
      <c r="AK19"/>
      <c r="AL19"/>
      <c r="AM19" s="13"/>
      <c r="AO19" s="19">
        <v>4</v>
      </c>
      <c r="AP19" s="7" t="s">
        <v>1053</v>
      </c>
      <c r="AU19" s="13"/>
      <c r="AV19" s="13"/>
      <c r="AW19" s="7"/>
      <c r="AX19" s="12">
        <v>4</v>
      </c>
      <c r="AY19" s="24" t="s">
        <v>1028</v>
      </c>
      <c r="BA19" s="12">
        <v>4</v>
      </c>
      <c r="BB19" s="7" t="s">
        <v>1054</v>
      </c>
      <c r="BC19" s="63"/>
      <c r="BD19" s="12" t="s">
        <v>80</v>
      </c>
      <c r="BE19" s="486">
        <v>9</v>
      </c>
      <c r="BF19" s="13">
        <v>9</v>
      </c>
      <c r="BG19" s="12" t="s">
        <v>80</v>
      </c>
      <c r="BH19" s="109" t="s">
        <v>1055</v>
      </c>
      <c r="BJ19" s="12" t="s">
        <v>80</v>
      </c>
      <c r="BK19" s="262" t="s">
        <v>239</v>
      </c>
      <c r="BL19" s="13"/>
      <c r="BM19" s="333"/>
      <c r="BN19" s="394"/>
      <c r="BO19" s="475"/>
      <c r="BP19" s="438">
        <v>3</v>
      </c>
      <c r="BQ19" s="439">
        <f t="shared" ca="1" si="25"/>
        <v>1.1806887605862897</v>
      </c>
      <c r="BR19" s="350">
        <f t="shared" ca="1" si="16"/>
        <v>1.2222319896573635</v>
      </c>
      <c r="BS19" s="350">
        <f t="shared" ca="1" si="17"/>
        <v>1.2603452568380691</v>
      </c>
      <c r="BT19" s="350">
        <f t="shared" ca="1" si="18"/>
        <v>1.3142633570211784</v>
      </c>
      <c r="BU19" s="351">
        <f t="shared" ca="1" si="19"/>
        <v>1.3495588668235492</v>
      </c>
      <c r="BV19" s="972">
        <v>8.5</v>
      </c>
      <c r="BW19" s="439">
        <f t="shared" ca="1" si="20"/>
        <v>2.7977579359811067</v>
      </c>
      <c r="BX19" s="350">
        <f t="shared" ca="1" si="21"/>
        <v>2.8849856301037393</v>
      </c>
      <c r="BY19" s="350">
        <f t="shared" ca="1" si="22"/>
        <v>2.9649832724113327</v>
      </c>
      <c r="BZ19" s="350">
        <f t="shared" ca="1" si="23"/>
        <v>3.0779237394095098</v>
      </c>
      <c r="CA19" s="351">
        <f t="shared" ca="1" si="24"/>
        <v>3.1517922142918042</v>
      </c>
      <c r="CB19" s="333"/>
      <c r="CC19" s="333"/>
      <c r="CD19" s="333"/>
      <c r="CE19" s="333"/>
      <c r="CF19" s="333"/>
      <c r="CG19" s="333"/>
      <c r="CH19" s="333"/>
      <c r="CI19" s="333"/>
      <c r="CJ19" s="333"/>
      <c r="CK19" s="333"/>
      <c r="CL19" s="333"/>
      <c r="CM19" s="333"/>
      <c r="CN19" s="952"/>
      <c r="CO19" s="968"/>
      <c r="CP19" s="968"/>
      <c r="CS19" s="277">
        <f t="shared" si="13"/>
        <v>4.7</v>
      </c>
      <c r="CT19" s="277">
        <f t="shared" ca="1" si="13"/>
        <v>1.6812613101982281</v>
      </c>
    </row>
    <row r="20" spans="1:98">
      <c r="A20">
        <v>19</v>
      </c>
      <c r="B20" t="s">
        <v>117</v>
      </c>
      <c r="C20" s="553"/>
      <c r="D20" s="554"/>
      <c r="E20" s="172" t="str">
        <f t="shared" si="3"/>
        <v/>
      </c>
      <c r="F20" s="555" t="str">
        <f t="shared" si="15"/>
        <v/>
      </c>
      <c r="G20" s="172" t="str">
        <f t="shared" si="5"/>
        <v/>
      </c>
      <c r="H20" t="str">
        <f t="shared" si="6"/>
        <v/>
      </c>
      <c r="I20" s="552" t="str" cm="1">
        <f t="array" ref="I20">IF(H20&lt;&gt;"",INDEX($B$2:$B$66,H20+1),"")</f>
        <v/>
      </c>
      <c r="J20" s="554" t="str">
        <f t="shared" si="0"/>
        <v/>
      </c>
      <c r="K20" t="str">
        <f t="shared" si="14"/>
        <v/>
      </c>
      <c r="L20" s="2" t="str">
        <f t="shared" si="8"/>
        <v/>
      </c>
      <c r="M20" t="str">
        <f t="shared" si="9"/>
        <v/>
      </c>
      <c r="N20" s="2" t="str">
        <f t="shared" si="10"/>
        <v/>
      </c>
      <c r="O20" s="172" t="str">
        <f t="shared" si="1"/>
        <v/>
      </c>
      <c r="P20" s="177" t="str">
        <f t="shared" si="11"/>
        <v/>
      </c>
      <c r="Q20" s="172" t="str">
        <f t="shared" si="2"/>
        <v/>
      </c>
      <c r="R20" s="553" t="str">
        <f t="shared" si="12"/>
        <v/>
      </c>
      <c r="S20" s="553"/>
      <c r="T20" s="172"/>
      <c r="U20" s="2">
        <v>135</v>
      </c>
      <c r="V20" s="611">
        <v>0.40509259259260044</v>
      </c>
      <c r="W20" s="176">
        <v>-1.993055555555582</v>
      </c>
      <c r="X20" s="176">
        <v>3.0966931216931499</v>
      </c>
      <c r="Y20" s="176">
        <v>-0.40038095238096116</v>
      </c>
      <c r="Z20" s="176">
        <v>-5.8293143448172563E-4</v>
      </c>
      <c r="AA20" s="176">
        <v>1.3776386039839881E-2</v>
      </c>
      <c r="AB20" s="176">
        <v>0.23307428374875871</v>
      </c>
      <c r="AC20" s="612">
        <v>0.68671217963918352</v>
      </c>
      <c r="AD20" s="18"/>
      <c r="AE20" s="12"/>
      <c r="AF20">
        <v>9</v>
      </c>
      <c r="AG20" t="s">
        <v>191</v>
      </c>
      <c r="AH20" s="979" t="s">
        <v>2235</v>
      </c>
      <c r="AI20" s="980"/>
      <c r="AJ20" s="978"/>
      <c r="AK20" s="978"/>
      <c r="AL20" s="978"/>
      <c r="AM20" s="13"/>
      <c r="AO20" s="12">
        <v>5</v>
      </c>
      <c r="AP20" s="10" t="str">
        <f>IF(BB14,AP19,AP21)</f>
        <v>R1 edge, under, &amp; inner vert.</v>
      </c>
      <c r="AU20" s="13"/>
      <c r="AV20" s="13"/>
      <c r="AW20" s="7"/>
      <c r="AX20" s="12">
        <v>5</v>
      </c>
      <c r="AY20" s="24" t="s">
        <v>1027</v>
      </c>
      <c r="BA20" s="12">
        <v>5</v>
      </c>
      <c r="BB20" s="7" t="s">
        <v>1056</v>
      </c>
      <c r="BC20" s="63"/>
      <c r="BD20" s="12" t="s">
        <v>86</v>
      </c>
      <c r="BE20" s="486">
        <v>8.5</v>
      </c>
      <c r="BF20" s="13">
        <v>8.5</v>
      </c>
      <c r="BG20" s="12" t="s">
        <v>86</v>
      </c>
      <c r="BH20" s="109" t="s">
        <v>1057</v>
      </c>
      <c r="BJ20" s="12" t="s">
        <v>86</v>
      </c>
      <c r="BK20" s="262" t="s">
        <v>244</v>
      </c>
      <c r="BL20" s="13"/>
      <c r="BM20" s="333"/>
      <c r="BN20" s="333"/>
      <c r="BO20" s="333"/>
      <c r="BP20" s="438">
        <v>2.9</v>
      </c>
      <c r="BQ20" s="439">
        <f t="shared" ca="1" si="25"/>
        <v>1.1509496374155601</v>
      </c>
      <c r="BR20" s="350">
        <f t="shared" ca="1" si="16"/>
        <v>1.191653138893056</v>
      </c>
      <c r="BS20" s="350">
        <f t="shared" ca="1" si="17"/>
        <v>1.228998170243538</v>
      </c>
      <c r="BT20" s="350">
        <f t="shared" ca="1" si="18"/>
        <v>1.2818280653569416</v>
      </c>
      <c r="BU20" s="351">
        <f t="shared" ca="1" si="19"/>
        <v>1.3164107185324954</v>
      </c>
      <c r="BV20" s="972">
        <v>8</v>
      </c>
      <c r="BW20" s="439">
        <f t="shared" ca="1" si="20"/>
        <v>2.648810028862473</v>
      </c>
      <c r="BX20" s="350">
        <f t="shared" ca="1" si="21"/>
        <v>2.7317269040496077</v>
      </c>
      <c r="BY20" s="350">
        <f t="shared" ca="1" si="22"/>
        <v>2.8077918263127737</v>
      </c>
      <c r="BZ20" s="350">
        <f t="shared" ca="1" si="23"/>
        <v>2.915184795124929</v>
      </c>
      <c r="CA20" s="351">
        <f t="shared" ca="1" si="24"/>
        <v>2.9854231225040393</v>
      </c>
      <c r="CB20" s="333"/>
      <c r="CC20" s="333"/>
      <c r="CD20" s="333"/>
      <c r="CE20" s="333"/>
      <c r="CF20" s="333"/>
      <c r="CG20" s="333"/>
      <c r="CH20" s="333"/>
      <c r="CI20" s="333"/>
      <c r="CJ20" s="333"/>
      <c r="CK20" s="333"/>
      <c r="CL20" s="333"/>
      <c r="CM20" s="333"/>
      <c r="CN20" s="952"/>
      <c r="CO20" s="968"/>
      <c r="CP20" s="968"/>
      <c r="CS20" s="277">
        <f t="shared" si="13"/>
        <v>4.5999999999999996</v>
      </c>
      <c r="CT20" s="277">
        <f t="shared" ca="1" si="13"/>
        <v>1.6520033153167626</v>
      </c>
    </row>
    <row r="21" spans="1:98">
      <c r="A21">
        <v>20</v>
      </c>
      <c r="B21" t="s">
        <v>121</v>
      </c>
      <c r="C21" s="553"/>
      <c r="D21" s="554"/>
      <c r="E21" s="172" t="str">
        <f t="shared" si="3"/>
        <v/>
      </c>
      <c r="F21" s="555" t="str">
        <f t="shared" si="15"/>
        <v/>
      </c>
      <c r="G21" s="172" t="str">
        <f t="shared" si="5"/>
        <v/>
      </c>
      <c r="H21" t="str">
        <f t="shared" si="6"/>
        <v/>
      </c>
      <c r="I21" s="552" t="str" cm="1">
        <f t="array" ref="I21">IF(H21&lt;&gt;"",INDEX($B$2:$B$66,H21+1),"")</f>
        <v/>
      </c>
      <c r="J21" s="554" t="str">
        <f t="shared" si="0"/>
        <v/>
      </c>
      <c r="K21" t="str">
        <f t="shared" si="14"/>
        <v/>
      </c>
      <c r="L21" s="2" t="str">
        <f t="shared" si="8"/>
        <v/>
      </c>
      <c r="M21" t="str">
        <f t="shared" si="9"/>
        <v/>
      </c>
      <c r="N21" s="2" t="str">
        <f t="shared" si="10"/>
        <v/>
      </c>
      <c r="O21" s="172" t="str">
        <f t="shared" si="1"/>
        <v/>
      </c>
      <c r="P21" s="177" t="str">
        <f t="shared" si="11"/>
        <v/>
      </c>
      <c r="Q21" s="172" t="str">
        <f t="shared" si="2"/>
        <v/>
      </c>
      <c r="R21" s="553" t="str">
        <f t="shared" si="12"/>
        <v/>
      </c>
      <c r="S21" s="553"/>
      <c r="T21" s="172" t="s">
        <v>211</v>
      </c>
      <c r="U21" s="2">
        <v>180</v>
      </c>
      <c r="V21" s="611">
        <v>0.38368055555556219</v>
      </c>
      <c r="W21" s="176">
        <v>-1.8502976190476406</v>
      </c>
      <c r="X21" s="176">
        <v>2.8048908730158959</v>
      </c>
      <c r="Y21" s="176">
        <v>-0.15866428571429336</v>
      </c>
      <c r="Z21" s="176">
        <v>-6.0633064582392665E-4</v>
      </c>
      <c r="AA21" s="176">
        <v>1.4421711994357173E-2</v>
      </c>
      <c r="AB21" s="176">
        <v>0.237563757923649</v>
      </c>
      <c r="AC21" s="612">
        <v>0.72818310959502264</v>
      </c>
      <c r="AD21" s="18"/>
      <c r="AE21" s="18"/>
      <c r="AF21">
        <v>10</v>
      </c>
      <c r="AG21" t="s">
        <v>245</v>
      </c>
      <c r="AH21" s="979" t="s">
        <v>2245</v>
      </c>
      <c r="AI21" s="980"/>
      <c r="AJ21" s="978"/>
      <c r="AK21" s="978"/>
      <c r="AL21" s="978"/>
      <c r="AO21" s="19">
        <v>6</v>
      </c>
      <c r="AP21" s="10" t="s">
        <v>1058</v>
      </c>
      <c r="AX21" s="12">
        <v>6</v>
      </c>
      <c r="AY21" s="24" t="s">
        <v>1026</v>
      </c>
      <c r="BA21" s="12">
        <v>6</v>
      </c>
      <c r="BB21" s="7" t="s">
        <v>1059</v>
      </c>
      <c r="BC21" s="63"/>
      <c r="BD21" s="12" t="s">
        <v>93</v>
      </c>
      <c r="BE21" s="486">
        <v>8</v>
      </c>
      <c r="BF21" s="13">
        <v>8</v>
      </c>
      <c r="BG21" s="12" t="s">
        <v>93</v>
      </c>
      <c r="BH21" s="109" t="s">
        <v>1060</v>
      </c>
      <c r="BJ21" s="12" t="s">
        <v>93</v>
      </c>
      <c r="BK21" s="262" t="s">
        <v>248</v>
      </c>
      <c r="BL21" s="13"/>
      <c r="BM21" s="333"/>
      <c r="BN21" s="333"/>
      <c r="BO21" s="333"/>
      <c r="BP21" s="438">
        <v>2.8</v>
      </c>
      <c r="BQ21" s="439">
        <f t="shared" ca="1" si="25"/>
        <v>1.121167601043541</v>
      </c>
      <c r="BR21" s="350">
        <f t="shared" ca="1" si="16"/>
        <v>1.1610292767237329</v>
      </c>
      <c r="BS21" s="350">
        <f t="shared" ca="1" si="17"/>
        <v>1.1976044472995842</v>
      </c>
      <c r="BT21" s="350">
        <f t="shared" ca="1" si="18"/>
        <v>1.2493433717496141</v>
      </c>
      <c r="BU21" s="351">
        <f t="shared" ca="1" si="19"/>
        <v>1.2832111919190969</v>
      </c>
      <c r="BV21" s="972">
        <v>7.5</v>
      </c>
      <c r="BW21" s="439">
        <f t="shared" ca="1" si="20"/>
        <v>2.5008592594837453</v>
      </c>
      <c r="BX21" s="350">
        <f t="shared" ca="1" si="21"/>
        <v>2.5795318496530784</v>
      </c>
      <c r="BY21" s="350">
        <f t="shared" ca="1" si="22"/>
        <v>2.6517164090899215</v>
      </c>
      <c r="BZ21" s="350">
        <f t="shared" ca="1" si="23"/>
        <v>2.7536422060515076</v>
      </c>
      <c r="CA21" s="351">
        <f t="shared" ca="1" si="24"/>
        <v>2.8203059689336558</v>
      </c>
      <c r="CB21" s="333"/>
      <c r="CC21" s="333"/>
      <c r="CD21" s="333"/>
      <c r="CE21" s="333"/>
      <c r="CF21" s="333"/>
      <c r="CG21" s="333"/>
      <c r="CH21" s="333"/>
      <c r="CI21" s="333"/>
      <c r="CJ21" s="333"/>
      <c r="CK21" s="333"/>
      <c r="CL21" s="333"/>
      <c r="CM21" s="333"/>
      <c r="CN21" s="952"/>
      <c r="CO21" s="968"/>
      <c r="CP21" s="968"/>
      <c r="CS21" s="277">
        <f t="shared" si="13"/>
        <v>4.5</v>
      </c>
      <c r="CT21" s="277">
        <f t="shared" ca="1" si="13"/>
        <v>1.6227300068043031</v>
      </c>
    </row>
    <row r="22" spans="1:98" ht="15.75" customHeight="1">
      <c r="A22">
        <v>21</v>
      </c>
      <c r="B22" t="s">
        <v>125</v>
      </c>
      <c r="C22" s="553"/>
      <c r="D22" s="554"/>
      <c r="E22" s="172" t="str">
        <f t="shared" si="3"/>
        <v/>
      </c>
      <c r="F22" s="555" t="str">
        <f t="shared" si="15"/>
        <v/>
      </c>
      <c r="G22" s="172" t="str">
        <f t="shared" si="5"/>
        <v/>
      </c>
      <c r="H22" t="str">
        <f t="shared" si="6"/>
        <v/>
      </c>
      <c r="I22" s="552" t="str" cm="1">
        <f t="array" ref="I22">IF(H22&lt;&gt;"",INDEX($B$2:$B$66,H22+1),"")</f>
        <v/>
      </c>
      <c r="J22" s="554" t="str">
        <f t="shared" si="0"/>
        <v/>
      </c>
      <c r="K22" t="str">
        <f t="shared" si="14"/>
        <v/>
      </c>
      <c r="L22" s="2" t="str">
        <f t="shared" si="8"/>
        <v/>
      </c>
      <c r="M22" t="str">
        <f t="shared" si="9"/>
        <v/>
      </c>
      <c r="N22" s="2" t="str">
        <f t="shared" si="10"/>
        <v/>
      </c>
      <c r="O22" s="172" t="str">
        <f t="shared" si="1"/>
        <v/>
      </c>
      <c r="P22" s="177" t="str">
        <f t="shared" si="11"/>
        <v/>
      </c>
      <c r="Q22" s="172" t="str">
        <f t="shared" si="2"/>
        <v/>
      </c>
      <c r="R22" s="553" t="str">
        <f t="shared" si="12"/>
        <v/>
      </c>
      <c r="S22" s="553"/>
      <c r="T22" s="172"/>
      <c r="U22" s="2">
        <v>250</v>
      </c>
      <c r="V22" s="611">
        <v>0.63888888888889461</v>
      </c>
      <c r="W22" s="176">
        <v>-2.5851190476190675</v>
      </c>
      <c r="X22" s="176">
        <v>3.3964682539682762</v>
      </c>
      <c r="Y22" s="176">
        <v>-0.20145714285715011</v>
      </c>
      <c r="Z22" s="176">
        <v>-6.195219623212851E-4</v>
      </c>
      <c r="AA22" s="176">
        <v>1.4924494282819356E-2</v>
      </c>
      <c r="AB22" s="176">
        <v>0.24608720967338024</v>
      </c>
      <c r="AC22" s="612">
        <v>0.77961759646584894</v>
      </c>
      <c r="AD22" s="18"/>
      <c r="AE22" s="18"/>
      <c r="AF22">
        <v>11</v>
      </c>
      <c r="AG22" t="s">
        <v>266</v>
      </c>
      <c r="AH22" s="979" t="s">
        <v>2249</v>
      </c>
      <c r="AI22" s="980"/>
      <c r="AJ22" s="978"/>
      <c r="AK22" s="978"/>
      <c r="AL22" s="978"/>
      <c r="AX22" s="13"/>
      <c r="AY22" s="13"/>
      <c r="BA22" s="12">
        <v>7</v>
      </c>
      <c r="BB22" s="7" t="s">
        <v>1061</v>
      </c>
      <c r="BC22" s="63"/>
      <c r="BD22" s="12" t="s">
        <v>99</v>
      </c>
      <c r="BE22" s="486">
        <v>7.5</v>
      </c>
      <c r="BF22" s="13">
        <v>7.5</v>
      </c>
      <c r="BG22" s="12" t="s">
        <v>99</v>
      </c>
      <c r="BH22" s="109" t="s">
        <v>1062</v>
      </c>
      <c r="BJ22" s="12" t="s">
        <v>99</v>
      </c>
      <c r="BK22" s="262" t="s">
        <v>254</v>
      </c>
      <c r="BL22" s="13"/>
      <c r="BM22" s="333"/>
      <c r="BN22" s="333"/>
      <c r="BO22" s="333"/>
      <c r="BP22" s="438">
        <v>2.7</v>
      </c>
      <c r="BQ22" s="439">
        <f t="shared" ca="1" si="25"/>
        <v>1.0913410279660973</v>
      </c>
      <c r="BR22" s="350">
        <f t="shared" ca="1" si="16"/>
        <v>1.1303586863205446</v>
      </c>
      <c r="BS22" s="350">
        <f t="shared" ca="1" si="17"/>
        <v>1.1661622982512188</v>
      </c>
      <c r="BT22" s="350">
        <f t="shared" ca="1" si="18"/>
        <v>1.2168073692158323</v>
      </c>
      <c r="BU22" s="351">
        <f t="shared" ca="1" si="19"/>
        <v>1.2499582976529413</v>
      </c>
      <c r="BV22" s="972">
        <v>7</v>
      </c>
      <c r="BW22" s="439">
        <f t="shared" ca="1" si="20"/>
        <v>2.3537026898280469</v>
      </c>
      <c r="BX22" s="350">
        <f t="shared" ca="1" si="21"/>
        <v>2.4281858633079745</v>
      </c>
      <c r="BY22" s="350">
        <f t="shared" ca="1" si="22"/>
        <v>2.4965333013691202</v>
      </c>
      <c r="BZ22" s="350">
        <f t="shared" ca="1" si="23"/>
        <v>2.5930575992688101</v>
      </c>
      <c r="CA22" s="351">
        <f t="shared" ca="1" si="24"/>
        <v>2.6561920872790852</v>
      </c>
      <c r="CB22" s="333"/>
      <c r="CC22" s="333"/>
      <c r="CD22" s="333"/>
      <c r="CE22" s="333"/>
      <c r="CF22" s="333"/>
      <c r="CG22" s="333"/>
      <c r="CH22" s="333"/>
      <c r="CI22" s="333"/>
      <c r="CJ22" s="333"/>
      <c r="CK22" s="333"/>
      <c r="CL22" s="333"/>
      <c r="CM22" s="333"/>
      <c r="CN22" s="952"/>
      <c r="CO22" s="968"/>
      <c r="CP22" s="968"/>
      <c r="CS22" s="277">
        <f t="shared" si="13"/>
        <v>4.4000000000000004</v>
      </c>
      <c r="CT22" s="277">
        <f t="shared" ca="1" si="13"/>
        <v>1.5934397611567146</v>
      </c>
    </row>
    <row r="23" spans="1:98" ht="15.75" customHeight="1">
      <c r="A23">
        <v>22</v>
      </c>
      <c r="B23" t="s">
        <v>129</v>
      </c>
      <c r="C23" s="553"/>
      <c r="D23" s="554"/>
      <c r="E23" s="172" t="str">
        <f t="shared" si="3"/>
        <v/>
      </c>
      <c r="F23" s="555" t="str">
        <f t="shared" si="15"/>
        <v/>
      </c>
      <c r="G23" s="172" t="str">
        <f t="shared" si="5"/>
        <v/>
      </c>
      <c r="H23" t="str">
        <f t="shared" si="6"/>
        <v/>
      </c>
      <c r="I23" s="552" t="str" cm="1">
        <f t="array" ref="I23">IF(H23&lt;&gt;"",INDEX($B$2:$B$66,H23+1),"")</f>
        <v/>
      </c>
      <c r="J23" s="554" t="str">
        <f t="shared" si="0"/>
        <v/>
      </c>
      <c r="K23" t="str">
        <f t="shared" si="14"/>
        <v/>
      </c>
      <c r="L23" s="2" t="str">
        <f t="shared" si="8"/>
        <v/>
      </c>
      <c r="M23" t="str">
        <f t="shared" si="9"/>
        <v/>
      </c>
      <c r="N23" s="2" t="str">
        <f t="shared" si="10"/>
        <v/>
      </c>
      <c r="O23" s="172" t="str">
        <f t="shared" si="1"/>
        <v/>
      </c>
      <c r="P23" s="177" t="str">
        <f t="shared" si="11"/>
        <v/>
      </c>
      <c r="Q23" s="172" t="str">
        <f t="shared" si="2"/>
        <v/>
      </c>
      <c r="R23" s="553" t="str">
        <f t="shared" si="12"/>
        <v/>
      </c>
      <c r="S23" s="553"/>
      <c r="T23" s="172"/>
      <c r="U23" s="2">
        <v>300</v>
      </c>
      <c r="V23" s="613">
        <v>0.65335648148148784</v>
      </c>
      <c r="W23" s="614">
        <v>-2.5737103174603395</v>
      </c>
      <c r="X23" s="614">
        <v>3.2391435185185431</v>
      </c>
      <c r="Y23" s="614">
        <v>-9.4523809524593716E-4</v>
      </c>
      <c r="Z23" s="614">
        <v>-6.030800015569014E-4</v>
      </c>
      <c r="AA23" s="614">
        <v>1.4712795671001016E-2</v>
      </c>
      <c r="AB23" s="614">
        <v>0.25453770183594832</v>
      </c>
      <c r="AC23" s="615">
        <v>0.80197075954782027</v>
      </c>
      <c r="AD23" s="19"/>
      <c r="AF23">
        <v>12</v>
      </c>
      <c r="AG23" t="s">
        <v>255</v>
      </c>
      <c r="AH23" s="979" t="s">
        <v>2247</v>
      </c>
      <c r="AI23" s="980"/>
      <c r="AJ23" s="978"/>
      <c r="AK23" s="978"/>
      <c r="AL23" s="978"/>
      <c r="AX23" s="13"/>
      <c r="AY23" s="13"/>
      <c r="BA23" s="12">
        <v>8</v>
      </c>
      <c r="BB23" s="7" t="s">
        <v>1063</v>
      </c>
      <c r="BC23" s="63"/>
      <c r="BD23" s="12" t="s">
        <v>106</v>
      </c>
      <c r="BE23" s="486">
        <v>7</v>
      </c>
      <c r="BF23" s="13">
        <v>7</v>
      </c>
      <c r="BG23" s="12" t="s">
        <v>106</v>
      </c>
      <c r="BH23" s="109" t="s">
        <v>1064</v>
      </c>
      <c r="BJ23" s="12" t="s">
        <v>106</v>
      </c>
      <c r="BK23" s="262" t="s">
        <v>259</v>
      </c>
      <c r="BL23" s="13"/>
      <c r="BM23" s="333"/>
      <c r="BN23" s="333"/>
      <c r="BO23" s="333"/>
      <c r="BP23" s="438">
        <v>2.6</v>
      </c>
      <c r="BQ23" s="439">
        <f t="shared" ca="1" si="25"/>
        <v>1.0614682946790941</v>
      </c>
      <c r="BR23" s="350">
        <f t="shared" ca="1" si="16"/>
        <v>1.0996396508546418</v>
      </c>
      <c r="BS23" s="350">
        <f t="shared" ca="1" si="17"/>
        <v>1.134669933343452</v>
      </c>
      <c r="BT23" s="350">
        <f t="shared" ca="1" si="18"/>
        <v>1.1842181507722325</v>
      </c>
      <c r="BU23" s="351">
        <f t="shared" ca="1" si="19"/>
        <v>1.2166500464036158</v>
      </c>
      <c r="BV23" s="972">
        <v>6.5</v>
      </c>
      <c r="BW23" s="439">
        <f t="shared" ca="1" si="20"/>
        <v>2.2071373818785007</v>
      </c>
      <c r="BX23" s="350">
        <f t="shared" ca="1" si="21"/>
        <v>2.2774743414081211</v>
      </c>
      <c r="BY23" s="350">
        <f t="shared" ca="1" si="22"/>
        <v>2.3420187837767168</v>
      </c>
      <c r="BZ23" s="350">
        <f t="shared" ca="1" si="23"/>
        <v>2.433192601856403</v>
      </c>
      <c r="CA23" s="351">
        <f t="shared" ca="1" si="24"/>
        <v>2.4928328112387588</v>
      </c>
      <c r="CB23" s="333"/>
      <c r="CC23" s="333"/>
      <c r="CD23" s="333"/>
      <c r="CE23" s="333"/>
      <c r="CF23" s="333"/>
      <c r="CG23" s="440">
        <f ca="1">IF(BL1,"",AE1)</f>
        <v>1.0015778534598689</v>
      </c>
      <c r="CH23" s="333"/>
      <c r="CI23" s="333"/>
      <c r="CJ23" s="333"/>
      <c r="CK23" s="333"/>
      <c r="CL23" s="333"/>
      <c r="CM23" s="333"/>
      <c r="CN23" s="336"/>
      <c r="CO23" s="974"/>
      <c r="CP23" s="974"/>
      <c r="CS23" s="277">
        <f t="shared" si="13"/>
        <v>4.3</v>
      </c>
      <c r="CT23" s="277">
        <f t="shared" ca="1" si="13"/>
        <v>1.5641309548698614</v>
      </c>
    </row>
    <row r="24" spans="1:98">
      <c r="A24">
        <v>23</v>
      </c>
      <c r="B24" t="s">
        <v>133</v>
      </c>
      <c r="C24" s="553"/>
      <c r="D24" s="554"/>
      <c r="E24" s="172" t="str">
        <f t="shared" si="3"/>
        <v/>
      </c>
      <c r="F24" s="555" t="str">
        <f t="shared" si="15"/>
        <v/>
      </c>
      <c r="G24" s="172" t="str">
        <f t="shared" si="5"/>
        <v/>
      </c>
      <c r="H24" t="str">
        <f t="shared" si="6"/>
        <v/>
      </c>
      <c r="I24" s="552" t="str" cm="1">
        <f t="array" ref="I24">IF(H24&lt;&gt;"",INDEX($B$2:$B$66,H24+1),"")</f>
        <v/>
      </c>
      <c r="J24" s="554" t="str">
        <f t="shared" si="0"/>
        <v/>
      </c>
      <c r="K24" t="str">
        <f t="shared" si="14"/>
        <v/>
      </c>
      <c r="L24" s="2" t="str">
        <f t="shared" si="8"/>
        <v/>
      </c>
      <c r="M24" t="str">
        <f t="shared" si="9"/>
        <v/>
      </c>
      <c r="N24" s="2" t="str">
        <f t="shared" si="10"/>
        <v/>
      </c>
      <c r="O24" s="172" t="str">
        <f t="shared" si="1"/>
        <v/>
      </c>
      <c r="P24" s="177" t="str">
        <f t="shared" si="11"/>
        <v/>
      </c>
      <c r="Q24" s="172" t="str">
        <f t="shared" si="2"/>
        <v/>
      </c>
      <c r="R24" s="553" t="str">
        <f t="shared" si="12"/>
        <v/>
      </c>
      <c r="S24" s="553"/>
      <c r="T24" s="172"/>
      <c r="U24" s="2">
        <v>90</v>
      </c>
      <c r="V24" s="606">
        <v>9.0277777777778567E-2</v>
      </c>
      <c r="W24" s="607">
        <v>-0.43273809523809803</v>
      </c>
      <c r="X24" s="607">
        <v>1.2672222222222256</v>
      </c>
      <c r="Y24" s="607">
        <v>1.6171428571427532E-2</v>
      </c>
      <c r="Z24" s="607">
        <v>1.6961931279328431E-3</v>
      </c>
      <c r="AA24" s="607">
        <v>-3.6188806169178425E-2</v>
      </c>
      <c r="AB24" s="607">
        <v>0.62191009066375369</v>
      </c>
      <c r="AC24" s="608">
        <v>0.40973784906648414</v>
      </c>
      <c r="AF24">
        <v>13</v>
      </c>
      <c r="AG24" t="s">
        <v>276</v>
      </c>
      <c r="AH24" s="979" t="s">
        <v>2251</v>
      </c>
      <c r="AI24" s="980"/>
      <c r="AJ24" s="978"/>
      <c r="AK24" s="978"/>
      <c r="AL24" s="978"/>
      <c r="AM24" s="13"/>
      <c r="AX24" s="13"/>
      <c r="AY24" s="13"/>
      <c r="BA24" s="12">
        <v>9</v>
      </c>
      <c r="BB24" s="7" t="s">
        <v>1065</v>
      </c>
      <c r="BC24" s="63"/>
      <c r="BD24" s="12" t="s">
        <v>110</v>
      </c>
      <c r="BE24" s="486">
        <v>6.5</v>
      </c>
      <c r="BF24" s="13">
        <v>6.5</v>
      </c>
      <c r="BG24" s="12" t="s">
        <v>110</v>
      </c>
      <c r="BH24" s="109" t="s">
        <v>1066</v>
      </c>
      <c r="BJ24" s="12" t="s">
        <v>110</v>
      </c>
      <c r="BK24" s="262" t="s">
        <v>264</v>
      </c>
      <c r="BL24" s="13"/>
      <c r="BM24" s="333"/>
      <c r="BN24" s="333"/>
      <c r="BO24" s="333"/>
      <c r="BP24" s="438">
        <v>2.5</v>
      </c>
      <c r="BQ24" s="439">
        <f t="shared" ca="1" si="25"/>
        <v>1.0315477776783961</v>
      </c>
      <c r="BR24" s="350">
        <f t="shared" ca="1" si="16"/>
        <v>1.0688704534971749</v>
      </c>
      <c r="BS24" s="350">
        <f t="shared" ca="1" si="17"/>
        <v>1.1031255628212946</v>
      </c>
      <c r="BT24" s="350">
        <f t="shared" ca="1" si="18"/>
        <v>1.1515738094354515</v>
      </c>
      <c r="BU24" s="351">
        <f t="shared" ca="1" si="19"/>
        <v>1.1832844488407077</v>
      </c>
      <c r="BV24" s="972">
        <v>6</v>
      </c>
      <c r="BW24" s="439">
        <f t="shared" ca="1" si="20"/>
        <v>2.06096039761823</v>
      </c>
      <c r="BX24" s="350">
        <f t="shared" ca="1" si="21"/>
        <v>2.127182680347341</v>
      </c>
      <c r="BY24" s="350">
        <f t="shared" ca="1" si="22"/>
        <v>2.1879491369390562</v>
      </c>
      <c r="BZ24" s="350">
        <f t="shared" ca="1" si="23"/>
        <v>2.2738088408938513</v>
      </c>
      <c r="CA24" s="351">
        <f t="shared" ca="1" si="24"/>
        <v>2.3299794745111075</v>
      </c>
      <c r="CB24" s="333"/>
      <c r="CC24" s="333"/>
      <c r="CD24" s="333"/>
      <c r="CE24" s="333"/>
      <c r="CF24" s="333"/>
      <c r="CG24" s="333"/>
      <c r="CH24" s="333"/>
      <c r="CI24" s="333"/>
      <c r="CJ24" s="333"/>
      <c r="CK24" s="333"/>
      <c r="CL24" s="333"/>
      <c r="CM24" s="333"/>
      <c r="CN24" s="336"/>
      <c r="CO24" s="974"/>
      <c r="CP24" s="974"/>
      <c r="CS24" s="277">
        <f t="shared" si="13"/>
        <v>4.2</v>
      </c>
      <c r="CT24" s="277">
        <f t="shared" ca="1" si="13"/>
        <v>1.5348019644396091</v>
      </c>
    </row>
    <row r="25" spans="1:98">
      <c r="A25">
        <v>24</v>
      </c>
      <c r="B25" t="s">
        <v>139</v>
      </c>
      <c r="C25" s="553"/>
      <c r="D25" s="554"/>
      <c r="E25" s="172" t="str">
        <f t="shared" si="3"/>
        <v/>
      </c>
      <c r="F25" s="555" t="str">
        <f t="shared" si="15"/>
        <v/>
      </c>
      <c r="G25" s="172" t="str">
        <f t="shared" si="5"/>
        <v/>
      </c>
      <c r="H25" t="str">
        <f t="shared" si="6"/>
        <v/>
      </c>
      <c r="I25" s="552" t="str" cm="1">
        <f t="array" ref="I25">IF(H25&lt;&gt;"",INDEX($B$2:$B$66,H25+1),"")</f>
        <v/>
      </c>
      <c r="J25" s="554" t="str">
        <f t="shared" si="0"/>
        <v/>
      </c>
      <c r="K25" t="str">
        <f t="shared" si="14"/>
        <v/>
      </c>
      <c r="L25" s="2" t="str">
        <f t="shared" si="8"/>
        <v/>
      </c>
      <c r="M25" t="str">
        <f t="shared" si="9"/>
        <v/>
      </c>
      <c r="N25" s="2" t="str">
        <f t="shared" si="10"/>
        <v/>
      </c>
      <c r="O25" s="172" t="str">
        <f t="shared" si="1"/>
        <v/>
      </c>
      <c r="P25" s="177" t="str">
        <f t="shared" si="11"/>
        <v/>
      </c>
      <c r="Q25" s="172" t="str">
        <f t="shared" si="2"/>
        <v/>
      </c>
      <c r="R25" s="553" t="str">
        <f t="shared" si="12"/>
        <v/>
      </c>
      <c r="S25" s="553"/>
      <c r="T25" s="172"/>
      <c r="U25" s="2">
        <v>135</v>
      </c>
      <c r="V25" s="611">
        <v>0.20659722222222299</v>
      </c>
      <c r="W25" s="176">
        <v>-0.7985119047619077</v>
      </c>
      <c r="X25" s="176">
        <v>1.6691170634920673</v>
      </c>
      <c r="Y25" s="176">
        <v>-4.8907142857144037E-2</v>
      </c>
      <c r="Z25" s="176">
        <v>1.8236243276179656E-3</v>
      </c>
      <c r="AA25" s="176">
        <v>-3.8563869115859385E-2</v>
      </c>
      <c r="AB25" s="176">
        <v>0.64864666193834075</v>
      </c>
      <c r="AC25" s="612">
        <v>0.49244587960619163</v>
      </c>
      <c r="AF25">
        <v>14</v>
      </c>
      <c r="AG25" t="s">
        <v>167</v>
      </c>
      <c r="AH25" s="979" t="s">
        <v>2231</v>
      </c>
      <c r="AI25" s="980"/>
      <c r="AJ25" s="978"/>
      <c r="AK25" s="978"/>
      <c r="AL25" s="978"/>
      <c r="BB25" s="13"/>
      <c r="BC25" s="63"/>
      <c r="BD25" s="12" t="s">
        <v>114</v>
      </c>
      <c r="BE25" s="486">
        <v>6</v>
      </c>
      <c r="BF25" s="13">
        <v>6</v>
      </c>
      <c r="BG25" s="12" t="s">
        <v>114</v>
      </c>
      <c r="BH25" s="109" t="s">
        <v>1067</v>
      </c>
      <c r="BJ25" s="12" t="s">
        <v>114</v>
      </c>
      <c r="BK25" s="262" t="s">
        <v>270</v>
      </c>
      <c r="BL25" s="13"/>
      <c r="BM25" s="333"/>
      <c r="BN25" s="333"/>
      <c r="BO25" s="333"/>
      <c r="BP25" s="438">
        <v>2.4</v>
      </c>
      <c r="BQ25" s="439">
        <f t="shared" ca="1" si="25"/>
        <v>1.0015778534598689</v>
      </c>
      <c r="BR25" s="350">
        <f t="shared" ca="1" si="16"/>
        <v>1.0380493774192947</v>
      </c>
      <c r="BS25" s="350">
        <f t="shared" ca="1" si="17"/>
        <v>1.0715273969297578</v>
      </c>
      <c r="BT25" s="350">
        <f t="shared" ca="1" si="18"/>
        <v>1.1188724382221253</v>
      </c>
      <c r="BU25" s="351">
        <f t="shared" ca="1" si="19"/>
        <v>1.149859515633805</v>
      </c>
      <c r="BV25" s="972">
        <v>5.5</v>
      </c>
      <c r="BW25" s="439">
        <f t="shared" ca="1" si="20"/>
        <v>1.9149687990303583</v>
      </c>
      <c r="BX25" s="350">
        <f t="shared" ca="1" si="21"/>
        <v>1.97709627651946</v>
      </c>
      <c r="BY25" s="350">
        <f t="shared" ca="1" si="22"/>
        <v>2.0341006414824845</v>
      </c>
      <c r="BZ25" s="350">
        <f t="shared" ca="1" si="23"/>
        <v>2.1146679434607201</v>
      </c>
      <c r="CA25" s="351">
        <f t="shared" ca="1" si="24"/>
        <v>2.1673834107945633</v>
      </c>
      <c r="CB25" s="333"/>
      <c r="CC25" s="333"/>
      <c r="CD25" s="333"/>
      <c r="CE25" s="333"/>
      <c r="CF25" s="333"/>
      <c r="CG25" s="339">
        <v>0</v>
      </c>
      <c r="CH25" s="462" t="str">
        <f>BH15</f>
        <v>0 %</v>
      </c>
      <c r="CI25" s="333"/>
      <c r="CJ25" s="333"/>
      <c r="CK25" s="333"/>
      <c r="CL25" s="333"/>
      <c r="CM25" s="333"/>
      <c r="CN25" s="336"/>
      <c r="CO25" s="974"/>
      <c r="CP25" s="974"/>
      <c r="CS25" s="277">
        <f t="shared" si="13"/>
        <v>4.0999999999999996</v>
      </c>
      <c r="CT25" s="277">
        <f t="shared" ca="1" si="13"/>
        <v>1.5054511663618222</v>
      </c>
    </row>
    <row r="26" spans="1:98">
      <c r="A26">
        <v>25</v>
      </c>
      <c r="B26" t="s">
        <v>144</v>
      </c>
      <c r="C26" s="553"/>
      <c r="D26" s="554"/>
      <c r="E26" s="172" t="str">
        <f t="shared" si="3"/>
        <v/>
      </c>
      <c r="F26" s="555" t="str">
        <f t="shared" si="15"/>
        <v/>
      </c>
      <c r="G26" s="172" t="str">
        <f t="shared" si="5"/>
        <v/>
      </c>
      <c r="H26" t="str">
        <f t="shared" si="6"/>
        <v/>
      </c>
      <c r="I26" s="552" t="str" cm="1">
        <f t="array" ref="I26">IF(H26&lt;&gt;"",INDEX($B$2:$B$66,H26+1),"")</f>
        <v/>
      </c>
      <c r="J26" s="554" t="str">
        <f t="shared" si="0"/>
        <v/>
      </c>
      <c r="K26" t="str">
        <f t="shared" si="14"/>
        <v/>
      </c>
      <c r="L26" s="2" t="str">
        <f t="shared" si="8"/>
        <v/>
      </c>
      <c r="M26" t="str">
        <f t="shared" si="9"/>
        <v/>
      </c>
      <c r="N26" s="2" t="str">
        <f t="shared" si="10"/>
        <v/>
      </c>
      <c r="O26" s="172" t="str">
        <f t="shared" si="1"/>
        <v/>
      </c>
      <c r="P26" s="177" t="str">
        <f t="shared" si="11"/>
        <v/>
      </c>
      <c r="Q26" s="172" t="str">
        <f t="shared" si="2"/>
        <v/>
      </c>
      <c r="R26" s="553" t="str">
        <f t="shared" si="12"/>
        <v/>
      </c>
      <c r="S26" s="553"/>
      <c r="T26" s="172" t="s">
        <v>236</v>
      </c>
      <c r="U26" s="2">
        <v>180</v>
      </c>
      <c r="V26" s="611">
        <v>0.32407407407407601</v>
      </c>
      <c r="W26" s="176">
        <v>-1.149801587301595</v>
      </c>
      <c r="X26" s="176">
        <v>2.0277116402116495</v>
      </c>
      <c r="Y26" s="176">
        <v>-8.5190476190479036E-2</v>
      </c>
      <c r="Z26" s="176">
        <v>1.9347670572038246E-3</v>
      </c>
      <c r="AA26" s="176">
        <v>-4.054998591728981E-2</v>
      </c>
      <c r="AB26" s="176">
        <v>0.67126373912104753</v>
      </c>
      <c r="AC26" s="612">
        <v>0.58469423669646048</v>
      </c>
      <c r="AF26">
        <v>15</v>
      </c>
      <c r="AG26" s="10" t="s">
        <v>2280</v>
      </c>
      <c r="AH26" s="979" t="s">
        <v>2273</v>
      </c>
      <c r="AI26" s="980"/>
      <c r="AJ26" s="978"/>
      <c r="AK26" s="978"/>
      <c r="AL26" s="978"/>
      <c r="AW26" s="10">
        <v>1</v>
      </c>
      <c r="AX26" s="13"/>
      <c r="AY26" s="13"/>
      <c r="AZ26" s="13"/>
      <c r="BA26" s="13"/>
      <c r="BC26" s="63"/>
      <c r="BD26" s="12" t="s">
        <v>119</v>
      </c>
      <c r="BE26" s="486">
        <v>5.5</v>
      </c>
      <c r="BF26" s="13">
        <v>5.5</v>
      </c>
      <c r="BG26" s="12" t="s">
        <v>119</v>
      </c>
      <c r="BH26" s="109" t="s">
        <v>1068</v>
      </c>
      <c r="BJ26" s="12" t="s">
        <v>119</v>
      </c>
      <c r="BK26" s="262" t="s">
        <v>53</v>
      </c>
      <c r="BL26" s="13"/>
      <c r="BM26" s="333"/>
      <c r="BN26" s="333"/>
      <c r="BO26" s="333"/>
      <c r="BP26" s="438">
        <v>2.2999999999999998</v>
      </c>
      <c r="BQ26" s="439">
        <f t="shared" ca="1" si="25"/>
        <v>0.97155689851937699</v>
      </c>
      <c r="BR26" s="350">
        <f t="shared" ca="1" si="16"/>
        <v>1.0071747057921516</v>
      </c>
      <c r="BS26" s="350">
        <f t="shared" ca="1" si="17"/>
        <v>1.0398736459138522</v>
      </c>
      <c r="BT26" s="350">
        <f t="shared" ca="1" si="18"/>
        <v>1.0861121301488912</v>
      </c>
      <c r="BU26" s="351">
        <f t="shared" ca="1" si="19"/>
        <v>1.1163732574524947</v>
      </c>
      <c r="BV26" s="972">
        <v>5</v>
      </c>
      <c r="BW26" s="439">
        <f t="shared" ca="1" si="20"/>
        <v>1.7689596480980081</v>
      </c>
      <c r="BX26" s="350">
        <f t="shared" ca="1" si="21"/>
        <v>1.8270005263183005</v>
      </c>
      <c r="BY26" s="350">
        <f t="shared" ca="1" si="22"/>
        <v>1.8802495780333484</v>
      </c>
      <c r="BZ26" s="350">
        <f t="shared" ca="1" si="23"/>
        <v>1.9555315366365762</v>
      </c>
      <c r="CA26" s="351">
        <f t="shared" ca="1" si="24"/>
        <v>2.0047959537875575</v>
      </c>
      <c r="CB26" s="333"/>
      <c r="CC26" s="333"/>
      <c r="CD26" s="333"/>
      <c r="CE26" s="333"/>
      <c r="CF26" s="333"/>
      <c r="CG26" s="333"/>
      <c r="CH26" s="333"/>
      <c r="CI26" s="333"/>
      <c r="CJ26" s="333"/>
      <c r="CK26" s="333"/>
      <c r="CL26" s="333"/>
      <c r="CM26" s="333"/>
      <c r="CN26" s="336"/>
      <c r="CO26" s="974"/>
      <c r="CP26" s="974"/>
      <c r="CS26" s="277">
        <f t="shared" si="13"/>
        <v>4</v>
      </c>
      <c r="CT26" s="277">
        <f t="shared" ca="1" si="13"/>
        <v>1.4760769371323663</v>
      </c>
    </row>
    <row r="27" spans="1:98">
      <c r="A27">
        <v>26</v>
      </c>
      <c r="B27" t="s">
        <v>150</v>
      </c>
      <c r="C27" s="553"/>
      <c r="D27" s="554"/>
      <c r="E27" s="172" t="str">
        <f t="shared" si="3"/>
        <v/>
      </c>
      <c r="F27" s="555" t="str">
        <f t="shared" si="15"/>
        <v/>
      </c>
      <c r="G27" s="172" t="str">
        <f t="shared" si="5"/>
        <v/>
      </c>
      <c r="H27" t="str">
        <f t="shared" si="6"/>
        <v/>
      </c>
      <c r="I27" s="552" t="str" cm="1">
        <f t="array" ref="I27">IF(H27&lt;&gt;"",INDEX($B$2:$B$66,H27+1),"")</f>
        <v/>
      </c>
      <c r="J27" s="554" t="str">
        <f t="shared" si="0"/>
        <v/>
      </c>
      <c r="K27" t="str">
        <f t="shared" si="14"/>
        <v/>
      </c>
      <c r="L27" s="2" t="str">
        <f t="shared" si="8"/>
        <v/>
      </c>
      <c r="M27" t="str">
        <f t="shared" si="9"/>
        <v/>
      </c>
      <c r="N27" s="2" t="str">
        <f t="shared" si="10"/>
        <v/>
      </c>
      <c r="O27" s="172" t="str">
        <f t="shared" si="1"/>
        <v/>
      </c>
      <c r="P27" s="177" t="str">
        <f>IF(J27&lt;&gt;"",RIGHT(P26,LEN(P26)-J26),"")</f>
        <v/>
      </c>
      <c r="Q27" s="172" t="str">
        <f t="shared" si="2"/>
        <v/>
      </c>
      <c r="R27" s="553" t="str">
        <f t="shared" si="12"/>
        <v/>
      </c>
      <c r="S27" s="553"/>
      <c r="T27" s="172"/>
      <c r="U27" s="2">
        <v>250</v>
      </c>
      <c r="V27" s="611">
        <v>0.23668981481481621</v>
      </c>
      <c r="W27" s="176">
        <v>-0.9129960317460365</v>
      </c>
      <c r="X27" s="176">
        <v>1.8950958994709048</v>
      </c>
      <c r="Y27" s="176">
        <v>6.9626190476188565E-2</v>
      </c>
      <c r="Z27" s="176">
        <v>2.0586432783059323E-3</v>
      </c>
      <c r="AA27" s="176">
        <v>-4.2537361413404452E-2</v>
      </c>
      <c r="AB27" s="176">
        <v>0.69587670344274999</v>
      </c>
      <c r="AC27" s="612">
        <v>0.74098791478278148</v>
      </c>
      <c r="AD27" s="958"/>
      <c r="AE27" s="959"/>
      <c r="AF27">
        <v>16</v>
      </c>
      <c r="AG27" s="10" t="s">
        <v>2282</v>
      </c>
      <c r="AH27" s="979" t="s">
        <v>2277</v>
      </c>
      <c r="AI27" s="980"/>
      <c r="AJ27" s="978"/>
      <c r="AK27" s="978"/>
      <c r="AL27" s="978"/>
      <c r="AO27" s="958"/>
      <c r="AP27" s="959" t="s">
        <v>2252</v>
      </c>
      <c r="AQ27" s="19">
        <v>0</v>
      </c>
      <c r="AR27" s="19">
        <v>1</v>
      </c>
      <c r="AS27" s="19">
        <v>2</v>
      </c>
      <c r="AT27" s="19">
        <v>3</v>
      </c>
      <c r="AU27" s="19">
        <v>4</v>
      </c>
      <c r="AW27" s="959" t="s">
        <v>2252</v>
      </c>
      <c r="AX27" s="19">
        <v>0</v>
      </c>
      <c r="AY27" s="19">
        <v>1</v>
      </c>
      <c r="AZ27" s="19">
        <v>2</v>
      </c>
      <c r="BA27" s="19">
        <v>3</v>
      </c>
      <c r="BB27" s="19">
        <v>4</v>
      </c>
      <c r="BC27" s="63"/>
      <c r="BD27" s="12" t="s">
        <v>123</v>
      </c>
      <c r="BE27" s="486">
        <v>5</v>
      </c>
      <c r="BF27" s="13">
        <v>5</v>
      </c>
      <c r="BG27" s="12" t="s">
        <v>123</v>
      </c>
      <c r="BH27" s="109" t="s">
        <v>1069</v>
      </c>
      <c r="BJ27" s="12" t="s">
        <v>123</v>
      </c>
      <c r="BK27" s="262" t="s">
        <v>62</v>
      </c>
      <c r="BL27" s="13"/>
      <c r="BM27" s="333"/>
      <c r="BN27" s="333"/>
      <c r="BO27" s="333"/>
      <c r="BP27" s="438">
        <v>2.2000000000000002</v>
      </c>
      <c r="BQ27" s="439">
        <f t="shared" ca="1" si="25"/>
        <v>0.94148328935278558</v>
      </c>
      <c r="BR27" s="350">
        <f t="shared" ca="1" si="16"/>
        <v>0.97624472178689681</v>
      </c>
      <c r="BS27" s="350">
        <f t="shared" ca="1" si="17"/>
        <v>1.0081625200185886</v>
      </c>
      <c r="BT27" s="350">
        <f t="shared" ca="1" si="18"/>
        <v>1.0532909782323856</v>
      </c>
      <c r="BU27" s="351">
        <f t="shared" ca="1" si="19"/>
        <v>1.0828236849663646</v>
      </c>
      <c r="BV27" s="972">
        <v>4.9000000000000004</v>
      </c>
      <c r="BW27" s="439">
        <f t="shared" ca="1" si="20"/>
        <v>1.7397378530847156</v>
      </c>
      <c r="BX27" s="350">
        <f t="shared" ca="1" si="21"/>
        <v>1.7969613695959317</v>
      </c>
      <c r="BY27" s="350">
        <f t="shared" ca="1" si="22"/>
        <v>1.8494593698795321</v>
      </c>
      <c r="BZ27" s="350">
        <f t="shared" ca="1" si="23"/>
        <v>1.9236838173278277</v>
      </c>
      <c r="CA27" s="351">
        <f t="shared" ca="1" si="24"/>
        <v>1.972257612556763</v>
      </c>
      <c r="CB27" s="333"/>
      <c r="CC27" s="333"/>
      <c r="CD27" s="333"/>
      <c r="CE27" s="333"/>
      <c r="CF27" s="333"/>
      <c r="CG27" s="441">
        <f ca="1">IF(BL1,"",AF1)</f>
        <v>1</v>
      </c>
      <c r="CH27" s="333"/>
      <c r="CI27" s="333"/>
      <c r="CJ27" s="333"/>
      <c r="CK27" s="333"/>
      <c r="CL27" s="333"/>
      <c r="CM27" s="333"/>
      <c r="CN27" s="336"/>
      <c r="CO27" s="974"/>
      <c r="CP27" s="974"/>
      <c r="CS27" s="277">
        <f t="shared" si="13"/>
        <v>3.9</v>
      </c>
      <c r="CT27" s="277">
        <f t="shared" ca="1" si="13"/>
        <v>1.446677653247106</v>
      </c>
    </row>
    <row r="28" spans="1:98">
      <c r="A28">
        <v>27</v>
      </c>
      <c r="B28" t="s">
        <v>154</v>
      </c>
      <c r="C28" s="556"/>
      <c r="D28" s="556"/>
      <c r="E28" s="557"/>
      <c r="F28" s="557"/>
      <c r="G28" s="557"/>
      <c r="H28" s="557"/>
      <c r="I28" s="557"/>
      <c r="J28" s="556"/>
      <c r="K28" s="557"/>
      <c r="L28" s="556"/>
      <c r="M28" s="557"/>
      <c r="N28" s="556"/>
      <c r="O28" s="557"/>
      <c r="P28" s="557"/>
      <c r="Q28" s="557"/>
      <c r="R28" s="556"/>
      <c r="S28" s="556"/>
      <c r="T28" s="172"/>
      <c r="U28" s="2">
        <v>300</v>
      </c>
      <c r="V28" s="613">
        <v>-9.3171296296298944E-2</v>
      </c>
      <c r="W28" s="614">
        <v>-4.0972222222213327E-2</v>
      </c>
      <c r="X28" s="614">
        <v>1.2499570105820013</v>
      </c>
      <c r="Y28" s="614">
        <v>0.34726904761905097</v>
      </c>
      <c r="Z28" s="614">
        <v>2.1103222092843359E-3</v>
      </c>
      <c r="AA28" s="614">
        <v>-4.3194028396624798E-2</v>
      </c>
      <c r="AB28" s="614">
        <v>0.70637135368904624</v>
      </c>
      <c r="AC28" s="615">
        <v>0.84975587340680536</v>
      </c>
      <c r="AD28" s="957"/>
      <c r="AE28" s="671"/>
      <c r="AF28">
        <v>17</v>
      </c>
      <c r="AG28" t="s">
        <v>173</v>
      </c>
      <c r="AH28" s="177" t="s">
        <v>2233</v>
      </c>
      <c r="AI28"/>
      <c r="AJ28"/>
      <c r="AK28"/>
      <c r="AL28"/>
      <c r="AO28" s="486">
        <v>10</v>
      </c>
      <c r="AP28" s="671">
        <f>coef_m2*$AO28^coef_c2+coef_m3*$AO28^coef_c3+coef_m4*$AO28^coef_c4+coef_d4</f>
        <v>0</v>
      </c>
      <c r="AQ28" s="161">
        <f ca="1">IF($AO28&lt;1.6,$AF$48*$AO28^3+$AG$48*$AO28^2+$AH$48*$AO28+$AI$48,$AJ$48*$AO28^3+$AK$48*$AO28^2+$AL$48*$AO28+$AM$48)+$AP28</f>
        <v>3.252613863945212</v>
      </c>
      <c r="AR28" s="161">
        <f ca="1">IF($AO28&lt;1.6,$AF$49*$AO28^3+$AG$49*$AO28^2+$AH$49*$AO28+$AI$49,$AJ$49*$AO28^3+$AK$49*$AO28^2+$AL$49*$AO28+$AM$49)+$AP28</f>
        <v>3.3532898742735058</v>
      </c>
      <c r="AS28" s="161">
        <f ca="1">IF($AO28&lt;1.6,$AF$50*$AO28^3+$AG$50*$AO28^2+$AH$50*$AO28+$AI$50,$AJ$50*$AO28^3+$AK$50*$AO28^2+$AL$50*$AO28+$AM$50)+$AP28</f>
        <v>3.4454909776977862</v>
      </c>
      <c r="AT28" s="161">
        <f ca="1">IF($AO28&lt;1.6,$AF$51*$AO28^3+$AG$51*$AO28^2+$AH$51*$AO28+$AI$51,$AJ$51*$AO28^3+$AK$51*$AO28^2+$AL$51*$AO28+$AM$51)+$AP28</f>
        <v>3.5757024327345475</v>
      </c>
      <c r="AU28" s="161">
        <f ca="1">IF($AO28&lt;1.6,$AF$52*$AO28^3+$AG$52*$AO28^2+$AH$52*$AO28+$AI$52,$AJ$52*$AO28^3+$AK$52*$AO28^2+$AL$52*$AO28+$AM$52)+$AP28</f>
        <v>3.6608977819750708</v>
      </c>
      <c r="AV28" s="486">
        <v>10</v>
      </c>
      <c r="AW28" s="671">
        <f t="shared" ref="AW28:AW59" si="26">coef_m4_np*$AV28^coef_c4_np+coef_d4_np</f>
        <v>0</v>
      </c>
      <c r="AX28" s="161">
        <f ca="1">IF($AO28&lt;1.6,$AF$60*$AO28^3+$AG$60*$AO28^2+$AH$60*$AO28+$AI$60,$AJ$60*$AO28^3+$AK$60*$AO28^2+$AL$60*$AO28+$AM$60)+$AW28</f>
        <v>3.252613863945212</v>
      </c>
      <c r="AY28" s="161">
        <f ca="1">IF($AO28&lt;1.6,$AF$61*$AO28^3+$AG$61*$AO28^2+$AH$61*$AO28+$AI$61,$AJ$61*$AO28^3+$AK$61*$AO28^2+$AL$61*$AO28+$AM$61)+$AW28</f>
        <v>3.3532898742735058</v>
      </c>
      <c r="AZ28" s="161">
        <f ca="1">IF($AO28&lt;1.6,$AF$62*$AO28^3+$AG$62*$AO28^2+$AH$62*$AO28+$AI$62,$AJ$62*$AO28^3+$AK$62*$AO28^2+$AL$62*$AO28+$AM$62)+$AW28</f>
        <v>3.4454909776977862</v>
      </c>
      <c r="BA28" s="161">
        <f ca="1">IF($AO28&lt;1.6,$AF$63*$AO28^3+$AG$63*$AO28^2+$AH$63*$AO28+$AI$63,$AJ$63*$AO28^3+$AK$63*$AO28^2+$AL$63*$AO28+$AM$63)+$AW28</f>
        <v>3.5757024327345475</v>
      </c>
      <c r="BB28" s="161">
        <f ca="1">IF($AO28&lt;1.6,$AF$64*$AO28^3+$AG$64*$AO28^2+$AH$64*$AO28+$AI$64,$AJ$64*$AO28^3+$AK$64*$AO28^2+$AL$64*$AO28+$AM$64)+$AW28</f>
        <v>3.6608977819750708</v>
      </c>
      <c r="BC28" s="63"/>
      <c r="BD28" s="12" t="s">
        <v>127</v>
      </c>
      <c r="BE28" s="486">
        <v>4.9000000000000004</v>
      </c>
      <c r="BF28" s="13">
        <v>4.9000000000000004</v>
      </c>
      <c r="BG28" s="12" t="s">
        <v>127</v>
      </c>
      <c r="BH28" s="109" t="s">
        <v>1070</v>
      </c>
      <c r="BJ28" s="12" t="s">
        <v>127</v>
      </c>
      <c r="BK28" s="262" t="s">
        <v>72</v>
      </c>
      <c r="BL28" s="13"/>
      <c r="BM28" s="333"/>
      <c r="BN28" s="333"/>
      <c r="BO28" s="333"/>
      <c r="BP28" s="438">
        <v>2.1</v>
      </c>
      <c r="BQ28" s="439">
        <f t="shared" ca="1" si="25"/>
        <v>0.91135540245595936</v>
      </c>
      <c r="BR28" s="350">
        <f t="shared" ca="1" si="16"/>
        <v>0.94525770857468006</v>
      </c>
      <c r="BS28" s="350">
        <f t="shared" ca="1" si="17"/>
        <v>0.97639222948897753</v>
      </c>
      <c r="BT28" s="350">
        <f t="shared" ca="1" si="18"/>
        <v>1.0204070754892445</v>
      </c>
      <c r="BU28" s="351">
        <f t="shared" ca="1" si="19"/>
        <v>1.0492088088450016</v>
      </c>
      <c r="BV28" s="972">
        <v>4.8</v>
      </c>
      <c r="BW28" s="439">
        <f t="shared" ca="1" si="20"/>
        <v>1.7105056149528339</v>
      </c>
      <c r="BX28" s="350">
        <f t="shared" ca="1" si="21"/>
        <v>1.7669115380455354</v>
      </c>
      <c r="BY28" s="350">
        <f t="shared" ca="1" si="22"/>
        <v>1.8186583204760771</v>
      </c>
      <c r="BZ28" s="350">
        <f t="shared" ca="1" si="23"/>
        <v>1.8918248357432574</v>
      </c>
      <c r="CA28" s="351">
        <f t="shared" ca="1" si="24"/>
        <v>1.9397076796118746</v>
      </c>
      <c r="CB28" s="333"/>
      <c r="CC28" s="333"/>
      <c r="CD28" s="333"/>
      <c r="CE28" s="333"/>
      <c r="CF28" s="333"/>
      <c r="CG28" s="333"/>
      <c r="CH28" s="333"/>
      <c r="CI28" s="333"/>
      <c r="CJ28" s="333"/>
      <c r="CK28" s="333"/>
      <c r="CL28" s="333"/>
      <c r="CM28" s="333"/>
      <c r="CN28" s="336"/>
      <c r="CO28" s="974"/>
      <c r="CP28" s="974"/>
      <c r="CS28" s="277">
        <f>BV38</f>
        <v>3.8</v>
      </c>
      <c r="CT28" s="277">
        <f ca="1">BW38</f>
        <v>1.4172516912019062</v>
      </c>
    </row>
    <row r="29" spans="1:98">
      <c r="A29">
        <v>28</v>
      </c>
      <c r="B29" t="s">
        <v>159</v>
      </c>
      <c r="L29"/>
      <c r="S29" s="955"/>
      <c r="T29" s="172"/>
      <c r="U29" s="2">
        <v>90</v>
      </c>
      <c r="V29" s="606">
        <v>-3.2696759259261403E-2</v>
      </c>
      <c r="W29" s="607">
        <v>6.0019841269908763E-3</v>
      </c>
      <c r="X29" s="607">
        <v>0.51519675925925279</v>
      </c>
      <c r="Y29" s="607">
        <v>0.28682023809523993</v>
      </c>
      <c r="Z29" s="607">
        <v>6.8728578886356371E-4</v>
      </c>
      <c r="AA29" s="607">
        <v>-1.2822314964895254E-2</v>
      </c>
      <c r="AB29" s="607">
        <v>0.40564991260973599</v>
      </c>
      <c r="AC29" s="608">
        <v>0.3938100535790855</v>
      </c>
      <c r="AD29" s="957"/>
      <c r="AE29" s="671"/>
      <c r="AF29">
        <v>18</v>
      </c>
      <c r="AG29" t="s">
        <v>197</v>
      </c>
      <c r="AH29" s="177" t="s">
        <v>2236</v>
      </c>
      <c r="AI29"/>
      <c r="AJ29"/>
      <c r="AK29"/>
      <c r="AL29"/>
      <c r="AO29" s="486">
        <v>9.5</v>
      </c>
      <c r="AP29" s="671">
        <f t="shared" ref="AP29:AP59" si="27">coef_m2*$AO29^coef_c2+coef_m3*$AO29^coef_c3+coef_m4*$AO29^coef_c4+coef_d4</f>
        <v>0</v>
      </c>
      <c r="AQ29" s="161">
        <f t="shared" ref="AQ29:AQ69" ca="1" si="28">IF($AO29&lt;1.6,$AF$48*$AO29^3+$AG$48*$AO29^2+$AH$48*$AO29+$AI$48,$AJ$48*$AO29^3+$AK$48*$AO29^2+$AL$48*$AO29+$AM$48)+$AP29</f>
        <v>3.0994569155055993</v>
      </c>
      <c r="AR29" s="161">
        <f t="shared" ref="AR29:AR69" ca="1" si="29">IF($AO29&lt;1.6,$AF$49*$AO29^3+$AG$49*$AO29^2+$AH$49*$AO29+$AI$49,$AJ$49*$AO29^3+$AK$49*$AO29^2+$AL$49*$AO29+$AM$49)+$AP29</f>
        <v>3.1955525116095127</v>
      </c>
      <c r="AS29" s="161">
        <f t="shared" ref="AS29:AS69" ca="1" si="30">IF($AO29&lt;1.6,$AF$50*$AO29^3+$AG$50*$AO29^2+$AH$50*$AO29+$AI$50,$AJ$50*$AO29^3+$AK$50*$AO29^2+$AL$50*$AO29+$AM$50)+$AP29</f>
        <v>3.283609128730185</v>
      </c>
      <c r="AT29" s="161">
        <f t="shared" ref="AT29:AT69" ca="1" si="31">IF($AO29&lt;1.6,$AF$51*$AO29^3+$AG$51*$AO29^2+$AH$51*$AO29+$AI$51,$AJ$51*$AO29^3+$AK$51*$AO29^2+$AL$51*$AO29+$AM$51)+$AP29</f>
        <v>3.4079441852938843</v>
      </c>
      <c r="AU29" s="161">
        <f t="shared" ref="AU29:AU69" ca="1" si="32">IF($AO29&lt;1.6,$AF$52*$AO29^3+$AG$52*$AO29^2+$AH$52*$AO29+$AI$52,$AJ$52*$AO29^3+$AK$52*$AO29^2+$AL$52*$AO29+$AM$52)+$AP29</f>
        <v>3.4892808777257511</v>
      </c>
      <c r="AV29" s="486">
        <v>9.5</v>
      </c>
      <c r="AW29" s="671">
        <f t="shared" si="26"/>
        <v>0</v>
      </c>
      <c r="AX29" s="161">
        <f t="shared" ref="AX29:AX92" ca="1" si="33">IF($AO29&lt;1.6,$AF$60*$AO29^3+$AG$60*$AO29^2+$AH$60*$AO29+$AI$60,$AJ$60*$AO29^3+$AK$60*$AO29^2+$AL$60*$AO29+$AM$60)+$AW29</f>
        <v>3.0994569155055993</v>
      </c>
      <c r="AY29" s="161">
        <f t="shared" ref="AY29:AY92" ca="1" si="34">IF($AO29&lt;1.6,$AF$61*$AO29^3+$AG$61*$AO29^2+$AH$61*$AO29+$AI$61,$AJ$61*$AO29^3+$AK$61*$AO29^2+$AL$61*$AO29+$AM$61)+$AW29</f>
        <v>3.1955525116095127</v>
      </c>
      <c r="AZ29" s="161">
        <f t="shared" ref="AZ29:AZ92" ca="1" si="35">IF($AO29&lt;1.6,$AF$62*$AO29^3+$AG$62*$AO29^2+$AH$62*$AO29+$AI$62,$AJ$62*$AO29^3+$AK$62*$AO29^2+$AL$62*$AO29+$AM$62)+$AW29</f>
        <v>3.283609128730185</v>
      </c>
      <c r="BA29" s="161">
        <f t="shared" ref="BA29:BA92" ca="1" si="36">IF($AO29&lt;1.6,$AF$63*$AO29^3+$AG$63*$AO29^2+$AH$63*$AO29+$AI$63,$AJ$63*$AO29^3+$AK$63*$AO29^2+$AL$63*$AO29+$AM$63)+$AW29</f>
        <v>3.4079441852938843</v>
      </c>
      <c r="BB29" s="161">
        <f t="shared" ref="BB29:BB69" ca="1" si="37">IF($AO29&lt;1.6,$AF$64*$AO29^3+$AG$64*$AO29^2+$AH$64*$AO29+$AI$64,$AJ$64*$AO29^3+$AK$64*$AO29^2+$AL$64*$AO29+$AM$64)+$AW29</f>
        <v>3.4892808777257511</v>
      </c>
      <c r="BC29" s="63"/>
      <c r="BD29" s="12" t="s">
        <v>131</v>
      </c>
      <c r="BE29" s="486">
        <v>4.8</v>
      </c>
      <c r="BF29" s="13">
        <v>4.8</v>
      </c>
      <c r="BG29" s="12" t="s">
        <v>131</v>
      </c>
      <c r="BH29" s="109" t="s">
        <v>1071</v>
      </c>
      <c r="BJ29" s="12" t="s">
        <v>131</v>
      </c>
      <c r="BK29" s="262" t="s">
        <v>79</v>
      </c>
      <c r="BL29" s="13"/>
      <c r="BM29" s="333"/>
      <c r="BN29" s="333"/>
      <c r="BO29" s="333"/>
      <c r="BP29" s="438">
        <v>2</v>
      </c>
      <c r="BQ29" s="439">
        <f t="shared" ca="1" si="25"/>
        <v>0.88117161432476365</v>
      </c>
      <c r="BR29" s="350">
        <f t="shared" ca="1" si="16"/>
        <v>0.91421194932665251</v>
      </c>
      <c r="BS29" s="350">
        <f t="shared" ca="1" si="17"/>
        <v>0.9445609845700299</v>
      </c>
      <c r="BT29" s="350">
        <f t="shared" ca="1" si="18"/>
        <v>0.9874585149361047</v>
      </c>
      <c r="BU29" s="351">
        <f t="shared" ca="1" si="19"/>
        <v>1.0155266397579936</v>
      </c>
      <c r="BV29" s="972">
        <v>4.7</v>
      </c>
      <c r="BW29" s="439">
        <f t="shared" ca="1" si="20"/>
        <v>1.6812613101982281</v>
      </c>
      <c r="BX29" s="350">
        <f t="shared" ca="1" si="21"/>
        <v>1.7368493148382622</v>
      </c>
      <c r="BY29" s="350">
        <f t="shared" ca="1" si="22"/>
        <v>1.7878446400679953</v>
      </c>
      <c r="BZ29" s="350">
        <f t="shared" ca="1" si="23"/>
        <v>1.8599526848995027</v>
      </c>
      <c r="CA29" s="351">
        <f t="shared" ca="1" si="24"/>
        <v>1.9071441656224801</v>
      </c>
      <c r="CB29" s="333"/>
      <c r="CC29" s="333"/>
      <c r="CD29" s="333"/>
      <c r="CE29" s="333"/>
      <c r="CF29" s="333"/>
      <c r="CG29" s="333"/>
      <c r="CH29" s="333"/>
      <c r="CI29" s="333"/>
      <c r="CJ29" s="333"/>
      <c r="CK29" s="333"/>
      <c r="CL29" s="333"/>
      <c r="CM29" s="333"/>
      <c r="CN29" s="336"/>
      <c r="CO29" s="974"/>
      <c r="CP29" s="974"/>
      <c r="CS29" s="277">
        <f t="shared" si="13"/>
        <v>3.7</v>
      </c>
      <c r="CT29" s="277">
        <f t="shared" ca="1" si="13"/>
        <v>1.3877974274926321</v>
      </c>
    </row>
    <row r="30" spans="1:98">
      <c r="A30">
        <v>29</v>
      </c>
      <c r="B30" t="s">
        <v>163</v>
      </c>
      <c r="T30" s="172"/>
      <c r="U30" s="2">
        <v>135</v>
      </c>
      <c r="V30" s="611">
        <v>3.5879629629628519E-2</v>
      </c>
      <c r="W30" s="176">
        <v>-0.20277777777777428</v>
      </c>
      <c r="X30" s="176">
        <v>0.72733465608465275</v>
      </c>
      <c r="Y30" s="176">
        <v>0.23908095238095342</v>
      </c>
      <c r="Z30" s="176">
        <v>7.1223767985880782E-4</v>
      </c>
      <c r="AA30" s="176">
        <v>-1.3236184292760259E-2</v>
      </c>
      <c r="AB30" s="176">
        <v>0.41589106202162285</v>
      </c>
      <c r="AC30" s="612">
        <v>0.4172683572540043</v>
      </c>
      <c r="AD30" s="957"/>
      <c r="AE30" s="671"/>
      <c r="AF30">
        <v>19</v>
      </c>
      <c r="AG30" t="s">
        <v>218</v>
      </c>
      <c r="AH30" s="177" t="s">
        <v>2240</v>
      </c>
      <c r="AI30"/>
      <c r="AJ30"/>
      <c r="AK30"/>
      <c r="AL30"/>
      <c r="AO30" s="486">
        <v>9</v>
      </c>
      <c r="AP30" s="671">
        <f t="shared" si="27"/>
        <v>0</v>
      </c>
      <c r="AQ30" s="161">
        <f t="shared" ca="1" si="28"/>
        <v>2.9479059188565229</v>
      </c>
      <c r="AR30" s="161">
        <f t="shared" ca="1" si="29"/>
        <v>3.039522631421649</v>
      </c>
      <c r="AS30" s="161">
        <f t="shared" ca="1" si="30"/>
        <v>3.1235144667592518</v>
      </c>
      <c r="AT30" s="161">
        <f t="shared" ca="1" si="31"/>
        <v>3.2420974118256836</v>
      </c>
      <c r="AU30" s="161">
        <f t="shared" ca="1" si="32"/>
        <v>3.3196619105985188</v>
      </c>
      <c r="AV30" s="486">
        <v>9</v>
      </c>
      <c r="AW30" s="671">
        <f t="shared" si="26"/>
        <v>0</v>
      </c>
      <c r="AX30" s="161">
        <f t="shared" ca="1" si="33"/>
        <v>2.9479059188565229</v>
      </c>
      <c r="AY30" s="161">
        <f t="shared" ca="1" si="34"/>
        <v>3.039522631421649</v>
      </c>
      <c r="AZ30" s="161">
        <f t="shared" ca="1" si="35"/>
        <v>3.1235144667592518</v>
      </c>
      <c r="BA30" s="161">
        <f t="shared" ca="1" si="36"/>
        <v>3.2420974118256836</v>
      </c>
      <c r="BB30" s="161">
        <f t="shared" ca="1" si="37"/>
        <v>3.3196619105985188</v>
      </c>
      <c r="BC30" s="63"/>
      <c r="BD30" s="12" t="s">
        <v>135</v>
      </c>
      <c r="BE30" s="486">
        <v>4.7</v>
      </c>
      <c r="BF30" s="13">
        <v>4.7</v>
      </c>
      <c r="BG30" s="12" t="s">
        <v>135</v>
      </c>
      <c r="BH30" s="109" t="s">
        <v>1072</v>
      </c>
      <c r="BJ30" s="12" t="s">
        <v>135</v>
      </c>
      <c r="BK30" s="262" t="s">
        <v>85</v>
      </c>
      <c r="BL30" s="13"/>
      <c r="BM30" s="333"/>
      <c r="BN30" s="333"/>
      <c r="BO30" s="333"/>
      <c r="BP30" s="438">
        <v>1.9</v>
      </c>
      <c r="BQ30" s="439">
        <f t="shared" ca="1" si="25"/>
        <v>0.8509303014550631</v>
      </c>
      <c r="BR30" s="350">
        <f t="shared" ca="1" si="16"/>
        <v>0.88310572721396441</v>
      </c>
      <c r="BS30" s="350">
        <f t="shared" ca="1" si="17"/>
        <v>0.91266699550675656</v>
      </c>
      <c r="BT30" s="350">
        <f t="shared" ca="1" si="18"/>
        <v>0.95444338958960273</v>
      </c>
      <c r="BU30" s="351">
        <f t="shared" ca="1" si="19"/>
        <v>0.98177518837492816</v>
      </c>
      <c r="BV30" s="972">
        <v>4.5999999999999996</v>
      </c>
      <c r="BW30" s="439">
        <f t="shared" ca="1" si="20"/>
        <v>1.6520033153167626</v>
      </c>
      <c r="BX30" s="350">
        <f t="shared" ca="1" si="21"/>
        <v>1.7067729831452623</v>
      </c>
      <c r="BY30" s="350">
        <f t="shared" ca="1" si="22"/>
        <v>1.757016538900297</v>
      </c>
      <c r="BZ30" s="350">
        <f t="shared" ca="1" si="23"/>
        <v>1.828065457813199</v>
      </c>
      <c r="CA30" s="351">
        <f t="shared" ca="1" si="24"/>
        <v>1.8745650812581667</v>
      </c>
      <c r="CB30" s="333"/>
      <c r="CC30" s="333"/>
      <c r="CD30" s="333"/>
      <c r="CE30" s="333"/>
      <c r="CF30" s="333"/>
      <c r="CG30" s="333"/>
      <c r="CH30" s="333"/>
      <c r="CI30" s="333"/>
      <c r="CJ30" s="333"/>
      <c r="CK30" s="333"/>
      <c r="CL30" s="333"/>
      <c r="CM30" s="333"/>
      <c r="CN30" s="336"/>
      <c r="CO30" s="974"/>
      <c r="CP30" s="974"/>
      <c r="CS30" s="277">
        <f t="shared" si="13"/>
        <v>3.6</v>
      </c>
      <c r="CT30" s="277">
        <f t="shared" ca="1" si="13"/>
        <v>1.3583132386151489</v>
      </c>
    </row>
    <row r="31" spans="1:98">
      <c r="A31">
        <v>30</v>
      </c>
      <c r="B31" t="s">
        <v>167</v>
      </c>
      <c r="J31" s="10"/>
      <c r="T31" s="172" t="s">
        <v>159</v>
      </c>
      <c r="U31" s="2">
        <v>180</v>
      </c>
      <c r="V31" s="611">
        <v>0.118055555555556</v>
      </c>
      <c r="W31" s="176">
        <v>-0.44226190476190652</v>
      </c>
      <c r="X31" s="176">
        <v>0.94944444444444676</v>
      </c>
      <c r="Y31" s="176">
        <v>0.1938285714285706</v>
      </c>
      <c r="Z31" s="176">
        <v>7.3636674601224494E-4</v>
      </c>
      <c r="AA31" s="176">
        <v>-1.3637359058804543E-2</v>
      </c>
      <c r="AB31" s="176">
        <v>0.42531834921344203</v>
      </c>
      <c r="AC31" s="612">
        <v>0.43824758006710157</v>
      </c>
      <c r="AD31" s="957"/>
      <c r="AE31" s="671"/>
      <c r="AF31">
        <v>20</v>
      </c>
      <c r="AG31" t="s">
        <v>207</v>
      </c>
      <c r="AH31" s="177" t="s">
        <v>2238</v>
      </c>
      <c r="AI31"/>
      <c r="AJ31"/>
      <c r="AK31"/>
      <c r="AL31"/>
      <c r="AO31" s="486">
        <v>8.5</v>
      </c>
      <c r="AP31" s="671">
        <f t="shared" si="27"/>
        <v>0</v>
      </c>
      <c r="AQ31" s="161">
        <f t="shared" ca="1" si="28"/>
        <v>2.7977579359811067</v>
      </c>
      <c r="AR31" s="161">
        <f t="shared" ca="1" si="29"/>
        <v>2.8849856301037393</v>
      </c>
      <c r="AS31" s="161">
        <f t="shared" ca="1" si="30"/>
        <v>2.9649832724113327</v>
      </c>
      <c r="AT31" s="161">
        <f t="shared" ca="1" si="31"/>
        <v>3.0779237394095098</v>
      </c>
      <c r="AU31" s="161">
        <f t="shared" ca="1" si="32"/>
        <v>3.1517922142918042</v>
      </c>
      <c r="AV31" s="486">
        <v>8.5</v>
      </c>
      <c r="AW31" s="671">
        <f t="shared" si="26"/>
        <v>0</v>
      </c>
      <c r="AX31" s="161">
        <f t="shared" ca="1" si="33"/>
        <v>2.7977579359811067</v>
      </c>
      <c r="AY31" s="161">
        <f t="shared" ca="1" si="34"/>
        <v>2.8849856301037393</v>
      </c>
      <c r="AZ31" s="161">
        <f t="shared" ca="1" si="35"/>
        <v>2.9649832724113327</v>
      </c>
      <c r="BA31" s="161">
        <f t="shared" ca="1" si="36"/>
        <v>3.0779237394095098</v>
      </c>
      <c r="BB31" s="161">
        <f t="shared" ca="1" si="37"/>
        <v>3.1517922142918042</v>
      </c>
      <c r="BC31" s="63"/>
      <c r="BD31" s="12" t="s">
        <v>141</v>
      </c>
      <c r="BE31" s="486">
        <v>4.5999999999999996</v>
      </c>
      <c r="BF31" s="13">
        <v>4.5999999999999996</v>
      </c>
      <c r="BG31" s="12" t="s">
        <v>141</v>
      </c>
      <c r="BH31" s="109" t="s">
        <v>1073</v>
      </c>
      <c r="BJ31" s="12" t="s">
        <v>141</v>
      </c>
      <c r="BK31" s="262" t="s">
        <v>92</v>
      </c>
      <c r="BL31" s="13"/>
      <c r="BM31" s="333"/>
      <c r="BN31" s="333"/>
      <c r="BO31" s="333"/>
      <c r="BP31" s="438">
        <v>1.8</v>
      </c>
      <c r="BQ31" s="439">
        <f t="shared" ca="1" si="25"/>
        <v>0.82062984034272324</v>
      </c>
      <c r="BR31" s="350">
        <f t="shared" ca="1" si="16"/>
        <v>0.85193732540776668</v>
      </c>
      <c r="BS31" s="350">
        <f t="shared" ca="1" si="17"/>
        <v>0.88070847254416829</v>
      </c>
      <c r="BT31" s="350">
        <f t="shared" ca="1" si="18"/>
        <v>0.92135979246637512</v>
      </c>
      <c r="BU31" s="351">
        <f t="shared" ca="1" si="19"/>
        <v>0.94795246536539235</v>
      </c>
      <c r="BV31" s="972">
        <v>4.5</v>
      </c>
      <c r="BW31" s="439">
        <f t="shared" ca="1" si="20"/>
        <v>1.6227300068043031</v>
      </c>
      <c r="BX31" s="350">
        <f t="shared" ca="1" si="21"/>
        <v>1.6766808261376869</v>
      </c>
      <c r="BY31" s="350">
        <f t="shared" ca="1" si="22"/>
        <v>1.7261722272179929</v>
      </c>
      <c r="BZ31" s="350">
        <f t="shared" ca="1" si="23"/>
        <v>1.7961612475009843</v>
      </c>
      <c r="CA31" s="351">
        <f t="shared" ca="1" si="24"/>
        <v>1.8419684371885219</v>
      </c>
      <c r="CB31" s="333"/>
      <c r="CC31" s="333"/>
      <c r="CD31" s="333"/>
      <c r="CE31" s="333"/>
      <c r="CF31" s="333"/>
      <c r="CG31" s="333"/>
      <c r="CH31" s="333"/>
      <c r="CI31" s="333"/>
      <c r="CJ31" s="333"/>
      <c r="CK31" s="333"/>
      <c r="CL31" s="333"/>
      <c r="CM31" s="333"/>
      <c r="CN31" s="336"/>
      <c r="CO31" s="974"/>
      <c r="CP31" s="974"/>
      <c r="CS31" s="277">
        <f t="shared" si="13"/>
        <v>3.5</v>
      </c>
      <c r="CT31" s="277">
        <f t="shared" ca="1" si="13"/>
        <v>1.3287975010653208</v>
      </c>
    </row>
    <row r="32" spans="1:98">
      <c r="A32">
        <v>31</v>
      </c>
      <c r="B32" t="s">
        <v>173</v>
      </c>
      <c r="J32" s="10"/>
      <c r="T32" s="172"/>
      <c r="U32" s="2">
        <v>250</v>
      </c>
      <c r="V32" s="611">
        <v>0.14988425925925941</v>
      </c>
      <c r="W32" s="176">
        <v>-0.50823412698412762</v>
      </c>
      <c r="X32" s="176">
        <v>0.99797288359788461</v>
      </c>
      <c r="Y32" s="176">
        <v>0.20126904761904724</v>
      </c>
      <c r="Z32" s="176">
        <v>7.7119744479635811E-4</v>
      </c>
      <c r="AA32" s="176">
        <v>-1.4227978841393044E-2</v>
      </c>
      <c r="AB32" s="176">
        <v>0.43874587956070399</v>
      </c>
      <c r="AC32" s="612">
        <v>0.46689574461861116</v>
      </c>
      <c r="AD32" s="957"/>
      <c r="AE32" s="671"/>
      <c r="AF32">
        <v>21</v>
      </c>
      <c r="AG32" t="s">
        <v>231</v>
      </c>
      <c r="AH32" s="177" t="s">
        <v>2242</v>
      </c>
      <c r="AI32"/>
      <c r="AJ32"/>
      <c r="AK32"/>
      <c r="AL32"/>
      <c r="AO32" s="486">
        <v>8</v>
      </c>
      <c r="AP32" s="671">
        <f t="shared" si="27"/>
        <v>0</v>
      </c>
      <c r="AQ32" s="161">
        <f t="shared" ca="1" si="28"/>
        <v>2.648810028862473</v>
      </c>
      <c r="AR32" s="161">
        <f t="shared" ca="1" si="29"/>
        <v>2.7317269040496077</v>
      </c>
      <c r="AS32" s="161">
        <f t="shared" ca="1" si="30"/>
        <v>2.8077918263127737</v>
      </c>
      <c r="AT32" s="161">
        <f t="shared" ca="1" si="31"/>
        <v>2.915184795124929</v>
      </c>
      <c r="AU32" s="161">
        <f t="shared" ca="1" si="32"/>
        <v>2.9854231225040393</v>
      </c>
      <c r="AV32" s="486">
        <v>8</v>
      </c>
      <c r="AW32" s="671">
        <f t="shared" si="26"/>
        <v>0</v>
      </c>
      <c r="AX32" s="161">
        <f t="shared" ca="1" si="33"/>
        <v>2.648810028862473</v>
      </c>
      <c r="AY32" s="161">
        <f t="shared" ca="1" si="34"/>
        <v>2.7317269040496077</v>
      </c>
      <c r="AZ32" s="161">
        <f t="shared" ca="1" si="35"/>
        <v>2.8077918263127737</v>
      </c>
      <c r="BA32" s="161">
        <f t="shared" ca="1" si="36"/>
        <v>2.915184795124929</v>
      </c>
      <c r="BB32" s="161">
        <f t="shared" ca="1" si="37"/>
        <v>2.9854231225040393</v>
      </c>
      <c r="BC32" s="63"/>
      <c r="BD32" s="12" t="s">
        <v>146</v>
      </c>
      <c r="BE32" s="486">
        <v>4.5</v>
      </c>
      <c r="BF32" s="13">
        <v>4.5</v>
      </c>
      <c r="BG32" s="12" t="s">
        <v>146</v>
      </c>
      <c r="BH32" s="109" t="s">
        <v>1074</v>
      </c>
      <c r="BJ32" s="12" t="s">
        <v>146</v>
      </c>
      <c r="BK32" s="262" t="s">
        <v>98</v>
      </c>
      <c r="BL32" s="13"/>
      <c r="BM32" s="333"/>
      <c r="BN32" s="333"/>
      <c r="BO32" s="333"/>
      <c r="BP32" s="438">
        <v>1.7</v>
      </c>
      <c r="BQ32" s="439">
        <f t="shared" ca="1" si="25"/>
        <v>0.79026860748360828</v>
      </c>
      <c r="BR32" s="350">
        <f t="shared" ca="1" si="16"/>
        <v>0.82070502707920956</v>
      </c>
      <c r="BS32" s="350">
        <f t="shared" ca="1" si="17"/>
        <v>0.84868362592727564</v>
      </c>
      <c r="BT32" s="350">
        <f t="shared" ca="1" si="18"/>
        <v>0.88820581658305842</v>
      </c>
      <c r="BU32" s="351">
        <f t="shared" ca="1" si="19"/>
        <v>0.91405648139897377</v>
      </c>
      <c r="BV32" s="972">
        <v>4.4000000000000004</v>
      </c>
      <c r="BW32" s="439">
        <f t="shared" ca="1" si="20"/>
        <v>1.5934397611567146</v>
      </c>
      <c r="BX32" s="350">
        <f t="shared" ca="1" si="21"/>
        <v>1.6465711269866865</v>
      </c>
      <c r="BY32" s="350">
        <f t="shared" ca="1" si="22"/>
        <v>1.6953099152660942</v>
      </c>
      <c r="BZ32" s="350">
        <f t="shared" ca="1" si="23"/>
        <v>1.7642381469794941</v>
      </c>
      <c r="CA32" s="351">
        <f t="shared" ca="1" si="24"/>
        <v>1.8093522440831333</v>
      </c>
      <c r="CB32" s="333"/>
      <c r="CC32" s="333"/>
      <c r="CD32" s="333"/>
      <c r="CE32" s="333"/>
      <c r="CF32" s="333"/>
      <c r="CG32" s="333"/>
      <c r="CH32" s="333"/>
      <c r="CI32" s="333"/>
      <c r="CJ32" s="333"/>
      <c r="CK32" s="333"/>
      <c r="CL32" s="333"/>
      <c r="CM32" s="333"/>
      <c r="CN32" s="336"/>
      <c r="CO32" s="974"/>
      <c r="CP32" s="974"/>
      <c r="CS32" s="277">
        <f t="shared" si="13"/>
        <v>3.4</v>
      </c>
      <c r="CT32" s="277">
        <f t="shared" ca="1" si="13"/>
        <v>1.2992485913390135</v>
      </c>
    </row>
    <row r="33" spans="1:98">
      <c r="A33">
        <v>32</v>
      </c>
      <c r="B33" t="s">
        <v>180</v>
      </c>
      <c r="J33" s="172"/>
      <c r="T33" s="172"/>
      <c r="U33" s="2">
        <v>300</v>
      </c>
      <c r="V33" s="613">
        <v>0.21064814814814897</v>
      </c>
      <c r="W33" s="614">
        <v>-0.6853174603174631</v>
      </c>
      <c r="X33" s="614">
        <v>1.1622089947089977</v>
      </c>
      <c r="Y33" s="614">
        <v>0.17301904761904685</v>
      </c>
      <c r="Z33" s="614">
        <v>7.9500531036592718E-4</v>
      </c>
      <c r="AA33" s="614">
        <v>-1.4636160078449633E-2</v>
      </c>
      <c r="AB33" s="614">
        <v>0.44764177259129262</v>
      </c>
      <c r="AC33" s="615">
        <v>0.48492542560390961</v>
      </c>
      <c r="AD33" s="957"/>
      <c r="AF33">
        <v>22</v>
      </c>
      <c r="AG33" t="s">
        <v>154</v>
      </c>
      <c r="AH33" s="177" t="s">
        <v>2228</v>
      </c>
      <c r="AI33"/>
      <c r="AJ33"/>
      <c r="AK33"/>
      <c r="AL33"/>
      <c r="AO33" s="486">
        <v>7.5</v>
      </c>
      <c r="AP33" s="671">
        <f t="shared" si="27"/>
        <v>0</v>
      </c>
      <c r="AQ33" s="161">
        <f t="shared" ca="1" si="28"/>
        <v>2.5008592594837453</v>
      </c>
      <c r="AR33" s="161">
        <f t="shared" ca="1" si="29"/>
        <v>2.5795318496530784</v>
      </c>
      <c r="AS33" s="161">
        <f t="shared" ca="1" si="30"/>
        <v>2.6517164090899215</v>
      </c>
      <c r="AT33" s="161">
        <f t="shared" ca="1" si="31"/>
        <v>2.7536422060515076</v>
      </c>
      <c r="AU33" s="161">
        <f t="shared" ca="1" si="32"/>
        <v>2.8203059689336558</v>
      </c>
      <c r="AV33" s="486">
        <v>7.5</v>
      </c>
      <c r="AW33" s="671">
        <f t="shared" si="26"/>
        <v>0</v>
      </c>
      <c r="AX33" s="161">
        <f t="shared" ca="1" si="33"/>
        <v>2.5008592594837453</v>
      </c>
      <c r="AY33" s="161">
        <f t="shared" ca="1" si="34"/>
        <v>2.5795318496530784</v>
      </c>
      <c r="AZ33" s="161">
        <f t="shared" ca="1" si="35"/>
        <v>2.6517164090899215</v>
      </c>
      <c r="BA33" s="161">
        <f t="shared" ca="1" si="36"/>
        <v>2.7536422060515076</v>
      </c>
      <c r="BB33" s="161">
        <f t="shared" ca="1" si="37"/>
        <v>2.8203059689336558</v>
      </c>
      <c r="BC33" s="63"/>
      <c r="BD33" s="12" t="s">
        <v>152</v>
      </c>
      <c r="BE33" s="486">
        <v>4.4000000000000004</v>
      </c>
      <c r="BF33" s="13">
        <v>4.4000000000000004</v>
      </c>
      <c r="BG33" s="12" t="s">
        <v>152</v>
      </c>
      <c r="BH33" s="109" t="s">
        <v>1075</v>
      </c>
      <c r="BJ33" s="12" t="s">
        <v>152</v>
      </c>
      <c r="BK33" s="262" t="s">
        <v>105</v>
      </c>
      <c r="BL33" s="13"/>
      <c r="BM33" s="333"/>
      <c r="BN33" s="333"/>
      <c r="BO33" s="333"/>
      <c r="BP33" s="438">
        <v>1.6</v>
      </c>
      <c r="BQ33" s="439">
        <f t="shared" ca="1" si="25"/>
        <v>0.75984497937358397</v>
      </c>
      <c r="BR33" s="350">
        <f t="shared" ca="1" si="16"/>
        <v>0.78940711539944397</v>
      </c>
      <c r="BS33" s="350">
        <f t="shared" ca="1" si="17"/>
        <v>0.81659066590108964</v>
      </c>
      <c r="BT33" s="350">
        <f t="shared" ca="1" si="18"/>
        <v>0.85497955495628919</v>
      </c>
      <c r="BU33" s="351">
        <f t="shared" ca="1" si="19"/>
        <v>0.88008524714525982</v>
      </c>
      <c r="BV33" s="972">
        <v>4.3</v>
      </c>
      <c r="BW33" s="439">
        <f t="shared" ca="1" si="20"/>
        <v>1.5641309548698614</v>
      </c>
      <c r="BX33" s="350">
        <f t="shared" ca="1" si="21"/>
        <v>1.616442168863411</v>
      </c>
      <c r="BY33" s="350">
        <f t="shared" ca="1" si="22"/>
        <v>1.6644278132896109</v>
      </c>
      <c r="BZ33" s="350">
        <f t="shared" ca="1" si="23"/>
        <v>1.7322942492653648</v>
      </c>
      <c r="CA33" s="351">
        <f t="shared" ca="1" si="24"/>
        <v>1.7767145126115877</v>
      </c>
      <c r="CB33" s="333"/>
      <c r="CC33" s="333"/>
      <c r="CD33" s="333"/>
      <c r="CE33" s="333"/>
      <c r="CF33" s="333"/>
      <c r="CG33" s="333"/>
      <c r="CH33" s="333"/>
      <c r="CI33" s="333"/>
      <c r="CJ33" s="333"/>
      <c r="CK33" s="333"/>
      <c r="CL33" s="333"/>
      <c r="CM33" s="333"/>
      <c r="CN33" s="336"/>
      <c r="CO33" s="974"/>
      <c r="CP33" s="974"/>
      <c r="CS33" s="277">
        <f t="shared" si="13"/>
        <v>3.3</v>
      </c>
      <c r="CT33" s="277">
        <f t="shared" ca="1" si="13"/>
        <v>1.2696648859320916</v>
      </c>
    </row>
    <row r="34" spans="1:98">
      <c r="A34">
        <v>33</v>
      </c>
      <c r="B34" t="s">
        <v>186</v>
      </c>
      <c r="J34" s="172"/>
      <c r="T34" s="2"/>
      <c r="U34" s="2">
        <v>90</v>
      </c>
      <c r="V34" s="606">
        <v>2.721976076848911E-3</v>
      </c>
      <c r="W34" s="607">
        <v>-5.651783694034939E-2</v>
      </c>
      <c r="X34" s="607">
        <v>0.70646158802395453</v>
      </c>
      <c r="Y34" s="608">
        <v>0.30746621700833243</v>
      </c>
      <c r="Z34" s="606">
        <v>2.721976076848911E-3</v>
      </c>
      <c r="AA34" s="607">
        <v>-5.651783694034939E-2</v>
      </c>
      <c r="AB34" s="607">
        <v>0.70646158802395453</v>
      </c>
      <c r="AC34" s="608">
        <v>0.30746621700833243</v>
      </c>
      <c r="AD34" s="957"/>
      <c r="AF34">
        <v>23</v>
      </c>
      <c r="AG34" t="s">
        <v>716</v>
      </c>
      <c r="AH34" s="177" t="s">
        <v>2270</v>
      </c>
      <c r="AI34"/>
      <c r="AJ34"/>
      <c r="AK34"/>
      <c r="AL34"/>
      <c r="AO34" s="486">
        <v>7</v>
      </c>
      <c r="AP34" s="671">
        <f t="shared" si="27"/>
        <v>0</v>
      </c>
      <c r="AQ34" s="161">
        <f t="shared" ca="1" si="28"/>
        <v>2.3537026898280469</v>
      </c>
      <c r="AR34" s="161">
        <f t="shared" ca="1" si="29"/>
        <v>2.4281858633079745</v>
      </c>
      <c r="AS34" s="161">
        <f t="shared" ca="1" si="30"/>
        <v>2.4965333013691202</v>
      </c>
      <c r="AT34" s="161">
        <f t="shared" ca="1" si="31"/>
        <v>2.5930575992688101</v>
      </c>
      <c r="AU34" s="161">
        <f t="shared" ca="1" si="32"/>
        <v>2.6561920872790852</v>
      </c>
      <c r="AV34" s="486">
        <v>7</v>
      </c>
      <c r="AW34" s="671">
        <f t="shared" si="26"/>
        <v>0</v>
      </c>
      <c r="AX34" s="161">
        <f t="shared" ca="1" si="33"/>
        <v>2.3537026898280469</v>
      </c>
      <c r="AY34" s="161">
        <f t="shared" ca="1" si="34"/>
        <v>2.4281858633079745</v>
      </c>
      <c r="AZ34" s="161">
        <f t="shared" ca="1" si="35"/>
        <v>2.4965333013691202</v>
      </c>
      <c r="BA34" s="161">
        <f t="shared" ca="1" si="36"/>
        <v>2.5930575992688101</v>
      </c>
      <c r="BB34" s="161">
        <f t="shared" ca="1" si="37"/>
        <v>2.6561920872790852</v>
      </c>
      <c r="BC34" s="63"/>
      <c r="BD34" s="12" t="s">
        <v>156</v>
      </c>
      <c r="BE34" s="486">
        <v>4.3</v>
      </c>
      <c r="BF34" s="13">
        <v>4.3</v>
      </c>
      <c r="BG34" s="12" t="s">
        <v>156</v>
      </c>
      <c r="BH34" s="109" t="s">
        <v>1076</v>
      </c>
      <c r="BJ34" s="12" t="s">
        <v>156</v>
      </c>
      <c r="BK34" s="262" t="s">
        <v>109</v>
      </c>
      <c r="BL34" s="13"/>
      <c r="BM34" s="333"/>
      <c r="BN34" s="333"/>
      <c r="BO34" s="333"/>
      <c r="BP34" s="438">
        <v>1.5</v>
      </c>
      <c r="BQ34" s="439">
        <f t="shared" ca="1" si="25"/>
        <v>0.74685847718253939</v>
      </c>
      <c r="BR34" s="350">
        <f t="shared" ca="1" si="16"/>
        <v>0.77491935515873023</v>
      </c>
      <c r="BS34" s="350">
        <f t="shared" ca="1" si="17"/>
        <v>0.79808706845238131</v>
      </c>
      <c r="BT34" s="350">
        <f t="shared" ca="1" si="18"/>
        <v>0.82790451884920646</v>
      </c>
      <c r="BU34" s="351">
        <f t="shared" ca="1" si="19"/>
        <v>0.85618301587301615</v>
      </c>
      <c r="BV34" s="972">
        <v>4.2</v>
      </c>
      <c r="BW34" s="439">
        <f t="shared" ca="1" si="20"/>
        <v>1.5348019644396091</v>
      </c>
      <c r="BX34" s="350">
        <f t="shared" ca="1" si="21"/>
        <v>1.5862922349390118</v>
      </c>
      <c r="BY34" s="350">
        <f t="shared" ca="1" si="22"/>
        <v>1.6335241315335545</v>
      </c>
      <c r="BZ34" s="350">
        <f t="shared" ca="1" si="23"/>
        <v>1.7003276473752336</v>
      </c>
      <c r="CA34" s="351">
        <f t="shared" ca="1" si="24"/>
        <v>1.7440532534434736</v>
      </c>
      <c r="CB34" s="333"/>
      <c r="CC34" s="333"/>
      <c r="CD34" s="333"/>
      <c r="CE34" s="333"/>
      <c r="CF34" s="333"/>
      <c r="CG34" s="333"/>
      <c r="CH34" s="333"/>
      <c r="CI34" s="333"/>
      <c r="CJ34" s="333"/>
      <c r="CK34" s="333"/>
      <c r="CL34" s="333"/>
      <c r="CM34" s="333"/>
      <c r="CN34" s="336"/>
      <c r="CO34" s="974"/>
      <c r="CP34" s="974"/>
      <c r="CS34" s="277">
        <f>BP17</f>
        <v>3.2</v>
      </c>
      <c r="CT34" s="277">
        <f ca="1">BQ17</f>
        <v>1.2400447613404206</v>
      </c>
    </row>
    <row r="35" spans="1:98">
      <c r="A35">
        <v>34</v>
      </c>
      <c r="B35" t="s">
        <v>191</v>
      </c>
      <c r="F35" s="53" t="s">
        <v>1077</v>
      </c>
      <c r="G35" s="53"/>
      <c r="K35" s="167"/>
      <c r="L35" s="167"/>
      <c r="M35" s="167"/>
      <c r="N35" s="167"/>
      <c r="T35" s="2"/>
      <c r="U35" s="2">
        <v>135</v>
      </c>
      <c r="V35" s="611">
        <v>2.8723083419445305E-3</v>
      </c>
      <c r="W35" s="176">
        <v>-5.9459621051406598E-2</v>
      </c>
      <c r="X35" s="176">
        <v>0.7309469431132688</v>
      </c>
      <c r="Y35" s="612">
        <v>0.3303466903760503</v>
      </c>
      <c r="Z35" s="611">
        <v>2.8723083419445305E-3</v>
      </c>
      <c r="AA35" s="176">
        <v>-5.9459621051406598E-2</v>
      </c>
      <c r="AB35" s="176">
        <v>0.7309469431132688</v>
      </c>
      <c r="AC35" s="612">
        <v>0.3303466903760503</v>
      </c>
      <c r="AD35" s="957"/>
      <c r="AF35">
        <v>24</v>
      </c>
      <c r="AG35" t="s">
        <v>718</v>
      </c>
      <c r="AH35" s="177" t="s">
        <v>2274</v>
      </c>
      <c r="AI35"/>
      <c r="AJ35"/>
      <c r="AK35"/>
      <c r="AL35"/>
      <c r="AO35" s="486">
        <v>6.5</v>
      </c>
      <c r="AP35" s="671">
        <f t="shared" si="27"/>
        <v>0</v>
      </c>
      <c r="AQ35" s="161">
        <f t="shared" ca="1" si="28"/>
        <v>2.2071373818785007</v>
      </c>
      <c r="AR35" s="161">
        <f t="shared" ca="1" si="29"/>
        <v>2.2774743414081211</v>
      </c>
      <c r="AS35" s="161">
        <f t="shared" ca="1" si="30"/>
        <v>2.3420187837767168</v>
      </c>
      <c r="AT35" s="161">
        <f t="shared" ca="1" si="31"/>
        <v>2.433192601856403</v>
      </c>
      <c r="AU35" s="161">
        <f t="shared" ca="1" si="32"/>
        <v>2.4928328112387588</v>
      </c>
      <c r="AV35" s="486">
        <v>6.5</v>
      </c>
      <c r="AW35" s="671">
        <f t="shared" si="26"/>
        <v>0</v>
      </c>
      <c r="AX35" s="161">
        <f t="shared" ca="1" si="33"/>
        <v>2.2071373818785007</v>
      </c>
      <c r="AY35" s="161">
        <f t="shared" ca="1" si="34"/>
        <v>2.2774743414081211</v>
      </c>
      <c r="AZ35" s="161">
        <f t="shared" ca="1" si="35"/>
        <v>2.3420187837767168</v>
      </c>
      <c r="BA35" s="161">
        <f t="shared" ca="1" si="36"/>
        <v>2.433192601856403</v>
      </c>
      <c r="BB35" s="161">
        <f t="shared" ca="1" si="37"/>
        <v>2.4928328112387588</v>
      </c>
      <c r="BC35" s="63"/>
      <c r="BD35" s="12" t="s">
        <v>161</v>
      </c>
      <c r="BE35" s="486">
        <v>4.2</v>
      </c>
      <c r="BF35" s="13">
        <v>4.2</v>
      </c>
      <c r="BG35" s="12" t="s">
        <v>161</v>
      </c>
      <c r="BH35" s="109" t="s">
        <v>1078</v>
      </c>
      <c r="BJ35" s="12" t="s">
        <v>161</v>
      </c>
      <c r="BK35" s="262" t="s">
        <v>113</v>
      </c>
      <c r="BL35" s="13"/>
      <c r="BM35" s="333"/>
      <c r="BN35" s="333"/>
      <c r="BO35" s="333"/>
      <c r="BP35" s="438">
        <v>1.4</v>
      </c>
      <c r="BQ35" s="439">
        <f t="shared" ca="1" si="25"/>
        <v>0.72757650793650774</v>
      </c>
      <c r="BR35" s="350">
        <f t="shared" ca="1" si="16"/>
        <v>0.75369460317460324</v>
      </c>
      <c r="BS35" s="350">
        <f t="shared" ca="1" si="17"/>
        <v>0.77458476190476211</v>
      </c>
      <c r="BT35" s="350">
        <f t="shared" ca="1" si="18"/>
        <v>0.79911555555555558</v>
      </c>
      <c r="BU35" s="351">
        <f t="shared" ca="1" si="19"/>
        <v>0.82879174603174621</v>
      </c>
      <c r="BV35" s="972">
        <v>4.0999999999999996</v>
      </c>
      <c r="BW35" s="439">
        <f t="shared" ca="1" si="20"/>
        <v>1.5054511663618222</v>
      </c>
      <c r="BX35" s="350">
        <f t="shared" ca="1" si="21"/>
        <v>1.5561196083846389</v>
      </c>
      <c r="BY35" s="350">
        <f t="shared" ca="1" si="22"/>
        <v>1.602597080242935</v>
      </c>
      <c r="BZ35" s="350">
        <f t="shared" ca="1" si="23"/>
        <v>1.6683364343257363</v>
      </c>
      <c r="CA35" s="351">
        <f t="shared" ca="1" si="24"/>
        <v>1.7113664772483776</v>
      </c>
      <c r="CB35" s="333"/>
      <c r="CC35" s="333"/>
      <c r="CD35" s="333"/>
      <c r="CE35" s="333"/>
      <c r="CF35" s="333"/>
      <c r="CG35" s="333"/>
      <c r="CH35" s="333"/>
      <c r="CI35" s="333"/>
      <c r="CJ35" s="333"/>
      <c r="CK35" s="333"/>
      <c r="CL35" s="333"/>
      <c r="CM35" s="333"/>
      <c r="CN35" s="336"/>
      <c r="CO35" s="974"/>
      <c r="CP35" s="974"/>
      <c r="CS35" s="277">
        <f t="shared" ref="CS35:CT59" si="38">BP18</f>
        <v>3.1</v>
      </c>
      <c r="CT35" s="277">
        <f t="shared" ca="1" si="38"/>
        <v>1.210386594059865</v>
      </c>
    </row>
    <row r="36" spans="1:98">
      <c r="A36">
        <v>35</v>
      </c>
      <c r="B36" t="s">
        <v>197</v>
      </c>
      <c r="F36" s="850" t="s">
        <v>198</v>
      </c>
      <c r="G36" s="850" t="str">
        <f>J1</f>
        <v>lGqQ</v>
      </c>
      <c r="J36" s="172"/>
      <c r="K36" s="167"/>
      <c r="L36" s="167"/>
      <c r="M36" s="167"/>
      <c r="N36" s="167"/>
      <c r="T36" s="172" t="s">
        <v>717</v>
      </c>
      <c r="U36" s="2">
        <v>180</v>
      </c>
      <c r="V36" s="611">
        <v>2.9731247252019781E-3</v>
      </c>
      <c r="W36" s="176">
        <v>-6.1444854987441552E-2</v>
      </c>
      <c r="X36" s="176">
        <v>0.74764571601341867</v>
      </c>
      <c r="Y36" s="612">
        <v>0.34468724065620876</v>
      </c>
      <c r="Z36" s="611">
        <v>2.9731247252019781E-3</v>
      </c>
      <c r="AA36" s="176">
        <v>-6.1444854987441552E-2</v>
      </c>
      <c r="AB36" s="176">
        <v>0.74764571601341867</v>
      </c>
      <c r="AC36" s="612">
        <v>0.34468724065620876</v>
      </c>
      <c r="AD36" s="957"/>
      <c r="AF36">
        <v>25</v>
      </c>
      <c r="AG36" t="s">
        <v>186</v>
      </c>
      <c r="AH36" s="979" t="s">
        <v>2234</v>
      </c>
      <c r="AI36" s="980"/>
      <c r="AJ36" s="978"/>
      <c r="AK36" s="978"/>
      <c r="AL36" s="978"/>
      <c r="AO36" s="486">
        <v>6</v>
      </c>
      <c r="AP36" s="671">
        <f t="shared" si="27"/>
        <v>0</v>
      </c>
      <c r="AQ36" s="161">
        <f t="shared" ca="1" si="28"/>
        <v>2.06096039761823</v>
      </c>
      <c r="AR36" s="161">
        <f t="shared" ca="1" si="29"/>
        <v>2.127182680347341</v>
      </c>
      <c r="AS36" s="161">
        <f t="shared" ca="1" si="30"/>
        <v>2.1879491369390562</v>
      </c>
      <c r="AT36" s="161">
        <f t="shared" ca="1" si="31"/>
        <v>2.2738088408938513</v>
      </c>
      <c r="AU36" s="161">
        <f t="shared" ca="1" si="32"/>
        <v>2.3299794745111075</v>
      </c>
      <c r="AV36" s="486">
        <v>6</v>
      </c>
      <c r="AW36" s="671">
        <f t="shared" si="26"/>
        <v>0</v>
      </c>
      <c r="AX36" s="161">
        <f t="shared" ca="1" si="33"/>
        <v>2.06096039761823</v>
      </c>
      <c r="AY36" s="161">
        <f t="shared" ca="1" si="34"/>
        <v>2.127182680347341</v>
      </c>
      <c r="AZ36" s="161">
        <f t="shared" ca="1" si="35"/>
        <v>2.1879491369390562</v>
      </c>
      <c r="BA36" s="161">
        <f t="shared" ca="1" si="36"/>
        <v>2.2738088408938513</v>
      </c>
      <c r="BB36" s="161">
        <f t="shared" ca="1" si="37"/>
        <v>2.3299794745111075</v>
      </c>
      <c r="BC36" s="63"/>
      <c r="BD36" s="12" t="s">
        <v>165</v>
      </c>
      <c r="BE36" s="486">
        <v>4.0999999999999996</v>
      </c>
      <c r="BF36" s="13">
        <v>4.0999999999999996</v>
      </c>
      <c r="BG36" s="12" t="s">
        <v>165</v>
      </c>
      <c r="BH36" s="109" t="s">
        <v>1079</v>
      </c>
      <c r="BJ36" s="12" t="s">
        <v>165</v>
      </c>
      <c r="BK36" s="262" t="s">
        <v>118</v>
      </c>
      <c r="BL36" s="13"/>
      <c r="BM36" s="333"/>
      <c r="BN36" s="333"/>
      <c r="BO36" s="333"/>
      <c r="BP36" s="438">
        <v>1.3</v>
      </c>
      <c r="BQ36" s="439">
        <f t="shared" ca="1" si="25"/>
        <v>0.70207281249999987</v>
      </c>
      <c r="BR36" s="350">
        <f t="shared" ca="1" si="16"/>
        <v>0.72669901785714286</v>
      </c>
      <c r="BS36" s="350">
        <f t="shared" ca="1" si="17"/>
        <v>0.74635477678571449</v>
      </c>
      <c r="BT36" s="350">
        <f t="shared" ca="1" si="18"/>
        <v>0.76693522321428576</v>
      </c>
      <c r="BU36" s="351">
        <f t="shared" ca="1" si="19"/>
        <v>0.79660285714285728</v>
      </c>
      <c r="BV36" s="972">
        <v>4</v>
      </c>
      <c r="BW36" s="439">
        <f t="shared" ca="1" si="20"/>
        <v>1.4760769371323663</v>
      </c>
      <c r="BX36" s="350">
        <f t="shared" ca="1" si="21"/>
        <v>1.5259225723714436</v>
      </c>
      <c r="BY36" s="350">
        <f t="shared" ca="1" si="22"/>
        <v>1.5716448696627641</v>
      </c>
      <c r="BZ36" s="350">
        <f t="shared" ca="1" si="23"/>
        <v>1.6363187031335102</v>
      </c>
      <c r="CA36" s="351">
        <f t="shared" ca="1" si="24"/>
        <v>1.6786521946958877</v>
      </c>
      <c r="CB36" s="333"/>
      <c r="CC36" s="333"/>
      <c r="CD36" s="333"/>
      <c r="CE36" s="333"/>
      <c r="CF36" s="333"/>
      <c r="CG36" s="333"/>
      <c r="CH36" s="333"/>
      <c r="CI36" s="333"/>
      <c r="CJ36" s="333"/>
      <c r="CK36" s="333"/>
      <c r="CL36" s="333"/>
      <c r="CM36" s="333"/>
      <c r="CN36" s="336"/>
      <c r="CO36" s="974"/>
      <c r="CP36" s="974"/>
      <c r="CS36" s="277">
        <f t="shared" si="38"/>
        <v>3</v>
      </c>
      <c r="CT36" s="277">
        <f t="shared" ca="1" si="38"/>
        <v>1.1806887605862897</v>
      </c>
    </row>
    <row r="37" spans="1:98">
      <c r="A37">
        <v>36</v>
      </c>
      <c r="B37" t="s">
        <v>203</v>
      </c>
      <c r="F37" s="855" t="str">
        <f>BN3</f>
        <v>Wall type</v>
      </c>
      <c r="G37" s="53" t="str">
        <f>AV15</f>
        <v>other than masonry veneer</v>
      </c>
      <c r="K37" s="167"/>
      <c r="L37" s="167"/>
      <c r="M37" s="167"/>
      <c r="N37" s="167"/>
      <c r="T37" s="172"/>
      <c r="U37" s="2">
        <v>250</v>
      </c>
      <c r="V37" s="611">
        <v>3.1152822759577311E-3</v>
      </c>
      <c r="W37" s="176">
        <v>-6.4243430319223721E-2</v>
      </c>
      <c r="X37" s="176">
        <v>0.7711161092360882</v>
      </c>
      <c r="Y37" s="612">
        <v>0.36512203148106392</v>
      </c>
      <c r="Z37" s="611">
        <v>3.1152822759577311E-3</v>
      </c>
      <c r="AA37" s="176">
        <v>-6.4243430319223721E-2</v>
      </c>
      <c r="AB37" s="176">
        <v>0.7711161092360882</v>
      </c>
      <c r="AC37" s="612">
        <v>0.36512203148106392</v>
      </c>
      <c r="AD37" s="957"/>
      <c r="AF37">
        <v>26</v>
      </c>
      <c r="AG37" t="s">
        <v>240</v>
      </c>
      <c r="AH37" s="979" t="s">
        <v>2244</v>
      </c>
      <c r="AI37" s="980"/>
      <c r="AJ37" s="978"/>
      <c r="AK37" s="978"/>
      <c r="AL37" s="978"/>
      <c r="AO37" s="486">
        <v>5.5</v>
      </c>
      <c r="AP37" s="671">
        <f t="shared" si="27"/>
        <v>0</v>
      </c>
      <c r="AQ37" s="161">
        <f t="shared" ca="1" si="28"/>
        <v>1.9149687990303583</v>
      </c>
      <c r="AR37" s="161">
        <f t="shared" ca="1" si="29"/>
        <v>1.97709627651946</v>
      </c>
      <c r="AS37" s="161">
        <f t="shared" ca="1" si="30"/>
        <v>2.0341006414824845</v>
      </c>
      <c r="AT37" s="161">
        <f t="shared" ca="1" si="31"/>
        <v>2.1146679434607201</v>
      </c>
      <c r="AU37" s="161">
        <f t="shared" ca="1" si="32"/>
        <v>2.1673834107945633</v>
      </c>
      <c r="AV37" s="486">
        <v>5.5</v>
      </c>
      <c r="AW37" s="671">
        <f t="shared" si="26"/>
        <v>0</v>
      </c>
      <c r="AX37" s="161">
        <f t="shared" ca="1" si="33"/>
        <v>1.9149687990303583</v>
      </c>
      <c r="AY37" s="161">
        <f t="shared" ca="1" si="34"/>
        <v>1.97709627651946</v>
      </c>
      <c r="AZ37" s="161">
        <f t="shared" ca="1" si="35"/>
        <v>2.0341006414824845</v>
      </c>
      <c r="BA37" s="161">
        <f t="shared" ca="1" si="36"/>
        <v>2.1146679434607201</v>
      </c>
      <c r="BB37" s="161">
        <f t="shared" ca="1" si="37"/>
        <v>2.1673834107945633</v>
      </c>
      <c r="BC37" s="63"/>
      <c r="BD37" s="12" t="s">
        <v>171</v>
      </c>
      <c r="BE37" s="486">
        <v>4</v>
      </c>
      <c r="BF37" s="13">
        <v>4</v>
      </c>
      <c r="BG37" s="12" t="s">
        <v>171</v>
      </c>
      <c r="BH37" s="109" t="s">
        <v>1080</v>
      </c>
      <c r="BJ37" s="12" t="s">
        <v>171</v>
      </c>
      <c r="BK37" s="262" t="s">
        <v>122</v>
      </c>
      <c r="BL37" s="13"/>
      <c r="BM37" s="333"/>
      <c r="BN37" s="333"/>
      <c r="BO37" s="333"/>
      <c r="BP37" s="438">
        <v>1.2</v>
      </c>
      <c r="BQ37" s="439">
        <f t="shared" ca="1" si="25"/>
        <v>0.67167412698412676</v>
      </c>
      <c r="BR37" s="350">
        <f t="shared" ca="1" si="16"/>
        <v>0.69507079365079361</v>
      </c>
      <c r="BS37" s="350">
        <f t="shared" ca="1" si="17"/>
        <v>0.71429190476190485</v>
      </c>
      <c r="BT37" s="350">
        <f t="shared" ca="1" si="18"/>
        <v>0.7321131746031746</v>
      </c>
      <c r="BU37" s="351">
        <f t="shared" ca="1" si="19"/>
        <v>0.76061079365079387</v>
      </c>
      <c r="BV37" s="972">
        <v>3.9</v>
      </c>
      <c r="BW37" s="439">
        <f t="shared" ca="1" si="20"/>
        <v>1.446677653247106</v>
      </c>
      <c r="BX37" s="350">
        <f t="shared" ca="1" si="21"/>
        <v>1.4956994100705758</v>
      </c>
      <c r="BY37" s="350">
        <f t="shared" ca="1" si="22"/>
        <v>1.5406657100380519</v>
      </c>
      <c r="BZ37" s="350">
        <f t="shared" ca="1" si="23"/>
        <v>1.6042725468151917</v>
      </c>
      <c r="CA37" s="351">
        <f t="shared" ca="1" si="24"/>
        <v>1.6459084164555908</v>
      </c>
      <c r="CB37" s="333"/>
      <c r="CC37" s="333"/>
      <c r="CD37" s="333"/>
      <c r="CE37" s="333"/>
      <c r="CF37" s="333"/>
      <c r="CG37" s="333"/>
      <c r="CH37" s="333"/>
      <c r="CI37" s="333"/>
      <c r="CJ37" s="333"/>
      <c r="CK37" s="333"/>
      <c r="CL37" s="333"/>
      <c r="CM37" s="333"/>
      <c r="CN37" s="336"/>
      <c r="CO37" s="974"/>
      <c r="CP37" s="974"/>
      <c r="CS37" s="277">
        <f t="shared" si="38"/>
        <v>2.9</v>
      </c>
      <c r="CT37" s="277">
        <f t="shared" ca="1" si="38"/>
        <v>1.1509496374155601</v>
      </c>
    </row>
    <row r="38" spans="1:98">
      <c r="A38">
        <v>37</v>
      </c>
      <c r="B38" t="s">
        <v>207</v>
      </c>
      <c r="F38" t="str">
        <f>BN5</f>
        <v>Topper insulating layer</v>
      </c>
      <c r="G38" s="177" t="str">
        <f>AS15</f>
        <v>none</v>
      </c>
      <c r="J38" s="10"/>
      <c r="K38" s="167"/>
      <c r="L38" s="167"/>
      <c r="M38" s="167"/>
      <c r="N38" s="167"/>
      <c r="T38" s="172"/>
      <c r="U38" s="2">
        <v>300</v>
      </c>
      <c r="V38" s="613">
        <v>3.2210801728020074E-3</v>
      </c>
      <c r="W38" s="614">
        <v>-6.6331187516563847E-2</v>
      </c>
      <c r="X38" s="614">
        <v>0.78872142431618386</v>
      </c>
      <c r="Y38" s="615">
        <v>0.38010598798728568</v>
      </c>
      <c r="Z38" s="613">
        <v>3.2210801728020074E-3</v>
      </c>
      <c r="AA38" s="614">
        <v>-6.6331187516563847E-2</v>
      </c>
      <c r="AB38" s="614">
        <v>0.78872142431618386</v>
      </c>
      <c r="AC38" s="615">
        <v>0.38010598798728568</v>
      </c>
      <c r="AD38" s="957"/>
      <c r="AF38">
        <v>27</v>
      </c>
      <c r="AG38" t="s">
        <v>260</v>
      </c>
      <c r="AH38" s="979" t="s">
        <v>2248</v>
      </c>
      <c r="AI38" s="980"/>
      <c r="AJ38" s="978"/>
      <c r="AK38" s="978"/>
      <c r="AL38" s="978"/>
      <c r="AO38" s="486">
        <v>5</v>
      </c>
      <c r="AP38" s="671">
        <f t="shared" si="27"/>
        <v>0</v>
      </c>
      <c r="AQ38" s="161">
        <f t="shared" ca="1" si="28"/>
        <v>1.7689596480980081</v>
      </c>
      <c r="AR38" s="161">
        <f t="shared" ca="1" si="29"/>
        <v>1.8270005263183005</v>
      </c>
      <c r="AS38" s="161">
        <f t="shared" ca="1" si="30"/>
        <v>1.8802495780333484</v>
      </c>
      <c r="AT38" s="161">
        <f t="shared" ca="1" si="31"/>
        <v>1.9555315366365762</v>
      </c>
      <c r="AU38" s="161">
        <f t="shared" ca="1" si="32"/>
        <v>2.0047959537875575</v>
      </c>
      <c r="AV38" s="486">
        <v>5</v>
      </c>
      <c r="AW38" s="671">
        <f t="shared" si="26"/>
        <v>0</v>
      </c>
      <c r="AX38" s="161">
        <f t="shared" ca="1" si="33"/>
        <v>1.7689596480980081</v>
      </c>
      <c r="AY38" s="161">
        <f t="shared" ca="1" si="34"/>
        <v>1.8270005263183005</v>
      </c>
      <c r="AZ38" s="161">
        <f t="shared" ca="1" si="35"/>
        <v>1.8802495780333484</v>
      </c>
      <c r="BA38" s="161">
        <f t="shared" ca="1" si="36"/>
        <v>1.9555315366365762</v>
      </c>
      <c r="BB38" s="161">
        <f t="shared" ca="1" si="37"/>
        <v>2.0047959537875575</v>
      </c>
      <c r="BC38" s="63"/>
      <c r="BD38" s="12" t="s">
        <v>177</v>
      </c>
      <c r="BE38" s="486">
        <v>3.9</v>
      </c>
      <c r="BF38" s="13">
        <v>3.9</v>
      </c>
      <c r="BG38" s="12" t="s">
        <v>177</v>
      </c>
      <c r="BH38" s="109" t="s">
        <v>1081</v>
      </c>
      <c r="BJ38" s="12" t="s">
        <v>177</v>
      </c>
      <c r="BK38" s="262" t="s">
        <v>126</v>
      </c>
      <c r="BL38" s="13"/>
      <c r="BM38" s="333"/>
      <c r="BN38" s="333"/>
      <c r="BO38" s="333"/>
      <c r="BP38" s="438">
        <v>1.1000000000000001</v>
      </c>
      <c r="BQ38" s="439">
        <f t="shared" ca="1" si="25"/>
        <v>0.63770718749999977</v>
      </c>
      <c r="BR38" s="350">
        <f t="shared" ca="1" si="16"/>
        <v>0.65994812499999989</v>
      </c>
      <c r="BS38" s="350">
        <f t="shared" ca="1" si="17"/>
        <v>0.67929093750000014</v>
      </c>
      <c r="BT38" s="350">
        <f t="shared" ca="1" si="18"/>
        <v>0.69539906249999994</v>
      </c>
      <c r="BU38" s="351">
        <f t="shared" ca="1" si="19"/>
        <v>0.72181000000000028</v>
      </c>
      <c r="BV38" s="972">
        <v>3.8</v>
      </c>
      <c r="BW38" s="439">
        <f t="shared" ca="1" si="20"/>
        <v>1.4172516912019062</v>
      </c>
      <c r="BX38" s="350">
        <f t="shared" ca="1" si="21"/>
        <v>1.4654484046531864</v>
      </c>
      <c r="BY38" s="350">
        <f t="shared" ca="1" si="22"/>
        <v>1.5096578116138093</v>
      </c>
      <c r="BZ38" s="350">
        <f t="shared" ca="1" si="23"/>
        <v>1.5721960583874166</v>
      </c>
      <c r="CA38" s="351">
        <f t="shared" ca="1" si="24"/>
        <v>1.613133153197075</v>
      </c>
      <c r="CB38" s="333"/>
      <c r="CC38" s="333"/>
      <c r="CD38" s="333"/>
      <c r="CE38" s="333"/>
      <c r="CF38" s="333"/>
      <c r="CG38" s="333"/>
      <c r="CH38" s="333"/>
      <c r="CI38" s="333"/>
      <c r="CJ38" s="333"/>
      <c r="CK38" s="333"/>
      <c r="CL38" s="333"/>
      <c r="CM38" s="333"/>
      <c r="CN38" s="336"/>
      <c r="CO38" s="974"/>
      <c r="CP38" s="974"/>
      <c r="CS38" s="277">
        <f t="shared" si="38"/>
        <v>2.8</v>
      </c>
      <c r="CT38" s="277">
        <f t="shared" ca="1" si="38"/>
        <v>1.121167601043541</v>
      </c>
    </row>
    <row r="39" spans="1:98">
      <c r="A39">
        <v>38</v>
      </c>
      <c r="B39" t="s">
        <v>211</v>
      </c>
      <c r="F39" t="str">
        <f>BN7</f>
        <v>Vertical edge insulation</v>
      </c>
      <c r="G39" s="177" t="str">
        <f>AP15</f>
        <v>none</v>
      </c>
      <c r="J39" s="10"/>
      <c r="K39" s="167"/>
      <c r="L39" s="167"/>
      <c r="M39" s="167"/>
      <c r="N39" s="167"/>
      <c r="T39" s="172"/>
      <c r="U39" s="2">
        <v>90</v>
      </c>
      <c r="V39" s="606">
        <v>3.2698758362953322E-3</v>
      </c>
      <c r="W39" s="607">
        <v>-7.0519029409761458E-2</v>
      </c>
      <c r="X39" s="607">
        <v>0.85140010926866105</v>
      </c>
      <c r="Y39" s="608">
        <v>0.239785976526663</v>
      </c>
      <c r="Z39" s="606">
        <v>3.2698758362953322E-3</v>
      </c>
      <c r="AA39" s="607">
        <v>-7.0519029409761458E-2</v>
      </c>
      <c r="AB39" s="607">
        <v>0.85140010926866105</v>
      </c>
      <c r="AC39" s="608">
        <v>0.239785976526663</v>
      </c>
      <c r="AD39" s="957"/>
      <c r="AF39">
        <v>28</v>
      </c>
      <c r="AG39" t="s">
        <v>250</v>
      </c>
      <c r="AH39" s="979" t="s">
        <v>2246</v>
      </c>
      <c r="AI39" s="980"/>
      <c r="AJ39" s="978"/>
      <c r="AK39" s="978"/>
      <c r="AL39" s="978"/>
      <c r="AO39" s="486">
        <v>4.9000000000000004</v>
      </c>
      <c r="AP39" s="671">
        <f t="shared" si="27"/>
        <v>0</v>
      </c>
      <c r="AQ39" s="161">
        <f t="shared" ca="1" si="28"/>
        <v>1.7397378530847156</v>
      </c>
      <c r="AR39" s="161">
        <f t="shared" ca="1" si="29"/>
        <v>1.7969613695959317</v>
      </c>
      <c r="AS39" s="161">
        <f t="shared" ca="1" si="30"/>
        <v>1.8494593698795321</v>
      </c>
      <c r="AT39" s="161">
        <f t="shared" ca="1" si="31"/>
        <v>1.9236838173278277</v>
      </c>
      <c r="AU39" s="161">
        <f t="shared" ca="1" si="32"/>
        <v>1.972257612556763</v>
      </c>
      <c r="AV39" s="486">
        <v>4.9000000000000004</v>
      </c>
      <c r="AW39" s="671">
        <f t="shared" si="26"/>
        <v>0</v>
      </c>
      <c r="AX39" s="161">
        <f t="shared" ca="1" si="33"/>
        <v>1.7397378530847156</v>
      </c>
      <c r="AY39" s="161">
        <f t="shared" ca="1" si="34"/>
        <v>1.7969613695959317</v>
      </c>
      <c r="AZ39" s="161">
        <f t="shared" ca="1" si="35"/>
        <v>1.8494593698795321</v>
      </c>
      <c r="BA39" s="161">
        <f t="shared" ca="1" si="36"/>
        <v>1.9236838173278277</v>
      </c>
      <c r="BB39" s="161">
        <f t="shared" ca="1" si="37"/>
        <v>1.972257612556763</v>
      </c>
      <c r="BC39" s="63"/>
      <c r="BD39" s="12" t="s">
        <v>184</v>
      </c>
      <c r="BE39" s="486">
        <v>3.8</v>
      </c>
      <c r="BF39" s="13">
        <v>3.8</v>
      </c>
      <c r="BG39" s="12" t="s">
        <v>184</v>
      </c>
      <c r="BH39" s="109" t="s">
        <v>1082</v>
      </c>
      <c r="BJ39" s="12" t="s">
        <v>184</v>
      </c>
      <c r="BK39" s="262" t="s">
        <v>130</v>
      </c>
      <c r="BL39" s="13"/>
      <c r="BM39" s="333"/>
      <c r="BN39" s="333"/>
      <c r="BO39" s="333"/>
      <c r="BP39" s="438">
        <v>1</v>
      </c>
      <c r="BQ39" s="439">
        <f t="shared" ca="1" si="25"/>
        <v>0.6014987301587299</v>
      </c>
      <c r="BR39" s="350">
        <f t="shared" ca="1" si="16"/>
        <v>0.62246920634920622</v>
      </c>
      <c r="BS39" s="350">
        <f t="shared" ca="1" si="17"/>
        <v>0.64224666666666663</v>
      </c>
      <c r="BT39" s="350">
        <f t="shared" ca="1" si="18"/>
        <v>0.65754253968253962</v>
      </c>
      <c r="BU39" s="351">
        <f t="shared" ca="1" si="19"/>
        <v>0.68119492063492082</v>
      </c>
      <c r="BV39" s="972">
        <v>3.7</v>
      </c>
      <c r="BW39" s="439">
        <f t="shared" ca="1" si="20"/>
        <v>1.3877974274926321</v>
      </c>
      <c r="BX39" s="350">
        <f t="shared" ca="1" si="21"/>
        <v>1.4351678392904261</v>
      </c>
      <c r="BY39" s="350">
        <f t="shared" ca="1" si="22"/>
        <v>1.4786193846350475</v>
      </c>
      <c r="BZ39" s="350">
        <f t="shared" ca="1" si="23"/>
        <v>1.5400873308668217</v>
      </c>
      <c r="CA39" s="351">
        <f t="shared" ca="1" si="24"/>
        <v>1.5803244155899274</v>
      </c>
      <c r="CB39" s="333"/>
      <c r="CC39" s="333"/>
      <c r="CD39" s="333"/>
      <c r="CE39" s="333"/>
      <c r="CF39" s="333"/>
      <c r="CG39" s="333"/>
      <c r="CH39" s="333"/>
      <c r="CI39" s="333"/>
      <c r="CJ39" s="333"/>
      <c r="CK39" s="333"/>
      <c r="CL39" s="333"/>
      <c r="CM39" s="333"/>
      <c r="CN39" s="336"/>
      <c r="CO39" s="974"/>
      <c r="CP39" s="974"/>
      <c r="CS39" s="277">
        <f t="shared" si="38"/>
        <v>2.7</v>
      </c>
      <c r="CT39" s="277">
        <f t="shared" ca="1" si="38"/>
        <v>1.0913410279660973</v>
      </c>
    </row>
    <row r="40" spans="1:98">
      <c r="A40">
        <v>39</v>
      </c>
      <c r="B40" t="s">
        <v>218</v>
      </c>
      <c r="F40" t="str">
        <f>BN9</f>
        <v>Floor type &amp; underslab insulation style</v>
      </c>
      <c r="G40" s="177" t="str">
        <f>BB15</f>
        <v>Slab floor without insulation</v>
      </c>
      <c r="J40" s="172"/>
      <c r="K40" s="167"/>
      <c r="L40" s="167"/>
      <c r="M40" s="167"/>
      <c r="N40" s="167"/>
      <c r="T40" s="172"/>
      <c r="U40" s="2">
        <v>135</v>
      </c>
      <c r="V40" s="611">
        <v>3.4756023054730513E-3</v>
      </c>
      <c r="W40" s="176">
        <v>-7.4678360058908502E-2</v>
      </c>
      <c r="X40" s="176">
        <v>0.88493498682756622</v>
      </c>
      <c r="Y40" s="612">
        <v>0.25951618791461684</v>
      </c>
      <c r="Z40" s="611">
        <v>3.4756023054730513E-3</v>
      </c>
      <c r="AA40" s="176">
        <v>-7.4678360058908502E-2</v>
      </c>
      <c r="AB40" s="176">
        <v>0.88493498682756622</v>
      </c>
      <c r="AC40" s="612">
        <v>0.25951618791461684</v>
      </c>
      <c r="AD40" s="957"/>
      <c r="AF40">
        <v>29</v>
      </c>
      <c r="AG40" t="s">
        <v>251</v>
      </c>
      <c r="AH40" s="979" t="s">
        <v>2250</v>
      </c>
      <c r="AI40" s="980"/>
      <c r="AJ40" s="978"/>
      <c r="AK40" s="978"/>
      <c r="AL40" s="978"/>
      <c r="AO40" s="486">
        <v>4.8</v>
      </c>
      <c r="AP40" s="671">
        <f t="shared" si="27"/>
        <v>0</v>
      </c>
      <c r="AQ40" s="161">
        <f t="shared" ca="1" si="28"/>
        <v>1.7105056149528339</v>
      </c>
      <c r="AR40" s="161">
        <f t="shared" ca="1" si="29"/>
        <v>1.7669115380455354</v>
      </c>
      <c r="AS40" s="161">
        <f t="shared" ca="1" si="30"/>
        <v>1.8186583204760771</v>
      </c>
      <c r="AT40" s="161">
        <f t="shared" ca="1" si="31"/>
        <v>1.8918248357432574</v>
      </c>
      <c r="AU40" s="161">
        <f t="shared" ca="1" si="32"/>
        <v>1.9397076796118746</v>
      </c>
      <c r="AV40" s="486">
        <v>4.8</v>
      </c>
      <c r="AW40" s="671">
        <f t="shared" si="26"/>
        <v>0</v>
      </c>
      <c r="AX40" s="161">
        <f t="shared" ca="1" si="33"/>
        <v>1.7105056149528339</v>
      </c>
      <c r="AY40" s="161">
        <f t="shared" ca="1" si="34"/>
        <v>1.7669115380455354</v>
      </c>
      <c r="AZ40" s="161">
        <f t="shared" ca="1" si="35"/>
        <v>1.8186583204760771</v>
      </c>
      <c r="BA40" s="161">
        <f t="shared" ca="1" si="36"/>
        <v>1.8918248357432574</v>
      </c>
      <c r="BB40" s="161">
        <f t="shared" ca="1" si="37"/>
        <v>1.9397076796118746</v>
      </c>
      <c r="BC40" s="63"/>
      <c r="BD40" s="12" t="s">
        <v>188</v>
      </c>
      <c r="BE40" s="486">
        <v>3.7</v>
      </c>
      <c r="BF40" s="13">
        <v>3.7</v>
      </c>
      <c r="BG40" s="12" t="s">
        <v>188</v>
      </c>
      <c r="BH40" s="109" t="s">
        <v>1083</v>
      </c>
      <c r="BJ40" s="12" t="s">
        <v>188</v>
      </c>
      <c r="BK40" s="262" t="s">
        <v>134</v>
      </c>
      <c r="BL40" s="13"/>
      <c r="BM40" s="333"/>
      <c r="BN40" s="333"/>
      <c r="BO40" s="333"/>
      <c r="BP40" s="438">
        <v>0.9</v>
      </c>
      <c r="BQ40" s="439">
        <f t="shared" ca="1" si="25"/>
        <v>0.56437549107142837</v>
      </c>
      <c r="BR40" s="350">
        <f t="shared" ca="1" si="16"/>
        <v>0.58377223214285712</v>
      </c>
      <c r="BS40" s="350">
        <f t="shared" ca="1" si="17"/>
        <v>0.6040538839285714</v>
      </c>
      <c r="BT40" s="350">
        <f t="shared" ca="1" si="18"/>
        <v>0.61929325892857134</v>
      </c>
      <c r="BU40" s="351">
        <f t="shared" ca="1" si="19"/>
        <v>0.63976000000000022</v>
      </c>
      <c r="BV40" s="972">
        <v>3.6</v>
      </c>
      <c r="BW40" s="439">
        <f t="shared" ca="1" si="20"/>
        <v>1.3583132386151489</v>
      </c>
      <c r="BX40" s="350">
        <f t="shared" ca="1" si="21"/>
        <v>1.4048559971534453</v>
      </c>
      <c r="BY40" s="350">
        <f t="shared" ca="1" si="22"/>
        <v>1.4475486393467765</v>
      </c>
      <c r="BZ40" s="350">
        <f t="shared" ca="1" si="23"/>
        <v>1.5079444572700442</v>
      </c>
      <c r="CA40" s="351">
        <f t="shared" ca="1" si="24"/>
        <v>1.5474802143037352</v>
      </c>
      <c r="CB40" s="333"/>
      <c r="CC40" s="333"/>
      <c r="CD40" s="333"/>
      <c r="CE40" s="333"/>
      <c r="CF40" s="333"/>
      <c r="CG40" s="333"/>
      <c r="CH40" s="333"/>
      <c r="CI40" s="333"/>
      <c r="CJ40" s="333"/>
      <c r="CK40" s="333"/>
      <c r="CL40" s="333"/>
      <c r="CM40" s="333"/>
      <c r="CN40" s="336"/>
      <c r="CO40" s="974"/>
      <c r="CP40" s="974"/>
      <c r="CS40" s="277">
        <f t="shared" si="38"/>
        <v>2.6</v>
      </c>
      <c r="CT40" s="277">
        <f t="shared" ca="1" si="38"/>
        <v>1.0614682946790941</v>
      </c>
    </row>
    <row r="41" spans="1:98">
      <c r="A41">
        <v>40</v>
      </c>
      <c r="B41" t="s">
        <v>225</v>
      </c>
      <c r="F41" t="str">
        <f>BW3</f>
        <v>Wall depth (mm)</v>
      </c>
      <c r="G41" s="177" t="str">
        <f>AY15</f>
        <v>90 +</v>
      </c>
      <c r="J41" s="172"/>
      <c r="K41" s="167"/>
      <c r="L41" s="167"/>
      <c r="M41" s="167"/>
      <c r="N41" s="167"/>
      <c r="T41" s="172" t="s">
        <v>2278</v>
      </c>
      <c r="U41" s="2">
        <v>180</v>
      </c>
      <c r="V41" s="611">
        <v>3.6118628515377244E-3</v>
      </c>
      <c r="W41" s="176">
        <v>-7.743745516420486E-2</v>
      </c>
      <c r="X41" s="176">
        <v>0.9073287826758879</v>
      </c>
      <c r="Y41" s="612">
        <v>0.27188046043827374</v>
      </c>
      <c r="Z41" s="611">
        <v>3.6118628515377244E-3</v>
      </c>
      <c r="AA41" s="176">
        <v>-7.743745516420486E-2</v>
      </c>
      <c r="AB41" s="176">
        <v>0.9073287826758879</v>
      </c>
      <c r="AC41" s="612">
        <v>0.27188046043827374</v>
      </c>
      <c r="AD41" s="957"/>
      <c r="AF41">
        <v>30</v>
      </c>
      <c r="AG41" t="s">
        <v>163</v>
      </c>
      <c r="AH41" s="979" t="s">
        <v>2230</v>
      </c>
      <c r="AI41" s="980"/>
      <c r="AJ41" s="978"/>
      <c r="AK41" s="978"/>
      <c r="AL41" s="978"/>
      <c r="AO41" s="486">
        <v>4.7</v>
      </c>
      <c r="AP41" s="671">
        <f t="shared" si="27"/>
        <v>0</v>
      </c>
      <c r="AQ41" s="161">
        <f t="shared" ca="1" si="28"/>
        <v>1.6812613101982281</v>
      </c>
      <c r="AR41" s="161">
        <f t="shared" ca="1" si="29"/>
        <v>1.7368493148382622</v>
      </c>
      <c r="AS41" s="161">
        <f t="shared" ca="1" si="30"/>
        <v>1.7878446400679953</v>
      </c>
      <c r="AT41" s="161">
        <f t="shared" ca="1" si="31"/>
        <v>1.8599526848995027</v>
      </c>
      <c r="AU41" s="161">
        <f t="shared" ca="1" si="32"/>
        <v>1.9071441656224801</v>
      </c>
      <c r="AV41" s="486">
        <v>4.7</v>
      </c>
      <c r="AW41" s="671">
        <f t="shared" si="26"/>
        <v>0</v>
      </c>
      <c r="AX41" s="161">
        <f t="shared" ca="1" si="33"/>
        <v>1.6812613101982281</v>
      </c>
      <c r="AY41" s="161">
        <f t="shared" ca="1" si="34"/>
        <v>1.7368493148382622</v>
      </c>
      <c r="AZ41" s="161">
        <f t="shared" ca="1" si="35"/>
        <v>1.7878446400679953</v>
      </c>
      <c r="BA41" s="161">
        <f t="shared" ca="1" si="36"/>
        <v>1.8599526848995027</v>
      </c>
      <c r="BB41" s="161">
        <f t="shared" ca="1" si="37"/>
        <v>1.9071441656224801</v>
      </c>
      <c r="BC41" s="63"/>
      <c r="BD41" s="12" t="s">
        <v>195</v>
      </c>
      <c r="BE41" s="486">
        <v>3.6</v>
      </c>
      <c r="BF41" s="13">
        <v>3.6</v>
      </c>
      <c r="BG41" s="12" t="s">
        <v>195</v>
      </c>
      <c r="BH41" s="109" t="s">
        <v>1084</v>
      </c>
      <c r="BJ41" s="12" t="s">
        <v>195</v>
      </c>
      <c r="BK41" s="262" t="s">
        <v>140</v>
      </c>
      <c r="BL41" s="13"/>
      <c r="BM41" s="333"/>
      <c r="BN41" s="333"/>
      <c r="BO41" s="333"/>
      <c r="BP41" s="438">
        <v>0.8</v>
      </c>
      <c r="BQ41" s="439">
        <f t="shared" ca="1" si="25"/>
        <v>0.52766420634920608</v>
      </c>
      <c r="BR41" s="350">
        <f t="shared" ca="1" si="16"/>
        <v>0.54499539682539677</v>
      </c>
      <c r="BS41" s="350">
        <f t="shared" ca="1" si="17"/>
        <v>0.56560738095238094</v>
      </c>
      <c r="BT41" s="350">
        <f t="shared" ca="1" si="18"/>
        <v>0.58140087301587295</v>
      </c>
      <c r="BU41" s="351">
        <f t="shared" ca="1" si="19"/>
        <v>0.59849968253968278</v>
      </c>
      <c r="BV41" s="972">
        <v>3.5</v>
      </c>
      <c r="BW41" s="439">
        <f t="shared" ca="1" si="20"/>
        <v>1.3287975010653208</v>
      </c>
      <c r="BX41" s="350">
        <f t="shared" ca="1" si="21"/>
        <v>1.3745111614133945</v>
      </c>
      <c r="BY41" s="350">
        <f t="shared" ca="1" si="22"/>
        <v>1.4164437859940076</v>
      </c>
      <c r="BZ41" s="350">
        <f t="shared" ca="1" si="23"/>
        <v>1.4757655306137196</v>
      </c>
      <c r="CA41" s="351">
        <f t="shared" ca="1" si="24"/>
        <v>1.5145985600080862</v>
      </c>
      <c r="CB41" s="333"/>
      <c r="CC41" s="333"/>
      <c r="CD41" s="333"/>
      <c r="CE41" s="333"/>
      <c r="CF41" s="333"/>
      <c r="CG41" s="333"/>
      <c r="CH41" s="333"/>
      <c r="CI41" s="333"/>
      <c r="CJ41" s="333"/>
      <c r="CK41" s="333"/>
      <c r="CL41" s="333"/>
      <c r="CM41" s="333"/>
      <c r="CN41" s="336"/>
      <c r="CO41" s="974"/>
      <c r="CP41" s="974"/>
      <c r="CS41" s="277">
        <f t="shared" si="38"/>
        <v>2.5</v>
      </c>
      <c r="CT41" s="277">
        <f t="shared" ca="1" si="38"/>
        <v>1.0315477776783961</v>
      </c>
    </row>
    <row r="42" spans="1:98">
      <c r="A42">
        <v>41</v>
      </c>
      <c r="B42" t="s">
        <v>231</v>
      </c>
      <c r="F42" t="str">
        <f>BW5</f>
        <v>Area-Perim. fraction</v>
      </c>
      <c r="G42" s="177">
        <f>A_P</f>
        <v>2.4</v>
      </c>
      <c r="K42" s="167"/>
      <c r="L42" s="167"/>
      <c r="M42" s="167"/>
      <c r="N42" s="167"/>
      <c r="T42" s="172"/>
      <c r="U42" s="2">
        <v>250</v>
      </c>
      <c r="V42" s="611">
        <v>3.802983027454767E-3</v>
      </c>
      <c r="W42" s="176">
        <v>-8.1304566896967759E-2</v>
      </c>
      <c r="X42" s="176">
        <v>0.93864945381542764</v>
      </c>
      <c r="Y42" s="612">
        <v>0.28967036308029881</v>
      </c>
      <c r="Z42" s="611">
        <v>3.802983027454767E-3</v>
      </c>
      <c r="AA42" s="176">
        <v>-8.1304566896967759E-2</v>
      </c>
      <c r="AB42" s="176">
        <v>0.93864945381542764</v>
      </c>
      <c r="AC42" s="612">
        <v>0.28967036308029881</v>
      </c>
      <c r="AD42" s="957"/>
      <c r="AF42">
        <v>31</v>
      </c>
      <c r="AG42" s="10" t="s">
        <v>2279</v>
      </c>
      <c r="AH42" s="979" t="s">
        <v>2272</v>
      </c>
      <c r="AI42" s="980"/>
      <c r="AJ42" s="978"/>
      <c r="AK42" s="978"/>
      <c r="AL42" s="978"/>
      <c r="AO42" s="486">
        <v>4.5999999999999996</v>
      </c>
      <c r="AP42" s="671">
        <f t="shared" si="27"/>
        <v>0</v>
      </c>
      <c r="AQ42" s="161">
        <f t="shared" ca="1" si="28"/>
        <v>1.6520033153167626</v>
      </c>
      <c r="AR42" s="161">
        <f t="shared" ca="1" si="29"/>
        <v>1.7067729831452623</v>
      </c>
      <c r="AS42" s="161">
        <f t="shared" ca="1" si="30"/>
        <v>1.757016538900297</v>
      </c>
      <c r="AT42" s="161">
        <f t="shared" ca="1" si="31"/>
        <v>1.828065457813199</v>
      </c>
      <c r="AU42" s="161">
        <f t="shared" ca="1" si="32"/>
        <v>1.8745650812581667</v>
      </c>
      <c r="AV42" s="486">
        <v>4.5999999999999996</v>
      </c>
      <c r="AW42" s="671">
        <f t="shared" si="26"/>
        <v>0</v>
      </c>
      <c r="AX42" s="161">
        <f t="shared" ca="1" si="33"/>
        <v>1.6520033153167626</v>
      </c>
      <c r="AY42" s="161">
        <f t="shared" ca="1" si="34"/>
        <v>1.7067729831452623</v>
      </c>
      <c r="AZ42" s="161">
        <f t="shared" ca="1" si="35"/>
        <v>1.757016538900297</v>
      </c>
      <c r="BA42" s="161">
        <f t="shared" ca="1" si="36"/>
        <v>1.828065457813199</v>
      </c>
      <c r="BB42" s="161">
        <f t="shared" ca="1" si="37"/>
        <v>1.8745650812581667</v>
      </c>
      <c r="BC42" s="63"/>
      <c r="BD42" s="12" t="s">
        <v>201</v>
      </c>
      <c r="BE42" s="486">
        <v>3.5</v>
      </c>
      <c r="BF42" s="13">
        <v>3.5</v>
      </c>
      <c r="BG42" s="12" t="s">
        <v>201</v>
      </c>
      <c r="BH42" s="109" t="s">
        <v>1085</v>
      </c>
      <c r="BJ42" s="12" t="s">
        <v>201</v>
      </c>
      <c r="BK42" s="262" t="s">
        <v>145</v>
      </c>
      <c r="BL42" s="13"/>
      <c r="BM42" s="333"/>
      <c r="BN42" s="333"/>
      <c r="BO42" s="333"/>
      <c r="BP42" s="438">
        <v>0.7</v>
      </c>
      <c r="BQ42" s="439">
        <f t="shared" ca="1" si="25"/>
        <v>0.49269161210317436</v>
      </c>
      <c r="BR42" s="350">
        <f t="shared" ca="1" si="16"/>
        <v>0.50727689484126981</v>
      </c>
      <c r="BS42" s="350">
        <f t="shared" ca="1" si="17"/>
        <v>0.52780194940476188</v>
      </c>
      <c r="BT42" s="350">
        <f t="shared" ca="1" si="18"/>
        <v>0.54461503472222217</v>
      </c>
      <c r="BU42" s="351">
        <f t="shared" ca="1" si="19"/>
        <v>0.5584084126984129</v>
      </c>
      <c r="BV42" s="972">
        <v>3.4</v>
      </c>
      <c r="BW42" s="439">
        <f t="shared" ca="1" si="20"/>
        <v>1.2992485913390135</v>
      </c>
      <c r="BX42" s="350">
        <f t="shared" ca="1" si="21"/>
        <v>1.3441316152414244</v>
      </c>
      <c r="BY42" s="350">
        <f t="shared" ca="1" si="22"/>
        <v>1.3853030348217512</v>
      </c>
      <c r="BZ42" s="350">
        <f t="shared" ca="1" si="23"/>
        <v>1.4435486439144856</v>
      </c>
      <c r="CA42" s="351">
        <f t="shared" ca="1" si="24"/>
        <v>1.4816774633725678</v>
      </c>
      <c r="CB42" s="333"/>
      <c r="CC42" s="333"/>
      <c r="CD42" s="333"/>
      <c r="CE42" s="333"/>
      <c r="CF42" s="333"/>
      <c r="CG42" s="333"/>
      <c r="CH42" s="333"/>
      <c r="CI42" s="333"/>
      <c r="CJ42" s="333"/>
      <c r="CK42" s="333"/>
      <c r="CL42" s="333"/>
      <c r="CM42" s="333"/>
      <c r="CN42" s="336"/>
      <c r="CO42" s="974"/>
      <c r="CP42" s="974"/>
      <c r="CS42" s="277">
        <f t="shared" si="38"/>
        <v>2.4</v>
      </c>
      <c r="CT42" s="277">
        <f t="shared" ca="1" si="38"/>
        <v>1.0015778534598689</v>
      </c>
    </row>
    <row r="43" spans="1:98">
      <c r="A43">
        <v>42</v>
      </c>
      <c r="B43" t="s">
        <v>236</v>
      </c>
      <c r="F43" t="str">
        <f>BW7</f>
        <v>Floor R-value (m2.K/W)</v>
      </c>
      <c r="G43" s="854">
        <f ca="1">BY7</f>
        <v>1.0015778534598689</v>
      </c>
      <c r="J43" s="172"/>
      <c r="K43" s="167"/>
      <c r="L43" s="167"/>
      <c r="M43" s="167"/>
      <c r="N43" s="167"/>
      <c r="T43" s="172"/>
      <c r="U43" s="2">
        <v>300</v>
      </c>
      <c r="V43" s="613">
        <v>3.9439440213190121E-3</v>
      </c>
      <c r="W43" s="614">
        <v>-8.4162811093036791E-2</v>
      </c>
      <c r="X43" s="614">
        <v>0.96192456081938638</v>
      </c>
      <c r="Y43" s="615">
        <v>0.30266077466550778</v>
      </c>
      <c r="Z43" s="613">
        <v>3.9439440213190121E-3</v>
      </c>
      <c r="AA43" s="614">
        <v>-8.4162811093036791E-2</v>
      </c>
      <c r="AB43" s="614">
        <v>0.96192456081938638</v>
      </c>
      <c r="AC43" s="615">
        <v>0.30266077466550778</v>
      </c>
      <c r="AD43" s="957"/>
      <c r="AE43"/>
      <c r="AF43">
        <v>32</v>
      </c>
      <c r="AG43" s="10" t="s">
        <v>2281</v>
      </c>
      <c r="AH43" s="979" t="s">
        <v>2276</v>
      </c>
      <c r="AI43" s="980"/>
      <c r="AJ43" s="978"/>
      <c r="AK43" s="978"/>
      <c r="AL43" s="978"/>
      <c r="AO43" s="486">
        <v>4.5</v>
      </c>
      <c r="AP43" s="671">
        <f t="shared" si="27"/>
        <v>0</v>
      </c>
      <c r="AQ43" s="161">
        <f t="shared" ca="1" si="28"/>
        <v>1.6227300068043031</v>
      </c>
      <c r="AR43" s="161">
        <f t="shared" ca="1" si="29"/>
        <v>1.6766808261376869</v>
      </c>
      <c r="AS43" s="161">
        <f t="shared" ca="1" si="30"/>
        <v>1.7261722272179929</v>
      </c>
      <c r="AT43" s="161">
        <f t="shared" ca="1" si="31"/>
        <v>1.7961612475009843</v>
      </c>
      <c r="AU43" s="161">
        <f t="shared" ca="1" si="32"/>
        <v>1.8419684371885219</v>
      </c>
      <c r="AV43" s="486">
        <v>4.5</v>
      </c>
      <c r="AW43" s="671">
        <f t="shared" si="26"/>
        <v>0</v>
      </c>
      <c r="AX43" s="161">
        <f t="shared" ca="1" si="33"/>
        <v>1.6227300068043031</v>
      </c>
      <c r="AY43" s="161">
        <f t="shared" ca="1" si="34"/>
        <v>1.6766808261376869</v>
      </c>
      <c r="AZ43" s="161">
        <f t="shared" ca="1" si="35"/>
        <v>1.7261722272179929</v>
      </c>
      <c r="BA43" s="161">
        <f t="shared" ca="1" si="36"/>
        <v>1.7961612475009843</v>
      </c>
      <c r="BB43" s="161">
        <f t="shared" ca="1" si="37"/>
        <v>1.8419684371885219</v>
      </c>
      <c r="BC43" s="63"/>
      <c r="BD43" s="12" t="s">
        <v>205</v>
      </c>
      <c r="BE43" s="486">
        <v>3.4</v>
      </c>
      <c r="BF43" s="13">
        <v>3.4</v>
      </c>
      <c r="BG43" s="12" t="s">
        <v>205</v>
      </c>
      <c r="BH43" s="109" t="s">
        <v>1086</v>
      </c>
      <c r="BJ43" s="12" t="s">
        <v>205</v>
      </c>
      <c r="BK43" s="262" t="s">
        <v>151</v>
      </c>
      <c r="BL43" s="13"/>
      <c r="BM43" s="333"/>
      <c r="BN43" s="333"/>
      <c r="BO43" s="333"/>
      <c r="BP43" s="786">
        <v>0.6</v>
      </c>
      <c r="BQ43" s="719">
        <f ca="1">IF($BL$1,"",AQ82)</f>
        <v>0.46078444444444433</v>
      </c>
      <c r="BR43" s="375">
        <f t="shared" ca="1" si="16"/>
        <v>0.47175492063492064</v>
      </c>
      <c r="BS43" s="375">
        <f t="shared" ca="1" si="17"/>
        <v>0.49153238095238105</v>
      </c>
      <c r="BT43" s="375">
        <f t="shared" ca="1" si="18"/>
        <v>0.50968539682539682</v>
      </c>
      <c r="BU43" s="376">
        <f t="shared" ca="1" si="19"/>
        <v>0.52048063492063523</v>
      </c>
      <c r="BV43" s="787">
        <v>3.3</v>
      </c>
      <c r="BW43" s="719">
        <f t="shared" ca="1" si="20"/>
        <v>1.2696648859320916</v>
      </c>
      <c r="BX43" s="375">
        <f t="shared" ca="1" si="21"/>
        <v>1.3137156418086857</v>
      </c>
      <c r="BY43" s="375">
        <f t="shared" ca="1" si="22"/>
        <v>1.3541245960750186</v>
      </c>
      <c r="BZ43" s="375">
        <f t="shared" ca="1" si="23"/>
        <v>1.4112918901889775</v>
      </c>
      <c r="CA43" s="376">
        <f t="shared" ca="1" si="24"/>
        <v>1.4487149350667674</v>
      </c>
      <c r="CB43" s="333"/>
      <c r="CC43" s="333"/>
      <c r="CD43" s="333"/>
      <c r="CE43" s="333"/>
      <c r="CF43" s="333"/>
      <c r="CG43" s="333"/>
      <c r="CH43" s="333"/>
      <c r="CI43" s="333"/>
      <c r="CJ43" s="333"/>
      <c r="CK43" s="333"/>
      <c r="CL43" s="333"/>
      <c r="CM43" s="333"/>
      <c r="CN43" s="336"/>
      <c r="CO43" s="974"/>
      <c r="CP43" s="974"/>
      <c r="CS43" s="277">
        <f t="shared" si="38"/>
        <v>2.2999999999999998</v>
      </c>
      <c r="CT43" s="277">
        <f t="shared" ca="1" si="38"/>
        <v>0.97155689851937699</v>
      </c>
    </row>
    <row r="44" spans="1:98" ht="16.5" thickBot="1">
      <c r="A44">
        <v>43</v>
      </c>
      <c r="B44" t="s">
        <v>240</v>
      </c>
      <c r="J44" s="172"/>
      <c r="K44" s="167"/>
      <c r="L44" s="167"/>
      <c r="M44" s="167"/>
      <c r="N44" s="167"/>
      <c r="T44" s="172"/>
      <c r="U44" s="2">
        <v>90</v>
      </c>
      <c r="V44" s="606">
        <v>-0.16533564814814972</v>
      </c>
      <c r="W44" s="607">
        <v>0.44612103174603718</v>
      </c>
      <c r="X44" s="607">
        <v>3.169279100528527E-2</v>
      </c>
      <c r="Y44" s="607">
        <v>0.45557166666666848</v>
      </c>
      <c r="Z44" s="607">
        <v>3.4554115495361146E-4</v>
      </c>
      <c r="AA44" s="607">
        <v>-5.4568771546461923E-3</v>
      </c>
      <c r="AB44" s="607">
        <v>0.3751587488039923</v>
      </c>
      <c r="AC44" s="608">
        <v>0.38664961362940614</v>
      </c>
      <c r="AD44" s="957"/>
      <c r="AO44" s="486">
        <v>4.4000000000000004</v>
      </c>
      <c r="AP44" s="671">
        <f t="shared" si="27"/>
        <v>0</v>
      </c>
      <c r="AQ44" s="161">
        <f t="shared" ca="1" si="28"/>
        <v>1.5934397611567146</v>
      </c>
      <c r="AR44" s="161">
        <f t="shared" ca="1" si="29"/>
        <v>1.6465711269866865</v>
      </c>
      <c r="AS44" s="161">
        <f t="shared" ca="1" si="30"/>
        <v>1.6953099152660942</v>
      </c>
      <c r="AT44" s="161">
        <f t="shared" ca="1" si="31"/>
        <v>1.7642381469794941</v>
      </c>
      <c r="AU44" s="161">
        <f t="shared" ca="1" si="32"/>
        <v>1.8093522440831333</v>
      </c>
      <c r="AV44" s="486">
        <v>4.4000000000000004</v>
      </c>
      <c r="AW44" s="671">
        <f t="shared" si="26"/>
        <v>0</v>
      </c>
      <c r="AX44" s="161">
        <f t="shared" ca="1" si="33"/>
        <v>1.5934397611567146</v>
      </c>
      <c r="AY44" s="161">
        <f t="shared" ca="1" si="34"/>
        <v>1.6465711269866865</v>
      </c>
      <c r="AZ44" s="161">
        <f t="shared" ca="1" si="35"/>
        <v>1.6953099152660942</v>
      </c>
      <c r="BA44" s="161">
        <f t="shared" ca="1" si="36"/>
        <v>1.7642381469794941</v>
      </c>
      <c r="BB44" s="161">
        <f t="shared" ca="1" si="37"/>
        <v>1.8093522440831333</v>
      </c>
      <c r="BC44" s="63"/>
      <c r="BD44" s="12" t="s">
        <v>209</v>
      </c>
      <c r="BE44" s="486">
        <v>3.3</v>
      </c>
      <c r="BF44" s="13">
        <v>3.3</v>
      </c>
      <c r="BG44" s="12" t="s">
        <v>209</v>
      </c>
      <c r="BH44" s="109" t="s">
        <v>1087</v>
      </c>
      <c r="BJ44" s="12" t="s">
        <v>209</v>
      </c>
      <c r="BK44" s="262" t="s">
        <v>155</v>
      </c>
      <c r="BL44" s="13"/>
      <c r="BM44" s="354"/>
      <c r="BN44" s="354"/>
      <c r="BO44" s="354"/>
      <c r="BP44" s="354"/>
      <c r="BQ44" s="354"/>
      <c r="BR44" s="354"/>
      <c r="BS44" s="354"/>
      <c r="BT44" s="354"/>
      <c r="BU44" s="354"/>
      <c r="BV44" s="354"/>
      <c r="BW44" s="354"/>
      <c r="BX44" s="354"/>
      <c r="BY44" s="354"/>
      <c r="BZ44" s="354"/>
      <c r="CA44" s="354"/>
      <c r="CB44" s="354"/>
      <c r="CC44" s="354"/>
      <c r="CD44" s="354"/>
      <c r="CE44" s="354"/>
      <c r="CF44" s="354"/>
      <c r="CG44" s="354"/>
      <c r="CH44" s="354"/>
      <c r="CI44" s="354"/>
      <c r="CJ44" s="354"/>
      <c r="CK44" s="354"/>
      <c r="CL44" s="354"/>
      <c r="CM44" s="354"/>
      <c r="CN44" s="355"/>
      <c r="CO44" s="975"/>
      <c r="CP44" s="974"/>
      <c r="CS44" s="277">
        <f t="shared" si="38"/>
        <v>2.2000000000000002</v>
      </c>
      <c r="CT44" s="277">
        <f t="shared" ca="1" si="38"/>
        <v>0.94148328935278558</v>
      </c>
    </row>
    <row r="45" spans="1:98">
      <c r="A45">
        <v>44</v>
      </c>
      <c r="B45" t="s">
        <v>245</v>
      </c>
      <c r="K45" s="167"/>
      <c r="L45" s="167"/>
      <c r="M45" s="167"/>
      <c r="N45" s="167"/>
      <c r="T45" s="172"/>
      <c r="U45" s="2">
        <v>135</v>
      </c>
      <c r="V45" s="611">
        <v>-9.0046296296297637E-2</v>
      </c>
      <c r="W45" s="176">
        <v>0.22670634920635357</v>
      </c>
      <c r="X45" s="176">
        <v>0.23518915343914895</v>
      </c>
      <c r="Y45" s="176">
        <v>0.3957876190476205</v>
      </c>
      <c r="Z45" s="176">
        <v>3.5897924299337991E-4</v>
      </c>
      <c r="AA45" s="176">
        <v>-5.7007790407719288E-3</v>
      </c>
      <c r="AB45" s="176">
        <v>0.3807776548266163</v>
      </c>
      <c r="AC45" s="612">
        <v>0.39138578331411095</v>
      </c>
      <c r="AD45" s="957"/>
      <c r="AE45" s="172" t="str">
        <f>AH8</f>
        <v>f</v>
      </c>
      <c r="AF45" s="177" t="str">
        <f>AI8</f>
        <v>Std, non-mv, no insulation</v>
      </c>
      <c r="AG45"/>
      <c r="AH45" s="2"/>
      <c r="AI45"/>
      <c r="AJ45"/>
      <c r="AK45"/>
      <c r="AL45" s="2"/>
      <c r="AM45" s="955"/>
      <c r="AO45" s="486">
        <v>4.3</v>
      </c>
      <c r="AP45" s="671">
        <f t="shared" si="27"/>
        <v>0</v>
      </c>
      <c r="AQ45" s="161">
        <f t="shared" ca="1" si="28"/>
        <v>1.5641309548698614</v>
      </c>
      <c r="AR45" s="161">
        <f t="shared" ca="1" si="29"/>
        <v>1.616442168863411</v>
      </c>
      <c r="AS45" s="161">
        <f t="shared" ca="1" si="30"/>
        <v>1.6644278132896109</v>
      </c>
      <c r="AT45" s="161">
        <f t="shared" ca="1" si="31"/>
        <v>1.7322942492653648</v>
      </c>
      <c r="AU45" s="161">
        <f t="shared" ca="1" si="32"/>
        <v>1.7767145126115877</v>
      </c>
      <c r="AV45" s="486">
        <v>4.3</v>
      </c>
      <c r="AW45" s="671">
        <f t="shared" si="26"/>
        <v>0</v>
      </c>
      <c r="AX45" s="161">
        <f t="shared" ca="1" si="33"/>
        <v>1.5641309548698614</v>
      </c>
      <c r="AY45" s="161">
        <f t="shared" ca="1" si="34"/>
        <v>1.616442168863411</v>
      </c>
      <c r="AZ45" s="161">
        <f t="shared" ca="1" si="35"/>
        <v>1.6644278132896109</v>
      </c>
      <c r="BA45" s="161">
        <f t="shared" ca="1" si="36"/>
        <v>1.7322942492653648</v>
      </c>
      <c r="BB45" s="161">
        <f t="shared" ca="1" si="37"/>
        <v>1.7767145126115877</v>
      </c>
      <c r="BC45" s="63"/>
      <c r="BD45" s="12" t="s">
        <v>216</v>
      </c>
      <c r="BE45" s="486">
        <v>3.2</v>
      </c>
      <c r="BF45" s="13">
        <v>3.2</v>
      </c>
      <c r="BG45" s="12" t="s">
        <v>216</v>
      </c>
      <c r="BH45" s="109" t="s">
        <v>1088</v>
      </c>
      <c r="BJ45" s="12" t="s">
        <v>216</v>
      </c>
      <c r="BK45" s="262" t="s">
        <v>160</v>
      </c>
      <c r="BL45" s="13"/>
      <c r="BM45" s="356"/>
      <c r="BN45" s="356"/>
      <c r="BO45" s="356"/>
      <c r="BP45" s="356"/>
      <c r="BQ45" s="356"/>
      <c r="BR45" s="356"/>
      <c r="BS45" s="356"/>
      <c r="BT45" s="356"/>
      <c r="BU45" s="356"/>
      <c r="BV45" s="356"/>
      <c r="BW45" s="356"/>
      <c r="BX45" s="356"/>
      <c r="BY45" s="356"/>
      <c r="BZ45" s="356"/>
      <c r="CA45" s="356"/>
      <c r="CB45" s="356"/>
      <c r="CC45" s="356"/>
      <c r="CD45" s="356"/>
      <c r="CE45" s="356"/>
      <c r="CF45" s="356"/>
      <c r="CG45" s="356"/>
      <c r="CH45" s="356"/>
      <c r="CI45" s="356"/>
      <c r="CJ45" s="356"/>
      <c r="CK45" s="356"/>
      <c r="CL45" s="356"/>
      <c r="CM45" s="356"/>
      <c r="CN45" s="356"/>
      <c r="CO45" s="974"/>
      <c r="CP45" s="974"/>
      <c r="CQ45" s="974"/>
      <c r="CS45" s="277">
        <f t="shared" si="38"/>
        <v>2.1</v>
      </c>
      <c r="CT45" s="277">
        <f t="shared" ca="1" si="38"/>
        <v>0.91135540245595936</v>
      </c>
    </row>
    <row r="46" spans="1:98">
      <c r="A46">
        <v>45</v>
      </c>
      <c r="B46" t="s">
        <v>250</v>
      </c>
      <c r="K46" s="167"/>
      <c r="L46" s="167"/>
      <c r="M46" s="167"/>
      <c r="N46" s="167"/>
      <c r="T46" s="172" t="s">
        <v>191</v>
      </c>
      <c r="U46" s="2">
        <v>180</v>
      </c>
      <c r="V46" s="611">
        <v>-1.4525462962963217E-2</v>
      </c>
      <c r="W46" s="176">
        <v>6.6170634920640833E-3</v>
      </c>
      <c r="X46" s="176">
        <v>0.43931117724867691</v>
      </c>
      <c r="Y46" s="176">
        <v>0.33581976190476193</v>
      </c>
      <c r="Z46" s="176">
        <v>3.7160572356108079E-4</v>
      </c>
      <c r="AA46" s="176">
        <v>-5.9333425740539878E-3</v>
      </c>
      <c r="AB46" s="176">
        <v>0.38632699342028481</v>
      </c>
      <c r="AC46" s="612">
        <v>0.39621641204601793</v>
      </c>
      <c r="AD46" s="957"/>
      <c r="AE46"/>
      <c r="AF46" t="s">
        <v>1036</v>
      </c>
      <c r="AG46"/>
      <c r="AH46"/>
      <c r="AI46"/>
      <c r="AJ46" t="s">
        <v>1052</v>
      </c>
      <c r="AK46"/>
      <c r="AL46"/>
      <c r="AM46"/>
      <c r="AO46" s="486">
        <v>4.2</v>
      </c>
      <c r="AP46" s="671">
        <f t="shared" si="27"/>
        <v>0</v>
      </c>
      <c r="AQ46" s="161">
        <f t="shared" ca="1" si="28"/>
        <v>1.5348019644396091</v>
      </c>
      <c r="AR46" s="161">
        <f t="shared" ca="1" si="29"/>
        <v>1.5862922349390118</v>
      </c>
      <c r="AS46" s="161">
        <f t="shared" ca="1" si="30"/>
        <v>1.6335241315335545</v>
      </c>
      <c r="AT46" s="161">
        <f t="shared" ca="1" si="31"/>
        <v>1.7003276473752336</v>
      </c>
      <c r="AU46" s="161">
        <f t="shared" ca="1" si="32"/>
        <v>1.7440532534434736</v>
      </c>
      <c r="AV46" s="486">
        <v>4.2</v>
      </c>
      <c r="AW46" s="671">
        <f t="shared" si="26"/>
        <v>0</v>
      </c>
      <c r="AX46" s="161">
        <f t="shared" ca="1" si="33"/>
        <v>1.5348019644396091</v>
      </c>
      <c r="AY46" s="161">
        <f t="shared" ca="1" si="34"/>
        <v>1.5862922349390118</v>
      </c>
      <c r="AZ46" s="161">
        <f t="shared" ca="1" si="35"/>
        <v>1.6335241315335545</v>
      </c>
      <c r="BA46" s="161">
        <f t="shared" ca="1" si="36"/>
        <v>1.7003276473752336</v>
      </c>
      <c r="BB46" s="161">
        <f t="shared" ca="1" si="37"/>
        <v>1.7440532534434736</v>
      </c>
      <c r="BC46" s="63"/>
      <c r="BD46" s="12" t="s">
        <v>223</v>
      </c>
      <c r="BE46" s="486">
        <v>3.1</v>
      </c>
      <c r="BF46" s="13">
        <v>3.1</v>
      </c>
      <c r="BG46" s="12" t="s">
        <v>223</v>
      </c>
      <c r="BH46" s="109" t="s">
        <v>1089</v>
      </c>
      <c r="BJ46" s="12" t="s">
        <v>223</v>
      </c>
      <c r="BK46" s="262" t="s">
        <v>164</v>
      </c>
      <c r="BL46" s="13"/>
      <c r="BM46" s="356"/>
      <c r="BN46" s="358" t="s">
        <v>1090</v>
      </c>
      <c r="BO46" s="358"/>
      <c r="BP46" s="358"/>
      <c r="BQ46" s="358"/>
      <c r="BR46" s="358"/>
      <c r="BS46" s="358"/>
      <c r="BT46" s="358"/>
      <c r="BU46" s="358"/>
      <c r="BV46" s="358"/>
      <c r="BW46" s="358"/>
      <c r="BX46" s="358"/>
      <c r="BY46" s="358"/>
      <c r="BZ46" s="356"/>
      <c r="CA46" s="356"/>
      <c r="CB46" s="356"/>
      <c r="CC46" s="356"/>
      <c r="CD46" s="356"/>
      <c r="CE46" s="356"/>
      <c r="CF46" s="356"/>
      <c r="CG46" s="356"/>
      <c r="CH46" s="356"/>
      <c r="CI46" s="356"/>
      <c r="CJ46" s="356"/>
      <c r="CK46" s="356"/>
      <c r="CL46" s="356"/>
      <c r="CM46" s="356"/>
      <c r="CN46" s="356"/>
      <c r="CO46" s="974"/>
      <c r="CP46" s="974"/>
      <c r="CQ46" s="974"/>
      <c r="CS46" s="277">
        <f t="shared" si="38"/>
        <v>2</v>
      </c>
      <c r="CT46" s="277">
        <f t="shared" ca="1" si="38"/>
        <v>0.88117161432476365</v>
      </c>
    </row>
    <row r="47" spans="1:98">
      <c r="A47">
        <v>46</v>
      </c>
      <c r="B47" t="s">
        <v>255</v>
      </c>
      <c r="K47" s="167"/>
      <c r="L47" s="167"/>
      <c r="M47" s="167"/>
      <c r="N47" s="167"/>
      <c r="T47" s="172"/>
      <c r="U47" s="2">
        <v>250</v>
      </c>
      <c r="V47" s="611">
        <v>0.10243055555555639</v>
      </c>
      <c r="W47" s="176">
        <v>-0.3342261904761934</v>
      </c>
      <c r="X47" s="176">
        <v>0.75542658730159074</v>
      </c>
      <c r="Y47" s="176">
        <v>0.24294999999999878</v>
      </c>
      <c r="Z47" s="176">
        <v>3.900020443552098E-4</v>
      </c>
      <c r="AA47" s="176">
        <v>-6.2643705111232219E-3</v>
      </c>
      <c r="AB47" s="176">
        <v>0.39466307143712615</v>
      </c>
      <c r="AC47" s="612">
        <v>0.40414442990084293</v>
      </c>
      <c r="AD47" s="957"/>
      <c r="AE47" s="720">
        <f>IF(Cntrl6&lt;2,1,7-Cntrl6)</f>
        <v>1</v>
      </c>
      <c r="AF47" s="2" t="s">
        <v>1037</v>
      </c>
      <c r="AG47" s="2" t="s">
        <v>1042</v>
      </c>
      <c r="AH47" s="2" t="s">
        <v>276</v>
      </c>
      <c r="AI47" s="2" t="s">
        <v>163</v>
      </c>
      <c r="AJ47" s="2" t="s">
        <v>1037</v>
      </c>
      <c r="AK47" s="2" t="s">
        <v>1042</v>
      </c>
      <c r="AL47" s="2" t="s">
        <v>276</v>
      </c>
      <c r="AM47" s="2" t="s">
        <v>163</v>
      </c>
      <c r="AO47" s="486">
        <v>4.0999999999999996</v>
      </c>
      <c r="AP47" s="671">
        <f t="shared" si="27"/>
        <v>0</v>
      </c>
      <c r="AQ47" s="161">
        <f t="shared" ca="1" si="28"/>
        <v>1.5054511663618222</v>
      </c>
      <c r="AR47" s="161">
        <f t="shared" ca="1" si="29"/>
        <v>1.5561196083846389</v>
      </c>
      <c r="AS47" s="161">
        <f t="shared" ca="1" si="30"/>
        <v>1.602597080242935</v>
      </c>
      <c r="AT47" s="161">
        <f t="shared" ca="1" si="31"/>
        <v>1.6683364343257363</v>
      </c>
      <c r="AU47" s="161">
        <f t="shared" ca="1" si="32"/>
        <v>1.7113664772483776</v>
      </c>
      <c r="AV47" s="486">
        <v>4.0999999999999996</v>
      </c>
      <c r="AW47" s="671">
        <f t="shared" si="26"/>
        <v>0</v>
      </c>
      <c r="AX47" s="161">
        <f t="shared" ca="1" si="33"/>
        <v>1.5054511663618222</v>
      </c>
      <c r="AY47" s="161">
        <f t="shared" ca="1" si="34"/>
        <v>1.5561196083846389</v>
      </c>
      <c r="AZ47" s="161">
        <f t="shared" ca="1" si="35"/>
        <v>1.602597080242935</v>
      </c>
      <c r="BA47" s="161">
        <f t="shared" ca="1" si="36"/>
        <v>1.6683364343257363</v>
      </c>
      <c r="BB47" s="161">
        <f t="shared" ca="1" si="37"/>
        <v>1.7113664772483776</v>
      </c>
      <c r="BC47" s="63"/>
      <c r="BD47" s="12" t="s">
        <v>229</v>
      </c>
      <c r="BE47" s="486">
        <v>3</v>
      </c>
      <c r="BF47" s="13">
        <v>3</v>
      </c>
      <c r="BG47" s="12" t="s">
        <v>229</v>
      </c>
      <c r="BH47" s="109" t="s">
        <v>1091</v>
      </c>
      <c r="BJ47" s="12" t="s">
        <v>229</v>
      </c>
      <c r="BK47" s="262" t="s">
        <v>170</v>
      </c>
      <c r="BL47" s="13"/>
      <c r="BM47" s="356"/>
      <c r="BN47" s="358" t="s">
        <v>1092</v>
      </c>
      <c r="BO47" s="358"/>
      <c r="BP47" s="358"/>
      <c r="BQ47" s="358"/>
      <c r="BR47" s="358"/>
      <c r="BS47" s="358"/>
      <c r="BT47" s="358"/>
      <c r="BU47" s="358"/>
      <c r="BV47" s="358"/>
      <c r="BW47" s="358"/>
      <c r="BX47" s="358"/>
      <c r="BY47" s="358"/>
      <c r="BZ47" s="356"/>
      <c r="CA47" s="356"/>
      <c r="CB47" s="356"/>
      <c r="CC47" s="356"/>
      <c r="CD47" s="356"/>
      <c r="CE47" s="356"/>
      <c r="CF47" s="356"/>
      <c r="CG47" s="356"/>
      <c r="CH47" s="356"/>
      <c r="CI47" s="356"/>
      <c r="CJ47" s="356"/>
      <c r="CK47" s="356"/>
      <c r="CL47" s="356"/>
      <c r="CM47" s="356"/>
      <c r="CN47" s="356"/>
      <c r="CO47" s="974"/>
      <c r="CP47" s="974"/>
      <c r="CQ47" s="974"/>
      <c r="CS47" s="277">
        <f t="shared" si="38"/>
        <v>1.9</v>
      </c>
      <c r="CT47" s="277">
        <f t="shared" ca="1" si="38"/>
        <v>0.8509303014550631</v>
      </c>
    </row>
    <row r="48" spans="1:98">
      <c r="A48">
        <v>47</v>
      </c>
      <c r="B48" t="s">
        <v>260</v>
      </c>
      <c r="K48" s="167"/>
      <c r="L48" s="167"/>
      <c r="M48" s="167"/>
      <c r="N48" s="167"/>
      <c r="T48" s="172"/>
      <c r="U48" s="2">
        <v>300</v>
      </c>
      <c r="V48" s="613">
        <v>0.18576388888889075</v>
      </c>
      <c r="W48" s="614">
        <v>-0.57708333333334005</v>
      </c>
      <c r="X48" s="614">
        <v>0.98066468253969019</v>
      </c>
      <c r="Y48" s="614">
        <v>0.1767785714285689</v>
      </c>
      <c r="Z48" s="614">
        <v>4.0227556055837788E-4</v>
      </c>
      <c r="AA48" s="614">
        <v>-6.4898118527119538E-3</v>
      </c>
      <c r="AB48" s="614">
        <v>0.40051740303214622</v>
      </c>
      <c r="AC48" s="615">
        <v>0.40976306816472369</v>
      </c>
      <c r="AD48" s="957"/>
      <c r="AE48" s="602">
        <v>90</v>
      </c>
      <c r="AF48" s="699">
        <f t="shared" ref="AF48:AM52" ca="1" si="39">OFFSET($V$4,($AG$8-1)*5+ROW()-ROW($AF$48),COLUMN()-COLUMN($AF$48))</f>
        <v>-0.22112268518518777</v>
      </c>
      <c r="AG48" s="700">
        <f t="shared" ca="1" si="39"/>
        <v>0.61762896825397673</v>
      </c>
      <c r="AH48" s="700">
        <f t="shared" ca="1" si="39"/>
        <v>-0.20302017195768082</v>
      </c>
      <c r="AI48" s="701">
        <f t="shared" ca="1" si="39"/>
        <v>0.40801261904762176</v>
      </c>
      <c r="AJ48" s="699">
        <f t="shared" ca="1" si="39"/>
        <v>2.7058402250245832E-4</v>
      </c>
      <c r="AK48" s="700">
        <f t="shared" ca="1" si="39"/>
        <v>-4.499741060246888E-3</v>
      </c>
      <c r="AL48" s="700">
        <f t="shared" ca="1" si="39"/>
        <v>0.3168747551352139</v>
      </c>
      <c r="AM48" s="701">
        <f t="shared" ca="1" si="39"/>
        <v>0.26325639611530366</v>
      </c>
      <c r="AO48" s="486">
        <v>4</v>
      </c>
      <c r="AP48" s="671">
        <f t="shared" si="27"/>
        <v>0</v>
      </c>
      <c r="AQ48" s="161">
        <f t="shared" ca="1" si="28"/>
        <v>1.4760769371323663</v>
      </c>
      <c r="AR48" s="161">
        <f t="shared" ca="1" si="29"/>
        <v>1.5259225723714436</v>
      </c>
      <c r="AS48" s="161">
        <f t="shared" ca="1" si="30"/>
        <v>1.5716448696627641</v>
      </c>
      <c r="AT48" s="161">
        <f t="shared" ca="1" si="31"/>
        <v>1.6363187031335102</v>
      </c>
      <c r="AU48" s="161">
        <f t="shared" ca="1" si="32"/>
        <v>1.6786521946958877</v>
      </c>
      <c r="AV48" s="486">
        <v>4</v>
      </c>
      <c r="AW48" s="671">
        <f t="shared" si="26"/>
        <v>0</v>
      </c>
      <c r="AX48" s="161">
        <f t="shared" ca="1" si="33"/>
        <v>1.4760769371323663</v>
      </c>
      <c r="AY48" s="161">
        <f t="shared" ca="1" si="34"/>
        <v>1.5259225723714436</v>
      </c>
      <c r="AZ48" s="161">
        <f t="shared" ca="1" si="35"/>
        <v>1.5716448696627641</v>
      </c>
      <c r="BA48" s="161">
        <f t="shared" ca="1" si="36"/>
        <v>1.6363187031335102</v>
      </c>
      <c r="BB48" s="161">
        <f t="shared" ca="1" si="37"/>
        <v>1.6786521946958877</v>
      </c>
      <c r="BC48" s="63"/>
      <c r="BD48" s="12" t="s">
        <v>234</v>
      </c>
      <c r="BE48" s="486">
        <v>2.9</v>
      </c>
      <c r="BF48" s="13">
        <v>2.9</v>
      </c>
      <c r="BG48" s="12" t="s">
        <v>234</v>
      </c>
      <c r="BH48" s="109" t="s">
        <v>1093</v>
      </c>
      <c r="BJ48" s="12" t="s">
        <v>234</v>
      </c>
      <c r="BK48" s="262" t="s">
        <v>176</v>
      </c>
      <c r="BL48" s="13"/>
      <c r="BM48" s="356"/>
      <c r="BN48" s="358" t="s">
        <v>1094</v>
      </c>
      <c r="BO48" s="358"/>
      <c r="BP48" s="358"/>
      <c r="BQ48" s="358"/>
      <c r="BR48" s="358"/>
      <c r="BS48" s="358"/>
      <c r="BT48" s="358"/>
      <c r="BU48" s="358"/>
      <c r="BV48" s="358"/>
      <c r="BW48" s="358"/>
      <c r="BX48" s="358"/>
      <c r="BY48" s="358"/>
      <c r="BZ48" s="356"/>
      <c r="CA48" s="356"/>
      <c r="CB48" s="356"/>
      <c r="CC48" s="356"/>
      <c r="CD48" s="356"/>
      <c r="CE48" s="356"/>
      <c r="CF48" s="356"/>
      <c r="CG48" s="356"/>
      <c r="CH48" s="356"/>
      <c r="CI48" s="356"/>
      <c r="CJ48" s="356"/>
      <c r="CK48" s="356"/>
      <c r="CL48" s="356"/>
      <c r="CM48" s="356"/>
      <c r="CN48" s="356"/>
      <c r="CO48" s="974"/>
      <c r="CP48" s="974"/>
      <c r="CQ48" s="974"/>
      <c r="CS48" s="277">
        <f t="shared" si="38"/>
        <v>1.8</v>
      </c>
      <c r="CT48" s="277">
        <f t="shared" ca="1" si="38"/>
        <v>0.82062984034272324</v>
      </c>
    </row>
    <row r="49" spans="1:98">
      <c r="A49">
        <v>48</v>
      </c>
      <c r="B49" t="s">
        <v>266</v>
      </c>
      <c r="K49" s="167"/>
      <c r="L49" s="167"/>
      <c r="M49" s="167"/>
      <c r="N49" s="167"/>
      <c r="T49" s="172"/>
      <c r="U49" s="2">
        <v>90</v>
      </c>
      <c r="V49" s="606">
        <v>-6.9444444444441622E-3</v>
      </c>
      <c r="W49" s="607">
        <v>-0.75654761904762036</v>
      </c>
      <c r="X49" s="607">
        <v>2.0330158730158749</v>
      </c>
      <c r="Y49" s="607">
        <v>-3.8914285714286297E-2</v>
      </c>
      <c r="Z49" s="607">
        <v>-4.8430740086055017E-4</v>
      </c>
      <c r="AA49" s="607">
        <v>1.2207461705686436E-2</v>
      </c>
      <c r="AB49" s="607">
        <v>0.2771392495470153</v>
      </c>
      <c r="AC49" s="608">
        <v>0.76115192555872779</v>
      </c>
      <c r="AD49" s="957"/>
      <c r="AE49" s="988">
        <v>135</v>
      </c>
      <c r="AF49" s="702">
        <f t="shared" ca="1" si="39"/>
        <v>-0.18969907407407605</v>
      </c>
      <c r="AG49" s="703">
        <f t="shared" ca="1" si="39"/>
        <v>0.50819444444445117</v>
      </c>
      <c r="AH49" s="703">
        <f t="shared" ca="1" si="39"/>
        <v>-6.4515211640218867E-2</v>
      </c>
      <c r="AI49" s="704">
        <f t="shared" ca="1" si="39"/>
        <v>0.36848904761904999</v>
      </c>
      <c r="AJ49" s="702">
        <f t="shared" ca="1" si="39"/>
        <v>2.8613814156796332E-4</v>
      </c>
      <c r="AK49" s="703">
        <f t="shared" ca="1" si="39"/>
        <v>-4.7399720824272329E-3</v>
      </c>
      <c r="AL49" s="703">
        <f t="shared" ca="1" si="39"/>
        <v>0.32628327605305601</v>
      </c>
      <c r="AM49" s="704">
        <f t="shared" ca="1" si="39"/>
        <v>0.27831618041770562</v>
      </c>
      <c r="AO49" s="486">
        <v>3.9</v>
      </c>
      <c r="AP49" s="671">
        <f t="shared" si="27"/>
        <v>0</v>
      </c>
      <c r="AQ49" s="161">
        <f t="shared" ca="1" si="28"/>
        <v>1.446677653247106</v>
      </c>
      <c r="AR49" s="161">
        <f t="shared" ca="1" si="29"/>
        <v>1.4956994100705758</v>
      </c>
      <c r="AS49" s="161">
        <f t="shared" ca="1" si="30"/>
        <v>1.5406657100380519</v>
      </c>
      <c r="AT49" s="161">
        <f t="shared" ca="1" si="31"/>
        <v>1.6042725468151917</v>
      </c>
      <c r="AU49" s="161">
        <f t="shared" ca="1" si="32"/>
        <v>1.6459084164555908</v>
      </c>
      <c r="AV49" s="486">
        <v>3.9</v>
      </c>
      <c r="AW49" s="671">
        <f t="shared" si="26"/>
        <v>0</v>
      </c>
      <c r="AX49" s="161">
        <f t="shared" ca="1" si="33"/>
        <v>1.446677653247106</v>
      </c>
      <c r="AY49" s="161">
        <f t="shared" ca="1" si="34"/>
        <v>1.4956994100705758</v>
      </c>
      <c r="AZ49" s="161">
        <f t="shared" ca="1" si="35"/>
        <v>1.5406657100380519</v>
      </c>
      <c r="BA49" s="161">
        <f t="shared" ca="1" si="36"/>
        <v>1.6042725468151917</v>
      </c>
      <c r="BB49" s="161">
        <f t="shared" ca="1" si="37"/>
        <v>1.6459084164555908</v>
      </c>
      <c r="BC49" s="63"/>
      <c r="BD49" s="12" t="s">
        <v>238</v>
      </c>
      <c r="BE49" s="486">
        <v>2.8</v>
      </c>
      <c r="BF49" s="13">
        <v>2.8</v>
      </c>
      <c r="BG49" s="12" t="s">
        <v>238</v>
      </c>
      <c r="BH49" s="109" t="s">
        <v>1097</v>
      </c>
      <c r="BJ49" s="12" t="s">
        <v>238</v>
      </c>
      <c r="BK49" s="262" t="s">
        <v>183</v>
      </c>
      <c r="BL49" s="13"/>
      <c r="BM49" s="356"/>
      <c r="BN49" s="358" t="s">
        <v>1098</v>
      </c>
      <c r="BO49" s="358"/>
      <c r="BP49" s="358"/>
      <c r="BQ49" s="358"/>
      <c r="BR49" s="358"/>
      <c r="BS49" s="358"/>
      <c r="BT49" s="358"/>
      <c r="BU49" s="358"/>
      <c r="BV49" s="358"/>
      <c r="BW49" s="358"/>
      <c r="BX49" s="358"/>
      <c r="BY49" s="358"/>
      <c r="BZ49" s="356"/>
      <c r="CA49" s="356"/>
      <c r="CB49" s="356"/>
      <c r="CC49" s="356"/>
      <c r="CD49" s="356"/>
      <c r="CE49" s="356"/>
      <c r="CF49" s="356"/>
      <c r="CG49" s="356"/>
      <c r="CH49" s="356"/>
      <c r="CI49" s="356"/>
      <c r="CJ49" s="356"/>
      <c r="CK49" s="356"/>
      <c r="CL49" s="356"/>
      <c r="CM49" s="356"/>
      <c r="CN49" s="356"/>
      <c r="CO49" s="974"/>
      <c r="CP49" s="974"/>
      <c r="CQ49" s="974"/>
      <c r="CS49" s="277">
        <f t="shared" si="38"/>
        <v>1.7</v>
      </c>
      <c r="CT49" s="277">
        <f t="shared" ca="1" si="38"/>
        <v>0.79026860748360828</v>
      </c>
    </row>
    <row r="50" spans="1:98">
      <c r="A50">
        <v>49</v>
      </c>
      <c r="B50" t="s">
        <v>251</v>
      </c>
      <c r="K50" s="167"/>
      <c r="L50" s="167"/>
      <c r="M50" s="167"/>
      <c r="N50" s="167"/>
      <c r="T50" s="172"/>
      <c r="U50" s="2">
        <v>135</v>
      </c>
      <c r="V50" s="611">
        <v>0.36168981481481854</v>
      </c>
      <c r="W50" s="176">
        <v>-1.9022817460317589</v>
      </c>
      <c r="X50" s="176">
        <v>3.1079530423280568</v>
      </c>
      <c r="Y50" s="176">
        <v>-0.31163095238095695</v>
      </c>
      <c r="Z50" s="176">
        <v>-4.6879760079764164E-4</v>
      </c>
      <c r="AA50" s="176">
        <v>1.1990901752101664E-2</v>
      </c>
      <c r="AB50" s="176">
        <v>0.28333017865346483</v>
      </c>
      <c r="AC50" s="612">
        <v>0.7761069127170882</v>
      </c>
      <c r="AD50" s="957"/>
      <c r="AE50" s="988">
        <v>180</v>
      </c>
      <c r="AF50" s="702">
        <f t="shared" ca="1" si="39"/>
        <v>-0.14913194444444691</v>
      </c>
      <c r="AG50" s="703">
        <f t="shared" ca="1" si="39"/>
        <v>0.38997023809524639</v>
      </c>
      <c r="AH50" s="703">
        <f t="shared" ca="1" si="39"/>
        <v>4.5131944444435836E-2</v>
      </c>
      <c r="AI50" s="704">
        <f t="shared" ca="1" si="39"/>
        <v>0.35627642857143138</v>
      </c>
      <c r="AJ50" s="702">
        <f t="shared" ca="1" si="39"/>
        <v>2.9829249820559502E-4</v>
      </c>
      <c r="AK50" s="703">
        <f t="shared" ca="1" si="39"/>
        <v>-4.9269622055224298E-3</v>
      </c>
      <c r="AL50" s="703">
        <f t="shared" ca="1" si="39"/>
        <v>0.33475152582974499</v>
      </c>
      <c r="AM50" s="704">
        <f t="shared" ca="1" si="39"/>
        <v>0.29237944174698494</v>
      </c>
      <c r="AO50" s="486">
        <v>3.8</v>
      </c>
      <c r="AP50" s="671">
        <f t="shared" si="27"/>
        <v>0</v>
      </c>
      <c r="AQ50" s="161">
        <f t="shared" ca="1" si="28"/>
        <v>1.4172516912019062</v>
      </c>
      <c r="AR50" s="161">
        <f t="shared" ca="1" si="29"/>
        <v>1.4654484046531864</v>
      </c>
      <c r="AS50" s="161">
        <f t="shared" ca="1" si="30"/>
        <v>1.5096578116138093</v>
      </c>
      <c r="AT50" s="161">
        <f t="shared" ca="1" si="31"/>
        <v>1.5721960583874166</v>
      </c>
      <c r="AU50" s="161">
        <f t="shared" ca="1" si="32"/>
        <v>1.613133153197075</v>
      </c>
      <c r="AV50" s="486">
        <v>3.8</v>
      </c>
      <c r="AW50" s="671">
        <f t="shared" si="26"/>
        <v>0</v>
      </c>
      <c r="AX50" s="161">
        <f t="shared" ca="1" si="33"/>
        <v>1.4172516912019062</v>
      </c>
      <c r="AY50" s="161">
        <f t="shared" ca="1" si="34"/>
        <v>1.4654484046531864</v>
      </c>
      <c r="AZ50" s="161">
        <f t="shared" ca="1" si="35"/>
        <v>1.5096578116138093</v>
      </c>
      <c r="BA50" s="161">
        <f t="shared" ca="1" si="36"/>
        <v>1.5721960583874166</v>
      </c>
      <c r="BB50" s="161">
        <f t="shared" ca="1" si="37"/>
        <v>1.613133153197075</v>
      </c>
      <c r="BC50" s="63"/>
      <c r="BD50" s="12" t="s">
        <v>243</v>
      </c>
      <c r="BE50" s="486">
        <v>2.7</v>
      </c>
      <c r="BF50" s="13">
        <v>2.7</v>
      </c>
      <c r="BG50" s="12" t="s">
        <v>243</v>
      </c>
      <c r="BH50" s="109" t="s">
        <v>1101</v>
      </c>
      <c r="BJ50" s="12" t="s">
        <v>243</v>
      </c>
      <c r="BK50" s="262" t="s">
        <v>187</v>
      </c>
      <c r="BL50" s="13"/>
      <c r="BM50" s="356"/>
      <c r="BN50" s="358"/>
      <c r="BO50" s="358"/>
      <c r="BP50" s="358"/>
      <c r="BQ50" s="358"/>
      <c r="BR50" s="358"/>
      <c r="BS50" s="358"/>
      <c r="BT50" s="358"/>
      <c r="BU50" s="358"/>
      <c r="BV50" s="358"/>
      <c r="BW50" s="358"/>
      <c r="BX50" s="358"/>
      <c r="BY50" s="358"/>
      <c r="BZ50" s="356"/>
      <c r="CA50" s="356"/>
      <c r="CB50" s="356"/>
      <c r="CC50" s="356"/>
      <c r="CD50" s="356"/>
      <c r="CE50" s="356"/>
      <c r="CF50" s="356"/>
      <c r="CG50" s="356"/>
      <c r="CH50" s="356"/>
      <c r="CI50" s="356"/>
      <c r="CJ50" s="356"/>
      <c r="CK50" s="356"/>
      <c r="CL50" s="356"/>
      <c r="CM50" s="356"/>
      <c r="CN50" s="356"/>
      <c r="CO50" s="974"/>
      <c r="CP50" s="974"/>
      <c r="CQ50" s="974"/>
      <c r="CS50" s="277">
        <f>BP33</f>
        <v>1.6</v>
      </c>
      <c r="CT50" s="277">
        <f ca="1">BQ33</f>
        <v>0.75984497937358397</v>
      </c>
    </row>
    <row r="51" spans="1:98">
      <c r="A51">
        <v>50</v>
      </c>
      <c r="B51" t="s">
        <v>276</v>
      </c>
      <c r="K51" s="167"/>
      <c r="L51" s="167"/>
      <c r="M51" s="167"/>
      <c r="N51" s="167"/>
      <c r="T51" s="172" t="s">
        <v>245</v>
      </c>
      <c r="U51" s="2">
        <v>180</v>
      </c>
      <c r="V51" s="611">
        <v>0.64583333333334048</v>
      </c>
      <c r="W51" s="176">
        <v>-2.7660714285714532</v>
      </c>
      <c r="X51" s="176">
        <v>3.8902380952381224</v>
      </c>
      <c r="Y51" s="176">
        <v>-0.49325714285715194</v>
      </c>
      <c r="Z51" s="176">
        <v>-4.5438276637060925E-4</v>
      </c>
      <c r="AA51" s="176">
        <v>1.1789290111827009E-2</v>
      </c>
      <c r="AB51" s="176">
        <v>0.28938210127830349</v>
      </c>
      <c r="AC51" s="612">
        <v>0.79069128573341541</v>
      </c>
      <c r="AD51" s="957"/>
      <c r="AE51" s="988">
        <v>250</v>
      </c>
      <c r="AF51" s="702">
        <f t="shared" ca="1" si="39"/>
        <v>-0.12494212962963179</v>
      </c>
      <c r="AG51" s="703">
        <f t="shared" ca="1" si="39"/>
        <v>0.35518849206349912</v>
      </c>
      <c r="AH51" s="703">
        <f t="shared" ca="1" si="39"/>
        <v>4.6227843915336714E-2</v>
      </c>
      <c r="AI51" s="704">
        <f t="shared" ca="1" si="39"/>
        <v>0.38106833333333562</v>
      </c>
      <c r="AJ51" s="702">
        <f t="shared" ca="1" si="39"/>
        <v>3.1783056057922216E-4</v>
      </c>
      <c r="AK51" s="703">
        <f t="shared" ca="1" si="39"/>
        <v>-5.2352230315837961E-3</v>
      </c>
      <c r="AL51" s="703">
        <f t="shared" ca="1" si="39"/>
        <v>0.34694217659198739</v>
      </c>
      <c r="AM51" s="704">
        <f t="shared" ca="1" si="39"/>
        <v>0.31197240939383131</v>
      </c>
      <c r="AO51" s="486">
        <v>3.7</v>
      </c>
      <c r="AP51" s="671">
        <f t="shared" si="27"/>
        <v>0</v>
      </c>
      <c r="AQ51" s="161">
        <f t="shared" ca="1" si="28"/>
        <v>1.3877974274926321</v>
      </c>
      <c r="AR51" s="161">
        <f t="shared" ca="1" si="29"/>
        <v>1.4351678392904261</v>
      </c>
      <c r="AS51" s="161">
        <f t="shared" ca="1" si="30"/>
        <v>1.4786193846350475</v>
      </c>
      <c r="AT51" s="161">
        <f t="shared" ca="1" si="31"/>
        <v>1.5400873308668217</v>
      </c>
      <c r="AU51" s="161">
        <f t="shared" ca="1" si="32"/>
        <v>1.5803244155899274</v>
      </c>
      <c r="AV51" s="486">
        <v>3.7</v>
      </c>
      <c r="AW51" s="671">
        <f t="shared" si="26"/>
        <v>0</v>
      </c>
      <c r="AX51" s="161">
        <f t="shared" ca="1" si="33"/>
        <v>1.3877974274926321</v>
      </c>
      <c r="AY51" s="161">
        <f t="shared" ca="1" si="34"/>
        <v>1.4351678392904261</v>
      </c>
      <c r="AZ51" s="161">
        <f t="shared" ca="1" si="35"/>
        <v>1.4786193846350475</v>
      </c>
      <c r="BA51" s="161">
        <f t="shared" ca="1" si="36"/>
        <v>1.5400873308668217</v>
      </c>
      <c r="BB51" s="161">
        <f t="shared" ca="1" si="37"/>
        <v>1.5803244155899274</v>
      </c>
      <c r="BC51" s="63"/>
      <c r="BD51" s="12" t="s">
        <v>247</v>
      </c>
      <c r="BE51" s="486">
        <v>2.6</v>
      </c>
      <c r="BF51" s="13">
        <v>2.6</v>
      </c>
      <c r="BG51" s="12" t="s">
        <v>247</v>
      </c>
      <c r="BH51" s="109" t="s">
        <v>1103</v>
      </c>
      <c r="BJ51" s="12" t="s">
        <v>247</v>
      </c>
      <c r="BK51" s="262" t="s">
        <v>194</v>
      </c>
      <c r="BL51" s="13"/>
      <c r="BM51" s="356"/>
      <c r="BN51" s="358" t="s">
        <v>1104</v>
      </c>
      <c r="BO51" s="358"/>
      <c r="BP51" s="358"/>
      <c r="BQ51" s="358"/>
      <c r="BR51" s="358"/>
      <c r="BS51" s="358"/>
      <c r="BT51" s="358"/>
      <c r="BU51" s="358"/>
      <c r="BV51" s="358"/>
      <c r="BW51" s="358"/>
      <c r="BX51" s="358"/>
      <c r="BY51" s="358"/>
      <c r="BZ51" s="356"/>
      <c r="CA51" s="356"/>
      <c r="CB51" s="356"/>
      <c r="CC51" s="356"/>
      <c r="CD51" s="356"/>
      <c r="CE51" s="356"/>
      <c r="CF51" s="356"/>
      <c r="CG51" s="356"/>
      <c r="CH51" s="356"/>
      <c r="CI51" s="356"/>
      <c r="CJ51" s="356"/>
      <c r="CK51" s="356"/>
      <c r="CL51" s="356"/>
      <c r="CM51" s="356"/>
      <c r="CN51" s="356"/>
      <c r="CO51" s="974"/>
      <c r="CP51" s="974"/>
      <c r="CQ51" s="974"/>
      <c r="CS51" s="277">
        <f t="shared" si="38"/>
        <v>1.5</v>
      </c>
      <c r="CT51" s="277">
        <f t="shared" ca="1" si="38"/>
        <v>0.74685847718253939</v>
      </c>
    </row>
    <row r="52" spans="1:98">
      <c r="A52">
        <v>51</v>
      </c>
      <c r="B52" t="s">
        <v>281</v>
      </c>
      <c r="K52" s="167"/>
      <c r="L52" s="167"/>
      <c r="M52" s="167"/>
      <c r="N52" s="167"/>
      <c r="T52" s="172"/>
      <c r="U52" s="2">
        <v>250</v>
      </c>
      <c r="V52" s="611">
        <v>1.02025462962964</v>
      </c>
      <c r="W52" s="176">
        <v>-3.848313492063526</v>
      </c>
      <c r="X52" s="176">
        <v>4.7968882275132643</v>
      </c>
      <c r="Y52" s="176">
        <v>-0.67385476190477434</v>
      </c>
      <c r="Z52" s="176">
        <v>-4.1969643265524849E-4</v>
      </c>
      <c r="AA52" s="176">
        <v>1.1211196001407407E-2</v>
      </c>
      <c r="AB52" s="176">
        <v>0.30000437325411633</v>
      </c>
      <c r="AC52" s="612">
        <v>0.80690818232596662</v>
      </c>
      <c r="AD52" s="957"/>
      <c r="AE52" s="989">
        <v>300</v>
      </c>
      <c r="AF52" s="705">
        <f t="shared" ca="1" si="39"/>
        <v>-0.16574074074074199</v>
      </c>
      <c r="AG52" s="706">
        <f t="shared" ca="1" si="39"/>
        <v>0.4562301587301627</v>
      </c>
      <c r="AH52" s="706">
        <f t="shared" ca="1" si="39"/>
        <v>-3.3306878306919871E-3</v>
      </c>
      <c r="AI52" s="707">
        <f t="shared" ca="1" si="39"/>
        <v>0.39403619047619209</v>
      </c>
      <c r="AJ52" s="705">
        <f t="shared" ca="1" si="39"/>
        <v>3.3155506875806037E-4</v>
      </c>
      <c r="AK52" s="706">
        <f t="shared" ca="1" si="39"/>
        <v>-5.4534452154310293E-3</v>
      </c>
      <c r="AL52" s="706">
        <f t="shared" ca="1" si="39"/>
        <v>0.3549999068363075</v>
      </c>
      <c r="AM52" s="707">
        <f t="shared" ca="1" si="39"/>
        <v>0.32468816639703829</v>
      </c>
      <c r="AO52" s="486">
        <v>3.6</v>
      </c>
      <c r="AP52" s="671">
        <f t="shared" si="27"/>
        <v>0</v>
      </c>
      <c r="AQ52" s="161">
        <f t="shared" ca="1" si="28"/>
        <v>1.3583132386151489</v>
      </c>
      <c r="AR52" s="161">
        <f t="shared" ca="1" si="29"/>
        <v>1.4048559971534453</v>
      </c>
      <c r="AS52" s="161">
        <f t="shared" ca="1" si="30"/>
        <v>1.4475486393467765</v>
      </c>
      <c r="AT52" s="161">
        <f t="shared" ca="1" si="31"/>
        <v>1.5079444572700442</v>
      </c>
      <c r="AU52" s="161">
        <f t="shared" ca="1" si="32"/>
        <v>1.5474802143037352</v>
      </c>
      <c r="AV52" s="486">
        <v>3.6</v>
      </c>
      <c r="AW52" s="671">
        <f t="shared" si="26"/>
        <v>0</v>
      </c>
      <c r="AX52" s="161">
        <f t="shared" ca="1" si="33"/>
        <v>1.3583132386151489</v>
      </c>
      <c r="AY52" s="161">
        <f t="shared" ca="1" si="34"/>
        <v>1.4048559971534453</v>
      </c>
      <c r="AZ52" s="161">
        <f t="shared" ca="1" si="35"/>
        <v>1.4475486393467765</v>
      </c>
      <c r="BA52" s="161">
        <f t="shared" ca="1" si="36"/>
        <v>1.5079444572700442</v>
      </c>
      <c r="BB52" s="161">
        <f t="shared" ca="1" si="37"/>
        <v>1.5474802143037352</v>
      </c>
      <c r="BC52" s="63"/>
      <c r="BD52" s="12" t="s">
        <v>253</v>
      </c>
      <c r="BE52" s="486">
        <v>2.5</v>
      </c>
      <c r="BF52" s="13">
        <v>2.5</v>
      </c>
      <c r="BG52" s="12" t="s">
        <v>253</v>
      </c>
      <c r="BH52" s="109" t="s">
        <v>1105</v>
      </c>
      <c r="BJ52" s="12" t="s">
        <v>253</v>
      </c>
      <c r="BK52" s="262" t="s">
        <v>200</v>
      </c>
      <c r="BL52" s="13"/>
      <c r="BM52" s="356"/>
      <c r="BN52" s="358" t="s">
        <v>1106</v>
      </c>
      <c r="BO52" s="358"/>
      <c r="BP52" s="358"/>
      <c r="BQ52" s="358"/>
      <c r="BR52" s="358"/>
      <c r="BS52" s="358"/>
      <c r="BT52" s="358"/>
      <c r="BU52" s="358"/>
      <c r="BV52" s="358"/>
      <c r="BW52" s="358"/>
      <c r="BX52" s="358"/>
      <c r="BY52" s="358"/>
      <c r="BZ52" s="356"/>
      <c r="CA52" s="356"/>
      <c r="CB52" s="356"/>
      <c r="CC52" s="356"/>
      <c r="CD52" s="356"/>
      <c r="CE52" s="356"/>
      <c r="CF52" s="356"/>
      <c r="CG52" s="356"/>
      <c r="CH52" s="356"/>
      <c r="CI52" s="356"/>
      <c r="CJ52" s="356"/>
      <c r="CK52" s="356"/>
      <c r="CL52" s="356"/>
      <c r="CM52" s="356"/>
      <c r="CN52" s="356"/>
      <c r="CO52" s="974"/>
      <c r="CP52" s="974"/>
      <c r="CQ52" s="974"/>
      <c r="CS52" s="277">
        <f t="shared" si="38"/>
        <v>1.4</v>
      </c>
      <c r="CT52" s="277">
        <f t="shared" ca="1" si="38"/>
        <v>0.72757650793650774</v>
      </c>
    </row>
    <row r="53" spans="1:98">
      <c r="A53">
        <v>52</v>
      </c>
      <c r="B53" t="s">
        <v>286</v>
      </c>
      <c r="K53" s="167"/>
      <c r="L53" s="167"/>
      <c r="M53" s="167"/>
      <c r="N53" s="167"/>
      <c r="T53" s="172"/>
      <c r="U53" s="2">
        <v>300</v>
      </c>
      <c r="V53" s="613">
        <v>1.1186342592592688</v>
      </c>
      <c r="W53" s="614">
        <v>-4.0635912698413028</v>
      </c>
      <c r="X53" s="614">
        <v>4.8627943121693482</v>
      </c>
      <c r="Y53" s="614">
        <v>-0.61540238095239275</v>
      </c>
      <c r="Z53" s="614">
        <v>-3.7966941519584446E-4</v>
      </c>
      <c r="AA53" s="614">
        <v>1.0461797236677197E-2</v>
      </c>
      <c r="AB53" s="614">
        <v>0.3092582987557817</v>
      </c>
      <c r="AC53" s="615">
        <v>0.81005301718792833</v>
      </c>
      <c r="AD53" s="957"/>
      <c r="AE53" s="984">
        <f>AY14</f>
        <v>90</v>
      </c>
      <c r="AF53" s="985" cm="1">
        <f t="array" aca="1" ref="AF53" ca="1">INDEX(AF48:AF52,$AE$47)</f>
        <v>-0.22112268518518777</v>
      </c>
      <c r="AG53" s="986" cm="1">
        <f t="array" aca="1" ref="AG53" ca="1">INDEX(AG48:AG52,$AE$47)</f>
        <v>0.61762896825397673</v>
      </c>
      <c r="AH53" s="986" cm="1">
        <f t="array" aca="1" ref="AH53" ca="1">INDEX(AH48:AH52,$AE$47)</f>
        <v>-0.20302017195768082</v>
      </c>
      <c r="AI53" s="987" cm="1">
        <f t="array" aca="1" ref="AI53" ca="1">INDEX(AI48:AI52,$AE$47)</f>
        <v>0.40801261904762176</v>
      </c>
      <c r="AJ53" s="985" cm="1">
        <f t="array" aca="1" ref="AJ53" ca="1">INDEX(AJ48:AJ52,$AE$47)</f>
        <v>2.7058402250245832E-4</v>
      </c>
      <c r="AK53" s="986" cm="1">
        <f t="array" aca="1" ref="AK53" ca="1">INDEX(AK48:AK52,$AE$47)</f>
        <v>-4.499741060246888E-3</v>
      </c>
      <c r="AL53" s="986" cm="1">
        <f t="array" aca="1" ref="AL53" ca="1">INDEX(AL48:AL52,$AE$47)</f>
        <v>0.3168747551352139</v>
      </c>
      <c r="AM53" s="987" cm="1">
        <f t="array" aca="1" ref="AM53" ca="1">INDEX(AM48:AM52,$AE$47)</f>
        <v>0.26325639611530366</v>
      </c>
      <c r="AO53" s="486">
        <v>3.5</v>
      </c>
      <c r="AP53" s="671">
        <f t="shared" si="27"/>
        <v>0</v>
      </c>
      <c r="AQ53" s="161">
        <f t="shared" ca="1" si="28"/>
        <v>1.3287975010653208</v>
      </c>
      <c r="AR53" s="161">
        <f t="shared" ca="1" si="29"/>
        <v>1.3745111614133945</v>
      </c>
      <c r="AS53" s="161">
        <f t="shared" ca="1" si="30"/>
        <v>1.4164437859940076</v>
      </c>
      <c r="AT53" s="161">
        <f t="shared" ca="1" si="31"/>
        <v>1.4757655306137196</v>
      </c>
      <c r="AU53" s="161">
        <f t="shared" ca="1" si="32"/>
        <v>1.5145985600080862</v>
      </c>
      <c r="AV53" s="486">
        <v>3.5</v>
      </c>
      <c r="AW53" s="671">
        <f t="shared" si="26"/>
        <v>0</v>
      </c>
      <c r="AX53" s="161">
        <f t="shared" ca="1" si="33"/>
        <v>1.3287975010653208</v>
      </c>
      <c r="AY53" s="161">
        <f t="shared" ca="1" si="34"/>
        <v>1.3745111614133945</v>
      </c>
      <c r="AZ53" s="161">
        <f t="shared" ca="1" si="35"/>
        <v>1.4164437859940076</v>
      </c>
      <c r="BA53" s="161">
        <f t="shared" ca="1" si="36"/>
        <v>1.4757655306137196</v>
      </c>
      <c r="BB53" s="161">
        <f t="shared" ca="1" si="37"/>
        <v>1.5145985600080862</v>
      </c>
      <c r="BC53" s="63"/>
      <c r="BD53" s="12" t="s">
        <v>258</v>
      </c>
      <c r="BE53" s="486">
        <v>2.4</v>
      </c>
      <c r="BF53" s="13">
        <v>2.4</v>
      </c>
      <c r="BG53" s="12" t="s">
        <v>258</v>
      </c>
      <c r="BH53" s="109" t="s">
        <v>1107</v>
      </c>
      <c r="BJ53" s="12" t="s">
        <v>258</v>
      </c>
      <c r="BK53" s="262" t="s">
        <v>204</v>
      </c>
      <c r="BL53" s="13"/>
      <c r="BM53" s="356"/>
      <c r="BN53" s="358"/>
      <c r="BO53" s="358"/>
      <c r="BP53" s="358"/>
      <c r="BQ53" s="358"/>
      <c r="BR53" s="358"/>
      <c r="BS53" s="358"/>
      <c r="BT53" s="358"/>
      <c r="BU53" s="358"/>
      <c r="BV53" s="358"/>
      <c r="BW53" s="358"/>
      <c r="BX53" s="358"/>
      <c r="BY53" s="358"/>
      <c r="BZ53" s="356"/>
      <c r="CA53" s="356"/>
      <c r="CB53" s="356"/>
      <c r="CC53" s="356"/>
      <c r="CD53" s="356"/>
      <c r="CE53" s="356"/>
      <c r="CF53" s="356"/>
      <c r="CG53" s="356"/>
      <c r="CH53" s="356"/>
      <c r="CI53" s="356"/>
      <c r="CJ53" s="356"/>
      <c r="CK53" s="356"/>
      <c r="CL53" s="356"/>
      <c r="CM53" s="356"/>
      <c r="CN53" s="356"/>
      <c r="CO53" s="974"/>
      <c r="CP53" s="974"/>
      <c r="CQ53" s="974"/>
      <c r="CS53" s="277">
        <f>BP36</f>
        <v>1.3</v>
      </c>
      <c r="CT53" s="277">
        <f ca="1">BQ36</f>
        <v>0.70207281249999987</v>
      </c>
    </row>
    <row r="54" spans="1:98">
      <c r="A54">
        <v>53</v>
      </c>
      <c r="B54" s="558" t="s">
        <v>291</v>
      </c>
      <c r="K54" s="167"/>
      <c r="L54" s="167"/>
      <c r="M54" s="167"/>
      <c r="N54" s="167"/>
      <c r="T54" s="172"/>
      <c r="U54" s="2">
        <v>90</v>
      </c>
      <c r="V54" s="606">
        <v>0.36979166666666774</v>
      </c>
      <c r="W54" s="607">
        <v>-1.2741071428571473</v>
      </c>
      <c r="X54" s="607">
        <v>2.0173511904761963</v>
      </c>
      <c r="Y54" s="607">
        <v>-3.33500000000021E-2</v>
      </c>
      <c r="Z54" s="607">
        <v>1.2705436765004386E-3</v>
      </c>
      <c r="AA54" s="607">
        <v>-2.4489600791368457E-2</v>
      </c>
      <c r="AB54" s="607">
        <v>0.54804372348745045</v>
      </c>
      <c r="AC54" s="608">
        <v>0.64379444118845508</v>
      </c>
      <c r="AF54" s="10" t="e">
        <f ca="1">IF(A_P&lt;1.6,s_x3*A_P^3+s_x2*A_P^2+s_x*A_P+s_c,l_x3*A_P^3+l_x2*A_P^2+l_x*A_P+l_c)+coef_m2*A_P^coef_c2+coef_m3*A_P^coef_c3+coef_m4*A_P^coef_c4+coef_d4</f>
        <v>#NAME?</v>
      </c>
      <c r="AO54" s="486">
        <v>3.4</v>
      </c>
      <c r="AP54" s="671">
        <f t="shared" si="27"/>
        <v>0</v>
      </c>
      <c r="AQ54" s="161">
        <f t="shared" ca="1" si="28"/>
        <v>1.2992485913390135</v>
      </c>
      <c r="AR54" s="161">
        <f t="shared" ca="1" si="29"/>
        <v>1.3441316152414244</v>
      </c>
      <c r="AS54" s="161">
        <f t="shared" ca="1" si="30"/>
        <v>1.3853030348217512</v>
      </c>
      <c r="AT54" s="161">
        <f t="shared" ca="1" si="31"/>
        <v>1.4435486439144856</v>
      </c>
      <c r="AU54" s="161">
        <f t="shared" ca="1" si="32"/>
        <v>1.4816774633725678</v>
      </c>
      <c r="AV54" s="486">
        <v>3.4</v>
      </c>
      <c r="AW54" s="671">
        <f t="shared" si="26"/>
        <v>0</v>
      </c>
      <c r="AX54" s="161">
        <f t="shared" ca="1" si="33"/>
        <v>1.2992485913390135</v>
      </c>
      <c r="AY54" s="161">
        <f t="shared" ca="1" si="34"/>
        <v>1.3441316152414244</v>
      </c>
      <c r="AZ54" s="161">
        <f t="shared" ca="1" si="35"/>
        <v>1.3853030348217512</v>
      </c>
      <c r="BA54" s="161">
        <f t="shared" ca="1" si="36"/>
        <v>1.4435486439144856</v>
      </c>
      <c r="BB54" s="161">
        <f t="shared" ca="1" si="37"/>
        <v>1.4816774633725678</v>
      </c>
      <c r="BC54" s="63"/>
      <c r="BD54" s="12" t="s">
        <v>263</v>
      </c>
      <c r="BE54" s="486">
        <v>2.2999999999999998</v>
      </c>
      <c r="BF54" s="13">
        <v>2.2999999999999998</v>
      </c>
      <c r="BG54" s="12" t="s">
        <v>263</v>
      </c>
      <c r="BH54" s="109" t="s">
        <v>1108</v>
      </c>
      <c r="BJ54" s="12" t="s">
        <v>263</v>
      </c>
      <c r="BK54" s="262" t="s">
        <v>208</v>
      </c>
      <c r="BL54" s="13"/>
      <c r="BM54" s="356"/>
      <c r="BN54" s="358" t="s">
        <v>1109</v>
      </c>
      <c r="BO54" s="358"/>
      <c r="BP54" s="358"/>
      <c r="BQ54" s="358"/>
      <c r="BR54" s="358"/>
      <c r="BS54" s="358"/>
      <c r="BT54" s="358"/>
      <c r="BU54" s="358"/>
      <c r="BV54" s="358"/>
      <c r="BW54" s="358"/>
      <c r="BX54" s="358"/>
      <c r="BY54" s="358"/>
      <c r="BZ54" s="356"/>
      <c r="CA54" s="356"/>
      <c r="CB54" s="356"/>
      <c r="CC54" s="356"/>
      <c r="CD54" s="356"/>
      <c r="CE54" s="356"/>
      <c r="CF54" s="356"/>
      <c r="CG54" s="356"/>
      <c r="CH54" s="356"/>
      <c r="CI54" s="356"/>
      <c r="CJ54" s="356"/>
      <c r="CK54" s="356"/>
      <c r="CL54" s="356"/>
      <c r="CM54" s="356"/>
      <c r="CN54" s="356"/>
      <c r="CO54" s="974"/>
      <c r="CP54" s="974"/>
      <c r="CQ54" s="974"/>
      <c r="CS54" s="277">
        <f t="shared" si="38"/>
        <v>1.2</v>
      </c>
      <c r="CT54" s="277">
        <f t="shared" ca="1" si="38"/>
        <v>0.67167412698412676</v>
      </c>
    </row>
    <row r="55" spans="1:98">
      <c r="A55">
        <v>54</v>
      </c>
      <c r="B55" s="558" t="s">
        <v>49</v>
      </c>
      <c r="L55"/>
      <c r="N55"/>
      <c r="T55" s="172"/>
      <c r="U55" s="2">
        <v>135</v>
      </c>
      <c r="V55" s="611">
        <v>0.2795138888888905</v>
      </c>
      <c r="W55" s="176">
        <v>-1.0288690476190532</v>
      </c>
      <c r="X55" s="176">
        <v>1.8269146825396889</v>
      </c>
      <c r="Y55" s="176">
        <v>7.3764285714283395E-2</v>
      </c>
      <c r="Z55" s="176">
        <v>1.2650120284157531E-3</v>
      </c>
      <c r="AA55" s="176">
        <v>-2.4171510982345348E-2</v>
      </c>
      <c r="AB55" s="176">
        <v>0.55077581065391323</v>
      </c>
      <c r="AC55" s="612">
        <v>0.6971285336566968</v>
      </c>
      <c r="AO55" s="486">
        <v>3.3</v>
      </c>
      <c r="AP55" s="671">
        <f t="shared" si="27"/>
        <v>0</v>
      </c>
      <c r="AQ55" s="161">
        <f t="shared" ca="1" si="28"/>
        <v>1.2696648859320916</v>
      </c>
      <c r="AR55" s="161">
        <f t="shared" ca="1" si="29"/>
        <v>1.3137156418086857</v>
      </c>
      <c r="AS55" s="161">
        <f t="shared" ca="1" si="30"/>
        <v>1.3541245960750186</v>
      </c>
      <c r="AT55" s="161">
        <f t="shared" ca="1" si="31"/>
        <v>1.4112918901889775</v>
      </c>
      <c r="AU55" s="161">
        <f t="shared" ca="1" si="32"/>
        <v>1.4487149350667674</v>
      </c>
      <c r="AV55" s="486">
        <v>3.3</v>
      </c>
      <c r="AW55" s="671">
        <f t="shared" si="26"/>
        <v>0</v>
      </c>
      <c r="AX55" s="161">
        <f t="shared" ca="1" si="33"/>
        <v>1.2696648859320916</v>
      </c>
      <c r="AY55" s="161">
        <f t="shared" ca="1" si="34"/>
        <v>1.3137156418086857</v>
      </c>
      <c r="AZ55" s="161">
        <f t="shared" ca="1" si="35"/>
        <v>1.3541245960750186</v>
      </c>
      <c r="BA55" s="161">
        <f t="shared" ca="1" si="36"/>
        <v>1.4112918901889775</v>
      </c>
      <c r="BB55" s="161">
        <f t="shared" ca="1" si="37"/>
        <v>1.4487149350667674</v>
      </c>
      <c r="BC55" s="63"/>
      <c r="BD55" s="12" t="s">
        <v>269</v>
      </c>
      <c r="BE55" s="486">
        <v>2.2000000000000002</v>
      </c>
      <c r="BF55" s="13">
        <v>2.2000000000000002</v>
      </c>
      <c r="BG55" s="12" t="s">
        <v>269</v>
      </c>
      <c r="BH55" s="109" t="s">
        <v>1110</v>
      </c>
      <c r="BJ55" s="12" t="s">
        <v>269</v>
      </c>
      <c r="BK55" s="262" t="s">
        <v>215</v>
      </c>
      <c r="BL55" s="13"/>
      <c r="BM55" s="356"/>
      <c r="BN55" s="358"/>
      <c r="BO55" s="358"/>
      <c r="BP55" s="358"/>
      <c r="BQ55" s="358"/>
      <c r="BR55" s="358"/>
      <c r="BS55" s="358"/>
      <c r="BT55" s="358"/>
      <c r="BU55" s="358"/>
      <c r="BV55" s="358"/>
      <c r="BW55" s="358"/>
      <c r="BX55" s="358"/>
      <c r="BY55" s="358"/>
      <c r="BZ55" s="356"/>
      <c r="CA55" s="356"/>
      <c r="CB55" s="356"/>
      <c r="CC55" s="356"/>
      <c r="CD55" s="356"/>
      <c r="CE55" s="356"/>
      <c r="CF55" s="356"/>
      <c r="CG55" s="356"/>
      <c r="CH55" s="356"/>
      <c r="CI55" s="356"/>
      <c r="CJ55" s="356"/>
      <c r="CK55" s="356"/>
      <c r="CL55" s="356"/>
      <c r="CM55" s="356"/>
      <c r="CN55" s="356"/>
      <c r="CO55" s="974"/>
      <c r="CP55" s="974"/>
      <c r="CQ55" s="974"/>
      <c r="CS55" s="277">
        <f t="shared" si="38"/>
        <v>1.1000000000000001</v>
      </c>
      <c r="CT55" s="277">
        <f t="shared" ca="1" si="38"/>
        <v>0.63770718749999977</v>
      </c>
    </row>
    <row r="56" spans="1:98">
      <c r="A56">
        <v>55</v>
      </c>
      <c r="B56" s="558" t="s">
        <v>63</v>
      </c>
      <c r="K56" s="167"/>
      <c r="L56" s="167"/>
      <c r="M56" s="167"/>
      <c r="N56" s="167"/>
      <c r="T56" s="172" t="s">
        <v>266</v>
      </c>
      <c r="U56" s="2">
        <v>180</v>
      </c>
      <c r="V56" s="611">
        <v>0.2239583333333342</v>
      </c>
      <c r="W56" s="176">
        <v>-0.86696428571428918</v>
      </c>
      <c r="X56" s="176">
        <v>1.6767559523809568</v>
      </c>
      <c r="Y56" s="176">
        <v>0.1878785714285699</v>
      </c>
      <c r="Z56" s="176">
        <v>1.2529630352089642E-3</v>
      </c>
      <c r="AA56" s="176">
        <v>-2.3699925788914358E-2</v>
      </c>
      <c r="AB56" s="176">
        <v>0.5522697314449414</v>
      </c>
      <c r="AC56" s="612">
        <v>0.7540760925760368</v>
      </c>
      <c r="AE56" s="981" t="s">
        <v>2284</v>
      </c>
      <c r="AF56" s="982"/>
      <c r="AG56" s="983"/>
      <c r="AO56" s="486">
        <v>3.2</v>
      </c>
      <c r="AP56" s="671">
        <f t="shared" si="27"/>
        <v>0</v>
      </c>
      <c r="AQ56" s="161">
        <f t="shared" ca="1" si="28"/>
        <v>1.2400447613404206</v>
      </c>
      <c r="AR56" s="161">
        <f t="shared" ca="1" si="29"/>
        <v>1.2832615242863292</v>
      </c>
      <c r="AS56" s="161">
        <f t="shared" ca="1" si="30"/>
        <v>1.3229066799988203</v>
      </c>
      <c r="AT56" s="161">
        <f t="shared" ca="1" si="31"/>
        <v>1.3789933624538331</v>
      </c>
      <c r="AU56" s="161">
        <f t="shared" ca="1" si="32"/>
        <v>1.4157089857602727</v>
      </c>
      <c r="AV56" s="486">
        <v>3.2</v>
      </c>
      <c r="AW56" s="671">
        <f t="shared" si="26"/>
        <v>0</v>
      </c>
      <c r="AX56" s="161">
        <f t="shared" ca="1" si="33"/>
        <v>1.2400447613404206</v>
      </c>
      <c r="AY56" s="161">
        <f t="shared" ca="1" si="34"/>
        <v>1.2832615242863292</v>
      </c>
      <c r="AZ56" s="161">
        <f t="shared" ca="1" si="35"/>
        <v>1.3229066799988203</v>
      </c>
      <c r="BA56" s="161">
        <f t="shared" ca="1" si="36"/>
        <v>1.3789933624538331</v>
      </c>
      <c r="BB56" s="161">
        <f t="shared" ca="1" si="37"/>
        <v>1.4157089857602727</v>
      </c>
      <c r="BC56" s="63"/>
      <c r="BD56" s="12" t="s">
        <v>275</v>
      </c>
      <c r="BE56" s="486">
        <v>2.1</v>
      </c>
      <c r="BF56" s="13">
        <v>2.1</v>
      </c>
      <c r="BG56" s="12" t="s">
        <v>275</v>
      </c>
      <c r="BH56" s="109" t="s">
        <v>1112</v>
      </c>
      <c r="BJ56" s="12" t="s">
        <v>275</v>
      </c>
      <c r="BK56" s="262" t="s">
        <v>222</v>
      </c>
      <c r="BL56" s="13"/>
      <c r="BM56" s="356"/>
      <c r="BN56" s="358" t="s">
        <v>1113</v>
      </c>
      <c r="BO56" s="358"/>
      <c r="BP56" s="358"/>
      <c r="BQ56" s="358"/>
      <c r="BR56" s="358"/>
      <c r="BS56" s="358"/>
      <c r="BT56" s="358"/>
      <c r="BU56" s="358"/>
      <c r="BV56" s="358"/>
      <c r="BW56" s="358"/>
      <c r="BX56" s="358"/>
      <c r="BY56" s="358"/>
      <c r="BZ56" s="356"/>
      <c r="CA56" s="356"/>
      <c r="CB56" s="356"/>
      <c r="CC56" s="356"/>
      <c r="CD56" s="356"/>
      <c r="CE56" s="356"/>
      <c r="CF56" s="356"/>
      <c r="CG56" s="356"/>
      <c r="CH56" s="356"/>
      <c r="CI56" s="356"/>
      <c r="CJ56" s="356"/>
      <c r="CK56" s="356"/>
      <c r="CL56" s="356"/>
      <c r="CM56" s="356"/>
      <c r="CN56" s="356"/>
      <c r="CO56" s="974"/>
      <c r="CP56" s="974"/>
      <c r="CQ56" s="974"/>
      <c r="CS56" s="277">
        <f>BP39</f>
        <v>1</v>
      </c>
      <c r="CT56" s="277">
        <f ca="1">BQ39</f>
        <v>0.6014987301587299</v>
      </c>
    </row>
    <row r="57" spans="1:98">
      <c r="A57">
        <v>56</v>
      </c>
      <c r="B57" s="558" t="s">
        <v>73</v>
      </c>
      <c r="K57" s="167"/>
      <c r="L57" s="167"/>
      <c r="M57" s="167"/>
      <c r="N57" s="167"/>
      <c r="T57" s="172"/>
      <c r="U57" s="2">
        <v>250</v>
      </c>
      <c r="V57" s="611">
        <v>0.32465277777777896</v>
      </c>
      <c r="W57" s="176">
        <v>-1.1693452380952425</v>
      </c>
      <c r="X57" s="176">
        <v>1.9828472222222278</v>
      </c>
      <c r="Y57" s="176">
        <v>0.1497785714285691</v>
      </c>
      <c r="Z57" s="176">
        <v>1.2229793990618653E-3</v>
      </c>
      <c r="AA57" s="176">
        <v>-2.2729291168383955E-2</v>
      </c>
      <c r="AB57" s="176">
        <v>0.55235364577836787</v>
      </c>
      <c r="AC57" s="612">
        <v>0.84282836034476949</v>
      </c>
      <c r="AE57" s="172" t="str">
        <f>AH9</f>
        <v>f</v>
      </c>
      <c r="AF57" s="177" t="str">
        <f>AI9</f>
        <v>Std, non-mv, no insulation</v>
      </c>
      <c r="AG57"/>
      <c r="AH57" s="2"/>
      <c r="AI57"/>
      <c r="AJ57"/>
      <c r="AK57"/>
      <c r="AL57" s="2"/>
      <c r="AO57" s="486">
        <v>3.1</v>
      </c>
      <c r="AP57" s="671">
        <f t="shared" si="27"/>
        <v>0</v>
      </c>
      <c r="AQ57" s="161">
        <f t="shared" ca="1" si="28"/>
        <v>1.210386594059865</v>
      </c>
      <c r="AR57" s="161">
        <f t="shared" ca="1" si="29"/>
        <v>1.2527675458455048</v>
      </c>
      <c r="AS57" s="161">
        <f t="shared" ca="1" si="30"/>
        <v>1.2916474968381668</v>
      </c>
      <c r="AT57" s="161">
        <f t="shared" ca="1" si="31"/>
        <v>1.3466511537256873</v>
      </c>
      <c r="AU57" s="161">
        <f t="shared" ca="1" si="32"/>
        <v>1.3826576261226706</v>
      </c>
      <c r="AV57" s="486">
        <v>3.1</v>
      </c>
      <c r="AW57" s="671">
        <f t="shared" si="26"/>
        <v>0</v>
      </c>
      <c r="AX57" s="161">
        <f t="shared" ca="1" si="33"/>
        <v>1.210386594059865</v>
      </c>
      <c r="AY57" s="161">
        <f t="shared" ca="1" si="34"/>
        <v>1.2527675458455048</v>
      </c>
      <c r="AZ57" s="161">
        <f t="shared" ca="1" si="35"/>
        <v>1.2916474968381668</v>
      </c>
      <c r="BA57" s="161">
        <f t="shared" ca="1" si="36"/>
        <v>1.3466511537256873</v>
      </c>
      <c r="BB57" s="161">
        <f t="shared" ca="1" si="37"/>
        <v>1.3826576261226706</v>
      </c>
      <c r="BC57" s="63"/>
      <c r="BD57" s="12" t="s">
        <v>280</v>
      </c>
      <c r="BE57" s="486">
        <v>2</v>
      </c>
      <c r="BF57" s="13">
        <v>2</v>
      </c>
      <c r="BG57" s="12" t="s">
        <v>280</v>
      </c>
      <c r="BH57" s="109" t="s">
        <v>1115</v>
      </c>
      <c r="BJ57" s="12" t="s">
        <v>280</v>
      </c>
      <c r="BK57" s="262" t="s">
        <v>228</v>
      </c>
      <c r="BL57" s="13"/>
      <c r="BM57" s="356"/>
      <c r="BN57" s="358" t="s">
        <v>1116</v>
      </c>
      <c r="BO57" s="358"/>
      <c r="BP57" s="358"/>
      <c r="BQ57" s="358"/>
      <c r="BR57" s="358"/>
      <c r="BS57" s="358"/>
      <c r="BT57" s="358"/>
      <c r="BU57" s="358"/>
      <c r="BV57" s="358"/>
      <c r="BW57" s="358"/>
      <c r="BX57" s="358"/>
      <c r="BY57" s="358"/>
      <c r="BZ57" s="356"/>
      <c r="CA57" s="356"/>
      <c r="CB57" s="356"/>
      <c r="CC57" s="356"/>
      <c r="CD57" s="356"/>
      <c r="CE57" s="356"/>
      <c r="CF57" s="356"/>
      <c r="CG57" s="356"/>
      <c r="CH57" s="356"/>
      <c r="CI57" s="356"/>
      <c r="CJ57" s="356"/>
      <c r="CK57" s="356"/>
      <c r="CL57" s="356"/>
      <c r="CM57" s="356"/>
      <c r="CN57" s="356"/>
      <c r="CO57" s="974"/>
      <c r="CP57" s="974"/>
      <c r="CQ57" s="974"/>
      <c r="CS57" s="277">
        <f t="shared" si="38"/>
        <v>0.9</v>
      </c>
      <c r="CT57" s="277">
        <f t="shared" ca="1" si="38"/>
        <v>0.56437549107142837</v>
      </c>
    </row>
    <row r="58" spans="1:98">
      <c r="A58">
        <v>57</v>
      </c>
      <c r="B58" s="558" t="s">
        <v>80</v>
      </c>
      <c r="K58" s="167"/>
      <c r="L58" s="167"/>
      <c r="M58" s="167"/>
      <c r="N58" s="167"/>
      <c r="T58" s="172"/>
      <c r="U58" s="2">
        <v>300</v>
      </c>
      <c r="V58" s="613">
        <v>0.22569444444444547</v>
      </c>
      <c r="W58" s="614">
        <v>-0.89880952380952783</v>
      </c>
      <c r="X58" s="614">
        <v>1.7689484126984176</v>
      </c>
      <c r="Y58" s="614">
        <v>0.26378571428571268</v>
      </c>
      <c r="Z58" s="614">
        <v>1.1982508476085139E-3</v>
      </c>
      <c r="AA58" s="614">
        <v>-2.200747548873374E-2</v>
      </c>
      <c r="AB58" s="614">
        <v>0.55180818549266786</v>
      </c>
      <c r="AC58" s="615">
        <v>0.89873013809431879</v>
      </c>
      <c r="AF58" t="s">
        <v>1036</v>
      </c>
      <c r="AG58"/>
      <c r="AH58"/>
      <c r="AI58"/>
      <c r="AJ58" t="s">
        <v>1052</v>
      </c>
      <c r="AK58"/>
      <c r="AL58"/>
      <c r="AM58"/>
      <c r="AO58" s="486">
        <v>3</v>
      </c>
      <c r="AP58" s="671">
        <f t="shared" si="27"/>
        <v>0</v>
      </c>
      <c r="AQ58" s="161">
        <f t="shared" ca="1" si="28"/>
        <v>1.1806887605862897</v>
      </c>
      <c r="AR58" s="161">
        <f t="shared" ca="1" si="29"/>
        <v>1.2222319896573635</v>
      </c>
      <c r="AS58" s="161">
        <f t="shared" ca="1" si="30"/>
        <v>1.2603452568380691</v>
      </c>
      <c r="AT58" s="161">
        <f t="shared" ca="1" si="31"/>
        <v>1.3142633570211784</v>
      </c>
      <c r="AU58" s="161">
        <f t="shared" ca="1" si="32"/>
        <v>1.3495588668235492</v>
      </c>
      <c r="AV58" s="486">
        <v>3</v>
      </c>
      <c r="AW58" s="671">
        <f t="shared" si="26"/>
        <v>0</v>
      </c>
      <c r="AX58" s="161">
        <f t="shared" ca="1" si="33"/>
        <v>1.1806887605862897</v>
      </c>
      <c r="AY58" s="161">
        <f t="shared" ca="1" si="34"/>
        <v>1.2222319896573635</v>
      </c>
      <c r="AZ58" s="161">
        <f t="shared" ca="1" si="35"/>
        <v>1.2603452568380691</v>
      </c>
      <c r="BA58" s="161">
        <f t="shared" ca="1" si="36"/>
        <v>1.3142633570211784</v>
      </c>
      <c r="BB58" s="161">
        <f t="shared" ca="1" si="37"/>
        <v>1.3495588668235492</v>
      </c>
      <c r="BC58" s="63"/>
      <c r="BD58" s="12" t="s">
        <v>285</v>
      </c>
      <c r="BE58" s="486">
        <v>1.9</v>
      </c>
      <c r="BF58" s="13">
        <v>1.9</v>
      </c>
      <c r="BG58" s="12" t="s">
        <v>285</v>
      </c>
      <c r="BH58" s="109" t="s">
        <v>1117</v>
      </c>
      <c r="BJ58" s="12" t="s">
        <v>285</v>
      </c>
      <c r="BK58" s="262" t="s">
        <v>233</v>
      </c>
      <c r="BL58" s="13"/>
      <c r="BM58" s="356"/>
      <c r="BN58" s="358"/>
      <c r="BO58" s="358"/>
      <c r="BP58" s="358"/>
      <c r="BQ58" s="358"/>
      <c r="BR58" s="358"/>
      <c r="BS58" s="358"/>
      <c r="BT58" s="358"/>
      <c r="BU58" s="358"/>
      <c r="BV58" s="358"/>
      <c r="BW58" s="358"/>
      <c r="BX58" s="358"/>
      <c r="BY58" s="358"/>
      <c r="BZ58" s="356"/>
      <c r="CA58" s="356"/>
      <c r="CB58" s="356"/>
      <c r="CC58" s="356"/>
      <c r="CD58" s="356"/>
      <c r="CE58" s="356"/>
      <c r="CF58" s="356"/>
      <c r="CG58" s="356"/>
      <c r="CH58" s="356"/>
      <c r="CI58" s="356"/>
      <c r="CJ58" s="356"/>
      <c r="CK58" s="356"/>
      <c r="CL58" s="356"/>
      <c r="CM58" s="356"/>
      <c r="CN58" s="356"/>
      <c r="CO58" s="974"/>
      <c r="CP58" s="974"/>
      <c r="CQ58" s="974"/>
      <c r="CS58" s="277">
        <f t="shared" si="38"/>
        <v>0.8</v>
      </c>
      <c r="CT58" s="277">
        <f t="shared" ca="1" si="38"/>
        <v>0.52766420634920608</v>
      </c>
    </row>
    <row r="59" spans="1:98">
      <c r="A59">
        <v>58</v>
      </c>
      <c r="B59" s="558" t="s">
        <v>86</v>
      </c>
      <c r="K59" s="167"/>
      <c r="L59" s="167"/>
      <c r="M59" s="167"/>
      <c r="N59" s="167"/>
      <c r="T59" s="172"/>
      <c r="U59" s="2">
        <v>90</v>
      </c>
      <c r="V59" s="606">
        <v>1.1157407407407522</v>
      </c>
      <c r="W59" s="607">
        <v>-4.3230158730159118</v>
      </c>
      <c r="X59" s="607">
        <v>5.587116402116445</v>
      </c>
      <c r="Y59" s="607">
        <v>-1.1031047619047767</v>
      </c>
      <c r="Z59" s="607">
        <v>-8.5311945079156006E-4</v>
      </c>
      <c r="AA59" s="607">
        <v>1.9878490485384478E-2</v>
      </c>
      <c r="AB59" s="607">
        <v>0.23189880044794067</v>
      </c>
      <c r="AC59" s="608">
        <v>0.89710244899112457</v>
      </c>
      <c r="AD59" s="957"/>
      <c r="AE59" s="720">
        <f>IF(Cntrl6&lt;2,1,7-Cntrl6)</f>
        <v>1</v>
      </c>
      <c r="AF59" s="2" t="s">
        <v>1037</v>
      </c>
      <c r="AG59" s="2" t="s">
        <v>1042</v>
      </c>
      <c r="AH59" s="2" t="s">
        <v>276</v>
      </c>
      <c r="AI59" s="2" t="s">
        <v>163</v>
      </c>
      <c r="AJ59" s="2" t="s">
        <v>1037</v>
      </c>
      <c r="AK59" s="2" t="s">
        <v>1042</v>
      </c>
      <c r="AL59" s="2" t="s">
        <v>276</v>
      </c>
      <c r="AM59" s="2" t="s">
        <v>163</v>
      </c>
      <c r="AO59" s="486">
        <v>2.9</v>
      </c>
      <c r="AP59" s="671">
        <f t="shared" si="27"/>
        <v>0</v>
      </c>
      <c r="AQ59" s="161">
        <f t="shared" ca="1" si="28"/>
        <v>1.1509496374155601</v>
      </c>
      <c r="AR59" s="161">
        <f t="shared" ca="1" si="29"/>
        <v>1.191653138893056</v>
      </c>
      <c r="AS59" s="161">
        <f t="shared" ca="1" si="30"/>
        <v>1.228998170243538</v>
      </c>
      <c r="AT59" s="161">
        <f t="shared" ca="1" si="31"/>
        <v>1.2818280653569416</v>
      </c>
      <c r="AU59" s="161">
        <f t="shared" ca="1" si="32"/>
        <v>1.3164107185324954</v>
      </c>
      <c r="AV59" s="486">
        <v>2.9</v>
      </c>
      <c r="AW59" s="671">
        <f t="shared" si="26"/>
        <v>0</v>
      </c>
      <c r="AX59" s="161">
        <f t="shared" ca="1" si="33"/>
        <v>1.1509496374155601</v>
      </c>
      <c r="AY59" s="161">
        <f t="shared" ca="1" si="34"/>
        <v>1.191653138893056</v>
      </c>
      <c r="AZ59" s="161">
        <f t="shared" ca="1" si="35"/>
        <v>1.228998170243538</v>
      </c>
      <c r="BA59" s="161">
        <f t="shared" ca="1" si="36"/>
        <v>1.2818280653569416</v>
      </c>
      <c r="BB59" s="161">
        <f t="shared" ca="1" si="37"/>
        <v>1.3164107185324954</v>
      </c>
      <c r="BC59" s="63"/>
      <c r="BD59" s="12" t="s">
        <v>290</v>
      </c>
      <c r="BE59" s="486">
        <v>1.8</v>
      </c>
      <c r="BF59" s="13">
        <v>1.8</v>
      </c>
      <c r="BG59" s="12" t="s">
        <v>290</v>
      </c>
      <c r="BH59" s="109" t="s">
        <v>1118</v>
      </c>
      <c r="BJ59" s="12" t="s">
        <v>290</v>
      </c>
      <c r="BK59" s="262" t="s">
        <v>237</v>
      </c>
      <c r="BL59" s="13"/>
      <c r="BM59" s="356"/>
      <c r="BN59" s="358" t="s">
        <v>1119</v>
      </c>
      <c r="BO59" s="358"/>
      <c r="BP59" s="358"/>
      <c r="BQ59" s="358"/>
      <c r="BR59" s="358"/>
      <c r="BS59" s="358"/>
      <c r="BT59" s="358"/>
      <c r="BU59" s="358"/>
      <c r="BV59" s="358"/>
      <c r="BW59" s="358"/>
      <c r="BX59" s="358"/>
      <c r="BY59" s="358"/>
      <c r="BZ59" s="356"/>
      <c r="CA59" s="356"/>
      <c r="CB59" s="356"/>
      <c r="CC59" s="356"/>
      <c r="CD59" s="356"/>
      <c r="CE59" s="356"/>
      <c r="CF59" s="356"/>
      <c r="CG59" s="356"/>
      <c r="CH59" s="356"/>
      <c r="CI59" s="356"/>
      <c r="CJ59" s="356"/>
      <c r="CK59" s="356"/>
      <c r="CL59" s="356"/>
      <c r="CM59" s="356"/>
      <c r="CN59" s="356"/>
      <c r="CO59" s="974"/>
      <c r="CP59" s="974"/>
      <c r="CQ59" s="974"/>
      <c r="CS59" s="277">
        <f t="shared" si="38"/>
        <v>0.7</v>
      </c>
      <c r="CT59" s="277">
        <f t="shared" ca="1" si="38"/>
        <v>0.49269161210317436</v>
      </c>
    </row>
    <row r="60" spans="1:98">
      <c r="A60">
        <v>59</v>
      </c>
      <c r="B60" s="558" t="s">
        <v>93</v>
      </c>
      <c r="K60" s="167"/>
      <c r="L60" s="167"/>
      <c r="M60" s="167"/>
      <c r="N60" s="167"/>
      <c r="T60" s="172"/>
      <c r="U60" s="2">
        <v>135</v>
      </c>
      <c r="V60" s="611">
        <v>1.0717592592592693</v>
      </c>
      <c r="W60" s="176">
        <v>-4.0698412698413051</v>
      </c>
      <c r="X60" s="176">
        <v>5.1360978835979232</v>
      </c>
      <c r="Y60" s="176">
        <v>-0.821323809523822</v>
      </c>
      <c r="Z60" s="176">
        <v>-8.3922857766796329E-4</v>
      </c>
      <c r="AA60" s="176">
        <v>1.9710591620319944E-2</v>
      </c>
      <c r="AB60" s="176">
        <v>0.23794174806603255</v>
      </c>
      <c r="AC60" s="612">
        <v>0.915139203553334</v>
      </c>
      <c r="AD60" s="957"/>
      <c r="AE60" s="602">
        <v>90</v>
      </c>
      <c r="AF60" s="699">
        <f t="shared" ref="AF60:AM64" ca="1" si="40">OFFSET($V$4,($AG$9-1)*5+ROW()-ROW($AF$60),COLUMN()-COLUMN($AF$60))</f>
        <v>-0.22112268518518777</v>
      </c>
      <c r="AG60" s="700">
        <f t="shared" ca="1" si="40"/>
        <v>0.61762896825397673</v>
      </c>
      <c r="AH60" s="700">
        <f t="shared" ca="1" si="40"/>
        <v>-0.20302017195768082</v>
      </c>
      <c r="AI60" s="701">
        <f t="shared" ca="1" si="40"/>
        <v>0.40801261904762176</v>
      </c>
      <c r="AJ60" s="699">
        <f t="shared" ca="1" si="40"/>
        <v>2.7058402250245832E-4</v>
      </c>
      <c r="AK60" s="700">
        <f t="shared" ca="1" si="40"/>
        <v>-4.499741060246888E-3</v>
      </c>
      <c r="AL60" s="700">
        <f t="shared" ca="1" si="40"/>
        <v>0.3168747551352139</v>
      </c>
      <c r="AM60" s="701">
        <f t="shared" ca="1" si="40"/>
        <v>0.26325639611530366</v>
      </c>
      <c r="AO60" s="486">
        <v>2.8</v>
      </c>
      <c r="AP60" s="671">
        <f t="shared" ref="AP60:AP82" si="41">coef_m2*$AO60^coef_c2+coef_m3*$AO60^coef_c3+coef_m4*$AO60^coef_c4+coef_d4</f>
        <v>0</v>
      </c>
      <c r="AQ60" s="161">
        <f t="shared" ca="1" si="28"/>
        <v>1.121167601043541</v>
      </c>
      <c r="AR60" s="161">
        <f t="shared" ca="1" si="29"/>
        <v>1.1610292767237329</v>
      </c>
      <c r="AS60" s="161">
        <f t="shared" ca="1" si="30"/>
        <v>1.1976044472995842</v>
      </c>
      <c r="AT60" s="161">
        <f t="shared" ca="1" si="31"/>
        <v>1.2493433717496141</v>
      </c>
      <c r="AU60" s="161">
        <f t="shared" ca="1" si="32"/>
        <v>1.2832111919190969</v>
      </c>
      <c r="AV60" s="486">
        <v>2.8</v>
      </c>
      <c r="AW60" s="671">
        <f t="shared" ref="AW60:AW82" si="42">coef_m4_np*$AV60^coef_c4_np+coef_d4_np</f>
        <v>0</v>
      </c>
      <c r="AX60" s="161">
        <f t="shared" ca="1" si="33"/>
        <v>1.121167601043541</v>
      </c>
      <c r="AY60" s="161">
        <f t="shared" ca="1" si="34"/>
        <v>1.1610292767237329</v>
      </c>
      <c r="AZ60" s="161">
        <f t="shared" ca="1" si="35"/>
        <v>1.1976044472995842</v>
      </c>
      <c r="BA60" s="161">
        <f t="shared" ca="1" si="36"/>
        <v>1.2493433717496141</v>
      </c>
      <c r="BB60" s="161">
        <f t="shared" ca="1" si="37"/>
        <v>1.2832111919190969</v>
      </c>
      <c r="BC60" s="63"/>
      <c r="BD60" s="12" t="s">
        <v>295</v>
      </c>
      <c r="BE60" s="486">
        <v>1.7</v>
      </c>
      <c r="BF60" s="13">
        <v>1.7</v>
      </c>
      <c r="BG60" s="12" t="s">
        <v>295</v>
      </c>
      <c r="BH60" s="109" t="s">
        <v>1120</v>
      </c>
      <c r="BJ60" s="12" t="s">
        <v>295</v>
      </c>
      <c r="BK60" s="262" t="s">
        <v>242</v>
      </c>
      <c r="BL60" s="13"/>
      <c r="BM60" s="356"/>
      <c r="BN60" s="358"/>
      <c r="BO60" s="358"/>
      <c r="BP60" s="358"/>
      <c r="BQ60" s="358"/>
      <c r="BR60" s="358"/>
      <c r="BS60" s="358"/>
      <c r="BT60" s="358"/>
      <c r="BU60" s="358"/>
      <c r="BV60" s="358"/>
      <c r="BW60" s="358"/>
      <c r="BX60" s="358"/>
      <c r="BY60" s="358"/>
      <c r="BZ60" s="356"/>
      <c r="CA60" s="356"/>
      <c r="CB60" s="356"/>
      <c r="CC60" s="356"/>
      <c r="CD60" s="356"/>
      <c r="CE60" s="356"/>
      <c r="CF60" s="356"/>
      <c r="CG60" s="356"/>
      <c r="CH60" s="356"/>
      <c r="CI60" s="356"/>
      <c r="CJ60" s="356"/>
      <c r="CK60" s="356"/>
      <c r="CL60" s="356"/>
      <c r="CM60" s="356"/>
      <c r="CN60" s="356"/>
      <c r="CO60" s="974"/>
      <c r="CP60" s="974"/>
      <c r="CQ60" s="974"/>
      <c r="CS60" s="277">
        <f>BP43</f>
        <v>0.6</v>
      </c>
      <c r="CT60" s="277">
        <f ca="1">BQ43</f>
        <v>0.46078444444444433</v>
      </c>
    </row>
    <row r="61" spans="1:98">
      <c r="A61">
        <v>60</v>
      </c>
      <c r="B61" s="558" t="s">
        <v>99</v>
      </c>
      <c r="K61" s="167"/>
      <c r="L61" s="167"/>
      <c r="M61" s="167"/>
      <c r="N61" s="167"/>
      <c r="T61" s="172" t="s">
        <v>255</v>
      </c>
      <c r="U61" s="2">
        <v>180</v>
      </c>
      <c r="V61" s="611">
        <v>1.0214120370370461</v>
      </c>
      <c r="W61" s="176">
        <v>-3.7534722222222534</v>
      </c>
      <c r="X61" s="176">
        <v>4.5696593915344259</v>
      </c>
      <c r="Y61" s="176">
        <v>-0.49234523809524999</v>
      </c>
      <c r="Z61" s="176">
        <v>-8.2079449211582532E-4</v>
      </c>
      <c r="AA61" s="176">
        <v>1.9448706124953245E-2</v>
      </c>
      <c r="AB61" s="176">
        <v>0.24447460439135554</v>
      </c>
      <c r="AC61" s="612">
        <v>0.93168578855489792</v>
      </c>
      <c r="AD61" s="957"/>
      <c r="AE61" s="988">
        <v>135</v>
      </c>
      <c r="AF61" s="702">
        <f t="shared" ca="1" si="40"/>
        <v>-0.18969907407407605</v>
      </c>
      <c r="AG61" s="703">
        <f t="shared" ca="1" si="40"/>
        <v>0.50819444444445117</v>
      </c>
      <c r="AH61" s="703">
        <f t="shared" ca="1" si="40"/>
        <v>-6.4515211640218867E-2</v>
      </c>
      <c r="AI61" s="704">
        <f t="shared" ca="1" si="40"/>
        <v>0.36848904761904999</v>
      </c>
      <c r="AJ61" s="702">
        <f t="shared" ca="1" si="40"/>
        <v>2.8613814156796332E-4</v>
      </c>
      <c r="AK61" s="703">
        <f t="shared" ca="1" si="40"/>
        <v>-4.7399720824272329E-3</v>
      </c>
      <c r="AL61" s="703">
        <f t="shared" ca="1" si="40"/>
        <v>0.32628327605305601</v>
      </c>
      <c r="AM61" s="704">
        <f t="shared" ca="1" si="40"/>
        <v>0.27831618041770562</v>
      </c>
      <c r="AO61" s="486">
        <v>2.7</v>
      </c>
      <c r="AP61" s="671">
        <f t="shared" si="41"/>
        <v>0</v>
      </c>
      <c r="AQ61" s="161">
        <f t="shared" ca="1" si="28"/>
        <v>1.0913410279660973</v>
      </c>
      <c r="AR61" s="161">
        <f t="shared" ca="1" si="29"/>
        <v>1.1303586863205446</v>
      </c>
      <c r="AS61" s="161">
        <f t="shared" ca="1" si="30"/>
        <v>1.1661622982512188</v>
      </c>
      <c r="AT61" s="161">
        <f t="shared" ca="1" si="31"/>
        <v>1.2168073692158323</v>
      </c>
      <c r="AU61" s="161">
        <f t="shared" ca="1" si="32"/>
        <v>1.2499582976529413</v>
      </c>
      <c r="AV61" s="486">
        <v>2.7</v>
      </c>
      <c r="AW61" s="671">
        <f t="shared" si="42"/>
        <v>0</v>
      </c>
      <c r="AX61" s="161">
        <f t="shared" ca="1" si="33"/>
        <v>1.0913410279660973</v>
      </c>
      <c r="AY61" s="161">
        <f t="shared" ca="1" si="34"/>
        <v>1.1303586863205446</v>
      </c>
      <c r="AZ61" s="161">
        <f t="shared" ca="1" si="35"/>
        <v>1.1661622982512188</v>
      </c>
      <c r="BA61" s="161">
        <f t="shared" ca="1" si="36"/>
        <v>1.2168073692158323</v>
      </c>
      <c r="BB61" s="161">
        <f t="shared" ca="1" si="37"/>
        <v>1.2499582976529413</v>
      </c>
      <c r="BC61" s="63"/>
      <c r="BD61" s="12" t="s">
        <v>299</v>
      </c>
      <c r="BE61" s="486">
        <v>1.6</v>
      </c>
      <c r="BF61" s="13">
        <v>1.6</v>
      </c>
      <c r="BG61" s="12" t="s">
        <v>299</v>
      </c>
      <c r="BH61" s="109" t="s">
        <v>1121</v>
      </c>
      <c r="BJ61" s="12" t="s">
        <v>299</v>
      </c>
      <c r="BK61" s="262" t="s">
        <v>246</v>
      </c>
      <c r="BL61" s="13"/>
      <c r="BM61" s="974"/>
      <c r="BN61" s="974"/>
      <c r="BO61" s="974"/>
      <c r="BP61" s="974"/>
      <c r="BQ61" s="974"/>
      <c r="BR61" s="974"/>
      <c r="BS61" s="974"/>
      <c r="BT61" s="974"/>
      <c r="BU61" s="974"/>
      <c r="BV61" s="974"/>
      <c r="BW61" s="974"/>
      <c r="BX61" s="974"/>
      <c r="BY61" s="974"/>
      <c r="BZ61" s="974"/>
      <c r="CA61" s="974"/>
      <c r="CB61" s="974"/>
      <c r="CC61" s="974"/>
      <c r="CD61" s="974"/>
      <c r="CE61" s="974"/>
      <c r="CF61" s="974"/>
      <c r="CG61" s="974"/>
      <c r="CH61" s="974"/>
      <c r="CI61" s="974"/>
      <c r="CJ61" s="974"/>
      <c r="CK61" s="974"/>
      <c r="CL61" s="974"/>
      <c r="CM61" s="974"/>
      <c r="CN61" s="974"/>
      <c r="CO61" s="974"/>
      <c r="CP61" s="974"/>
      <c r="CQ61" s="974"/>
    </row>
    <row r="62" spans="1:98">
      <c r="A62">
        <v>61</v>
      </c>
      <c r="B62" s="558" t="s">
        <v>106</v>
      </c>
      <c r="K62" s="167"/>
      <c r="L62" s="167"/>
      <c r="M62" s="167"/>
      <c r="N62" s="167"/>
      <c r="T62" s="172"/>
      <c r="U62" s="2">
        <v>250</v>
      </c>
      <c r="V62" s="611">
        <v>0.99305555555556657</v>
      </c>
      <c r="W62" s="176">
        <v>-3.5547619047619419</v>
      </c>
      <c r="X62" s="176">
        <v>4.1948015873016278</v>
      </c>
      <c r="Y62" s="176">
        <v>-0.25111428571430006</v>
      </c>
      <c r="Z62" s="176">
        <v>-7.7660279949913794E-4</v>
      </c>
      <c r="AA62" s="176">
        <v>1.8707792703599346E-2</v>
      </c>
      <c r="AB62" s="176">
        <v>0.25629312321488701</v>
      </c>
      <c r="AC62" s="612">
        <v>0.94941369477564219</v>
      </c>
      <c r="AD62" s="957"/>
      <c r="AE62" s="988">
        <v>180</v>
      </c>
      <c r="AF62" s="702">
        <f t="shared" ca="1" si="40"/>
        <v>-0.14913194444444691</v>
      </c>
      <c r="AG62" s="703">
        <f t="shared" ca="1" si="40"/>
        <v>0.38997023809524639</v>
      </c>
      <c r="AH62" s="703">
        <f t="shared" ca="1" si="40"/>
        <v>4.5131944444435836E-2</v>
      </c>
      <c r="AI62" s="704">
        <f t="shared" ca="1" si="40"/>
        <v>0.35627642857143138</v>
      </c>
      <c r="AJ62" s="702">
        <f t="shared" ca="1" si="40"/>
        <v>2.9829249820559502E-4</v>
      </c>
      <c r="AK62" s="703">
        <f t="shared" ca="1" si="40"/>
        <v>-4.9269622055224298E-3</v>
      </c>
      <c r="AL62" s="703">
        <f t="shared" ca="1" si="40"/>
        <v>0.33475152582974499</v>
      </c>
      <c r="AM62" s="704">
        <f t="shared" ca="1" si="40"/>
        <v>0.29237944174698494</v>
      </c>
      <c r="AO62" s="486">
        <v>2.6</v>
      </c>
      <c r="AP62" s="671">
        <f t="shared" si="41"/>
        <v>0</v>
      </c>
      <c r="AQ62" s="161">
        <f t="shared" ca="1" si="28"/>
        <v>1.0614682946790941</v>
      </c>
      <c r="AR62" s="161">
        <f t="shared" ca="1" si="29"/>
        <v>1.0996396508546418</v>
      </c>
      <c r="AS62" s="161">
        <f t="shared" ca="1" si="30"/>
        <v>1.134669933343452</v>
      </c>
      <c r="AT62" s="161">
        <f t="shared" ca="1" si="31"/>
        <v>1.1842181507722325</v>
      </c>
      <c r="AU62" s="161">
        <f t="shared" ca="1" si="32"/>
        <v>1.2166500464036158</v>
      </c>
      <c r="AV62" s="486">
        <v>2.6</v>
      </c>
      <c r="AW62" s="671">
        <f t="shared" si="42"/>
        <v>0</v>
      </c>
      <c r="AX62" s="161">
        <f t="shared" ca="1" si="33"/>
        <v>1.0614682946790941</v>
      </c>
      <c r="AY62" s="161">
        <f t="shared" ca="1" si="34"/>
        <v>1.0996396508546418</v>
      </c>
      <c r="AZ62" s="161">
        <f t="shared" ca="1" si="35"/>
        <v>1.134669933343452</v>
      </c>
      <c r="BA62" s="161">
        <f t="shared" ca="1" si="36"/>
        <v>1.1842181507722325</v>
      </c>
      <c r="BB62" s="161">
        <f t="shared" ca="1" si="37"/>
        <v>1.2166500464036158</v>
      </c>
      <c r="BC62" s="63"/>
      <c r="BD62" s="12" t="s">
        <v>302</v>
      </c>
      <c r="BE62" s="486">
        <v>1.5</v>
      </c>
      <c r="BF62" s="13">
        <v>1.5</v>
      </c>
      <c r="BG62" s="12" t="s">
        <v>302</v>
      </c>
      <c r="BH62" s="109" t="s">
        <v>1122</v>
      </c>
      <c r="BJ62" s="12" t="s">
        <v>302</v>
      </c>
      <c r="BK62" s="262" t="s">
        <v>252</v>
      </c>
      <c r="BL62" s="13"/>
      <c r="BM62" s="974"/>
      <c r="BN62" s="974"/>
      <c r="BO62" s="974"/>
      <c r="BP62" s="974"/>
      <c r="BQ62" s="974"/>
      <c r="BR62" s="974"/>
      <c r="BS62" s="974"/>
      <c r="BT62" s="974"/>
      <c r="BU62" s="974"/>
      <c r="BV62" s="974"/>
      <c r="BW62" s="974"/>
      <c r="BX62" s="974"/>
      <c r="BY62" s="974"/>
      <c r="BZ62" s="974"/>
      <c r="CA62" s="974"/>
      <c r="CB62" s="974"/>
      <c r="CC62" s="974"/>
      <c r="CD62" s="974"/>
      <c r="CE62" s="974"/>
      <c r="CF62" s="974"/>
      <c r="CG62" s="974"/>
      <c r="CH62" s="974"/>
      <c r="CI62" s="974"/>
      <c r="CJ62" s="974"/>
      <c r="CK62" s="974"/>
      <c r="CL62" s="974"/>
      <c r="CM62" s="974"/>
      <c r="CN62" s="974"/>
      <c r="CO62" s="974"/>
      <c r="CP62" s="974"/>
      <c r="CQ62" s="974"/>
    </row>
    <row r="63" spans="1:98">
      <c r="A63">
        <v>62</v>
      </c>
      <c r="B63" s="558" t="s">
        <v>110</v>
      </c>
      <c r="K63" s="167"/>
      <c r="L63" s="167"/>
      <c r="M63" s="167"/>
      <c r="N63" s="167"/>
      <c r="T63" s="172"/>
      <c r="U63" s="2">
        <v>300</v>
      </c>
      <c r="V63" s="613">
        <v>0.88252314814815513</v>
      </c>
      <c r="W63" s="614">
        <v>-3.0629960317460556</v>
      </c>
      <c r="X63" s="614">
        <v>3.4656911375661634</v>
      </c>
      <c r="Y63" s="614">
        <v>0.12565476190475344</v>
      </c>
      <c r="Z63" s="614">
        <v>-7.2187978143569906E-4</v>
      </c>
      <c r="AA63" s="614">
        <v>1.7678556411681035E-2</v>
      </c>
      <c r="AB63" s="614">
        <v>0.26738790212954672</v>
      </c>
      <c r="AC63" s="615">
        <v>0.95083098936596433</v>
      </c>
      <c r="AD63" s="957"/>
      <c r="AE63" s="988">
        <v>250</v>
      </c>
      <c r="AF63" s="702">
        <f t="shared" ca="1" si="40"/>
        <v>-0.12494212962963179</v>
      </c>
      <c r="AG63" s="703">
        <f t="shared" ca="1" si="40"/>
        <v>0.35518849206349912</v>
      </c>
      <c r="AH63" s="703">
        <f t="shared" ca="1" si="40"/>
        <v>4.6227843915336714E-2</v>
      </c>
      <c r="AI63" s="704">
        <f t="shared" ca="1" si="40"/>
        <v>0.38106833333333562</v>
      </c>
      <c r="AJ63" s="702">
        <f t="shared" ca="1" si="40"/>
        <v>3.1783056057922216E-4</v>
      </c>
      <c r="AK63" s="703">
        <f t="shared" ca="1" si="40"/>
        <v>-5.2352230315837961E-3</v>
      </c>
      <c r="AL63" s="703">
        <f t="shared" ca="1" si="40"/>
        <v>0.34694217659198739</v>
      </c>
      <c r="AM63" s="704">
        <f t="shared" ca="1" si="40"/>
        <v>0.31197240939383131</v>
      </c>
      <c r="AO63" s="486">
        <v>2.5</v>
      </c>
      <c r="AP63" s="671">
        <f t="shared" si="41"/>
        <v>0</v>
      </c>
      <c r="AQ63" s="161">
        <f t="shared" ca="1" si="28"/>
        <v>1.0315477776783961</v>
      </c>
      <c r="AR63" s="161">
        <f t="shared" ca="1" si="29"/>
        <v>1.0688704534971749</v>
      </c>
      <c r="AS63" s="161">
        <f t="shared" ca="1" si="30"/>
        <v>1.1031255628212946</v>
      </c>
      <c r="AT63" s="161">
        <f t="shared" ca="1" si="31"/>
        <v>1.1515738094354515</v>
      </c>
      <c r="AU63" s="161">
        <f t="shared" ca="1" si="32"/>
        <v>1.1832844488407077</v>
      </c>
      <c r="AV63" s="486">
        <v>2.5</v>
      </c>
      <c r="AW63" s="671">
        <f t="shared" si="42"/>
        <v>0</v>
      </c>
      <c r="AX63" s="161">
        <f t="shared" ca="1" si="33"/>
        <v>1.0315477776783961</v>
      </c>
      <c r="AY63" s="161">
        <f t="shared" ca="1" si="34"/>
        <v>1.0688704534971749</v>
      </c>
      <c r="AZ63" s="161">
        <f t="shared" ca="1" si="35"/>
        <v>1.1031255628212946</v>
      </c>
      <c r="BA63" s="161">
        <f t="shared" ca="1" si="36"/>
        <v>1.1515738094354515</v>
      </c>
      <c r="BB63" s="161">
        <f t="shared" ca="1" si="37"/>
        <v>1.1832844488407077</v>
      </c>
      <c r="BC63" s="63"/>
      <c r="BD63" s="12" t="s">
        <v>304</v>
      </c>
      <c r="BE63" s="486">
        <v>1.4</v>
      </c>
      <c r="BF63" s="13">
        <v>1.4</v>
      </c>
      <c r="BG63" s="12" t="s">
        <v>304</v>
      </c>
      <c r="BH63" s="109" t="s">
        <v>1123</v>
      </c>
      <c r="BJ63" s="12" t="s">
        <v>304</v>
      </c>
      <c r="BK63" s="262" t="s">
        <v>257</v>
      </c>
      <c r="BL63" s="13"/>
      <c r="BM63" s="974"/>
      <c r="BN63" s="974"/>
      <c r="BO63" s="974"/>
      <c r="BP63" s="974"/>
      <c r="BQ63" s="974"/>
      <c r="BR63" s="974"/>
      <c r="BS63" s="974"/>
      <c r="BT63" s="974"/>
      <c r="BU63" s="974"/>
      <c r="BV63" s="974"/>
      <c r="BW63" s="974"/>
      <c r="BX63" s="974"/>
      <c r="BY63" s="974"/>
      <c r="BZ63" s="974"/>
      <c r="CA63" s="974"/>
      <c r="CB63" s="974"/>
      <c r="CC63" s="974"/>
      <c r="CD63" s="974"/>
      <c r="CE63" s="974"/>
      <c r="CF63" s="974"/>
      <c r="CG63" s="974"/>
      <c r="CH63" s="974"/>
      <c r="CI63" s="974"/>
      <c r="CJ63" s="974"/>
      <c r="CK63" s="974"/>
      <c r="CL63" s="974"/>
      <c r="CM63" s="974"/>
      <c r="CN63" s="974"/>
      <c r="CO63" s="974"/>
      <c r="CP63" s="974"/>
      <c r="CQ63" s="974"/>
    </row>
    <row r="64" spans="1:98">
      <c r="A64">
        <v>63</v>
      </c>
      <c r="B64" s="558" t="s">
        <v>317</v>
      </c>
      <c r="K64" s="167"/>
      <c r="L64" s="167"/>
      <c r="M64" s="167"/>
      <c r="N64" s="167"/>
      <c r="T64" s="172"/>
      <c r="U64" s="2">
        <v>90</v>
      </c>
      <c r="V64" s="606">
        <v>6.5393518518518878E-2</v>
      </c>
      <c r="W64" s="607">
        <v>-0.47628968253968423</v>
      </c>
      <c r="X64" s="607">
        <v>1.5910350529100552</v>
      </c>
      <c r="Y64" s="607">
        <v>9.407380952380906E-2</v>
      </c>
      <c r="Z64" s="607">
        <v>2.2214595487962253E-3</v>
      </c>
      <c r="AA64" s="607">
        <v>-4.6524123600248497E-2</v>
      </c>
      <c r="AB64" s="607">
        <v>0.74397336608805464</v>
      </c>
      <c r="AC64" s="608">
        <v>0.62631574004807788</v>
      </c>
      <c r="AD64" s="957"/>
      <c r="AE64" s="988">
        <v>300</v>
      </c>
      <c r="AF64" s="705">
        <f t="shared" ca="1" si="40"/>
        <v>-0.16574074074074199</v>
      </c>
      <c r="AG64" s="706">
        <f t="shared" ca="1" si="40"/>
        <v>0.4562301587301627</v>
      </c>
      <c r="AH64" s="706">
        <f t="shared" ca="1" si="40"/>
        <v>-3.3306878306919871E-3</v>
      </c>
      <c r="AI64" s="707">
        <f t="shared" ca="1" si="40"/>
        <v>0.39403619047619209</v>
      </c>
      <c r="AJ64" s="705">
        <f t="shared" ca="1" si="40"/>
        <v>3.3155506875806037E-4</v>
      </c>
      <c r="AK64" s="706">
        <f t="shared" ca="1" si="40"/>
        <v>-5.4534452154310293E-3</v>
      </c>
      <c r="AL64" s="706">
        <f t="shared" ca="1" si="40"/>
        <v>0.3549999068363075</v>
      </c>
      <c r="AM64" s="707">
        <f t="shared" ca="1" si="40"/>
        <v>0.32468816639703829</v>
      </c>
      <c r="AO64" s="486">
        <v>2.4</v>
      </c>
      <c r="AP64" s="671">
        <f t="shared" si="41"/>
        <v>0</v>
      </c>
      <c r="AQ64" s="161">
        <f t="shared" ca="1" si="28"/>
        <v>1.0015778534598689</v>
      </c>
      <c r="AR64" s="161">
        <f t="shared" ca="1" si="29"/>
        <v>1.0380493774192947</v>
      </c>
      <c r="AS64" s="161">
        <f t="shared" ca="1" si="30"/>
        <v>1.0715273969297578</v>
      </c>
      <c r="AT64" s="161">
        <f t="shared" ca="1" si="31"/>
        <v>1.1188724382221253</v>
      </c>
      <c r="AU64" s="161">
        <f t="shared" ca="1" si="32"/>
        <v>1.149859515633805</v>
      </c>
      <c r="AV64" s="486">
        <v>2.4</v>
      </c>
      <c r="AW64" s="671">
        <f t="shared" si="42"/>
        <v>0</v>
      </c>
      <c r="AX64" s="161">
        <f t="shared" ca="1" si="33"/>
        <v>1.0015778534598689</v>
      </c>
      <c r="AY64" s="161">
        <f t="shared" ca="1" si="34"/>
        <v>1.0380493774192947</v>
      </c>
      <c r="AZ64" s="161">
        <f t="shared" ca="1" si="35"/>
        <v>1.0715273969297578</v>
      </c>
      <c r="BA64" s="161">
        <f t="shared" ca="1" si="36"/>
        <v>1.1188724382221253</v>
      </c>
      <c r="BB64" s="161">
        <f t="shared" ca="1" si="37"/>
        <v>1.149859515633805</v>
      </c>
      <c r="BC64" s="63"/>
      <c r="BD64" s="12" t="s">
        <v>306</v>
      </c>
      <c r="BE64" s="486">
        <v>1.3</v>
      </c>
      <c r="BF64" s="13">
        <v>1.3</v>
      </c>
      <c r="BG64" s="12" t="s">
        <v>306</v>
      </c>
      <c r="BH64" s="109" t="s">
        <v>1124</v>
      </c>
      <c r="BJ64" s="12" t="s">
        <v>306</v>
      </c>
      <c r="BK64" s="262" t="s">
        <v>262</v>
      </c>
      <c r="BL64" s="13"/>
      <c r="BM64" s="974"/>
      <c r="BN64" s="974"/>
      <c r="BO64" s="974"/>
      <c r="BP64" s="974"/>
      <c r="BQ64" s="974"/>
      <c r="BR64" s="974"/>
      <c r="BS64" s="974"/>
      <c r="BT64" s="974"/>
      <c r="BU64" s="974"/>
      <c r="BV64" s="974"/>
      <c r="BW64" s="974"/>
      <c r="BX64" s="974"/>
      <c r="BY64" s="974"/>
      <c r="BZ64" s="974"/>
      <c r="CA64" s="974"/>
      <c r="CB64" s="974"/>
      <c r="CC64" s="974"/>
      <c r="CD64" s="974"/>
      <c r="CE64" s="974"/>
      <c r="CF64" s="974"/>
      <c r="CG64" s="974"/>
      <c r="CH64" s="974"/>
      <c r="CI64" s="974"/>
      <c r="CJ64" s="974"/>
      <c r="CK64" s="974"/>
      <c r="CL64" s="974"/>
      <c r="CM64" s="974"/>
      <c r="CN64" s="974"/>
      <c r="CO64" s="974"/>
      <c r="CP64" s="974"/>
      <c r="CQ64" s="974"/>
    </row>
    <row r="65" spans="1:95">
      <c r="A65">
        <v>64</v>
      </c>
      <c r="B65" s="558" t="s">
        <v>320</v>
      </c>
      <c r="K65" s="167"/>
      <c r="L65" s="167"/>
      <c r="M65" s="167"/>
      <c r="N65" s="167"/>
      <c r="T65" s="172"/>
      <c r="U65" s="2">
        <v>135</v>
      </c>
      <c r="V65" s="611">
        <v>-2.7777777777780475E-2</v>
      </c>
      <c r="W65" s="176">
        <v>-0.18690476190475352</v>
      </c>
      <c r="X65" s="176">
        <v>1.3284920634920556</v>
      </c>
      <c r="Y65" s="176">
        <v>0.24748571428571631</v>
      </c>
      <c r="Z65" s="176">
        <v>2.2810109845771585E-3</v>
      </c>
      <c r="AA65" s="176">
        <v>-4.7446836330746853E-2</v>
      </c>
      <c r="AB65" s="176">
        <v>0.75453990361927936</v>
      </c>
      <c r="AC65" s="612">
        <v>0.70461484030376775</v>
      </c>
      <c r="AD65" s="957"/>
      <c r="AE65" s="721">
        <f>AE53</f>
        <v>90</v>
      </c>
      <c r="AF65" s="985" cm="1">
        <f t="array" aca="1" ref="AF65" ca="1">INDEX(AF60:AF64,$AE$59)</f>
        <v>-0.22112268518518777</v>
      </c>
      <c r="AG65" s="986" cm="1">
        <f t="array" aca="1" ref="AG65" ca="1">INDEX(AG60:AG64,$AE$59)</f>
        <v>0.61762896825397673</v>
      </c>
      <c r="AH65" s="986" cm="1">
        <f t="array" aca="1" ref="AH65" ca="1">INDEX(AH60:AH64,$AE$59)</f>
        <v>-0.20302017195768082</v>
      </c>
      <c r="AI65" s="987" cm="1">
        <f t="array" aca="1" ref="AI65" ca="1">INDEX(AI60:AI64,$AE$59)</f>
        <v>0.40801261904762176</v>
      </c>
      <c r="AJ65" s="985" cm="1">
        <f t="array" aca="1" ref="AJ65" ca="1">INDEX(AJ60:AJ64,$AE$59)</f>
        <v>2.7058402250245832E-4</v>
      </c>
      <c r="AK65" s="986" cm="1">
        <f t="array" aca="1" ref="AK65" ca="1">INDEX(AK60:AK64,$AE$59)</f>
        <v>-4.499741060246888E-3</v>
      </c>
      <c r="AL65" s="986" cm="1">
        <f t="array" aca="1" ref="AL65" ca="1">INDEX(AL60:AL64,$AE$59)</f>
        <v>0.3168747551352139</v>
      </c>
      <c r="AM65" s="987" cm="1">
        <f t="array" aca="1" ref="AM65" ca="1">INDEX(AM60:AM64,$AE$59)</f>
        <v>0.26325639611530366</v>
      </c>
      <c r="AO65" s="486">
        <v>2.2999999999999998</v>
      </c>
      <c r="AP65" s="671">
        <f t="shared" si="41"/>
        <v>0</v>
      </c>
      <c r="AQ65" s="161">
        <f t="shared" ca="1" si="28"/>
        <v>0.97155689851937699</v>
      </c>
      <c r="AR65" s="161">
        <f t="shared" ca="1" si="29"/>
        <v>1.0071747057921516</v>
      </c>
      <c r="AS65" s="161">
        <f t="shared" ca="1" si="30"/>
        <v>1.0398736459138522</v>
      </c>
      <c r="AT65" s="161">
        <f t="shared" ca="1" si="31"/>
        <v>1.0861121301488912</v>
      </c>
      <c r="AU65" s="161">
        <f t="shared" ca="1" si="32"/>
        <v>1.1163732574524947</v>
      </c>
      <c r="AV65" s="486">
        <v>2.2999999999999998</v>
      </c>
      <c r="AW65" s="671">
        <f t="shared" si="42"/>
        <v>0</v>
      </c>
      <c r="AX65" s="161">
        <f t="shared" ca="1" si="33"/>
        <v>0.97155689851937699</v>
      </c>
      <c r="AY65" s="161">
        <f t="shared" ca="1" si="34"/>
        <v>1.0071747057921516</v>
      </c>
      <c r="AZ65" s="161">
        <f t="shared" ca="1" si="35"/>
        <v>1.0398736459138522</v>
      </c>
      <c r="BA65" s="161">
        <f t="shared" ca="1" si="36"/>
        <v>1.0861121301488912</v>
      </c>
      <c r="BB65" s="161">
        <f t="shared" ca="1" si="37"/>
        <v>1.1163732574524947</v>
      </c>
      <c r="BC65" s="63"/>
      <c r="BD65" s="12" t="s">
        <v>308</v>
      </c>
      <c r="BE65" s="486">
        <v>1.2</v>
      </c>
      <c r="BF65" s="13">
        <v>1.2</v>
      </c>
      <c r="BG65" s="12" t="s">
        <v>308</v>
      </c>
      <c r="BH65" s="109" t="s">
        <v>1125</v>
      </c>
      <c r="BJ65" s="12" t="s">
        <v>308</v>
      </c>
      <c r="BK65" s="262" t="s">
        <v>268</v>
      </c>
      <c r="BL65" s="13"/>
      <c r="BM65" s="974"/>
      <c r="BN65" s="974"/>
      <c r="BO65" s="974"/>
      <c r="BP65" s="974"/>
      <c r="BQ65" s="974"/>
      <c r="BR65" s="974"/>
      <c r="BS65" s="974"/>
      <c r="BT65" s="974"/>
      <c r="BU65" s="974"/>
      <c r="BV65" s="974"/>
      <c r="BW65" s="974"/>
      <c r="BX65" s="974"/>
      <c r="BY65" s="974"/>
      <c r="BZ65" s="974"/>
      <c r="CA65" s="974"/>
      <c r="CB65" s="974"/>
      <c r="CC65" s="974"/>
      <c r="CD65" s="974"/>
      <c r="CE65" s="974"/>
      <c r="CF65" s="974"/>
      <c r="CG65" s="974"/>
      <c r="CH65" s="974"/>
      <c r="CI65" s="974"/>
      <c r="CJ65" s="974"/>
      <c r="CK65" s="974"/>
      <c r="CL65" s="974"/>
      <c r="CM65" s="974"/>
      <c r="CN65" s="974"/>
      <c r="CO65" s="974"/>
      <c r="CP65" s="974"/>
      <c r="CQ65" s="974"/>
    </row>
    <row r="66" spans="1:95">
      <c r="A66">
        <v>65</v>
      </c>
      <c r="B66" s="558" t="s">
        <v>15</v>
      </c>
      <c r="K66" s="167"/>
      <c r="L66" s="167"/>
      <c r="M66" s="167"/>
      <c r="N66" s="167"/>
      <c r="T66" s="172" t="s">
        <v>276</v>
      </c>
      <c r="U66" s="2">
        <v>180</v>
      </c>
      <c r="V66" s="611">
        <v>-7.1759259259262978E-2</v>
      </c>
      <c r="W66" s="176">
        <v>-8.5515873015861374E-2</v>
      </c>
      <c r="X66" s="176">
        <v>1.3042592592592477</v>
      </c>
      <c r="Y66" s="176">
        <v>0.30483809523809896</v>
      </c>
      <c r="Z66" s="176">
        <v>2.3303254265006706E-3</v>
      </c>
      <c r="AA66" s="176">
        <v>-4.8106974135624161E-2</v>
      </c>
      <c r="AB66" s="176">
        <v>0.76275238384840682</v>
      </c>
      <c r="AC66" s="612">
        <v>0.79237834034671195</v>
      </c>
      <c r="AD66" s="957"/>
      <c r="AF66" s="10">
        <f ca="1">IF(A_P&lt;1.6,$AF$65*A_P^3+$AG$65*A_P^2+$AH$65*A_P+$AI$65,$AJ$65*A_P^3+$AK$65*A_P^2+$AL$65*A_P+$AM$65)+coef_m4_np*A_P^coef_c4_np+coef_d4_np</f>
        <v>1.0015778534598689</v>
      </c>
      <c r="AO66" s="486">
        <v>2.2000000000000002</v>
      </c>
      <c r="AP66" s="671">
        <f t="shared" si="41"/>
        <v>0</v>
      </c>
      <c r="AQ66" s="161">
        <f t="shared" ca="1" si="28"/>
        <v>0.94148328935278558</v>
      </c>
      <c r="AR66" s="161">
        <f t="shared" ca="1" si="29"/>
        <v>0.97624472178689681</v>
      </c>
      <c r="AS66" s="161">
        <f t="shared" ca="1" si="30"/>
        <v>1.0081625200185886</v>
      </c>
      <c r="AT66" s="161">
        <f t="shared" ca="1" si="31"/>
        <v>1.0532909782323856</v>
      </c>
      <c r="AU66" s="161">
        <f t="shared" ca="1" si="32"/>
        <v>1.0828236849663646</v>
      </c>
      <c r="AV66" s="486">
        <v>2.2000000000000002</v>
      </c>
      <c r="AW66" s="671">
        <f t="shared" si="42"/>
        <v>0</v>
      </c>
      <c r="AX66" s="161">
        <f t="shared" ca="1" si="33"/>
        <v>0.94148328935278558</v>
      </c>
      <c r="AY66" s="161">
        <f t="shared" ca="1" si="34"/>
        <v>0.97624472178689681</v>
      </c>
      <c r="AZ66" s="161">
        <f t="shared" ca="1" si="35"/>
        <v>1.0081625200185886</v>
      </c>
      <c r="BA66" s="161">
        <f t="shared" ca="1" si="36"/>
        <v>1.0532909782323856</v>
      </c>
      <c r="BB66" s="161">
        <f t="shared" ca="1" si="37"/>
        <v>1.0828236849663646</v>
      </c>
      <c r="BC66" s="63"/>
      <c r="BD66" s="12" t="s">
        <v>310</v>
      </c>
      <c r="BE66" s="486">
        <v>1.1000000000000001</v>
      </c>
      <c r="BF66" s="13">
        <v>1.1000000000000001</v>
      </c>
      <c r="BG66" s="12" t="s">
        <v>310</v>
      </c>
      <c r="BH66" s="109" t="s">
        <v>1126</v>
      </c>
      <c r="BJ66" s="12" t="s">
        <v>310</v>
      </c>
      <c r="BK66" s="262" t="s">
        <v>274</v>
      </c>
      <c r="BL66" s="13"/>
      <c r="BM66" s="974"/>
      <c r="BN66" s="974"/>
      <c r="BO66" s="974"/>
      <c r="BP66" s="974"/>
      <c r="BQ66" s="974"/>
      <c r="BR66" s="974"/>
      <c r="BS66" s="974"/>
      <c r="BT66" s="974"/>
      <c r="BU66" s="974"/>
      <c r="BV66" s="974"/>
      <c r="BW66" s="974"/>
      <c r="BX66" s="974"/>
      <c r="BY66" s="974"/>
      <c r="BZ66" s="974"/>
      <c r="CA66" s="974"/>
      <c r="CB66" s="974"/>
      <c r="CC66" s="974"/>
      <c r="CD66" s="974"/>
      <c r="CE66" s="974"/>
      <c r="CF66" s="974"/>
      <c r="CG66" s="974"/>
      <c r="CH66" s="974"/>
      <c r="CI66" s="974"/>
      <c r="CJ66" s="974"/>
      <c r="CK66" s="974"/>
      <c r="CL66" s="974"/>
      <c r="CM66" s="974"/>
      <c r="CN66" s="974"/>
      <c r="CO66" s="974"/>
      <c r="CP66" s="974"/>
      <c r="CQ66" s="974"/>
    </row>
    <row r="67" spans="1:95">
      <c r="K67" s="167"/>
      <c r="L67" s="167"/>
      <c r="M67" s="167"/>
      <c r="N67" s="167"/>
      <c r="U67" s="2">
        <v>250</v>
      </c>
      <c r="V67" s="611">
        <v>0.30381944444444742</v>
      </c>
      <c r="W67" s="176">
        <v>-1.2247023809523911</v>
      </c>
      <c r="X67" s="176">
        <v>2.4176091269841389</v>
      </c>
      <c r="Y67" s="176">
        <v>5.4464285714281302E-2</v>
      </c>
      <c r="Z67" s="176">
        <v>2.3676412530944215E-3</v>
      </c>
      <c r="AA67" s="176">
        <v>-4.8286632432203103E-2</v>
      </c>
      <c r="AB67" s="176">
        <v>0.76874141453928391</v>
      </c>
      <c r="AC67" s="612">
        <v>0.93943152516197248</v>
      </c>
      <c r="AD67" s="957"/>
      <c r="AO67" s="486">
        <v>2.1</v>
      </c>
      <c r="AP67" s="671">
        <f t="shared" si="41"/>
        <v>0</v>
      </c>
      <c r="AQ67" s="161">
        <f t="shared" ca="1" si="28"/>
        <v>0.91135540245595936</v>
      </c>
      <c r="AR67" s="161">
        <f t="shared" ca="1" si="29"/>
        <v>0.94525770857468006</v>
      </c>
      <c r="AS67" s="161">
        <f t="shared" ca="1" si="30"/>
        <v>0.97639222948897753</v>
      </c>
      <c r="AT67" s="161">
        <f t="shared" ca="1" si="31"/>
        <v>1.0204070754892445</v>
      </c>
      <c r="AU67" s="161">
        <f t="shared" ca="1" si="32"/>
        <v>1.0492088088450016</v>
      </c>
      <c r="AV67" s="486">
        <v>2.1</v>
      </c>
      <c r="AW67" s="671">
        <f t="shared" si="42"/>
        <v>0</v>
      </c>
      <c r="AX67" s="161">
        <f t="shared" ca="1" si="33"/>
        <v>0.91135540245595936</v>
      </c>
      <c r="AY67" s="161">
        <f t="shared" ca="1" si="34"/>
        <v>0.94525770857468006</v>
      </c>
      <c r="AZ67" s="161">
        <f t="shared" ca="1" si="35"/>
        <v>0.97639222948897753</v>
      </c>
      <c r="BA67" s="161">
        <f t="shared" ca="1" si="36"/>
        <v>1.0204070754892445</v>
      </c>
      <c r="BB67" s="161">
        <f t="shared" ca="1" si="37"/>
        <v>1.0492088088450016</v>
      </c>
      <c r="BC67" s="63"/>
      <c r="BD67" s="12" t="s">
        <v>312</v>
      </c>
      <c r="BE67" s="486">
        <v>1</v>
      </c>
      <c r="BF67" s="13">
        <v>1</v>
      </c>
      <c r="BJ67" s="12" t="s">
        <v>312</v>
      </c>
      <c r="BK67" s="262">
        <v>0.9</v>
      </c>
      <c r="BM67" s="974"/>
      <c r="BN67" s="974"/>
      <c r="BO67" s="974"/>
      <c r="BP67" s="974"/>
      <c r="BQ67" s="974"/>
      <c r="BR67" s="974"/>
      <c r="BS67" s="974"/>
      <c r="BT67" s="974"/>
      <c r="BU67" s="974"/>
      <c r="BV67" s="974"/>
      <c r="BW67" s="974"/>
      <c r="BX67" s="974"/>
      <c r="BY67" s="974"/>
      <c r="BZ67" s="974"/>
      <c r="CA67" s="974"/>
      <c r="CB67" s="974"/>
      <c r="CC67" s="974"/>
      <c r="CD67" s="974"/>
      <c r="CE67" s="974"/>
      <c r="CF67" s="974"/>
      <c r="CG67" s="974"/>
      <c r="CH67" s="974"/>
      <c r="CI67" s="974"/>
      <c r="CJ67" s="974"/>
      <c r="CK67" s="974"/>
      <c r="CL67" s="974"/>
      <c r="CM67" s="974"/>
      <c r="CN67" s="974"/>
      <c r="CO67" s="974"/>
      <c r="CP67" s="974"/>
      <c r="CQ67" s="974"/>
    </row>
    <row r="68" spans="1:95">
      <c r="K68" s="167"/>
      <c r="L68" s="167"/>
      <c r="M68" s="167"/>
      <c r="N68" s="167"/>
      <c r="U68" s="2">
        <v>300</v>
      </c>
      <c r="V68" s="613">
        <v>0.34259259259259511</v>
      </c>
      <c r="W68" s="614">
        <v>-1.3466269841269931</v>
      </c>
      <c r="X68" s="614">
        <v>2.556335978835989</v>
      </c>
      <c r="Y68" s="614">
        <v>8.5533333333329797E-2</v>
      </c>
      <c r="Z68" s="614">
        <v>2.3705734321090113E-3</v>
      </c>
      <c r="AA68" s="614">
        <v>-4.7946757928257096E-2</v>
      </c>
      <c r="AB68" s="614">
        <v>0.76918337833031558</v>
      </c>
      <c r="AC68" s="615">
        <v>1.0391821407899213</v>
      </c>
      <c r="AD68" s="957"/>
      <c r="AE68" s="981" t="s">
        <v>2283</v>
      </c>
      <c r="AF68" s="982"/>
      <c r="AG68" s="983"/>
      <c r="AO68" s="486">
        <v>2</v>
      </c>
      <c r="AP68" s="671">
        <f t="shared" si="41"/>
        <v>0</v>
      </c>
      <c r="AQ68" s="161">
        <f t="shared" ca="1" si="28"/>
        <v>0.88117161432476365</v>
      </c>
      <c r="AR68" s="161">
        <f t="shared" ca="1" si="29"/>
        <v>0.91421194932665251</v>
      </c>
      <c r="AS68" s="161">
        <f t="shared" ca="1" si="30"/>
        <v>0.9445609845700299</v>
      </c>
      <c r="AT68" s="161">
        <f t="shared" ca="1" si="31"/>
        <v>0.9874585149361047</v>
      </c>
      <c r="AU68" s="161">
        <f t="shared" ca="1" si="32"/>
        <v>1.0155266397579936</v>
      </c>
      <c r="AV68" s="486">
        <v>2</v>
      </c>
      <c r="AW68" s="671">
        <f t="shared" si="42"/>
        <v>0</v>
      </c>
      <c r="AX68" s="161">
        <f t="shared" ca="1" si="33"/>
        <v>0.88117161432476365</v>
      </c>
      <c r="AY68" s="161">
        <f t="shared" ca="1" si="34"/>
        <v>0.91421194932665251</v>
      </c>
      <c r="AZ68" s="161">
        <f t="shared" ca="1" si="35"/>
        <v>0.9445609845700299</v>
      </c>
      <c r="BA68" s="161">
        <f t="shared" ca="1" si="36"/>
        <v>0.9874585149361047</v>
      </c>
      <c r="BB68" s="161">
        <f t="shared" ca="1" si="37"/>
        <v>1.0155266397579936</v>
      </c>
      <c r="BC68" s="63"/>
      <c r="BD68" s="12" t="s">
        <v>314</v>
      </c>
      <c r="BE68" s="486">
        <v>0.9</v>
      </c>
      <c r="BF68" s="13">
        <v>0.90000000000000102</v>
      </c>
      <c r="BJ68" s="12" t="s">
        <v>314</v>
      </c>
      <c r="BK68" s="262">
        <v>0.8</v>
      </c>
      <c r="BM68" s="974"/>
      <c r="BN68" s="974"/>
      <c r="BO68" s="974"/>
      <c r="BP68" s="974"/>
      <c r="BQ68" s="974"/>
      <c r="BR68" s="974"/>
      <c r="BS68" s="974"/>
      <c r="BT68" s="974"/>
      <c r="BU68" s="974"/>
      <c r="BV68" s="974"/>
      <c r="BW68" s="974"/>
      <c r="BX68" s="974"/>
      <c r="BY68" s="974"/>
      <c r="BZ68" s="974"/>
      <c r="CA68" s="974"/>
      <c r="CB68" s="974"/>
      <c r="CC68" s="974"/>
      <c r="CD68" s="974"/>
      <c r="CE68" s="974"/>
      <c r="CF68" s="974"/>
      <c r="CG68" s="974"/>
      <c r="CH68" s="974"/>
      <c r="CI68" s="974"/>
      <c r="CJ68" s="974"/>
      <c r="CK68" s="974"/>
      <c r="CL68" s="974"/>
      <c r="CM68" s="974"/>
      <c r="CN68" s="974"/>
      <c r="CO68" s="974"/>
      <c r="CP68" s="974"/>
      <c r="CQ68" s="974"/>
    </row>
    <row r="69" spans="1:95">
      <c r="K69" s="167"/>
      <c r="L69" s="167"/>
      <c r="M69" s="167"/>
      <c r="N69" s="167"/>
      <c r="T69" s="172"/>
      <c r="U69" s="2">
        <v>90</v>
      </c>
      <c r="V69" s="606">
        <v>-0.24884259259259506</v>
      </c>
      <c r="W69" s="607">
        <v>0.6716269841269924</v>
      </c>
      <c r="X69" s="607">
        <v>-8.3300264550273104E-2</v>
      </c>
      <c r="Y69" s="607">
        <v>0.7024523809523836</v>
      </c>
      <c r="Z69" s="607">
        <v>8.2431466689931467E-4</v>
      </c>
      <c r="AA69" s="607">
        <v>-1.4778230809850091E-2</v>
      </c>
      <c r="AB69" s="607">
        <v>0.46594514052690017</v>
      </c>
      <c r="AC69" s="608">
        <v>0.5862553573405761</v>
      </c>
      <c r="AD69" s="957"/>
      <c r="AE69" s="172" t="str">
        <f>AH10</f>
        <v>f</v>
      </c>
      <c r="AF69" s="177" t="str">
        <f>AI10</f>
        <v>Std, non-mv, no insulation</v>
      </c>
      <c r="AG69"/>
      <c r="AH69" s="2"/>
      <c r="AI69"/>
      <c r="AJ69"/>
      <c r="AK69"/>
      <c r="AL69" s="2"/>
      <c r="AO69" s="486">
        <v>1.9</v>
      </c>
      <c r="AP69" s="671">
        <f t="shared" si="41"/>
        <v>0</v>
      </c>
      <c r="AQ69" s="161">
        <f t="shared" ca="1" si="28"/>
        <v>0.8509303014550631</v>
      </c>
      <c r="AR69" s="161">
        <f t="shared" ca="1" si="29"/>
        <v>0.88310572721396441</v>
      </c>
      <c r="AS69" s="161">
        <f t="shared" ca="1" si="30"/>
        <v>0.91266699550675656</v>
      </c>
      <c r="AT69" s="161">
        <f t="shared" ca="1" si="31"/>
        <v>0.95444338958960273</v>
      </c>
      <c r="AU69" s="161">
        <f t="shared" ca="1" si="32"/>
        <v>0.98177518837492816</v>
      </c>
      <c r="AV69" s="486">
        <v>1.9</v>
      </c>
      <c r="AW69" s="671">
        <f t="shared" si="42"/>
        <v>0</v>
      </c>
      <c r="AX69" s="161">
        <f t="shared" ca="1" si="33"/>
        <v>0.8509303014550631</v>
      </c>
      <c r="AY69" s="161">
        <f t="shared" ca="1" si="34"/>
        <v>0.88310572721396441</v>
      </c>
      <c r="AZ69" s="161">
        <f t="shared" ca="1" si="35"/>
        <v>0.91266699550675656</v>
      </c>
      <c r="BA69" s="161">
        <f t="shared" ca="1" si="36"/>
        <v>0.95444338958960273</v>
      </c>
      <c r="BB69" s="161">
        <f t="shared" ca="1" si="37"/>
        <v>0.98177518837492816</v>
      </c>
      <c r="BC69" s="63"/>
      <c r="BD69" s="12" t="s">
        <v>316</v>
      </c>
      <c r="BE69" s="486">
        <v>0.8</v>
      </c>
      <c r="BF69" s="13">
        <v>0.8</v>
      </c>
      <c r="BJ69" s="12" t="s">
        <v>316</v>
      </c>
      <c r="BK69" s="262">
        <v>0.7</v>
      </c>
      <c r="BM69" s="974"/>
      <c r="BN69" s="974"/>
      <c r="BO69" s="974"/>
      <c r="BP69" s="974"/>
      <c r="BQ69" s="974"/>
      <c r="BR69" s="974"/>
      <c r="BS69" s="974"/>
      <c r="BT69" s="974"/>
      <c r="BU69" s="974"/>
      <c r="BV69" s="974"/>
      <c r="BW69" s="974"/>
      <c r="BX69" s="974"/>
      <c r="BY69" s="974"/>
      <c r="BZ69" s="974"/>
      <c r="CA69" s="974"/>
      <c r="CB69" s="974"/>
      <c r="CC69" s="974"/>
      <c r="CD69" s="974"/>
      <c r="CE69" s="974"/>
      <c r="CF69" s="974"/>
      <c r="CG69" s="974"/>
      <c r="CH69" s="974"/>
      <c r="CI69" s="974"/>
      <c r="CJ69" s="974"/>
      <c r="CK69" s="974"/>
      <c r="CL69" s="974"/>
      <c r="CM69" s="974"/>
      <c r="CN69" s="974"/>
      <c r="CO69" s="974"/>
      <c r="CP69" s="974"/>
      <c r="CQ69" s="974"/>
    </row>
    <row r="70" spans="1:95">
      <c r="K70" s="167"/>
      <c r="L70" s="167"/>
      <c r="M70" s="167"/>
      <c r="N70" s="167"/>
      <c r="T70" s="172"/>
      <c r="U70" s="2">
        <v>135</v>
      </c>
      <c r="V70" s="611">
        <v>-0.18344907407407607</v>
      </c>
      <c r="W70" s="176">
        <v>0.48105158730159392</v>
      </c>
      <c r="X70" s="176">
        <v>9.3449074074067037E-2</v>
      </c>
      <c r="Y70" s="176">
        <v>0.65052619047619287</v>
      </c>
      <c r="Z70" s="176">
        <v>8.4585258193387491E-4</v>
      </c>
      <c r="AA70" s="176">
        <v>-1.521224187111238E-2</v>
      </c>
      <c r="AB70" s="176">
        <v>0.47261821319295794</v>
      </c>
      <c r="AC70" s="612">
        <v>0.58810893247340068</v>
      </c>
      <c r="AD70" s="957"/>
      <c r="AF70" t="s">
        <v>1036</v>
      </c>
      <c r="AG70"/>
      <c r="AH70"/>
      <c r="AI70"/>
      <c r="AJ70" t="s">
        <v>1052</v>
      </c>
      <c r="AK70"/>
      <c r="AL70"/>
      <c r="AM70"/>
      <c r="AO70" s="486">
        <v>1.8</v>
      </c>
      <c r="AP70" s="671">
        <f t="shared" si="41"/>
        <v>0</v>
      </c>
      <c r="AQ70" s="964">
        <f t="shared" ref="AQ70:AQ81" ca="1" si="43">IF(AQ84&lt;AQ71,AQ71,AQ84)</f>
        <v>0.82062984034272324</v>
      </c>
      <c r="AR70" s="964">
        <f t="shared" ref="AR70:AR81" ca="1" si="44">IF(AR84&lt;AR71,AR71,AR84)</f>
        <v>0.85193732540776668</v>
      </c>
      <c r="AS70" s="964">
        <f t="shared" ref="AS70:AS81" ca="1" si="45">IF(AS84&lt;AS71,AS71,AS84)</f>
        <v>0.88070847254416829</v>
      </c>
      <c r="AT70" s="964">
        <f t="shared" ref="AT70:AT81" ca="1" si="46">IF(AT84&lt;AT71,AT71,AT84)</f>
        <v>0.92135979246637512</v>
      </c>
      <c r="AU70" s="964">
        <f t="shared" ref="AU70:AU81" ca="1" si="47">IF(AU84&lt;AU71,AU71,AU84)</f>
        <v>0.94795246536539235</v>
      </c>
      <c r="AV70" s="486">
        <v>1.8</v>
      </c>
      <c r="AW70" s="671">
        <f t="shared" si="42"/>
        <v>0</v>
      </c>
      <c r="AX70" s="964">
        <f t="shared" ref="AX70:AX81" ca="1" si="48">IF(AX84&lt;AX71,AX71,AX84)</f>
        <v>0.82062984034272324</v>
      </c>
      <c r="AY70" s="964">
        <f t="shared" ref="AY70:AY81" ca="1" si="49">IF(AY84&lt;AY71,AY71,AY84)</f>
        <v>0.85193732540776668</v>
      </c>
      <c r="AZ70" s="964">
        <f t="shared" ref="AZ70:AZ81" ca="1" si="50">IF(AZ84&lt;AZ71,AZ71,AZ84)</f>
        <v>0.88070847254416829</v>
      </c>
      <c r="BA70" s="964">
        <f t="shared" ref="BA70:BA81" ca="1" si="51">IF(BA84&lt;BA71,BA71,BA84)</f>
        <v>0.92135979246637512</v>
      </c>
      <c r="BB70" s="964">
        <f t="shared" ref="BB70:BB81" ca="1" si="52">IF(BB84&lt;BB71,BB71,BB84)</f>
        <v>0.94795246536539235</v>
      </c>
      <c r="BC70" s="63"/>
      <c r="BD70" s="12" t="s">
        <v>319</v>
      </c>
      <c r="BE70" s="486">
        <v>0.7</v>
      </c>
      <c r="BF70" s="13">
        <v>0.7</v>
      </c>
      <c r="BJ70" s="12" t="s">
        <v>319</v>
      </c>
      <c r="BK70" s="262">
        <v>0.6</v>
      </c>
      <c r="CO70" s="974"/>
      <c r="CP70" s="974"/>
      <c r="CQ70" s="974"/>
    </row>
    <row r="71" spans="1:95">
      <c r="K71" s="167"/>
      <c r="L71" s="167"/>
      <c r="M71" s="167"/>
      <c r="N71" s="167"/>
      <c r="T71" s="172" t="s">
        <v>167</v>
      </c>
      <c r="U71" s="2">
        <v>180</v>
      </c>
      <c r="V71" s="611">
        <v>-5.4976851851852915E-2</v>
      </c>
      <c r="W71" s="176">
        <v>6.2003968253971919E-2</v>
      </c>
      <c r="X71" s="176">
        <v>0.53890542328041946</v>
      </c>
      <c r="Y71" s="176">
        <v>0.49636904761904888</v>
      </c>
      <c r="Z71" s="176">
        <v>8.6536828089858807E-4</v>
      </c>
      <c r="AA71" s="176">
        <v>-1.5601949716151567E-2</v>
      </c>
      <c r="AB71" s="176">
        <v>0.47899011279947673</v>
      </c>
      <c r="AC71" s="612">
        <v>0.59126596395202979</v>
      </c>
      <c r="AD71" s="957"/>
      <c r="AE71" s="720">
        <f>IF(Cntrl6&lt;2,1,7-Cntrl6)</f>
        <v>1</v>
      </c>
      <c r="AF71" s="2" t="s">
        <v>1037</v>
      </c>
      <c r="AG71" s="2" t="s">
        <v>1042</v>
      </c>
      <c r="AH71" s="2" t="s">
        <v>276</v>
      </c>
      <c r="AI71" s="2" t="s">
        <v>163</v>
      </c>
      <c r="AJ71" s="2" t="s">
        <v>1037</v>
      </c>
      <c r="AK71" s="2" t="s">
        <v>1042</v>
      </c>
      <c r="AL71" s="2" t="s">
        <v>276</v>
      </c>
      <c r="AM71" s="2" t="s">
        <v>163</v>
      </c>
      <c r="AO71" s="486">
        <v>1.7</v>
      </c>
      <c r="AP71" s="671">
        <f t="shared" si="41"/>
        <v>0</v>
      </c>
      <c r="AQ71" s="964">
        <f t="shared" ca="1" si="43"/>
        <v>0.79026860748360828</v>
      </c>
      <c r="AR71" s="964">
        <f t="shared" ca="1" si="44"/>
        <v>0.82070502707920956</v>
      </c>
      <c r="AS71" s="964">
        <f t="shared" ca="1" si="45"/>
        <v>0.84868362592727564</v>
      </c>
      <c r="AT71" s="964">
        <f t="shared" ca="1" si="46"/>
        <v>0.88820581658305842</v>
      </c>
      <c r="AU71" s="964">
        <f t="shared" ca="1" si="47"/>
        <v>0.91405648139897377</v>
      </c>
      <c r="AV71" s="486">
        <v>1.7</v>
      </c>
      <c r="AW71" s="671">
        <f t="shared" si="42"/>
        <v>0</v>
      </c>
      <c r="AX71" s="964">
        <f t="shared" ca="1" si="48"/>
        <v>0.79026860748360828</v>
      </c>
      <c r="AY71" s="964">
        <f t="shared" ca="1" si="49"/>
        <v>0.82070502707920956</v>
      </c>
      <c r="AZ71" s="964">
        <f t="shared" ca="1" si="50"/>
        <v>0.84868362592727564</v>
      </c>
      <c r="BA71" s="964">
        <f t="shared" ca="1" si="51"/>
        <v>0.88820581658305842</v>
      </c>
      <c r="BB71" s="964">
        <f t="shared" ca="1" si="52"/>
        <v>0.91405648139897377</v>
      </c>
      <c r="BC71" s="63"/>
      <c r="BD71" s="12" t="s">
        <v>321</v>
      </c>
      <c r="BE71" s="486">
        <v>0.6</v>
      </c>
      <c r="BF71" s="13">
        <v>0.6</v>
      </c>
      <c r="BJ71" s="12" t="s">
        <v>321</v>
      </c>
      <c r="BK71" s="262">
        <v>0.5</v>
      </c>
    </row>
    <row r="72" spans="1:95">
      <c r="K72" s="167"/>
      <c r="L72" s="167"/>
      <c r="M72" s="167"/>
      <c r="N72" s="167"/>
      <c r="T72" s="172"/>
      <c r="U72" s="2">
        <v>250</v>
      </c>
      <c r="V72" s="611">
        <v>0.10763888888888928</v>
      </c>
      <c r="W72" s="176">
        <v>-0.41190476190476344</v>
      </c>
      <c r="X72" s="176">
        <v>0.97128968253968451</v>
      </c>
      <c r="Y72" s="176">
        <v>0.37209999999999932</v>
      </c>
      <c r="Z72" s="176">
        <v>8.9462113003958832E-4</v>
      </c>
      <c r="AA72" s="176">
        <v>-1.617308928197398E-2</v>
      </c>
      <c r="AB72" s="176">
        <v>0.48859118873234264</v>
      </c>
      <c r="AC72" s="612">
        <v>0.59768669502965621</v>
      </c>
      <c r="AD72" s="957"/>
      <c r="AE72" s="602">
        <v>90</v>
      </c>
      <c r="AF72" s="699">
        <f t="shared" ref="AF72:AM76" ca="1" si="53">OFFSET($V$4,($AG$10-1)*5+ROW()-ROW($AF$72),COLUMN()-COLUMN($AF$72))</f>
        <v>-0.22112268518518777</v>
      </c>
      <c r="AG72" s="700">
        <f t="shared" ca="1" si="53"/>
        <v>0.61762896825397673</v>
      </c>
      <c r="AH72" s="700">
        <f t="shared" ca="1" si="53"/>
        <v>-0.20302017195768082</v>
      </c>
      <c r="AI72" s="701">
        <f t="shared" ca="1" si="53"/>
        <v>0.40801261904762176</v>
      </c>
      <c r="AJ72" s="699">
        <f t="shared" ca="1" si="53"/>
        <v>2.7058402250245832E-4</v>
      </c>
      <c r="AK72" s="700">
        <f t="shared" ca="1" si="53"/>
        <v>-4.499741060246888E-3</v>
      </c>
      <c r="AL72" s="700">
        <f t="shared" ca="1" si="53"/>
        <v>0.3168747551352139</v>
      </c>
      <c r="AM72" s="701">
        <f t="shared" ca="1" si="53"/>
        <v>0.26325639611530366</v>
      </c>
      <c r="AO72" s="486">
        <v>1.6</v>
      </c>
      <c r="AP72" s="671">
        <f t="shared" si="41"/>
        <v>0</v>
      </c>
      <c r="AQ72" s="964">
        <f t="shared" ca="1" si="43"/>
        <v>0.75984497937358397</v>
      </c>
      <c r="AR72" s="964">
        <f t="shared" ca="1" si="44"/>
        <v>0.78940711539944397</v>
      </c>
      <c r="AS72" s="964">
        <f t="shared" ca="1" si="45"/>
        <v>0.81659066590108964</v>
      </c>
      <c r="AT72" s="964">
        <f t="shared" ca="1" si="46"/>
        <v>0.85497955495628919</v>
      </c>
      <c r="AU72" s="964">
        <f t="shared" ca="1" si="47"/>
        <v>0.88008524714525982</v>
      </c>
      <c r="AV72" s="486">
        <v>1.6</v>
      </c>
      <c r="AW72" s="671">
        <f t="shared" si="42"/>
        <v>0</v>
      </c>
      <c r="AX72" s="964">
        <f t="shared" ca="1" si="48"/>
        <v>0.75984497937358397</v>
      </c>
      <c r="AY72" s="964">
        <f t="shared" ca="1" si="49"/>
        <v>0.78940711539944397</v>
      </c>
      <c r="AZ72" s="964">
        <f t="shared" ca="1" si="50"/>
        <v>0.81659066590108964</v>
      </c>
      <c r="BA72" s="964">
        <f t="shared" ca="1" si="51"/>
        <v>0.85497955495628919</v>
      </c>
      <c r="BB72" s="964">
        <f t="shared" ca="1" si="52"/>
        <v>0.88008524714525982</v>
      </c>
    </row>
    <row r="73" spans="1:95">
      <c r="K73" s="167"/>
      <c r="L73" s="167"/>
      <c r="M73" s="167"/>
      <c r="N73" s="167"/>
      <c r="T73" s="172"/>
      <c r="U73" s="2">
        <v>300</v>
      </c>
      <c r="V73" s="613">
        <v>0.19328703703703798</v>
      </c>
      <c r="W73" s="614">
        <v>-0.66150793650794015</v>
      </c>
      <c r="X73" s="614">
        <v>1.2027843915343961</v>
      </c>
      <c r="Y73" s="614">
        <v>0.30409047619047441</v>
      </c>
      <c r="Z73" s="614">
        <v>9.1473419378560166E-4</v>
      </c>
      <c r="AA73" s="614">
        <v>-1.6557450698443298E-2</v>
      </c>
      <c r="AB73" s="614">
        <v>0.4952033528088291</v>
      </c>
      <c r="AC73" s="615">
        <v>0.60303353516061442</v>
      </c>
      <c r="AD73" s="957"/>
      <c r="AE73" s="988">
        <v>135</v>
      </c>
      <c r="AF73" s="702">
        <f t="shared" ca="1" si="53"/>
        <v>-0.18969907407407605</v>
      </c>
      <c r="AG73" s="703">
        <f t="shared" ca="1" si="53"/>
        <v>0.50819444444445117</v>
      </c>
      <c r="AH73" s="703">
        <f t="shared" ca="1" si="53"/>
        <v>-6.4515211640218867E-2</v>
      </c>
      <c r="AI73" s="704">
        <f t="shared" ca="1" si="53"/>
        <v>0.36848904761904999</v>
      </c>
      <c r="AJ73" s="702">
        <f t="shared" ca="1" si="53"/>
        <v>2.8613814156796332E-4</v>
      </c>
      <c r="AK73" s="703">
        <f t="shared" ca="1" si="53"/>
        <v>-4.7399720824272329E-3</v>
      </c>
      <c r="AL73" s="703">
        <f t="shared" ca="1" si="53"/>
        <v>0.32628327605305601</v>
      </c>
      <c r="AM73" s="704">
        <f t="shared" ca="1" si="53"/>
        <v>0.27831618041770562</v>
      </c>
      <c r="AO73" s="486">
        <v>1.5</v>
      </c>
      <c r="AP73" s="671">
        <f t="shared" si="41"/>
        <v>0</v>
      </c>
      <c r="AQ73" s="964">
        <f t="shared" ca="1" si="43"/>
        <v>0.74685847718253939</v>
      </c>
      <c r="AR73" s="964">
        <f t="shared" ca="1" si="44"/>
        <v>0.77491935515873023</v>
      </c>
      <c r="AS73" s="964">
        <f t="shared" ca="1" si="45"/>
        <v>0.79808706845238131</v>
      </c>
      <c r="AT73" s="964">
        <f t="shared" ca="1" si="46"/>
        <v>0.82790451884920646</v>
      </c>
      <c r="AU73" s="964">
        <f t="shared" ca="1" si="47"/>
        <v>0.85618301587301615</v>
      </c>
      <c r="AV73" s="486">
        <v>1.5</v>
      </c>
      <c r="AW73" s="671">
        <f t="shared" si="42"/>
        <v>0</v>
      </c>
      <c r="AX73" s="964">
        <f t="shared" ca="1" si="48"/>
        <v>0.74685847718253939</v>
      </c>
      <c r="AY73" s="964">
        <f t="shared" ca="1" si="49"/>
        <v>0.77491935515873023</v>
      </c>
      <c r="AZ73" s="964">
        <f t="shared" ca="1" si="50"/>
        <v>0.79808706845238131</v>
      </c>
      <c r="BA73" s="964">
        <f t="shared" ca="1" si="51"/>
        <v>0.82790451884920646</v>
      </c>
      <c r="BB73" s="964">
        <f t="shared" ca="1" si="52"/>
        <v>0.85618301587301615</v>
      </c>
    </row>
    <row r="74" spans="1:95">
      <c r="K74" s="167"/>
      <c r="L74" s="167"/>
      <c r="M74" s="167"/>
      <c r="N74" s="167"/>
      <c r="U74" s="2">
        <v>90</v>
      </c>
      <c r="V74" s="606">
        <v>3.616837223354845E-3</v>
      </c>
      <c r="W74" s="607">
        <v>-7.361845221821614E-2</v>
      </c>
      <c r="X74" s="607">
        <v>0.84053885037667841</v>
      </c>
      <c r="Y74" s="608">
        <v>0.49180694363128508</v>
      </c>
      <c r="Z74" s="606">
        <v>3.616837223354845E-3</v>
      </c>
      <c r="AA74" s="607">
        <v>-7.361845221821614E-2</v>
      </c>
      <c r="AB74" s="607">
        <v>0.84053885037667841</v>
      </c>
      <c r="AC74" s="608">
        <v>0.49180694363128508</v>
      </c>
      <c r="AD74" s="957"/>
      <c r="AE74" s="988">
        <v>180</v>
      </c>
      <c r="AF74" s="702">
        <f t="shared" ca="1" si="53"/>
        <v>-0.14913194444444691</v>
      </c>
      <c r="AG74" s="703">
        <f t="shared" ca="1" si="53"/>
        <v>0.38997023809524639</v>
      </c>
      <c r="AH74" s="703">
        <f t="shared" ca="1" si="53"/>
        <v>4.5131944444435836E-2</v>
      </c>
      <c r="AI74" s="704">
        <f t="shared" ca="1" si="53"/>
        <v>0.35627642857143138</v>
      </c>
      <c r="AJ74" s="702">
        <f t="shared" ca="1" si="53"/>
        <v>2.9829249820559502E-4</v>
      </c>
      <c r="AK74" s="703">
        <f t="shared" ca="1" si="53"/>
        <v>-4.9269622055224298E-3</v>
      </c>
      <c r="AL74" s="703">
        <f t="shared" ca="1" si="53"/>
        <v>0.33475152582974499</v>
      </c>
      <c r="AM74" s="704">
        <f t="shared" ca="1" si="53"/>
        <v>0.29237944174698494</v>
      </c>
      <c r="AO74" s="486">
        <v>1.4</v>
      </c>
      <c r="AP74" s="671">
        <f t="shared" si="41"/>
        <v>0</v>
      </c>
      <c r="AQ74" s="964">
        <f t="shared" ca="1" si="43"/>
        <v>0.72757650793650774</v>
      </c>
      <c r="AR74" s="964">
        <f t="shared" ca="1" si="44"/>
        <v>0.75369460317460324</v>
      </c>
      <c r="AS74" s="964">
        <f t="shared" ca="1" si="45"/>
        <v>0.77458476190476211</v>
      </c>
      <c r="AT74" s="964">
        <f t="shared" ca="1" si="46"/>
        <v>0.79911555555555558</v>
      </c>
      <c r="AU74" s="964">
        <f t="shared" ca="1" si="47"/>
        <v>0.82879174603174621</v>
      </c>
      <c r="AV74" s="486">
        <v>1.4</v>
      </c>
      <c r="AW74" s="671">
        <f t="shared" si="42"/>
        <v>0</v>
      </c>
      <c r="AX74" s="964">
        <f t="shared" ca="1" si="48"/>
        <v>0.72757650793650774</v>
      </c>
      <c r="AY74" s="964">
        <f t="shared" ca="1" si="49"/>
        <v>0.75369460317460324</v>
      </c>
      <c r="AZ74" s="964">
        <f t="shared" ca="1" si="50"/>
        <v>0.77458476190476211</v>
      </c>
      <c r="BA74" s="964">
        <f t="shared" ca="1" si="51"/>
        <v>0.79911555555555558</v>
      </c>
      <c r="BB74" s="964">
        <f t="shared" ca="1" si="52"/>
        <v>0.82879174603174621</v>
      </c>
    </row>
    <row r="75" spans="1:95">
      <c r="K75" s="167"/>
      <c r="L75" s="167"/>
      <c r="M75" s="167"/>
      <c r="N75" s="167"/>
      <c r="U75" s="2">
        <v>135</v>
      </c>
      <c r="V75" s="611">
        <v>3.6620073692279283E-3</v>
      </c>
      <c r="W75" s="176">
        <v>-7.4610874488970011E-2</v>
      </c>
      <c r="X75" s="176">
        <v>0.85046219781058041</v>
      </c>
      <c r="Y75" s="612">
        <v>0.48186322373933854</v>
      </c>
      <c r="Z75" s="611">
        <v>3.6620073692279283E-3</v>
      </c>
      <c r="AA75" s="176">
        <v>-7.4610874488970011E-2</v>
      </c>
      <c r="AB75" s="176">
        <v>0.85046219781058041</v>
      </c>
      <c r="AC75" s="612">
        <v>0.48186322373933854</v>
      </c>
      <c r="AD75" s="957"/>
      <c r="AE75" s="988">
        <v>250</v>
      </c>
      <c r="AF75" s="702">
        <f t="shared" ca="1" si="53"/>
        <v>-0.12494212962963179</v>
      </c>
      <c r="AG75" s="703">
        <f t="shared" ca="1" si="53"/>
        <v>0.35518849206349912</v>
      </c>
      <c r="AH75" s="703">
        <f t="shared" ca="1" si="53"/>
        <v>4.6227843915336714E-2</v>
      </c>
      <c r="AI75" s="704">
        <f t="shared" ca="1" si="53"/>
        <v>0.38106833333333562</v>
      </c>
      <c r="AJ75" s="702">
        <f t="shared" ca="1" si="53"/>
        <v>3.1783056057922216E-4</v>
      </c>
      <c r="AK75" s="703">
        <f t="shared" ca="1" si="53"/>
        <v>-5.2352230315837961E-3</v>
      </c>
      <c r="AL75" s="703">
        <f t="shared" ca="1" si="53"/>
        <v>0.34694217659198739</v>
      </c>
      <c r="AM75" s="704">
        <f t="shared" ca="1" si="53"/>
        <v>0.31197240939383131</v>
      </c>
      <c r="AO75" s="486">
        <v>1.3</v>
      </c>
      <c r="AP75" s="671">
        <f t="shared" si="41"/>
        <v>0</v>
      </c>
      <c r="AQ75" s="964">
        <f t="shared" ca="1" si="43"/>
        <v>0.70207281249999987</v>
      </c>
      <c r="AR75" s="964">
        <f t="shared" ca="1" si="44"/>
        <v>0.72669901785714286</v>
      </c>
      <c r="AS75" s="964">
        <f t="shared" ca="1" si="45"/>
        <v>0.74635477678571449</v>
      </c>
      <c r="AT75" s="964">
        <f t="shared" ca="1" si="46"/>
        <v>0.76693522321428576</v>
      </c>
      <c r="AU75" s="964">
        <f t="shared" ca="1" si="47"/>
        <v>0.79660285714285728</v>
      </c>
      <c r="AV75" s="486">
        <v>1.3</v>
      </c>
      <c r="AW75" s="671">
        <f t="shared" si="42"/>
        <v>0</v>
      </c>
      <c r="AX75" s="964">
        <f t="shared" ca="1" si="48"/>
        <v>0.70207281249999987</v>
      </c>
      <c r="AY75" s="964">
        <f t="shared" ca="1" si="49"/>
        <v>0.72669901785714286</v>
      </c>
      <c r="AZ75" s="964">
        <f t="shared" ca="1" si="50"/>
        <v>0.74635477678571449</v>
      </c>
      <c r="BA75" s="964">
        <f t="shared" ca="1" si="51"/>
        <v>0.76693522321428576</v>
      </c>
      <c r="BB75" s="964">
        <f t="shared" ca="1" si="52"/>
        <v>0.79660285714285728</v>
      </c>
    </row>
    <row r="76" spans="1:95">
      <c r="T76" s="172" t="s">
        <v>2280</v>
      </c>
      <c r="U76" s="2">
        <v>180</v>
      </c>
      <c r="V76" s="611">
        <v>3.7243752165381414E-3</v>
      </c>
      <c r="W76" s="176">
        <v>-7.5910762698750314E-2</v>
      </c>
      <c r="X76" s="176">
        <v>0.86238758377221547</v>
      </c>
      <c r="Y76" s="612">
        <v>0.48202125300848275</v>
      </c>
      <c r="Z76" s="611">
        <v>3.7243752165381414E-3</v>
      </c>
      <c r="AA76" s="176">
        <v>-7.5910762698750314E-2</v>
      </c>
      <c r="AB76" s="176">
        <v>0.86238758377221547</v>
      </c>
      <c r="AC76" s="612">
        <v>0.48202125300848275</v>
      </c>
      <c r="AD76" s="957"/>
      <c r="AE76" s="988">
        <v>300</v>
      </c>
      <c r="AF76" s="705">
        <f t="shared" ca="1" si="53"/>
        <v>-0.16574074074074199</v>
      </c>
      <c r="AG76" s="706">
        <f t="shared" ca="1" si="53"/>
        <v>0.4562301587301627</v>
      </c>
      <c r="AH76" s="706">
        <f t="shared" ca="1" si="53"/>
        <v>-3.3306878306919871E-3</v>
      </c>
      <c r="AI76" s="707">
        <f t="shared" ca="1" si="53"/>
        <v>0.39403619047619209</v>
      </c>
      <c r="AJ76" s="705">
        <f t="shared" ca="1" si="53"/>
        <v>3.3155506875806037E-4</v>
      </c>
      <c r="AK76" s="706">
        <f t="shared" ca="1" si="53"/>
        <v>-5.4534452154310293E-3</v>
      </c>
      <c r="AL76" s="706">
        <f t="shared" ca="1" si="53"/>
        <v>0.3549999068363075</v>
      </c>
      <c r="AM76" s="707">
        <f t="shared" ca="1" si="53"/>
        <v>0.32468816639703829</v>
      </c>
      <c r="AO76" s="486">
        <v>1.2</v>
      </c>
      <c r="AP76" s="671">
        <f t="shared" si="41"/>
        <v>0</v>
      </c>
      <c r="AQ76" s="964">
        <f t="shared" ca="1" si="43"/>
        <v>0.67167412698412676</v>
      </c>
      <c r="AR76" s="964">
        <f t="shared" ca="1" si="44"/>
        <v>0.69507079365079361</v>
      </c>
      <c r="AS76" s="964">
        <f t="shared" ca="1" si="45"/>
        <v>0.71429190476190485</v>
      </c>
      <c r="AT76" s="964">
        <f t="shared" ca="1" si="46"/>
        <v>0.7321131746031746</v>
      </c>
      <c r="AU76" s="964">
        <f t="shared" ca="1" si="47"/>
        <v>0.76061079365079387</v>
      </c>
      <c r="AV76" s="486">
        <v>1.2</v>
      </c>
      <c r="AW76" s="671">
        <f t="shared" si="42"/>
        <v>0</v>
      </c>
      <c r="AX76" s="964">
        <f t="shared" ca="1" si="48"/>
        <v>0.67167412698412676</v>
      </c>
      <c r="AY76" s="964">
        <f t="shared" ca="1" si="49"/>
        <v>0.69507079365079361</v>
      </c>
      <c r="AZ76" s="964">
        <f t="shared" ca="1" si="50"/>
        <v>0.71429190476190485</v>
      </c>
      <c r="BA76" s="964">
        <f t="shared" ca="1" si="51"/>
        <v>0.7321131746031746</v>
      </c>
      <c r="BB76" s="964">
        <f t="shared" ca="1" si="52"/>
        <v>0.76061079365079387</v>
      </c>
    </row>
    <row r="77" spans="1:95">
      <c r="T77" s="953"/>
      <c r="U77" s="2">
        <v>250</v>
      </c>
      <c r="V77" s="611">
        <v>3.7761967638150718E-3</v>
      </c>
      <c r="W77" s="176">
        <v>-7.7035875597217696E-2</v>
      </c>
      <c r="X77" s="176">
        <v>0.87360155685246532</v>
      </c>
      <c r="Y77" s="612">
        <v>0.47785808355398218</v>
      </c>
      <c r="Z77" s="611">
        <v>3.7761967638150718E-3</v>
      </c>
      <c r="AA77" s="176">
        <v>-7.7035875597217696E-2</v>
      </c>
      <c r="AB77" s="176">
        <v>0.87360155685246532</v>
      </c>
      <c r="AC77" s="612">
        <v>0.47785808355398218</v>
      </c>
      <c r="AD77" s="957"/>
      <c r="AE77" s="721">
        <f>AE65</f>
        <v>90</v>
      </c>
      <c r="AF77" s="985" cm="1">
        <f t="array" aca="1" ref="AF77" ca="1">INDEX(AF72:AF76,$AE$71)</f>
        <v>-0.22112268518518777</v>
      </c>
      <c r="AG77" s="986" cm="1">
        <f t="array" aca="1" ref="AG77" ca="1">INDEX(AG72:AG76,$AE$71)</f>
        <v>0.61762896825397673</v>
      </c>
      <c r="AH77" s="986" cm="1">
        <f t="array" aca="1" ref="AH77" ca="1">INDEX(AH72:AH76,$AE$71)</f>
        <v>-0.20302017195768082</v>
      </c>
      <c r="AI77" s="987" cm="1">
        <f t="array" aca="1" ref="AI77" ca="1">INDEX(AI72:AI76,$AE$71)</f>
        <v>0.40801261904762176</v>
      </c>
      <c r="AJ77" s="985" cm="1">
        <f t="array" aca="1" ref="AJ77" ca="1">INDEX(AJ72:AJ76,$AE$71)</f>
        <v>2.7058402250245832E-4</v>
      </c>
      <c r="AK77" s="986" cm="1">
        <f t="array" aca="1" ref="AK77" ca="1">INDEX(AK72:AK76,$AE$71)</f>
        <v>-4.499741060246888E-3</v>
      </c>
      <c r="AL77" s="986" cm="1">
        <f t="array" aca="1" ref="AL77" ca="1">INDEX(AL72:AL76,$AE$71)</f>
        <v>0.3168747551352139</v>
      </c>
      <c r="AM77" s="987" cm="1">
        <f t="array" aca="1" ref="AM77" ca="1">INDEX(AM72:AM76,$AE$71)</f>
        <v>0.26325639611530366</v>
      </c>
      <c r="AO77" s="486">
        <v>1.1000000000000001</v>
      </c>
      <c r="AP77" s="671">
        <f t="shared" si="41"/>
        <v>0</v>
      </c>
      <c r="AQ77" s="964">
        <f t="shared" ca="1" si="43"/>
        <v>0.63770718749999977</v>
      </c>
      <c r="AR77" s="964">
        <f t="shared" ca="1" si="44"/>
        <v>0.65994812499999989</v>
      </c>
      <c r="AS77" s="964">
        <f t="shared" ca="1" si="45"/>
        <v>0.67929093750000014</v>
      </c>
      <c r="AT77" s="964">
        <f t="shared" ca="1" si="46"/>
        <v>0.69539906249999994</v>
      </c>
      <c r="AU77" s="964">
        <f t="shared" ca="1" si="47"/>
        <v>0.72181000000000028</v>
      </c>
      <c r="AV77" s="486">
        <v>1.1000000000000001</v>
      </c>
      <c r="AW77" s="671">
        <f t="shared" si="42"/>
        <v>0</v>
      </c>
      <c r="AX77" s="964">
        <f t="shared" ca="1" si="48"/>
        <v>0.63770718749999977</v>
      </c>
      <c r="AY77" s="964">
        <f t="shared" ca="1" si="49"/>
        <v>0.65994812499999989</v>
      </c>
      <c r="AZ77" s="964">
        <f t="shared" ca="1" si="50"/>
        <v>0.67929093750000014</v>
      </c>
      <c r="BA77" s="964">
        <f t="shared" ca="1" si="51"/>
        <v>0.69539906249999994</v>
      </c>
      <c r="BB77" s="964">
        <f t="shared" ca="1" si="52"/>
        <v>0.72181000000000028</v>
      </c>
    </row>
    <row r="78" spans="1:95">
      <c r="T78" s="953"/>
      <c r="U78" s="2">
        <v>300</v>
      </c>
      <c r="V78" s="613">
        <v>3.820531757394976E-3</v>
      </c>
      <c r="W78" s="614">
        <v>-7.7981820394207299E-2</v>
      </c>
      <c r="X78" s="614">
        <v>0.88290614864726613</v>
      </c>
      <c r="Y78" s="615">
        <v>0.47737245891086055</v>
      </c>
      <c r="Z78" s="613">
        <v>3.820531757394976E-3</v>
      </c>
      <c r="AA78" s="614">
        <v>-7.7981820394207299E-2</v>
      </c>
      <c r="AB78" s="614">
        <v>0.88290614864726613</v>
      </c>
      <c r="AC78" s="615">
        <v>0.47737245891086055</v>
      </c>
      <c r="AD78" s="957"/>
      <c r="AF78" s="10">
        <f ca="1">IF(A_P&lt;1.6,$AF$77*A_P^3+$AG$77*A_P^2+$AH$77*A_P+$AI$77,$AJ$77*A_P^3+$AK$77*A_P^2+$AL$77*A_P+$AM$77)</f>
        <v>1.0015778534598689</v>
      </c>
      <c r="AO78" s="486">
        <v>1</v>
      </c>
      <c r="AP78" s="671">
        <f t="shared" si="41"/>
        <v>0</v>
      </c>
      <c r="AQ78" s="964">
        <f t="shared" ca="1" si="43"/>
        <v>0.6014987301587299</v>
      </c>
      <c r="AR78" s="964">
        <f t="shared" ca="1" si="44"/>
        <v>0.62246920634920622</v>
      </c>
      <c r="AS78" s="964">
        <f t="shared" ca="1" si="45"/>
        <v>0.64224666666666663</v>
      </c>
      <c r="AT78" s="964">
        <f t="shared" ca="1" si="46"/>
        <v>0.65754253968253962</v>
      </c>
      <c r="AU78" s="964">
        <f t="shared" ca="1" si="47"/>
        <v>0.68119492063492082</v>
      </c>
      <c r="AV78" s="486">
        <v>1</v>
      </c>
      <c r="AW78" s="671">
        <f t="shared" si="42"/>
        <v>0</v>
      </c>
      <c r="AX78" s="964">
        <f t="shared" ca="1" si="48"/>
        <v>0.6014987301587299</v>
      </c>
      <c r="AY78" s="964">
        <f t="shared" ca="1" si="49"/>
        <v>0.62246920634920622</v>
      </c>
      <c r="AZ78" s="964">
        <f t="shared" ca="1" si="50"/>
        <v>0.64224666666666663</v>
      </c>
      <c r="BA78" s="964">
        <f t="shared" ca="1" si="51"/>
        <v>0.65754253968253962</v>
      </c>
      <c r="BB78" s="964">
        <f t="shared" ca="1" si="52"/>
        <v>0.68119492063492082</v>
      </c>
    </row>
    <row r="79" spans="1:95">
      <c r="T79" s="953"/>
      <c r="U79" s="2">
        <v>90</v>
      </c>
      <c r="V79" s="606">
        <v>4.669511971751244E-3</v>
      </c>
      <c r="W79" s="607">
        <v>-9.731571867222856E-2</v>
      </c>
      <c r="X79" s="607">
        <v>1.0374227839074706</v>
      </c>
      <c r="Y79" s="608">
        <v>0.46138389439680261</v>
      </c>
      <c r="Z79" s="606">
        <v>4.669511971751244E-3</v>
      </c>
      <c r="AA79" s="607">
        <v>-9.731571867222856E-2</v>
      </c>
      <c r="AB79" s="607">
        <v>1.0374227839074706</v>
      </c>
      <c r="AC79" s="608">
        <v>0.46138389439680261</v>
      </c>
      <c r="AD79" s="957"/>
      <c r="AL79" s="9"/>
      <c r="AO79" s="486">
        <v>0.9</v>
      </c>
      <c r="AP79" s="671">
        <f t="shared" si="41"/>
        <v>0</v>
      </c>
      <c r="AQ79" s="964">
        <f t="shared" ca="1" si="43"/>
        <v>0.56437549107142837</v>
      </c>
      <c r="AR79" s="964">
        <f t="shared" ca="1" si="44"/>
        <v>0.58377223214285712</v>
      </c>
      <c r="AS79" s="964">
        <f t="shared" ca="1" si="45"/>
        <v>0.6040538839285714</v>
      </c>
      <c r="AT79" s="964">
        <f t="shared" ca="1" si="46"/>
        <v>0.61929325892857134</v>
      </c>
      <c r="AU79" s="964">
        <f t="shared" ca="1" si="47"/>
        <v>0.63976000000000022</v>
      </c>
      <c r="AV79" s="486">
        <v>0.9</v>
      </c>
      <c r="AW79" s="671">
        <f t="shared" si="42"/>
        <v>0</v>
      </c>
      <c r="AX79" s="964">
        <f t="shared" ca="1" si="48"/>
        <v>0.56437549107142837</v>
      </c>
      <c r="AY79" s="964">
        <f t="shared" ca="1" si="49"/>
        <v>0.58377223214285712</v>
      </c>
      <c r="AZ79" s="964">
        <f t="shared" ca="1" si="50"/>
        <v>0.6040538839285714</v>
      </c>
      <c r="BA79" s="964">
        <f t="shared" ca="1" si="51"/>
        <v>0.61929325892857134</v>
      </c>
      <c r="BB79" s="964">
        <f t="shared" ca="1" si="52"/>
        <v>0.63976000000000022</v>
      </c>
    </row>
    <row r="80" spans="1:95">
      <c r="T80" s="953"/>
      <c r="U80" s="2">
        <v>135</v>
      </c>
      <c r="V80" s="611">
        <v>4.7689778620123606E-3</v>
      </c>
      <c r="W80" s="176">
        <v>-9.9319379667487287E-2</v>
      </c>
      <c r="X80" s="176">
        <v>1.0535988560661929</v>
      </c>
      <c r="Y80" s="612">
        <v>0.46946971573839114</v>
      </c>
      <c r="Z80" s="611">
        <v>4.7689778620123606E-3</v>
      </c>
      <c r="AA80" s="176">
        <v>-9.9319379667487287E-2</v>
      </c>
      <c r="AB80" s="176">
        <v>1.0535988560661929</v>
      </c>
      <c r="AC80" s="612">
        <v>0.46946971573839114</v>
      </c>
      <c r="AD80" s="957"/>
      <c r="AG80" s="953"/>
      <c r="AH80" s="19"/>
      <c r="AJ80" s="172"/>
      <c r="AK80" s="2"/>
      <c r="AL80" s="2"/>
      <c r="AO80" s="486">
        <v>0.8</v>
      </c>
      <c r="AP80" s="671">
        <f t="shared" si="41"/>
        <v>0</v>
      </c>
      <c r="AQ80" s="964">
        <f t="shared" ca="1" si="43"/>
        <v>0.52766420634920608</v>
      </c>
      <c r="AR80" s="964">
        <f t="shared" ca="1" si="44"/>
        <v>0.54499539682539677</v>
      </c>
      <c r="AS80" s="964">
        <f t="shared" ca="1" si="45"/>
        <v>0.56560738095238094</v>
      </c>
      <c r="AT80" s="964">
        <f t="shared" ca="1" si="46"/>
        <v>0.58140087301587295</v>
      </c>
      <c r="AU80" s="964">
        <f t="shared" ca="1" si="47"/>
        <v>0.59849968253968278</v>
      </c>
      <c r="AV80" s="486">
        <v>0.8</v>
      </c>
      <c r="AW80" s="671">
        <f t="shared" si="42"/>
        <v>0</v>
      </c>
      <c r="AX80" s="964">
        <f t="shared" ca="1" si="48"/>
        <v>0.52766420634920608</v>
      </c>
      <c r="AY80" s="964">
        <f t="shared" ca="1" si="49"/>
        <v>0.54499539682539677</v>
      </c>
      <c r="AZ80" s="964">
        <f t="shared" ca="1" si="50"/>
        <v>0.56560738095238094</v>
      </c>
      <c r="BA80" s="964">
        <f t="shared" ca="1" si="51"/>
        <v>0.58140087301587295</v>
      </c>
      <c r="BB80" s="964">
        <f t="shared" ca="1" si="52"/>
        <v>0.59849968253968278</v>
      </c>
    </row>
    <row r="81" spans="20:64">
      <c r="T81" s="953" t="s">
        <v>2282</v>
      </c>
      <c r="U81" s="2">
        <v>180</v>
      </c>
      <c r="V81" s="611">
        <v>4.8375079595767813E-3</v>
      </c>
      <c r="W81" s="176">
        <v>-0.10072149084107072</v>
      </c>
      <c r="X81" s="176">
        <v>1.0652950134535735</v>
      </c>
      <c r="Y81" s="612">
        <v>0.47470034953750351</v>
      </c>
      <c r="Z81" s="611">
        <v>4.8375079595767813E-3</v>
      </c>
      <c r="AA81" s="176">
        <v>-0.10072149084107072</v>
      </c>
      <c r="AB81" s="176">
        <v>1.0652950134535735</v>
      </c>
      <c r="AC81" s="612">
        <v>0.47470034953750351</v>
      </c>
      <c r="AD81" s="957"/>
      <c r="AG81" s="2"/>
      <c r="AH81" s="2"/>
      <c r="AI81" s="2"/>
      <c r="AJ81" s="2"/>
      <c r="AK81" s="2"/>
      <c r="AO81" s="486">
        <v>0.7</v>
      </c>
      <c r="AP81" s="671">
        <f t="shared" si="41"/>
        <v>0</v>
      </c>
      <c r="AQ81" s="964">
        <f t="shared" ca="1" si="43"/>
        <v>0.49269161210317436</v>
      </c>
      <c r="AR81" s="964">
        <f t="shared" ca="1" si="44"/>
        <v>0.50727689484126981</v>
      </c>
      <c r="AS81" s="964">
        <f t="shared" ca="1" si="45"/>
        <v>0.52780194940476188</v>
      </c>
      <c r="AT81" s="964">
        <f t="shared" ca="1" si="46"/>
        <v>0.54461503472222217</v>
      </c>
      <c r="AU81" s="964">
        <f t="shared" ca="1" si="47"/>
        <v>0.5584084126984129</v>
      </c>
      <c r="AV81" s="486">
        <v>0.7</v>
      </c>
      <c r="AW81" s="671">
        <f t="shared" si="42"/>
        <v>0</v>
      </c>
      <c r="AX81" s="964">
        <f t="shared" ca="1" si="48"/>
        <v>0.49269161210317436</v>
      </c>
      <c r="AY81" s="964">
        <f t="shared" ca="1" si="49"/>
        <v>0.50727689484126981</v>
      </c>
      <c r="AZ81" s="964">
        <f t="shared" ca="1" si="50"/>
        <v>0.52780194940476188</v>
      </c>
      <c r="BA81" s="964">
        <f t="shared" ca="1" si="51"/>
        <v>0.54461503472222217</v>
      </c>
      <c r="BB81" s="964">
        <f t="shared" ca="1" si="52"/>
        <v>0.5584084126984129</v>
      </c>
    </row>
    <row r="82" spans="20:64">
      <c r="T82" s="953"/>
      <c r="U82" s="2">
        <v>250</v>
      </c>
      <c r="V82" s="611">
        <v>4.966332785352922E-3</v>
      </c>
      <c r="W82" s="176">
        <v>-0.10328817694779374</v>
      </c>
      <c r="X82" s="176">
        <v>1.0854799353994318</v>
      </c>
      <c r="Y82" s="612">
        <v>0.488751786184351</v>
      </c>
      <c r="Z82" s="611">
        <v>4.966332785352922E-3</v>
      </c>
      <c r="AA82" s="176">
        <v>-0.10328817694779374</v>
      </c>
      <c r="AB82" s="176">
        <v>1.0854799353994318</v>
      </c>
      <c r="AC82" s="612">
        <v>0.488751786184351</v>
      </c>
      <c r="AD82" s="957"/>
      <c r="AG82" s="703"/>
      <c r="AH82" s="703"/>
      <c r="AI82" s="703"/>
      <c r="AJ82" s="703"/>
      <c r="AK82" s="703"/>
      <c r="AL82" s="2"/>
      <c r="AO82" s="486">
        <v>0.6</v>
      </c>
      <c r="AP82" s="671">
        <f t="shared" si="41"/>
        <v>0</v>
      </c>
      <c r="AQ82" s="161">
        <f t="shared" ref="AQ82:AQ96" ca="1" si="54">IF($AO82&lt;1.6,$AF$48*$AO82^3+$AG$48*$AO82^2+$AH$48*$AO82+$AI$48,$AJ$48*$AO82^3+$AK$48*$AO82^2+$AL$48*$AO82+$AM$48)+$AP82</f>
        <v>0.46078444444444433</v>
      </c>
      <c r="AR82" s="161">
        <f t="shared" ref="AR82:AR96" ca="1" si="55">IF($AO82&lt;1.6,$AF$49*$AO82^3+$AG$49*$AO82^2+$AH$49*$AO82+$AI$49,$AJ$49*$AO82^3+$AK$49*$AO82^2+$AL$49*$AO82+$AM$49)+$AP82</f>
        <v>0.47175492063492064</v>
      </c>
      <c r="AS82" s="161">
        <f t="shared" ref="AS82:AS96" ca="1" si="56">IF($AO82&lt;1.6,$AF$50*$AO82^3+$AG$50*$AO82^2+$AH$50*$AO82+$AI$50,$AJ$50*$AO82^3+$AK$50*$AO82^2+$AL$50*$AO82+$AM$50)+$AP82</f>
        <v>0.49153238095238105</v>
      </c>
      <c r="AT82" s="161">
        <f t="shared" ref="AT82:AT96" ca="1" si="57">IF($AO82&lt;1.6,$AF$51*$AO82^3+$AG$51*$AO82^2+$AH$51*$AO82+$AI$51,$AJ$51*$AO82^3+$AK$51*$AO82^2+$AL$51*$AO82+$AM$51)+$AP82</f>
        <v>0.50968539682539682</v>
      </c>
      <c r="AU82" s="161">
        <f t="shared" ref="AU82:AU96" ca="1" si="58">IF($AO82&lt;1.6,$AF$52*$AO82^3+$AG$52*$AO82^2+$AH$52*$AO82+$AI$52,$AJ$52*$AO82^3+$AK$52*$AO82^2+$AL$52*$AO82+$AM$52)+$AP82</f>
        <v>0.52048063492063523</v>
      </c>
      <c r="AV82" s="486">
        <v>0.6</v>
      </c>
      <c r="AW82" s="671">
        <f t="shared" si="42"/>
        <v>0</v>
      </c>
      <c r="AX82" s="161">
        <f t="shared" ca="1" si="33"/>
        <v>0.46078444444444433</v>
      </c>
      <c r="AY82" s="161">
        <f t="shared" ca="1" si="34"/>
        <v>0.47175492063492064</v>
      </c>
      <c r="AZ82" s="161">
        <f t="shared" ca="1" si="35"/>
        <v>0.49153238095238105</v>
      </c>
      <c r="BA82" s="161">
        <f t="shared" ca="1" si="36"/>
        <v>0.50968539682539682</v>
      </c>
      <c r="BB82" s="161">
        <f t="shared" ref="BB82" ca="1" si="59">IF($AO82&lt;1.6,$AF$64*$AO82^3+$AG$64*$AO82^2+$AH$64*$AO82+$AI$64,$AJ$64*$AO82^3+$AK$64*$AO82^2+$AL$64*$AO82+$AM$64)+$AW82</f>
        <v>0.52048063492063523</v>
      </c>
    </row>
    <row r="83" spans="20:64">
      <c r="U83" s="2">
        <v>300</v>
      </c>
      <c r="V83" s="613">
        <v>5.0699268679055692E-3</v>
      </c>
      <c r="W83" s="614">
        <v>-0.10534985045832992</v>
      </c>
      <c r="X83" s="614">
        <v>1.1016686234054487</v>
      </c>
      <c r="Y83" s="615">
        <v>0.50017920838321395</v>
      </c>
      <c r="Z83" s="613">
        <v>5.0699268679055692E-3</v>
      </c>
      <c r="AA83" s="614">
        <v>-0.10534985045832992</v>
      </c>
      <c r="AB83" s="614">
        <v>1.1016686234054487</v>
      </c>
      <c r="AC83" s="615">
        <v>0.50017920838321395</v>
      </c>
      <c r="AD83" s="671"/>
      <c r="AF83" s="172"/>
      <c r="AG83" s="703"/>
      <c r="AH83" s="703"/>
      <c r="AI83" s="703"/>
      <c r="AJ83" s="703"/>
      <c r="AK83" s="703"/>
      <c r="AL83" s="2"/>
    </row>
    <row r="84" spans="20:64">
      <c r="T84" s="172"/>
      <c r="U84" s="2">
        <v>90</v>
      </c>
      <c r="V84" s="606">
        <v>0.29143518518518652</v>
      </c>
      <c r="W84" s="607">
        <v>-0.88503968253968746</v>
      </c>
      <c r="X84" s="607">
        <v>1.201993386243392</v>
      </c>
      <c r="Y84" s="607">
        <v>-5.4161904761923507E-3</v>
      </c>
      <c r="Z84" s="607">
        <v>3.1056467854363636E-4</v>
      </c>
      <c r="AA84" s="607">
        <v>-5.1013109265554812E-3</v>
      </c>
      <c r="AB84" s="607">
        <v>0.34407009055469739</v>
      </c>
      <c r="AC84" s="608">
        <v>0.310124848383588</v>
      </c>
      <c r="AD84" s="671"/>
      <c r="AG84" s="703"/>
      <c r="AH84" s="703"/>
      <c r="AI84" s="703"/>
      <c r="AJ84" s="703"/>
      <c r="AK84" s="703"/>
      <c r="AL84" s="2"/>
      <c r="AO84" s="486">
        <v>1.8</v>
      </c>
      <c r="AP84" s="671">
        <f t="shared" ref="AP84:AP96" si="60">coef_m2*$AO84^coef_c2+coef_m3*$AO84^coef_c3+coef_m4*$AO84^coef_c4+coef_d4</f>
        <v>0</v>
      </c>
      <c r="AQ84" s="161">
        <f t="shared" ca="1" si="54"/>
        <v>0.82062984034272324</v>
      </c>
      <c r="AR84" s="161">
        <f t="shared" ca="1" si="55"/>
        <v>0.85193732540776668</v>
      </c>
      <c r="AS84" s="161">
        <f t="shared" ca="1" si="56"/>
        <v>0.88070847254416829</v>
      </c>
      <c r="AT84" s="161">
        <f t="shared" ca="1" si="57"/>
        <v>0.92135979246637512</v>
      </c>
      <c r="AU84" s="161">
        <f t="shared" ca="1" si="58"/>
        <v>0.94795246536539235</v>
      </c>
      <c r="AV84" s="486">
        <v>1.8</v>
      </c>
      <c r="AW84" s="671">
        <f t="shared" ref="AW84:AW96" si="61">coef_m4_np*$AV84^coef_c4_np+coef_d4_np</f>
        <v>0</v>
      </c>
      <c r="AX84" s="161">
        <f t="shared" ca="1" si="33"/>
        <v>0.82062984034272324</v>
      </c>
      <c r="AY84" s="161">
        <f t="shared" ca="1" si="34"/>
        <v>0.85193732540776668</v>
      </c>
      <c r="AZ84" s="161">
        <f t="shared" ca="1" si="35"/>
        <v>0.88070847254416829</v>
      </c>
      <c r="BA84" s="161">
        <f t="shared" ca="1" si="36"/>
        <v>0.92135979246637512</v>
      </c>
      <c r="BB84" s="161">
        <f t="shared" ref="BB84:BB96" ca="1" si="62">IF($AO84&lt;1.6,$AF$64*$AO84^3+$AG$64*$AO84^2+$AH$64*$AO84+$AI$64,$AJ$64*$AO84^3+$AK$64*$AO84^2+$AL$64*$AO84+$AM$64)+$AW84</f>
        <v>0.94795246536539235</v>
      </c>
      <c r="BC84" s="671">
        <f t="shared" ref="BC84:BC96" ca="1" si="63">AQ70-AQ84</f>
        <v>0</v>
      </c>
      <c r="BD84" s="671">
        <f t="shared" ref="BD84:BD96" ca="1" si="64">AR70-AR84</f>
        <v>0</v>
      </c>
      <c r="BE84" s="671">
        <f t="shared" ref="BE84:BE96" ca="1" si="65">AS70-AS84</f>
        <v>0</v>
      </c>
      <c r="BF84" s="671">
        <f t="shared" ref="BF84:BF96" ca="1" si="66">AT70-AT84</f>
        <v>0</v>
      </c>
      <c r="BG84" s="671">
        <f t="shared" ref="BG84:BG96" ca="1" si="67">AU70-AU84</f>
        <v>0</v>
      </c>
      <c r="BH84" s="671">
        <f t="shared" ref="BH84:BH96" ca="1" si="68">AX70-AX84</f>
        <v>0</v>
      </c>
      <c r="BI84" s="671">
        <f t="shared" ref="BI84:BI96" ca="1" si="69">AY70-AY84</f>
        <v>0</v>
      </c>
      <c r="BJ84" s="671">
        <f t="shared" ref="BJ84:BJ96" ca="1" si="70">AZ70-AZ84</f>
        <v>0</v>
      </c>
      <c r="BK84" s="671">
        <f t="shared" ref="BK84:BK96" ca="1" si="71">BA70-BA84</f>
        <v>0</v>
      </c>
      <c r="BL84" s="671">
        <f t="shared" ref="BL84:BL96" ca="1" si="72">BB70-BB84</f>
        <v>0</v>
      </c>
    </row>
    <row r="85" spans="20:64">
      <c r="T85" s="172"/>
      <c r="U85" s="2">
        <v>135</v>
      </c>
      <c r="V85" s="611">
        <v>0.21863425925926053</v>
      </c>
      <c r="W85" s="176">
        <v>-0.6371626984127029</v>
      </c>
      <c r="X85" s="176">
        <v>0.94093716931217453</v>
      </c>
      <c r="Y85" s="176">
        <v>9.6391904761902736E-2</v>
      </c>
      <c r="Z85" s="176">
        <v>3.2344610514254546E-4</v>
      </c>
      <c r="AA85" s="176">
        <v>-5.3103090842861319E-3</v>
      </c>
      <c r="AB85" s="176">
        <v>0.3512175310758357</v>
      </c>
      <c r="AC85" s="612">
        <v>0.32074502409935823</v>
      </c>
      <c r="AD85" s="671"/>
      <c r="AE85" s="19"/>
      <c r="AG85" s="703"/>
      <c r="AH85" s="703"/>
      <c r="AI85" s="703"/>
      <c r="AJ85" s="703"/>
      <c r="AK85" s="703"/>
      <c r="AL85" s="2"/>
      <c r="AO85" s="486">
        <v>1.7</v>
      </c>
      <c r="AP85" s="671">
        <f t="shared" si="60"/>
        <v>0</v>
      </c>
      <c r="AQ85" s="161">
        <f t="shared" ca="1" si="54"/>
        <v>0.79026860748360828</v>
      </c>
      <c r="AR85" s="161">
        <f t="shared" ca="1" si="55"/>
        <v>0.82070502707920956</v>
      </c>
      <c r="AS85" s="161">
        <f t="shared" ca="1" si="56"/>
        <v>0.84868362592727564</v>
      </c>
      <c r="AT85" s="161">
        <f t="shared" ca="1" si="57"/>
        <v>0.88820581658305842</v>
      </c>
      <c r="AU85" s="161">
        <f t="shared" ca="1" si="58"/>
        <v>0.91405648139897377</v>
      </c>
      <c r="AV85" s="486">
        <v>1.7</v>
      </c>
      <c r="AW85" s="671">
        <f t="shared" si="61"/>
        <v>0</v>
      </c>
      <c r="AX85" s="161">
        <f t="shared" ca="1" si="33"/>
        <v>0.79026860748360828</v>
      </c>
      <c r="AY85" s="161">
        <f t="shared" ca="1" si="34"/>
        <v>0.82070502707920956</v>
      </c>
      <c r="AZ85" s="161">
        <f t="shared" ca="1" si="35"/>
        <v>0.84868362592727564</v>
      </c>
      <c r="BA85" s="161">
        <f t="shared" ca="1" si="36"/>
        <v>0.88820581658305842</v>
      </c>
      <c r="BB85" s="161">
        <f t="shared" ca="1" si="62"/>
        <v>0.91405648139897377</v>
      </c>
      <c r="BC85" s="671">
        <f t="shared" ca="1" si="63"/>
        <v>0</v>
      </c>
      <c r="BD85" s="671">
        <f t="shared" ca="1" si="64"/>
        <v>0</v>
      </c>
      <c r="BE85" s="671">
        <f t="shared" ca="1" si="65"/>
        <v>0</v>
      </c>
      <c r="BF85" s="671">
        <f t="shared" ca="1" si="66"/>
        <v>0</v>
      </c>
      <c r="BG85" s="671">
        <f t="shared" ca="1" si="67"/>
        <v>0</v>
      </c>
      <c r="BH85" s="671">
        <f t="shared" ca="1" si="68"/>
        <v>0</v>
      </c>
      <c r="BI85" s="671">
        <f t="shared" ca="1" si="69"/>
        <v>0</v>
      </c>
      <c r="BJ85" s="671">
        <f t="shared" ca="1" si="70"/>
        <v>0</v>
      </c>
      <c r="BK85" s="671">
        <f t="shared" ca="1" si="71"/>
        <v>0</v>
      </c>
      <c r="BL85" s="671">
        <f t="shared" ca="1" si="72"/>
        <v>0</v>
      </c>
    </row>
    <row r="86" spans="20:64">
      <c r="T86" s="172" t="s">
        <v>173</v>
      </c>
      <c r="U86" s="2">
        <v>180</v>
      </c>
      <c r="V86" s="611">
        <v>0.2810185185185205</v>
      </c>
      <c r="W86" s="176">
        <v>-0.8636111111111181</v>
      </c>
      <c r="X86" s="176">
        <v>1.2077671957672036</v>
      </c>
      <c r="Y86" s="176">
        <v>1.4712380952378368E-2</v>
      </c>
      <c r="Z86" s="176">
        <v>3.3537506289635567E-4</v>
      </c>
      <c r="AA86" s="176">
        <v>-5.5042565056059329E-3</v>
      </c>
      <c r="AB86" s="176">
        <v>0.35809625715059712</v>
      </c>
      <c r="AC86" s="612">
        <v>0.33108166468823585</v>
      </c>
      <c r="AD86" s="671"/>
      <c r="AG86" s="703"/>
      <c r="AH86" s="703"/>
      <c r="AI86" s="703"/>
      <c r="AJ86" s="703"/>
      <c r="AK86" s="703"/>
      <c r="AL86" s="2"/>
      <c r="AO86" s="486">
        <v>1.6</v>
      </c>
      <c r="AP86" s="671">
        <f t="shared" si="60"/>
        <v>0</v>
      </c>
      <c r="AQ86" s="161">
        <f t="shared" ca="1" si="54"/>
        <v>0.75984497937358397</v>
      </c>
      <c r="AR86" s="161">
        <f t="shared" ca="1" si="55"/>
        <v>0.78940711539944397</v>
      </c>
      <c r="AS86" s="161">
        <f t="shared" ca="1" si="56"/>
        <v>0.81659066590108964</v>
      </c>
      <c r="AT86" s="161">
        <f t="shared" ca="1" si="57"/>
        <v>0.85497955495628919</v>
      </c>
      <c r="AU86" s="161">
        <f t="shared" ca="1" si="58"/>
        <v>0.88008524714525982</v>
      </c>
      <c r="AV86" s="486">
        <v>1.6</v>
      </c>
      <c r="AW86" s="671">
        <f t="shared" si="61"/>
        <v>0</v>
      </c>
      <c r="AX86" s="161">
        <f t="shared" ca="1" si="33"/>
        <v>0.75984497937358397</v>
      </c>
      <c r="AY86" s="161">
        <f t="shared" ca="1" si="34"/>
        <v>0.78940711539944397</v>
      </c>
      <c r="AZ86" s="161">
        <f t="shared" ca="1" si="35"/>
        <v>0.81659066590108964</v>
      </c>
      <c r="BA86" s="161">
        <f t="shared" ca="1" si="36"/>
        <v>0.85497955495628919</v>
      </c>
      <c r="BB86" s="161">
        <f t="shared" ca="1" si="62"/>
        <v>0.88008524714525982</v>
      </c>
      <c r="BC86" s="671">
        <f t="shared" ca="1" si="63"/>
        <v>0</v>
      </c>
      <c r="BD86" s="671">
        <f t="shared" ca="1" si="64"/>
        <v>0</v>
      </c>
      <c r="BE86" s="671">
        <f t="shared" ca="1" si="65"/>
        <v>0</v>
      </c>
      <c r="BF86" s="671">
        <f t="shared" ca="1" si="66"/>
        <v>0</v>
      </c>
      <c r="BG86" s="671">
        <f t="shared" ca="1" si="67"/>
        <v>0</v>
      </c>
      <c r="BH86" s="671">
        <f t="shared" ca="1" si="68"/>
        <v>0</v>
      </c>
      <c r="BI86" s="671">
        <f t="shared" ca="1" si="69"/>
        <v>0</v>
      </c>
      <c r="BJ86" s="671">
        <f t="shared" ca="1" si="70"/>
        <v>0</v>
      </c>
      <c r="BK86" s="671">
        <f t="shared" ca="1" si="71"/>
        <v>0</v>
      </c>
      <c r="BL86" s="671">
        <f t="shared" ca="1" si="72"/>
        <v>0</v>
      </c>
    </row>
    <row r="87" spans="20:64">
      <c r="T87" s="172"/>
      <c r="U87" s="2">
        <v>250</v>
      </c>
      <c r="V87" s="611">
        <v>0.21516203703703721</v>
      </c>
      <c r="W87" s="176">
        <v>-0.64490079365079467</v>
      </c>
      <c r="X87" s="176">
        <v>0.99226653439153611</v>
      </c>
      <c r="Y87" s="176">
        <v>9.9720476190475638E-2</v>
      </c>
      <c r="Z87" s="176">
        <v>3.5332730294597838E-4</v>
      </c>
      <c r="AA87" s="176">
        <v>-5.7965656683227167E-3</v>
      </c>
      <c r="AB87" s="176">
        <v>0.36826109648926897</v>
      </c>
      <c r="AC87" s="612">
        <v>0.34633907180298185</v>
      </c>
      <c r="AD87" s="7"/>
      <c r="AF87" s="172"/>
      <c r="AG87" s="703"/>
      <c r="AH87" s="703"/>
      <c r="AI87" s="703"/>
      <c r="AJ87" s="703"/>
      <c r="AK87" s="703"/>
      <c r="AL87" s="2"/>
      <c r="AO87" s="486">
        <v>1.5</v>
      </c>
      <c r="AP87" s="671">
        <f t="shared" si="60"/>
        <v>0</v>
      </c>
      <c r="AQ87" s="161">
        <f t="shared" ca="1" si="54"/>
        <v>0.74685847718253939</v>
      </c>
      <c r="AR87" s="161">
        <f t="shared" ca="1" si="55"/>
        <v>0.77491935515873023</v>
      </c>
      <c r="AS87" s="161">
        <f t="shared" ca="1" si="56"/>
        <v>0.79808706845238131</v>
      </c>
      <c r="AT87" s="161">
        <f t="shared" ca="1" si="57"/>
        <v>0.82790451884920646</v>
      </c>
      <c r="AU87" s="161">
        <f t="shared" ca="1" si="58"/>
        <v>0.85618301587301615</v>
      </c>
      <c r="AV87" s="486">
        <v>1.5</v>
      </c>
      <c r="AW87" s="671">
        <f t="shared" si="61"/>
        <v>0</v>
      </c>
      <c r="AX87" s="161">
        <f t="shared" ca="1" si="33"/>
        <v>0.74685847718253939</v>
      </c>
      <c r="AY87" s="161">
        <f t="shared" ca="1" si="34"/>
        <v>0.77491935515873023</v>
      </c>
      <c r="AZ87" s="161">
        <f t="shared" ca="1" si="35"/>
        <v>0.79808706845238131</v>
      </c>
      <c r="BA87" s="161">
        <f t="shared" ca="1" si="36"/>
        <v>0.82790451884920646</v>
      </c>
      <c r="BB87" s="161">
        <f t="shared" ca="1" si="62"/>
        <v>0.85618301587301615</v>
      </c>
      <c r="BC87" s="671">
        <f t="shared" ca="1" si="63"/>
        <v>0</v>
      </c>
      <c r="BD87" s="671">
        <f t="shared" ca="1" si="64"/>
        <v>0</v>
      </c>
      <c r="BE87" s="671">
        <f t="shared" ca="1" si="65"/>
        <v>0</v>
      </c>
      <c r="BF87" s="671">
        <f t="shared" ca="1" si="66"/>
        <v>0</v>
      </c>
      <c r="BG87" s="671">
        <f t="shared" ca="1" si="67"/>
        <v>0</v>
      </c>
      <c r="BH87" s="671">
        <f t="shared" ca="1" si="68"/>
        <v>0</v>
      </c>
      <c r="BI87" s="671">
        <f t="shared" ca="1" si="69"/>
        <v>0</v>
      </c>
      <c r="BJ87" s="671">
        <f t="shared" ca="1" si="70"/>
        <v>0</v>
      </c>
      <c r="BK87" s="671">
        <f t="shared" ca="1" si="71"/>
        <v>0</v>
      </c>
      <c r="BL87" s="671">
        <f t="shared" ca="1" si="72"/>
        <v>0</v>
      </c>
    </row>
    <row r="88" spans="20:64">
      <c r="T88" s="172"/>
      <c r="U88" s="2">
        <v>300</v>
      </c>
      <c r="V88" s="613">
        <v>0.2767939814814831</v>
      </c>
      <c r="W88" s="614">
        <v>-0.86915674603175164</v>
      </c>
      <c r="X88" s="614">
        <v>1.2570631613756678</v>
      </c>
      <c r="Y88" s="614">
        <v>1.8638333333330981E-2</v>
      </c>
      <c r="Z88" s="614">
        <v>3.6597070364027768E-4</v>
      </c>
      <c r="AA88" s="614">
        <v>-6.0043841395762505E-3</v>
      </c>
      <c r="AB88" s="614">
        <v>0.37519677824791353</v>
      </c>
      <c r="AC88" s="615">
        <v>0.35651389284590823</v>
      </c>
      <c r="AD88" s="7"/>
      <c r="AG88" s="703"/>
      <c r="AH88" s="703"/>
      <c r="AI88" s="703"/>
      <c r="AJ88" s="703"/>
      <c r="AK88" s="703"/>
      <c r="AL88" s="2"/>
      <c r="AO88" s="486">
        <v>1.4</v>
      </c>
      <c r="AP88" s="671">
        <f t="shared" si="60"/>
        <v>0</v>
      </c>
      <c r="AQ88" s="161">
        <f t="shared" ca="1" si="54"/>
        <v>0.72757650793650774</v>
      </c>
      <c r="AR88" s="161">
        <f t="shared" ca="1" si="55"/>
        <v>0.75369460317460324</v>
      </c>
      <c r="AS88" s="161">
        <f t="shared" ca="1" si="56"/>
        <v>0.77458476190476211</v>
      </c>
      <c r="AT88" s="161">
        <f t="shared" ca="1" si="57"/>
        <v>0.79911555555555558</v>
      </c>
      <c r="AU88" s="161">
        <f t="shared" ca="1" si="58"/>
        <v>0.82879174603174621</v>
      </c>
      <c r="AV88" s="486">
        <v>1.4</v>
      </c>
      <c r="AW88" s="671">
        <f t="shared" si="61"/>
        <v>0</v>
      </c>
      <c r="AX88" s="161">
        <f t="shared" ca="1" si="33"/>
        <v>0.72757650793650774</v>
      </c>
      <c r="AY88" s="161">
        <f t="shared" ca="1" si="34"/>
        <v>0.75369460317460324</v>
      </c>
      <c r="AZ88" s="161">
        <f t="shared" ca="1" si="35"/>
        <v>0.77458476190476211</v>
      </c>
      <c r="BA88" s="161">
        <f t="shared" ca="1" si="36"/>
        <v>0.79911555555555558</v>
      </c>
      <c r="BB88" s="161">
        <f t="shared" ca="1" si="62"/>
        <v>0.82879174603174621</v>
      </c>
      <c r="BC88" s="671">
        <f t="shared" ca="1" si="63"/>
        <v>0</v>
      </c>
      <c r="BD88" s="671">
        <f t="shared" ca="1" si="64"/>
        <v>0</v>
      </c>
      <c r="BE88" s="671">
        <f t="shared" ca="1" si="65"/>
        <v>0</v>
      </c>
      <c r="BF88" s="671">
        <f t="shared" ca="1" si="66"/>
        <v>0</v>
      </c>
      <c r="BG88" s="671">
        <f t="shared" ca="1" si="67"/>
        <v>0</v>
      </c>
      <c r="BH88" s="671">
        <f t="shared" ca="1" si="68"/>
        <v>0</v>
      </c>
      <c r="BI88" s="671">
        <f t="shared" ca="1" si="69"/>
        <v>0</v>
      </c>
      <c r="BJ88" s="671">
        <f t="shared" ca="1" si="70"/>
        <v>0</v>
      </c>
      <c r="BK88" s="671">
        <f t="shared" ca="1" si="71"/>
        <v>0</v>
      </c>
      <c r="BL88" s="671">
        <f t="shared" ca="1" si="72"/>
        <v>0</v>
      </c>
    </row>
    <row r="89" spans="20:64">
      <c r="T89" s="172"/>
      <c r="U89" s="2">
        <v>90</v>
      </c>
      <c r="V89" s="606">
        <v>0.56886574074074603</v>
      </c>
      <c r="W89" s="607">
        <v>-2.3810515873016049</v>
      </c>
      <c r="X89" s="607">
        <v>3.3429199735449924</v>
      </c>
      <c r="Y89" s="607">
        <v>-0.46614047619048249</v>
      </c>
      <c r="Z89" s="607">
        <v>-3.6375578184273677E-4</v>
      </c>
      <c r="AA89" s="607">
        <v>9.4223485367641961E-3</v>
      </c>
      <c r="AB89" s="607">
        <v>0.27157669392572681</v>
      </c>
      <c r="AC89" s="608">
        <v>0.64982842890212089</v>
      </c>
      <c r="AD89" s="7"/>
      <c r="AG89" s="703"/>
      <c r="AH89" s="703"/>
      <c r="AI89" s="703"/>
      <c r="AJ89" s="703"/>
      <c r="AK89" s="703"/>
      <c r="AL89" s="2"/>
      <c r="AO89" s="486">
        <v>1.3</v>
      </c>
      <c r="AP89" s="671">
        <f t="shared" si="60"/>
        <v>0</v>
      </c>
      <c r="AQ89" s="161">
        <f t="shared" ca="1" si="54"/>
        <v>0.70207281249999987</v>
      </c>
      <c r="AR89" s="161">
        <f t="shared" ca="1" si="55"/>
        <v>0.72669901785714286</v>
      </c>
      <c r="AS89" s="161">
        <f t="shared" ca="1" si="56"/>
        <v>0.74635477678571449</v>
      </c>
      <c r="AT89" s="161">
        <f t="shared" ca="1" si="57"/>
        <v>0.76693522321428576</v>
      </c>
      <c r="AU89" s="161">
        <f t="shared" ca="1" si="58"/>
        <v>0.79660285714285728</v>
      </c>
      <c r="AV89" s="486">
        <v>1.3</v>
      </c>
      <c r="AW89" s="671">
        <f t="shared" si="61"/>
        <v>0</v>
      </c>
      <c r="AX89" s="161">
        <f t="shared" ca="1" si="33"/>
        <v>0.70207281249999987</v>
      </c>
      <c r="AY89" s="161">
        <f t="shared" ca="1" si="34"/>
        <v>0.72669901785714286</v>
      </c>
      <c r="AZ89" s="161">
        <f t="shared" ca="1" si="35"/>
        <v>0.74635477678571449</v>
      </c>
      <c r="BA89" s="161">
        <f t="shared" ca="1" si="36"/>
        <v>0.76693522321428576</v>
      </c>
      <c r="BB89" s="161">
        <f t="shared" ca="1" si="62"/>
        <v>0.79660285714285728</v>
      </c>
      <c r="BC89" s="671">
        <f t="shared" ca="1" si="63"/>
        <v>0</v>
      </c>
      <c r="BD89" s="671">
        <f t="shared" ca="1" si="64"/>
        <v>0</v>
      </c>
      <c r="BE89" s="671">
        <f t="shared" ca="1" si="65"/>
        <v>0</v>
      </c>
      <c r="BF89" s="671">
        <f t="shared" ca="1" si="66"/>
        <v>0</v>
      </c>
      <c r="BG89" s="671">
        <f t="shared" ca="1" si="67"/>
        <v>0</v>
      </c>
      <c r="BH89" s="671">
        <f t="shared" ca="1" si="68"/>
        <v>0</v>
      </c>
      <c r="BI89" s="671">
        <f t="shared" ca="1" si="69"/>
        <v>0</v>
      </c>
      <c r="BJ89" s="671">
        <f t="shared" ca="1" si="70"/>
        <v>0</v>
      </c>
      <c r="BK89" s="671">
        <f t="shared" ca="1" si="71"/>
        <v>0</v>
      </c>
      <c r="BL89" s="671">
        <f t="shared" ca="1" si="72"/>
        <v>0</v>
      </c>
    </row>
    <row r="90" spans="20:64">
      <c r="T90" s="172"/>
      <c r="U90" s="2">
        <v>135</v>
      </c>
      <c r="V90" s="611">
        <v>0.72164351851852859</v>
      </c>
      <c r="W90" s="176">
        <v>-2.8441468253968591</v>
      </c>
      <c r="X90" s="176">
        <v>3.7522850529100893</v>
      </c>
      <c r="Y90" s="176">
        <v>-0.52516904761905936</v>
      </c>
      <c r="Z90" s="176">
        <v>-3.6445323651844127E-4</v>
      </c>
      <c r="AA90" s="176">
        <v>9.5452267430017005E-3</v>
      </c>
      <c r="AB90" s="176">
        <v>0.27747368409801693</v>
      </c>
      <c r="AC90" s="612">
        <v>0.67470878043582783</v>
      </c>
      <c r="AD90" s="7"/>
      <c r="AG90" s="703"/>
      <c r="AH90" s="703"/>
      <c r="AI90" s="703"/>
      <c r="AJ90" s="703"/>
      <c r="AK90" s="703"/>
      <c r="AL90" s="2"/>
      <c r="AO90" s="486">
        <v>1.2</v>
      </c>
      <c r="AP90" s="671">
        <f t="shared" si="60"/>
        <v>0</v>
      </c>
      <c r="AQ90" s="161">
        <f t="shared" ca="1" si="54"/>
        <v>0.67167412698412676</v>
      </c>
      <c r="AR90" s="161">
        <f t="shared" ca="1" si="55"/>
        <v>0.69507079365079361</v>
      </c>
      <c r="AS90" s="161">
        <f t="shared" ca="1" si="56"/>
        <v>0.71429190476190485</v>
      </c>
      <c r="AT90" s="161">
        <f t="shared" ca="1" si="57"/>
        <v>0.7321131746031746</v>
      </c>
      <c r="AU90" s="161">
        <f t="shared" ca="1" si="58"/>
        <v>0.76061079365079387</v>
      </c>
      <c r="AV90" s="486">
        <v>1.2</v>
      </c>
      <c r="AW90" s="671">
        <f t="shared" si="61"/>
        <v>0</v>
      </c>
      <c r="AX90" s="161">
        <f t="shared" ca="1" si="33"/>
        <v>0.67167412698412676</v>
      </c>
      <c r="AY90" s="161">
        <f t="shared" ca="1" si="34"/>
        <v>0.69507079365079361</v>
      </c>
      <c r="AZ90" s="161">
        <f t="shared" ca="1" si="35"/>
        <v>0.71429190476190485</v>
      </c>
      <c r="BA90" s="161">
        <f t="shared" ca="1" si="36"/>
        <v>0.7321131746031746</v>
      </c>
      <c r="BB90" s="161">
        <f t="shared" ca="1" si="62"/>
        <v>0.76061079365079387</v>
      </c>
      <c r="BC90" s="671">
        <f t="shared" ca="1" si="63"/>
        <v>0</v>
      </c>
      <c r="BD90" s="671">
        <f t="shared" ca="1" si="64"/>
        <v>0</v>
      </c>
      <c r="BE90" s="671">
        <f t="shared" ca="1" si="65"/>
        <v>0</v>
      </c>
      <c r="BF90" s="671">
        <f t="shared" ca="1" si="66"/>
        <v>0</v>
      </c>
      <c r="BG90" s="671">
        <f t="shared" ca="1" si="67"/>
        <v>0</v>
      </c>
      <c r="BH90" s="671">
        <f t="shared" ca="1" si="68"/>
        <v>0</v>
      </c>
      <c r="BI90" s="671">
        <f t="shared" ca="1" si="69"/>
        <v>0</v>
      </c>
      <c r="BJ90" s="671">
        <f t="shared" ca="1" si="70"/>
        <v>0</v>
      </c>
      <c r="BK90" s="671">
        <f t="shared" ca="1" si="71"/>
        <v>0</v>
      </c>
      <c r="BL90" s="671">
        <f t="shared" ca="1" si="72"/>
        <v>0</v>
      </c>
    </row>
    <row r="91" spans="20:64">
      <c r="T91" s="172" t="s">
        <v>197</v>
      </c>
      <c r="U91" s="2">
        <v>180</v>
      </c>
      <c r="V91" s="611">
        <v>0.83506944444445297</v>
      </c>
      <c r="W91" s="176">
        <v>-3.1389880952381235</v>
      </c>
      <c r="X91" s="176">
        <v>3.9302876984127288</v>
      </c>
      <c r="Y91" s="176">
        <v>-0.4895214285714391</v>
      </c>
      <c r="Z91" s="176">
        <v>-3.5370487330486412E-4</v>
      </c>
      <c r="AA91" s="176">
        <v>9.4370636795665826E-3</v>
      </c>
      <c r="AB91" s="176">
        <v>0.28421324675828902</v>
      </c>
      <c r="AC91" s="612">
        <v>0.69431642897756718</v>
      </c>
      <c r="AD91" s="43"/>
      <c r="AF91" s="172"/>
      <c r="AG91" s="703"/>
      <c r="AH91" s="703"/>
      <c r="AI91" s="703"/>
      <c r="AJ91" s="703"/>
      <c r="AK91" s="703"/>
      <c r="AL91" s="2"/>
      <c r="AO91" s="486">
        <v>1.1000000000000001</v>
      </c>
      <c r="AP91" s="671">
        <f t="shared" si="60"/>
        <v>0</v>
      </c>
      <c r="AQ91" s="161">
        <f t="shared" ca="1" si="54"/>
        <v>0.63770718749999977</v>
      </c>
      <c r="AR91" s="161">
        <f t="shared" ca="1" si="55"/>
        <v>0.65994812499999989</v>
      </c>
      <c r="AS91" s="161">
        <f t="shared" ca="1" si="56"/>
        <v>0.67929093750000014</v>
      </c>
      <c r="AT91" s="161">
        <f t="shared" ca="1" si="57"/>
        <v>0.69539906249999994</v>
      </c>
      <c r="AU91" s="161">
        <f t="shared" ca="1" si="58"/>
        <v>0.72181000000000028</v>
      </c>
      <c r="AV91" s="486">
        <v>1.1000000000000001</v>
      </c>
      <c r="AW91" s="671">
        <f t="shared" si="61"/>
        <v>0</v>
      </c>
      <c r="AX91" s="161">
        <f t="shared" ca="1" si="33"/>
        <v>0.63770718749999977</v>
      </c>
      <c r="AY91" s="161">
        <f t="shared" ca="1" si="34"/>
        <v>0.65994812499999989</v>
      </c>
      <c r="AZ91" s="161">
        <f t="shared" ca="1" si="35"/>
        <v>0.67929093750000014</v>
      </c>
      <c r="BA91" s="161">
        <f t="shared" ca="1" si="36"/>
        <v>0.69539906249999994</v>
      </c>
      <c r="BB91" s="161">
        <f t="shared" ca="1" si="62"/>
        <v>0.72181000000000028</v>
      </c>
      <c r="BC91" s="671">
        <f t="shared" ca="1" si="63"/>
        <v>0</v>
      </c>
      <c r="BD91" s="671">
        <f t="shared" ca="1" si="64"/>
        <v>0</v>
      </c>
      <c r="BE91" s="671">
        <f t="shared" ca="1" si="65"/>
        <v>0</v>
      </c>
      <c r="BF91" s="671">
        <f t="shared" ca="1" si="66"/>
        <v>0</v>
      </c>
      <c r="BG91" s="671">
        <f t="shared" ca="1" si="67"/>
        <v>0</v>
      </c>
      <c r="BH91" s="671">
        <f t="shared" ca="1" si="68"/>
        <v>0</v>
      </c>
      <c r="BI91" s="671">
        <f t="shared" ca="1" si="69"/>
        <v>0</v>
      </c>
      <c r="BJ91" s="671">
        <f t="shared" ca="1" si="70"/>
        <v>0</v>
      </c>
      <c r="BK91" s="671">
        <f t="shared" ca="1" si="71"/>
        <v>0</v>
      </c>
      <c r="BL91" s="671">
        <f t="shared" ca="1" si="72"/>
        <v>0</v>
      </c>
    </row>
    <row r="92" spans="20:64">
      <c r="T92" s="172"/>
      <c r="U92" s="2">
        <v>250</v>
      </c>
      <c r="V92" s="611">
        <v>0.98379629629630549</v>
      </c>
      <c r="W92" s="176">
        <v>-3.5902777777778092</v>
      </c>
      <c r="X92" s="176">
        <v>4.3287037037037379</v>
      </c>
      <c r="Y92" s="176">
        <v>-0.54533333333334433</v>
      </c>
      <c r="Z92" s="176">
        <v>-3.1110461557571858E-4</v>
      </c>
      <c r="AA92" s="176">
        <v>8.7026238425301598E-3</v>
      </c>
      <c r="AB92" s="176">
        <v>0.29702373770439772</v>
      </c>
      <c r="AC92" s="612">
        <v>0.71036827494445942</v>
      </c>
      <c r="AD92" s="12"/>
      <c r="AG92" s="703"/>
      <c r="AH92" s="703"/>
      <c r="AI92" s="703"/>
      <c r="AJ92" s="703"/>
      <c r="AK92" s="703"/>
      <c r="AL92" s="2"/>
      <c r="AO92" s="486">
        <v>1</v>
      </c>
      <c r="AP92" s="671">
        <f t="shared" si="60"/>
        <v>0</v>
      </c>
      <c r="AQ92" s="161">
        <f t="shared" ca="1" si="54"/>
        <v>0.6014987301587299</v>
      </c>
      <c r="AR92" s="161">
        <f t="shared" ca="1" si="55"/>
        <v>0.62246920634920622</v>
      </c>
      <c r="AS92" s="161">
        <f t="shared" ca="1" si="56"/>
        <v>0.64224666666666663</v>
      </c>
      <c r="AT92" s="161">
        <f t="shared" ca="1" si="57"/>
        <v>0.65754253968253962</v>
      </c>
      <c r="AU92" s="161">
        <f t="shared" ca="1" si="58"/>
        <v>0.68119492063492082</v>
      </c>
      <c r="AV92" s="486">
        <v>1</v>
      </c>
      <c r="AW92" s="671">
        <f t="shared" si="61"/>
        <v>0</v>
      </c>
      <c r="AX92" s="161">
        <f t="shared" ca="1" si="33"/>
        <v>0.6014987301587299</v>
      </c>
      <c r="AY92" s="161">
        <f t="shared" ca="1" si="34"/>
        <v>0.62246920634920622</v>
      </c>
      <c r="AZ92" s="161">
        <f t="shared" ca="1" si="35"/>
        <v>0.64224666666666663</v>
      </c>
      <c r="BA92" s="161">
        <f t="shared" ca="1" si="36"/>
        <v>0.65754253968253962</v>
      </c>
      <c r="BB92" s="161">
        <f t="shared" ca="1" si="62"/>
        <v>0.68119492063492082</v>
      </c>
      <c r="BC92" s="671">
        <f t="shared" ca="1" si="63"/>
        <v>0</v>
      </c>
      <c r="BD92" s="671">
        <f t="shared" ca="1" si="64"/>
        <v>0</v>
      </c>
      <c r="BE92" s="671">
        <f t="shared" ca="1" si="65"/>
        <v>0</v>
      </c>
      <c r="BF92" s="671">
        <f t="shared" ca="1" si="66"/>
        <v>0</v>
      </c>
      <c r="BG92" s="671">
        <f t="shared" ca="1" si="67"/>
        <v>0</v>
      </c>
      <c r="BH92" s="671">
        <f t="shared" ca="1" si="68"/>
        <v>0</v>
      </c>
      <c r="BI92" s="671">
        <f t="shared" ca="1" si="69"/>
        <v>0</v>
      </c>
      <c r="BJ92" s="671">
        <f t="shared" ca="1" si="70"/>
        <v>0</v>
      </c>
      <c r="BK92" s="671">
        <f t="shared" ca="1" si="71"/>
        <v>0</v>
      </c>
      <c r="BL92" s="671">
        <f t="shared" ca="1" si="72"/>
        <v>0</v>
      </c>
    </row>
    <row r="93" spans="20:64">
      <c r="T93" s="172"/>
      <c r="U93" s="2">
        <v>300</v>
      </c>
      <c r="V93" s="613">
        <v>1.1006944444444535</v>
      </c>
      <c r="W93" s="614">
        <v>-3.9309523809524127</v>
      </c>
      <c r="X93" s="614">
        <v>4.5803769841270192</v>
      </c>
      <c r="Y93" s="614">
        <v>-0.53644285714286788</v>
      </c>
      <c r="Z93" s="614">
        <v>-2.682062308532914E-4</v>
      </c>
      <c r="AA93" s="614">
        <v>7.8928381599713254E-3</v>
      </c>
      <c r="AB93" s="614">
        <v>0.30729443956702063</v>
      </c>
      <c r="AC93" s="615">
        <v>0.71319059681036001</v>
      </c>
      <c r="AD93" s="18"/>
      <c r="AE93" s="19"/>
      <c r="AG93" s="703"/>
      <c r="AH93" s="703"/>
      <c r="AI93" s="703"/>
      <c r="AJ93" s="703"/>
      <c r="AK93" s="703"/>
      <c r="AL93" s="2"/>
      <c r="AO93" s="486">
        <v>0.9</v>
      </c>
      <c r="AP93" s="671">
        <f t="shared" si="60"/>
        <v>0</v>
      </c>
      <c r="AQ93" s="161">
        <f t="shared" ca="1" si="54"/>
        <v>0.56437549107142837</v>
      </c>
      <c r="AR93" s="161">
        <f t="shared" ca="1" si="55"/>
        <v>0.58377223214285712</v>
      </c>
      <c r="AS93" s="161">
        <f t="shared" ca="1" si="56"/>
        <v>0.6040538839285714</v>
      </c>
      <c r="AT93" s="161">
        <f t="shared" ca="1" si="57"/>
        <v>0.61929325892857134</v>
      </c>
      <c r="AU93" s="161">
        <f t="shared" ca="1" si="58"/>
        <v>0.63976000000000022</v>
      </c>
      <c r="AV93" s="486">
        <v>0.9</v>
      </c>
      <c r="AW93" s="671">
        <f t="shared" si="61"/>
        <v>0</v>
      </c>
      <c r="AX93" s="161">
        <f t="shared" ref="AX93:AX96" ca="1" si="73">IF($AO93&lt;1.6,$AF$60*$AO93^3+$AG$60*$AO93^2+$AH$60*$AO93+$AI$60,$AJ$60*$AO93^3+$AK$60*$AO93^2+$AL$60*$AO93+$AM$60)+$AW93</f>
        <v>0.56437549107142837</v>
      </c>
      <c r="AY93" s="161">
        <f t="shared" ref="AY93:AY96" ca="1" si="74">IF($AO93&lt;1.6,$AF$61*$AO93^3+$AG$61*$AO93^2+$AH$61*$AO93+$AI$61,$AJ$61*$AO93^3+$AK$61*$AO93^2+$AL$61*$AO93+$AM$61)+$AW93</f>
        <v>0.58377223214285712</v>
      </c>
      <c r="AZ93" s="161">
        <f t="shared" ref="AZ93:AZ96" ca="1" si="75">IF($AO93&lt;1.6,$AF$62*$AO93^3+$AG$62*$AO93^2+$AH$62*$AO93+$AI$62,$AJ$62*$AO93^3+$AK$62*$AO93^2+$AL$62*$AO93+$AM$62)+$AW93</f>
        <v>0.6040538839285714</v>
      </c>
      <c r="BA93" s="161">
        <f t="shared" ref="BA93:BA96" ca="1" si="76">IF($AO93&lt;1.6,$AF$63*$AO93^3+$AG$63*$AO93^2+$AH$63*$AO93+$AI$63,$AJ$63*$AO93^3+$AK$63*$AO93^2+$AL$63*$AO93+$AM$63)+$AW93</f>
        <v>0.61929325892857134</v>
      </c>
      <c r="BB93" s="161">
        <f t="shared" ca="1" si="62"/>
        <v>0.63976000000000022</v>
      </c>
      <c r="BC93" s="671">
        <f t="shared" ca="1" si="63"/>
        <v>0</v>
      </c>
      <c r="BD93" s="671">
        <f t="shared" ca="1" si="64"/>
        <v>0</v>
      </c>
      <c r="BE93" s="671">
        <f t="shared" ca="1" si="65"/>
        <v>0</v>
      </c>
      <c r="BF93" s="671">
        <f t="shared" ca="1" si="66"/>
        <v>0</v>
      </c>
      <c r="BG93" s="671">
        <f t="shared" ca="1" si="67"/>
        <v>0</v>
      </c>
      <c r="BH93" s="671">
        <f t="shared" ca="1" si="68"/>
        <v>0</v>
      </c>
      <c r="BI93" s="671">
        <f t="shared" ca="1" si="69"/>
        <v>0</v>
      </c>
      <c r="BJ93" s="671">
        <f t="shared" ca="1" si="70"/>
        <v>0</v>
      </c>
      <c r="BK93" s="671">
        <f t="shared" ca="1" si="71"/>
        <v>0</v>
      </c>
      <c r="BL93" s="671">
        <f t="shared" ca="1" si="72"/>
        <v>0</v>
      </c>
    </row>
    <row r="94" spans="20:64">
      <c r="T94" s="172"/>
      <c r="U94" s="2">
        <v>90</v>
      </c>
      <c r="V94" s="606">
        <v>0.3877314814814839</v>
      </c>
      <c r="W94" s="607">
        <v>-1.3263888888888982</v>
      </c>
      <c r="X94" s="607">
        <v>2.0086970899471011</v>
      </c>
      <c r="Y94" s="607">
        <v>-6.2738095238099145E-2</v>
      </c>
      <c r="Z94" s="607">
        <v>1.1017780680370338E-3</v>
      </c>
      <c r="AA94" s="607">
        <v>-2.1198675326625328E-2</v>
      </c>
      <c r="AB94" s="607">
        <v>0.50271609991091459</v>
      </c>
      <c r="AC94" s="608">
        <v>0.60177035550010338</v>
      </c>
      <c r="AD94" s="18"/>
      <c r="AG94" s="703"/>
      <c r="AH94" s="703"/>
      <c r="AI94" s="703"/>
      <c r="AJ94" s="703"/>
      <c r="AK94" s="703"/>
      <c r="AL94" s="2"/>
      <c r="AO94" s="486">
        <v>0.8</v>
      </c>
      <c r="AP94" s="671">
        <f t="shared" si="60"/>
        <v>0</v>
      </c>
      <c r="AQ94" s="161">
        <f t="shared" ca="1" si="54"/>
        <v>0.52766420634920608</v>
      </c>
      <c r="AR94" s="161">
        <f t="shared" ca="1" si="55"/>
        <v>0.54499539682539677</v>
      </c>
      <c r="AS94" s="161">
        <f t="shared" ca="1" si="56"/>
        <v>0.56560738095238094</v>
      </c>
      <c r="AT94" s="161">
        <f t="shared" ca="1" si="57"/>
        <v>0.58140087301587295</v>
      </c>
      <c r="AU94" s="161">
        <f t="shared" ca="1" si="58"/>
        <v>0.59849968253968278</v>
      </c>
      <c r="AV94" s="486">
        <v>0.8</v>
      </c>
      <c r="AW94" s="671">
        <f t="shared" si="61"/>
        <v>0</v>
      </c>
      <c r="AX94" s="161">
        <f t="shared" ca="1" si="73"/>
        <v>0.52766420634920608</v>
      </c>
      <c r="AY94" s="161">
        <f t="shared" ca="1" si="74"/>
        <v>0.54499539682539677</v>
      </c>
      <c r="AZ94" s="161">
        <f t="shared" ca="1" si="75"/>
        <v>0.56560738095238094</v>
      </c>
      <c r="BA94" s="161">
        <f t="shared" ca="1" si="76"/>
        <v>0.58140087301587295</v>
      </c>
      <c r="BB94" s="161">
        <f t="shared" ca="1" si="62"/>
        <v>0.59849968253968278</v>
      </c>
      <c r="BC94" s="671">
        <f t="shared" ca="1" si="63"/>
        <v>0</v>
      </c>
      <c r="BD94" s="671">
        <f t="shared" ca="1" si="64"/>
        <v>0</v>
      </c>
      <c r="BE94" s="671">
        <f t="shared" ca="1" si="65"/>
        <v>0</v>
      </c>
      <c r="BF94" s="671">
        <f t="shared" ca="1" si="66"/>
        <v>0</v>
      </c>
      <c r="BG94" s="671">
        <f t="shared" ca="1" si="67"/>
        <v>0</v>
      </c>
      <c r="BH94" s="671">
        <f t="shared" ca="1" si="68"/>
        <v>0</v>
      </c>
      <c r="BI94" s="671">
        <f t="shared" ca="1" si="69"/>
        <v>0</v>
      </c>
      <c r="BJ94" s="671">
        <f t="shared" ca="1" si="70"/>
        <v>0</v>
      </c>
      <c r="BK94" s="671">
        <f t="shared" ca="1" si="71"/>
        <v>0</v>
      </c>
      <c r="BL94" s="671">
        <f t="shared" ca="1" si="72"/>
        <v>0</v>
      </c>
    </row>
    <row r="95" spans="20:64">
      <c r="T95" s="172"/>
      <c r="U95" s="2">
        <v>135</v>
      </c>
      <c r="V95" s="611">
        <v>0.38194444444444597</v>
      </c>
      <c r="W95" s="176">
        <v>-1.3184523809523867</v>
      </c>
      <c r="X95" s="176">
        <v>2.026984126984134</v>
      </c>
      <c r="Y95" s="176">
        <v>-1.628571428571679E-2</v>
      </c>
      <c r="Z95" s="176">
        <v>1.1042536974819955E-3</v>
      </c>
      <c r="AA95" s="176">
        <v>-2.1003928839917207E-2</v>
      </c>
      <c r="AB95" s="176">
        <v>0.50818273775714307</v>
      </c>
      <c r="AC95" s="612">
        <v>0.66567115913906505</v>
      </c>
      <c r="AD95" s="63"/>
      <c r="AF95" s="172"/>
      <c r="AG95" s="703"/>
      <c r="AH95" s="703"/>
      <c r="AI95" s="703"/>
      <c r="AJ95" s="703"/>
      <c r="AK95" s="703"/>
      <c r="AL95" s="2"/>
      <c r="AO95" s="486">
        <v>0.7</v>
      </c>
      <c r="AP95" s="671">
        <f t="shared" si="60"/>
        <v>0</v>
      </c>
      <c r="AQ95" s="161">
        <f t="shared" ca="1" si="54"/>
        <v>0.49269161210317436</v>
      </c>
      <c r="AR95" s="161">
        <f t="shared" ca="1" si="55"/>
        <v>0.50727689484126981</v>
      </c>
      <c r="AS95" s="161">
        <f t="shared" ca="1" si="56"/>
        <v>0.52780194940476188</v>
      </c>
      <c r="AT95" s="161">
        <f t="shared" ca="1" si="57"/>
        <v>0.54461503472222217</v>
      </c>
      <c r="AU95" s="161">
        <f t="shared" ca="1" si="58"/>
        <v>0.5584084126984129</v>
      </c>
      <c r="AV95" s="486">
        <v>0.7</v>
      </c>
      <c r="AW95" s="671">
        <f t="shared" si="61"/>
        <v>0</v>
      </c>
      <c r="AX95" s="161">
        <f t="shared" ca="1" si="73"/>
        <v>0.49269161210317436</v>
      </c>
      <c r="AY95" s="161">
        <f t="shared" ca="1" si="74"/>
        <v>0.50727689484126981</v>
      </c>
      <c r="AZ95" s="161">
        <f t="shared" ca="1" si="75"/>
        <v>0.52780194940476188</v>
      </c>
      <c r="BA95" s="161">
        <f t="shared" ca="1" si="76"/>
        <v>0.54461503472222217</v>
      </c>
      <c r="BB95" s="161">
        <f t="shared" ca="1" si="62"/>
        <v>0.5584084126984129</v>
      </c>
      <c r="BC95" s="671">
        <f t="shared" ca="1" si="63"/>
        <v>0</v>
      </c>
      <c r="BD95" s="671">
        <f t="shared" ca="1" si="64"/>
        <v>0</v>
      </c>
      <c r="BE95" s="671">
        <f t="shared" ca="1" si="65"/>
        <v>0</v>
      </c>
      <c r="BF95" s="671">
        <f t="shared" ca="1" si="66"/>
        <v>0</v>
      </c>
      <c r="BG95" s="671">
        <f t="shared" ca="1" si="67"/>
        <v>0</v>
      </c>
      <c r="BH95" s="671">
        <f t="shared" ca="1" si="68"/>
        <v>0</v>
      </c>
      <c r="BI95" s="671">
        <f t="shared" ca="1" si="69"/>
        <v>0</v>
      </c>
      <c r="BJ95" s="671">
        <f t="shared" ca="1" si="70"/>
        <v>0</v>
      </c>
      <c r="BK95" s="671">
        <f t="shared" ca="1" si="71"/>
        <v>0</v>
      </c>
      <c r="BL95" s="671">
        <f t="shared" ca="1" si="72"/>
        <v>0</v>
      </c>
    </row>
    <row r="96" spans="20:64">
      <c r="T96" s="172" t="s">
        <v>218</v>
      </c>
      <c r="U96" s="2">
        <v>180</v>
      </c>
      <c r="V96" s="611">
        <v>0.26157407407407457</v>
      </c>
      <c r="W96" s="176">
        <v>-0.94980158730158915</v>
      </c>
      <c r="X96" s="176">
        <v>1.6909259259259284</v>
      </c>
      <c r="Y96" s="176">
        <v>0.1407238095238087</v>
      </c>
      <c r="Z96" s="176">
        <v>1.0996019543035127E-3</v>
      </c>
      <c r="AA96" s="176">
        <v>-2.0657537555836956E-2</v>
      </c>
      <c r="AB96" s="176">
        <v>0.5119236292463154</v>
      </c>
      <c r="AC96" s="612">
        <v>0.72818773317951424</v>
      </c>
      <c r="AD96" s="12"/>
      <c r="AG96" s="703"/>
      <c r="AH96" s="703"/>
      <c r="AI96" s="703"/>
      <c r="AJ96" s="703"/>
      <c r="AK96" s="703"/>
      <c r="AL96" s="2"/>
      <c r="AO96" s="486">
        <v>0.6</v>
      </c>
      <c r="AP96" s="671">
        <f t="shared" si="60"/>
        <v>0</v>
      </c>
      <c r="AQ96" s="161">
        <f t="shared" ca="1" si="54"/>
        <v>0.46078444444444433</v>
      </c>
      <c r="AR96" s="161">
        <f t="shared" ca="1" si="55"/>
        <v>0.47175492063492064</v>
      </c>
      <c r="AS96" s="161">
        <f t="shared" ca="1" si="56"/>
        <v>0.49153238095238105</v>
      </c>
      <c r="AT96" s="161">
        <f t="shared" ca="1" si="57"/>
        <v>0.50968539682539682</v>
      </c>
      <c r="AU96" s="161">
        <f t="shared" ca="1" si="58"/>
        <v>0.52048063492063523</v>
      </c>
      <c r="AV96" s="486">
        <v>0.6</v>
      </c>
      <c r="AW96" s="671">
        <f t="shared" si="61"/>
        <v>0</v>
      </c>
      <c r="AX96" s="161">
        <f t="shared" ca="1" si="73"/>
        <v>0.46078444444444433</v>
      </c>
      <c r="AY96" s="161">
        <f t="shared" ca="1" si="74"/>
        <v>0.47175492063492064</v>
      </c>
      <c r="AZ96" s="161">
        <f t="shared" ca="1" si="75"/>
        <v>0.49153238095238105</v>
      </c>
      <c r="BA96" s="161">
        <f t="shared" ca="1" si="76"/>
        <v>0.50968539682539682</v>
      </c>
      <c r="BB96" s="161">
        <f t="shared" ca="1" si="62"/>
        <v>0.52048063492063523</v>
      </c>
      <c r="BC96" s="671">
        <f t="shared" ca="1" si="63"/>
        <v>0</v>
      </c>
      <c r="BD96" s="671">
        <f t="shared" ca="1" si="64"/>
        <v>0</v>
      </c>
      <c r="BE96" s="671">
        <f t="shared" ca="1" si="65"/>
        <v>0</v>
      </c>
      <c r="BF96" s="671">
        <f t="shared" ca="1" si="66"/>
        <v>0</v>
      </c>
      <c r="BG96" s="671">
        <f t="shared" ca="1" si="67"/>
        <v>0</v>
      </c>
      <c r="BH96" s="671">
        <f t="shared" ca="1" si="68"/>
        <v>0</v>
      </c>
      <c r="BI96" s="671">
        <f t="shared" ca="1" si="69"/>
        <v>0</v>
      </c>
      <c r="BJ96" s="671">
        <f t="shared" ca="1" si="70"/>
        <v>0</v>
      </c>
      <c r="BK96" s="671">
        <f t="shared" ca="1" si="71"/>
        <v>0</v>
      </c>
      <c r="BL96" s="671">
        <f t="shared" ca="1" si="72"/>
        <v>0</v>
      </c>
    </row>
    <row r="97" spans="20:64">
      <c r="T97" s="172"/>
      <c r="U97" s="2">
        <v>250</v>
      </c>
      <c r="V97" s="611">
        <v>0.36805555555555675</v>
      </c>
      <c r="W97" s="176">
        <v>-1.2690476190476239</v>
      </c>
      <c r="X97" s="176">
        <v>2.0126587301587362</v>
      </c>
      <c r="Y97" s="176">
        <v>9.8028571428569578E-2</v>
      </c>
      <c r="Z97" s="176">
        <v>1.0855105021409469E-3</v>
      </c>
      <c r="AA97" s="176">
        <v>-2.0044046267994907E-2</v>
      </c>
      <c r="AB97" s="176">
        <v>0.51602460575422993</v>
      </c>
      <c r="AC97" s="612">
        <v>0.8125613351137233</v>
      </c>
      <c r="AD97" s="7"/>
      <c r="AG97" s="703"/>
      <c r="AH97" s="703"/>
      <c r="AI97" s="703"/>
      <c r="AJ97" s="703"/>
      <c r="AK97" s="703"/>
      <c r="AL97" s="2"/>
    </row>
    <row r="98" spans="20:64">
      <c r="T98" s="172"/>
      <c r="U98" s="2">
        <v>300</v>
      </c>
      <c r="V98" s="613">
        <v>0.33912037037037251</v>
      </c>
      <c r="W98" s="614">
        <v>-1.2293650793650868</v>
      </c>
      <c r="X98" s="614">
        <v>2.0326653439153524</v>
      </c>
      <c r="Y98" s="614">
        <v>0.13886190476190219</v>
      </c>
      <c r="Z98" s="614">
        <v>1.0752674405899243E-3</v>
      </c>
      <c r="AA98" s="614">
        <v>-1.9648059143749355E-2</v>
      </c>
      <c r="AB98" s="614">
        <v>0.51858525532929611</v>
      </c>
      <c r="AC98" s="615">
        <v>0.86239588059712968</v>
      </c>
      <c r="AG98" s="703"/>
      <c r="AH98" s="703"/>
      <c r="AI98" s="703"/>
      <c r="AJ98" s="703"/>
      <c r="AK98" s="703"/>
      <c r="AL98" s="2"/>
      <c r="AT98" s="902" t="s">
        <v>2194</v>
      </c>
      <c r="AU98" s="903"/>
      <c r="AV98" s="903"/>
      <c r="AW98" s="766" t="s">
        <v>2226</v>
      </c>
      <c r="AX98" s="766"/>
      <c r="AY98" s="766"/>
      <c r="AZ98" s="766"/>
      <c r="BA98" s="766"/>
      <c r="BB98" s="766"/>
      <c r="BC98" s="766"/>
      <c r="BD98" s="766"/>
      <c r="BE98" s="766" t="s">
        <v>2227</v>
      </c>
      <c r="BF98" s="708"/>
      <c r="BG98" s="708"/>
      <c r="BH98" s="708"/>
      <c r="BI98" s="708"/>
      <c r="BJ98" s="708"/>
      <c r="BK98" s="708"/>
      <c r="BL98" s="709"/>
    </row>
    <row r="99" spans="20:64">
      <c r="T99" s="172"/>
      <c r="U99" s="2">
        <v>90</v>
      </c>
      <c r="V99" s="606">
        <v>1.0885416666666761</v>
      </c>
      <c r="W99" s="607">
        <v>-4.1723214285714612</v>
      </c>
      <c r="X99" s="607">
        <v>5.242172619047655</v>
      </c>
      <c r="Y99" s="607">
        <v>-0.95636428571429732</v>
      </c>
      <c r="Z99" s="607">
        <v>-6.6146485852581864E-4</v>
      </c>
      <c r="AA99" s="607">
        <v>1.5650633630286206E-2</v>
      </c>
      <c r="AB99" s="607">
        <v>0.23684705814736506</v>
      </c>
      <c r="AC99" s="608">
        <v>0.76860663901625659</v>
      </c>
      <c r="AF99" s="172"/>
      <c r="AG99" s="703"/>
      <c r="AH99" s="703"/>
      <c r="AI99" s="703"/>
      <c r="AJ99" s="703"/>
      <c r="AK99" s="703"/>
      <c r="AL99" s="2"/>
      <c r="AT99" s="710"/>
      <c r="AU99"/>
      <c r="AV99"/>
      <c r="AW99" s="2" t="s">
        <v>61</v>
      </c>
      <c r="AX99"/>
      <c r="AY99" t="s">
        <v>1134</v>
      </c>
      <c r="AZ99"/>
      <c r="BA99" t="s">
        <v>1135</v>
      </c>
      <c r="BB99"/>
      <c r="BC99" t="s">
        <v>1136</v>
      </c>
      <c r="BD99"/>
      <c r="BE99" s="2" t="s">
        <v>61</v>
      </c>
      <c r="BF99"/>
      <c r="BG99" t="s">
        <v>1134</v>
      </c>
      <c r="BH99"/>
      <c r="BI99" t="s">
        <v>1135</v>
      </c>
      <c r="BJ99"/>
      <c r="BK99" t="s">
        <v>1136</v>
      </c>
      <c r="BL99" s="711"/>
    </row>
    <row r="100" spans="20:64" ht="17.25">
      <c r="T100" s="172"/>
      <c r="U100" s="2">
        <v>135</v>
      </c>
      <c r="V100" s="611">
        <v>0.87094907407408206</v>
      </c>
      <c r="W100" s="176">
        <v>-3.3060515873016145</v>
      </c>
      <c r="X100" s="176">
        <v>4.1290509259259558</v>
      </c>
      <c r="Y100" s="176">
        <v>-0.46472619047620123</v>
      </c>
      <c r="Z100" s="176">
        <v>-6.6545494031986147E-4</v>
      </c>
      <c r="AA100" s="176">
        <v>1.5875348414335699E-2</v>
      </c>
      <c r="AB100" s="176">
        <v>0.24227115108333253</v>
      </c>
      <c r="AC100" s="612">
        <v>0.79823400199351879</v>
      </c>
      <c r="AG100" s="703"/>
      <c r="AH100" s="703"/>
      <c r="AI100" s="703"/>
      <c r="AJ100" s="703"/>
      <c r="AK100" s="703"/>
      <c r="AL100" s="2"/>
      <c r="AT100" s="710"/>
      <c r="AU100"/>
      <c r="AV100"/>
      <c r="AW100" s="2" t="s">
        <v>1137</v>
      </c>
      <c r="AX100" s="2" t="s">
        <v>1130</v>
      </c>
      <c r="AY100" s="2" t="s">
        <v>1137</v>
      </c>
      <c r="AZ100" s="2" t="s">
        <v>1130</v>
      </c>
      <c r="BA100" s="2" t="s">
        <v>1137</v>
      </c>
      <c r="BB100" s="2" t="s">
        <v>1130</v>
      </c>
      <c r="BC100" s="2" t="s">
        <v>1137</v>
      </c>
      <c r="BD100" s="2" t="s">
        <v>1130</v>
      </c>
      <c r="BE100" s="2" t="s">
        <v>1137</v>
      </c>
      <c r="BF100" s="2" t="s">
        <v>1130</v>
      </c>
      <c r="BG100" s="2" t="s">
        <v>1137</v>
      </c>
      <c r="BH100" s="2" t="s">
        <v>1130</v>
      </c>
      <c r="BI100" s="2" t="s">
        <v>1137</v>
      </c>
      <c r="BJ100" s="2" t="s">
        <v>1130</v>
      </c>
      <c r="BK100" s="2" t="s">
        <v>1137</v>
      </c>
      <c r="BL100" s="768" t="s">
        <v>1130</v>
      </c>
    </row>
    <row r="101" spans="20:64">
      <c r="T101" s="172" t="s">
        <v>207</v>
      </c>
      <c r="U101" s="2">
        <v>180</v>
      </c>
      <c r="V101" s="611">
        <v>0.75983796296297046</v>
      </c>
      <c r="W101" s="176">
        <v>-2.7858134920635167</v>
      </c>
      <c r="X101" s="176">
        <v>3.3680191798942061</v>
      </c>
      <c r="Y101" s="176">
        <v>-9.1640476190484765E-2</v>
      </c>
      <c r="Z101" s="176">
        <v>-6.5383848511411013E-4</v>
      </c>
      <c r="AA101" s="176">
        <v>1.5772285316912528E-2</v>
      </c>
      <c r="AB101" s="176">
        <v>0.24913385291276316</v>
      </c>
      <c r="AC101" s="612">
        <v>0.82085581264835139</v>
      </c>
      <c r="AE101" s="19"/>
      <c r="AG101" s="703"/>
      <c r="AH101" s="703"/>
      <c r="AI101" s="703"/>
      <c r="AJ101" s="703"/>
      <c r="AK101" s="703"/>
      <c r="AL101" s="2"/>
      <c r="AT101" s="769">
        <v>1</v>
      </c>
      <c r="AU101" t="s">
        <v>61</v>
      </c>
      <c r="AV101"/>
      <c r="AW101" s="724">
        <v>0</v>
      </c>
      <c r="AX101" s="724">
        <v>0</v>
      </c>
      <c r="AY101" s="723">
        <v>0.17430000000000001</v>
      </c>
      <c r="AZ101" s="723">
        <v>0.50209999999999999</v>
      </c>
      <c r="BA101" s="723">
        <v>2.98E-2</v>
      </c>
      <c r="BB101" s="723">
        <v>0.34949999999999998</v>
      </c>
      <c r="BC101" s="723">
        <v>7.9000000000000008E-3</v>
      </c>
      <c r="BD101" s="723">
        <v>0.44140000000000001</v>
      </c>
      <c r="BE101" s="724">
        <v>0</v>
      </c>
      <c r="BF101" s="724">
        <v>0</v>
      </c>
      <c r="BG101" s="723">
        <v>5.8000000000000003E-2</v>
      </c>
      <c r="BH101" s="723">
        <v>0.53139999999999998</v>
      </c>
      <c r="BI101" s="723">
        <v>1.2200000000000001E-2</v>
      </c>
      <c r="BJ101" s="723">
        <v>0.36570000000000003</v>
      </c>
      <c r="BK101" s="723">
        <v>2.3800000000000002E-2</v>
      </c>
      <c r="BL101" s="725">
        <v>0.52100000000000002</v>
      </c>
    </row>
    <row r="102" spans="20:64">
      <c r="T102" s="172"/>
      <c r="U102" s="2">
        <v>250</v>
      </c>
      <c r="V102" s="611">
        <v>0.60648148148148728</v>
      </c>
      <c r="W102" s="176">
        <v>-2.1424603174603374</v>
      </c>
      <c r="X102" s="176">
        <v>2.492804232804255</v>
      </c>
      <c r="Y102" s="176">
        <v>0.32499047619046872</v>
      </c>
      <c r="Z102" s="176">
        <v>-6.0240654211807243E-4</v>
      </c>
      <c r="AA102" s="176">
        <v>1.4871871996199684E-2</v>
      </c>
      <c r="AB102" s="176">
        <v>0.26326986477623898</v>
      </c>
      <c r="AC102" s="612">
        <v>0.83759473139477447</v>
      </c>
      <c r="AG102" s="703"/>
      <c r="AH102" s="703"/>
      <c r="AI102" s="703"/>
      <c r="AJ102" s="703"/>
      <c r="AK102" s="703"/>
      <c r="AL102" s="2"/>
      <c r="AT102" s="769">
        <v>2</v>
      </c>
      <c r="AU102" t="s">
        <v>1138</v>
      </c>
      <c r="AV102"/>
      <c r="AW102" s="724">
        <v>0</v>
      </c>
      <c r="AX102" s="724">
        <v>0</v>
      </c>
      <c r="AY102" s="723">
        <v>0.20979999999999999</v>
      </c>
      <c r="AZ102" s="723">
        <v>0.39689999999999998</v>
      </c>
      <c r="BA102" s="723">
        <v>3.3000000000000002E-2</v>
      </c>
      <c r="BB102" s="723">
        <v>0.23730000000000001</v>
      </c>
      <c r="BC102" s="723">
        <v>4.2200000000000001E-2</v>
      </c>
      <c r="BD102" s="723">
        <v>-0.80500000000000005</v>
      </c>
      <c r="BE102" s="724">
        <v>0</v>
      </c>
      <c r="BF102" s="724">
        <v>0</v>
      </c>
      <c r="BG102" s="723">
        <v>6.0499999999999998E-2</v>
      </c>
      <c r="BH102" s="723">
        <v>0.4476</v>
      </c>
      <c r="BI102" s="723">
        <v>1.24E-2</v>
      </c>
      <c r="BJ102" s="723">
        <v>0.24729999999999999</v>
      </c>
      <c r="BK102" s="723">
        <v>2.5000000000000001E-3</v>
      </c>
      <c r="BL102" s="725">
        <v>0.9829</v>
      </c>
    </row>
    <row r="103" spans="20:64">
      <c r="T103" s="172"/>
      <c r="U103" s="2">
        <v>300</v>
      </c>
      <c r="V103" s="613">
        <v>0.39293981481481877</v>
      </c>
      <c r="W103" s="614">
        <v>-1.3237103174603309</v>
      </c>
      <c r="X103" s="614">
        <v>1.4549173280423426</v>
      </c>
      <c r="Y103" s="614">
        <v>0.77941190476190014</v>
      </c>
      <c r="Z103" s="614">
        <v>-5.4102163724486791E-4</v>
      </c>
      <c r="AA103" s="614">
        <v>1.3706845508135352E-2</v>
      </c>
      <c r="AB103" s="614">
        <v>0.27577816744186329</v>
      </c>
      <c r="AC103" s="615">
        <v>0.83715825895833285</v>
      </c>
      <c r="AF103" s="172"/>
      <c r="AG103" s="703"/>
      <c r="AH103" s="703"/>
      <c r="AI103" s="703"/>
      <c r="AJ103" s="703"/>
      <c r="AK103" s="703"/>
      <c r="AL103" s="2"/>
      <c r="AT103" s="769">
        <v>3</v>
      </c>
      <c r="AU103" t="s">
        <v>1139</v>
      </c>
      <c r="AV103"/>
      <c r="AW103" s="724">
        <v>0</v>
      </c>
      <c r="AX103" s="724">
        <v>0</v>
      </c>
      <c r="AY103" s="723">
        <v>0.29749999999999999</v>
      </c>
      <c r="AZ103" s="723">
        <v>0.3589</v>
      </c>
      <c r="BA103" s="723">
        <v>5.2400000000000002E-2</v>
      </c>
      <c r="BB103" s="723">
        <v>0.18579999999999999</v>
      </c>
      <c r="BC103" s="723">
        <v>8.7499999999999994E-2</v>
      </c>
      <c r="BD103" s="723">
        <v>-0.373</v>
      </c>
      <c r="BE103" s="724">
        <v>0</v>
      </c>
      <c r="BF103" s="724">
        <v>0</v>
      </c>
      <c r="BG103" s="723">
        <v>8.1600000000000006E-2</v>
      </c>
      <c r="BH103" s="723">
        <v>0.40210000000000001</v>
      </c>
      <c r="BI103" s="723">
        <v>2.0799999999999999E-2</v>
      </c>
      <c r="BJ103" s="723">
        <v>0.1613</v>
      </c>
      <c r="BK103" s="723">
        <v>3.2000000000000002E-3</v>
      </c>
      <c r="BL103" s="725">
        <v>0.54500000000000004</v>
      </c>
    </row>
    <row r="104" spans="20:64">
      <c r="T104" s="172"/>
      <c r="U104" s="2">
        <v>90</v>
      </c>
      <c r="V104" s="606">
        <v>7.5231481481480428E-2</v>
      </c>
      <c r="W104" s="607">
        <v>-0.46031746031745718</v>
      </c>
      <c r="X104" s="607">
        <v>1.4694113756613729</v>
      </c>
      <c r="Y104" s="607">
        <v>0.11840476190476279</v>
      </c>
      <c r="Z104" s="607">
        <v>2.0086782243599111E-3</v>
      </c>
      <c r="AA104" s="607">
        <v>-4.2008479618966095E-2</v>
      </c>
      <c r="AB104" s="607">
        <v>0.68872354619125908</v>
      </c>
      <c r="AC104" s="608">
        <v>0.61400486974588597</v>
      </c>
      <c r="AG104" s="703"/>
      <c r="AH104" s="703"/>
      <c r="AI104" s="703"/>
      <c r="AJ104" s="703"/>
      <c r="AK104" s="703"/>
      <c r="AL104" s="2"/>
      <c r="AT104" s="769">
        <v>4</v>
      </c>
      <c r="AU104" t="s">
        <v>1140</v>
      </c>
      <c r="AV104"/>
      <c r="AW104" s="724">
        <v>0</v>
      </c>
      <c r="AX104" s="724">
        <v>0</v>
      </c>
      <c r="AY104" s="723">
        <v>0.22639999999999999</v>
      </c>
      <c r="AZ104" s="723">
        <v>0.35460000000000003</v>
      </c>
      <c r="BA104" s="723">
        <v>3.5299999999999998E-2</v>
      </c>
      <c r="BB104" s="723">
        <v>0.1913</v>
      </c>
      <c r="BC104" s="723">
        <v>7.8799999999999995E-2</v>
      </c>
      <c r="BD104" s="723">
        <v>-1.081</v>
      </c>
      <c r="BE104" s="724">
        <v>0</v>
      </c>
      <c r="BF104" s="724">
        <v>0</v>
      </c>
      <c r="BG104" s="723">
        <v>6.1699999999999998E-2</v>
      </c>
      <c r="BH104" s="723">
        <v>0.41610000000000003</v>
      </c>
      <c r="BI104" s="723">
        <v>1.2500000000000001E-2</v>
      </c>
      <c r="BJ104" s="723">
        <v>0.21540000000000001</v>
      </c>
      <c r="BK104" s="723">
        <v>8.0000000000000004E-4</v>
      </c>
      <c r="BL104" s="725">
        <v>1.1687000000000001</v>
      </c>
    </row>
    <row r="105" spans="20:64">
      <c r="T105" s="172"/>
      <c r="U105" s="2">
        <v>135</v>
      </c>
      <c r="V105" s="611">
        <v>5.3819444444443851E-2</v>
      </c>
      <c r="W105" s="176">
        <v>-0.4247023809523795</v>
      </c>
      <c r="X105" s="176">
        <v>1.4990376984126978</v>
      </c>
      <c r="Y105" s="176">
        <v>0.1826928571428571</v>
      </c>
      <c r="Z105" s="176">
        <v>2.0830005760725631E-3</v>
      </c>
      <c r="AA105" s="176">
        <v>-4.3190465050335067E-2</v>
      </c>
      <c r="AB105" s="176">
        <v>0.70315920284027467</v>
      </c>
      <c r="AC105" s="612">
        <v>0.70934526613314008</v>
      </c>
      <c r="AG105" s="703"/>
      <c r="AH105" s="703"/>
      <c r="AI105" s="703"/>
      <c r="AJ105" s="703"/>
      <c r="AK105" s="703"/>
      <c r="AL105" s="2"/>
      <c r="AT105" s="769">
        <v>5</v>
      </c>
      <c r="AU105" t="s">
        <v>1141</v>
      </c>
      <c r="AV105"/>
      <c r="AW105" s="724">
        <v>0</v>
      </c>
      <c r="AX105" s="724">
        <v>0</v>
      </c>
      <c r="AY105" s="723">
        <v>0.38600000000000001</v>
      </c>
      <c r="AZ105" s="723">
        <v>0.3503</v>
      </c>
      <c r="BA105" s="723">
        <v>7.1400000000000005E-2</v>
      </c>
      <c r="BB105" s="723">
        <v>0.17649999999999999</v>
      </c>
      <c r="BC105" s="723">
        <v>0.17960000000000001</v>
      </c>
      <c r="BD105" s="723">
        <v>-0.26600000000000001</v>
      </c>
      <c r="BE105" s="724">
        <v>0</v>
      </c>
      <c r="BF105" s="724">
        <v>0</v>
      </c>
      <c r="BG105" s="723">
        <v>9.9099999999999994E-2</v>
      </c>
      <c r="BH105" s="723">
        <v>0.38129999999999997</v>
      </c>
      <c r="BI105" s="723">
        <v>2.87E-2</v>
      </c>
      <c r="BJ105" s="723">
        <v>0.12790000000000001</v>
      </c>
      <c r="BK105" s="723">
        <v>3.8300000000000001E-2</v>
      </c>
      <c r="BL105" s="725">
        <v>-0.94399999999999995</v>
      </c>
    </row>
    <row r="106" spans="20:64">
      <c r="T106" s="172" t="s">
        <v>231</v>
      </c>
      <c r="U106" s="2">
        <v>180</v>
      </c>
      <c r="V106" s="611">
        <v>-2.7199074074076599E-2</v>
      </c>
      <c r="W106" s="176">
        <v>-0.21537698412697631</v>
      </c>
      <c r="X106" s="176">
        <v>1.3746990740740666</v>
      </c>
      <c r="Y106" s="176">
        <v>0.28945476190476416</v>
      </c>
      <c r="Z106" s="176">
        <v>2.1350286561357124E-3</v>
      </c>
      <c r="AA106" s="176">
        <v>-4.3894967241414874E-2</v>
      </c>
      <c r="AB106" s="176">
        <v>0.71333832719523083</v>
      </c>
      <c r="AC106" s="612">
        <v>0.80775252265382269</v>
      </c>
      <c r="AG106" s="703"/>
      <c r="AH106" s="703"/>
      <c r="AI106" s="703"/>
      <c r="AJ106" s="703"/>
      <c r="AK106" s="703"/>
      <c r="AL106" s="2"/>
      <c r="AT106" s="769">
        <v>6</v>
      </c>
      <c r="AU106" t="s">
        <v>61</v>
      </c>
      <c r="AV106"/>
      <c r="AW106" s="724">
        <v>0</v>
      </c>
      <c r="AX106" s="724">
        <v>0</v>
      </c>
      <c r="AY106" s="723">
        <v>0.20630000000000001</v>
      </c>
      <c r="AZ106" s="723">
        <v>0.36759999999999998</v>
      </c>
      <c r="BA106" s="723">
        <v>6.9500000000000006E-2</v>
      </c>
      <c r="BB106" s="723">
        <v>0.20799999999999999</v>
      </c>
      <c r="BC106" s="723">
        <v>0</v>
      </c>
      <c r="BD106" s="723">
        <v>0</v>
      </c>
      <c r="BE106" s="724">
        <v>0</v>
      </c>
      <c r="BF106" s="724">
        <v>0</v>
      </c>
      <c r="BG106" s="723">
        <v>4.8000000000000001E-2</v>
      </c>
      <c r="BH106" s="723">
        <v>0.40970000000000001</v>
      </c>
      <c r="BI106" s="723">
        <v>9.9000000000000008E-3</v>
      </c>
      <c r="BJ106" s="723">
        <v>0.30270000000000002</v>
      </c>
      <c r="BK106" s="703">
        <v>0</v>
      </c>
      <c r="BL106" s="704">
        <v>0</v>
      </c>
    </row>
    <row r="107" spans="20:64">
      <c r="T107" s="172"/>
      <c r="U107" s="2">
        <v>250</v>
      </c>
      <c r="V107" s="611">
        <v>0.16608796296296349</v>
      </c>
      <c r="W107" s="176">
        <v>-0.79652777777778017</v>
      </c>
      <c r="X107" s="176">
        <v>1.9578406084656119</v>
      </c>
      <c r="Y107" s="176">
        <v>0.20654523809523667</v>
      </c>
      <c r="Z107" s="176">
        <v>2.176631374125364E-3</v>
      </c>
      <c r="AA107" s="176">
        <v>-4.4203692408022278E-2</v>
      </c>
      <c r="AB107" s="176">
        <v>0.72210792681703284</v>
      </c>
      <c r="AC107" s="612">
        <v>0.95092412035620266</v>
      </c>
      <c r="AF107" s="172"/>
      <c r="AG107" s="703"/>
      <c r="AH107" s="703"/>
      <c r="AI107" s="703"/>
      <c r="AJ107" s="703"/>
      <c r="AK107" s="703"/>
      <c r="AL107" s="2"/>
      <c r="AT107" s="769">
        <v>7</v>
      </c>
      <c r="AU107" t="s">
        <v>1142</v>
      </c>
      <c r="AV107"/>
      <c r="AW107" s="724">
        <v>0</v>
      </c>
      <c r="AX107" s="724">
        <v>0</v>
      </c>
      <c r="AY107" s="723">
        <v>0.32890000000000003</v>
      </c>
      <c r="AZ107" s="723">
        <v>0.31619999999999998</v>
      </c>
      <c r="BA107" s="723">
        <v>0.29110000000000003</v>
      </c>
      <c r="BB107" s="723">
        <v>-2.9999999999999997E-4</v>
      </c>
      <c r="BC107" s="723">
        <v>0</v>
      </c>
      <c r="BD107" s="723">
        <v>0</v>
      </c>
      <c r="BE107" s="724">
        <v>0</v>
      </c>
      <c r="BF107" s="724">
        <v>0</v>
      </c>
      <c r="BG107" s="723">
        <v>7.3999999999999996E-2</v>
      </c>
      <c r="BH107" s="723">
        <v>0.32269999999999999</v>
      </c>
      <c r="BI107" s="723">
        <v>5.7700000000000001E-2</v>
      </c>
      <c r="BJ107" s="723">
        <v>-0.23799999999999999</v>
      </c>
      <c r="BK107" s="703">
        <v>0</v>
      </c>
      <c r="BL107" s="704">
        <v>0</v>
      </c>
    </row>
    <row r="108" spans="20:64">
      <c r="T108" s="172"/>
      <c r="U108" s="2">
        <v>300</v>
      </c>
      <c r="V108" s="611">
        <v>2.8935185185183995E-2</v>
      </c>
      <c r="W108" s="176">
        <v>-0.42361111111110689</v>
      </c>
      <c r="X108" s="176">
        <v>1.6746362433862392</v>
      </c>
      <c r="Y108" s="176">
        <v>0.36273809523809636</v>
      </c>
      <c r="Z108" s="176">
        <v>2.1885506847621836E-3</v>
      </c>
      <c r="AA108" s="176">
        <v>-4.4102873222040907E-2</v>
      </c>
      <c r="AB108" s="176">
        <v>0.72536983339880823</v>
      </c>
      <c r="AC108" s="612">
        <v>1.0402760245468279</v>
      </c>
      <c r="AG108" s="703"/>
      <c r="AH108" s="703"/>
      <c r="AI108" s="703"/>
      <c r="AJ108" s="703"/>
      <c r="AK108" s="703"/>
      <c r="AL108" s="2"/>
      <c r="AT108" s="769">
        <v>8</v>
      </c>
      <c r="AU108" t="s">
        <v>1143</v>
      </c>
      <c r="AV108"/>
      <c r="AW108" s="724">
        <v>0</v>
      </c>
      <c r="AX108" s="724">
        <v>0</v>
      </c>
      <c r="AY108" s="723">
        <v>0.39340000000000003</v>
      </c>
      <c r="AZ108" s="723">
        <v>0.34399999999999997</v>
      </c>
      <c r="BA108" s="723">
        <v>0.4476</v>
      </c>
      <c r="BB108" s="723">
        <v>6.6E-3</v>
      </c>
      <c r="BC108" s="723">
        <v>0</v>
      </c>
      <c r="BD108" s="723">
        <v>0</v>
      </c>
      <c r="BE108" s="724">
        <v>0</v>
      </c>
      <c r="BF108" s="724">
        <v>0</v>
      </c>
      <c r="BG108" s="723">
        <v>0.09</v>
      </c>
      <c r="BH108" s="723">
        <v>0.3211</v>
      </c>
      <c r="BI108" s="723">
        <v>9.8799999999999999E-2</v>
      </c>
      <c r="BJ108" s="723">
        <v>-0.16900000000000001</v>
      </c>
      <c r="BK108" s="703">
        <v>0</v>
      </c>
      <c r="BL108" s="704">
        <v>0</v>
      </c>
    </row>
    <row r="109" spans="20:64">
      <c r="U109" s="2">
        <v>90</v>
      </c>
      <c r="V109" s="606">
        <v>-1.331018518518752E-2</v>
      </c>
      <c r="W109" s="607">
        <v>-3.2638888888881432E-2</v>
      </c>
      <c r="X109" s="607">
        <v>0.55688161375660639</v>
      </c>
      <c r="Y109" s="607">
        <v>0.43085476190476429</v>
      </c>
      <c r="Z109" s="607">
        <v>7.4277580927280306E-4</v>
      </c>
      <c r="AA109" s="607">
        <v>-1.3540016052940737E-2</v>
      </c>
      <c r="AB109" s="607">
        <v>0.43946554095345264</v>
      </c>
      <c r="AC109" s="608">
        <v>0.52457729265291586</v>
      </c>
      <c r="AE109" s="19"/>
      <c r="AG109" s="703"/>
      <c r="AH109" s="703"/>
      <c r="AI109" s="703"/>
      <c r="AJ109" s="703"/>
      <c r="AK109" s="703"/>
      <c r="AL109" s="2"/>
      <c r="AT109" s="710"/>
      <c r="AU109"/>
      <c r="AV109"/>
      <c r="AW109"/>
      <c r="AX109"/>
      <c r="AY109"/>
      <c r="AZ109"/>
      <c r="BA109"/>
      <c r="BB109"/>
      <c r="BC109"/>
      <c r="BD109"/>
      <c r="BE109"/>
      <c r="BF109"/>
      <c r="BG109"/>
      <c r="BH109"/>
      <c r="BI109"/>
      <c r="BJ109"/>
      <c r="BK109"/>
      <c r="BL109" s="711"/>
    </row>
    <row r="110" spans="20:64">
      <c r="T110" s="172"/>
      <c r="U110" s="2">
        <v>135</v>
      </c>
      <c r="V110" s="611">
        <v>-6.7129629629631274E-2</v>
      </c>
      <c r="W110" s="176">
        <v>0.15992063492064015</v>
      </c>
      <c r="X110" s="176">
        <v>0.34712962962962435</v>
      </c>
      <c r="Y110" s="176">
        <v>0.51759047619047782</v>
      </c>
      <c r="Z110" s="176">
        <v>7.6050732349567719E-4</v>
      </c>
      <c r="AA110" s="176">
        <v>-1.3843725751246485E-2</v>
      </c>
      <c r="AB110" s="176">
        <v>0.44641369066651043</v>
      </c>
      <c r="AC110" s="612">
        <v>0.53915589844492084</v>
      </c>
      <c r="AG110" s="703"/>
      <c r="AH110" s="703"/>
      <c r="AI110" s="703"/>
      <c r="AJ110" s="703"/>
      <c r="AK110" s="703"/>
      <c r="AL110" s="2"/>
      <c r="AT110" s="710"/>
      <c r="AU110"/>
      <c r="AV110"/>
      <c r="AW110" s="764" t="str">
        <f>IF(Cntrl1=2,AW151,BE151)</f>
        <v>nmv</v>
      </c>
      <c r="AX110"/>
      <c r="AY110"/>
      <c r="AZ110"/>
      <c r="BA110"/>
      <c r="BB110"/>
      <c r="BC110"/>
      <c r="BD110"/>
      <c r="BE110" s="131"/>
      <c r="BF110"/>
      <c r="BG110"/>
      <c r="BH110"/>
      <c r="BI110"/>
      <c r="BJ110"/>
      <c r="BK110"/>
      <c r="BL110" s="711"/>
    </row>
    <row r="111" spans="20:64">
      <c r="T111" s="172" t="s">
        <v>154</v>
      </c>
      <c r="U111" s="2">
        <v>180</v>
      </c>
      <c r="V111" s="611">
        <v>-6.423611111111166E-2</v>
      </c>
      <c r="W111" s="176">
        <v>0.13363095238095435</v>
      </c>
      <c r="X111" s="176">
        <v>0.40852182539682325</v>
      </c>
      <c r="Y111" s="176">
        <v>0.50072142857142932</v>
      </c>
      <c r="Z111" s="176">
        <v>7.7689841701462871E-4</v>
      </c>
      <c r="AA111" s="176">
        <v>-1.4121994193422919E-2</v>
      </c>
      <c r="AB111" s="176">
        <v>0.45313506969643219</v>
      </c>
      <c r="AC111" s="612">
        <v>0.55390474246727872</v>
      </c>
      <c r="AF111" s="172"/>
      <c r="AG111" s="703"/>
      <c r="AH111" s="703"/>
      <c r="AI111" s="703"/>
      <c r="AJ111" s="703"/>
      <c r="AK111" s="703"/>
      <c r="AL111" s="2"/>
      <c r="AT111" s="710"/>
      <c r="AU111"/>
      <c r="AV111"/>
      <c r="AW111" s="2" t="s">
        <v>61</v>
      </c>
      <c r="AX111"/>
      <c r="AY111" s="2" t="s">
        <v>1134</v>
      </c>
      <c r="AZ111"/>
      <c r="BA111" t="s">
        <v>1135</v>
      </c>
      <c r="BB111"/>
      <c r="BC111" t="s">
        <v>1136</v>
      </c>
      <c r="BD111"/>
      <c r="BE111"/>
      <c r="BF111"/>
      <c r="BG111"/>
      <c r="BH111"/>
      <c r="BI111"/>
      <c r="BJ111"/>
      <c r="BK111"/>
      <c r="BL111" s="711"/>
    </row>
    <row r="112" spans="20:64" ht="17.25">
      <c r="T112" s="172"/>
      <c r="U112" s="2">
        <v>250</v>
      </c>
      <c r="V112" s="611">
        <v>3.0092592592592754E-2</v>
      </c>
      <c r="W112" s="176">
        <v>-0.14126984126984182</v>
      </c>
      <c r="X112" s="176">
        <v>0.66347883597883683</v>
      </c>
      <c r="Y112" s="176">
        <v>0.44581904761904728</v>
      </c>
      <c r="Z112" s="176">
        <v>8.038576822435898E-4</v>
      </c>
      <c r="AA112" s="176">
        <v>-1.4579935915679406E-2</v>
      </c>
      <c r="AB112" s="176">
        <v>0.46336214567295564</v>
      </c>
      <c r="AC112" s="612">
        <v>0.57537814098972473</v>
      </c>
      <c r="AG112" s="703"/>
      <c r="AH112" s="703"/>
      <c r="AI112" s="703"/>
      <c r="AJ112" s="703"/>
      <c r="AK112" s="703"/>
      <c r="AL112" s="2"/>
      <c r="AT112" s="710"/>
      <c r="AU112"/>
      <c r="AV112"/>
      <c r="AW112" s="2" t="s">
        <v>1137</v>
      </c>
      <c r="AX112" s="2" t="s">
        <v>1130</v>
      </c>
      <c r="AY112" s="2" t="s">
        <v>1137</v>
      </c>
      <c r="AZ112" s="2" t="s">
        <v>1130</v>
      </c>
      <c r="BA112" s="2" t="s">
        <v>1137</v>
      </c>
      <c r="BB112" s="2" t="s">
        <v>1130</v>
      </c>
      <c r="BC112" s="2" t="s">
        <v>1137</v>
      </c>
      <c r="BD112" s="2" t="s">
        <v>1130</v>
      </c>
      <c r="BE112"/>
      <c r="BF112"/>
      <c r="BG112"/>
      <c r="BH112"/>
      <c r="BI112"/>
      <c r="BJ112"/>
      <c r="BK112"/>
      <c r="BL112" s="711"/>
    </row>
    <row r="113" spans="20:64">
      <c r="T113" s="172"/>
      <c r="U113" s="2">
        <v>300</v>
      </c>
      <c r="V113" s="613">
        <v>-2.5462962962963128E-2</v>
      </c>
      <c r="W113" s="614">
        <v>4.7420634920635384E-2</v>
      </c>
      <c r="X113" s="614">
        <v>0.46867724867724853</v>
      </c>
      <c r="Y113" s="614">
        <v>0.52750476190476181</v>
      </c>
      <c r="Z113" s="614">
        <v>8.2171013696689086E-4</v>
      </c>
      <c r="AA113" s="614">
        <v>-1.488716397596004E-2</v>
      </c>
      <c r="AB113" s="614">
        <v>0.47033109092080266</v>
      </c>
      <c r="AC113" s="615">
        <v>0.58967489451138388</v>
      </c>
      <c r="AG113" s="703"/>
      <c r="AH113" s="703"/>
      <c r="AI113" s="703"/>
      <c r="AJ113" s="703"/>
      <c r="AK113" s="703"/>
      <c r="AL113" s="2"/>
      <c r="AT113" s="769">
        <v>1</v>
      </c>
      <c r="AU113" t="s">
        <v>61</v>
      </c>
      <c r="AV113"/>
      <c r="AW113" s="724">
        <v>0</v>
      </c>
      <c r="AX113" s="724">
        <v>0</v>
      </c>
      <c r="AY113" s="723">
        <f t="shared" ref="AY113:BD120" si="77">IF(Cntrl1=2,AY101,BG101)</f>
        <v>0.17430000000000001</v>
      </c>
      <c r="AZ113" s="723">
        <f t="shared" si="77"/>
        <v>0.50209999999999999</v>
      </c>
      <c r="BA113" s="723">
        <f t="shared" si="77"/>
        <v>2.98E-2</v>
      </c>
      <c r="BB113" s="723">
        <f t="shared" si="77"/>
        <v>0.34949999999999998</v>
      </c>
      <c r="BC113" s="723">
        <f t="shared" si="77"/>
        <v>7.9000000000000008E-3</v>
      </c>
      <c r="BD113" s="723">
        <f t="shared" si="77"/>
        <v>0.44140000000000001</v>
      </c>
      <c r="BE113"/>
      <c r="BF113"/>
      <c r="BG113"/>
      <c r="BH113"/>
      <c r="BI113"/>
      <c r="BJ113"/>
      <c r="BK113"/>
      <c r="BL113" s="711"/>
    </row>
    <row r="114" spans="20:64">
      <c r="T114" s="2"/>
      <c r="U114" s="2">
        <v>90</v>
      </c>
      <c r="V114" s="606">
        <v>3.4948722467208816E-3</v>
      </c>
      <c r="W114" s="607">
        <v>-7.0738933727779049E-2</v>
      </c>
      <c r="X114" s="607">
        <v>0.81174515637635658</v>
      </c>
      <c r="Y114" s="608">
        <v>0.52583255222688585</v>
      </c>
      <c r="Z114" s="606">
        <v>3.4948722467208816E-3</v>
      </c>
      <c r="AA114" s="607">
        <v>-7.0738933727779049E-2</v>
      </c>
      <c r="AB114" s="607">
        <v>0.81174515637635658</v>
      </c>
      <c r="AC114" s="608">
        <v>0.52583255222688585</v>
      </c>
      <c r="AE114"/>
      <c r="AF114" s="2"/>
      <c r="AG114" s="703"/>
      <c r="AH114" s="703"/>
      <c r="AI114" s="703"/>
      <c r="AJ114" s="703"/>
      <c r="AK114" s="703"/>
      <c r="AL114" s="703"/>
      <c r="AT114" s="769">
        <v>2</v>
      </c>
      <c r="AU114" t="s">
        <v>1138</v>
      </c>
      <c r="AV114"/>
      <c r="AW114" s="724">
        <v>0</v>
      </c>
      <c r="AX114" s="724">
        <v>0</v>
      </c>
      <c r="AY114" s="723">
        <f t="shared" si="77"/>
        <v>0.20979999999999999</v>
      </c>
      <c r="AZ114" s="723">
        <f t="shared" si="77"/>
        <v>0.39689999999999998</v>
      </c>
      <c r="BA114" s="723">
        <f t="shared" si="77"/>
        <v>3.3000000000000002E-2</v>
      </c>
      <c r="BB114" s="723">
        <f t="shared" si="77"/>
        <v>0.23730000000000001</v>
      </c>
      <c r="BC114" s="723">
        <f t="shared" si="77"/>
        <v>4.2200000000000001E-2</v>
      </c>
      <c r="BD114" s="723">
        <f t="shared" si="77"/>
        <v>-0.80500000000000005</v>
      </c>
      <c r="BE114"/>
      <c r="BF114"/>
      <c r="BG114"/>
      <c r="BH114"/>
      <c r="BI114"/>
      <c r="BJ114"/>
      <c r="BK114"/>
      <c r="BL114" s="711"/>
    </row>
    <row r="115" spans="20:64">
      <c r="T115" s="2"/>
      <c r="U115" s="2">
        <v>135</v>
      </c>
      <c r="V115" s="611">
        <v>3.5731501006766356E-3</v>
      </c>
      <c r="W115" s="176">
        <v>-7.229128024629812E-2</v>
      </c>
      <c r="X115" s="176">
        <v>0.82478864980424915</v>
      </c>
      <c r="Y115" s="612">
        <v>0.5348572174859032</v>
      </c>
      <c r="Z115" s="611">
        <v>3.5731501006766356E-3</v>
      </c>
      <c r="AA115" s="176">
        <v>-7.229128024629812E-2</v>
      </c>
      <c r="AB115" s="176">
        <v>0.82478864980424915</v>
      </c>
      <c r="AC115" s="612">
        <v>0.5348572174859032</v>
      </c>
      <c r="AE115"/>
      <c r="AF115" s="2"/>
      <c r="AG115" s="703"/>
      <c r="AH115" s="703"/>
      <c r="AI115" s="703"/>
      <c r="AJ115" s="703"/>
      <c r="AK115" s="703"/>
      <c r="AL115" s="703"/>
      <c r="AT115" s="769">
        <v>3</v>
      </c>
      <c r="AU115" t="s">
        <v>1139</v>
      </c>
      <c r="AV115"/>
      <c r="AW115" s="724">
        <v>0</v>
      </c>
      <c r="AX115" s="724">
        <v>0</v>
      </c>
      <c r="AY115" s="723">
        <f t="shared" si="77"/>
        <v>0.29749999999999999</v>
      </c>
      <c r="AZ115" s="723">
        <f t="shared" si="77"/>
        <v>0.3589</v>
      </c>
      <c r="BA115" s="723">
        <f t="shared" si="77"/>
        <v>5.2400000000000002E-2</v>
      </c>
      <c r="BB115" s="723">
        <f t="shared" si="77"/>
        <v>0.18579999999999999</v>
      </c>
      <c r="BC115" s="723">
        <f t="shared" si="77"/>
        <v>8.7499999999999994E-2</v>
      </c>
      <c r="BD115" s="723">
        <f t="shared" si="77"/>
        <v>-0.373</v>
      </c>
      <c r="BE115"/>
      <c r="BF115"/>
      <c r="BG115"/>
      <c r="BH115"/>
      <c r="BI115"/>
      <c r="BJ115"/>
      <c r="BK115"/>
      <c r="BL115" s="711"/>
    </row>
    <row r="116" spans="20:64">
      <c r="T116" s="172" t="s">
        <v>716</v>
      </c>
      <c r="U116" s="2">
        <v>180</v>
      </c>
      <c r="V116" s="611">
        <v>3.631299352199024E-3</v>
      </c>
      <c r="W116" s="176">
        <v>-7.3445531578933479E-2</v>
      </c>
      <c r="X116" s="176">
        <v>0.83458061739169764</v>
      </c>
      <c r="Y116" s="612">
        <v>0.54061201485810662</v>
      </c>
      <c r="Z116" s="611">
        <v>3.631299352199024E-3</v>
      </c>
      <c r="AA116" s="176">
        <v>-7.3445531578933479E-2</v>
      </c>
      <c r="AB116" s="176">
        <v>0.83458061739169764</v>
      </c>
      <c r="AC116" s="612">
        <v>0.54061201485810662</v>
      </c>
      <c r="AE116"/>
      <c r="AF116" s="2"/>
      <c r="AG116" s="703"/>
      <c r="AH116" s="703"/>
      <c r="AI116" s="703"/>
      <c r="AJ116" s="703"/>
      <c r="AK116" s="703"/>
      <c r="AL116" s="703"/>
      <c r="AT116" s="769">
        <v>4</v>
      </c>
      <c r="AU116" t="s">
        <v>1140</v>
      </c>
      <c r="AV116"/>
      <c r="AW116" s="724">
        <v>0</v>
      </c>
      <c r="AX116" s="724">
        <v>0</v>
      </c>
      <c r="AY116" s="723">
        <f t="shared" si="77"/>
        <v>0.22639999999999999</v>
      </c>
      <c r="AZ116" s="723">
        <f t="shared" si="77"/>
        <v>0.35460000000000003</v>
      </c>
      <c r="BA116" s="723">
        <f t="shared" si="77"/>
        <v>3.5299999999999998E-2</v>
      </c>
      <c r="BB116" s="723">
        <f t="shared" si="77"/>
        <v>0.1913</v>
      </c>
      <c r="BC116" s="723">
        <f t="shared" si="77"/>
        <v>7.8799999999999995E-2</v>
      </c>
      <c r="BD116" s="723">
        <f t="shared" si="77"/>
        <v>-1.081</v>
      </c>
      <c r="BE116"/>
      <c r="BF116"/>
      <c r="BG116"/>
      <c r="BH116"/>
      <c r="BI116"/>
      <c r="BJ116"/>
      <c r="BK116"/>
      <c r="BL116" s="711"/>
    </row>
    <row r="117" spans="20:64">
      <c r="T117" s="172"/>
      <c r="U117" s="2">
        <v>250</v>
      </c>
      <c r="V117" s="611">
        <v>3.7255324555531899E-3</v>
      </c>
      <c r="W117" s="176">
        <v>-7.5288111746540959E-2</v>
      </c>
      <c r="X117" s="176">
        <v>0.84992239304209094</v>
      </c>
      <c r="Y117" s="612">
        <v>0.55552199898394694</v>
      </c>
      <c r="Z117" s="611">
        <v>3.7255324555531899E-3</v>
      </c>
      <c r="AA117" s="176">
        <v>-7.5288111746540959E-2</v>
      </c>
      <c r="AB117" s="176">
        <v>0.84992239304209094</v>
      </c>
      <c r="AC117" s="612">
        <v>0.55552199898394694</v>
      </c>
      <c r="AT117" s="769">
        <v>5</v>
      </c>
      <c r="AU117" t="s">
        <v>1141</v>
      </c>
      <c r="AV117"/>
      <c r="AW117" s="724">
        <v>0</v>
      </c>
      <c r="AX117" s="724">
        <v>0</v>
      </c>
      <c r="AY117" s="723">
        <f t="shared" si="77"/>
        <v>0.38600000000000001</v>
      </c>
      <c r="AZ117" s="723">
        <f t="shared" si="77"/>
        <v>0.3503</v>
      </c>
      <c r="BA117" s="723">
        <f t="shared" si="77"/>
        <v>7.1400000000000005E-2</v>
      </c>
      <c r="BB117" s="723">
        <f t="shared" si="77"/>
        <v>0.17649999999999999</v>
      </c>
      <c r="BC117" s="723">
        <f t="shared" si="77"/>
        <v>0.17960000000000001</v>
      </c>
      <c r="BD117" s="723">
        <f t="shared" si="77"/>
        <v>-0.26600000000000001</v>
      </c>
      <c r="BE117"/>
      <c r="BF117"/>
      <c r="BG117"/>
      <c r="BH117"/>
      <c r="BI117"/>
      <c r="BJ117"/>
      <c r="BK117"/>
      <c r="BL117" s="711"/>
    </row>
    <row r="118" spans="20:64">
      <c r="T118" s="172"/>
      <c r="U118" s="2">
        <v>300</v>
      </c>
      <c r="V118" s="613">
        <v>3.8013934363076689E-3</v>
      </c>
      <c r="W118" s="614">
        <v>-7.6771756975894168E-2</v>
      </c>
      <c r="X118" s="614">
        <v>0.86227249515722904</v>
      </c>
      <c r="Y118" s="615">
        <v>0.56755632986911242</v>
      </c>
      <c r="Z118" s="613">
        <v>3.8013934363076689E-3</v>
      </c>
      <c r="AA118" s="614">
        <v>-7.6771756975894168E-2</v>
      </c>
      <c r="AB118" s="614">
        <v>0.86227249515722904</v>
      </c>
      <c r="AC118" s="615">
        <v>0.56755632986911242</v>
      </c>
      <c r="AT118" s="769">
        <v>6</v>
      </c>
      <c r="AU118" t="s">
        <v>61</v>
      </c>
      <c r="AV118"/>
      <c r="AW118" s="724">
        <v>0</v>
      </c>
      <c r="AX118" s="724">
        <v>0</v>
      </c>
      <c r="AY118" s="723">
        <f t="shared" si="77"/>
        <v>0.20630000000000001</v>
      </c>
      <c r="AZ118" s="723">
        <f t="shared" si="77"/>
        <v>0.36759999999999998</v>
      </c>
      <c r="BA118" s="723">
        <f t="shared" si="77"/>
        <v>6.9500000000000006E-2</v>
      </c>
      <c r="BB118" s="723">
        <f t="shared" si="77"/>
        <v>0.20799999999999999</v>
      </c>
      <c r="BC118" s="723">
        <f t="shared" si="77"/>
        <v>0</v>
      </c>
      <c r="BD118" s="723">
        <f t="shared" si="77"/>
        <v>0</v>
      </c>
      <c r="BE118"/>
      <c r="BF118"/>
      <c r="BG118"/>
      <c r="BH118"/>
      <c r="BI118"/>
      <c r="BJ118"/>
      <c r="BK118"/>
      <c r="BL118" s="711"/>
    </row>
    <row r="119" spans="20:64">
      <c r="T119" s="172"/>
      <c r="U119" s="2">
        <v>90</v>
      </c>
      <c r="V119" s="606">
        <v>4.647455481177119E-3</v>
      </c>
      <c r="W119" s="607">
        <v>-9.7661407973344661E-2</v>
      </c>
      <c r="X119" s="607">
        <v>1.0536749045498228</v>
      </c>
      <c r="Y119" s="608">
        <v>0.40651719930661923</v>
      </c>
      <c r="Z119" s="606">
        <v>4.647455481177119E-3</v>
      </c>
      <c r="AA119" s="607">
        <v>-9.7661407973344661E-2</v>
      </c>
      <c r="AB119" s="607">
        <v>1.0536749045498228</v>
      </c>
      <c r="AC119" s="608">
        <v>0.40651719930661923</v>
      </c>
      <c r="AG119" s="19"/>
      <c r="AH119" s="19"/>
      <c r="AI119" s="19"/>
      <c r="AJ119" s="19"/>
      <c r="AK119" s="19"/>
      <c r="AT119" s="769">
        <v>7</v>
      </c>
      <c r="AU119" t="s">
        <v>1142</v>
      </c>
      <c r="AV119"/>
      <c r="AW119" s="724">
        <v>0</v>
      </c>
      <c r="AX119" s="724">
        <v>0</v>
      </c>
      <c r="AY119" s="723">
        <f t="shared" si="77"/>
        <v>0.32890000000000003</v>
      </c>
      <c r="AZ119" s="723">
        <f t="shared" si="77"/>
        <v>0.31619999999999998</v>
      </c>
      <c r="BA119" s="723">
        <f t="shared" si="77"/>
        <v>0.29110000000000003</v>
      </c>
      <c r="BB119" s="723">
        <f t="shared" si="77"/>
        <v>-2.9999999999999997E-4</v>
      </c>
      <c r="BC119" s="723">
        <f t="shared" si="77"/>
        <v>0</v>
      </c>
      <c r="BD119" s="723">
        <f t="shared" si="77"/>
        <v>0</v>
      </c>
      <c r="BE119"/>
      <c r="BF119"/>
      <c r="BG119"/>
      <c r="BH119"/>
      <c r="BI119"/>
      <c r="BJ119"/>
      <c r="BK119"/>
      <c r="BL119" s="711"/>
    </row>
    <row r="120" spans="20:64">
      <c r="T120" s="172"/>
      <c r="U120" s="2">
        <v>135</v>
      </c>
      <c r="V120" s="611">
        <v>4.6544788487446493E-3</v>
      </c>
      <c r="W120" s="176">
        <v>-9.7970864739237606E-2</v>
      </c>
      <c r="X120" s="176">
        <v>1.0601625593716264</v>
      </c>
      <c r="Y120" s="612">
        <v>0.39595856927119244</v>
      </c>
      <c r="Z120" s="611">
        <v>4.6544788487446493E-3</v>
      </c>
      <c r="AA120" s="176">
        <v>-9.7970864739237606E-2</v>
      </c>
      <c r="AB120" s="176">
        <v>1.0601625593716264</v>
      </c>
      <c r="AC120" s="612">
        <v>0.39595856927119244</v>
      </c>
      <c r="AF120" s="953"/>
      <c r="AG120" s="19"/>
      <c r="AH120" s="990"/>
      <c r="AI120" s="990"/>
      <c r="AJ120" s="990"/>
      <c r="AK120" s="990"/>
      <c r="AL120" s="577"/>
      <c r="AM120" s="577"/>
      <c r="AT120" s="769">
        <v>8</v>
      </c>
      <c r="AU120" t="s">
        <v>1143</v>
      </c>
      <c r="AV120"/>
      <c r="AW120" s="724">
        <v>0</v>
      </c>
      <c r="AX120" s="724">
        <v>0</v>
      </c>
      <c r="AY120" s="723">
        <f t="shared" si="77"/>
        <v>0.39340000000000003</v>
      </c>
      <c r="AZ120" s="723">
        <f t="shared" si="77"/>
        <v>0.34399999999999997</v>
      </c>
      <c r="BA120" s="723">
        <f t="shared" si="77"/>
        <v>0.4476</v>
      </c>
      <c r="BB120" s="723">
        <f t="shared" si="77"/>
        <v>6.6E-3</v>
      </c>
      <c r="BC120" s="723">
        <f t="shared" si="77"/>
        <v>0</v>
      </c>
      <c r="BD120" s="723">
        <f t="shared" si="77"/>
        <v>0</v>
      </c>
      <c r="BE120"/>
      <c r="BF120"/>
      <c r="BG120"/>
      <c r="BH120"/>
      <c r="BI120"/>
      <c r="BJ120"/>
      <c r="BK120"/>
      <c r="BL120" s="711"/>
    </row>
    <row r="121" spans="20:64">
      <c r="T121" s="172" t="s">
        <v>718</v>
      </c>
      <c r="U121" s="2">
        <v>180</v>
      </c>
      <c r="V121" s="611">
        <v>4.7087349955345793E-3</v>
      </c>
      <c r="W121" s="176">
        <v>-9.9169184196089125E-2</v>
      </c>
      <c r="X121" s="176">
        <v>1.0721225452155203</v>
      </c>
      <c r="Y121" s="612">
        <v>0.39533268927383836</v>
      </c>
      <c r="Z121" s="611">
        <v>4.7087349955345793E-3</v>
      </c>
      <c r="AA121" s="176">
        <v>-9.9169184196089125E-2</v>
      </c>
      <c r="AB121" s="176">
        <v>1.0721225452155203</v>
      </c>
      <c r="AC121" s="612">
        <v>0.39533268927383836</v>
      </c>
      <c r="AF121" s="953"/>
      <c r="AG121" s="19"/>
      <c r="AH121" s="990"/>
      <c r="AI121" s="990"/>
      <c r="AJ121" s="990"/>
      <c r="AK121" s="990"/>
      <c r="AL121" s="577"/>
      <c r="AM121" s="577"/>
      <c r="AT121" s="771" cm="1">
        <f t="array" ref="AT121">INDEX(AT113:AT120,Cntrl4-1)</f>
        <v>1</v>
      </c>
      <c r="AU121" s="178" t="str" cm="1">
        <f t="array" ref="AU121">INDEX(AU113:AU120,Cntrl4-1)</f>
        <v>none</v>
      </c>
      <c r="AV121" s="178"/>
      <c r="AW121" s="772" cm="1">
        <f t="array" ref="AW121">INDEX(AW113:AW120,Cntrl4-1)</f>
        <v>0</v>
      </c>
      <c r="AX121" s="772" cm="1">
        <f t="array" ref="AX121">INDEX(AX113:AX120,Cntrl4-1)</f>
        <v>0</v>
      </c>
      <c r="AY121" s="175" cm="1">
        <f t="array" ref="AY121">INDEX(AY113:AY120,Cntrl4-1)</f>
        <v>0.17430000000000001</v>
      </c>
      <c r="AZ121" s="175" cm="1">
        <f t="array" ref="AZ121">INDEX(AZ113:AZ120,Cntrl4-1)</f>
        <v>0.50209999999999999</v>
      </c>
      <c r="BA121" s="175" cm="1">
        <f t="array" ref="BA121">INDEX(BA113:BA120,Cntrl4-1)</f>
        <v>2.98E-2</v>
      </c>
      <c r="BB121" s="175" cm="1">
        <f t="array" ref="BB121">INDEX(BB113:BB120,Cntrl4-1)</f>
        <v>0.34949999999999998</v>
      </c>
      <c r="BC121" s="175" cm="1">
        <f t="array" ref="BC121">INDEX(BC113:BC120,Cntrl4-1)</f>
        <v>7.9000000000000008E-3</v>
      </c>
      <c r="BD121" s="175" cm="1">
        <f t="array" ref="BD121">INDEX(BD113:BD120,Cntrl4-1)</f>
        <v>0.44140000000000001</v>
      </c>
      <c r="BE121"/>
      <c r="BF121"/>
      <c r="BG121"/>
      <c r="BH121"/>
      <c r="BI121"/>
      <c r="BJ121"/>
      <c r="BK121"/>
      <c r="BL121" s="711"/>
    </row>
    <row r="122" spans="20:64" ht="17.25">
      <c r="T122" s="2"/>
      <c r="U122" s="2">
        <v>250</v>
      </c>
      <c r="V122" s="611">
        <v>4.7393501518213279E-3</v>
      </c>
      <c r="W122" s="176">
        <v>-9.9934704607647751E-2</v>
      </c>
      <c r="X122" s="176">
        <v>1.0817930678733085</v>
      </c>
      <c r="Y122" s="612">
        <v>0.39051238850430381</v>
      </c>
      <c r="Z122" s="611">
        <v>4.7393501518213279E-3</v>
      </c>
      <c r="AA122" s="176">
        <v>-9.9934704607647751E-2</v>
      </c>
      <c r="AB122" s="176">
        <v>1.0817930678733085</v>
      </c>
      <c r="AC122" s="612">
        <v>0.39051238850430381</v>
      </c>
      <c r="AF122" s="953"/>
      <c r="AG122" s="19"/>
      <c r="AH122" s="990"/>
      <c r="AI122" s="990"/>
      <c r="AJ122" s="990"/>
      <c r="AK122" s="990"/>
      <c r="AL122" s="577"/>
      <c r="AM122" s="577"/>
      <c r="AT122" s="710"/>
      <c r="AU122"/>
      <c r="AV122"/>
      <c r="AW122" s="2" t="s">
        <v>1137</v>
      </c>
      <c r="AX122" s="2" t="s">
        <v>1130</v>
      </c>
      <c r="AY122" s="2" t="s">
        <v>1137</v>
      </c>
      <c r="AZ122" s="2" t="s">
        <v>1130</v>
      </c>
      <c r="BA122" s="2" t="s">
        <v>1137</v>
      </c>
      <c r="BB122" s="2" t="s">
        <v>1130</v>
      </c>
      <c r="BC122" s="2" t="s">
        <v>1137</v>
      </c>
      <c r="BD122" s="2" t="s">
        <v>1130</v>
      </c>
      <c r="BE122"/>
      <c r="BF122"/>
      <c r="BG122"/>
      <c r="BH122"/>
      <c r="BI122"/>
      <c r="BJ122"/>
      <c r="BK122"/>
      <c r="BL122" s="711"/>
    </row>
    <row r="123" spans="20:64">
      <c r="T123" s="2"/>
      <c r="U123" s="2">
        <v>300</v>
      </c>
      <c r="V123" s="613">
        <v>4.7747363771826696E-3</v>
      </c>
      <c r="W123" s="614">
        <v>-0.10074869140502503</v>
      </c>
      <c r="X123" s="614">
        <v>1.090795567062258</v>
      </c>
      <c r="Y123" s="615">
        <v>0.38941727781453772</v>
      </c>
      <c r="Z123" s="613">
        <v>4.7747363771826696E-3</v>
      </c>
      <c r="AA123" s="614">
        <v>-0.10074869140502503</v>
      </c>
      <c r="AB123" s="614">
        <v>1.090795567062258</v>
      </c>
      <c r="AC123" s="615">
        <v>0.38941727781453772</v>
      </c>
      <c r="AF123" s="953"/>
      <c r="AG123" s="19"/>
      <c r="AH123" s="990"/>
      <c r="AI123" s="990"/>
      <c r="AJ123" s="990"/>
      <c r="AK123" s="990"/>
      <c r="AL123" s="577"/>
      <c r="AM123" s="577"/>
      <c r="AT123" s="710"/>
      <c r="AU123"/>
      <c r="AV123"/>
      <c r="AW123" s="703">
        <f>IF(Cntrl3&lt;3,0,AW121)</f>
        <v>0</v>
      </c>
      <c r="AX123" s="703">
        <f>IF(Cntrl3&lt;3,0,AX121)</f>
        <v>0</v>
      </c>
      <c r="AY123" s="703">
        <f>IF(Cntrl3&lt;3,0,AY121)</f>
        <v>0</v>
      </c>
      <c r="AZ123" s="703">
        <f>IF(Cntrl3&lt;3,0,AZ121)</f>
        <v>0</v>
      </c>
      <c r="BA123" s="703">
        <f>IF(Cntrl3&lt;4,0,BA121)</f>
        <v>0</v>
      </c>
      <c r="BB123" s="703">
        <f>IF(Cntrl3&lt;4,0,BB121)</f>
        <v>0</v>
      </c>
      <c r="BC123" s="703">
        <f>IF(Cntrl3&lt;5,0,BC121)</f>
        <v>0</v>
      </c>
      <c r="BD123" s="703">
        <f>IF(Cntrl3&lt;5,0,BD121)</f>
        <v>0</v>
      </c>
      <c r="BE123"/>
      <c r="BF123"/>
      <c r="BG123"/>
      <c r="BH123"/>
      <c r="BI123"/>
      <c r="BJ123"/>
      <c r="BK123"/>
      <c r="BL123" s="711"/>
    </row>
    <row r="124" spans="20:64">
      <c r="T124" s="172"/>
      <c r="U124" s="2">
        <v>90</v>
      </c>
      <c r="V124" s="606">
        <v>0.12500000000000006</v>
      </c>
      <c r="W124" s="607">
        <v>-0.38214285714285767</v>
      </c>
      <c r="X124" s="607">
        <v>0.74857142857142955</v>
      </c>
      <c r="Y124" s="607">
        <v>0.19131428571428538</v>
      </c>
      <c r="Z124" s="607">
        <v>3.4820465319394507E-4</v>
      </c>
      <c r="AA124" s="607">
        <v>-5.6717747312476502E-3</v>
      </c>
      <c r="AB124" s="607">
        <v>0.3678484209723758</v>
      </c>
      <c r="AC124" s="608">
        <v>0.35109342581260439</v>
      </c>
      <c r="AF124" s="953"/>
      <c r="AG124" s="19"/>
      <c r="AH124" s="990"/>
      <c r="AI124" s="990"/>
      <c r="AJ124" s="990"/>
      <c r="AK124" s="990"/>
      <c r="AL124" s="577"/>
      <c r="AM124" s="577"/>
      <c r="AT124" s="712"/>
      <c r="AU124" s="713"/>
      <c r="AV124" s="713"/>
      <c r="AW124" s="713"/>
      <c r="AX124" s="713"/>
      <c r="AY124" s="774" t="s">
        <v>1144</v>
      </c>
      <c r="AZ124" s="774" t="s">
        <v>1145</v>
      </c>
      <c r="BA124" s="774" t="s">
        <v>1146</v>
      </c>
      <c r="BB124" s="774" t="s">
        <v>1147</v>
      </c>
      <c r="BC124" s="774" t="s">
        <v>1148</v>
      </c>
      <c r="BD124" s="774" t="s">
        <v>1149</v>
      </c>
      <c r="BE124" s="713"/>
      <c r="BF124" s="713"/>
      <c r="BG124" s="713"/>
      <c r="BH124" s="713"/>
      <c r="BI124" s="713"/>
      <c r="BJ124" s="713"/>
      <c r="BK124" s="713"/>
      <c r="BL124" s="714"/>
    </row>
    <row r="125" spans="20:64">
      <c r="T125" s="172"/>
      <c r="U125" s="2">
        <v>135</v>
      </c>
      <c r="V125" s="611">
        <v>8.790509259259198E-2</v>
      </c>
      <c r="W125" s="176">
        <v>-0.28296626984126794</v>
      </c>
      <c r="X125" s="176">
        <v>0.68223776455026286</v>
      </c>
      <c r="Y125" s="176">
        <v>0.21262690476190527</v>
      </c>
      <c r="Z125" s="176">
        <v>3.6075884205976082E-4</v>
      </c>
      <c r="AA125" s="176">
        <v>-5.8831213489231073E-3</v>
      </c>
      <c r="AB125" s="176">
        <v>0.37405627844445166</v>
      </c>
      <c r="AC125" s="612">
        <v>0.35934848482871851</v>
      </c>
      <c r="AF125" s="953"/>
      <c r="AG125" s="19"/>
      <c r="AH125" s="990"/>
      <c r="AI125" s="990"/>
      <c r="AJ125" s="990"/>
      <c r="AK125" s="990"/>
      <c r="AL125" s="577"/>
      <c r="AM125" s="577"/>
      <c r="AT125" s="902" t="s">
        <v>2192</v>
      </c>
      <c r="AU125" s="903"/>
      <c r="AV125" s="903"/>
      <c r="AW125" s="766" t="s">
        <v>2226</v>
      </c>
      <c r="AX125" s="766"/>
      <c r="AY125" s="766"/>
      <c r="AZ125" s="766"/>
      <c r="BA125" s="766"/>
      <c r="BB125" s="766"/>
      <c r="BC125" s="766"/>
      <c r="BD125" s="766"/>
      <c r="BE125" s="766" t="s">
        <v>2227</v>
      </c>
      <c r="BF125" s="708"/>
      <c r="BG125" s="708"/>
      <c r="BH125" s="708"/>
      <c r="BI125" s="708"/>
      <c r="BJ125" s="708"/>
      <c r="BK125" s="708"/>
      <c r="BL125" s="709"/>
    </row>
    <row r="126" spans="20:64">
      <c r="T126" s="172" t="s">
        <v>186</v>
      </c>
      <c r="U126" s="2">
        <v>180</v>
      </c>
      <c r="V126" s="611">
        <v>-9.2592592592612832E-3</v>
      </c>
      <c r="W126" s="176">
        <v>2.6984126984133706E-2</v>
      </c>
      <c r="X126" s="176">
        <v>0.37497354497353791</v>
      </c>
      <c r="Y126" s="176">
        <v>0.32735238095238323</v>
      </c>
      <c r="Z126" s="176">
        <v>3.7197708896406328E-4</v>
      </c>
      <c r="AA126" s="176">
        <v>-6.0714108183317524E-3</v>
      </c>
      <c r="AB126" s="176">
        <v>0.38003554447636539</v>
      </c>
      <c r="AC126" s="612">
        <v>0.36753800629415934</v>
      </c>
      <c r="AF126" s="953"/>
      <c r="AG126" s="19"/>
      <c r="AH126" s="990"/>
      <c r="AI126" s="990"/>
      <c r="AJ126" s="990"/>
      <c r="AK126" s="990"/>
      <c r="AL126" s="577"/>
      <c r="AM126" s="577"/>
      <c r="AT126" s="710"/>
      <c r="AU126"/>
      <c r="AV126"/>
      <c r="AW126" s="2" t="s">
        <v>61</v>
      </c>
      <c r="AX126"/>
      <c r="AY126" t="s">
        <v>1134</v>
      </c>
      <c r="AZ126"/>
      <c r="BA126" t="s">
        <v>1135</v>
      </c>
      <c r="BB126"/>
      <c r="BC126" t="s">
        <v>1136</v>
      </c>
      <c r="BD126"/>
      <c r="BE126" s="2" t="s">
        <v>61</v>
      </c>
      <c r="BF126"/>
      <c r="BG126" t="s">
        <v>1134</v>
      </c>
      <c r="BH126"/>
      <c r="BI126" t="s">
        <v>1135</v>
      </c>
      <c r="BJ126"/>
      <c r="BK126" t="s">
        <v>1136</v>
      </c>
      <c r="BL126" s="711"/>
    </row>
    <row r="127" spans="20:64" ht="17.25">
      <c r="T127" s="172"/>
      <c r="U127" s="2">
        <v>250</v>
      </c>
      <c r="V127" s="611">
        <v>8.1481481481481099E-2</v>
      </c>
      <c r="W127" s="176">
        <v>-0.2821031746031738</v>
      </c>
      <c r="X127" s="176">
        <v>0.71844708994708972</v>
      </c>
      <c r="Y127" s="176">
        <v>0.22315619047619045</v>
      </c>
      <c r="Z127" s="176">
        <v>3.8913284743285266E-4</v>
      </c>
      <c r="AA127" s="176">
        <v>-6.3587722893489037E-3</v>
      </c>
      <c r="AB127" s="176">
        <v>0.38900259176710611</v>
      </c>
      <c r="AC127" s="612">
        <v>0.3797553747777378</v>
      </c>
      <c r="AF127" s="953"/>
      <c r="AG127" s="19"/>
      <c r="AH127" s="990"/>
      <c r="AI127" s="990"/>
      <c r="AJ127" s="990"/>
      <c r="AK127" s="990"/>
      <c r="AL127" s="577"/>
      <c r="AM127" s="577"/>
      <c r="AT127" s="710"/>
      <c r="AU127"/>
      <c r="AV127"/>
      <c r="AW127" s="2" t="s">
        <v>1137</v>
      </c>
      <c r="AX127" s="2" t="s">
        <v>1130</v>
      </c>
      <c r="AY127" s="2" t="s">
        <v>1137</v>
      </c>
      <c r="AZ127" s="2" t="s">
        <v>1130</v>
      </c>
      <c r="BA127" s="2" t="s">
        <v>1137</v>
      </c>
      <c r="BB127" s="2" t="s">
        <v>1130</v>
      </c>
      <c r="BC127" s="2" t="s">
        <v>1137</v>
      </c>
      <c r="BD127" s="2" t="s">
        <v>1130</v>
      </c>
      <c r="BE127" s="2" t="s">
        <v>1137</v>
      </c>
      <c r="BF127" s="2" t="s">
        <v>1130</v>
      </c>
      <c r="BG127" s="2" t="s">
        <v>1137</v>
      </c>
      <c r="BH127" s="2" t="s">
        <v>1130</v>
      </c>
      <c r="BI127" s="2" t="s">
        <v>1137</v>
      </c>
      <c r="BJ127" s="2" t="s">
        <v>1130</v>
      </c>
      <c r="BK127" s="2" t="s">
        <v>1137</v>
      </c>
      <c r="BL127" s="768" t="s">
        <v>1130</v>
      </c>
    </row>
    <row r="128" spans="20:64">
      <c r="T128" s="172"/>
      <c r="U128" s="2">
        <v>300</v>
      </c>
      <c r="V128" s="611">
        <v>0.12500000000000092</v>
      </c>
      <c r="W128" s="176">
        <v>-0.45357142857143185</v>
      </c>
      <c r="X128" s="176">
        <v>0.93428571428571805</v>
      </c>
      <c r="Y128" s="176">
        <v>0.15645714285714163</v>
      </c>
      <c r="Z128" s="176">
        <v>4.0077804699196421E-4</v>
      </c>
      <c r="AA128" s="176">
        <v>-6.559023868043439E-3</v>
      </c>
      <c r="AB128" s="176">
        <v>0.39521034830312612</v>
      </c>
      <c r="AC128" s="612">
        <v>0.38793789079746155</v>
      </c>
      <c r="AF128" s="953"/>
      <c r="AG128" s="19"/>
      <c r="AH128" s="990"/>
      <c r="AI128" s="990"/>
      <c r="AJ128" s="990"/>
      <c r="AK128" s="990"/>
      <c r="AL128" s="577"/>
      <c r="AM128" s="577"/>
      <c r="AT128" s="710"/>
      <c r="AU128"/>
      <c r="AV128"/>
      <c r="AW128"/>
      <c r="AX128"/>
      <c r="AY128"/>
      <c r="AZ128"/>
      <c r="BA128"/>
      <c r="BB128"/>
      <c r="BC128"/>
      <c r="BD128"/>
      <c r="BE128"/>
      <c r="BF128"/>
      <c r="BG128"/>
      <c r="BH128"/>
      <c r="BI128"/>
      <c r="BJ128"/>
      <c r="BK128"/>
      <c r="BL128" s="711"/>
    </row>
    <row r="129" spans="20:64">
      <c r="T129" s="172"/>
      <c r="U129" s="2">
        <v>90</v>
      </c>
      <c r="V129" s="606">
        <v>0.57291666666667418</v>
      </c>
      <c r="W129" s="607">
        <v>-2.4910714285714533</v>
      </c>
      <c r="X129" s="607">
        <v>3.5842261904762163</v>
      </c>
      <c r="Y129" s="607">
        <v>-0.50178571428572227</v>
      </c>
      <c r="Z129" s="607">
        <v>-3.8786075970739163E-4</v>
      </c>
      <c r="AA129" s="607">
        <v>1.0148708035643638E-2</v>
      </c>
      <c r="AB129" s="607">
        <v>0.28441545154511733</v>
      </c>
      <c r="AC129" s="608">
        <v>0.71144996366135105</v>
      </c>
      <c r="AF129" s="953"/>
      <c r="AG129" s="19"/>
      <c r="AH129" s="990"/>
      <c r="AI129" s="990"/>
      <c r="AJ129" s="990"/>
      <c r="AK129" s="990"/>
      <c r="AL129" s="577"/>
      <c r="AM129" s="577"/>
      <c r="AT129" s="769">
        <v>1</v>
      </c>
      <c r="AU129" t="s">
        <v>61</v>
      </c>
      <c r="AV129"/>
      <c r="AW129" s="722">
        <v>7.2400000000000006E-2</v>
      </c>
      <c r="AX129" s="722">
        <v>1</v>
      </c>
      <c r="AY129" s="722">
        <v>4.9399999999999999E-2</v>
      </c>
      <c r="AZ129" s="722">
        <v>1</v>
      </c>
      <c r="BA129" s="2">
        <v>4.58E-2</v>
      </c>
      <c r="BB129" s="722">
        <v>1</v>
      </c>
      <c r="BC129" s="2">
        <v>4.5400000000000003E-2</v>
      </c>
      <c r="BD129" s="722">
        <v>1</v>
      </c>
      <c r="BE129" s="722">
        <v>6.2100000000000002E-2</v>
      </c>
      <c r="BF129" s="722">
        <v>1</v>
      </c>
      <c r="BG129" s="722">
        <v>5.5100000000000003E-2</v>
      </c>
      <c r="BH129" s="722">
        <v>1</v>
      </c>
      <c r="BI129" s="2">
        <v>5.2900000000000003E-2</v>
      </c>
      <c r="BJ129" s="722">
        <v>1</v>
      </c>
      <c r="BK129" s="2">
        <v>5.0799999999999998E-2</v>
      </c>
      <c r="BL129" s="726">
        <v>1</v>
      </c>
    </row>
    <row r="130" spans="20:64">
      <c r="T130" s="172"/>
      <c r="U130" s="2">
        <v>135</v>
      </c>
      <c r="V130" s="611">
        <v>0.63483796296297046</v>
      </c>
      <c r="W130" s="176">
        <v>-2.6447420634920893</v>
      </c>
      <c r="X130" s="176">
        <v>3.6498048941799226</v>
      </c>
      <c r="Y130" s="176">
        <v>-0.43652619047619989</v>
      </c>
      <c r="Z130" s="176">
        <v>-3.8127728617311956E-4</v>
      </c>
      <c r="AA130" s="176">
        <v>1.0118639201817969E-2</v>
      </c>
      <c r="AB130" s="176">
        <v>0.29019279492835504</v>
      </c>
      <c r="AC130" s="612">
        <v>0.73139439435933551</v>
      </c>
      <c r="AF130" s="953"/>
      <c r="AG130" s="19"/>
      <c r="AH130" s="990"/>
      <c r="AI130" s="990"/>
      <c r="AJ130" s="990"/>
      <c r="AK130" s="990"/>
      <c r="AL130" s="577"/>
      <c r="AM130" s="577"/>
      <c r="AT130" s="769">
        <v>2</v>
      </c>
      <c r="AU130" t="s">
        <v>1138</v>
      </c>
      <c r="AV130"/>
      <c r="AW130" s="2">
        <v>1.0269999999999999</v>
      </c>
      <c r="AX130" s="2">
        <v>5.7099999999999998E-2</v>
      </c>
      <c r="AY130" s="2">
        <v>1.0310999999999999</v>
      </c>
      <c r="AZ130" s="2">
        <v>9.1000000000000004E-3</v>
      </c>
      <c r="BA130" s="2">
        <v>1.0316000000000001</v>
      </c>
      <c r="BB130" s="2">
        <v>3.3E-3</v>
      </c>
      <c r="BC130" s="2">
        <v>1.0256000000000001</v>
      </c>
      <c r="BD130" s="2">
        <v>2.3E-3</v>
      </c>
      <c r="BE130" s="2">
        <v>1.0109999999999999</v>
      </c>
      <c r="BF130" s="2">
        <v>3.3399999999999999E-2</v>
      </c>
      <c r="BG130" s="2">
        <v>1.0158</v>
      </c>
      <c r="BH130" s="2">
        <v>2.1499999999999998E-2</v>
      </c>
      <c r="BI130" s="2">
        <v>1.0165</v>
      </c>
      <c r="BJ130" s="2">
        <v>1.9099999999999999E-2</v>
      </c>
      <c r="BK130" s="2">
        <v>1.0142</v>
      </c>
      <c r="BL130" s="768">
        <v>2.46E-2</v>
      </c>
    </row>
    <row r="131" spans="20:64">
      <c r="T131" s="172" t="s">
        <v>240</v>
      </c>
      <c r="U131" s="2">
        <v>180</v>
      </c>
      <c r="V131" s="611">
        <v>0.79976851851852548</v>
      </c>
      <c r="W131" s="176">
        <v>-3.1253968253968494</v>
      </c>
      <c r="X131" s="176">
        <v>4.0313029100529363</v>
      </c>
      <c r="Y131" s="176">
        <v>-0.46577619047619812</v>
      </c>
      <c r="Z131" s="176">
        <v>-3.6619714730521823E-4</v>
      </c>
      <c r="AA131" s="176">
        <v>9.9072736387756551E-3</v>
      </c>
      <c r="AB131" s="176">
        <v>0.29670440026201855</v>
      </c>
      <c r="AC131" s="612">
        <v>0.74654366402532502</v>
      </c>
      <c r="AF131" s="953"/>
      <c r="AG131" s="19"/>
      <c r="AH131" s="990"/>
      <c r="AI131" s="990"/>
      <c r="AJ131" s="990"/>
      <c r="AK131" s="990"/>
      <c r="AL131" s="577"/>
      <c r="AM131" s="577"/>
      <c r="AT131" s="769">
        <v>3</v>
      </c>
      <c r="AU131" t="s">
        <v>1139</v>
      </c>
      <c r="AV131"/>
      <c r="AW131" s="2">
        <v>1.0733999999999999</v>
      </c>
      <c r="AX131" s="2">
        <v>0.153</v>
      </c>
      <c r="AY131" s="2">
        <v>1.0553999999999999</v>
      </c>
      <c r="AZ131" s="2">
        <v>8.9800000000000005E-2</v>
      </c>
      <c r="BA131" s="2">
        <v>1.0502</v>
      </c>
      <c r="BB131" s="2">
        <v>8.1799999999999998E-2</v>
      </c>
      <c r="BC131" s="2">
        <v>1.0195000000000001</v>
      </c>
      <c r="BD131" s="2">
        <v>8.3199999999999996E-2</v>
      </c>
      <c r="BE131" s="2">
        <v>1.044</v>
      </c>
      <c r="BF131" s="2">
        <v>0.1132</v>
      </c>
      <c r="BG131" s="2">
        <v>1.0437000000000001</v>
      </c>
      <c r="BH131" s="2">
        <v>9.7699999999999995E-2</v>
      </c>
      <c r="BI131" s="2">
        <v>1.0418000000000001</v>
      </c>
      <c r="BJ131" s="2">
        <v>9.4799999999999995E-2</v>
      </c>
      <c r="BK131" s="2">
        <v>1.0353000000000001</v>
      </c>
      <c r="BL131" s="768">
        <v>0.1019</v>
      </c>
    </row>
    <row r="132" spans="20:64">
      <c r="T132" s="172"/>
      <c r="U132" s="2">
        <v>250</v>
      </c>
      <c r="V132" s="611">
        <v>0.9074074074074151</v>
      </c>
      <c r="W132" s="176">
        <v>-3.456944444444471</v>
      </c>
      <c r="X132" s="176">
        <v>4.3186640211640501</v>
      </c>
      <c r="Y132" s="176">
        <v>-0.48896190476191448</v>
      </c>
      <c r="Z132" s="176">
        <v>-3.1627802903110133E-4</v>
      </c>
      <c r="AA132" s="176">
        <v>9.0017217393342248E-3</v>
      </c>
      <c r="AB132" s="176">
        <v>0.30953724641212227</v>
      </c>
      <c r="AC132" s="612">
        <v>0.75616743886391313</v>
      </c>
      <c r="AF132" s="953"/>
      <c r="AG132" s="19"/>
      <c r="AH132" s="990"/>
      <c r="AI132" s="990"/>
      <c r="AJ132" s="990"/>
      <c r="AK132" s="990"/>
      <c r="AL132" s="577"/>
      <c r="AM132" s="577"/>
      <c r="AT132" s="769">
        <v>4</v>
      </c>
      <c r="AU132" t="s">
        <v>1140</v>
      </c>
      <c r="AV132"/>
      <c r="AW132" s="2">
        <v>1.0657000000000001</v>
      </c>
      <c r="AX132" s="2">
        <v>3.3399999999999999E-2</v>
      </c>
      <c r="AY132" s="2">
        <v>1.0688</v>
      </c>
      <c r="AZ132" s="2">
        <v>-1.4999999999999999E-2</v>
      </c>
      <c r="BA132" s="2">
        <v>1.0692999999999999</v>
      </c>
      <c r="BB132" s="2">
        <v>-0.02</v>
      </c>
      <c r="BC132" s="2">
        <v>1.0656000000000001</v>
      </c>
      <c r="BD132" s="2">
        <v>-2.4E-2</v>
      </c>
      <c r="BE132" s="2">
        <v>1.0428999999999999</v>
      </c>
      <c r="BF132" s="2">
        <v>1.01E-2</v>
      </c>
      <c r="BG132" s="2">
        <v>1.0479000000000001</v>
      </c>
      <c r="BH132" s="2">
        <v>-1E-3</v>
      </c>
      <c r="BI132" s="2">
        <v>1.0486</v>
      </c>
      <c r="BJ132" s="2">
        <v>-4.0000000000000001E-3</v>
      </c>
      <c r="BK132" s="2">
        <v>1.0457000000000001</v>
      </c>
      <c r="BL132" s="768">
        <v>1.1000000000000001E-3</v>
      </c>
    </row>
    <row r="133" spans="20:64">
      <c r="T133" s="172"/>
      <c r="U133" s="2">
        <v>300</v>
      </c>
      <c r="V133" s="613">
        <v>1.0005787037037119</v>
      </c>
      <c r="W133" s="614">
        <v>-3.7284722222222504</v>
      </c>
      <c r="X133" s="614">
        <v>4.5062070105820418</v>
      </c>
      <c r="Y133" s="614">
        <v>-0.46123095238096323</v>
      </c>
      <c r="Z133" s="614">
        <v>-2.6973663148700214E-4</v>
      </c>
      <c r="AA133" s="614">
        <v>8.098082971428236E-3</v>
      </c>
      <c r="AB133" s="614">
        <v>0.31985363314991311</v>
      </c>
      <c r="AC133" s="615">
        <v>0.75510710993660468</v>
      </c>
      <c r="AF133" s="953"/>
      <c r="AG133" s="19"/>
      <c r="AH133" s="990"/>
      <c r="AI133" s="990"/>
      <c r="AJ133" s="990"/>
      <c r="AK133" s="990"/>
      <c r="AL133" s="577"/>
      <c r="AM133" s="577"/>
      <c r="AT133" s="769">
        <v>5</v>
      </c>
      <c r="AU133" t="s">
        <v>1141</v>
      </c>
      <c r="AV133"/>
      <c r="AW133" s="2">
        <v>1.1976</v>
      </c>
      <c r="AX133" s="2">
        <v>0.17560000000000001</v>
      </c>
      <c r="AY133" s="2">
        <v>1.1681999999999999</v>
      </c>
      <c r="AZ133" s="2">
        <v>9.9900000000000003E-2</v>
      </c>
      <c r="BA133" s="2">
        <v>1.1597</v>
      </c>
      <c r="BB133" s="2">
        <v>8.9700000000000002E-2</v>
      </c>
      <c r="BC133" s="2">
        <v>1.1062000000000001</v>
      </c>
      <c r="BD133" s="2">
        <v>8.4900000000000003E-2</v>
      </c>
      <c r="BE133" s="2">
        <v>1.1533</v>
      </c>
      <c r="BF133" s="2">
        <v>0.12130000000000001</v>
      </c>
      <c r="BG133" s="2">
        <v>1.1506000000000001</v>
      </c>
      <c r="BH133" s="2">
        <v>0.1041</v>
      </c>
      <c r="BI133" s="2">
        <v>1.147</v>
      </c>
      <c r="BJ133" s="2">
        <v>0.10050000000000001</v>
      </c>
      <c r="BK133" s="2">
        <v>1.1313</v>
      </c>
      <c r="BL133" s="768">
        <v>0.107</v>
      </c>
    </row>
    <row r="134" spans="20:64">
      <c r="T134" s="172"/>
      <c r="U134" s="2">
        <v>90</v>
      </c>
      <c r="V134" s="606">
        <v>0.32986111111111266</v>
      </c>
      <c r="W134" s="607">
        <v>-1.1577380952381009</v>
      </c>
      <c r="X134" s="607">
        <v>1.9022817460317527</v>
      </c>
      <c r="Y134" s="607">
        <v>1.3214285714283736E-2</v>
      </c>
      <c r="Z134" s="607">
        <v>1.192270480440305E-3</v>
      </c>
      <c r="AA134" s="607">
        <v>-2.282746044564913E-2</v>
      </c>
      <c r="AB134" s="607">
        <v>0.53116491755966011</v>
      </c>
      <c r="AC134" s="608">
        <v>0.66113876785158299</v>
      </c>
      <c r="AF134" s="953"/>
      <c r="AG134" s="19"/>
      <c r="AH134" s="990"/>
      <c r="AI134" s="990"/>
      <c r="AJ134" s="990"/>
      <c r="AK134" s="990"/>
      <c r="AL134" s="577"/>
      <c r="AM134" s="577"/>
      <c r="AT134" s="769">
        <v>6</v>
      </c>
      <c r="AU134" t="s">
        <v>61</v>
      </c>
      <c r="AV134"/>
      <c r="AW134" s="722">
        <v>6.2300000000000001E-2</v>
      </c>
      <c r="AX134" s="722">
        <v>1</v>
      </c>
      <c r="AY134" s="722">
        <v>4.1500000000000002E-2</v>
      </c>
      <c r="AZ134" s="722">
        <v>1</v>
      </c>
      <c r="BA134" s="2">
        <v>3.5799999999999998E-2</v>
      </c>
      <c r="BB134" s="174">
        <v>1</v>
      </c>
      <c r="BC134" s="2">
        <v>3.5799999999999998E-2</v>
      </c>
      <c r="BD134" s="174">
        <v>1</v>
      </c>
      <c r="BE134" s="722">
        <v>4.6300000000000001E-2</v>
      </c>
      <c r="BF134" s="722">
        <v>1</v>
      </c>
      <c r="BG134" s="176">
        <v>4.2299999999999997E-2</v>
      </c>
      <c r="BH134" s="174">
        <v>1</v>
      </c>
      <c r="BI134" s="2">
        <v>4.1000000000000002E-2</v>
      </c>
      <c r="BJ134" s="174">
        <v>1</v>
      </c>
      <c r="BK134" s="2">
        <v>4.1000000000000002E-2</v>
      </c>
      <c r="BL134" s="770">
        <v>1</v>
      </c>
    </row>
    <row r="135" spans="20:64">
      <c r="T135" s="172"/>
      <c r="U135" s="2">
        <v>135</v>
      </c>
      <c r="V135" s="611">
        <v>0.37384259259259467</v>
      </c>
      <c r="W135" s="176">
        <v>-1.3305555555555633</v>
      </c>
      <c r="X135" s="176">
        <v>2.1193716931217024</v>
      </c>
      <c r="Y135" s="176">
        <v>-3.8523809523842711E-3</v>
      </c>
      <c r="Z135" s="176">
        <v>1.1849700690756031E-3</v>
      </c>
      <c r="AA135" s="176">
        <v>-2.2435182967546947E-2</v>
      </c>
      <c r="AB135" s="176">
        <v>0.5340803408987338</v>
      </c>
      <c r="AC135" s="612">
        <v>0.72315839074924115</v>
      </c>
      <c r="AF135" s="953"/>
      <c r="AG135" s="19"/>
      <c r="AH135" s="990"/>
      <c r="AI135" s="990"/>
      <c r="AJ135" s="990"/>
      <c r="AK135" s="990"/>
      <c r="AL135" s="577"/>
      <c r="AM135" s="577"/>
      <c r="AT135" s="769">
        <v>7</v>
      </c>
      <c r="AU135" t="s">
        <v>1142</v>
      </c>
      <c r="AV135"/>
      <c r="AW135" s="2">
        <v>1.1453</v>
      </c>
      <c r="AX135" s="2">
        <v>0.17780000000000001</v>
      </c>
      <c r="AY135" s="2">
        <v>1.1129</v>
      </c>
      <c r="AZ135" s="2">
        <v>0.11210000000000001</v>
      </c>
      <c r="BA135" s="2">
        <v>1.0452999999999999</v>
      </c>
      <c r="BB135" s="2">
        <v>8.43E-2</v>
      </c>
      <c r="BC135" s="2">
        <v>1.0452999999999999</v>
      </c>
      <c r="BD135" s="2">
        <v>8.43E-2</v>
      </c>
      <c r="BE135" s="2">
        <v>1.0913999999999999</v>
      </c>
      <c r="BF135" s="2">
        <v>0.1207</v>
      </c>
      <c r="BG135" s="2">
        <v>1.0873999999999999</v>
      </c>
      <c r="BH135" s="2">
        <v>0.10780000000000001</v>
      </c>
      <c r="BI135" s="2">
        <v>1.0707</v>
      </c>
      <c r="BJ135" s="2">
        <v>0.10630000000000001</v>
      </c>
      <c r="BK135" s="2">
        <v>1.0707</v>
      </c>
      <c r="BL135" s="768">
        <v>0.10630000000000001</v>
      </c>
    </row>
    <row r="136" spans="20:64">
      <c r="T136" s="172" t="s">
        <v>260</v>
      </c>
      <c r="U136" s="2">
        <v>180</v>
      </c>
      <c r="V136" s="611">
        <v>0.31481481481481732</v>
      </c>
      <c r="W136" s="176">
        <v>-1.1674603174603262</v>
      </c>
      <c r="X136" s="176">
        <v>1.9937566137566238</v>
      </c>
      <c r="Y136" s="176">
        <v>8.4876190476186886E-2</v>
      </c>
      <c r="Z136" s="176">
        <v>1.172137961273016E-3</v>
      </c>
      <c r="AA136" s="176">
        <v>-2.1930234279903031E-2</v>
      </c>
      <c r="AB136" s="176">
        <v>0.53572156556578243</v>
      </c>
      <c r="AC136" s="612">
        <v>0.78316827134256339</v>
      </c>
      <c r="AD136" s="12"/>
      <c r="AF136" s="953"/>
      <c r="AG136" s="19"/>
      <c r="AH136" s="990"/>
      <c r="AI136" s="990"/>
      <c r="AJ136" s="990"/>
      <c r="AK136" s="990"/>
      <c r="AL136" s="577"/>
      <c r="AM136" s="577"/>
      <c r="AT136" s="769">
        <v>8</v>
      </c>
      <c r="AU136" t="s">
        <v>1143</v>
      </c>
      <c r="AV136"/>
      <c r="AW136" s="2">
        <v>1.2371000000000001</v>
      </c>
      <c r="AX136" s="2">
        <v>0.2142</v>
      </c>
      <c r="AY136" s="2">
        <v>1.2017</v>
      </c>
      <c r="AZ136" s="2">
        <v>0.1401</v>
      </c>
      <c r="BA136" s="2">
        <v>1.1061000000000001</v>
      </c>
      <c r="BB136" s="2">
        <v>0.10249999999999999</v>
      </c>
      <c r="BC136" s="2">
        <v>1.1061000000000001</v>
      </c>
      <c r="BD136" s="2">
        <v>0.10249999999999999</v>
      </c>
      <c r="BE136" s="2">
        <v>1.1726000000000001</v>
      </c>
      <c r="BF136" s="2">
        <v>0.14549999999999999</v>
      </c>
      <c r="BG136" s="2">
        <v>1.1674</v>
      </c>
      <c r="BH136" s="2">
        <v>0.13059999999999999</v>
      </c>
      <c r="BI136" s="2">
        <v>1.1412</v>
      </c>
      <c r="BJ136" s="2">
        <v>0.12690000000000001</v>
      </c>
      <c r="BK136" s="2">
        <v>1.1412</v>
      </c>
      <c r="BL136" s="768">
        <v>0.12690000000000001</v>
      </c>
    </row>
    <row r="137" spans="20:64">
      <c r="T137" s="172"/>
      <c r="U137" s="2">
        <v>250</v>
      </c>
      <c r="V137" s="611">
        <v>0.41203703703703942</v>
      </c>
      <c r="W137" s="176">
        <v>-1.4597222222222308</v>
      </c>
      <c r="X137" s="176">
        <v>2.2833201058201156</v>
      </c>
      <c r="Y137" s="176">
        <v>5.6390476190472882E-2</v>
      </c>
      <c r="Z137" s="176">
        <v>1.1488327755690181E-3</v>
      </c>
      <c r="AA137" s="176">
        <v>-2.1144159250934238E-2</v>
      </c>
      <c r="AB137" s="176">
        <v>0.53742360023549007</v>
      </c>
      <c r="AC137" s="612">
        <v>0.86328942486963267</v>
      </c>
      <c r="AG137" s="19"/>
      <c r="AH137" s="990"/>
      <c r="AI137" s="990"/>
      <c r="AJ137" s="990"/>
      <c r="AK137" s="990"/>
      <c r="AL137" s="577"/>
      <c r="AM137" s="577"/>
      <c r="AT137" s="710"/>
      <c r="AU137"/>
      <c r="AV137"/>
      <c r="AW137" s="722"/>
      <c r="AX137" s="722"/>
      <c r="AY137" s="722"/>
      <c r="AZ137" s="722"/>
      <c r="BA137" s="722"/>
      <c r="BB137" s="722"/>
      <c r="BC137"/>
      <c r="BD137"/>
      <c r="BE137"/>
      <c r="BF137"/>
      <c r="BG137"/>
      <c r="BH137"/>
      <c r="BI137"/>
      <c r="BJ137"/>
      <c r="BK137"/>
      <c r="BL137" s="711"/>
    </row>
    <row r="138" spans="20:64">
      <c r="T138" s="172"/>
      <c r="U138" s="2">
        <v>300</v>
      </c>
      <c r="V138" s="611">
        <v>0.13599537037036954</v>
      </c>
      <c r="W138" s="176">
        <v>-0.59275793650793429</v>
      </c>
      <c r="X138" s="176">
        <v>1.4282903439153425</v>
      </c>
      <c r="Y138" s="176">
        <v>0.38715476190476189</v>
      </c>
      <c r="Z138" s="176">
        <v>1.1338600952403685E-3</v>
      </c>
      <c r="AA138" s="176">
        <v>-2.0661597628953528E-2</v>
      </c>
      <c r="AB138" s="176">
        <v>0.53871727162292471</v>
      </c>
      <c r="AC138" s="612">
        <v>0.91018803471540166</v>
      </c>
      <c r="AG138" s="19"/>
      <c r="AH138" s="990"/>
      <c r="AI138" s="990"/>
      <c r="AJ138" s="990"/>
      <c r="AK138" s="990"/>
      <c r="AL138" s="577"/>
      <c r="AM138" s="577"/>
      <c r="AT138" s="710"/>
      <c r="AU138"/>
      <c r="AV138"/>
      <c r="AW138" s="764" t="str">
        <f>IF(Cntrl1=2,AW125,BE125)</f>
        <v>nmv</v>
      </c>
      <c r="AX138"/>
      <c r="AY138"/>
      <c r="AZ138"/>
      <c r="BA138"/>
      <c r="BB138"/>
      <c r="BC138"/>
      <c r="BD138"/>
      <c r="BE138"/>
      <c r="BF138"/>
      <c r="BG138" s="167"/>
      <c r="BH138"/>
      <c r="BI138"/>
      <c r="BJ138"/>
      <c r="BK138"/>
      <c r="BL138" s="711"/>
    </row>
    <row r="139" spans="20:64">
      <c r="T139" s="172"/>
      <c r="U139" s="2">
        <v>90</v>
      </c>
      <c r="V139" s="606">
        <v>1.0758101851851962</v>
      </c>
      <c r="W139" s="607">
        <v>-4.1798611111111477</v>
      </c>
      <c r="X139" s="607">
        <v>5.3059755291005688</v>
      </c>
      <c r="Y139" s="607">
        <v>-0.89839761904763304</v>
      </c>
      <c r="Z139" s="607">
        <v>-7.1217890759978759E-4</v>
      </c>
      <c r="AA139" s="607">
        <v>1.6930396277222769E-2</v>
      </c>
      <c r="AB139" s="607">
        <v>0.24545874689151251</v>
      </c>
      <c r="AC139" s="608">
        <v>0.83816217307190499</v>
      </c>
      <c r="AG139" s="19"/>
      <c r="AH139" s="990"/>
      <c r="AI139" s="990"/>
      <c r="AJ139" s="990"/>
      <c r="AK139" s="990"/>
      <c r="AL139" s="577"/>
      <c r="AM139" s="577"/>
      <c r="AT139" s="710"/>
      <c r="AU139"/>
      <c r="AV139"/>
      <c r="AW139" s="2" t="s">
        <v>61</v>
      </c>
      <c r="AX139"/>
      <c r="AY139" t="s">
        <v>1134</v>
      </c>
      <c r="AZ139"/>
      <c r="BA139" t="s">
        <v>1135</v>
      </c>
      <c r="BB139"/>
      <c r="BC139" t="s">
        <v>1136</v>
      </c>
      <c r="BD139"/>
      <c r="BE139"/>
      <c r="BF139"/>
      <c r="BG139"/>
      <c r="BH139"/>
      <c r="BI139"/>
      <c r="BJ139"/>
      <c r="BK139"/>
      <c r="BL139" s="711"/>
    </row>
    <row r="140" spans="20:64" ht="17.25">
      <c r="T140" s="172"/>
      <c r="U140" s="2">
        <v>135</v>
      </c>
      <c r="V140" s="611">
        <v>0.87905092592593448</v>
      </c>
      <c r="W140" s="176">
        <v>-3.4189484126984415</v>
      </c>
      <c r="X140" s="176">
        <v>4.3473776455026769</v>
      </c>
      <c r="Y140" s="176">
        <v>-0.4754452380952483</v>
      </c>
      <c r="Z140" s="176">
        <v>-7.0597707686591846E-4</v>
      </c>
      <c r="AA140" s="176">
        <v>1.6935703971030763E-2</v>
      </c>
      <c r="AB140" s="176">
        <v>0.25115504893236812</v>
      </c>
      <c r="AC140" s="612">
        <v>0.861692053046198</v>
      </c>
      <c r="AT140" s="710"/>
      <c r="AU140"/>
      <c r="AV140"/>
      <c r="AW140" s="2" t="s">
        <v>1137</v>
      </c>
      <c r="AX140" s="2" t="s">
        <v>1130</v>
      </c>
      <c r="AY140" s="2" t="s">
        <v>1137</v>
      </c>
      <c r="AZ140" s="2" t="s">
        <v>1130</v>
      </c>
      <c r="BA140" s="2" t="s">
        <v>1137</v>
      </c>
      <c r="BB140" s="2" t="s">
        <v>1130</v>
      </c>
      <c r="BC140" s="2" t="s">
        <v>1137</v>
      </c>
      <c r="BD140" s="2" t="s">
        <v>1130</v>
      </c>
      <c r="BE140"/>
      <c r="BF140"/>
      <c r="BG140"/>
      <c r="BH140"/>
      <c r="BI140"/>
      <c r="BJ140"/>
      <c r="BK140"/>
      <c r="BL140" s="711"/>
    </row>
    <row r="141" spans="20:64">
      <c r="T141" s="172" t="s">
        <v>250</v>
      </c>
      <c r="U141" s="2">
        <v>180</v>
      </c>
      <c r="V141" s="611">
        <v>0.75636574074074792</v>
      </c>
      <c r="W141" s="176">
        <v>-2.8560515873016121</v>
      </c>
      <c r="X141" s="176">
        <v>3.5211342592592869</v>
      </c>
      <c r="Y141" s="176">
        <v>-6.502619047619973E-2</v>
      </c>
      <c r="Z141" s="176">
        <v>-6.8783858901408465E-4</v>
      </c>
      <c r="AA141" s="176">
        <v>1.66803091863496E-2</v>
      </c>
      <c r="AB141" s="176">
        <v>0.25810573221654892</v>
      </c>
      <c r="AC141" s="612">
        <v>0.87870931982681588</v>
      </c>
      <c r="AT141" s="769">
        <v>1</v>
      </c>
      <c r="AU141" t="s">
        <v>61</v>
      </c>
      <c r="AV141"/>
      <c r="AW141" s="723">
        <f t="shared" ref="AW141:BD148" si="78">IF(Cntrl1=2,AW129,BE129)</f>
        <v>7.2400000000000006E-2</v>
      </c>
      <c r="AX141" s="723">
        <f t="shared" si="78"/>
        <v>1</v>
      </c>
      <c r="AY141" s="723">
        <f t="shared" si="78"/>
        <v>4.9399999999999999E-2</v>
      </c>
      <c r="AZ141" s="723">
        <f t="shared" si="78"/>
        <v>1</v>
      </c>
      <c r="BA141" s="723">
        <f t="shared" si="78"/>
        <v>4.58E-2</v>
      </c>
      <c r="BB141" s="723">
        <f t="shared" si="78"/>
        <v>1</v>
      </c>
      <c r="BC141" s="723">
        <f t="shared" si="78"/>
        <v>4.5400000000000003E-2</v>
      </c>
      <c r="BD141" s="723">
        <f t="shared" si="78"/>
        <v>1</v>
      </c>
      <c r="BE141"/>
      <c r="BF141"/>
      <c r="BG141"/>
      <c r="BH141"/>
      <c r="BI141"/>
      <c r="BJ141"/>
      <c r="BK141"/>
      <c r="BL141" s="711"/>
    </row>
    <row r="142" spans="20:64">
      <c r="T142" s="172"/>
      <c r="U142" s="2">
        <v>250</v>
      </c>
      <c r="V142" s="611">
        <v>0.47569444444445125</v>
      </c>
      <c r="W142" s="176">
        <v>-1.8059523809524034</v>
      </c>
      <c r="X142" s="176">
        <v>2.2375198412698647</v>
      </c>
      <c r="Y142" s="176">
        <v>0.47669999999999291</v>
      </c>
      <c r="Z142" s="176">
        <v>-6.2533433426167201E-4</v>
      </c>
      <c r="AA142" s="176">
        <v>1.5528981392067659E-2</v>
      </c>
      <c r="AB142" s="176">
        <v>0.27273309036698873</v>
      </c>
      <c r="AC142" s="612">
        <v>0.88762484556988053</v>
      </c>
      <c r="AT142" s="769">
        <v>2</v>
      </c>
      <c r="AU142" t="s">
        <v>1138</v>
      </c>
      <c r="AV142"/>
      <c r="AW142" s="723">
        <f t="shared" si="78"/>
        <v>1.0269999999999999</v>
      </c>
      <c r="AX142" s="723">
        <f t="shared" si="78"/>
        <v>5.7099999999999998E-2</v>
      </c>
      <c r="AY142" s="723">
        <f t="shared" si="78"/>
        <v>1.0310999999999999</v>
      </c>
      <c r="AZ142" s="723">
        <f t="shared" si="78"/>
        <v>9.1000000000000004E-3</v>
      </c>
      <c r="BA142" s="723">
        <f t="shared" si="78"/>
        <v>1.0316000000000001</v>
      </c>
      <c r="BB142" s="723">
        <f t="shared" si="78"/>
        <v>3.3E-3</v>
      </c>
      <c r="BC142" s="723">
        <f t="shared" si="78"/>
        <v>1.0256000000000001</v>
      </c>
      <c r="BD142" s="723">
        <f t="shared" si="78"/>
        <v>2.3E-3</v>
      </c>
      <c r="BE142"/>
      <c r="BF142"/>
      <c r="BG142"/>
      <c r="BH142"/>
      <c r="BI142"/>
      <c r="BJ142"/>
      <c r="BK142"/>
      <c r="BL142" s="711"/>
    </row>
    <row r="143" spans="20:64">
      <c r="T143" s="172"/>
      <c r="U143" s="2">
        <v>300</v>
      </c>
      <c r="V143" s="613">
        <v>0.17708333333333479</v>
      </c>
      <c r="W143" s="614">
        <v>-0.69464285714286134</v>
      </c>
      <c r="X143" s="614">
        <v>0.87148809523809911</v>
      </c>
      <c r="Y143" s="614">
        <v>1.0508142857142844</v>
      </c>
      <c r="Z143" s="614">
        <v>-5.5522186911379813E-4</v>
      </c>
      <c r="AA143" s="614">
        <v>1.4178646014842712E-2</v>
      </c>
      <c r="AB143" s="614">
        <v>0.28578004097587745</v>
      </c>
      <c r="AC143" s="615">
        <v>0.88220005660482692</v>
      </c>
      <c r="AT143" s="769">
        <v>3</v>
      </c>
      <c r="AU143" t="s">
        <v>1139</v>
      </c>
      <c r="AV143"/>
      <c r="AW143" s="723">
        <f t="shared" si="78"/>
        <v>1.0733999999999999</v>
      </c>
      <c r="AX143" s="723">
        <f t="shared" si="78"/>
        <v>0.153</v>
      </c>
      <c r="AY143" s="723">
        <f t="shared" si="78"/>
        <v>1.0553999999999999</v>
      </c>
      <c r="AZ143" s="723">
        <f t="shared" si="78"/>
        <v>8.9800000000000005E-2</v>
      </c>
      <c r="BA143" s="723">
        <f t="shared" si="78"/>
        <v>1.0502</v>
      </c>
      <c r="BB143" s="723">
        <f t="shared" si="78"/>
        <v>8.1799999999999998E-2</v>
      </c>
      <c r="BC143" s="723">
        <f t="shared" si="78"/>
        <v>1.0195000000000001</v>
      </c>
      <c r="BD143" s="723">
        <f t="shared" si="78"/>
        <v>8.3199999999999996E-2</v>
      </c>
      <c r="BE143"/>
      <c r="BF143"/>
      <c r="BG143"/>
      <c r="BH143"/>
      <c r="BI143"/>
      <c r="BJ143"/>
      <c r="BK143"/>
      <c r="BL143" s="711"/>
    </row>
    <row r="144" spans="20:64">
      <c r="T144" s="172"/>
      <c r="U144" s="2">
        <v>90</v>
      </c>
      <c r="V144" s="606">
        <v>0.19270833333333384</v>
      </c>
      <c r="W144" s="607">
        <v>-0.82946428571428821</v>
      </c>
      <c r="X144" s="607">
        <v>1.8815773809523846</v>
      </c>
      <c r="Y144" s="607">
        <v>3.7549999999998696E-2</v>
      </c>
      <c r="Z144" s="607">
        <v>2.1643524777054698E-3</v>
      </c>
      <c r="AA144" s="607">
        <v>-4.5079884718642479E-2</v>
      </c>
      <c r="AB144" s="607">
        <v>0.72731296262289802</v>
      </c>
      <c r="AC144" s="608">
        <v>0.67755618927405803</v>
      </c>
      <c r="AI144" s="19"/>
      <c r="AJ144" s="19"/>
      <c r="AK144" s="19"/>
      <c r="AT144" s="769">
        <v>4</v>
      </c>
      <c r="AU144" t="s">
        <v>1140</v>
      </c>
      <c r="AV144"/>
      <c r="AW144" s="723">
        <f t="shared" si="78"/>
        <v>1.0657000000000001</v>
      </c>
      <c r="AX144" s="723">
        <f t="shared" si="78"/>
        <v>3.3399999999999999E-2</v>
      </c>
      <c r="AY144" s="723">
        <f t="shared" si="78"/>
        <v>1.0688</v>
      </c>
      <c r="AZ144" s="723">
        <f t="shared" si="78"/>
        <v>-1.4999999999999999E-2</v>
      </c>
      <c r="BA144" s="723">
        <f t="shared" si="78"/>
        <v>1.0692999999999999</v>
      </c>
      <c r="BB144" s="723">
        <f t="shared" si="78"/>
        <v>-0.02</v>
      </c>
      <c r="BC144" s="723">
        <f t="shared" si="78"/>
        <v>1.0656000000000001</v>
      </c>
      <c r="BD144" s="723">
        <f t="shared" si="78"/>
        <v>-2.4E-2</v>
      </c>
      <c r="BE144"/>
      <c r="BF144"/>
      <c r="BG144"/>
      <c r="BH144"/>
      <c r="BI144"/>
      <c r="BJ144"/>
      <c r="BK144"/>
      <c r="BL144" s="711"/>
    </row>
    <row r="145" spans="20:64">
      <c r="T145" s="172"/>
      <c r="U145" s="2">
        <v>135</v>
      </c>
      <c r="V145" s="611">
        <v>0.13946759259259098</v>
      </c>
      <c r="W145" s="176">
        <v>-0.70109126984126469</v>
      </c>
      <c r="X145" s="176">
        <v>1.8251752645502597</v>
      </c>
      <c r="Y145" s="176">
        <v>0.12711190476190629</v>
      </c>
      <c r="Z145" s="176">
        <v>2.2213476371893224E-3</v>
      </c>
      <c r="AA145" s="176">
        <v>-4.5890637052308655E-2</v>
      </c>
      <c r="AB145" s="176">
        <v>0.73764747622985238</v>
      </c>
      <c r="AC145" s="612">
        <v>0.77282253483015684</v>
      </c>
      <c r="AH145" s="19"/>
      <c r="AI145" s="990"/>
      <c r="AJ145" s="990"/>
      <c r="AN145" s="991"/>
      <c r="AT145" s="769">
        <v>5</v>
      </c>
      <c r="AU145" t="s">
        <v>1141</v>
      </c>
      <c r="AV145"/>
      <c r="AW145" s="723">
        <f t="shared" si="78"/>
        <v>1.1976</v>
      </c>
      <c r="AX145" s="723">
        <f t="shared" si="78"/>
        <v>0.17560000000000001</v>
      </c>
      <c r="AY145" s="723">
        <f t="shared" si="78"/>
        <v>1.1681999999999999</v>
      </c>
      <c r="AZ145" s="723">
        <f t="shared" si="78"/>
        <v>9.9900000000000003E-2</v>
      </c>
      <c r="BA145" s="723">
        <f t="shared" si="78"/>
        <v>1.1597</v>
      </c>
      <c r="BB145" s="723">
        <f t="shared" si="78"/>
        <v>8.9700000000000002E-2</v>
      </c>
      <c r="BC145" s="723">
        <f t="shared" si="78"/>
        <v>1.1062000000000001</v>
      </c>
      <c r="BD145" s="723">
        <f t="shared" si="78"/>
        <v>8.4900000000000003E-2</v>
      </c>
      <c r="BE145"/>
      <c r="BF145"/>
      <c r="BG145" s="177"/>
      <c r="BH145"/>
      <c r="BI145"/>
      <c r="BJ145"/>
      <c r="BK145"/>
      <c r="BL145" s="711"/>
    </row>
    <row r="146" spans="20:64">
      <c r="T146" s="172" t="s">
        <v>251</v>
      </c>
      <c r="U146" s="2">
        <v>180</v>
      </c>
      <c r="V146" s="611">
        <v>-5.78703703703735E-2</v>
      </c>
      <c r="W146" s="176">
        <v>-0.12599206349205339</v>
      </c>
      <c r="X146" s="176">
        <v>1.3417989417989316</v>
      </c>
      <c r="Y146" s="176">
        <v>0.34380952380952723</v>
      </c>
      <c r="Z146" s="176">
        <v>2.25900937904156E-3</v>
      </c>
      <c r="AA146" s="176">
        <v>-4.6282208899089392E-2</v>
      </c>
      <c r="AB146" s="176">
        <v>0.74431242551201204</v>
      </c>
      <c r="AC146" s="612">
        <v>0.86993986834118131</v>
      </c>
      <c r="AH146" s="19"/>
      <c r="AI146" s="990"/>
      <c r="AJ146" s="990"/>
      <c r="AT146" s="769">
        <v>6</v>
      </c>
      <c r="AU146" t="s">
        <v>61</v>
      </c>
      <c r="AV146"/>
      <c r="AW146" s="723">
        <f t="shared" si="78"/>
        <v>6.2300000000000001E-2</v>
      </c>
      <c r="AX146" s="723">
        <f t="shared" si="78"/>
        <v>1</v>
      </c>
      <c r="AY146" s="723">
        <f t="shared" si="78"/>
        <v>4.1500000000000002E-2</v>
      </c>
      <c r="AZ146" s="723">
        <f t="shared" si="78"/>
        <v>1</v>
      </c>
      <c r="BA146" s="723">
        <f t="shared" si="78"/>
        <v>3.5799999999999998E-2</v>
      </c>
      <c r="BB146" s="723">
        <f t="shared" si="78"/>
        <v>1</v>
      </c>
      <c r="BC146" s="723">
        <f t="shared" si="78"/>
        <v>3.5799999999999998E-2</v>
      </c>
      <c r="BD146" s="723">
        <f t="shared" si="78"/>
        <v>1</v>
      </c>
      <c r="BE146"/>
      <c r="BF146"/>
      <c r="BG146"/>
      <c r="BH146"/>
      <c r="BI146"/>
      <c r="BJ146"/>
      <c r="BK146"/>
      <c r="BL146" s="711"/>
    </row>
    <row r="147" spans="20:64">
      <c r="T147" s="172"/>
      <c r="U147" s="2">
        <v>250</v>
      </c>
      <c r="V147" s="611">
        <v>0.13078703703703651</v>
      </c>
      <c r="W147" s="176">
        <v>-0.69365079365079274</v>
      </c>
      <c r="X147" s="176">
        <v>1.905284391534392</v>
      </c>
      <c r="Y147" s="176">
        <v>0.2694333333333328</v>
      </c>
      <c r="Z147" s="176">
        <v>2.2801212564644712E-3</v>
      </c>
      <c r="AA147" s="176">
        <v>-4.6162093126477136E-2</v>
      </c>
      <c r="AB147" s="176">
        <v>0.74863167318456714</v>
      </c>
      <c r="AC147" s="612">
        <v>1.0101707841141163</v>
      </c>
      <c r="AH147" s="19"/>
      <c r="AI147" s="990"/>
      <c r="AJ147" s="990"/>
      <c r="AT147" s="769">
        <v>7</v>
      </c>
      <c r="AU147" t="s">
        <v>1142</v>
      </c>
      <c r="AV147"/>
      <c r="AW147" s="723">
        <f t="shared" si="78"/>
        <v>1.1453</v>
      </c>
      <c r="AX147" s="723">
        <f t="shared" si="78"/>
        <v>0.17780000000000001</v>
      </c>
      <c r="AY147" s="723">
        <f t="shared" si="78"/>
        <v>1.1129</v>
      </c>
      <c r="AZ147" s="723">
        <f t="shared" si="78"/>
        <v>0.11210000000000001</v>
      </c>
      <c r="BA147" s="723">
        <f t="shared" si="78"/>
        <v>1.0452999999999999</v>
      </c>
      <c r="BB147" s="723">
        <f t="shared" si="78"/>
        <v>8.43E-2</v>
      </c>
      <c r="BC147" s="723">
        <f t="shared" si="78"/>
        <v>1.0452999999999999</v>
      </c>
      <c r="BD147" s="723">
        <f t="shared" si="78"/>
        <v>8.43E-2</v>
      </c>
      <c r="BE147" s="1225" t="str" cm="1">
        <f t="array" ref="BE147">INDEX(AW111:BD111,2*Cntrl3-3)</f>
        <v>none</v>
      </c>
      <c r="BF147" s="1225"/>
      <c r="BG147" s="1225"/>
      <c r="BH147"/>
      <c r="BI147" s="1225" t="s">
        <v>2195</v>
      </c>
      <c r="BJ147" s="1225"/>
      <c r="BK147" s="1225"/>
      <c r="BL147" s="711"/>
    </row>
    <row r="148" spans="20:64" ht="17.25">
      <c r="T148" s="172"/>
      <c r="U148" s="2">
        <v>300</v>
      </c>
      <c r="V148" s="613">
        <v>-3.9930555555558196E-2</v>
      </c>
      <c r="W148" s="614">
        <v>-0.2586309523809443</v>
      </c>
      <c r="X148" s="614">
        <v>1.6099305555555479</v>
      </c>
      <c r="Y148" s="614">
        <v>0.41656428571428838</v>
      </c>
      <c r="Z148" s="614">
        <v>2.2792284354163309E-3</v>
      </c>
      <c r="AA148" s="614">
        <v>-4.581361071921989E-2</v>
      </c>
      <c r="AB148" s="614">
        <v>0.74948437266297308</v>
      </c>
      <c r="AC148" s="615">
        <v>1.0970100271702703</v>
      </c>
      <c r="AH148" s="19"/>
      <c r="AI148" s="990"/>
      <c r="AJ148" s="990"/>
      <c r="AT148" s="769">
        <v>8</v>
      </c>
      <c r="AU148" t="s">
        <v>1143</v>
      </c>
      <c r="AV148"/>
      <c r="AW148" s="723">
        <f t="shared" si="78"/>
        <v>1.2371000000000001</v>
      </c>
      <c r="AX148" s="723">
        <f t="shared" si="78"/>
        <v>0.2142</v>
      </c>
      <c r="AY148" s="723">
        <f t="shared" si="78"/>
        <v>1.2017</v>
      </c>
      <c r="AZ148" s="723">
        <f t="shared" si="78"/>
        <v>0.1401</v>
      </c>
      <c r="BA148" s="723">
        <f t="shared" si="78"/>
        <v>1.1061000000000001</v>
      </c>
      <c r="BB148" s="723">
        <f t="shared" si="78"/>
        <v>0.10249999999999999</v>
      </c>
      <c r="BC148" s="723">
        <f t="shared" si="78"/>
        <v>1.1061000000000001</v>
      </c>
      <c r="BD148" s="723">
        <f t="shared" si="78"/>
        <v>0.10249999999999999</v>
      </c>
      <c r="BE148" s="2" t="s">
        <v>1137</v>
      </c>
      <c r="BF148" s="2" t="s">
        <v>1130</v>
      </c>
      <c r="BH148"/>
      <c r="BI148" s="2" t="s">
        <v>1137</v>
      </c>
      <c r="BJ148" s="2" t="s">
        <v>1130</v>
      </c>
      <c r="BL148" s="711"/>
    </row>
    <row r="149" spans="20:64">
      <c r="T149" s="172"/>
      <c r="U149" s="2">
        <v>90</v>
      </c>
      <c r="V149" s="606">
        <v>-0.15162037037037235</v>
      </c>
      <c r="W149" s="607">
        <v>0.41507936507937143</v>
      </c>
      <c r="X149" s="607">
        <v>0.12769179894179267</v>
      </c>
      <c r="Y149" s="607">
        <v>0.62768095238095434</v>
      </c>
      <c r="Z149" s="607">
        <v>7.9054588376244888E-4</v>
      </c>
      <c r="AA149" s="607">
        <v>-1.4280031600627604E-2</v>
      </c>
      <c r="AB149" s="607">
        <v>0.46056629504063823</v>
      </c>
      <c r="AC149" s="608">
        <v>0.58169480308893595</v>
      </c>
      <c r="AH149" s="19"/>
      <c r="AI149" s="990"/>
      <c r="AJ149" s="990"/>
      <c r="AT149" s="773">
        <f>Cntrl4-1</f>
        <v>1</v>
      </c>
      <c r="AU149" s="956" t="str" cm="1">
        <f t="array" ref="AU149">INDEX(AU141:AU148,Cntrl4-1)</f>
        <v>none</v>
      </c>
      <c r="AV149" s="175"/>
      <c r="AW149" s="175" cm="1">
        <f t="array" ref="AW149">IF(topper,INDEX(AW141:AW148,Cntrl4-1),0)</f>
        <v>0</v>
      </c>
      <c r="AX149" s="175" cm="1">
        <f t="array" ref="AX149">IF(topper,INDEX(AX141:AX148,Cntrl4-1),0)</f>
        <v>0</v>
      </c>
      <c r="AY149" s="175" cm="1">
        <f t="array" ref="AY149">IF(topper,INDEX(AY141:AY148,Cntrl4-1),0)</f>
        <v>0</v>
      </c>
      <c r="AZ149" s="175" cm="1">
        <f t="array" ref="AZ149">IF(topper,INDEX(AZ141:AZ148,Cntrl4-1),0)</f>
        <v>0</v>
      </c>
      <c r="BA149" s="175" cm="1">
        <f t="array" ref="BA149">IF(topper,INDEX(BA141:BA148,Cntrl4-1),0)</f>
        <v>0</v>
      </c>
      <c r="BB149" s="175" cm="1">
        <f t="array" ref="BB149">IF(topper,INDEX(BB141:BB148,Cntrl4-1),0)</f>
        <v>0</v>
      </c>
      <c r="BC149" s="175" cm="1">
        <f t="array" ref="BC149">IF(topper,INDEX(BC141:BC148,Cntrl4-1),0)</f>
        <v>0</v>
      </c>
      <c r="BD149" s="175" cm="1">
        <f t="array" ref="BD149">IF(topper,INDEX(BD141:BD148,Cntrl4-1),0)</f>
        <v>0</v>
      </c>
      <c r="BE149" s="703" cm="1">
        <f t="array" ref="BE149">INDEX(AW149:BD149,2*(Cntrl3-1)-1)</f>
        <v>0</v>
      </c>
      <c r="BF149" s="703" cm="1">
        <f t="array" ref="BF149">INDEX(AW149:BD149,2*(Cntrl3-1))</f>
        <v>0</v>
      </c>
      <c r="BH149"/>
      <c r="BI149" s="703">
        <f>AW149</f>
        <v>0</v>
      </c>
      <c r="BJ149" s="703">
        <f>AX149</f>
        <v>0</v>
      </c>
      <c r="BL149" s="711"/>
    </row>
    <row r="150" spans="20:64">
      <c r="T150" s="172"/>
      <c r="U150" s="2">
        <v>135</v>
      </c>
      <c r="V150" s="611">
        <v>-0.19560185185185358</v>
      </c>
      <c r="W150" s="176">
        <v>0.5432539682539741</v>
      </c>
      <c r="X150" s="176">
        <v>1.5958994708988473E-2</v>
      </c>
      <c r="Y150" s="176">
        <v>0.67774761904762126</v>
      </c>
      <c r="Z150" s="176">
        <v>8.0905491329856928E-4</v>
      </c>
      <c r="AA150" s="176">
        <v>-1.4612622268006609E-2</v>
      </c>
      <c r="AB150" s="176">
        <v>0.46716655891692072</v>
      </c>
      <c r="AC150" s="612">
        <v>0.59263555571460369</v>
      </c>
      <c r="AG150" s="953"/>
      <c r="AH150" s="19"/>
      <c r="AI150" s="990"/>
      <c r="AJ150" s="990"/>
      <c r="AN150" s="991"/>
      <c r="AT150" s="712"/>
      <c r="AU150" s="713"/>
      <c r="AV150" s="713"/>
      <c r="AW150" s="713"/>
      <c r="AX150" s="713"/>
      <c r="AY150" s="713"/>
      <c r="AZ150" s="713"/>
      <c r="BA150" s="713"/>
      <c r="BB150" s="713"/>
      <c r="BC150" s="713"/>
      <c r="BD150" s="713"/>
      <c r="BE150" s="774" t="s">
        <v>1150</v>
      </c>
      <c r="BF150" s="774" t="s">
        <v>1151</v>
      </c>
      <c r="BH150" s="713"/>
      <c r="BI150" s="966" t="s">
        <v>2266</v>
      </c>
      <c r="BJ150" s="967" t="s">
        <v>2267</v>
      </c>
      <c r="BL150" s="714"/>
    </row>
    <row r="151" spans="20:64">
      <c r="T151" s="172" t="s">
        <v>163</v>
      </c>
      <c r="U151" s="2">
        <v>180</v>
      </c>
      <c r="V151" s="611">
        <v>-0.13599537037037276</v>
      </c>
      <c r="W151" s="176">
        <v>0.3249007936508016</v>
      </c>
      <c r="X151" s="176">
        <v>0.27528108465607631</v>
      </c>
      <c r="Y151" s="176">
        <v>0.59827380952381248</v>
      </c>
      <c r="Z151" s="176">
        <v>8.2555078626170546E-4</v>
      </c>
      <c r="AA151" s="176">
        <v>-1.4905343899768921E-2</v>
      </c>
      <c r="AB151" s="176">
        <v>0.47342985411343563</v>
      </c>
      <c r="AC151" s="612">
        <v>0.60383463161904727</v>
      </c>
      <c r="AH151" s="19"/>
      <c r="AI151" s="990"/>
      <c r="AJ151" s="990"/>
      <c r="AT151" s="902" t="s">
        <v>2263</v>
      </c>
      <c r="AU151" s="904"/>
      <c r="AV151" s="903"/>
      <c r="AW151" s="766" t="s">
        <v>2226</v>
      </c>
      <c r="AX151" s="766"/>
      <c r="AY151" s="766"/>
      <c r="AZ151" s="766"/>
      <c r="BA151" s="766"/>
      <c r="BB151" s="766"/>
      <c r="BC151" s="766"/>
      <c r="BD151" s="766"/>
      <c r="BE151" s="766" t="s">
        <v>2227</v>
      </c>
      <c r="BF151" s="766"/>
      <c r="BG151" s="766"/>
      <c r="BH151" s="766"/>
      <c r="BI151" s="766"/>
      <c r="BJ151" s="766"/>
      <c r="BK151" s="766"/>
      <c r="BL151" s="709"/>
    </row>
    <row r="152" spans="20:64">
      <c r="T152" s="172"/>
      <c r="U152" s="2">
        <v>250</v>
      </c>
      <c r="V152" s="611">
        <v>-0.15798611111111358</v>
      </c>
      <c r="W152" s="176">
        <v>0.41577380952381771</v>
      </c>
      <c r="X152" s="176">
        <v>0.17120039682538821</v>
      </c>
      <c r="Y152" s="176">
        <v>0.65330714285714575</v>
      </c>
      <c r="Z152" s="176">
        <v>8.4924940650202827E-4</v>
      </c>
      <c r="AA152" s="176">
        <v>-1.5326366756934629E-2</v>
      </c>
      <c r="AB152" s="176">
        <v>0.48271090326146943</v>
      </c>
      <c r="AC152" s="612">
        <v>0.62059940582793027</v>
      </c>
      <c r="AH152" s="19"/>
      <c r="AI152" s="990"/>
      <c r="AJ152" s="990"/>
      <c r="AT152" s="960" t="s">
        <v>2262</v>
      </c>
      <c r="AU152" s="954"/>
      <c r="AV152" s="961"/>
      <c r="AW152" s="2" t="s">
        <v>61</v>
      </c>
      <c r="AX152" s="2"/>
      <c r="AY152" s="2" t="s">
        <v>1014</v>
      </c>
      <c r="AZ152" s="2"/>
      <c r="BA152" s="2" t="s">
        <v>1133</v>
      </c>
      <c r="BB152" s="2"/>
      <c r="BC152" s="2" t="s">
        <v>1021</v>
      </c>
      <c r="BD152" s="2"/>
      <c r="BE152" s="2" t="s">
        <v>61</v>
      </c>
      <c r="BF152" s="2"/>
      <c r="BG152" s="2" t="s">
        <v>1014</v>
      </c>
      <c r="BH152" s="2"/>
      <c r="BI152" s="2" t="s">
        <v>1133</v>
      </c>
      <c r="BJ152" s="2"/>
      <c r="BK152" s="2" t="s">
        <v>1021</v>
      </c>
      <c r="BL152" s="711"/>
    </row>
    <row r="153" spans="20:64">
      <c r="T153" s="172"/>
      <c r="U153" s="2">
        <v>300</v>
      </c>
      <c r="V153" s="613">
        <v>-0.17881944444444711</v>
      </c>
      <c r="W153" s="614">
        <v>0.4675595238095327</v>
      </c>
      <c r="X153" s="614">
        <v>0.14881944444443523</v>
      </c>
      <c r="Y153" s="614">
        <v>0.66170714285714571</v>
      </c>
      <c r="Z153" s="614">
        <v>8.6733384910161191E-4</v>
      </c>
      <c r="AA153" s="614">
        <v>-1.5647563531796159E-2</v>
      </c>
      <c r="AB153" s="614">
        <v>0.4892428682709235</v>
      </c>
      <c r="AC153" s="615">
        <v>0.63158539692225768</v>
      </c>
      <c r="AH153" s="19"/>
      <c r="AI153" s="990"/>
      <c r="AJ153" s="990"/>
      <c r="AT153" s="710"/>
      <c r="AU153" s="177" t="s">
        <v>1128</v>
      </c>
      <c r="AV153"/>
      <c r="AW153" s="722">
        <v>0.89239999999999997</v>
      </c>
      <c r="AX153" s="2"/>
      <c r="AY153" s="722">
        <v>0.90749999999999997</v>
      </c>
      <c r="AZ153" s="2"/>
      <c r="BA153" s="2">
        <v>0.91620000000000001</v>
      </c>
      <c r="BB153" s="2"/>
      <c r="BC153" s="2">
        <v>0.91600000000000004</v>
      </c>
      <c r="BD153" s="2"/>
      <c r="BE153" s="722">
        <v>0.9022</v>
      </c>
      <c r="BF153" s="2"/>
      <c r="BG153" s="722">
        <v>0.9093</v>
      </c>
      <c r="BH153" s="2"/>
      <c r="BI153" s="2">
        <v>0.91659999999999997</v>
      </c>
      <c r="BJ153" s="2"/>
      <c r="BK153" s="2">
        <v>0.91769999999999996</v>
      </c>
      <c r="BL153" s="711"/>
    </row>
    <row r="154" spans="20:64">
      <c r="U154" s="2">
        <v>90</v>
      </c>
      <c r="V154" s="606">
        <v>3.6950249396285858E-3</v>
      </c>
      <c r="W154" s="607">
        <v>-7.455880801548502E-2</v>
      </c>
      <c r="X154" s="607">
        <v>0.84237963395678983</v>
      </c>
      <c r="Y154" s="608">
        <v>0.56920084152166228</v>
      </c>
      <c r="Z154" s="606">
        <v>3.6950249396285858E-3</v>
      </c>
      <c r="AA154" s="607">
        <v>-7.455880801548502E-2</v>
      </c>
      <c r="AB154" s="607">
        <v>0.84237963395678983</v>
      </c>
      <c r="AC154" s="608">
        <v>0.56920084152166228</v>
      </c>
      <c r="AH154" s="19"/>
      <c r="AI154" s="990"/>
      <c r="AJ154" s="990"/>
      <c r="AT154" s="710"/>
      <c r="AU154" s="177" t="s">
        <v>1129</v>
      </c>
      <c r="AV154"/>
      <c r="AW154" s="722">
        <v>0.98060000000000003</v>
      </c>
      <c r="AX154" s="2"/>
      <c r="AY154" s="722">
        <v>0.96319999999999995</v>
      </c>
      <c r="AZ154" s="2"/>
      <c r="BA154" s="2">
        <v>0.95669999999999999</v>
      </c>
      <c r="BB154" s="2"/>
      <c r="BC154" s="2">
        <v>0.95669999999999999</v>
      </c>
      <c r="BD154" s="2"/>
      <c r="BE154" s="722">
        <v>0.95940000000000003</v>
      </c>
      <c r="BF154" s="2"/>
      <c r="BG154" s="176">
        <v>0.95940000000000003</v>
      </c>
      <c r="BH154" s="2"/>
      <c r="BI154" s="2">
        <v>0.96450000000000002</v>
      </c>
      <c r="BJ154" s="2"/>
      <c r="BK154" s="2">
        <v>0.96450000000000002</v>
      </c>
      <c r="BL154" s="711"/>
    </row>
    <row r="155" spans="20:64">
      <c r="U155" s="2">
        <v>135</v>
      </c>
      <c r="V155" s="611">
        <v>3.7695413754823708E-3</v>
      </c>
      <c r="W155" s="176">
        <v>-7.605103930081393E-2</v>
      </c>
      <c r="X155" s="176">
        <v>0.85506574165286009</v>
      </c>
      <c r="Y155" s="612">
        <v>0.57500313005564763</v>
      </c>
      <c r="Z155" s="611">
        <v>3.7695413754823708E-3</v>
      </c>
      <c r="AA155" s="176">
        <v>-7.605103930081393E-2</v>
      </c>
      <c r="AB155" s="176">
        <v>0.85506574165286009</v>
      </c>
      <c r="AC155" s="612">
        <v>0.57500313005564763</v>
      </c>
      <c r="AT155" s="710"/>
      <c r="AU155"/>
      <c r="AV155"/>
      <c r="AW155"/>
      <c r="AX155"/>
      <c r="AY155"/>
      <c r="AZ155"/>
      <c r="BA155"/>
      <c r="BB155"/>
      <c r="BC155"/>
      <c r="BD155"/>
      <c r="BE155"/>
      <c r="BF155"/>
      <c r="BG155"/>
      <c r="BH155"/>
      <c r="BI155"/>
      <c r="BJ155"/>
      <c r="BK155"/>
      <c r="BL155" s="711"/>
    </row>
    <row r="156" spans="20:64">
      <c r="T156" s="172" t="s">
        <v>2279</v>
      </c>
      <c r="U156" s="2">
        <v>180</v>
      </c>
      <c r="V156" s="611">
        <v>3.8215050571011578E-3</v>
      </c>
      <c r="W156" s="176">
        <v>-7.7100208711540899E-2</v>
      </c>
      <c r="X156" s="176">
        <v>0.86422903843625087</v>
      </c>
      <c r="Y156" s="612">
        <v>0.57776947067819617</v>
      </c>
      <c r="Z156" s="611">
        <v>3.8215050571011578E-3</v>
      </c>
      <c r="AA156" s="176">
        <v>-7.7100208711540899E-2</v>
      </c>
      <c r="AB156" s="176">
        <v>0.86422903843625087</v>
      </c>
      <c r="AC156" s="612">
        <v>0.57776947067819617</v>
      </c>
      <c r="AT156" s="710"/>
      <c r="AU156"/>
      <c r="AV156"/>
      <c r="AW156" s="767" t="str">
        <f>IF(Cntrl1=2,AW151,BE151)</f>
        <v>nmv</v>
      </c>
      <c r="AX156"/>
      <c r="AY156"/>
      <c r="AZ156"/>
      <c r="BA156"/>
      <c r="BB156"/>
      <c r="BC156"/>
      <c r="BD156"/>
      <c r="BE156"/>
      <c r="BF156"/>
      <c r="BG156"/>
      <c r="BH156"/>
      <c r="BI156"/>
      <c r="BJ156"/>
      <c r="BK156"/>
      <c r="BL156" s="711"/>
    </row>
    <row r="157" spans="20:64">
      <c r="T157" s="172"/>
      <c r="U157" s="2">
        <v>250</v>
      </c>
      <c r="V157" s="611">
        <v>3.9048247428820609E-3</v>
      </c>
      <c r="W157" s="176">
        <v>-7.8750683158900409E-2</v>
      </c>
      <c r="X157" s="176">
        <v>0.8782412790322317</v>
      </c>
      <c r="Y157" s="612">
        <v>0.58852131286940224</v>
      </c>
      <c r="Z157" s="611">
        <v>3.9048247428820609E-3</v>
      </c>
      <c r="AA157" s="176">
        <v>-7.8750683158900409E-2</v>
      </c>
      <c r="AB157" s="176">
        <v>0.8782412790322317</v>
      </c>
      <c r="AC157" s="612">
        <v>0.58852131286940224</v>
      </c>
      <c r="AT157" s="710"/>
      <c r="AU157" s="177" t="s">
        <v>1128</v>
      </c>
      <c r="AV157"/>
      <c r="AW157" s="723">
        <f>IF(Cntrl1=2,AW153,BE153)</f>
        <v>0.89239999999999997</v>
      </c>
      <c r="AX157"/>
      <c r="AY157" s="723">
        <f>IF(Cntrl1=2,AY153,BG153)</f>
        <v>0.90749999999999997</v>
      </c>
      <c r="AZ157"/>
      <c r="BA157" s="723">
        <f>IF(Cntrl1=2,BA153,BI153)</f>
        <v>0.91620000000000001</v>
      </c>
      <c r="BB157"/>
      <c r="BC157" s="723">
        <f>IF(Cntrl1=2,BC153,BK153)</f>
        <v>0.91600000000000004</v>
      </c>
      <c r="BD157"/>
      <c r="BE157" s="1225" t="str">
        <f>BE147</f>
        <v>none</v>
      </c>
      <c r="BF157" s="1225"/>
      <c r="BG157" s="1225"/>
      <c r="BH157"/>
      <c r="BI157" s="1225" t="s">
        <v>2195</v>
      </c>
      <c r="BJ157" s="1225"/>
      <c r="BK157" s="1225"/>
      <c r="BL157" s="711"/>
    </row>
    <row r="158" spans="20:64">
      <c r="T158" s="172"/>
      <c r="U158" s="2">
        <v>300</v>
      </c>
      <c r="V158" s="613">
        <v>3.970003662766953E-3</v>
      </c>
      <c r="W158" s="614">
        <v>-8.0040622008112169E-2</v>
      </c>
      <c r="X158" s="614">
        <v>0.889284884388436</v>
      </c>
      <c r="Y158" s="615">
        <v>0.59764097415999717</v>
      </c>
      <c r="Z158" s="613">
        <v>3.970003662766953E-3</v>
      </c>
      <c r="AA158" s="614">
        <v>-8.0040622008112169E-2</v>
      </c>
      <c r="AB158" s="614">
        <v>0.889284884388436</v>
      </c>
      <c r="AC158" s="615">
        <v>0.59764097415999717</v>
      </c>
      <c r="AT158" s="710"/>
      <c r="AU158" s="177" t="s">
        <v>1129</v>
      </c>
      <c r="AV158"/>
      <c r="AW158" s="723">
        <f>IF(Cntrl1=2,AW154,BE154)</f>
        <v>0.98060000000000003</v>
      </c>
      <c r="AX158"/>
      <c r="AY158" s="723">
        <f>IF(Cntrl1=2,AY154,BG154)</f>
        <v>0.96319999999999995</v>
      </c>
      <c r="AZ158"/>
      <c r="BA158" s="723">
        <f>IF(Cntrl1=2,BA154,BI154)</f>
        <v>0.95669999999999999</v>
      </c>
      <c r="BB158"/>
      <c r="BC158" s="723">
        <f>IF(Cntrl1=2,BC154,BK154)</f>
        <v>0.95669999999999999</v>
      </c>
      <c r="BD158"/>
      <c r="BE158"/>
      <c r="BF158" s="2" t="s">
        <v>163</v>
      </c>
      <c r="BH158"/>
      <c r="BI158"/>
      <c r="BJ158" s="2" t="s">
        <v>163</v>
      </c>
      <c r="BL158" s="711"/>
    </row>
    <row r="159" spans="20:64">
      <c r="T159" s="172"/>
      <c r="U159" s="2">
        <v>90</v>
      </c>
      <c r="V159" s="606">
        <v>4.9766809823153877E-3</v>
      </c>
      <c r="W159" s="607">
        <v>-0.10328867497204208</v>
      </c>
      <c r="X159" s="607">
        <v>1.0815603414169972</v>
      </c>
      <c r="Y159" s="608">
        <v>0.50439818150357563</v>
      </c>
      <c r="Z159" s="606">
        <v>4.9766809823153877E-3</v>
      </c>
      <c r="AA159" s="607">
        <v>-0.10328867497204208</v>
      </c>
      <c r="AB159" s="607">
        <v>1.0815603414169972</v>
      </c>
      <c r="AC159" s="608">
        <v>0.50439818150357563</v>
      </c>
      <c r="AT159" s="710"/>
      <c r="AU159" s="765" t="str">
        <f>IF(Cntrl4&lt;=6,AU157,AU158)</f>
        <v>plain</v>
      </c>
      <c r="AV159" s="178"/>
      <c r="AW159" s="763">
        <f>IF(topper,IF(Cntrl4=2,AW157,IF(Cntrl4=7,AW158,0)),0)</f>
        <v>0</v>
      </c>
      <c r="AX159" s="178"/>
      <c r="AY159" s="763">
        <f>IF(topper,IF(Cntrl4=2,AY157,IF(Cntrl4=7,AY158,0)),0)</f>
        <v>0</v>
      </c>
      <c r="AZ159" s="178"/>
      <c r="BA159" s="763">
        <f>IF(topper,IF(Cntrl4=2,BA157,IF(Cntrl4=7,BA158,0)),0)</f>
        <v>0</v>
      </c>
      <c r="BB159" s="178"/>
      <c r="BC159" s="763">
        <f>IF(topper,IF(Cntrl4=2,BC157,IF(Cntrl4=7,BC158,0)),0)</f>
        <v>0</v>
      </c>
      <c r="BD159" s="178"/>
      <c r="BE159" s="166"/>
      <c r="BF159" s="176" cm="1">
        <f t="array" ref="BF159">INDEX(AW159:BC159,2*(Cntrl3-1)-1)</f>
        <v>0</v>
      </c>
      <c r="BH159"/>
      <c r="BI159"/>
      <c r="BJ159" s="176">
        <f>AW159</f>
        <v>0</v>
      </c>
      <c r="BL159" s="711"/>
    </row>
    <row r="160" spans="20:64">
      <c r="T160" s="172"/>
      <c r="U160" s="2">
        <v>135</v>
      </c>
      <c r="V160" s="611">
        <v>5.0622250060289153E-3</v>
      </c>
      <c r="W160" s="176">
        <v>-0.10504489566898863</v>
      </c>
      <c r="X160" s="176">
        <v>1.0963482824703019</v>
      </c>
      <c r="Y160" s="612">
        <v>0.50897054870006697</v>
      </c>
      <c r="Z160" s="611">
        <v>5.0622250060289153E-3</v>
      </c>
      <c r="AA160" s="176">
        <v>-0.10504489566898863</v>
      </c>
      <c r="AB160" s="176">
        <v>1.0963482824703019</v>
      </c>
      <c r="AC160" s="612">
        <v>0.50897054870006697</v>
      </c>
      <c r="AT160" s="712"/>
      <c r="AU160" s="713"/>
      <c r="AV160" s="713"/>
      <c r="AW160" s="713"/>
      <c r="AX160" s="713"/>
      <c r="AY160" s="713"/>
      <c r="AZ160" s="713"/>
      <c r="BA160" s="713"/>
      <c r="BB160" s="713"/>
      <c r="BC160" s="713"/>
      <c r="BD160" s="713"/>
      <c r="BE160" s="713"/>
      <c r="BF160" s="774" t="s">
        <v>1152</v>
      </c>
      <c r="BG160" s="963"/>
      <c r="BH160" s="713"/>
      <c r="BI160" s="713"/>
      <c r="BJ160" s="774" t="s">
        <v>2265</v>
      </c>
      <c r="BK160" s="713"/>
      <c r="BL160" s="714"/>
    </row>
    <row r="161" spans="20:64">
      <c r="T161" s="172" t="s">
        <v>2281</v>
      </c>
      <c r="U161" s="2">
        <v>180</v>
      </c>
      <c r="V161" s="611">
        <v>5.1161270720125477E-3</v>
      </c>
      <c r="W161" s="176">
        <v>-0.10617919956934198</v>
      </c>
      <c r="X161" s="176">
        <v>1.1064867915050556</v>
      </c>
      <c r="Y161" s="612">
        <v>0.51103922909351507</v>
      </c>
      <c r="Z161" s="611">
        <v>5.1161270720125477E-3</v>
      </c>
      <c r="AA161" s="176">
        <v>-0.10617919956934198</v>
      </c>
      <c r="AB161" s="176">
        <v>1.1064867915050556</v>
      </c>
      <c r="AC161" s="612">
        <v>0.51103922909351507</v>
      </c>
    </row>
    <row r="162" spans="20:64">
      <c r="U162" s="2">
        <v>250</v>
      </c>
      <c r="V162" s="611">
        <v>5.2220847977237292E-3</v>
      </c>
      <c r="W162" s="176">
        <v>-0.10831982176515006</v>
      </c>
      <c r="X162" s="176">
        <v>1.1239307009329935</v>
      </c>
      <c r="Y162" s="612">
        <v>0.52092065162941092</v>
      </c>
      <c r="Z162" s="611">
        <v>5.2220847977237292E-3</v>
      </c>
      <c r="AA162" s="176">
        <v>-0.10831982176515006</v>
      </c>
      <c r="AB162" s="176">
        <v>1.1239307009329935</v>
      </c>
      <c r="AC162" s="612">
        <v>0.52092065162941092</v>
      </c>
      <c r="AT162" s="902" t="s">
        <v>2193</v>
      </c>
      <c r="AU162" s="903"/>
      <c r="AV162" s="904"/>
      <c r="AW162" s="766" t="s">
        <v>2226</v>
      </c>
      <c r="AX162" s="766"/>
      <c r="AY162" s="766"/>
      <c r="AZ162" s="766"/>
      <c r="BA162" s="766"/>
      <c r="BB162" s="766"/>
      <c r="BC162" s="766"/>
      <c r="BD162" s="766"/>
      <c r="BE162" s="766" t="s">
        <v>2227</v>
      </c>
      <c r="BF162" s="766"/>
      <c r="BG162" s="708"/>
      <c r="BH162" s="708"/>
      <c r="BI162" s="708"/>
      <c r="BJ162" s="708"/>
      <c r="BK162" s="708"/>
      <c r="BL162" s="709"/>
    </row>
    <row r="163" spans="20:64">
      <c r="U163" s="2">
        <v>300</v>
      </c>
      <c r="V163" s="613">
        <v>5.3072939196428205E-3</v>
      </c>
      <c r="W163" s="614">
        <v>-0.11003447529835975</v>
      </c>
      <c r="X163" s="614">
        <v>1.1378695002917987</v>
      </c>
      <c r="Y163" s="615">
        <v>0.52930451810561174</v>
      </c>
      <c r="Z163" s="613">
        <v>5.3072939196428205E-3</v>
      </c>
      <c r="AA163" s="614">
        <v>-0.11003447529835975</v>
      </c>
      <c r="AB163" s="614">
        <v>1.1378695002917987</v>
      </c>
      <c r="AC163" s="615">
        <v>0.52930451810561174</v>
      </c>
      <c r="AT163" s="710"/>
      <c r="AU163"/>
      <c r="AV163" s="2"/>
      <c r="AW163" s="2" t="s">
        <v>1127</v>
      </c>
      <c r="AX163" s="2" t="s">
        <v>163</v>
      </c>
      <c r="AY163" s="2"/>
      <c r="AZ163" s="2"/>
      <c r="BA163" s="2"/>
      <c r="BB163" s="2"/>
      <c r="BC163" s="2"/>
      <c r="BD163" s="2"/>
      <c r="BE163" s="2" t="s">
        <v>1127</v>
      </c>
      <c r="BF163" s="2" t="s">
        <v>163</v>
      </c>
      <c r="BH163"/>
      <c r="BI163"/>
      <c r="BJ163"/>
      <c r="BK163"/>
      <c r="BL163" s="711"/>
    </row>
    <row r="164" spans="20:64">
      <c r="AT164" s="710"/>
      <c r="AU164" s="2" t="s">
        <v>1128</v>
      </c>
      <c r="AV164"/>
      <c r="AW164" s="2">
        <v>-5.2200000000000003E-2</v>
      </c>
      <c r="AX164" s="2">
        <v>0.9708</v>
      </c>
      <c r="AY164" s="2"/>
      <c r="AZ164" s="2"/>
      <c r="BA164" s="2"/>
      <c r="BB164" s="2"/>
      <c r="BC164" s="2"/>
      <c r="BD164" s="2"/>
      <c r="BE164" s="2">
        <v>-4.6300000000000001E-2</v>
      </c>
      <c r="BF164" s="2">
        <v>0.9869</v>
      </c>
      <c r="BH164"/>
      <c r="BI164"/>
      <c r="BJ164"/>
      <c r="BK164"/>
      <c r="BL164" s="711"/>
    </row>
    <row r="165" spans="20:64">
      <c r="AT165" s="710"/>
      <c r="AU165" s="2" t="s">
        <v>1129</v>
      </c>
      <c r="AV165"/>
      <c r="AW165" s="2">
        <v>-6.6799999999999998E-2</v>
      </c>
      <c r="AX165" s="2">
        <v>0.95389999999999997</v>
      </c>
      <c r="AY165" s="2"/>
      <c r="AZ165" s="2"/>
      <c r="BA165" s="2"/>
      <c r="BB165" s="2"/>
      <c r="BC165" s="2"/>
      <c r="BD165" s="2"/>
      <c r="BE165" s="2">
        <v>-4.0300000000000002E-2</v>
      </c>
      <c r="BF165" s="2">
        <v>1.0174000000000001</v>
      </c>
      <c r="BH165"/>
      <c r="BI165"/>
      <c r="BJ165"/>
      <c r="BK165"/>
      <c r="BL165" s="711"/>
    </row>
    <row r="166" spans="20:64">
      <c r="AT166" s="710"/>
      <c r="AU166" s="2"/>
      <c r="AV166"/>
      <c r="AW166" s="2"/>
      <c r="AX166" s="2"/>
      <c r="AY166" s="2"/>
      <c r="AZ166" s="2"/>
      <c r="BA166" s="2"/>
      <c r="BB166" s="2"/>
      <c r="BC166" s="2"/>
      <c r="BD166" s="2"/>
      <c r="BE166"/>
      <c r="BF166"/>
      <c r="BG166"/>
      <c r="BH166"/>
      <c r="BI166"/>
      <c r="BJ166"/>
      <c r="BK166"/>
      <c r="BL166" s="711"/>
    </row>
    <row r="167" spans="20:64">
      <c r="AT167" s="710"/>
      <c r="AU167" s="2"/>
      <c r="AV167"/>
      <c r="AW167" s="767" t="str">
        <f>IF(Cntrl1=2,AW162,BE162)</f>
        <v>nmv</v>
      </c>
      <c r="AX167" s="2"/>
      <c r="AY167" s="2"/>
      <c r="AZ167" s="176"/>
      <c r="BA167" s="2"/>
      <c r="BB167" s="2"/>
      <c r="BC167" s="2"/>
      <c r="BD167" s="2"/>
      <c r="BE167" s="2"/>
      <c r="BF167" s="2"/>
      <c r="BG167"/>
      <c r="BH167"/>
      <c r="BI167"/>
      <c r="BJ167"/>
      <c r="BK167"/>
      <c r="BL167" s="711"/>
    </row>
    <row r="168" spans="20:64">
      <c r="AT168" s="710"/>
      <c r="AU168" s="2"/>
      <c r="AV168"/>
      <c r="AW168" s="2" t="s">
        <v>1127</v>
      </c>
      <c r="AX168" s="2" t="s">
        <v>163</v>
      </c>
      <c r="AY168" s="2"/>
      <c r="AZ168" s="2"/>
      <c r="BA168" s="2"/>
      <c r="BB168" s="2"/>
      <c r="BC168" s="2"/>
      <c r="BD168" s="2"/>
      <c r="BE168" s="2"/>
      <c r="BF168" s="2"/>
      <c r="BG168"/>
      <c r="BH168"/>
      <c r="BI168"/>
      <c r="BJ168"/>
      <c r="BK168"/>
      <c r="BL168" s="711"/>
    </row>
    <row r="169" spans="20:64">
      <c r="AT169" s="710"/>
      <c r="AU169" s="2" t="s">
        <v>1128</v>
      </c>
      <c r="AV169"/>
      <c r="AW169" s="2">
        <f>IF(Cntrl1=2,AW164,BE164)</f>
        <v>-5.2200000000000003E-2</v>
      </c>
      <c r="AX169" s="2">
        <f>IF(Cntrl1=2,AX164,BF164)</f>
        <v>0.9708</v>
      </c>
      <c r="AY169" s="2"/>
      <c r="AZ169" s="2"/>
      <c r="BA169" s="2"/>
      <c r="BB169" s="2"/>
      <c r="BC169" s="2"/>
      <c r="BD169" s="2"/>
      <c r="BE169" s="2"/>
      <c r="BF169" s="2"/>
      <c r="BG169"/>
      <c r="BH169"/>
      <c r="BI169"/>
      <c r="BJ169"/>
      <c r="BK169"/>
      <c r="BL169" s="711"/>
    </row>
    <row r="170" spans="20:64">
      <c r="AT170" s="710"/>
      <c r="AU170" s="2" t="s">
        <v>1129</v>
      </c>
      <c r="AV170"/>
      <c r="AW170" s="2">
        <f>IF(Cntrl1=2,AW165,BE165)</f>
        <v>-6.6799999999999998E-2</v>
      </c>
      <c r="AX170" s="2">
        <f>IF(Cntrl1=2,AX165,BF165)</f>
        <v>0.95389999999999997</v>
      </c>
      <c r="AY170" s="2" t="s">
        <v>1127</v>
      </c>
      <c r="AZ170" s="2" t="s">
        <v>163</v>
      </c>
      <c r="BA170" s="2"/>
      <c r="BB170" s="2"/>
      <c r="BC170" s="2"/>
      <c r="BD170" s="2"/>
      <c r="BE170" s="2"/>
      <c r="BF170" s="2"/>
      <c r="BG170"/>
      <c r="BH170"/>
      <c r="BI170"/>
      <c r="BJ170"/>
      <c r="BK170"/>
      <c r="BL170" s="711"/>
    </row>
    <row r="171" spans="20:64">
      <c r="AT171" s="710"/>
      <c r="AU171" s="763" t="str">
        <f>IF(Cntrl4&lt;7,AU169,AU170)</f>
        <v>plain</v>
      </c>
      <c r="AV171" s="178"/>
      <c r="AW171" s="763">
        <f>IF(Cntrl4&lt;7,AW169,AW170)</f>
        <v>-5.2200000000000003E-2</v>
      </c>
      <c r="AX171" s="763">
        <f>IF(Cntrl4&lt;7,AX169,AX170)</f>
        <v>0.9708</v>
      </c>
      <c r="AY171" s="2">
        <f>AW171</f>
        <v>-5.2200000000000003E-2</v>
      </c>
      <c r="AZ171" s="2">
        <f>AX171</f>
        <v>0.9708</v>
      </c>
      <c r="BA171" s="2"/>
      <c r="BB171" s="2"/>
      <c r="BC171" s="2"/>
      <c r="BD171" s="2"/>
      <c r="BE171" s="2"/>
      <c r="BF171" s="2"/>
      <c r="BG171"/>
      <c r="BH171"/>
      <c r="BI171"/>
      <c r="BJ171"/>
      <c r="BK171"/>
      <c r="BL171" s="711"/>
    </row>
    <row r="172" spans="20:64">
      <c r="AT172" s="712"/>
      <c r="AU172" s="713"/>
      <c r="AV172" s="713"/>
      <c r="AW172" s="713"/>
      <c r="AX172" s="713"/>
      <c r="AY172" s="774" t="s">
        <v>1131</v>
      </c>
      <c r="AZ172" s="774" t="s">
        <v>1132</v>
      </c>
      <c r="BA172" s="713"/>
      <c r="BB172" s="713"/>
      <c r="BC172" s="713"/>
      <c r="BD172" s="713"/>
      <c r="BE172" s="713"/>
      <c r="BF172" s="713"/>
      <c r="BG172" s="713"/>
      <c r="BH172" s="713"/>
      <c r="BI172" s="713"/>
      <c r="BJ172" s="713"/>
      <c r="BK172" s="713"/>
      <c r="BL172" s="714"/>
    </row>
    <row r="182" spans="10:10">
      <c r="J182" s="172"/>
    </row>
    <row r="183" spans="10:10">
      <c r="J183" s="172"/>
    </row>
    <row r="184" spans="10:10">
      <c r="J184" s="172"/>
    </row>
    <row r="185" spans="10:10">
      <c r="J185" s="172"/>
    </row>
    <row r="193" spans="20:34">
      <c r="T193"/>
      <c r="Y193"/>
      <c r="Z193"/>
      <c r="AF193"/>
    </row>
    <row r="194" spans="20:34">
      <c r="T194"/>
      <c r="Y194"/>
      <c r="Z194"/>
      <c r="AF194"/>
    </row>
    <row r="195" spans="20:34">
      <c r="T195"/>
      <c r="Y195"/>
      <c r="Z195"/>
      <c r="AF195"/>
    </row>
    <row r="196" spans="20:34">
      <c r="T196"/>
      <c r="Y196"/>
      <c r="Z196"/>
      <c r="AF196"/>
      <c r="AG196"/>
      <c r="AH196"/>
    </row>
    <row r="197" spans="20:34">
      <c r="T197"/>
      <c r="U197"/>
      <c r="V197"/>
      <c r="Y197"/>
      <c r="Z197"/>
      <c r="AF197"/>
      <c r="AG197"/>
      <c r="AH197"/>
    </row>
    <row r="198" spans="20:34">
      <c r="T198"/>
      <c r="U198"/>
      <c r="V198"/>
      <c r="Y198"/>
      <c r="Z198"/>
      <c r="AF198"/>
      <c r="AG198"/>
      <c r="AH198"/>
    </row>
    <row r="199" spans="20:34">
      <c r="T199"/>
      <c r="U199"/>
      <c r="V199"/>
      <c r="Y199"/>
      <c r="Z199"/>
      <c r="AF199"/>
    </row>
    <row r="200" spans="20:34">
      <c r="T200"/>
      <c r="Y200"/>
      <c r="Z200"/>
      <c r="AF200"/>
    </row>
    <row r="201" spans="20:34">
      <c r="T201"/>
      <c r="Y201"/>
      <c r="Z201"/>
      <c r="AF201"/>
    </row>
    <row r="202" spans="20:34">
      <c r="T202"/>
      <c r="Y202"/>
      <c r="Z202"/>
      <c r="AF202"/>
    </row>
    <row r="203" spans="20:34">
      <c r="T203"/>
      <c r="Y203"/>
      <c r="Z203"/>
    </row>
  </sheetData>
  <sheetProtection algorithmName="SHA-512" hashValue="6Z2FWY8tJFEIMKGEnBKkX05ocemRMLniaGFkC3P/bb3puFWDZ49pBM8ocRz2Y2QXmjp6Wkp9EtZhiCvqDhtLWA==" saltValue="vk/hp+ilj+bXFtny99FPaw==" spinCount="100000" sheet="1" objects="1" scenarios="1"/>
  <mergeCells count="31">
    <mergeCell ref="BW7:BX9"/>
    <mergeCell ref="BN1:BO1"/>
    <mergeCell ref="BP13:BP15"/>
    <mergeCell ref="BN12:BO15"/>
    <mergeCell ref="BN3:BP3"/>
    <mergeCell ref="BN5:BP5"/>
    <mergeCell ref="BN7:BP7"/>
    <mergeCell ref="BN9:BP10"/>
    <mergeCell ref="AI8:AM8"/>
    <mergeCell ref="AI9:AM9"/>
    <mergeCell ref="AI10:AM10"/>
    <mergeCell ref="BE157:BG157"/>
    <mergeCell ref="BI157:BK157"/>
    <mergeCell ref="BI147:BK147"/>
    <mergeCell ref="BE147:BG147"/>
    <mergeCell ref="CM1:CN1"/>
    <mergeCell ref="BV13:BV15"/>
    <mergeCell ref="CK1:CL1"/>
    <mergeCell ref="BR3:BU3"/>
    <mergeCell ref="BR5:BU5"/>
    <mergeCell ref="BR7:BU7"/>
    <mergeCell ref="BR9:BU9"/>
    <mergeCell ref="BY7:BZ9"/>
    <mergeCell ref="CB2:CG13"/>
    <mergeCell ref="CH2:CM13"/>
    <mergeCell ref="BQ12:CA12"/>
    <mergeCell ref="BZ1:CD1"/>
    <mergeCell ref="BW3:BX3"/>
    <mergeCell ref="BV1:BY1"/>
    <mergeCell ref="BP1:BU1"/>
    <mergeCell ref="BW5:BX5"/>
  </mergeCells>
  <phoneticPr fontId="22" type="noConversion"/>
  <conditionalFormatting sqref="AO28:BB82">
    <cfRule type="expression" dxfId="25" priority="24">
      <formula>ROW()=(26+$BD$15)</formula>
    </cfRule>
  </conditionalFormatting>
  <conditionalFormatting sqref="AP84:AU96">
    <cfRule type="expression" dxfId="24" priority="6">
      <formula>ROW()=(23+$BD$15)</formula>
    </cfRule>
  </conditionalFormatting>
  <conditionalFormatting sqref="AW84:BB96">
    <cfRule type="expression" dxfId="23" priority="1">
      <formula>ROW()=(23+$BD$15)</formula>
    </cfRule>
  </conditionalFormatting>
  <conditionalFormatting sqref="AW123:BD123 BE149:BF149 BI149:BJ149 AY171:AZ171">
    <cfRule type="cellIs" dxfId="22" priority="38" operator="lessThan">
      <formula>0</formula>
    </cfRule>
    <cfRule type="cellIs" dxfId="21" priority="39" operator="greaterThan">
      <formula>0</formula>
    </cfRule>
  </conditionalFormatting>
  <conditionalFormatting sqref="BC84:BG96">
    <cfRule type="colorScale" priority="27">
      <colorScale>
        <cfvo type="min"/>
        <cfvo type="max"/>
        <color theme="0"/>
        <color rgb="FFFFC000"/>
      </colorScale>
    </cfRule>
  </conditionalFormatting>
  <conditionalFormatting sqref="BF159 BJ159">
    <cfRule type="cellIs" dxfId="20" priority="31" operator="lessThan">
      <formula>0</formula>
    </cfRule>
    <cfRule type="cellIs" dxfId="19" priority="32" operator="greaterThan">
      <formula>0</formula>
    </cfRule>
  </conditionalFormatting>
  <conditionalFormatting sqref="BH84:BL96">
    <cfRule type="colorScale" priority="23">
      <colorScale>
        <cfvo type="min"/>
        <cfvo type="max"/>
        <color theme="0"/>
        <color rgb="FFFFC000"/>
      </colorScale>
    </cfRule>
  </conditionalFormatting>
  <conditionalFormatting sqref="BN5:BP5">
    <cfRule type="expression" dxfId="18" priority="59">
      <formula>IF(Cntrl2=2,TRUE,FALSE)</formula>
    </cfRule>
  </conditionalFormatting>
  <conditionalFormatting sqref="BN7:BP7">
    <cfRule type="expression" dxfId="17" priority="58">
      <formula>IF(Cntrl3=2,TRUE,FALSE)</formula>
    </cfRule>
  </conditionalFormatting>
  <conditionalFormatting sqref="BQ3">
    <cfRule type="expression" dxfId="16" priority="51">
      <formula>$BL$3</formula>
    </cfRule>
  </conditionalFormatting>
  <conditionalFormatting sqref="BQ5">
    <cfRule type="expression" dxfId="15" priority="49">
      <formula>$BL$5</formula>
    </cfRule>
  </conditionalFormatting>
  <conditionalFormatting sqref="BQ7">
    <cfRule type="expression" dxfId="14" priority="47">
      <formula>$BL$7</formula>
    </cfRule>
  </conditionalFormatting>
  <conditionalFormatting sqref="BQ9">
    <cfRule type="expression" dxfId="13" priority="46">
      <formula>$BL$9</formula>
    </cfRule>
  </conditionalFormatting>
  <conditionalFormatting sqref="BQ16:BU43 BW16:CA43">
    <cfRule type="cellIs" dxfId="12" priority="1008" stopIfTrue="1" operator="equal">
      <formula>$BY$7</formula>
    </cfRule>
    <cfRule type="cellIs" dxfId="11" priority="1009" stopIfTrue="1" operator="greaterThan">
      <formula>$BK$15-0.05</formula>
    </cfRule>
  </conditionalFormatting>
  <conditionalFormatting sqref="BY3">
    <cfRule type="expression" dxfId="10" priority="50">
      <formula>$BL$4</formula>
    </cfRule>
  </conditionalFormatting>
  <conditionalFormatting sqref="BY5">
    <cfRule type="expression" dxfId="9" priority="48">
      <formula>$BL$6</formula>
    </cfRule>
  </conditionalFormatting>
  <conditionalFormatting sqref="BY7">
    <cfRule type="cellIs" dxfId="8" priority="722" operator="greaterThanOrEqual">
      <formula>$BK$15-0.05</formula>
    </cfRule>
  </conditionalFormatting>
  <conditionalFormatting sqref="BY7:BZ9 CG23 CG27">
    <cfRule type="expression" dxfId="7" priority="57">
      <formula>$BL$1</formula>
    </cfRule>
  </conditionalFormatting>
  <hyperlinks>
    <hyperlink ref="BZ1" r:id="rId1" xr:uid="{955C85E6-9CCD-4246-BEE8-B0C7586E1C01}"/>
  </hyperlinks>
  <pageMargins left="0.7" right="0.7" top="0.75" bottom="0.75" header="0.3" footer="0.3"/>
  <pageSetup scale="41" orientation="portrait" r:id="rId2"/>
  <drawing r:id="rId3"/>
  <legacyDrawing r:id="rId4"/>
  <controls>
    <mc:AlternateContent xmlns:mc="http://schemas.openxmlformats.org/markup-compatibility/2006">
      <mc:Choice Requires="x14">
        <control shapeId="54409" r:id="rId5" name="ComboBox_1">
          <controlPr defaultSize="0" autoLine="0" linkedCell="$BJ$15" listFillRange="$BJ$16:$BK$71" r:id="rId6">
            <anchor moveWithCells="1">
              <from>
                <xdr:col>65</xdr:col>
                <xdr:colOff>0</xdr:colOff>
                <xdr:row>14</xdr:row>
                <xdr:rowOff>190500</xdr:rowOff>
              </from>
              <to>
                <xdr:col>67</xdr:col>
                <xdr:colOff>9525</xdr:colOff>
                <xdr:row>16</xdr:row>
                <xdr:rowOff>28575</xdr:rowOff>
              </to>
            </anchor>
          </controlPr>
        </control>
      </mc:Choice>
      <mc:Fallback>
        <control shapeId="54409" r:id="rId5" name="ComboBox_1"/>
      </mc:Fallback>
    </mc:AlternateContent>
    <mc:AlternateContent xmlns:mc="http://schemas.openxmlformats.org/markup-compatibility/2006">
      <mc:Choice Requires="x14">
        <control shapeId="54410" r:id="rId7" name="ComboBox_2">
          <controlPr defaultSize="0" autoLine="0" linkedCell="$BD$15" listFillRange="$BD$16:$BE$71" r:id="rId8">
            <anchor moveWithCells="1">
              <from>
                <xdr:col>76</xdr:col>
                <xdr:colOff>0</xdr:colOff>
                <xdr:row>3</xdr:row>
                <xdr:rowOff>161925</xdr:rowOff>
              </from>
              <to>
                <xdr:col>78</xdr:col>
                <xdr:colOff>9525</xdr:colOff>
                <xdr:row>5</xdr:row>
                <xdr:rowOff>9525</xdr:rowOff>
              </to>
            </anchor>
          </controlPr>
        </control>
      </mc:Choice>
      <mc:Fallback>
        <control shapeId="54410" r:id="rId7" name="ComboBox_2"/>
      </mc:Fallback>
    </mc:AlternateContent>
    <mc:AlternateContent xmlns:mc="http://schemas.openxmlformats.org/markup-compatibility/2006">
      <mc:Choice Requires="x14">
        <control shapeId="54411" r:id="rId9" name="ComboBox_3">
          <controlPr defaultSize="0" autoLine="0" linkedCell="$BG$15" listFillRange="$BG$16:$BH$66" r:id="rId10">
            <anchor moveWithCells="1">
              <from>
                <xdr:col>84</xdr:col>
                <xdr:colOff>0</xdr:colOff>
                <xdr:row>23</xdr:row>
                <xdr:rowOff>180975</xdr:rowOff>
              </from>
              <to>
                <xdr:col>86</xdr:col>
                <xdr:colOff>9525</xdr:colOff>
                <xdr:row>25</xdr:row>
                <xdr:rowOff>19050</xdr:rowOff>
              </to>
            </anchor>
          </controlPr>
        </control>
      </mc:Choice>
      <mc:Fallback>
        <control shapeId="54411" r:id="rId9" name="ComboBox_3"/>
      </mc:Fallback>
    </mc:AlternateContent>
    <mc:AlternateContent xmlns:mc="http://schemas.openxmlformats.org/markup-compatibility/2006">
      <mc:Choice Requires="x14">
        <control shapeId="54412" r:id="rId11" name="ComboBox_4">
          <controlPr defaultSize="0" autoLine="0" linkedCell="$AX$15" listFillRange="$AX$16:$AY$21" r:id="rId12">
            <anchor moveWithCells="1">
              <from>
                <xdr:col>75</xdr:col>
                <xdr:colOff>600075</xdr:colOff>
                <xdr:row>1</xdr:row>
                <xdr:rowOff>190500</xdr:rowOff>
              </from>
              <to>
                <xdr:col>78</xdr:col>
                <xdr:colOff>0</xdr:colOff>
                <xdr:row>3</xdr:row>
                <xdr:rowOff>19050</xdr:rowOff>
              </to>
            </anchor>
          </controlPr>
        </control>
      </mc:Choice>
      <mc:Fallback>
        <control shapeId="54412" r:id="rId11" name="ComboBox_4"/>
      </mc:Fallback>
    </mc:AlternateContent>
    <mc:AlternateContent xmlns:mc="http://schemas.openxmlformats.org/markup-compatibility/2006">
      <mc:Choice Requires="x14">
        <control shapeId="54413" r:id="rId13" name="ComboBox_5">
          <controlPr defaultSize="0" autoLine="0" linkedCell="$BA$15" listFillRange="$BA$16:$BB$24" r:id="rId14">
            <anchor moveWithCells="1">
              <from>
                <xdr:col>67</xdr:col>
                <xdr:colOff>600075</xdr:colOff>
                <xdr:row>7</xdr:row>
                <xdr:rowOff>180975</xdr:rowOff>
              </from>
              <to>
                <xdr:col>73</xdr:col>
                <xdr:colOff>19050</xdr:colOff>
                <xdr:row>9</xdr:row>
                <xdr:rowOff>19050</xdr:rowOff>
              </to>
            </anchor>
          </controlPr>
        </control>
      </mc:Choice>
      <mc:Fallback>
        <control shapeId="54413" r:id="rId13" name="ComboBox_5"/>
      </mc:Fallback>
    </mc:AlternateContent>
    <mc:AlternateContent xmlns:mc="http://schemas.openxmlformats.org/markup-compatibility/2006">
      <mc:Choice Requires="x14">
        <control shapeId="54414" r:id="rId15" name="ComboBox_6">
          <controlPr defaultSize="0" autoLine="0" linkedCell="$AO$15" listFillRange="$AO$16:$AP$20" r:id="rId16">
            <anchor moveWithCells="1">
              <from>
                <xdr:col>68</xdr:col>
                <xdr:colOff>0</xdr:colOff>
                <xdr:row>5</xdr:row>
                <xdr:rowOff>180975</xdr:rowOff>
              </from>
              <to>
                <xdr:col>73</xdr:col>
                <xdr:colOff>28575</xdr:colOff>
                <xdr:row>7</xdr:row>
                <xdr:rowOff>19050</xdr:rowOff>
              </to>
            </anchor>
          </controlPr>
        </control>
      </mc:Choice>
      <mc:Fallback>
        <control shapeId="54414" r:id="rId15" name="ComboBox_6"/>
      </mc:Fallback>
    </mc:AlternateContent>
    <mc:AlternateContent xmlns:mc="http://schemas.openxmlformats.org/markup-compatibility/2006">
      <mc:Choice Requires="x14">
        <control shapeId="54415" r:id="rId17" name="ComboBox_7">
          <controlPr defaultSize="0" autoLine="0" linkedCell="$AR$15" listFillRange="$AR$16:$AS$18" r:id="rId16">
            <anchor moveWithCells="1">
              <from>
                <xdr:col>67</xdr:col>
                <xdr:colOff>600075</xdr:colOff>
                <xdr:row>3</xdr:row>
                <xdr:rowOff>180975</xdr:rowOff>
              </from>
              <to>
                <xdr:col>73</xdr:col>
                <xdr:colOff>19050</xdr:colOff>
                <xdr:row>5</xdr:row>
                <xdr:rowOff>28575</xdr:rowOff>
              </to>
            </anchor>
          </controlPr>
        </control>
      </mc:Choice>
      <mc:Fallback>
        <control shapeId="54415" r:id="rId17" name="ComboBox_7"/>
      </mc:Fallback>
    </mc:AlternateContent>
    <mc:AlternateContent xmlns:mc="http://schemas.openxmlformats.org/markup-compatibility/2006">
      <mc:Choice Requires="x14">
        <control shapeId="54416" r:id="rId18" name="ComboBox_8">
          <controlPr defaultSize="0" autoLine="0" linkedCell="$AU$15" listFillRange="$AU$16:$AV$18" r:id="rId19">
            <anchor moveWithCells="1">
              <from>
                <xdr:col>67</xdr:col>
                <xdr:colOff>600075</xdr:colOff>
                <xdr:row>2</xdr:row>
                <xdr:rowOff>0</xdr:rowOff>
              </from>
              <to>
                <xdr:col>73</xdr:col>
                <xdr:colOff>19050</xdr:colOff>
                <xdr:row>3</xdr:row>
                <xdr:rowOff>28575</xdr:rowOff>
              </to>
            </anchor>
          </controlPr>
        </control>
      </mc:Choice>
      <mc:Fallback>
        <control shapeId="54416" r:id="rId18" name="ComboBox_8"/>
      </mc:Fallback>
    </mc:AlternateContent>
  </controls>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D719C3D-77A2-45A4-A5B0-9E5631618FCD}">
  <sheetPr codeName="Sheet12"/>
  <dimension ref="A1:BA1163"/>
  <sheetViews>
    <sheetView showGridLines="0" showRowColHeaders="0" topLeftCell="AI1" zoomScaleNormal="100" workbookViewId="0">
      <selection activeCell="AI1" sqref="AI1"/>
    </sheetView>
  </sheetViews>
  <sheetFormatPr defaultRowHeight="15"/>
  <cols>
    <col min="1" max="6" width="9.140625" style="263" hidden="1" customWidth="1"/>
    <col min="7" max="7" width="22.5703125" style="263" hidden="1" customWidth="1"/>
    <col min="8" max="34" width="9.140625" style="263" hidden="1" customWidth="1"/>
    <col min="35" max="35" width="5.140625" customWidth="1"/>
  </cols>
  <sheetData>
    <row r="1" spans="2:53" ht="33" customHeight="1">
      <c r="AH1" s="263" t="b">
        <f>IF(CntrlType="Web Controls",AH2,OR(VALUE(Cntrl1)=1,VALUE(Cntrl2)=1,VALUE(Cntrl3)=1,VALUE(Cntrl4)=1))</f>
        <v>0</v>
      </c>
      <c r="AI1" s="366"/>
      <c r="AJ1" s="1014" t="e" vm="1">
        <v>#VALUE!</v>
      </c>
      <c r="AK1" s="1014"/>
      <c r="AL1" s="1015" t="s">
        <v>1153</v>
      </c>
      <c r="AM1" s="1015"/>
      <c r="AN1" s="1015"/>
      <c r="AO1" s="1015"/>
      <c r="AP1" s="1015"/>
      <c r="AQ1" s="1015"/>
      <c r="AR1" s="1015"/>
      <c r="AS1" s="1025" t="s">
        <v>2</v>
      </c>
      <c r="AT1" s="1025"/>
      <c r="AU1" s="1025"/>
      <c r="AV1" s="1025"/>
      <c r="AW1" s="905" t="s">
        <v>2261</v>
      </c>
      <c r="AX1" s="1041" t="s">
        <v>3</v>
      </c>
      <c r="AY1" s="1041"/>
      <c r="AZ1" s="1092">
        <v>45988.700578703705</v>
      </c>
      <c r="BA1" s="1093"/>
    </row>
    <row r="2" spans="2:53" ht="16.5" customHeight="1">
      <c r="B2" s="584">
        <v>1.46</v>
      </c>
      <c r="C2" s="112">
        <f ca="1">OFFSET(Cntrl1,0,1)</f>
        <v>0.35</v>
      </c>
      <c r="L2" s="263">
        <f>Cntrl2-1</f>
        <v>3</v>
      </c>
      <c r="M2" s="264" cm="1">
        <f t="array" ref="M2">INDEX(M4:M7,L2)</f>
        <v>0.53377451244386376</v>
      </c>
      <c r="N2" s="588" cm="1">
        <f t="array" ref="N2">INDEX(N4:N7,L2)</f>
        <v>2.4120760000000003</v>
      </c>
      <c r="AH2" s="263" t="b">
        <f>OR(WebCntrl1="",WebCntrl2="",WebCntrl3="",WebCntrl4="")</f>
        <v>0</v>
      </c>
      <c r="AI2" s="193"/>
      <c r="AJ2" s="193"/>
      <c r="AK2" s="193"/>
      <c r="AL2" s="193"/>
      <c r="AM2" s="193"/>
      <c r="AN2" s="193"/>
      <c r="AO2" s="193"/>
      <c r="AP2" s="193"/>
      <c r="AQ2" s="329"/>
      <c r="AR2" s="329"/>
      <c r="AS2" s="591"/>
      <c r="AT2" s="1238" t="s">
        <v>1154</v>
      </c>
      <c r="AU2" s="1238"/>
      <c r="AV2" s="1238"/>
      <c r="AW2" s="1238"/>
      <c r="AX2" s="1238"/>
      <c r="AY2" s="1238"/>
      <c r="AZ2" s="591"/>
      <c r="BA2" s="336"/>
    </row>
    <row r="3" spans="2:53" ht="16.5" customHeight="1">
      <c r="N3" s="263" t="s">
        <v>1155</v>
      </c>
      <c r="AA3" s="1079" t="s">
        <v>1156</v>
      </c>
      <c r="AB3" s="1079"/>
      <c r="AI3" s="193"/>
      <c r="AJ3" s="193"/>
      <c r="AK3" s="193"/>
      <c r="AL3" s="193"/>
      <c r="AM3" s="193"/>
      <c r="AN3" s="193"/>
      <c r="AO3" s="193"/>
      <c r="AP3" s="193"/>
      <c r="AQ3" s="329"/>
      <c r="AR3" s="591"/>
      <c r="AS3" s="591"/>
      <c r="AT3" s="1238"/>
      <c r="AU3" s="1238"/>
      <c r="AV3" s="1238"/>
      <c r="AW3" s="1238"/>
      <c r="AX3" s="1238"/>
      <c r="AY3" s="1238"/>
      <c r="AZ3" s="591"/>
      <c r="BA3" s="336"/>
    </row>
    <row r="4" spans="2:53" ht="15.75">
      <c r="B4" s="275">
        <f>MIN(126,MAX(1,151-100*WebCntrl1))</f>
        <v>121</v>
      </c>
      <c r="C4" s="14" t="s">
        <v>86</v>
      </c>
      <c r="D4" s="33" cm="1">
        <f t="array" ref="D4">INDEX(D10:D136,C4)</f>
        <v>1.198</v>
      </c>
      <c r="F4" s="588"/>
      <c r="J4" s="602">
        <f>J10</f>
        <v>2250</v>
      </c>
      <c r="L4" s="616" t="s">
        <v>1157</v>
      </c>
      <c r="M4" s="621">
        <f>Z23</f>
        <v>0.45543683969757454</v>
      </c>
      <c r="N4" s="588">
        <f>($J$4/1000+2*0.04)*($J$5/1000+2*0.04)</f>
        <v>2.4931000000000001</v>
      </c>
      <c r="W4" s="619">
        <f>J4/1000</f>
        <v>2.25</v>
      </c>
      <c r="AA4" s="507">
        <v>18</v>
      </c>
      <c r="AB4" s="462">
        <f>P10</f>
        <v>0</v>
      </c>
      <c r="AI4" s="193"/>
      <c r="AJ4" s="1232" t="s">
        <v>1158</v>
      </c>
      <c r="AK4" s="1233"/>
      <c r="AL4" s="1233"/>
      <c r="AM4" s="1233"/>
      <c r="AN4" s="1233"/>
      <c r="AO4" s="1234"/>
      <c r="AP4" s="193"/>
      <c r="AQ4" s="329"/>
      <c r="AR4" s="591"/>
      <c r="AS4" s="591"/>
      <c r="AT4" s="591"/>
      <c r="AU4" s="591"/>
      <c r="AV4" s="591"/>
      <c r="AW4" s="591"/>
      <c r="AX4" s="591"/>
      <c r="AY4" s="591"/>
      <c r="AZ4" s="591"/>
      <c r="BA4" s="336"/>
    </row>
    <row r="5" spans="2:53" ht="15.75">
      <c r="J5" s="618">
        <f>M10</f>
        <v>990</v>
      </c>
      <c r="L5" s="616" t="s">
        <v>1159</v>
      </c>
      <c r="M5" s="621">
        <f>Z40</f>
        <v>0.47584595204007496</v>
      </c>
      <c r="N5" s="588">
        <f>($J$4/1000+2*0.04)*($J$5/1000+2*0.04)</f>
        <v>2.4931000000000001</v>
      </c>
      <c r="W5" s="620">
        <f>J5/1000</f>
        <v>0.99</v>
      </c>
      <c r="AI5" s="193"/>
      <c r="AJ5" s="1235"/>
      <c r="AK5" s="1236"/>
      <c r="AL5" s="1236"/>
      <c r="AM5" s="1236"/>
      <c r="AN5" s="1236"/>
      <c r="AO5" s="1237"/>
      <c r="AP5" s="193"/>
      <c r="AQ5" s="329"/>
      <c r="AR5" s="590"/>
      <c r="AS5" s="590"/>
      <c r="AT5" s="590"/>
      <c r="AU5" s="590"/>
      <c r="AV5" s="333"/>
      <c r="AW5" s="426"/>
      <c r="AX5" s="426"/>
      <c r="AY5" s="426"/>
      <c r="AZ5" s="426"/>
      <c r="BA5" s="336"/>
    </row>
    <row r="6" spans="2:53" ht="15.75">
      <c r="J6" s="605">
        <f>D10</f>
        <v>0.35</v>
      </c>
      <c r="L6" s="616" t="s">
        <v>689</v>
      </c>
      <c r="M6" s="621">
        <f>Z57</f>
        <v>0.53377451244386376</v>
      </c>
      <c r="N6" s="588">
        <f>($J$4/1000+2*0.028)*($J$5/1000+2*0.028)</f>
        <v>2.4120760000000003</v>
      </c>
      <c r="V6"/>
      <c r="W6" s="625">
        <f>J6</f>
        <v>0.35</v>
      </c>
      <c r="AI6" s="193"/>
      <c r="AJ6" s="193"/>
      <c r="AK6" s="193"/>
      <c r="AL6" s="193"/>
      <c r="AM6" s="193"/>
      <c r="AN6" s="193"/>
      <c r="AO6" s="193"/>
      <c r="AP6" s="193"/>
      <c r="AQ6" s="329"/>
      <c r="AR6" s="193"/>
      <c r="AS6" s="333"/>
      <c r="AT6" s="333"/>
      <c r="AU6" s="333"/>
      <c r="AV6" s="333"/>
      <c r="AW6" s="333"/>
      <c r="AX6" s="333"/>
      <c r="AY6" s="333"/>
      <c r="AZ6" s="333"/>
      <c r="BA6" s="336"/>
    </row>
    <row r="7" spans="2:53" ht="15.75">
      <c r="L7" s="616" t="s">
        <v>1160</v>
      </c>
      <c r="M7" s="621">
        <f>Z74</f>
        <v>0.53876300317267689</v>
      </c>
      <c r="N7" s="588">
        <f>($J$4/1000+2*0.04)*($J$5/1000+2*0.04)</f>
        <v>2.4931000000000001</v>
      </c>
      <c r="V7"/>
      <c r="W7" s="625">
        <f>W6+0.17</f>
        <v>0.52</v>
      </c>
      <c r="AI7" s="193"/>
      <c r="AJ7" s="193"/>
      <c r="AK7" s="193"/>
      <c r="AL7" s="193"/>
      <c r="AM7" s="193"/>
      <c r="AN7" s="193"/>
      <c r="AO7" s="193"/>
      <c r="AP7" s="193"/>
      <c r="AQ7" s="329"/>
      <c r="AR7" s="193"/>
      <c r="AS7" s="333"/>
      <c r="AT7" s="333"/>
      <c r="AU7" s="333"/>
      <c r="AV7" s="333"/>
      <c r="AW7" s="333"/>
      <c r="AX7" s="333"/>
      <c r="AY7" s="333"/>
      <c r="AZ7" s="333"/>
      <c r="BA7" s="336"/>
    </row>
    <row r="8" spans="2:53" ht="15.75">
      <c r="R8" s="2"/>
      <c r="S8"/>
      <c r="T8"/>
      <c r="U8"/>
      <c r="V8"/>
      <c r="X8"/>
      <c r="Y8"/>
      <c r="Z8" s="2"/>
      <c r="AA8"/>
      <c r="AB8"/>
      <c r="AC8"/>
      <c r="AD8" s="2"/>
      <c r="AE8"/>
      <c r="AF8"/>
      <c r="AI8" s="193"/>
      <c r="AJ8" s="193"/>
      <c r="AK8" s="193"/>
      <c r="AL8" s="193"/>
      <c r="AM8" s="193"/>
      <c r="AN8" s="193"/>
      <c r="AO8" s="193"/>
      <c r="AP8" s="193"/>
      <c r="AQ8" s="329"/>
      <c r="AR8" s="193"/>
      <c r="AS8" s="333"/>
      <c r="AT8" s="333"/>
      <c r="AU8" s="333"/>
      <c r="AV8" s="333"/>
      <c r="AW8" s="333"/>
      <c r="AX8" s="333"/>
      <c r="AY8" s="333"/>
      <c r="AZ8" s="333"/>
      <c r="BA8" s="336"/>
    </row>
    <row r="9" spans="2:53" ht="15.75">
      <c r="R9" s="2"/>
      <c r="S9" s="2"/>
      <c r="T9" s="2"/>
      <c r="U9"/>
      <c r="V9"/>
      <c r="X9" s="2"/>
      <c r="Y9"/>
      <c r="Z9" s="2"/>
      <c r="AA9" s="2"/>
      <c r="AB9" s="2"/>
      <c r="AC9"/>
      <c r="AD9" s="2"/>
      <c r="AE9" s="2"/>
      <c r="AF9" s="2"/>
      <c r="AH9" s="263" t="b">
        <f>ISBLANK(WebCntrl3)</f>
        <v>0</v>
      </c>
      <c r="AI9" s="193"/>
      <c r="AJ9" s="193" t="s">
        <v>1161</v>
      </c>
      <c r="AK9" s="193"/>
      <c r="AL9" s="193"/>
      <c r="AM9" s="507">
        <v>2000</v>
      </c>
      <c r="AN9" s="462">
        <f>IF(ISBLANK(WebCntrl3),"",J10)</f>
        <v>2250</v>
      </c>
      <c r="AO9" s="1079" t="s">
        <v>1156</v>
      </c>
      <c r="AP9" s="1079"/>
      <c r="AQ9" s="329"/>
      <c r="AR9" s="193"/>
      <c r="AS9" s="333"/>
      <c r="AT9" s="333"/>
      <c r="AU9" s="333"/>
      <c r="AV9" s="333"/>
      <c r="AW9" s="333"/>
      <c r="AX9" s="333"/>
      <c r="AY9" s="333"/>
      <c r="AZ9" s="333"/>
      <c r="BA9" s="336"/>
    </row>
    <row r="10" spans="2:53" ht="16.5" thickBot="1">
      <c r="B10" s="275">
        <f>MIN(1152,MAX(2,1202-1000*WebCntrl1))</f>
        <v>902</v>
      </c>
      <c r="C10" s="14" t="s">
        <v>1162</v>
      </c>
      <c r="D10" s="22" cm="1">
        <f t="array" ref="D10">INDEX(D11:D1162,C10)</f>
        <v>0.35</v>
      </c>
      <c r="E10" s="275">
        <f>MIN(5,MAX(2,WebCntrl2+1))</f>
        <v>2</v>
      </c>
      <c r="F10" s="14" t="s">
        <v>80</v>
      </c>
      <c r="G10" s="42" t="str" cm="1">
        <f t="array" ref="G10">INDEX(G11:G15,F10)</f>
        <v>Timber</v>
      </c>
      <c r="H10" s="275">
        <f>MIN(82,MAX(2,272-INT(WebCntrl3/10)))</f>
        <v>72</v>
      </c>
      <c r="I10" s="14" t="s">
        <v>302</v>
      </c>
      <c r="J10" s="33" cm="1">
        <f t="array" ref="J10">INDEX(J11:J92,Cntrl3)</f>
        <v>2250</v>
      </c>
      <c r="K10" s="275">
        <f>MIN(72,MAX(2,222-INT(WebCntrl4/5)))</f>
        <v>50</v>
      </c>
      <c r="L10" s="14" t="s">
        <v>184</v>
      </c>
      <c r="M10" s="33" cm="1">
        <f t="array" ref="M10">INDEX(M11:M82,L10)</f>
        <v>990</v>
      </c>
      <c r="N10" s="275"/>
      <c r="O10" s="14"/>
      <c r="P10" s="33"/>
      <c r="Q10" s="64"/>
      <c r="R10" s="167"/>
      <c r="S10" s="167"/>
      <c r="T10" s="167"/>
      <c r="U10"/>
      <c r="X10" s="167"/>
      <c r="Y10"/>
      <c r="Z10" s="167"/>
      <c r="AA10" s="167"/>
      <c r="AB10" s="167"/>
      <c r="AC10"/>
      <c r="AD10" s="167"/>
      <c r="AE10" s="167"/>
      <c r="AF10" s="167"/>
      <c r="AI10" s="193"/>
      <c r="AJ10" s="193"/>
      <c r="AK10" s="193"/>
      <c r="AL10" s="193"/>
      <c r="AM10" s="193"/>
      <c r="AN10" s="193"/>
      <c r="AO10" s="193"/>
      <c r="AP10" s="193"/>
      <c r="AQ10" s="329"/>
      <c r="AR10" s="193"/>
      <c r="AS10" s="333"/>
      <c r="AT10" s="333"/>
      <c r="AU10" s="333"/>
      <c r="AV10" s="333"/>
      <c r="AW10" s="333"/>
      <c r="AX10" s="333"/>
      <c r="AY10" s="333"/>
      <c r="AZ10" s="333"/>
      <c r="BA10" s="336"/>
    </row>
    <row r="11" spans="2:53" ht="16.5" thickBot="1">
      <c r="C11" s="12" t="s">
        <v>49</v>
      </c>
      <c r="D11" s="630"/>
      <c r="E11" s="13"/>
      <c r="F11" s="12" t="s">
        <v>49</v>
      </c>
      <c r="G11" s="630"/>
      <c r="H11" s="13"/>
      <c r="I11" s="12" t="s">
        <v>49</v>
      </c>
      <c r="J11" s="630"/>
      <c r="K11" s="13"/>
      <c r="L11" s="12" t="s">
        <v>49</v>
      </c>
      <c r="M11" s="630"/>
      <c r="N11" s="13"/>
      <c r="O11" s="12"/>
      <c r="P11" s="582"/>
      <c r="Q11" s="13"/>
      <c r="S11" s="167"/>
      <c r="T11" s="167"/>
      <c r="U11"/>
      <c r="W11" s="167"/>
      <c r="X11" s="167"/>
      <c r="Y11"/>
      <c r="AA11" s="167"/>
      <c r="AC11"/>
      <c r="AD11" s="167"/>
      <c r="AE11" s="167"/>
      <c r="AF11" s="167"/>
      <c r="AI11" s="193"/>
      <c r="AJ11" s="193"/>
      <c r="AK11" s="193"/>
      <c r="AL11" s="193"/>
      <c r="AM11" s="193"/>
      <c r="AN11" s="193"/>
      <c r="AO11" s="193"/>
      <c r="AP11" s="193"/>
      <c r="AQ11" s="329"/>
      <c r="AR11" s="193"/>
      <c r="AS11" s="333"/>
      <c r="AT11" s="333"/>
      <c r="AU11" s="333"/>
      <c r="AV11" s="333"/>
      <c r="AW11" s="333"/>
      <c r="AX11" s="333"/>
      <c r="AY11" s="333"/>
      <c r="AZ11" s="333"/>
      <c r="BA11" s="336"/>
    </row>
    <row r="12" spans="2:53" ht="15.75">
      <c r="B12" s="12">
        <v>1200</v>
      </c>
      <c r="C12" s="12" t="s">
        <v>63</v>
      </c>
      <c r="D12" s="12">
        <v>1.2</v>
      </c>
      <c r="E12" s="13"/>
      <c r="F12" s="12" t="s">
        <v>63</v>
      </c>
      <c r="G12" s="583" t="s">
        <v>1163</v>
      </c>
      <c r="H12" s="13"/>
      <c r="I12" s="12" t="s">
        <v>63</v>
      </c>
      <c r="J12" s="582">
        <v>2700</v>
      </c>
      <c r="K12" s="13"/>
      <c r="L12" s="12" t="s">
        <v>63</v>
      </c>
      <c r="M12" s="582">
        <v>1100</v>
      </c>
      <c r="N12" s="13"/>
      <c r="O12" s="12"/>
      <c r="Q12" s="13"/>
      <c r="R12" s="622" t="s">
        <v>1164</v>
      </c>
      <c r="S12" s="585"/>
      <c r="T12" s="585"/>
      <c r="AH12" s="263" t="b">
        <f>ISBLANK(WebCntrl4)</f>
        <v>0</v>
      </c>
      <c r="AI12" s="193"/>
      <c r="AJ12" s="193" t="s">
        <v>1165</v>
      </c>
      <c r="AK12" s="193"/>
      <c r="AL12" s="193"/>
      <c r="AM12" s="507">
        <v>860</v>
      </c>
      <c r="AN12" s="462">
        <f>IF(ISBLANK(WebCntrl4),"",M10)</f>
        <v>990</v>
      </c>
      <c r="AO12" s="1079" t="s">
        <v>1156</v>
      </c>
      <c r="AP12" s="1079"/>
      <c r="AQ12" s="329"/>
      <c r="AR12" s="193"/>
      <c r="AS12" s="333"/>
      <c r="AT12" s="333"/>
      <c r="AU12" s="333"/>
      <c r="AV12" s="333"/>
      <c r="AW12" s="333"/>
      <c r="AX12" s="333"/>
      <c r="AY12" s="333"/>
      <c r="AZ12" s="333"/>
      <c r="BA12" s="336"/>
    </row>
    <row r="13" spans="2:53" ht="15.75">
      <c r="B13" s="12">
        <v>1199</v>
      </c>
      <c r="C13" s="12" t="s">
        <v>73</v>
      </c>
      <c r="D13" s="12">
        <v>1.1990000000000001</v>
      </c>
      <c r="F13" s="12" t="s">
        <v>73</v>
      </c>
      <c r="G13" s="583" t="s">
        <v>1166</v>
      </c>
      <c r="H13" s="13"/>
      <c r="I13" s="12" t="s">
        <v>73</v>
      </c>
      <c r="J13" s="582">
        <v>2690</v>
      </c>
      <c r="K13" s="13"/>
      <c r="L13" s="12" t="s">
        <v>73</v>
      </c>
      <c r="M13" s="582">
        <v>1095</v>
      </c>
      <c r="N13" s="13"/>
      <c r="O13" s="12"/>
      <c r="AI13" s="193"/>
      <c r="AJ13" s="193"/>
      <c r="AK13" s="193"/>
      <c r="AL13" s="193"/>
      <c r="AM13" s="193"/>
      <c r="AN13" s="193"/>
      <c r="AO13" s="193"/>
      <c r="AP13" s="193"/>
      <c r="AQ13" s="329"/>
      <c r="AR13" s="193"/>
      <c r="AS13" s="333"/>
      <c r="AT13" s="333"/>
      <c r="AU13" s="333"/>
      <c r="AV13" s="333"/>
      <c r="AW13" s="333"/>
      <c r="AX13" s="333"/>
      <c r="AY13" s="333"/>
      <c r="AZ13" s="333"/>
      <c r="BA13" s="336"/>
    </row>
    <row r="14" spans="2:53" ht="15.75">
      <c r="B14" s="12">
        <v>1198</v>
      </c>
      <c r="C14" s="12" t="s">
        <v>80</v>
      </c>
      <c r="D14" s="12">
        <v>1.198</v>
      </c>
      <c r="F14" s="12" t="s">
        <v>80</v>
      </c>
      <c r="G14" s="583" t="s">
        <v>689</v>
      </c>
      <c r="H14" s="13"/>
      <c r="I14" s="12" t="s">
        <v>80</v>
      </c>
      <c r="J14" s="582">
        <v>2680</v>
      </c>
      <c r="L14" s="12" t="s">
        <v>80</v>
      </c>
      <c r="M14" s="582">
        <v>1090</v>
      </c>
      <c r="O14" s="12"/>
      <c r="R14"/>
      <c r="S14" s="2">
        <v>2</v>
      </c>
      <c r="T14"/>
      <c r="U14"/>
      <c r="W14" s="2">
        <v>2.2000000000000002</v>
      </c>
      <c r="X14"/>
      <c r="Y14"/>
      <c r="Z14"/>
      <c r="AA14" s="2">
        <v>2.4</v>
      </c>
      <c r="AB14"/>
      <c r="AC14"/>
      <c r="AD14"/>
      <c r="AE14" s="2">
        <v>2.7</v>
      </c>
      <c r="AF14"/>
      <c r="AG14"/>
      <c r="AI14" s="193"/>
      <c r="AJ14" s="193"/>
      <c r="AK14" s="193"/>
      <c r="AL14" s="193"/>
      <c r="AM14" s="193"/>
      <c r="AN14" s="193"/>
      <c r="AO14" s="193"/>
      <c r="AP14" s="193"/>
      <c r="AQ14" s="329"/>
      <c r="AR14" s="193"/>
      <c r="AS14" s="333"/>
      <c r="AT14" s="333"/>
      <c r="AU14" s="333"/>
      <c r="AV14" s="333"/>
      <c r="AW14" s="333"/>
      <c r="AX14" s="333"/>
      <c r="AY14" s="333"/>
      <c r="AZ14" s="333"/>
      <c r="BA14" s="336"/>
    </row>
    <row r="15" spans="2:53" ht="15.75">
      <c r="B15" s="12">
        <v>1197</v>
      </c>
      <c r="C15" s="12" t="s">
        <v>86</v>
      </c>
      <c r="D15" s="12">
        <v>1.1970000000000001</v>
      </c>
      <c r="E15" s="13"/>
      <c r="F15" s="12">
        <v>5</v>
      </c>
      <c r="G15" s="583" t="s">
        <v>1160</v>
      </c>
      <c r="I15" s="12" t="s">
        <v>86</v>
      </c>
      <c r="J15" s="582">
        <v>2670</v>
      </c>
      <c r="L15" s="12" t="s">
        <v>86</v>
      </c>
      <c r="M15" s="582">
        <v>1085</v>
      </c>
      <c r="O15" s="12"/>
      <c r="R15"/>
      <c r="S15" s="2" t="s">
        <v>1167</v>
      </c>
      <c r="T15" s="2" t="s">
        <v>251</v>
      </c>
      <c r="U15" s="2" t="s">
        <v>163</v>
      </c>
      <c r="V15"/>
      <c r="W15" s="2" t="s">
        <v>1167</v>
      </c>
      <c r="X15" s="2" t="s">
        <v>251</v>
      </c>
      <c r="Y15" s="2" t="s">
        <v>163</v>
      </c>
      <c r="Z15"/>
      <c r="AA15" s="2" t="s">
        <v>1167</v>
      </c>
      <c r="AB15" s="2" t="s">
        <v>251</v>
      </c>
      <c r="AC15" s="2" t="s">
        <v>163</v>
      </c>
      <c r="AD15"/>
      <c r="AE15" s="2" t="s">
        <v>1167</v>
      </c>
      <c r="AF15" s="2" t="s">
        <v>251</v>
      </c>
      <c r="AG15" s="2" t="s">
        <v>163</v>
      </c>
      <c r="AH15" s="263" t="b">
        <f>ISBLANK(WebCntrl2)</f>
        <v>0</v>
      </c>
      <c r="AI15" s="193"/>
      <c r="AJ15" s="193" t="s">
        <v>1168</v>
      </c>
      <c r="AK15" s="193"/>
      <c r="AL15" s="507">
        <v>1</v>
      </c>
      <c r="AM15" s="998" t="str">
        <f>IF(ISBLANK(WebCntrl2),"",G10)</f>
        <v>Timber</v>
      </c>
      <c r="AN15" s="999"/>
      <c r="AO15" s="999"/>
      <c r="AP15" s="193"/>
      <c r="AQ15" s="329"/>
      <c r="AR15" s="193"/>
      <c r="AS15" s="333"/>
      <c r="AT15" s="333"/>
      <c r="AU15" s="333"/>
      <c r="AV15" s="333"/>
      <c r="AW15" s="333"/>
      <c r="AX15" s="333"/>
      <c r="AY15" s="333"/>
      <c r="AZ15" s="333"/>
      <c r="BA15" s="336"/>
    </row>
    <row r="16" spans="2:53" ht="15.75">
      <c r="B16" s="12">
        <v>1196</v>
      </c>
      <c r="C16" s="12" t="s">
        <v>93</v>
      </c>
      <c r="D16" s="12">
        <v>1.196</v>
      </c>
      <c r="E16" s="13"/>
      <c r="F16" s="12"/>
      <c r="G16" s="12"/>
      <c r="I16" s="12" t="s">
        <v>93</v>
      </c>
      <c r="J16" s="582">
        <v>2660</v>
      </c>
      <c r="L16" s="12" t="s">
        <v>93</v>
      </c>
      <c r="M16" s="582">
        <v>1080</v>
      </c>
      <c r="O16" s="12"/>
      <c r="R16" s="2" t="s">
        <v>1169</v>
      </c>
      <c r="S16" s="592">
        <v>2.2838759176294243E-2</v>
      </c>
      <c r="T16" s="593">
        <v>-2.0841611585630301E-2</v>
      </c>
      <c r="U16" s="594">
        <v>-0.18832193064726815</v>
      </c>
      <c r="V16"/>
      <c r="W16" s="592">
        <v>1.8942340643138371E-2</v>
      </c>
      <c r="X16" s="593">
        <v>-1.1539952200297809E-2</v>
      </c>
      <c r="Y16" s="594">
        <v>-0.19268143552929762</v>
      </c>
      <c r="Z16"/>
      <c r="AA16" s="592">
        <v>1.8169413235413913E-2</v>
      </c>
      <c r="AB16" s="593">
        <v>-7.475223929713966E-3</v>
      </c>
      <c r="AC16" s="594">
        <v>-0.19488503687393943</v>
      </c>
      <c r="AD16"/>
      <c r="AE16" s="592">
        <v>2.1339802231745839E-2</v>
      </c>
      <c r="AF16" s="593">
        <v>-8.8246762471237642E-3</v>
      </c>
      <c r="AG16" s="594">
        <v>-0.19508534960723956</v>
      </c>
      <c r="AI16" s="193"/>
      <c r="AJ16" s="193"/>
      <c r="AK16" s="193"/>
      <c r="AL16" s="193"/>
      <c r="AM16" s="193"/>
      <c r="AN16" s="193"/>
      <c r="AO16" s="193"/>
      <c r="AP16" s="193"/>
      <c r="AQ16" s="329"/>
      <c r="AR16" s="193"/>
      <c r="AS16" s="333"/>
      <c r="AT16" s="333"/>
      <c r="AU16" s="333"/>
      <c r="AV16" s="333"/>
      <c r="AW16" s="333"/>
      <c r="AX16" s="333"/>
      <c r="AY16" s="333"/>
      <c r="AZ16" s="333"/>
      <c r="BA16" s="336"/>
    </row>
    <row r="17" spans="2:53" ht="15.75" customHeight="1">
      <c r="B17" s="12">
        <v>1195</v>
      </c>
      <c r="C17" s="12" t="s">
        <v>99</v>
      </c>
      <c r="D17" s="12">
        <v>1.1950000000000001</v>
      </c>
      <c r="E17" s="13"/>
      <c r="F17" s="12"/>
      <c r="G17" s="12"/>
      <c r="I17" s="12" t="s">
        <v>99</v>
      </c>
      <c r="J17" s="582">
        <v>2650</v>
      </c>
      <c r="L17" s="12" t="s">
        <v>99</v>
      </c>
      <c r="M17" s="582">
        <v>1075</v>
      </c>
      <c r="O17" s="12"/>
      <c r="R17" s="2" t="s">
        <v>112</v>
      </c>
      <c r="S17" s="595">
        <v>-0.21524110704241925</v>
      </c>
      <c r="T17" s="167">
        <v>0.56802672707411983</v>
      </c>
      <c r="U17" s="596">
        <v>0.43606143799327479</v>
      </c>
      <c r="V17"/>
      <c r="W17" s="595">
        <v>-0.21777487624763142</v>
      </c>
      <c r="X17" s="167">
        <v>0.57330454882213178</v>
      </c>
      <c r="Y17" s="596">
        <v>0.4402629608927342</v>
      </c>
      <c r="Z17"/>
      <c r="AA17" s="595">
        <v>-0.22305402009782718</v>
      </c>
      <c r="AB17" s="167">
        <v>0.58320195190890256</v>
      </c>
      <c r="AC17" s="596">
        <v>0.4414374326107795</v>
      </c>
      <c r="AD17"/>
      <c r="AE17" s="595">
        <v>-0.22161096099677705</v>
      </c>
      <c r="AF17" s="167">
        <v>0.58243739330412114</v>
      </c>
      <c r="AG17" s="596">
        <v>0.44809944937280133</v>
      </c>
      <c r="AI17" s="193"/>
      <c r="AJ17" s="193"/>
      <c r="AK17" s="193"/>
      <c r="AL17" s="193"/>
      <c r="AM17" s="193"/>
      <c r="AN17" s="193"/>
      <c r="AO17" s="193"/>
      <c r="AP17" s="193"/>
      <c r="AQ17" s="329"/>
      <c r="AR17" s="193"/>
      <c r="AS17" s="333"/>
      <c r="AT17" s="333"/>
      <c r="AU17" s="333"/>
      <c r="AV17" s="333"/>
      <c r="AW17" s="333"/>
      <c r="AX17" s="333"/>
      <c r="AY17" s="333"/>
      <c r="AZ17" s="333"/>
      <c r="BA17" s="336"/>
    </row>
    <row r="18" spans="2:53" ht="15.75" customHeight="1">
      <c r="B18" s="12">
        <v>1194</v>
      </c>
      <c r="C18" s="12" t="s">
        <v>106</v>
      </c>
      <c r="D18" s="12">
        <v>1.194</v>
      </c>
      <c r="E18" s="13"/>
      <c r="F18" s="12"/>
      <c r="G18" s="12"/>
      <c r="I18" s="12" t="s">
        <v>106</v>
      </c>
      <c r="J18" s="582">
        <v>2640</v>
      </c>
      <c r="L18" s="12" t="s">
        <v>106</v>
      </c>
      <c r="M18" s="582">
        <v>1070</v>
      </c>
      <c r="O18" s="12"/>
      <c r="R18" s="2" t="s">
        <v>163</v>
      </c>
      <c r="S18" s="597">
        <v>2.7557256403082101E-2</v>
      </c>
      <c r="T18" s="598">
        <v>-7.4133127250941802E-2</v>
      </c>
      <c r="U18" s="599">
        <v>7.7200873689943647E-2</v>
      </c>
      <c r="V18"/>
      <c r="W18" s="597">
        <v>2.7017080078213206E-2</v>
      </c>
      <c r="X18" s="598">
        <v>-7.3687849335037942E-2</v>
      </c>
      <c r="Y18" s="599">
        <v>7.6280554495672767E-2</v>
      </c>
      <c r="Z18"/>
      <c r="AA18" s="597">
        <v>2.7629941082521186E-2</v>
      </c>
      <c r="AB18" s="598">
        <v>-7.4978882974752609E-2</v>
      </c>
      <c r="AC18" s="599">
        <v>7.6144451064124541E-2</v>
      </c>
      <c r="AD18"/>
      <c r="AE18" s="597">
        <v>2.9546629104428814E-2</v>
      </c>
      <c r="AF18" s="598">
        <v>-7.8423311088922407E-2</v>
      </c>
      <c r="AG18" s="599">
        <v>7.6700068517268821E-2</v>
      </c>
      <c r="AI18" s="193"/>
      <c r="AJ18" s="1241" t="s">
        <v>1170</v>
      </c>
      <c r="AK18" s="1241"/>
      <c r="AL18" s="1241"/>
      <c r="AM18" s="1241"/>
      <c r="AN18" s="1241"/>
      <c r="AO18" s="193"/>
      <c r="AP18" s="193"/>
      <c r="AQ18" s="329"/>
      <c r="AR18" s="193"/>
      <c r="AS18" s="333"/>
      <c r="AT18" s="333"/>
      <c r="AU18" s="333"/>
      <c r="AV18" s="333"/>
      <c r="AW18" s="333"/>
      <c r="AX18" s="333"/>
      <c r="AY18" s="333"/>
      <c r="AZ18" s="333"/>
      <c r="BA18" s="336"/>
    </row>
    <row r="19" spans="2:53" ht="15.75" customHeight="1">
      <c r="B19" s="12">
        <v>1193</v>
      </c>
      <c r="C19" s="12" t="s">
        <v>110</v>
      </c>
      <c r="D19" s="12">
        <v>1.1930000000000001</v>
      </c>
      <c r="E19" s="13"/>
      <c r="F19" s="12"/>
      <c r="G19" s="12"/>
      <c r="I19" s="12" t="s">
        <v>110</v>
      </c>
      <c r="J19" s="582">
        <v>2630</v>
      </c>
      <c r="L19" s="12" t="s">
        <v>110</v>
      </c>
      <c r="M19" s="582">
        <v>1065</v>
      </c>
      <c r="O19" s="12"/>
      <c r="R19"/>
      <c r="S19"/>
      <c r="T19"/>
      <c r="U19" s="600"/>
      <c r="V19"/>
      <c r="W19"/>
      <c r="X19"/>
      <c r="Y19"/>
      <c r="Z19"/>
      <c r="AA19"/>
      <c r="AB19"/>
      <c r="AC19"/>
      <c r="AD19"/>
      <c r="AE19"/>
      <c r="AF19"/>
      <c r="AG19"/>
      <c r="AI19" s="193"/>
      <c r="AJ19" s="1241"/>
      <c r="AK19" s="1241"/>
      <c r="AL19" s="1241"/>
      <c r="AM19" s="1241"/>
      <c r="AN19" s="1241"/>
      <c r="AO19" s="333"/>
      <c r="AP19" s="333"/>
      <c r="AQ19" s="329"/>
      <c r="AR19" s="193"/>
      <c r="AS19" s="333"/>
      <c r="AT19" s="333"/>
      <c r="AU19" s="333"/>
      <c r="AV19" s="333"/>
      <c r="AW19" s="333"/>
      <c r="AX19" s="333"/>
      <c r="AY19" s="333"/>
      <c r="AZ19" s="333"/>
      <c r="BA19" s="336"/>
    </row>
    <row r="20" spans="2:53" ht="17.25">
      <c r="B20" s="12">
        <v>1192</v>
      </c>
      <c r="C20" s="12" t="s">
        <v>114</v>
      </c>
      <c r="D20" s="12">
        <v>1.1919999999999999</v>
      </c>
      <c r="E20" s="13"/>
      <c r="F20" s="12"/>
      <c r="G20" s="12"/>
      <c r="I20" s="12" t="s">
        <v>114</v>
      </c>
      <c r="J20" s="582">
        <v>2620</v>
      </c>
      <c r="L20" s="12" t="s">
        <v>114</v>
      </c>
      <c r="M20" s="582">
        <v>1060</v>
      </c>
      <c r="O20" s="12"/>
      <c r="R20"/>
      <c r="S20" s="2" t="s">
        <v>1169</v>
      </c>
      <c r="T20" s="2" t="s">
        <v>112</v>
      </c>
      <c r="U20" s="2" t="s">
        <v>163</v>
      </c>
      <c r="V20"/>
      <c r="W20"/>
      <c r="X20"/>
      <c r="Y20"/>
      <c r="Z20"/>
      <c r="AA20"/>
      <c r="AB20"/>
      <c r="AC20"/>
      <c r="AD20"/>
      <c r="AE20"/>
      <c r="AF20"/>
      <c r="AG20"/>
      <c r="AH20" s="263" t="b">
        <f>ISBLANK(WebCntrl1)</f>
        <v>0</v>
      </c>
      <c r="AI20" s="193"/>
      <c r="AJ20" s="589" t="s">
        <v>1171</v>
      </c>
      <c r="AK20" s="193"/>
      <c r="AL20" s="193"/>
      <c r="AM20" s="624">
        <v>0.3</v>
      </c>
      <c r="AN20" s="623">
        <f>IF(ISBLANK(WebCntrl1),"",D10)</f>
        <v>0.35</v>
      </c>
      <c r="AO20" s="1231" t="s">
        <v>1172</v>
      </c>
      <c r="AP20" s="1231"/>
      <c r="AQ20" s="329"/>
      <c r="AR20" s="193"/>
      <c r="AS20" s="333"/>
      <c r="AT20" s="333"/>
      <c r="AU20" s="333"/>
      <c r="AV20" s="333"/>
      <c r="AW20" s="333"/>
      <c r="AX20" s="333"/>
      <c r="AY20" s="333"/>
      <c r="AZ20" s="333"/>
      <c r="BA20" s="336"/>
    </row>
    <row r="21" spans="2:53" ht="15.75">
      <c r="B21" s="12">
        <v>1191</v>
      </c>
      <c r="C21" s="12" t="s">
        <v>119</v>
      </c>
      <c r="D21" s="12">
        <v>1.1910000000000001</v>
      </c>
      <c r="E21" s="13"/>
      <c r="F21" s="12"/>
      <c r="G21" s="12"/>
      <c r="I21" s="12" t="s">
        <v>119</v>
      </c>
      <c r="J21" s="582">
        <v>2610</v>
      </c>
      <c r="L21" s="12" t="s">
        <v>119</v>
      </c>
      <c r="M21" s="582">
        <v>1055</v>
      </c>
      <c r="O21" s="12"/>
      <c r="R21"/>
      <c r="S21" s="601">
        <v>-3.215535453299374E-3</v>
      </c>
      <c r="T21" s="601">
        <v>1.2671665357713895E-2</v>
      </c>
      <c r="U21">
        <v>1.1617257021111689E-3</v>
      </c>
      <c r="V21"/>
      <c r="W21" s="602">
        <f>W4</f>
        <v>2.25</v>
      </c>
      <c r="X21" s="2">
        <f>CHOOSE(T23,S14,W14,AA14,AE14)</f>
        <v>2.2000000000000002</v>
      </c>
      <c r="Y21" s="2">
        <f>CHOOSE(T23,0.2,0.2,0.3,0.3)</f>
        <v>0.2</v>
      </c>
      <c r="Z21"/>
      <c r="AA21"/>
      <c r="AB21"/>
      <c r="AC21"/>
      <c r="AD21"/>
      <c r="AE21"/>
      <c r="AF21"/>
      <c r="AG21"/>
      <c r="AI21" s="193"/>
      <c r="AJ21" s="589" t="s">
        <v>1173</v>
      </c>
      <c r="AK21" s="193"/>
      <c r="AL21" s="193"/>
      <c r="AM21" s="1239">
        <f>IF(AH1,"",W7)</f>
        <v>0.52</v>
      </c>
      <c r="AN21" s="1240"/>
      <c r="AO21" s="333"/>
      <c r="AP21" s="333"/>
      <c r="AQ21" s="329"/>
      <c r="AR21" s="193"/>
      <c r="AS21" s="333"/>
      <c r="AT21" s="333"/>
      <c r="AU21" s="333"/>
      <c r="AV21" s="333"/>
      <c r="AW21" s="333"/>
      <c r="AX21" s="333"/>
      <c r="AY21" s="333"/>
      <c r="AZ21" s="333"/>
      <c r="BA21" s="336"/>
    </row>
    <row r="22" spans="2:53" ht="15.75">
      <c r="B22" s="12">
        <v>1190</v>
      </c>
      <c r="C22" s="12" t="s">
        <v>123</v>
      </c>
      <c r="D22" s="12">
        <v>1.19</v>
      </c>
      <c r="E22" s="13"/>
      <c r="F22" s="12"/>
      <c r="G22" s="12"/>
      <c r="I22" s="12" t="s">
        <v>123</v>
      </c>
      <c r="J22" s="582">
        <v>2600</v>
      </c>
      <c r="L22" s="12" t="s">
        <v>123</v>
      </c>
      <c r="M22" s="582">
        <v>1050</v>
      </c>
      <c r="O22" s="12"/>
      <c r="R22"/>
      <c r="S22" s="601">
        <v>3.3560610335945447E-3</v>
      </c>
      <c r="T22" s="601">
        <v>2.8007478597963681E-2</v>
      </c>
      <c r="U22">
        <v>-3.836103570669287E-3</v>
      </c>
      <c r="V22"/>
      <c r="W22" s="603">
        <f>W5</f>
        <v>0.99</v>
      </c>
      <c r="X22"/>
      <c r="Y22" s="2">
        <f>W21-X21</f>
        <v>4.9999999999999822E-2</v>
      </c>
      <c r="Z22"/>
      <c r="AA22"/>
      <c r="AB22"/>
      <c r="AC22"/>
      <c r="AD22"/>
      <c r="AE22"/>
      <c r="AF22"/>
      <c r="AG22"/>
      <c r="AI22" s="193"/>
      <c r="AJ22" s="193"/>
      <c r="AK22" s="193"/>
      <c r="AL22" s="193"/>
      <c r="AM22" s="193"/>
      <c r="AN22" s="193"/>
      <c r="AO22" s="193"/>
      <c r="AP22" s="193"/>
      <c r="AQ22" s="329"/>
      <c r="AR22" s="193"/>
      <c r="AS22" s="333"/>
      <c r="AT22" s="333"/>
      <c r="AU22" s="333"/>
      <c r="AV22" s="333"/>
      <c r="AW22" s="333"/>
      <c r="AX22" s="333"/>
      <c r="AY22" s="333"/>
      <c r="AZ22" s="333"/>
      <c r="BA22" s="336"/>
    </row>
    <row r="23" spans="2:53" ht="15.75" customHeight="1">
      <c r="B23" s="12">
        <v>1189</v>
      </c>
      <c r="C23" s="12" t="s">
        <v>127</v>
      </c>
      <c r="D23" s="12">
        <v>1.1890000000000001</v>
      </c>
      <c r="E23" s="13"/>
      <c r="F23" s="12"/>
      <c r="G23" s="12"/>
      <c r="I23" s="12" t="s">
        <v>127</v>
      </c>
      <c r="J23" s="582">
        <v>2590</v>
      </c>
      <c r="L23" s="12" t="s">
        <v>127</v>
      </c>
      <c r="M23" s="582">
        <v>1045</v>
      </c>
      <c r="O23" s="12"/>
      <c r="R23" s="2"/>
      <c r="S23"/>
      <c r="T23" s="174">
        <f>IF(W21&lt;W14,1,IF(W21&lt;AA14,2,IF(W21&lt;AE14,3,4)))</f>
        <v>2</v>
      </c>
      <c r="U23" s="604"/>
      <c r="V23"/>
      <c r="W23" s="626">
        <f>W6</f>
        <v>0.35</v>
      </c>
      <c r="X23" s="604">
        <f>X25+0.17</f>
        <v>0.45511795812681288</v>
      </c>
      <c r="Y23"/>
      <c r="Z23" s="617">
        <f>Y25+0.17</f>
        <v>0.45543683969757454</v>
      </c>
      <c r="AA23"/>
      <c r="AB23"/>
      <c r="AC23"/>
      <c r="AD23"/>
      <c r="AE23"/>
      <c r="AF23"/>
      <c r="AG23"/>
      <c r="AI23" s="193"/>
      <c r="AJ23" s="1244" t="s">
        <v>1174</v>
      </c>
      <c r="AK23" s="1244"/>
      <c r="AL23" s="1245"/>
      <c r="AM23" s="1246">
        <f>IF(AH1,"",M2)</f>
        <v>0.53377451244386376</v>
      </c>
      <c r="AN23" s="1247"/>
      <c r="AO23" s="1252" t="s">
        <v>1175</v>
      </c>
      <c r="AP23" s="1253"/>
      <c r="AQ23" s="329"/>
      <c r="AR23" s="193"/>
      <c r="AS23" s="333"/>
      <c r="AT23" s="333"/>
      <c r="AU23" s="333"/>
      <c r="AV23" s="333"/>
      <c r="AW23" s="333"/>
      <c r="AX23" s="333"/>
      <c r="AY23" s="333"/>
      <c r="AZ23" s="333"/>
      <c r="BA23" s="336"/>
    </row>
    <row r="24" spans="2:53" ht="15.75">
      <c r="B24" s="12">
        <v>1188</v>
      </c>
      <c r="C24" s="12" t="s">
        <v>131</v>
      </c>
      <c r="D24" s="12">
        <v>1.1879999999999999</v>
      </c>
      <c r="E24" s="13"/>
      <c r="F24" s="12"/>
      <c r="G24" s="12"/>
      <c r="I24" s="12" t="s">
        <v>131</v>
      </c>
      <c r="J24" s="582">
        <v>2580</v>
      </c>
      <c r="L24" s="12" t="s">
        <v>131</v>
      </c>
      <c r="M24" s="582">
        <v>1040</v>
      </c>
      <c r="O24" s="12"/>
      <c r="R24" s="604"/>
      <c r="S24" s="2" t="s">
        <v>1167</v>
      </c>
      <c r="T24" s="2" t="s">
        <v>251</v>
      </c>
      <c r="U24" s="2" t="s">
        <v>163</v>
      </c>
      <c r="V24"/>
      <c r="W24" s="2"/>
      <c r="X24"/>
      <c r="Y24"/>
      <c r="Z24"/>
      <c r="AA24"/>
      <c r="AB24"/>
      <c r="AC24"/>
      <c r="AD24"/>
      <c r="AE24"/>
      <c r="AF24"/>
      <c r="AG24"/>
      <c r="AI24" s="193"/>
      <c r="AJ24" s="1244"/>
      <c r="AK24" s="1244"/>
      <c r="AL24" s="1245"/>
      <c r="AM24" s="1248"/>
      <c r="AN24" s="1249"/>
      <c r="AO24" s="1252"/>
      <c r="AP24" s="1253"/>
      <c r="AQ24" s="329"/>
      <c r="AR24" s="193"/>
      <c r="AS24" s="333"/>
      <c r="AT24" s="333"/>
      <c r="AU24" s="333"/>
      <c r="AV24" s="333"/>
      <c r="AW24" s="333"/>
      <c r="AX24" s="333"/>
      <c r="AY24" s="333"/>
      <c r="AZ24" s="333"/>
      <c r="BA24" s="336"/>
    </row>
    <row r="25" spans="2:53" ht="15.75">
      <c r="B25" s="12">
        <v>1187</v>
      </c>
      <c r="C25" s="12" t="s">
        <v>135</v>
      </c>
      <c r="D25" s="12">
        <v>1.1870000000000001</v>
      </c>
      <c r="E25" s="13"/>
      <c r="F25" s="12"/>
      <c r="G25" s="12"/>
      <c r="I25" s="12" t="s">
        <v>135</v>
      </c>
      <c r="J25" s="582">
        <v>2570</v>
      </c>
      <c r="L25" s="12" t="s">
        <v>135</v>
      </c>
      <c r="M25" s="582">
        <v>1035</v>
      </c>
      <c r="O25" s="12"/>
      <c r="R25" s="2" t="s">
        <v>1169</v>
      </c>
      <c r="S25" s="606">
        <f>CHOOSE(T23,S16,W16,AA16,AE16)</f>
        <v>1.8942340643138371E-2</v>
      </c>
      <c r="T25" s="607">
        <f>CHOOSE(T23,T16,X16,AB16,AF16)</f>
        <v>-1.1539952200297809E-2</v>
      </c>
      <c r="U25" s="608">
        <f>CHOOSE(T23,U16,Y16,AC16,AG16)</f>
        <v>-0.19268143552929762</v>
      </c>
      <c r="V25"/>
      <c r="W25" s="609">
        <f>W23</f>
        <v>0.35</v>
      </c>
      <c r="X25" s="604">
        <f>W25^2*(S25*W22^2+T25*W22+U25)+W25*(S26*W22^2+T26*W22+U26)+(S27*W22^2+T27*W22+U27)</f>
        <v>0.2851179581268129</v>
      </c>
      <c r="Y25" s="604">
        <f>X25+Y22*(W25^2*S22+W25*T22+U22)</f>
        <v>0.28543683969757455</v>
      </c>
      <c r="Z25" s="610">
        <f>(Y25-W25)/W25</f>
        <v>-0.18446617229264409</v>
      </c>
      <c r="AA25"/>
      <c r="AB25"/>
      <c r="AC25"/>
      <c r="AD25"/>
      <c r="AE25"/>
      <c r="AF25"/>
      <c r="AG25"/>
      <c r="AI25" s="193"/>
      <c r="AJ25" s="1244"/>
      <c r="AK25" s="1244"/>
      <c r="AL25" s="1245"/>
      <c r="AM25" s="1250"/>
      <c r="AN25" s="1251"/>
      <c r="AO25" s="1252"/>
      <c r="AP25" s="1253"/>
      <c r="AQ25" s="329"/>
      <c r="AR25" s="193"/>
      <c r="AS25" s="333"/>
      <c r="AT25" s="333"/>
      <c r="AU25" s="333"/>
      <c r="AV25" s="333"/>
      <c r="AW25" s="333"/>
      <c r="AX25" s="333"/>
      <c r="AY25" s="333"/>
      <c r="AZ25" s="333"/>
      <c r="BA25" s="336"/>
    </row>
    <row r="26" spans="2:53" ht="18" customHeight="1">
      <c r="B26" s="12">
        <v>1186</v>
      </c>
      <c r="C26" s="12" t="s">
        <v>141</v>
      </c>
      <c r="D26" s="12">
        <v>1.1859999999999999</v>
      </c>
      <c r="E26" s="13"/>
      <c r="F26" s="12"/>
      <c r="G26" s="12"/>
      <c r="I26" s="12" t="s">
        <v>141</v>
      </c>
      <c r="J26" s="582">
        <v>2560</v>
      </c>
      <c r="L26" s="12" t="s">
        <v>141</v>
      </c>
      <c r="M26" s="582">
        <v>1030</v>
      </c>
      <c r="O26" s="12"/>
      <c r="R26" s="2" t="s">
        <v>112</v>
      </c>
      <c r="S26" s="611">
        <f>CHOOSE(T23,S17,W17,AA17,AE17)</f>
        <v>-0.21777487624763142</v>
      </c>
      <c r="T26" s="176">
        <f>CHOOSE(T23,T17,X17,AB17,AF17)</f>
        <v>0.57330454882213178</v>
      </c>
      <c r="U26" s="612">
        <f>CHOOSE(T23,U17,Y17,AC17,AG17)</f>
        <v>0.4402629608927342</v>
      </c>
      <c r="V26"/>
      <c r="W26"/>
      <c r="X26"/>
      <c r="Y26" s="604">
        <f>(1+Y22/Y21*(W25^2*S21+W25*T21+U21))*X25</f>
        <v>0.2854888185738142</v>
      </c>
      <c r="Z26" s="610">
        <f>(Y26-W25)/W25</f>
        <v>-0.18431766121767368</v>
      </c>
      <c r="AA26"/>
      <c r="AB26"/>
      <c r="AC26"/>
      <c r="AD26"/>
      <c r="AE26"/>
      <c r="AF26"/>
      <c r="AG26"/>
      <c r="AI26" s="193"/>
      <c r="AJ26" s="1241" t="s">
        <v>1176</v>
      </c>
      <c r="AK26" s="1241"/>
      <c r="AL26" s="1241"/>
      <c r="AM26" s="1254">
        <f>IF(AH1,"",N2)</f>
        <v>2.4120760000000003</v>
      </c>
      <c r="AN26" s="1254"/>
      <c r="AO26" s="1256" t="s">
        <v>1177</v>
      </c>
      <c r="AP26" s="1256"/>
      <c r="AQ26" s="329"/>
      <c r="AR26" s="193"/>
      <c r="AS26" s="333"/>
      <c r="AT26" s="333"/>
      <c r="AU26" s="333"/>
      <c r="AV26" s="333"/>
      <c r="AW26" s="333"/>
      <c r="AX26" s="333"/>
      <c r="AY26" s="333"/>
      <c r="AZ26" s="333"/>
      <c r="BA26" s="336"/>
    </row>
    <row r="27" spans="2:53" ht="15.75">
      <c r="B27" s="12">
        <v>1185</v>
      </c>
      <c r="C27" s="12" t="s">
        <v>146</v>
      </c>
      <c r="D27" s="12">
        <v>1.1850000000000001</v>
      </c>
      <c r="E27" s="13"/>
      <c r="F27" s="12"/>
      <c r="G27" s="12"/>
      <c r="I27" s="12" t="s">
        <v>146</v>
      </c>
      <c r="J27" s="582">
        <v>2550</v>
      </c>
      <c r="L27" s="12" t="s">
        <v>146</v>
      </c>
      <c r="M27" s="582">
        <v>1025</v>
      </c>
      <c r="O27" s="12"/>
      <c r="R27" s="2" t="s">
        <v>163</v>
      </c>
      <c r="S27" s="613">
        <f>CHOOSE(T23,S18,W18,AA18,AE18)</f>
        <v>2.7017080078213206E-2</v>
      </c>
      <c r="T27" s="614">
        <f>CHOOSE(T23,T18,X18,AB18,AF18)</f>
        <v>-7.3687849335037942E-2</v>
      </c>
      <c r="U27" s="615">
        <f>CHOOSE(T23,U18,Y18,AC18,AG18)</f>
        <v>7.6280554495672767E-2</v>
      </c>
      <c r="W27"/>
      <c r="X27"/>
      <c r="Y27"/>
      <c r="Z27"/>
      <c r="AA27"/>
      <c r="AB27"/>
      <c r="AC27"/>
      <c r="AD27"/>
      <c r="AE27"/>
      <c r="AF27"/>
      <c r="AG27"/>
      <c r="AI27" s="193"/>
      <c r="AJ27" s="1241"/>
      <c r="AK27" s="1241"/>
      <c r="AL27" s="1241"/>
      <c r="AM27" s="1255"/>
      <c r="AN27" s="1255"/>
      <c r="AO27" s="1256"/>
      <c r="AP27" s="1256"/>
      <c r="AQ27" s="329"/>
      <c r="AR27" s="193"/>
      <c r="AS27" s="333"/>
      <c r="AT27" s="333"/>
      <c r="AU27" s="333"/>
      <c r="AV27" s="333"/>
      <c r="AW27" s="333"/>
      <c r="AX27" s="333"/>
      <c r="AY27" s="333"/>
      <c r="AZ27" s="333"/>
      <c r="BA27" s="336"/>
    </row>
    <row r="28" spans="2:53" ht="18.75">
      <c r="B28" s="12">
        <v>1184</v>
      </c>
      <c r="C28" s="12" t="s">
        <v>152</v>
      </c>
      <c r="D28" s="12">
        <v>1.1839999999999999</v>
      </c>
      <c r="E28" s="13"/>
      <c r="F28" s="12"/>
      <c r="G28" s="12"/>
      <c r="I28" s="12" t="s">
        <v>152</v>
      </c>
      <c r="J28" s="582">
        <v>2540</v>
      </c>
      <c r="K28" s="586"/>
      <c r="L28" s="12" t="s">
        <v>152</v>
      </c>
      <c r="M28" s="582">
        <v>1020</v>
      </c>
      <c r="O28" s="12"/>
      <c r="AI28" s="193"/>
      <c r="AJ28" s="1242" t="s">
        <v>1178</v>
      </c>
      <c r="AK28" s="1242"/>
      <c r="AL28" s="1242"/>
      <c r="AM28" s="1243">
        <f>IF(AH1,"",AM26/AM23)</f>
        <v>4.5189044133194249</v>
      </c>
      <c r="AN28" s="1243"/>
      <c r="AO28" s="1079" t="s">
        <v>1179</v>
      </c>
      <c r="AP28" s="1079"/>
      <c r="AQ28" s="329"/>
      <c r="AR28" s="329"/>
      <c r="AS28" s="333"/>
      <c r="AT28" s="589" t="s">
        <v>1180</v>
      </c>
      <c r="AU28" s="333"/>
      <c r="AV28" s="333"/>
      <c r="AW28" s="333"/>
      <c r="AX28" s="333"/>
      <c r="AY28" s="333"/>
      <c r="AZ28" s="333"/>
      <c r="BA28" s="336"/>
    </row>
    <row r="29" spans="2:53" ht="16.5" thickBot="1">
      <c r="B29" s="12">
        <v>1183</v>
      </c>
      <c r="C29" s="12" t="s">
        <v>156</v>
      </c>
      <c r="D29" s="12">
        <v>1.1830000000000001</v>
      </c>
      <c r="E29" s="13"/>
      <c r="F29" s="12"/>
      <c r="G29" s="12"/>
      <c r="I29" s="12" t="s">
        <v>156</v>
      </c>
      <c r="J29" s="582">
        <v>2530</v>
      </c>
      <c r="K29" s="586"/>
      <c r="L29" s="12" t="s">
        <v>156</v>
      </c>
      <c r="M29" s="582">
        <v>1015</v>
      </c>
      <c r="O29" s="12"/>
      <c r="AI29" s="253"/>
      <c r="AJ29" s="253"/>
      <c r="AK29" s="253"/>
      <c r="AL29" s="253"/>
      <c r="AM29" s="253"/>
      <c r="AN29" s="253"/>
      <c r="AO29" s="253"/>
      <c r="AP29" s="253"/>
      <c r="AQ29" s="587"/>
      <c r="AR29" s="253"/>
      <c r="AS29" s="354"/>
      <c r="AT29" s="354"/>
      <c r="AU29" s="354"/>
      <c r="AV29" s="354"/>
      <c r="AW29" s="354"/>
      <c r="AX29" s="354"/>
      <c r="AY29" s="354"/>
      <c r="AZ29" s="354"/>
      <c r="BA29" s="355"/>
    </row>
    <row r="30" spans="2:53" ht="15.75">
      <c r="B30" s="12">
        <v>1182</v>
      </c>
      <c r="C30" s="12" t="s">
        <v>161</v>
      </c>
      <c r="D30" s="12">
        <v>1.1819999999999999</v>
      </c>
      <c r="E30" s="13"/>
      <c r="F30" s="12"/>
      <c r="G30" s="12"/>
      <c r="I30" s="12" t="s">
        <v>161</v>
      </c>
      <c r="J30" s="582">
        <v>2520</v>
      </c>
      <c r="K30" s="586"/>
      <c r="L30" s="12" t="s">
        <v>161</v>
      </c>
      <c r="M30" s="582">
        <v>1010</v>
      </c>
      <c r="O30" s="12"/>
      <c r="R30" s="585" t="s">
        <v>1181</v>
      </c>
      <c r="S30" s="585"/>
      <c r="T30" s="585"/>
    </row>
    <row r="31" spans="2:53" ht="15.75">
      <c r="B31" s="12">
        <v>1181</v>
      </c>
      <c r="C31" s="12" t="s">
        <v>165</v>
      </c>
      <c r="D31" s="12">
        <v>1.181</v>
      </c>
      <c r="E31" s="13"/>
      <c r="F31" s="12"/>
      <c r="G31" s="12"/>
      <c r="I31" s="12" t="s">
        <v>165</v>
      </c>
      <c r="J31" s="582">
        <v>2510</v>
      </c>
      <c r="K31" s="586"/>
      <c r="L31" s="12" t="s">
        <v>165</v>
      </c>
      <c r="M31" s="582">
        <v>1005</v>
      </c>
      <c r="O31" s="12"/>
      <c r="R31"/>
      <c r="S31" s="2">
        <v>2</v>
      </c>
      <c r="T31"/>
      <c r="U31"/>
      <c r="W31" s="2">
        <v>2.2000000000000002</v>
      </c>
      <c r="X31"/>
      <c r="Y31"/>
      <c r="Z31"/>
      <c r="AA31" s="2">
        <v>2.4</v>
      </c>
      <c r="AB31"/>
      <c r="AC31"/>
      <c r="AD31"/>
      <c r="AE31" s="2">
        <v>2.7</v>
      </c>
      <c r="AF31"/>
      <c r="AG31"/>
    </row>
    <row r="32" spans="2:53" ht="15.75">
      <c r="B32" s="12">
        <v>1180</v>
      </c>
      <c r="C32" s="12" t="s">
        <v>171</v>
      </c>
      <c r="D32" s="12">
        <v>1.18</v>
      </c>
      <c r="E32" s="13"/>
      <c r="F32" s="12"/>
      <c r="G32" s="12"/>
      <c r="I32" s="12" t="s">
        <v>171</v>
      </c>
      <c r="J32" s="582">
        <v>2500</v>
      </c>
      <c r="K32" s="586"/>
      <c r="L32" s="12" t="s">
        <v>171</v>
      </c>
      <c r="M32" s="582">
        <v>1000</v>
      </c>
      <c r="O32" s="12"/>
      <c r="R32"/>
      <c r="S32" s="2" t="s">
        <v>1167</v>
      </c>
      <c r="T32" s="2" t="s">
        <v>251</v>
      </c>
      <c r="U32" s="2" t="s">
        <v>163</v>
      </c>
      <c r="V32"/>
      <c r="W32" s="2" t="s">
        <v>1167</v>
      </c>
      <c r="X32" s="2" t="s">
        <v>251</v>
      </c>
      <c r="Y32" s="2" t="s">
        <v>163</v>
      </c>
      <c r="Z32"/>
      <c r="AA32" s="2" t="s">
        <v>1167</v>
      </c>
      <c r="AB32" s="2" t="s">
        <v>251</v>
      </c>
      <c r="AC32" s="2" t="s">
        <v>163</v>
      </c>
      <c r="AD32"/>
      <c r="AE32" s="2" t="s">
        <v>1167</v>
      </c>
      <c r="AF32" s="2" t="s">
        <v>251</v>
      </c>
      <c r="AG32" s="2" t="s">
        <v>163</v>
      </c>
    </row>
    <row r="33" spans="2:33" ht="15.75">
      <c r="B33" s="12">
        <v>1179</v>
      </c>
      <c r="C33" s="12" t="s">
        <v>177</v>
      </c>
      <c r="D33" s="12">
        <v>1.179</v>
      </c>
      <c r="F33" s="12"/>
      <c r="G33" s="12"/>
      <c r="I33" s="12" t="s">
        <v>177</v>
      </c>
      <c r="J33" s="582">
        <v>2490</v>
      </c>
      <c r="K33" s="586"/>
      <c r="L33" s="12" t="s">
        <v>177</v>
      </c>
      <c r="M33" s="582">
        <v>995</v>
      </c>
      <c r="O33" s="12"/>
      <c r="R33" s="2" t="s">
        <v>1169</v>
      </c>
      <c r="S33" s="592">
        <v>-1.0078791854022959E-3</v>
      </c>
      <c r="T33" s="593">
        <v>4.2689377835589522E-2</v>
      </c>
      <c r="U33" s="594">
        <v>-0.22340705177330356</v>
      </c>
      <c r="V33"/>
      <c r="W33" s="592">
        <v>-6.2741174744716157E-3</v>
      </c>
      <c r="X33" s="593">
        <v>5.4356180968761554E-2</v>
      </c>
      <c r="Y33" s="594">
        <v>-0.22800264293565964</v>
      </c>
      <c r="Z33"/>
      <c r="AA33" s="592">
        <v>-7.6902748942279976E-3</v>
      </c>
      <c r="AB33" s="593">
        <v>5.9660735977883239E-2</v>
      </c>
      <c r="AC33" s="594">
        <v>-0.23013580610572845</v>
      </c>
      <c r="AD33"/>
      <c r="AE33" s="592">
        <v>-4.0986407094308619E-3</v>
      </c>
      <c r="AF33" s="593">
        <v>5.7851699327032137E-2</v>
      </c>
      <c r="AG33" s="594">
        <v>-0.22944461699501381</v>
      </c>
    </row>
    <row r="34" spans="2:33" ht="15.75">
      <c r="B34" s="12">
        <v>1178</v>
      </c>
      <c r="C34" s="12" t="s">
        <v>184</v>
      </c>
      <c r="D34" s="12">
        <v>1.1779999999999999</v>
      </c>
      <c r="F34" s="12"/>
      <c r="G34" s="12"/>
      <c r="I34" s="12" t="s">
        <v>184</v>
      </c>
      <c r="J34" s="582">
        <v>2480</v>
      </c>
      <c r="K34" s="586"/>
      <c r="L34" s="12" t="s">
        <v>184</v>
      </c>
      <c r="M34" s="582">
        <v>990</v>
      </c>
      <c r="O34" s="12"/>
      <c r="R34" s="2" t="s">
        <v>112</v>
      </c>
      <c r="S34" s="595">
        <v>-0.18738967189272987</v>
      </c>
      <c r="T34" s="167">
        <v>0.48128944149100661</v>
      </c>
      <c r="U34" s="596">
        <v>0.55909613011971326</v>
      </c>
      <c r="V34"/>
      <c r="W34" s="595">
        <v>-0.1872953739124778</v>
      </c>
      <c r="X34" s="167">
        <v>0.48112402929832099</v>
      </c>
      <c r="Y34" s="596">
        <v>0.56463674410204079</v>
      </c>
      <c r="Z34"/>
      <c r="AA34" s="595">
        <v>-0.19012640537462491</v>
      </c>
      <c r="AB34" s="167">
        <v>0.48580714263144653</v>
      </c>
      <c r="AC34" s="596">
        <v>0.56727736921051297</v>
      </c>
      <c r="AD34"/>
      <c r="AE34" s="595">
        <v>-0.1907223463445134</v>
      </c>
      <c r="AF34" s="167">
        <v>0.48676147805387449</v>
      </c>
      <c r="AG34" s="596">
        <v>0.57247343184922539</v>
      </c>
    </row>
    <row r="35" spans="2:33" ht="15.75">
      <c r="B35" s="12">
        <v>1177</v>
      </c>
      <c r="C35" s="12" t="s">
        <v>188</v>
      </c>
      <c r="D35" s="12">
        <v>1.177</v>
      </c>
      <c r="F35" s="12"/>
      <c r="G35" s="12"/>
      <c r="I35" s="12" t="s">
        <v>188</v>
      </c>
      <c r="J35" s="582">
        <v>2470</v>
      </c>
      <c r="K35" s="586"/>
      <c r="L35" s="12" t="s">
        <v>188</v>
      </c>
      <c r="M35" s="582">
        <v>985</v>
      </c>
      <c r="O35" s="12"/>
      <c r="R35" s="2" t="s">
        <v>163</v>
      </c>
      <c r="S35" s="597">
        <v>3.1641005386214789E-2</v>
      </c>
      <c r="T35" s="598">
        <v>-8.2340557767113937E-2</v>
      </c>
      <c r="U35" s="599">
        <v>7.9138720370723573E-2</v>
      </c>
      <c r="V35"/>
      <c r="W35" s="597">
        <v>3.108373243745919E-2</v>
      </c>
      <c r="X35" s="598">
        <v>-8.1630468145802049E-2</v>
      </c>
      <c r="Y35" s="599">
        <v>7.7971244024561834E-2</v>
      </c>
      <c r="Z35"/>
      <c r="AA35" s="597">
        <v>3.1500377724889943E-2</v>
      </c>
      <c r="AB35" s="598">
        <v>-8.2411663857082637E-2</v>
      </c>
      <c r="AC35" s="599">
        <v>7.7521390061564027E-2</v>
      </c>
      <c r="AD35"/>
      <c r="AE35" s="597">
        <v>3.3020850272984709E-2</v>
      </c>
      <c r="AF35" s="598">
        <v>-8.4972292278267622E-2</v>
      </c>
      <c r="AG35" s="599">
        <v>7.7593160701214817E-2</v>
      </c>
    </row>
    <row r="36" spans="2:33" ht="15.75">
      <c r="B36" s="12">
        <v>1176</v>
      </c>
      <c r="C36" s="12" t="s">
        <v>195</v>
      </c>
      <c r="D36" s="12">
        <v>1.1759999999999999</v>
      </c>
      <c r="F36" s="12"/>
      <c r="G36" s="12"/>
      <c r="I36" s="12" t="s">
        <v>195</v>
      </c>
      <c r="J36" s="582">
        <v>2460</v>
      </c>
      <c r="K36" s="586"/>
      <c r="L36" s="12" t="s">
        <v>195</v>
      </c>
      <c r="M36" s="582">
        <v>980</v>
      </c>
      <c r="R36"/>
      <c r="S36"/>
      <c r="T36"/>
      <c r="U36" s="600"/>
      <c r="V36"/>
      <c r="W36"/>
      <c r="X36"/>
      <c r="Y36"/>
      <c r="Z36"/>
      <c r="AA36"/>
      <c r="AB36"/>
      <c r="AC36"/>
      <c r="AD36"/>
      <c r="AE36"/>
      <c r="AF36"/>
      <c r="AG36"/>
    </row>
    <row r="37" spans="2:33" ht="15.75">
      <c r="B37" s="12">
        <v>1175</v>
      </c>
      <c r="C37" s="12" t="s">
        <v>201</v>
      </c>
      <c r="D37" s="12">
        <v>1.175</v>
      </c>
      <c r="F37" s="12"/>
      <c r="G37" s="12"/>
      <c r="I37" s="12" t="s">
        <v>201</v>
      </c>
      <c r="J37" s="582">
        <v>2450</v>
      </c>
      <c r="K37" s="586"/>
      <c r="L37" s="12" t="s">
        <v>201</v>
      </c>
      <c r="M37" s="582">
        <v>975</v>
      </c>
      <c r="R37"/>
      <c r="S37" s="2" t="s">
        <v>1169</v>
      </c>
      <c r="T37" s="2" t="s">
        <v>112</v>
      </c>
      <c r="U37" s="2" t="s">
        <v>163</v>
      </c>
      <c r="V37"/>
      <c r="W37"/>
      <c r="X37"/>
      <c r="Y37"/>
      <c r="Z37"/>
      <c r="AA37"/>
      <c r="AB37"/>
      <c r="AC37"/>
      <c r="AD37"/>
      <c r="AE37"/>
      <c r="AF37"/>
      <c r="AG37"/>
    </row>
    <row r="38" spans="2:33" ht="15.75" customHeight="1">
      <c r="B38" s="12">
        <v>1174</v>
      </c>
      <c r="C38" s="12" t="s">
        <v>205</v>
      </c>
      <c r="D38" s="12">
        <v>1.1739999999999999</v>
      </c>
      <c r="F38" s="12"/>
      <c r="G38" s="12"/>
      <c r="I38" s="12" t="s">
        <v>205</v>
      </c>
      <c r="J38" s="582">
        <v>2440</v>
      </c>
      <c r="K38" s="586"/>
      <c r="L38" s="12" t="s">
        <v>205</v>
      </c>
      <c r="M38" s="582">
        <v>970</v>
      </c>
      <c r="R38"/>
      <c r="S38" s="601">
        <v>-2.8945509065924219E-3</v>
      </c>
      <c r="T38" s="601">
        <v>1.1842370842848882E-2</v>
      </c>
      <c r="U38">
        <v>-3.1610361492111086E-4</v>
      </c>
      <c r="V38"/>
      <c r="W38" s="602">
        <f>W21</f>
        <v>2.25</v>
      </c>
      <c r="X38" s="2">
        <f>CHOOSE(T40,S31,W31,AA31,AE31)</f>
        <v>2.2000000000000002</v>
      </c>
      <c r="Y38" s="2">
        <f>CHOOSE(T40,0.2,0.2,0.3,0.3)</f>
        <v>0.2</v>
      </c>
      <c r="Z38"/>
      <c r="AA38"/>
      <c r="AB38"/>
      <c r="AC38"/>
      <c r="AD38"/>
      <c r="AE38"/>
      <c r="AF38"/>
      <c r="AG38"/>
    </row>
    <row r="39" spans="2:33" ht="15.75">
      <c r="B39" s="12">
        <v>1173</v>
      </c>
      <c r="C39" s="12" t="s">
        <v>209</v>
      </c>
      <c r="D39" s="12">
        <v>1.173</v>
      </c>
      <c r="F39" s="12"/>
      <c r="G39" s="12"/>
      <c r="I39" s="12" t="s">
        <v>209</v>
      </c>
      <c r="J39" s="582">
        <v>2430</v>
      </c>
      <c r="K39" s="586"/>
      <c r="L39" s="12" t="s">
        <v>209</v>
      </c>
      <c r="M39" s="582">
        <v>965</v>
      </c>
      <c r="R39"/>
      <c r="S39" s="601">
        <v>6.5409976083642069E-3</v>
      </c>
      <c r="T39" s="601">
        <v>2.2255738694127034E-2</v>
      </c>
      <c r="U39">
        <v>-3.9547828745908698E-3</v>
      </c>
      <c r="V39"/>
      <c r="W39" s="603">
        <f>W22</f>
        <v>0.99</v>
      </c>
      <c r="X39"/>
      <c r="Y39" s="2">
        <f>W38-X38</f>
        <v>4.9999999999999822E-2</v>
      </c>
      <c r="Z39"/>
      <c r="AA39"/>
      <c r="AB39"/>
      <c r="AC39"/>
      <c r="AD39"/>
      <c r="AE39"/>
      <c r="AF39"/>
      <c r="AG39"/>
    </row>
    <row r="40" spans="2:33" ht="15.75">
      <c r="B40" s="12">
        <v>1172</v>
      </c>
      <c r="C40" s="12" t="s">
        <v>216</v>
      </c>
      <c r="D40" s="12">
        <v>1.1719999999999999</v>
      </c>
      <c r="F40" s="12"/>
      <c r="G40" s="12"/>
      <c r="I40" s="12" t="s">
        <v>216</v>
      </c>
      <c r="J40" s="582">
        <v>2420</v>
      </c>
      <c r="K40" s="586"/>
      <c r="L40" s="12" t="s">
        <v>216</v>
      </c>
      <c r="M40" s="582">
        <v>960</v>
      </c>
      <c r="R40" s="2"/>
      <c r="S40"/>
      <c r="T40" s="174">
        <f>IF(W38&lt;W31,1,IF(W38&lt;AA31,2,IF(W38&lt;AE31,3,4)))</f>
        <v>2</v>
      </c>
      <c r="U40" s="604"/>
      <c r="V40"/>
      <c r="W40" s="626">
        <f>W23</f>
        <v>0.35</v>
      </c>
      <c r="X40" s="604">
        <f>X42+0.17</f>
        <v>0.47561415214630609</v>
      </c>
      <c r="Y40"/>
      <c r="Z40" s="617">
        <f>Y42+0.17</f>
        <v>0.47584595204007496</v>
      </c>
      <c r="AA40"/>
      <c r="AB40"/>
      <c r="AC40"/>
      <c r="AD40"/>
      <c r="AE40"/>
      <c r="AF40"/>
      <c r="AG40"/>
    </row>
    <row r="41" spans="2:33" ht="15.75">
      <c r="B41" s="12">
        <v>1171</v>
      </c>
      <c r="C41" s="12" t="s">
        <v>223</v>
      </c>
      <c r="D41" s="12">
        <v>1.171</v>
      </c>
      <c r="F41" s="12"/>
      <c r="G41" s="12"/>
      <c r="I41" s="12" t="s">
        <v>223</v>
      </c>
      <c r="J41" s="582">
        <v>2410</v>
      </c>
      <c r="K41" s="586"/>
      <c r="L41" s="12" t="s">
        <v>223</v>
      </c>
      <c r="M41" s="582">
        <v>955</v>
      </c>
      <c r="R41" s="604"/>
      <c r="S41" s="2" t="s">
        <v>1167</v>
      </c>
      <c r="T41" s="2" t="s">
        <v>251</v>
      </c>
      <c r="U41" s="2" t="s">
        <v>163</v>
      </c>
      <c r="V41"/>
      <c r="W41" s="2"/>
      <c r="X41"/>
      <c r="Y41"/>
      <c r="Z41"/>
      <c r="AA41"/>
      <c r="AB41"/>
      <c r="AC41"/>
      <c r="AD41"/>
      <c r="AE41"/>
      <c r="AF41"/>
      <c r="AG41"/>
    </row>
    <row r="42" spans="2:33" ht="15.75">
      <c r="B42" s="12">
        <v>1170</v>
      </c>
      <c r="C42" s="12" t="s">
        <v>229</v>
      </c>
      <c r="D42" s="12">
        <v>1.17</v>
      </c>
      <c r="F42" s="12"/>
      <c r="G42" s="12"/>
      <c r="I42" s="12" t="s">
        <v>229</v>
      </c>
      <c r="J42" s="582">
        <v>2400</v>
      </c>
      <c r="K42" s="586"/>
      <c r="L42" s="12" t="s">
        <v>229</v>
      </c>
      <c r="M42" s="582">
        <v>950</v>
      </c>
      <c r="R42" s="2" t="s">
        <v>1169</v>
      </c>
      <c r="S42" s="606">
        <f>CHOOSE(T40,S33,W33,AA33,AE33)</f>
        <v>-6.2741174744716157E-3</v>
      </c>
      <c r="T42" s="607">
        <f>CHOOSE(T40,T33,X33,AB33,AF33)</f>
        <v>5.4356180968761554E-2</v>
      </c>
      <c r="U42" s="608">
        <f>CHOOSE(T40,U33,Y33,AC33,AG33)</f>
        <v>-0.22800264293565964</v>
      </c>
      <c r="V42"/>
      <c r="W42" s="609">
        <f>W40</f>
        <v>0.35</v>
      </c>
      <c r="X42" s="604">
        <f>W42^2*(S42*W39^2+T42*W39+U42)+W42*(S43*W39^2+T43*W39+U43)+(S44*W39^2+T44*W39+U44)</f>
        <v>0.30561415214630605</v>
      </c>
      <c r="Y42" s="604">
        <f>X42+Y39*(W42^2*S39+W42*T39+U39)</f>
        <v>0.30584595204007498</v>
      </c>
      <c r="Z42" s="610">
        <f>(Y42-W42)/W42</f>
        <v>-0.12615442274264288</v>
      </c>
      <c r="AA42"/>
      <c r="AB42"/>
      <c r="AC42"/>
      <c r="AD42"/>
      <c r="AE42"/>
      <c r="AF42"/>
      <c r="AG42"/>
    </row>
    <row r="43" spans="2:33" ht="15.75">
      <c r="B43" s="12">
        <v>1169</v>
      </c>
      <c r="C43" s="12" t="s">
        <v>234</v>
      </c>
      <c r="D43" s="12">
        <v>1.169</v>
      </c>
      <c r="F43" s="12"/>
      <c r="G43" s="12"/>
      <c r="I43" s="12" t="s">
        <v>234</v>
      </c>
      <c r="J43" s="582">
        <v>2390</v>
      </c>
      <c r="K43" s="586"/>
      <c r="L43" s="12" t="s">
        <v>234</v>
      </c>
      <c r="M43" s="582">
        <v>945</v>
      </c>
      <c r="R43" s="2" t="s">
        <v>112</v>
      </c>
      <c r="S43" s="611">
        <f>CHOOSE(T40,S34,W34,AA34,AE34)</f>
        <v>-0.1872953739124778</v>
      </c>
      <c r="T43" s="176">
        <f>CHOOSE(T40,T34,X34,AB34,AF34)</f>
        <v>0.48112402929832099</v>
      </c>
      <c r="U43" s="612">
        <f>CHOOSE(T40,U34,Y34,AC34,AG34)</f>
        <v>0.56463674410204079</v>
      </c>
      <c r="V43"/>
      <c r="W43"/>
      <c r="X43"/>
      <c r="Y43" s="604">
        <f>(1+Y39/Y38*(W42^2*S38+W42*T38+U38))*X42</f>
        <v>0.30587958901617651</v>
      </c>
      <c r="Z43" s="610">
        <f>(Y43-W42)/W42</f>
        <v>-0.12605831709663848</v>
      </c>
      <c r="AA43"/>
      <c r="AB43"/>
      <c r="AC43"/>
      <c r="AD43"/>
      <c r="AE43"/>
      <c r="AF43"/>
      <c r="AG43"/>
    </row>
    <row r="44" spans="2:33" ht="15.75">
      <c r="B44" s="12">
        <v>1168</v>
      </c>
      <c r="C44" s="12" t="s">
        <v>238</v>
      </c>
      <c r="D44" s="12">
        <v>1.1679999999999999</v>
      </c>
      <c r="F44" s="12"/>
      <c r="G44" s="12"/>
      <c r="I44" s="12" t="s">
        <v>238</v>
      </c>
      <c r="J44" s="582">
        <v>2380</v>
      </c>
      <c r="K44" s="586"/>
      <c r="L44" s="12" t="s">
        <v>238</v>
      </c>
      <c r="M44" s="582">
        <v>940</v>
      </c>
      <c r="R44" s="2" t="s">
        <v>163</v>
      </c>
      <c r="S44" s="613">
        <f>CHOOSE(T40,S35,W35,AA35,AE35)</f>
        <v>3.108373243745919E-2</v>
      </c>
      <c r="T44" s="614">
        <f>CHOOSE(T40,T35,X35,AB35,AF35)</f>
        <v>-8.1630468145802049E-2</v>
      </c>
      <c r="U44" s="615">
        <f>CHOOSE(T40,U35,Y35,AC35,AG35)</f>
        <v>7.7971244024561834E-2</v>
      </c>
      <c r="W44"/>
      <c r="X44"/>
      <c r="Y44"/>
      <c r="Z44"/>
      <c r="AA44"/>
      <c r="AB44"/>
      <c r="AC44"/>
      <c r="AD44"/>
      <c r="AE44"/>
      <c r="AF44"/>
      <c r="AG44"/>
    </row>
    <row r="45" spans="2:33" ht="15.75">
      <c r="B45" s="12">
        <v>1167</v>
      </c>
      <c r="C45" s="12" t="s">
        <v>243</v>
      </c>
      <c r="D45" s="12">
        <v>1.167</v>
      </c>
      <c r="I45" s="12" t="s">
        <v>243</v>
      </c>
      <c r="J45" s="582">
        <v>2370</v>
      </c>
      <c r="L45" s="12" t="s">
        <v>243</v>
      </c>
      <c r="M45" s="582">
        <v>935</v>
      </c>
    </row>
    <row r="46" spans="2:33" ht="15.75">
      <c r="B46" s="12">
        <v>1166</v>
      </c>
      <c r="C46" s="12" t="s">
        <v>247</v>
      </c>
      <c r="D46" s="12">
        <v>1.1659999999999999</v>
      </c>
      <c r="I46" s="12" t="s">
        <v>247</v>
      </c>
      <c r="J46" s="582">
        <v>2360</v>
      </c>
      <c r="L46" s="12" t="s">
        <v>247</v>
      </c>
      <c r="M46" s="582">
        <v>930</v>
      </c>
    </row>
    <row r="47" spans="2:33" ht="15.75">
      <c r="B47" s="12">
        <v>1165</v>
      </c>
      <c r="C47" s="12" t="s">
        <v>253</v>
      </c>
      <c r="D47" s="12">
        <v>1.165</v>
      </c>
      <c r="I47" s="12" t="s">
        <v>253</v>
      </c>
      <c r="J47" s="582">
        <v>2350</v>
      </c>
      <c r="L47" s="12" t="s">
        <v>253</v>
      </c>
      <c r="M47" s="582">
        <v>925</v>
      </c>
      <c r="R47" s="585" t="s">
        <v>689</v>
      </c>
      <c r="S47" s="585"/>
      <c r="T47" s="585"/>
    </row>
    <row r="48" spans="2:33" ht="15.75">
      <c r="B48" s="12">
        <v>1164</v>
      </c>
      <c r="C48" s="12" t="s">
        <v>258</v>
      </c>
      <c r="D48" s="12">
        <v>1.1639999999999999</v>
      </c>
      <c r="I48" s="12" t="s">
        <v>258</v>
      </c>
      <c r="J48" s="582">
        <v>2340</v>
      </c>
      <c r="L48" s="12" t="s">
        <v>258</v>
      </c>
      <c r="M48" s="582">
        <v>920</v>
      </c>
      <c r="R48"/>
      <c r="S48" s="2">
        <v>2</v>
      </c>
      <c r="T48"/>
      <c r="U48"/>
      <c r="W48" s="2">
        <v>2.2000000000000002</v>
      </c>
      <c r="X48"/>
      <c r="Y48"/>
      <c r="Z48"/>
      <c r="AA48" s="2">
        <v>2.4</v>
      </c>
      <c r="AB48"/>
      <c r="AC48"/>
      <c r="AD48"/>
      <c r="AE48" s="2">
        <v>2.7</v>
      </c>
      <c r="AF48"/>
      <c r="AG48"/>
    </row>
    <row r="49" spans="2:33" ht="15.75">
      <c r="B49" s="12">
        <v>1163</v>
      </c>
      <c r="C49" s="12" t="s">
        <v>263</v>
      </c>
      <c r="D49" s="12">
        <v>1.163</v>
      </c>
      <c r="I49" s="12" t="s">
        <v>263</v>
      </c>
      <c r="J49" s="582">
        <v>2330</v>
      </c>
      <c r="L49" s="12" t="s">
        <v>263</v>
      </c>
      <c r="M49" s="582">
        <v>915</v>
      </c>
      <c r="R49"/>
      <c r="S49" s="2" t="s">
        <v>1167</v>
      </c>
      <c r="T49" s="2" t="s">
        <v>251</v>
      </c>
      <c r="U49" s="2" t="s">
        <v>163</v>
      </c>
      <c r="V49"/>
      <c r="W49" s="2" t="s">
        <v>1167</v>
      </c>
      <c r="X49" s="2" t="s">
        <v>251</v>
      </c>
      <c r="Y49" s="2" t="s">
        <v>163</v>
      </c>
      <c r="Z49"/>
      <c r="AA49" s="2" t="s">
        <v>1167</v>
      </c>
      <c r="AB49" s="2" t="s">
        <v>251</v>
      </c>
      <c r="AC49" s="2" t="s">
        <v>163</v>
      </c>
      <c r="AD49"/>
      <c r="AE49" s="2" t="s">
        <v>1167</v>
      </c>
      <c r="AF49" s="2" t="s">
        <v>251</v>
      </c>
      <c r="AG49" s="2" t="s">
        <v>163</v>
      </c>
    </row>
    <row r="50" spans="2:33" ht="15.75">
      <c r="B50" s="12">
        <v>1162</v>
      </c>
      <c r="C50" s="12" t="s">
        <v>269</v>
      </c>
      <c r="D50" s="12">
        <v>1.1619999999999999</v>
      </c>
      <c r="I50" s="12" t="s">
        <v>269</v>
      </c>
      <c r="J50" s="582">
        <v>2320</v>
      </c>
      <c r="L50" s="12" t="s">
        <v>269</v>
      </c>
      <c r="M50" s="582">
        <v>910</v>
      </c>
      <c r="R50" s="2" t="s">
        <v>1169</v>
      </c>
      <c r="S50" s="592">
        <v>0.9487864104679834</v>
      </c>
      <c r="T50" s="593">
        <v>-1.5135646121333162</v>
      </c>
      <c r="U50" s="594">
        <v>0.5019277130558053</v>
      </c>
      <c r="V50"/>
      <c r="W50" s="592">
        <v>0.14535324107840397</v>
      </c>
      <c r="X50" s="593">
        <v>-0.18554853704402863</v>
      </c>
      <c r="Y50" s="594">
        <v>-3.2638316060957934E-2</v>
      </c>
      <c r="Z50"/>
      <c r="AA50" s="592">
        <v>-0.58792934508430528</v>
      </c>
      <c r="AB50" s="593">
        <v>1.1018248089000027</v>
      </c>
      <c r="AC50" s="594">
        <v>-0.58203087994651925</v>
      </c>
      <c r="AD50"/>
      <c r="AE50" s="592">
        <v>-0.58792934508433059</v>
      </c>
      <c r="AF50" s="593">
        <v>1.0902674890530406</v>
      </c>
      <c r="AG50" s="594">
        <v>-0.57649331610616517</v>
      </c>
    </row>
    <row r="51" spans="2:33" ht="15.75">
      <c r="B51" s="12">
        <v>1161</v>
      </c>
      <c r="C51" s="12" t="s">
        <v>275</v>
      </c>
      <c r="D51" s="12">
        <v>1.161</v>
      </c>
      <c r="I51" s="12" t="s">
        <v>275</v>
      </c>
      <c r="J51" s="582">
        <v>2310</v>
      </c>
      <c r="L51" s="12" t="s">
        <v>275</v>
      </c>
      <c r="M51" s="582">
        <v>905</v>
      </c>
      <c r="R51" s="2" t="s">
        <v>112</v>
      </c>
      <c r="S51" s="595">
        <v>-1.1753482244247313</v>
      </c>
      <c r="T51" s="167">
        <v>1.9459951174885894</v>
      </c>
      <c r="U51" s="596">
        <v>0.23599419282638201</v>
      </c>
      <c r="V51"/>
      <c r="W51" s="595">
        <v>-0.21529800069019836</v>
      </c>
      <c r="X51" s="167">
        <v>0.36141272980572392</v>
      </c>
      <c r="Y51" s="596">
        <v>0.87522896175111442</v>
      </c>
      <c r="Z51"/>
      <c r="AA51" s="595">
        <v>0.58119241990834813</v>
      </c>
      <c r="AB51" s="167">
        <v>-1.044185406047023</v>
      </c>
      <c r="AC51" s="596">
        <v>1.4788772598091464</v>
      </c>
      <c r="AD51"/>
      <c r="AE51" s="595">
        <v>0.58119241990838655</v>
      </c>
      <c r="AF51" s="167">
        <v>-1.0229777654574552</v>
      </c>
      <c r="AG51" s="596">
        <v>1.4680522122399184</v>
      </c>
    </row>
    <row r="52" spans="2:33" ht="15.75">
      <c r="B52" s="12">
        <v>1160</v>
      </c>
      <c r="C52" s="12" t="s">
        <v>280</v>
      </c>
      <c r="D52" s="12">
        <v>1.1599999999999999</v>
      </c>
      <c r="I52" s="12" t="s">
        <v>280</v>
      </c>
      <c r="J52" s="582">
        <v>2300</v>
      </c>
      <c r="L52" s="12" t="s">
        <v>280</v>
      </c>
      <c r="M52" s="582">
        <v>900</v>
      </c>
      <c r="R52" s="2" t="s">
        <v>163</v>
      </c>
      <c r="S52" s="597">
        <v>0.30365491525223698</v>
      </c>
      <c r="T52" s="598">
        <v>-0.52280755634262432</v>
      </c>
      <c r="U52" s="599">
        <v>0.23909092471632148</v>
      </c>
      <c r="V52"/>
      <c r="W52" s="597">
        <v>5.1582332119940157E-2</v>
      </c>
      <c r="X52" s="598">
        <v>-0.10688024642785547</v>
      </c>
      <c r="Y52" s="599">
        <v>7.0435154587487572E-2</v>
      </c>
      <c r="Z52"/>
      <c r="AA52" s="597">
        <v>-0.1064910263902208</v>
      </c>
      <c r="AB52" s="598">
        <v>0.17524724869192951</v>
      </c>
      <c r="AC52" s="599">
        <v>-5.2236858695470498E-2</v>
      </c>
      <c r="AD52"/>
      <c r="AE52" s="597">
        <v>-0.10649102639024022</v>
      </c>
      <c r="AF52" s="598">
        <v>0.16611390223743994</v>
      </c>
      <c r="AG52" s="599">
        <v>-4.6871771558376935E-2</v>
      </c>
    </row>
    <row r="53" spans="2:33" ht="15.75">
      <c r="B53" s="12">
        <v>1159</v>
      </c>
      <c r="C53" s="12" t="s">
        <v>285</v>
      </c>
      <c r="D53" s="12">
        <v>1.159</v>
      </c>
      <c r="I53" s="12" t="s">
        <v>285</v>
      </c>
      <c r="J53" s="582">
        <v>2290</v>
      </c>
      <c r="L53" s="12" t="s">
        <v>285</v>
      </c>
      <c r="M53" s="582">
        <v>895</v>
      </c>
      <c r="R53"/>
      <c r="S53"/>
      <c r="T53"/>
      <c r="U53" s="600"/>
      <c r="V53"/>
      <c r="W53"/>
      <c r="X53"/>
      <c r="Y53"/>
      <c r="Z53"/>
      <c r="AA53"/>
      <c r="AB53"/>
      <c r="AC53"/>
      <c r="AD53"/>
      <c r="AE53"/>
      <c r="AF53"/>
      <c r="AG53"/>
    </row>
    <row r="54" spans="2:33" ht="15.75">
      <c r="B54" s="12">
        <v>1158</v>
      </c>
      <c r="C54" s="12" t="s">
        <v>290</v>
      </c>
      <c r="D54" s="12">
        <v>1.1579999999999999</v>
      </c>
      <c r="I54" s="12" t="s">
        <v>290</v>
      </c>
      <c r="J54" s="582">
        <v>2280</v>
      </c>
      <c r="L54" s="12" t="s">
        <v>290</v>
      </c>
      <c r="M54" s="582">
        <v>890</v>
      </c>
      <c r="R54"/>
      <c r="S54" s="2" t="s">
        <v>1169</v>
      </c>
      <c r="T54" s="2" t="s">
        <v>112</v>
      </c>
      <c r="U54" s="2" t="s">
        <v>163</v>
      </c>
      <c r="V54"/>
      <c r="W54"/>
      <c r="X54"/>
      <c r="Y54"/>
      <c r="Z54"/>
      <c r="AA54"/>
      <c r="AB54"/>
      <c r="AC54"/>
      <c r="AD54"/>
      <c r="AE54"/>
      <c r="AF54"/>
      <c r="AG54"/>
    </row>
    <row r="55" spans="2:33" ht="15.75">
      <c r="B55" s="12">
        <v>1157</v>
      </c>
      <c r="C55" s="12" t="s">
        <v>295</v>
      </c>
      <c r="D55" s="12">
        <v>1.157</v>
      </c>
      <c r="I55" s="12" t="s">
        <v>295</v>
      </c>
      <c r="J55" s="582">
        <v>2270</v>
      </c>
      <c r="L55" s="12" t="s">
        <v>295</v>
      </c>
      <c r="M55" s="582">
        <v>885</v>
      </c>
      <c r="R55"/>
      <c r="S55" s="601">
        <v>-1.9250120207454442E-3</v>
      </c>
      <c r="T55" s="601">
        <v>6.3162476346495973E-3</v>
      </c>
      <c r="U55">
        <v>-3.282234818689386E-3</v>
      </c>
      <c r="V55"/>
      <c r="W55" s="602">
        <f>W38</f>
        <v>2.25</v>
      </c>
      <c r="X55" s="2">
        <f>CHOOSE(T57,S48,W48,AA48,AE48)</f>
        <v>2.2000000000000002</v>
      </c>
      <c r="Y55" s="2">
        <f>CHOOSE(T57,0.2,0.2,0.3,0.3)</f>
        <v>0.2</v>
      </c>
      <c r="Z55"/>
      <c r="AA55"/>
      <c r="AB55"/>
      <c r="AC55"/>
      <c r="AD55"/>
      <c r="AE55"/>
      <c r="AF55"/>
      <c r="AG55"/>
    </row>
    <row r="56" spans="2:33" ht="15.75">
      <c r="B56" s="12">
        <v>1156</v>
      </c>
      <c r="C56" s="12" t="s">
        <v>299</v>
      </c>
      <c r="D56" s="12">
        <v>1.1559999999999999</v>
      </c>
      <c r="I56" s="12" t="s">
        <v>299</v>
      </c>
      <c r="J56" s="582">
        <v>2260</v>
      </c>
      <c r="L56" s="12" t="s">
        <v>299</v>
      </c>
      <c r="M56" s="582">
        <v>880</v>
      </c>
      <c r="R56"/>
      <c r="S56" s="601">
        <v>1.1154904841344487E-2</v>
      </c>
      <c r="T56" s="601">
        <v>-1.8411856846702553E-3</v>
      </c>
      <c r="U56">
        <v>-1.9377475693324068E-3</v>
      </c>
      <c r="V56"/>
      <c r="W56" s="603">
        <f>W39</f>
        <v>0.99</v>
      </c>
      <c r="X56"/>
      <c r="Y56" s="2">
        <f>W55-X55</f>
        <v>4.9999999999999822E-2</v>
      </c>
      <c r="Z56"/>
      <c r="AA56"/>
      <c r="AB56"/>
      <c r="AC56"/>
      <c r="AD56"/>
      <c r="AE56"/>
      <c r="AF56"/>
      <c r="AG56"/>
    </row>
    <row r="57" spans="2:33" ht="15.75">
      <c r="B57" s="12">
        <v>1155</v>
      </c>
      <c r="C57" s="12" t="s">
        <v>302</v>
      </c>
      <c r="D57" s="12">
        <v>1.155</v>
      </c>
      <c r="I57" s="12" t="s">
        <v>302</v>
      </c>
      <c r="J57" s="582">
        <v>2250</v>
      </c>
      <c r="L57" s="12" t="s">
        <v>302</v>
      </c>
      <c r="M57" s="582">
        <v>875</v>
      </c>
      <c r="R57" s="2"/>
      <c r="S57"/>
      <c r="T57" s="174">
        <f>IF(W55&lt;W48,1,IF(W55&lt;AA48,2,IF(W55&lt;AE48,3,4)))</f>
        <v>2</v>
      </c>
      <c r="U57" s="604"/>
      <c r="V57"/>
      <c r="W57" s="626">
        <f>W40</f>
        <v>0.35</v>
      </c>
      <c r="X57" s="604">
        <f>X59+0.17</f>
        <v>0.53383529677965891</v>
      </c>
      <c r="Y57"/>
      <c r="Z57" s="617">
        <f>Y59+0.17</f>
        <v>0.53377451244386376</v>
      </c>
      <c r="AA57"/>
      <c r="AB57"/>
      <c r="AC57"/>
      <c r="AD57"/>
      <c r="AE57"/>
      <c r="AF57"/>
      <c r="AG57"/>
    </row>
    <row r="58" spans="2:33" ht="15.75">
      <c r="B58" s="12">
        <v>1154</v>
      </c>
      <c r="C58" s="12" t="s">
        <v>304</v>
      </c>
      <c r="D58" s="12">
        <v>1.1539999999999999</v>
      </c>
      <c r="I58" s="12" t="s">
        <v>304</v>
      </c>
      <c r="J58" s="582">
        <v>2240</v>
      </c>
      <c r="L58" s="12" t="s">
        <v>304</v>
      </c>
      <c r="M58" s="582">
        <v>870</v>
      </c>
      <c r="R58" s="604"/>
      <c r="S58" s="2" t="s">
        <v>1167</v>
      </c>
      <c r="T58" s="2" t="s">
        <v>251</v>
      </c>
      <c r="U58" s="2" t="s">
        <v>163</v>
      </c>
      <c r="V58"/>
      <c r="W58" s="2"/>
      <c r="X58"/>
      <c r="Y58"/>
      <c r="Z58"/>
      <c r="AA58"/>
      <c r="AB58"/>
      <c r="AC58"/>
      <c r="AD58"/>
      <c r="AE58"/>
      <c r="AF58"/>
      <c r="AG58"/>
    </row>
    <row r="59" spans="2:33" ht="15.75">
      <c r="B59" s="12">
        <v>1153</v>
      </c>
      <c r="C59" s="12" t="s">
        <v>306</v>
      </c>
      <c r="D59" s="12">
        <v>1.153</v>
      </c>
      <c r="I59" s="12" t="s">
        <v>306</v>
      </c>
      <c r="J59" s="582">
        <v>2230</v>
      </c>
      <c r="L59" s="12" t="s">
        <v>306</v>
      </c>
      <c r="M59" s="582">
        <v>865</v>
      </c>
      <c r="R59" s="2" t="s">
        <v>1169</v>
      </c>
      <c r="S59" s="606">
        <f>CHOOSE(T57,S50,W50,AA50,AE50)</f>
        <v>0.14535324107840397</v>
      </c>
      <c r="T59" s="607">
        <f>CHOOSE(T57,T50,X50,AB50,AF50)</f>
        <v>-0.18554853704402863</v>
      </c>
      <c r="U59" s="608">
        <f>CHOOSE(T57,U50,Y50,AC50,AG50)</f>
        <v>-3.2638316060957934E-2</v>
      </c>
      <c r="V59"/>
      <c r="W59" s="609">
        <f>W57</f>
        <v>0.35</v>
      </c>
      <c r="X59" s="604">
        <f>W59^2*(S59*W56^2+T59*W56+U59)+W59*(S60*W56^2+T60*W56+U60)+(S61*W56^2+T61*W56+U61)</f>
        <v>0.36383529677965887</v>
      </c>
      <c r="Y59" s="604">
        <f>X59+Y56*(W59^2*S56+W59*T56+U56)</f>
        <v>0.36377451244386377</v>
      </c>
      <c r="Z59" s="610">
        <f>(Y59-W59)/W59</f>
        <v>3.9355749839610848E-2</v>
      </c>
      <c r="AA59"/>
      <c r="AB59"/>
      <c r="AC59"/>
      <c r="AD59"/>
      <c r="AE59"/>
      <c r="AF59"/>
      <c r="AG59"/>
    </row>
    <row r="60" spans="2:33" ht="15.75">
      <c r="B60" s="12">
        <v>1152</v>
      </c>
      <c r="C60" s="12" t="s">
        <v>308</v>
      </c>
      <c r="D60" s="12">
        <v>1.1519999999999999</v>
      </c>
      <c r="I60" s="12" t="s">
        <v>308</v>
      </c>
      <c r="J60" s="582">
        <v>2220</v>
      </c>
      <c r="L60" s="12" t="s">
        <v>308</v>
      </c>
      <c r="M60" s="582">
        <v>860</v>
      </c>
      <c r="R60" s="2" t="s">
        <v>112</v>
      </c>
      <c r="S60" s="611">
        <f>CHOOSE(T57,S51,W51,AA51,AE51)</f>
        <v>-0.21529800069019836</v>
      </c>
      <c r="T60" s="176">
        <f>CHOOSE(T57,T51,X51,AB51,AF51)</f>
        <v>0.36141272980572392</v>
      </c>
      <c r="U60" s="612">
        <f>CHOOSE(T57,U51,Y51,AC51,AG51)</f>
        <v>0.87522896175111442</v>
      </c>
      <c r="V60"/>
      <c r="W60"/>
      <c r="X60"/>
      <c r="Y60" s="604">
        <f>(1+Y56/Y55*(W59^2*S55+W59*T55+U55))*X59</f>
        <v>0.36371638065850825</v>
      </c>
      <c r="Z60" s="610">
        <f>(Y60-W59)/W59</f>
        <v>3.9189659024309362E-2</v>
      </c>
      <c r="AA60"/>
      <c r="AB60"/>
      <c r="AC60"/>
      <c r="AD60"/>
      <c r="AE60"/>
      <c r="AF60"/>
      <c r="AG60"/>
    </row>
    <row r="61" spans="2:33" ht="15.75">
      <c r="B61" s="12">
        <v>1151</v>
      </c>
      <c r="C61" s="12" t="s">
        <v>310</v>
      </c>
      <c r="D61" s="12">
        <v>1.151</v>
      </c>
      <c r="I61" s="12" t="s">
        <v>310</v>
      </c>
      <c r="J61" s="582">
        <v>2210</v>
      </c>
      <c r="L61" s="12" t="s">
        <v>310</v>
      </c>
      <c r="M61" s="582">
        <v>855</v>
      </c>
      <c r="R61" s="2" t="s">
        <v>163</v>
      </c>
      <c r="S61" s="613">
        <f>CHOOSE(T57,S52,W52,AA52,AE52)</f>
        <v>5.1582332119940157E-2</v>
      </c>
      <c r="T61" s="614">
        <f>CHOOSE(T57,T52,X52,AB52,AF52)</f>
        <v>-0.10688024642785547</v>
      </c>
      <c r="U61" s="615">
        <f>CHOOSE(T57,U52,Y52,AC52,AG52)</f>
        <v>7.0435154587487572E-2</v>
      </c>
      <c r="W61"/>
      <c r="X61"/>
      <c r="Y61"/>
      <c r="Z61"/>
      <c r="AA61"/>
      <c r="AB61"/>
      <c r="AC61"/>
      <c r="AD61"/>
      <c r="AE61"/>
      <c r="AF61"/>
      <c r="AG61"/>
    </row>
    <row r="62" spans="2:33" ht="15.75">
      <c r="B62" s="12">
        <v>1150</v>
      </c>
      <c r="C62" s="12" t="s">
        <v>312</v>
      </c>
      <c r="D62" s="12">
        <v>1.1499999999999999</v>
      </c>
      <c r="I62" s="12" t="s">
        <v>312</v>
      </c>
      <c r="J62" s="582">
        <v>2200</v>
      </c>
      <c r="L62" s="12" t="s">
        <v>312</v>
      </c>
      <c r="M62" s="582">
        <v>850</v>
      </c>
    </row>
    <row r="63" spans="2:33" ht="15.75">
      <c r="B63" s="12">
        <v>1149</v>
      </c>
      <c r="C63" s="12" t="s">
        <v>314</v>
      </c>
      <c r="D63" s="12">
        <v>1.149</v>
      </c>
      <c r="G63"/>
      <c r="I63" s="12" t="s">
        <v>314</v>
      </c>
      <c r="J63" s="582">
        <v>2190</v>
      </c>
      <c r="L63" s="12" t="s">
        <v>314</v>
      </c>
      <c r="M63" s="582">
        <v>845</v>
      </c>
    </row>
    <row r="64" spans="2:33" ht="15.75">
      <c r="B64" s="12">
        <v>1148</v>
      </c>
      <c r="C64" s="12" t="s">
        <v>316</v>
      </c>
      <c r="D64" s="12">
        <v>1.1479999999999999</v>
      </c>
      <c r="G64"/>
      <c r="I64" s="12" t="s">
        <v>316</v>
      </c>
      <c r="J64" s="582">
        <v>2180</v>
      </c>
      <c r="L64" s="12" t="s">
        <v>316</v>
      </c>
      <c r="M64" s="582">
        <v>840</v>
      </c>
      <c r="R64" s="585" t="s">
        <v>1160</v>
      </c>
      <c r="S64" s="585"/>
      <c r="T64" s="585"/>
    </row>
    <row r="65" spans="2:33" ht="15.75">
      <c r="B65" s="12">
        <v>1147</v>
      </c>
      <c r="C65" s="12" t="s">
        <v>319</v>
      </c>
      <c r="D65" s="12">
        <v>1.147</v>
      </c>
      <c r="G65" s="2"/>
      <c r="I65" s="12" t="s">
        <v>319</v>
      </c>
      <c r="J65" s="582">
        <v>2170</v>
      </c>
      <c r="L65" s="12" t="s">
        <v>319</v>
      </c>
      <c r="M65" s="582">
        <v>835</v>
      </c>
      <c r="R65"/>
      <c r="S65" s="2">
        <v>2</v>
      </c>
      <c r="T65"/>
      <c r="U65"/>
      <c r="W65" s="2">
        <v>2.2000000000000002</v>
      </c>
      <c r="X65"/>
      <c r="Y65"/>
      <c r="Z65"/>
      <c r="AA65" s="2">
        <v>2.4</v>
      </c>
      <c r="AB65"/>
      <c r="AC65"/>
      <c r="AD65"/>
      <c r="AE65" s="2">
        <v>2.7</v>
      </c>
      <c r="AF65"/>
      <c r="AG65"/>
    </row>
    <row r="66" spans="2:33" ht="15.75">
      <c r="B66" s="12">
        <v>1146</v>
      </c>
      <c r="C66" s="12" t="s">
        <v>321</v>
      </c>
      <c r="D66" s="12">
        <v>1.1459999999999999</v>
      </c>
      <c r="G66" s="2"/>
      <c r="I66" s="12" t="s">
        <v>321</v>
      </c>
      <c r="J66" s="582">
        <v>2160</v>
      </c>
      <c r="L66" s="12" t="s">
        <v>321</v>
      </c>
      <c r="M66" s="582">
        <v>830</v>
      </c>
      <c r="R66"/>
      <c r="S66" s="2" t="s">
        <v>1167</v>
      </c>
      <c r="T66" s="2" t="s">
        <v>251</v>
      </c>
      <c r="U66" s="2" t="s">
        <v>163</v>
      </c>
      <c r="V66"/>
      <c r="W66" s="2" t="s">
        <v>1167</v>
      </c>
      <c r="X66" s="2" t="s">
        <v>251</v>
      </c>
      <c r="Y66" s="2" t="s">
        <v>163</v>
      </c>
      <c r="Z66"/>
      <c r="AA66" s="2" t="s">
        <v>1167</v>
      </c>
      <c r="AB66" s="2" t="s">
        <v>251</v>
      </c>
      <c r="AC66" s="2" t="s">
        <v>163</v>
      </c>
      <c r="AD66"/>
      <c r="AE66" s="2" t="s">
        <v>1167</v>
      </c>
      <c r="AF66" s="2" t="s">
        <v>251</v>
      </c>
      <c r="AG66" s="2" t="s">
        <v>163</v>
      </c>
    </row>
    <row r="67" spans="2:33" ht="15.75">
      <c r="B67" s="12">
        <v>1145</v>
      </c>
      <c r="C67" s="12" t="s">
        <v>322</v>
      </c>
      <c r="D67" s="12">
        <v>1.145</v>
      </c>
      <c r="G67" s="2"/>
      <c r="I67" s="12" t="s">
        <v>322</v>
      </c>
      <c r="J67" s="582">
        <v>2150</v>
      </c>
      <c r="L67" s="12" t="s">
        <v>322</v>
      </c>
      <c r="M67" s="582">
        <v>825</v>
      </c>
      <c r="R67" s="2" t="s">
        <v>1169</v>
      </c>
      <c r="S67" s="592">
        <v>-8.5017799441069949E-2</v>
      </c>
      <c r="T67" s="593">
        <v>0.23507628358435712</v>
      </c>
      <c r="U67" s="594">
        <v>-0.26585172456697764</v>
      </c>
      <c r="V67"/>
      <c r="W67" s="592">
        <v>-9.3468090766359604E-2</v>
      </c>
      <c r="X67" s="593">
        <v>0.24972615344550173</v>
      </c>
      <c r="Y67" s="594">
        <v>-0.26906541071724299</v>
      </c>
      <c r="Z67"/>
      <c r="AA67" s="592">
        <v>-9.4164145372579819E-2</v>
      </c>
      <c r="AB67" s="593">
        <v>0.25228593213855482</v>
      </c>
      <c r="AC67" s="594">
        <v>-0.26808876619663802</v>
      </c>
      <c r="AD67"/>
      <c r="AE67" s="592">
        <v>-8.6285464297942857E-2</v>
      </c>
      <c r="AF67" s="593">
        <v>0.24150141248284229</v>
      </c>
      <c r="AG67" s="594">
        <v>-0.2613647884132681</v>
      </c>
    </row>
    <row r="68" spans="2:33" ht="15.75">
      <c r="B68" s="12">
        <v>1144</v>
      </c>
      <c r="C68" s="12" t="s">
        <v>323</v>
      </c>
      <c r="D68" s="12">
        <v>1.1439999999999999</v>
      </c>
      <c r="G68"/>
      <c r="I68" s="12" t="s">
        <v>323</v>
      </c>
      <c r="J68" s="582">
        <v>2140</v>
      </c>
      <c r="L68" s="12" t="s">
        <v>323</v>
      </c>
      <c r="M68" s="582">
        <v>820</v>
      </c>
      <c r="R68" s="2" t="s">
        <v>112</v>
      </c>
      <c r="S68" s="595">
        <v>1.0898433882466419E-3</v>
      </c>
      <c r="T68" s="167">
        <v>-1.7580716791546627E-2</v>
      </c>
      <c r="U68" s="596">
        <v>1.0513839496572359</v>
      </c>
      <c r="V68"/>
      <c r="W68" s="595">
        <v>6.0285698807893721E-3</v>
      </c>
      <c r="X68" s="167">
        <v>-2.6668757898193004E-2</v>
      </c>
      <c r="Y68" s="596">
        <v>1.0549407660433001</v>
      </c>
      <c r="Z68"/>
      <c r="AA68" s="595">
        <v>7.2338616034450737E-3</v>
      </c>
      <c r="AB68" s="167">
        <v>-2.9857768150261733E-2</v>
      </c>
      <c r="AC68" s="596">
        <v>1.0562472079497061</v>
      </c>
      <c r="AD68"/>
      <c r="AE68" s="595">
        <v>3.4448842702705304E-3</v>
      </c>
      <c r="AF68" s="167">
        <v>-2.5371747672490664E-2</v>
      </c>
      <c r="AG68" s="596">
        <v>1.0544941263029863</v>
      </c>
    </row>
    <row r="69" spans="2:33" ht="15.75">
      <c r="B69" s="12">
        <v>1143</v>
      </c>
      <c r="C69" s="12" t="s">
        <v>324</v>
      </c>
      <c r="D69" s="12">
        <v>1.143</v>
      </c>
      <c r="G69"/>
      <c r="I69" s="12" t="s">
        <v>324</v>
      </c>
      <c r="J69" s="582">
        <v>2130</v>
      </c>
      <c r="L69" s="12" t="s">
        <v>324</v>
      </c>
      <c r="M69" s="582">
        <v>815</v>
      </c>
      <c r="R69" s="2" t="s">
        <v>163</v>
      </c>
      <c r="S69" s="597">
        <v>2.8144910363243982E-2</v>
      </c>
      <c r="T69" s="598">
        <v>-6.986491038231947E-2</v>
      </c>
      <c r="U69" s="599">
        <v>6.2988188542347529E-2</v>
      </c>
      <c r="V69"/>
      <c r="W69" s="597">
        <v>2.6980601774966449E-2</v>
      </c>
      <c r="X69" s="598">
        <v>-6.7802717251812208E-2</v>
      </c>
      <c r="Y69" s="599">
        <v>6.1347797311577287E-2</v>
      </c>
      <c r="Z69"/>
      <c r="AA69" s="597">
        <v>2.6713707733167745E-2</v>
      </c>
      <c r="AB69" s="598">
        <v>-6.7135587429924939E-2</v>
      </c>
      <c r="AC69" s="599">
        <v>6.0370973320789119E-2</v>
      </c>
      <c r="AD69"/>
      <c r="AE69" s="597">
        <v>2.7903533272263185E-2</v>
      </c>
      <c r="AF69" s="598">
        <v>-6.8743468791569881E-2</v>
      </c>
      <c r="AG69" s="599">
        <v>6.0139621085250262E-2</v>
      </c>
    </row>
    <row r="70" spans="2:33" ht="15.75">
      <c r="B70" s="12">
        <v>1142</v>
      </c>
      <c r="C70" s="12" t="s">
        <v>325</v>
      </c>
      <c r="D70" s="12">
        <v>1.1419999999999999</v>
      </c>
      <c r="G70"/>
      <c r="I70" s="12" t="s">
        <v>325</v>
      </c>
      <c r="J70" s="582">
        <v>2120</v>
      </c>
      <c r="L70" s="12" t="s">
        <v>325</v>
      </c>
      <c r="M70" s="582">
        <v>810</v>
      </c>
      <c r="R70"/>
      <c r="S70"/>
      <c r="T70"/>
      <c r="U70" s="600"/>
      <c r="V70"/>
      <c r="W70"/>
      <c r="X70"/>
      <c r="Y70"/>
      <c r="Z70"/>
      <c r="AA70"/>
      <c r="AB70"/>
      <c r="AC70"/>
      <c r="AD70"/>
      <c r="AE70"/>
      <c r="AF70"/>
      <c r="AG70"/>
    </row>
    <row r="71" spans="2:33" ht="15.75">
      <c r="B71" s="12">
        <v>1141</v>
      </c>
      <c r="C71" s="12" t="s">
        <v>327</v>
      </c>
      <c r="D71" s="12">
        <v>1.141</v>
      </c>
      <c r="G71"/>
      <c r="I71" s="12" t="s">
        <v>327</v>
      </c>
      <c r="J71" s="582">
        <v>2110</v>
      </c>
      <c r="L71" s="12" t="s">
        <v>327</v>
      </c>
      <c r="M71" s="582">
        <v>805</v>
      </c>
      <c r="R71"/>
      <c r="S71" s="2" t="s">
        <v>1169</v>
      </c>
      <c r="T71" s="2" t="s">
        <v>112</v>
      </c>
      <c r="U71" s="2" t="s">
        <v>163</v>
      </c>
      <c r="V71"/>
      <c r="W71"/>
      <c r="X71"/>
      <c r="Y71"/>
      <c r="Z71"/>
      <c r="AA71"/>
      <c r="AB71"/>
      <c r="AC71"/>
      <c r="AD71"/>
      <c r="AE71"/>
      <c r="AF71"/>
      <c r="AG71"/>
    </row>
    <row r="72" spans="2:33" ht="15.75">
      <c r="B72" s="12">
        <v>1140</v>
      </c>
      <c r="C72" s="12" t="s">
        <v>330</v>
      </c>
      <c r="D72" s="12">
        <v>1.1399999999999999</v>
      </c>
      <c r="G72" s="2"/>
      <c r="I72" s="12" t="s">
        <v>330</v>
      </c>
      <c r="J72" s="582">
        <v>2100</v>
      </c>
      <c r="L72" s="12" t="s">
        <v>330</v>
      </c>
      <c r="M72" s="582">
        <v>800</v>
      </c>
      <c r="R72"/>
      <c r="S72" s="601">
        <v>-1.7337516058650222E-3</v>
      </c>
      <c r="T72" s="601">
        <v>7.5729204679368441E-3</v>
      </c>
      <c r="U72">
        <v>-3.9335966296286575E-3</v>
      </c>
      <c r="V72"/>
      <c r="W72" s="602">
        <f>W55</f>
        <v>2.25</v>
      </c>
      <c r="X72" s="2">
        <f>CHOOSE(T74,S65,W65,AA65,AE65)</f>
        <v>2.2000000000000002</v>
      </c>
      <c r="Y72" s="2">
        <f>CHOOSE(T74,0.2,0.2,0.3,0.3)</f>
        <v>0.2</v>
      </c>
      <c r="Z72"/>
      <c r="AA72"/>
      <c r="AB72"/>
      <c r="AC72"/>
      <c r="AD72"/>
      <c r="AE72"/>
      <c r="AF72"/>
      <c r="AG72"/>
    </row>
    <row r="73" spans="2:33" ht="15.75">
      <c r="B73" s="12">
        <v>1139</v>
      </c>
      <c r="C73" s="12" t="s">
        <v>331</v>
      </c>
      <c r="D73" s="12">
        <v>1.139</v>
      </c>
      <c r="G73" s="604"/>
      <c r="I73" s="12" t="s">
        <v>331</v>
      </c>
      <c r="J73" s="582">
        <v>2090</v>
      </c>
      <c r="L73" s="12" t="s">
        <v>331</v>
      </c>
      <c r="M73" s="582">
        <v>795</v>
      </c>
      <c r="R73"/>
      <c r="S73" s="601">
        <v>1.2880802925171726E-2</v>
      </c>
      <c r="T73" s="601">
        <v>1.6539425504286446E-2</v>
      </c>
      <c r="U73">
        <v>-8.6343572321584024E-3</v>
      </c>
      <c r="V73"/>
      <c r="W73" s="603">
        <f>W56</f>
        <v>0.99</v>
      </c>
      <c r="X73"/>
      <c r="Y73" s="2">
        <f>W72-X72</f>
        <v>4.9999999999999822E-2</v>
      </c>
      <c r="Z73"/>
      <c r="AA73"/>
      <c r="AB73"/>
      <c r="AC73"/>
      <c r="AD73"/>
      <c r="AE73"/>
      <c r="AF73"/>
      <c r="AG73"/>
    </row>
    <row r="74" spans="2:33" ht="15.75">
      <c r="B74" s="12">
        <v>1138</v>
      </c>
      <c r="C74" s="12" t="s">
        <v>334</v>
      </c>
      <c r="D74" s="12">
        <v>1.1379999999999999</v>
      </c>
      <c r="G74" s="2"/>
      <c r="I74" s="12" t="s">
        <v>334</v>
      </c>
      <c r="J74" s="582">
        <v>2080</v>
      </c>
      <c r="L74" s="12" t="s">
        <v>334</v>
      </c>
      <c r="M74" s="582">
        <v>790</v>
      </c>
      <c r="R74" s="2"/>
      <c r="S74"/>
      <c r="T74" s="174">
        <f>IF(W72&lt;W65,1,IF(W72&lt;AA65,2,IF(W72&lt;AE65,3,4)))</f>
        <v>2</v>
      </c>
      <c r="U74" s="604"/>
      <c r="V74"/>
      <c r="W74" s="626">
        <f>W57</f>
        <v>0.35</v>
      </c>
      <c r="X74" s="604">
        <f>X76+0.17</f>
        <v>0.53882638617004308</v>
      </c>
      <c r="Y74"/>
      <c r="Z74" s="617">
        <f>Y76+0.17</f>
        <v>0.53876300317267689</v>
      </c>
      <c r="AA74"/>
      <c r="AB74"/>
      <c r="AC74"/>
      <c r="AD74"/>
      <c r="AE74"/>
      <c r="AF74"/>
      <c r="AG74"/>
    </row>
    <row r="75" spans="2:33" ht="15.75">
      <c r="B75" s="12">
        <v>1137</v>
      </c>
      <c r="C75" s="12" t="s">
        <v>336</v>
      </c>
      <c r="D75" s="12">
        <v>1.137</v>
      </c>
      <c r="G75" s="2"/>
      <c r="I75" s="12" t="s">
        <v>336</v>
      </c>
      <c r="J75" s="582">
        <v>2070</v>
      </c>
      <c r="L75" s="12" t="s">
        <v>336</v>
      </c>
      <c r="M75" s="582">
        <v>785</v>
      </c>
      <c r="R75" s="604"/>
      <c r="S75" s="2" t="s">
        <v>1167</v>
      </c>
      <c r="T75" s="2" t="s">
        <v>251</v>
      </c>
      <c r="U75" s="2" t="s">
        <v>163</v>
      </c>
      <c r="V75"/>
      <c r="W75" s="2"/>
      <c r="X75"/>
      <c r="Y75"/>
      <c r="Z75"/>
      <c r="AA75"/>
      <c r="AB75"/>
      <c r="AC75"/>
      <c r="AD75"/>
      <c r="AE75"/>
      <c r="AF75"/>
      <c r="AG75"/>
    </row>
    <row r="76" spans="2:33" ht="15.75">
      <c r="B76" s="12">
        <v>1136</v>
      </c>
      <c r="C76" s="12" t="s">
        <v>340</v>
      </c>
      <c r="D76" s="12">
        <v>1.1359999999999999</v>
      </c>
      <c r="G76" s="2"/>
      <c r="I76" s="12" t="s">
        <v>340</v>
      </c>
      <c r="J76" s="582">
        <v>2060</v>
      </c>
      <c r="L76" s="12" t="s">
        <v>340</v>
      </c>
      <c r="M76" s="582">
        <v>780</v>
      </c>
      <c r="R76" s="2" t="s">
        <v>1169</v>
      </c>
      <c r="S76" s="606">
        <f>CHOOSE(T74,S67,W67,AA67,AE67)</f>
        <v>-9.3468090766359604E-2</v>
      </c>
      <c r="T76" s="607">
        <f>CHOOSE(T74,T67,X67,AB67,AF67)</f>
        <v>0.24972615344550173</v>
      </c>
      <c r="U76" s="608">
        <f>CHOOSE(T74,U67,Y67,AC67,AG67)</f>
        <v>-0.26906541071724299</v>
      </c>
      <c r="V76"/>
      <c r="W76" s="609">
        <f>W74</f>
        <v>0.35</v>
      </c>
      <c r="X76" s="604">
        <f>W76^2*(S76*W73^2+T76*W73+U76)+W76*(S77*W73^2+T77*W73+U77)+(S78*W73^2+T78*W73+U78)</f>
        <v>0.3688263861700431</v>
      </c>
      <c r="Y76" s="604">
        <f>X76+Y73*(W76^2*S73+W76*T73+U73)</f>
        <v>0.36876300317267685</v>
      </c>
      <c r="Z76" s="610">
        <f>(Y76-W76)/W76</f>
        <v>5.36085804933625E-2</v>
      </c>
      <c r="AA76"/>
      <c r="AB76"/>
      <c r="AC76"/>
      <c r="AD76"/>
      <c r="AE76"/>
      <c r="AF76"/>
      <c r="AG76"/>
    </row>
    <row r="77" spans="2:33" ht="15.75">
      <c r="B77" s="12">
        <v>1135</v>
      </c>
      <c r="C77" s="12" t="s">
        <v>343</v>
      </c>
      <c r="D77" s="12">
        <v>1.135</v>
      </c>
      <c r="I77" s="12" t="s">
        <v>343</v>
      </c>
      <c r="J77" s="582">
        <v>2050</v>
      </c>
      <c r="L77" s="12" t="s">
        <v>343</v>
      </c>
      <c r="M77" s="582">
        <v>775</v>
      </c>
      <c r="R77" s="2" t="s">
        <v>112</v>
      </c>
      <c r="S77" s="611">
        <f>CHOOSE(T74,S68,W68,AA68,AE68)</f>
        <v>6.0285698807893721E-3</v>
      </c>
      <c r="T77" s="176">
        <f>CHOOSE(T74,T68,X68,AB68,AF68)</f>
        <v>-2.6668757898193004E-2</v>
      </c>
      <c r="U77" s="612">
        <f>CHOOSE(T74,U68,Y68,AC68,AG68)</f>
        <v>1.0549407660433001</v>
      </c>
      <c r="V77"/>
      <c r="W77"/>
      <c r="X77"/>
      <c r="Y77" s="604">
        <f>(1+Y73/Y72*(W76^2*S72+W76*T72+U72))*X76</f>
        <v>0.36868849498192013</v>
      </c>
      <c r="Z77" s="610">
        <f>(Y77-W76)/W76</f>
        <v>5.3395699948343305E-2</v>
      </c>
      <c r="AA77"/>
      <c r="AB77"/>
      <c r="AC77"/>
      <c r="AD77"/>
      <c r="AE77"/>
      <c r="AF77"/>
      <c r="AG77"/>
    </row>
    <row r="78" spans="2:33" ht="15.75">
      <c r="B78" s="12">
        <v>1134</v>
      </c>
      <c r="C78" s="12" t="s">
        <v>347</v>
      </c>
      <c r="D78" s="12">
        <v>1.1339999999999999</v>
      </c>
      <c r="I78" s="12" t="s">
        <v>347</v>
      </c>
      <c r="J78" s="582">
        <v>2040</v>
      </c>
      <c r="L78" s="12" t="s">
        <v>347</v>
      </c>
      <c r="M78" s="582">
        <v>770</v>
      </c>
      <c r="R78" s="2" t="s">
        <v>163</v>
      </c>
      <c r="S78" s="613">
        <f>CHOOSE(T74,S69,W69,AA69,AE69)</f>
        <v>2.6980601774966449E-2</v>
      </c>
      <c r="T78" s="614">
        <f>CHOOSE(T74,T69,X69,AB69,AF69)</f>
        <v>-6.7802717251812208E-2</v>
      </c>
      <c r="U78" s="615">
        <f>CHOOSE(T74,U69,Y69,AC69,AG69)</f>
        <v>6.1347797311577287E-2</v>
      </c>
      <c r="V78"/>
      <c r="W78"/>
      <c r="X78"/>
      <c r="Y78"/>
      <c r="Z78"/>
      <c r="AA78"/>
      <c r="AB78"/>
      <c r="AC78"/>
      <c r="AD78"/>
      <c r="AE78"/>
      <c r="AF78"/>
      <c r="AG78"/>
    </row>
    <row r="79" spans="2:33" ht="15.75">
      <c r="B79" s="12">
        <v>1133</v>
      </c>
      <c r="C79" s="12" t="s">
        <v>349</v>
      </c>
      <c r="D79" s="12">
        <v>1.133</v>
      </c>
      <c r="I79" s="12" t="s">
        <v>349</v>
      </c>
      <c r="J79" s="582">
        <v>2030</v>
      </c>
      <c r="L79" s="12" t="s">
        <v>349</v>
      </c>
      <c r="M79" s="582">
        <v>765</v>
      </c>
    </row>
    <row r="80" spans="2:33" ht="15.75">
      <c r="B80" s="12">
        <v>1132</v>
      </c>
      <c r="C80" s="12" t="s">
        <v>353</v>
      </c>
      <c r="D80" s="12">
        <v>1.1319999999999999</v>
      </c>
      <c r="I80" s="12" t="s">
        <v>353</v>
      </c>
      <c r="J80" s="582">
        <v>2020</v>
      </c>
      <c r="L80" s="12" t="s">
        <v>353</v>
      </c>
      <c r="M80" s="582">
        <v>760</v>
      </c>
    </row>
    <row r="81" spans="2:13" ht="15.75">
      <c r="B81" s="12">
        <v>1131</v>
      </c>
      <c r="C81" s="12" t="s">
        <v>355</v>
      </c>
      <c r="D81" s="12">
        <v>1.131</v>
      </c>
      <c r="I81" s="12" t="s">
        <v>355</v>
      </c>
      <c r="J81" s="582">
        <v>2010</v>
      </c>
      <c r="L81" s="12" t="s">
        <v>355</v>
      </c>
      <c r="M81" s="582">
        <v>755</v>
      </c>
    </row>
    <row r="82" spans="2:13" ht="15.75">
      <c r="B82" s="12">
        <v>1130</v>
      </c>
      <c r="C82" s="12" t="s">
        <v>358</v>
      </c>
      <c r="D82" s="12">
        <v>1.1299999999999999</v>
      </c>
      <c r="I82" s="12" t="s">
        <v>358</v>
      </c>
      <c r="J82" s="582">
        <v>2000</v>
      </c>
      <c r="L82" s="12" t="s">
        <v>358</v>
      </c>
      <c r="M82" s="582">
        <v>750</v>
      </c>
    </row>
    <row r="83" spans="2:13" ht="15.75">
      <c r="B83" s="12">
        <v>1129</v>
      </c>
      <c r="C83" s="12" t="s">
        <v>360</v>
      </c>
      <c r="D83" s="12">
        <v>1.129</v>
      </c>
      <c r="I83" s="12" t="s">
        <v>360</v>
      </c>
      <c r="J83" s="582">
        <v>1990</v>
      </c>
    </row>
    <row r="84" spans="2:13" ht="15.75">
      <c r="B84" s="12">
        <v>1128</v>
      </c>
      <c r="C84" s="12" t="s">
        <v>362</v>
      </c>
      <c r="D84" s="12">
        <v>1.1279999999999999</v>
      </c>
      <c r="I84" s="12" t="s">
        <v>362</v>
      </c>
      <c r="J84" s="582">
        <v>1980</v>
      </c>
    </row>
    <row r="85" spans="2:13" ht="15.75">
      <c r="B85" s="12">
        <v>1127</v>
      </c>
      <c r="C85" s="12" t="s">
        <v>364</v>
      </c>
      <c r="D85" s="12">
        <v>1.127</v>
      </c>
      <c r="I85" s="12" t="s">
        <v>364</v>
      </c>
      <c r="J85" s="582">
        <v>1970</v>
      </c>
    </row>
    <row r="86" spans="2:13" ht="15.75">
      <c r="B86" s="12">
        <v>1126</v>
      </c>
      <c r="C86" s="12" t="s">
        <v>365</v>
      </c>
      <c r="D86" s="12">
        <v>1.1259999999999999</v>
      </c>
      <c r="I86" s="12" t="s">
        <v>365</v>
      </c>
      <c r="J86" s="582">
        <v>1960</v>
      </c>
    </row>
    <row r="87" spans="2:13" ht="15.75">
      <c r="B87" s="12">
        <v>1125</v>
      </c>
      <c r="C87" s="12" t="s">
        <v>366</v>
      </c>
      <c r="D87" s="12">
        <v>1.125</v>
      </c>
      <c r="I87" s="12" t="s">
        <v>366</v>
      </c>
      <c r="J87" s="582">
        <v>1950</v>
      </c>
    </row>
    <row r="88" spans="2:13" ht="15.75">
      <c r="B88" s="12">
        <v>1124</v>
      </c>
      <c r="C88" s="12" t="s">
        <v>367</v>
      </c>
      <c r="D88" s="12">
        <v>1.1240000000000001</v>
      </c>
      <c r="I88" s="12" t="s">
        <v>367</v>
      </c>
      <c r="J88" s="582">
        <v>1940</v>
      </c>
    </row>
    <row r="89" spans="2:13" ht="15.75">
      <c r="B89" s="12">
        <v>1123</v>
      </c>
      <c r="C89" s="12" t="s">
        <v>368</v>
      </c>
      <c r="D89" s="12">
        <v>1.123</v>
      </c>
      <c r="I89" s="12" t="s">
        <v>368</v>
      </c>
      <c r="J89" s="582">
        <v>1930</v>
      </c>
    </row>
    <row r="90" spans="2:13" ht="15.75">
      <c r="B90" s="12">
        <v>1122</v>
      </c>
      <c r="C90" s="12" t="s">
        <v>369</v>
      </c>
      <c r="D90" s="12">
        <v>1.1220000000000001</v>
      </c>
      <c r="I90" s="12" t="s">
        <v>369</v>
      </c>
      <c r="J90" s="582">
        <v>1920</v>
      </c>
    </row>
    <row r="91" spans="2:13" ht="15.75">
      <c r="B91" s="12">
        <v>1121</v>
      </c>
      <c r="C91" s="12" t="s">
        <v>370</v>
      </c>
      <c r="D91" s="12">
        <v>1.121</v>
      </c>
      <c r="I91" s="12" t="s">
        <v>370</v>
      </c>
      <c r="J91" s="582">
        <v>1910</v>
      </c>
    </row>
    <row r="92" spans="2:13" ht="15.75">
      <c r="B92" s="12">
        <v>1120</v>
      </c>
      <c r="C92" s="12" t="s">
        <v>371</v>
      </c>
      <c r="D92" s="12">
        <v>1.1200000000000001</v>
      </c>
      <c r="I92" s="12" t="s">
        <v>371</v>
      </c>
      <c r="J92" s="582">
        <v>1900</v>
      </c>
    </row>
    <row r="93" spans="2:13" ht="15.75">
      <c r="B93" s="12">
        <v>1119</v>
      </c>
      <c r="C93" s="12" t="s">
        <v>372</v>
      </c>
      <c r="D93" s="12">
        <v>1.119</v>
      </c>
      <c r="I93" s="12"/>
    </row>
    <row r="94" spans="2:13" ht="15.75">
      <c r="B94" s="12">
        <v>1118</v>
      </c>
      <c r="C94" s="12" t="s">
        <v>373</v>
      </c>
      <c r="D94" s="12">
        <v>1.1180000000000001</v>
      </c>
      <c r="I94" s="12"/>
    </row>
    <row r="95" spans="2:13" ht="15.75">
      <c r="B95" s="12">
        <v>1117</v>
      </c>
      <c r="C95" s="12" t="s">
        <v>374</v>
      </c>
      <c r="D95" s="12">
        <v>1.117</v>
      </c>
      <c r="I95" s="12"/>
    </row>
    <row r="96" spans="2:13" ht="15.75">
      <c r="B96" s="12">
        <v>1116</v>
      </c>
      <c r="C96" s="12" t="s">
        <v>375</v>
      </c>
      <c r="D96" s="12">
        <v>1.1160000000000001</v>
      </c>
      <c r="I96" s="12"/>
    </row>
    <row r="97" spans="2:9" ht="15.75">
      <c r="B97" s="12">
        <v>1115</v>
      </c>
      <c r="C97" s="12" t="s">
        <v>376</v>
      </c>
      <c r="D97" s="12">
        <v>1.115</v>
      </c>
      <c r="I97" s="12"/>
    </row>
    <row r="98" spans="2:9" ht="15.75">
      <c r="B98" s="12">
        <v>1114</v>
      </c>
      <c r="C98" s="12" t="s">
        <v>377</v>
      </c>
      <c r="D98" s="12">
        <v>1.1140000000000001</v>
      </c>
      <c r="I98" s="12"/>
    </row>
    <row r="99" spans="2:9" ht="15.75">
      <c r="B99" s="12">
        <v>1113</v>
      </c>
      <c r="C99" s="12" t="s">
        <v>378</v>
      </c>
      <c r="D99" s="12">
        <v>1.113</v>
      </c>
      <c r="I99" s="12"/>
    </row>
    <row r="100" spans="2:9" ht="15.75">
      <c r="B100" s="12">
        <v>1112</v>
      </c>
      <c r="C100" s="12" t="s">
        <v>379</v>
      </c>
      <c r="D100" s="12">
        <v>1.1120000000000001</v>
      </c>
      <c r="I100" s="12"/>
    </row>
    <row r="101" spans="2:9" ht="15.75">
      <c r="B101" s="12">
        <v>1111</v>
      </c>
      <c r="C101" s="12" t="s">
        <v>380</v>
      </c>
      <c r="D101" s="12">
        <v>1.111</v>
      </c>
      <c r="I101" s="12"/>
    </row>
    <row r="102" spans="2:9" ht="15.75">
      <c r="B102" s="12">
        <v>1110</v>
      </c>
      <c r="C102" s="12" t="s">
        <v>381</v>
      </c>
      <c r="D102" s="12">
        <v>1.1100000000000001</v>
      </c>
      <c r="I102" s="12"/>
    </row>
    <row r="103" spans="2:9" ht="15.75">
      <c r="B103" s="12">
        <v>1109</v>
      </c>
      <c r="C103" s="12" t="s">
        <v>382</v>
      </c>
      <c r="D103" s="12">
        <v>1.109</v>
      </c>
      <c r="I103" s="12"/>
    </row>
    <row r="104" spans="2:9" ht="15.75">
      <c r="B104" s="12">
        <v>1108</v>
      </c>
      <c r="C104" s="12" t="s">
        <v>383</v>
      </c>
      <c r="D104" s="12">
        <v>1.1080000000000001</v>
      </c>
      <c r="I104" s="12"/>
    </row>
    <row r="105" spans="2:9" ht="15.75">
      <c r="B105" s="12">
        <v>1107</v>
      </c>
      <c r="C105" s="12" t="s">
        <v>384</v>
      </c>
      <c r="D105" s="12">
        <v>1.107</v>
      </c>
      <c r="I105" s="12"/>
    </row>
    <row r="106" spans="2:9" ht="15.75">
      <c r="B106" s="12">
        <v>1106</v>
      </c>
      <c r="C106" s="12" t="s">
        <v>385</v>
      </c>
      <c r="D106" s="12">
        <v>1.1060000000000001</v>
      </c>
      <c r="I106" s="12"/>
    </row>
    <row r="107" spans="2:9" ht="15.75">
      <c r="B107" s="12">
        <v>1105</v>
      </c>
      <c r="C107" s="12" t="s">
        <v>386</v>
      </c>
      <c r="D107" s="12">
        <v>1.105</v>
      </c>
      <c r="I107" s="12"/>
    </row>
    <row r="108" spans="2:9" ht="15.75">
      <c r="B108" s="12">
        <v>1104</v>
      </c>
      <c r="C108" s="12" t="s">
        <v>387</v>
      </c>
      <c r="D108" s="12">
        <v>1.1040000000000001</v>
      </c>
      <c r="I108" s="12"/>
    </row>
    <row r="109" spans="2:9" ht="15.75">
      <c r="B109" s="12">
        <v>1103</v>
      </c>
      <c r="C109" s="12" t="s">
        <v>388</v>
      </c>
      <c r="D109" s="12">
        <v>1.103</v>
      </c>
      <c r="I109" s="12"/>
    </row>
    <row r="110" spans="2:9" ht="15.75">
      <c r="B110" s="12">
        <v>1102</v>
      </c>
      <c r="C110" s="12" t="s">
        <v>389</v>
      </c>
      <c r="D110" s="12">
        <v>1.1020000000000001</v>
      </c>
      <c r="I110" s="12"/>
    </row>
    <row r="111" spans="2:9" ht="15.75">
      <c r="B111" s="12">
        <v>1101</v>
      </c>
      <c r="C111" s="12" t="s">
        <v>390</v>
      </c>
      <c r="D111" s="12">
        <v>1.101</v>
      </c>
      <c r="I111" s="12"/>
    </row>
    <row r="112" spans="2:9" ht="15.75">
      <c r="B112" s="12">
        <v>1100</v>
      </c>
      <c r="C112" s="12" t="s">
        <v>391</v>
      </c>
      <c r="D112" s="12">
        <v>1.1000000000000001</v>
      </c>
      <c r="I112" s="12"/>
    </row>
    <row r="113" spans="2:9" ht="15.75">
      <c r="B113" s="12">
        <v>1099</v>
      </c>
      <c r="C113" s="12" t="s">
        <v>392</v>
      </c>
      <c r="D113" s="12">
        <v>1.099</v>
      </c>
      <c r="I113" s="12"/>
    </row>
    <row r="114" spans="2:9" ht="15.75">
      <c r="B114" s="12">
        <v>1098</v>
      </c>
      <c r="C114" s="12" t="s">
        <v>393</v>
      </c>
      <c r="D114" s="12">
        <v>1.0980000000000001</v>
      </c>
      <c r="I114" s="12"/>
    </row>
    <row r="115" spans="2:9" ht="15.75">
      <c r="B115" s="12">
        <v>1097</v>
      </c>
      <c r="C115" s="12" t="s">
        <v>394</v>
      </c>
      <c r="D115" s="12">
        <v>1.097</v>
      </c>
      <c r="I115" s="12"/>
    </row>
    <row r="116" spans="2:9" ht="15.75">
      <c r="B116" s="12">
        <v>1096</v>
      </c>
      <c r="C116" s="12" t="s">
        <v>395</v>
      </c>
      <c r="D116" s="12">
        <v>1.0960000000000001</v>
      </c>
      <c r="I116" s="12"/>
    </row>
    <row r="117" spans="2:9" ht="15.75">
      <c r="B117" s="12">
        <v>1095</v>
      </c>
      <c r="C117" s="12" t="s">
        <v>396</v>
      </c>
      <c r="D117" s="12">
        <v>1.095</v>
      </c>
      <c r="I117" s="12"/>
    </row>
    <row r="118" spans="2:9" ht="15.75">
      <c r="B118" s="12">
        <v>1094</v>
      </c>
      <c r="C118" s="12" t="s">
        <v>397</v>
      </c>
      <c r="D118" s="12">
        <v>1.0940000000000001</v>
      </c>
      <c r="I118" s="12"/>
    </row>
    <row r="119" spans="2:9" ht="15.75">
      <c r="B119" s="12">
        <v>1093</v>
      </c>
      <c r="C119" s="12" t="s">
        <v>398</v>
      </c>
      <c r="D119" s="12">
        <v>1.093</v>
      </c>
      <c r="I119" s="12"/>
    </row>
    <row r="120" spans="2:9" ht="15.75">
      <c r="B120" s="12">
        <v>1092</v>
      </c>
      <c r="C120" s="12" t="s">
        <v>399</v>
      </c>
      <c r="D120" s="12">
        <v>1.0920000000000001</v>
      </c>
      <c r="I120" s="12"/>
    </row>
    <row r="121" spans="2:9" ht="15.75">
      <c r="B121" s="12">
        <v>1091</v>
      </c>
      <c r="C121" s="12" t="s">
        <v>400</v>
      </c>
      <c r="D121" s="12">
        <v>1.091</v>
      </c>
      <c r="I121" s="12"/>
    </row>
    <row r="122" spans="2:9" ht="15.75">
      <c r="B122" s="12">
        <v>1090</v>
      </c>
      <c r="C122" s="12" t="s">
        <v>401</v>
      </c>
      <c r="D122" s="12">
        <v>1.0900000000000001</v>
      </c>
      <c r="I122" s="12"/>
    </row>
    <row r="123" spans="2:9" ht="15.75">
      <c r="B123" s="12">
        <v>1089</v>
      </c>
      <c r="C123" s="12" t="s">
        <v>402</v>
      </c>
      <c r="D123" s="12">
        <v>1.089</v>
      </c>
      <c r="I123" s="12"/>
    </row>
    <row r="124" spans="2:9" ht="15.75">
      <c r="B124" s="12">
        <v>1088</v>
      </c>
      <c r="C124" s="12" t="s">
        <v>403</v>
      </c>
      <c r="D124" s="12">
        <v>1.0880000000000001</v>
      </c>
      <c r="I124" s="12"/>
    </row>
    <row r="125" spans="2:9" ht="15.75">
      <c r="B125" s="12">
        <v>1087</v>
      </c>
      <c r="C125" s="12" t="s">
        <v>404</v>
      </c>
      <c r="D125" s="12">
        <v>1.087</v>
      </c>
      <c r="I125" s="12"/>
    </row>
    <row r="126" spans="2:9" ht="15.75">
      <c r="B126" s="12">
        <v>1086</v>
      </c>
      <c r="C126" s="12" t="s">
        <v>405</v>
      </c>
      <c r="D126" s="12">
        <v>1.0860000000000001</v>
      </c>
      <c r="I126" s="12"/>
    </row>
    <row r="127" spans="2:9" ht="15.75">
      <c r="B127" s="12">
        <v>1085</v>
      </c>
      <c r="C127" s="12" t="s">
        <v>406</v>
      </c>
      <c r="D127" s="12">
        <v>1.085</v>
      </c>
      <c r="I127" s="12"/>
    </row>
    <row r="128" spans="2:9" ht="15.75">
      <c r="B128" s="12">
        <v>1084</v>
      </c>
      <c r="C128" s="12" t="s">
        <v>407</v>
      </c>
      <c r="D128" s="12">
        <v>1.0840000000000001</v>
      </c>
      <c r="I128" s="12"/>
    </row>
    <row r="129" spans="2:9" ht="15.75">
      <c r="B129" s="12">
        <v>1083</v>
      </c>
      <c r="C129" s="12" t="s">
        <v>408</v>
      </c>
      <c r="D129" s="12">
        <v>1.083</v>
      </c>
      <c r="I129" s="12"/>
    </row>
    <row r="130" spans="2:9" ht="15.75">
      <c r="B130" s="12">
        <v>1082</v>
      </c>
      <c r="C130" s="12" t="s">
        <v>409</v>
      </c>
      <c r="D130" s="12">
        <v>1.0820000000000001</v>
      </c>
      <c r="I130" s="12"/>
    </row>
    <row r="131" spans="2:9" ht="15.75">
      <c r="B131" s="12">
        <v>1081</v>
      </c>
      <c r="C131" s="12" t="s">
        <v>410</v>
      </c>
      <c r="D131" s="12">
        <v>1.081</v>
      </c>
      <c r="I131" s="12"/>
    </row>
    <row r="132" spans="2:9" ht="15.75">
      <c r="B132" s="12">
        <v>1080</v>
      </c>
      <c r="C132" s="12" t="s">
        <v>411</v>
      </c>
      <c r="D132" s="12">
        <v>1.08</v>
      </c>
      <c r="I132" s="12"/>
    </row>
    <row r="133" spans="2:9" ht="15.75">
      <c r="B133" s="12">
        <v>1079</v>
      </c>
      <c r="C133" s="12" t="s">
        <v>412</v>
      </c>
      <c r="D133" s="12">
        <v>1.079</v>
      </c>
      <c r="I133" s="12"/>
    </row>
    <row r="134" spans="2:9" ht="15.75">
      <c r="B134" s="12">
        <v>1078</v>
      </c>
      <c r="C134" s="12" t="s">
        <v>413</v>
      </c>
      <c r="D134" s="12">
        <v>1.0780000000000001</v>
      </c>
      <c r="I134" s="12"/>
    </row>
    <row r="135" spans="2:9" ht="15.75">
      <c r="B135" s="12">
        <v>1077</v>
      </c>
      <c r="C135" s="12" t="s">
        <v>414</v>
      </c>
      <c r="D135" s="12">
        <v>1.077</v>
      </c>
      <c r="I135" s="12"/>
    </row>
    <row r="136" spans="2:9" ht="15.75">
      <c r="B136" s="12">
        <v>1076</v>
      </c>
      <c r="C136" s="12" t="s">
        <v>415</v>
      </c>
      <c r="D136" s="12">
        <v>1.0760000000000001</v>
      </c>
      <c r="I136" s="12"/>
    </row>
    <row r="137" spans="2:9" ht="15.75">
      <c r="B137" s="12">
        <v>1075</v>
      </c>
      <c r="C137" s="12" t="s">
        <v>416</v>
      </c>
      <c r="D137" s="12">
        <v>1.075</v>
      </c>
      <c r="I137" s="12"/>
    </row>
    <row r="138" spans="2:9" ht="15.75">
      <c r="B138" s="12">
        <v>1074</v>
      </c>
      <c r="C138" s="12" t="s">
        <v>417</v>
      </c>
      <c r="D138" s="12">
        <v>1.0740000000000001</v>
      </c>
      <c r="I138" s="12"/>
    </row>
    <row r="139" spans="2:9" ht="15.75">
      <c r="B139" s="12">
        <v>1073</v>
      </c>
      <c r="C139" s="12" t="s">
        <v>418</v>
      </c>
      <c r="D139" s="12">
        <v>1.073</v>
      </c>
      <c r="I139" s="12"/>
    </row>
    <row r="140" spans="2:9" ht="15.75">
      <c r="B140" s="12">
        <v>1072</v>
      </c>
      <c r="C140" s="12" t="s">
        <v>419</v>
      </c>
      <c r="D140" s="12">
        <v>1.0720000000000001</v>
      </c>
      <c r="I140" s="12"/>
    </row>
    <row r="141" spans="2:9" ht="15.75">
      <c r="B141" s="12">
        <v>1071</v>
      </c>
      <c r="C141" s="12" t="s">
        <v>420</v>
      </c>
      <c r="D141" s="12">
        <v>1.071</v>
      </c>
      <c r="I141" s="12"/>
    </row>
    <row r="142" spans="2:9" ht="15.75">
      <c r="B142" s="12">
        <v>1070</v>
      </c>
      <c r="C142" s="12" t="s">
        <v>421</v>
      </c>
      <c r="D142" s="12">
        <v>1.07</v>
      </c>
      <c r="I142" s="12"/>
    </row>
    <row r="143" spans="2:9" ht="15.75">
      <c r="B143" s="12">
        <v>1069</v>
      </c>
      <c r="C143" s="12" t="s">
        <v>422</v>
      </c>
      <c r="D143" s="12">
        <v>1.069</v>
      </c>
      <c r="I143" s="12"/>
    </row>
    <row r="144" spans="2:9" ht="15.75">
      <c r="B144" s="12">
        <v>1068</v>
      </c>
      <c r="C144" s="12" t="s">
        <v>423</v>
      </c>
      <c r="D144" s="12">
        <v>1.0680000000000001</v>
      </c>
      <c r="I144" s="12"/>
    </row>
    <row r="145" spans="2:9" ht="15.75">
      <c r="B145" s="12">
        <v>1067</v>
      </c>
      <c r="C145" s="12" t="s">
        <v>424</v>
      </c>
      <c r="D145" s="12">
        <v>1.0669999999999999</v>
      </c>
      <c r="I145" s="12"/>
    </row>
    <row r="146" spans="2:9" ht="15.75">
      <c r="B146" s="12">
        <v>1066</v>
      </c>
      <c r="C146" s="12" t="s">
        <v>425</v>
      </c>
      <c r="D146" s="12">
        <v>1.0660000000000001</v>
      </c>
      <c r="I146" s="12"/>
    </row>
    <row r="147" spans="2:9" ht="15.75">
      <c r="B147" s="12">
        <v>1065</v>
      </c>
      <c r="C147" s="12" t="s">
        <v>426</v>
      </c>
      <c r="D147" s="12">
        <v>1.0649999999999999</v>
      </c>
      <c r="I147" s="12"/>
    </row>
    <row r="148" spans="2:9" ht="15.75">
      <c r="B148" s="12">
        <v>1064</v>
      </c>
      <c r="C148" s="12" t="s">
        <v>427</v>
      </c>
      <c r="D148" s="12">
        <v>1.0640000000000001</v>
      </c>
      <c r="I148" s="12"/>
    </row>
    <row r="149" spans="2:9" ht="15.75">
      <c r="B149" s="12">
        <v>1063</v>
      </c>
      <c r="C149" s="12" t="s">
        <v>428</v>
      </c>
      <c r="D149" s="12">
        <v>1.0629999999999999</v>
      </c>
      <c r="I149" s="12"/>
    </row>
    <row r="150" spans="2:9" ht="15.75">
      <c r="B150" s="12">
        <v>1062</v>
      </c>
      <c r="C150" s="12" t="s">
        <v>429</v>
      </c>
      <c r="D150" s="12">
        <v>1.0620000000000001</v>
      </c>
      <c r="I150" s="12"/>
    </row>
    <row r="151" spans="2:9" ht="15.75">
      <c r="B151" s="12">
        <v>1061</v>
      </c>
      <c r="C151" s="12" t="s">
        <v>430</v>
      </c>
      <c r="D151" s="12">
        <v>1.0609999999999999</v>
      </c>
      <c r="I151" s="12"/>
    </row>
    <row r="152" spans="2:9" ht="15.75">
      <c r="B152" s="12">
        <v>1060</v>
      </c>
      <c r="C152" s="12" t="s">
        <v>431</v>
      </c>
      <c r="D152" s="12">
        <v>1.06</v>
      </c>
      <c r="I152" s="12"/>
    </row>
    <row r="153" spans="2:9" ht="15.75">
      <c r="B153" s="12">
        <v>1059</v>
      </c>
      <c r="C153" s="12" t="s">
        <v>432</v>
      </c>
      <c r="D153" s="12">
        <v>1.0589999999999999</v>
      </c>
      <c r="I153" s="12"/>
    </row>
    <row r="154" spans="2:9" ht="15.75">
      <c r="B154" s="12">
        <v>1058</v>
      </c>
      <c r="C154" s="12" t="s">
        <v>433</v>
      </c>
      <c r="D154" s="12">
        <v>1.0580000000000001</v>
      </c>
      <c r="I154" s="12"/>
    </row>
    <row r="155" spans="2:9" ht="15.75">
      <c r="B155" s="12">
        <v>1057</v>
      </c>
      <c r="C155" s="12" t="s">
        <v>434</v>
      </c>
      <c r="D155" s="12">
        <v>1.0569999999999999</v>
      </c>
      <c r="I155" s="12"/>
    </row>
    <row r="156" spans="2:9" ht="15.75">
      <c r="B156" s="12">
        <v>1056</v>
      </c>
      <c r="C156" s="12" t="s">
        <v>435</v>
      </c>
      <c r="D156" s="12">
        <v>1.056</v>
      </c>
      <c r="I156" s="12"/>
    </row>
    <row r="157" spans="2:9" ht="15.75">
      <c r="B157" s="12">
        <v>1055</v>
      </c>
      <c r="C157" s="12" t="s">
        <v>436</v>
      </c>
      <c r="D157" s="12">
        <v>1.0549999999999999</v>
      </c>
      <c r="I157" s="12"/>
    </row>
    <row r="158" spans="2:9" ht="15.75">
      <c r="B158" s="12">
        <v>1054</v>
      </c>
      <c r="C158" s="12" t="s">
        <v>437</v>
      </c>
      <c r="D158" s="12">
        <v>1.054</v>
      </c>
      <c r="I158" s="12"/>
    </row>
    <row r="159" spans="2:9" ht="15.75">
      <c r="B159" s="12">
        <v>1053</v>
      </c>
      <c r="C159" s="12" t="s">
        <v>438</v>
      </c>
      <c r="D159" s="12">
        <v>1.0529999999999999</v>
      </c>
      <c r="I159" s="12"/>
    </row>
    <row r="160" spans="2:9" ht="15.75">
      <c r="B160" s="12">
        <v>1052</v>
      </c>
      <c r="C160" s="12" t="s">
        <v>439</v>
      </c>
      <c r="D160" s="12">
        <v>1.052</v>
      </c>
      <c r="I160" s="12"/>
    </row>
    <row r="161" spans="2:9" ht="15.75">
      <c r="B161" s="12">
        <v>1051</v>
      </c>
      <c r="C161" s="12" t="s">
        <v>440</v>
      </c>
      <c r="D161" s="12">
        <v>1.0509999999999999</v>
      </c>
      <c r="I161" s="12"/>
    </row>
    <row r="162" spans="2:9" ht="15.75">
      <c r="B162" s="12">
        <v>1050</v>
      </c>
      <c r="C162" s="12" t="s">
        <v>441</v>
      </c>
      <c r="D162" s="12">
        <v>1.05</v>
      </c>
      <c r="I162" s="12"/>
    </row>
    <row r="163" spans="2:9" ht="15.75">
      <c r="B163" s="12">
        <v>1049</v>
      </c>
      <c r="C163" s="12" t="s">
        <v>442</v>
      </c>
      <c r="D163" s="12">
        <v>1.0489999999999999</v>
      </c>
      <c r="I163" s="12"/>
    </row>
    <row r="164" spans="2:9" ht="15.75">
      <c r="B164" s="12">
        <v>1048</v>
      </c>
      <c r="C164" s="12" t="s">
        <v>443</v>
      </c>
      <c r="D164" s="12">
        <v>1.048</v>
      </c>
      <c r="I164" s="12"/>
    </row>
    <row r="165" spans="2:9" ht="15.75">
      <c r="B165" s="12">
        <v>1047</v>
      </c>
      <c r="C165" s="12" t="s">
        <v>444</v>
      </c>
      <c r="D165" s="12">
        <v>1.0469999999999999</v>
      </c>
      <c r="I165" s="12"/>
    </row>
    <row r="166" spans="2:9" ht="15.75">
      <c r="B166" s="12">
        <v>1046</v>
      </c>
      <c r="C166" s="12" t="s">
        <v>445</v>
      </c>
      <c r="D166" s="12">
        <v>1.046</v>
      </c>
      <c r="I166" s="12"/>
    </row>
    <row r="167" spans="2:9" ht="15.75">
      <c r="B167" s="12">
        <v>1045</v>
      </c>
      <c r="C167" s="12" t="s">
        <v>446</v>
      </c>
      <c r="D167" s="12">
        <v>1.0449999999999999</v>
      </c>
      <c r="I167" s="12"/>
    </row>
    <row r="168" spans="2:9" ht="15.75">
      <c r="B168" s="12">
        <v>1044</v>
      </c>
      <c r="C168" s="12" t="s">
        <v>447</v>
      </c>
      <c r="D168" s="12">
        <v>1.044</v>
      </c>
      <c r="I168" s="12"/>
    </row>
    <row r="169" spans="2:9" ht="15.75">
      <c r="B169" s="12">
        <v>1043</v>
      </c>
      <c r="C169" s="12" t="s">
        <v>448</v>
      </c>
      <c r="D169" s="12">
        <v>1.0429999999999999</v>
      </c>
      <c r="I169" s="12"/>
    </row>
    <row r="170" spans="2:9" ht="15.75">
      <c r="B170" s="12">
        <v>1042</v>
      </c>
      <c r="C170" s="12" t="s">
        <v>449</v>
      </c>
      <c r="D170" s="12">
        <v>1.042</v>
      </c>
      <c r="I170" s="12"/>
    </row>
    <row r="171" spans="2:9" ht="15.75">
      <c r="B171" s="12">
        <v>1041</v>
      </c>
      <c r="C171" s="12" t="s">
        <v>450</v>
      </c>
      <c r="D171" s="12">
        <v>1.0409999999999999</v>
      </c>
      <c r="I171" s="12"/>
    </row>
    <row r="172" spans="2:9" ht="15.75">
      <c r="B172" s="12">
        <v>1040</v>
      </c>
      <c r="C172" s="12" t="s">
        <v>451</v>
      </c>
      <c r="D172" s="12">
        <v>1.04</v>
      </c>
      <c r="I172" s="12"/>
    </row>
    <row r="173" spans="2:9" ht="15.75">
      <c r="B173" s="12">
        <v>1039</v>
      </c>
      <c r="C173" s="12" t="s">
        <v>452</v>
      </c>
      <c r="D173" s="12">
        <v>1.0389999999999999</v>
      </c>
      <c r="I173" s="12"/>
    </row>
    <row r="174" spans="2:9" ht="15.75">
      <c r="B174" s="12">
        <v>1038</v>
      </c>
      <c r="C174" s="12" t="s">
        <v>453</v>
      </c>
      <c r="D174" s="12">
        <v>1.038</v>
      </c>
      <c r="I174" s="12"/>
    </row>
    <row r="175" spans="2:9" ht="15.75">
      <c r="B175" s="12">
        <v>1037</v>
      </c>
      <c r="C175" s="12" t="s">
        <v>454</v>
      </c>
      <c r="D175" s="12">
        <v>1.0369999999999999</v>
      </c>
      <c r="I175" s="12"/>
    </row>
    <row r="176" spans="2:9" ht="15.75">
      <c r="B176" s="12">
        <v>1036</v>
      </c>
      <c r="C176" s="12" t="s">
        <v>455</v>
      </c>
      <c r="D176" s="12">
        <v>1.036</v>
      </c>
      <c r="I176" s="12"/>
    </row>
    <row r="177" spans="2:9" ht="15.75">
      <c r="B177" s="12">
        <v>1035</v>
      </c>
      <c r="C177" s="12" t="s">
        <v>456</v>
      </c>
      <c r="D177" s="12">
        <v>1.0349999999999999</v>
      </c>
      <c r="I177" s="12"/>
    </row>
    <row r="178" spans="2:9" ht="15.75">
      <c r="B178" s="12">
        <v>1034</v>
      </c>
      <c r="C178" s="12" t="s">
        <v>457</v>
      </c>
      <c r="D178" s="12">
        <v>1.034</v>
      </c>
      <c r="I178" s="12"/>
    </row>
    <row r="179" spans="2:9" ht="15.75">
      <c r="B179" s="12">
        <v>1033</v>
      </c>
      <c r="C179" s="12" t="s">
        <v>458</v>
      </c>
      <c r="D179" s="12">
        <v>1.0329999999999999</v>
      </c>
      <c r="I179" s="12"/>
    </row>
    <row r="180" spans="2:9" ht="15.75">
      <c r="B180" s="12">
        <v>1032</v>
      </c>
      <c r="C180" s="12" t="s">
        <v>459</v>
      </c>
      <c r="D180" s="12">
        <v>1.032</v>
      </c>
      <c r="I180" s="12"/>
    </row>
    <row r="181" spans="2:9" ht="15.75">
      <c r="B181" s="12">
        <v>1031</v>
      </c>
      <c r="C181" s="12" t="s">
        <v>460</v>
      </c>
      <c r="D181" s="12">
        <v>1.0309999999999999</v>
      </c>
      <c r="I181" s="12"/>
    </row>
    <row r="182" spans="2:9" ht="15.75">
      <c r="B182" s="12">
        <v>1030</v>
      </c>
      <c r="C182" s="12" t="s">
        <v>461</v>
      </c>
      <c r="D182" s="12">
        <v>1.03</v>
      </c>
      <c r="I182" s="12"/>
    </row>
    <row r="183" spans="2:9" ht="15.75">
      <c r="B183" s="12">
        <v>1029</v>
      </c>
      <c r="C183" s="12" t="s">
        <v>462</v>
      </c>
      <c r="D183" s="12">
        <v>1.0289999999999999</v>
      </c>
      <c r="I183" s="12"/>
    </row>
    <row r="184" spans="2:9" ht="15.75">
      <c r="B184" s="12">
        <v>1028</v>
      </c>
      <c r="C184" s="12" t="s">
        <v>463</v>
      </c>
      <c r="D184" s="12">
        <v>1.028</v>
      </c>
      <c r="I184" s="12"/>
    </row>
    <row r="185" spans="2:9" ht="15.75">
      <c r="B185" s="12">
        <v>1027</v>
      </c>
      <c r="C185" s="12" t="s">
        <v>464</v>
      </c>
      <c r="D185" s="12">
        <v>1.0269999999999999</v>
      </c>
      <c r="I185" s="12"/>
    </row>
    <row r="186" spans="2:9" ht="15.75">
      <c r="B186" s="12">
        <v>1026</v>
      </c>
      <c r="C186" s="12" t="s">
        <v>465</v>
      </c>
      <c r="D186" s="12">
        <v>1.026</v>
      </c>
      <c r="I186" s="12"/>
    </row>
    <row r="187" spans="2:9" ht="15.75">
      <c r="B187" s="12">
        <v>1025</v>
      </c>
      <c r="C187" s="12" t="s">
        <v>466</v>
      </c>
      <c r="D187" s="12">
        <v>1.0249999999999999</v>
      </c>
      <c r="I187" s="12"/>
    </row>
    <row r="188" spans="2:9" ht="15.75">
      <c r="B188" s="12">
        <v>1024</v>
      </c>
      <c r="C188" s="12" t="s">
        <v>467</v>
      </c>
      <c r="D188" s="12">
        <v>1.024</v>
      </c>
      <c r="I188" s="12"/>
    </row>
    <row r="189" spans="2:9" ht="15.75">
      <c r="B189" s="12">
        <v>1023</v>
      </c>
      <c r="C189" s="12" t="s">
        <v>468</v>
      </c>
      <c r="D189" s="12">
        <v>1.0229999999999999</v>
      </c>
      <c r="I189" s="12"/>
    </row>
    <row r="190" spans="2:9" ht="15.75">
      <c r="B190" s="12">
        <v>1022</v>
      </c>
      <c r="C190" s="12" t="s">
        <v>469</v>
      </c>
      <c r="D190" s="12">
        <v>1.022</v>
      </c>
      <c r="I190" s="12"/>
    </row>
    <row r="191" spans="2:9" ht="15.75">
      <c r="B191" s="12">
        <v>1021</v>
      </c>
      <c r="C191" s="12" t="s">
        <v>470</v>
      </c>
      <c r="D191" s="12">
        <v>1.0209999999999999</v>
      </c>
      <c r="I191" s="12"/>
    </row>
    <row r="192" spans="2:9" ht="15.75">
      <c r="B192" s="12">
        <v>1020</v>
      </c>
      <c r="C192" s="12" t="s">
        <v>471</v>
      </c>
      <c r="D192" s="12">
        <v>1.02</v>
      </c>
      <c r="I192" s="12"/>
    </row>
    <row r="193" spans="2:9" ht="15.75">
      <c r="B193" s="12">
        <v>1019</v>
      </c>
      <c r="C193" s="12" t="s">
        <v>472</v>
      </c>
      <c r="D193" s="12">
        <v>1.0189999999999999</v>
      </c>
      <c r="I193" s="12"/>
    </row>
    <row r="194" spans="2:9" ht="15.75">
      <c r="B194" s="12">
        <v>1018</v>
      </c>
      <c r="C194" s="12" t="s">
        <v>473</v>
      </c>
      <c r="D194" s="12">
        <v>1.018</v>
      </c>
      <c r="I194" s="12"/>
    </row>
    <row r="195" spans="2:9" ht="15.75">
      <c r="B195" s="12">
        <v>1017</v>
      </c>
      <c r="C195" s="12" t="s">
        <v>474</v>
      </c>
      <c r="D195" s="12">
        <v>1.0169999999999999</v>
      </c>
      <c r="I195" s="12"/>
    </row>
    <row r="196" spans="2:9" ht="15.75">
      <c r="B196" s="12">
        <v>1016</v>
      </c>
      <c r="C196" s="12" t="s">
        <v>475</v>
      </c>
      <c r="D196" s="12">
        <v>1.016</v>
      </c>
      <c r="I196" s="12"/>
    </row>
    <row r="197" spans="2:9" ht="15.75">
      <c r="B197" s="12">
        <v>1015</v>
      </c>
      <c r="C197" s="12" t="s">
        <v>476</v>
      </c>
      <c r="D197" s="12">
        <v>1.0149999999999999</v>
      </c>
      <c r="I197" s="12"/>
    </row>
    <row r="198" spans="2:9" ht="15.75">
      <c r="B198" s="12">
        <v>1014</v>
      </c>
      <c r="C198" s="12" t="s">
        <v>477</v>
      </c>
      <c r="D198" s="12">
        <v>1.014</v>
      </c>
      <c r="I198" s="12"/>
    </row>
    <row r="199" spans="2:9" ht="15.75">
      <c r="B199" s="12">
        <v>1013</v>
      </c>
      <c r="C199" s="12" t="s">
        <v>478</v>
      </c>
      <c r="D199" s="12">
        <v>1.0129999999999999</v>
      </c>
      <c r="I199" s="12"/>
    </row>
    <row r="200" spans="2:9" ht="15.75">
      <c r="B200" s="12">
        <v>1012</v>
      </c>
      <c r="C200" s="12" t="s">
        <v>479</v>
      </c>
      <c r="D200" s="12">
        <v>1.012</v>
      </c>
      <c r="I200" s="12"/>
    </row>
    <row r="201" spans="2:9" ht="15.75">
      <c r="B201" s="12">
        <v>1011</v>
      </c>
      <c r="C201" s="12" t="s">
        <v>480</v>
      </c>
      <c r="D201" s="12">
        <v>1.0109999999999999</v>
      </c>
      <c r="I201" s="12"/>
    </row>
    <row r="202" spans="2:9" ht="15.75">
      <c r="B202" s="12">
        <v>1010</v>
      </c>
      <c r="C202" s="12" t="s">
        <v>481</v>
      </c>
      <c r="D202" s="12">
        <v>1.01</v>
      </c>
      <c r="I202" s="12"/>
    </row>
    <row r="203" spans="2:9" ht="15.75">
      <c r="B203" s="12">
        <v>1009</v>
      </c>
      <c r="C203" s="12" t="s">
        <v>482</v>
      </c>
      <c r="D203" s="12">
        <v>1.0089999999999999</v>
      </c>
      <c r="I203" s="12"/>
    </row>
    <row r="204" spans="2:9" ht="15.75">
      <c r="B204" s="12">
        <v>1008</v>
      </c>
      <c r="C204" s="12" t="s">
        <v>483</v>
      </c>
      <c r="D204" s="12">
        <v>1.008</v>
      </c>
      <c r="I204" s="12"/>
    </row>
    <row r="205" spans="2:9" ht="15.75">
      <c r="B205" s="12">
        <v>1007</v>
      </c>
      <c r="C205" s="12" t="s">
        <v>484</v>
      </c>
      <c r="D205" s="12">
        <v>1.0069999999999999</v>
      </c>
      <c r="I205" s="12"/>
    </row>
    <row r="206" spans="2:9" ht="15.75">
      <c r="B206" s="12">
        <v>1006</v>
      </c>
      <c r="C206" s="12" t="s">
        <v>485</v>
      </c>
      <c r="D206" s="12">
        <v>1.006</v>
      </c>
      <c r="I206" s="12"/>
    </row>
    <row r="207" spans="2:9" ht="15.75">
      <c r="B207" s="12">
        <v>1005</v>
      </c>
      <c r="C207" s="12" t="s">
        <v>486</v>
      </c>
      <c r="D207" s="12">
        <v>1.0049999999999999</v>
      </c>
      <c r="I207" s="12"/>
    </row>
    <row r="208" spans="2:9" ht="15.75">
      <c r="B208" s="12">
        <v>1004</v>
      </c>
      <c r="C208" s="12" t="s">
        <v>487</v>
      </c>
      <c r="D208" s="12">
        <v>1.004</v>
      </c>
      <c r="I208" s="12"/>
    </row>
    <row r="209" spans="2:9" ht="15.75">
      <c r="B209" s="12">
        <v>1003</v>
      </c>
      <c r="C209" s="12" t="s">
        <v>488</v>
      </c>
      <c r="D209" s="12">
        <v>1.0029999999999999</v>
      </c>
      <c r="I209" s="12"/>
    </row>
    <row r="210" spans="2:9" ht="15.75">
      <c r="B210" s="12">
        <v>1002</v>
      </c>
      <c r="C210" s="12" t="s">
        <v>489</v>
      </c>
      <c r="D210" s="12">
        <v>1.002</v>
      </c>
      <c r="I210" s="12"/>
    </row>
    <row r="211" spans="2:9" ht="15.75">
      <c r="B211" s="12">
        <v>1001</v>
      </c>
      <c r="C211" s="12" t="s">
        <v>490</v>
      </c>
      <c r="D211" s="12">
        <v>1.0009999999999999</v>
      </c>
      <c r="I211" s="12"/>
    </row>
    <row r="212" spans="2:9" ht="15.75">
      <c r="B212" s="12">
        <v>1000</v>
      </c>
      <c r="C212" s="12" t="s">
        <v>491</v>
      </c>
      <c r="D212" s="12">
        <v>1</v>
      </c>
      <c r="I212" s="12"/>
    </row>
    <row r="213" spans="2:9" ht="15.75">
      <c r="B213" s="12">
        <v>999</v>
      </c>
      <c r="C213" s="12" t="s">
        <v>492</v>
      </c>
      <c r="D213" s="12">
        <v>0.999</v>
      </c>
      <c r="I213" s="12"/>
    </row>
    <row r="214" spans="2:9" ht="15.75">
      <c r="B214" s="12">
        <v>998</v>
      </c>
      <c r="C214" s="12" t="s">
        <v>493</v>
      </c>
      <c r="D214" s="12">
        <v>0.998</v>
      </c>
      <c r="I214" s="12"/>
    </row>
    <row r="215" spans="2:9" ht="15.75">
      <c r="B215" s="12">
        <v>997</v>
      </c>
      <c r="C215" s="12" t="s">
        <v>494</v>
      </c>
      <c r="D215" s="12">
        <v>0.997</v>
      </c>
      <c r="I215" s="12"/>
    </row>
    <row r="216" spans="2:9" ht="15.75">
      <c r="B216" s="12">
        <v>996</v>
      </c>
      <c r="C216" s="12" t="s">
        <v>495</v>
      </c>
      <c r="D216" s="12">
        <v>0.996</v>
      </c>
      <c r="I216" s="12"/>
    </row>
    <row r="217" spans="2:9" ht="15.75">
      <c r="B217" s="12">
        <v>995</v>
      </c>
      <c r="C217" s="12" t="s">
        <v>496</v>
      </c>
      <c r="D217" s="12">
        <v>0.995</v>
      </c>
      <c r="I217" s="12"/>
    </row>
    <row r="218" spans="2:9" ht="15.75">
      <c r="B218" s="12">
        <v>994</v>
      </c>
      <c r="C218" s="12" t="s">
        <v>497</v>
      </c>
      <c r="D218" s="12">
        <v>0.99399999999999999</v>
      </c>
      <c r="I218" s="12"/>
    </row>
    <row r="219" spans="2:9" ht="15.75">
      <c r="B219" s="12">
        <v>993</v>
      </c>
      <c r="C219" s="12" t="s">
        <v>498</v>
      </c>
      <c r="D219" s="12">
        <v>0.99299999999999999</v>
      </c>
      <c r="I219" s="12"/>
    </row>
    <row r="220" spans="2:9" ht="15.75">
      <c r="B220" s="12">
        <v>992</v>
      </c>
      <c r="C220" s="12" t="s">
        <v>499</v>
      </c>
      <c r="D220" s="12">
        <v>0.99199999999999999</v>
      </c>
      <c r="I220" s="12"/>
    </row>
    <row r="221" spans="2:9" ht="15.75">
      <c r="B221" s="12">
        <v>991</v>
      </c>
      <c r="C221" s="12" t="s">
        <v>500</v>
      </c>
      <c r="D221" s="12">
        <v>0.99099999999999999</v>
      </c>
      <c r="I221" s="12"/>
    </row>
    <row r="222" spans="2:9" ht="15.75">
      <c r="B222" s="12">
        <v>990</v>
      </c>
      <c r="C222" s="12" t="s">
        <v>501</v>
      </c>
      <c r="D222" s="12">
        <v>0.99</v>
      </c>
      <c r="I222" s="12"/>
    </row>
    <row r="223" spans="2:9" ht="15.75">
      <c r="B223" s="12">
        <v>989</v>
      </c>
      <c r="C223" s="12" t="s">
        <v>502</v>
      </c>
      <c r="D223" s="12">
        <v>0.98899999999999999</v>
      </c>
      <c r="I223" s="12"/>
    </row>
    <row r="224" spans="2:9" ht="15.75">
      <c r="B224" s="12">
        <v>988</v>
      </c>
      <c r="C224" s="12" t="s">
        <v>503</v>
      </c>
      <c r="D224" s="12">
        <v>0.98799999999999999</v>
      </c>
      <c r="I224" s="12"/>
    </row>
    <row r="225" spans="2:9" ht="15.75">
      <c r="B225" s="12">
        <v>987</v>
      </c>
      <c r="C225" s="12" t="s">
        <v>504</v>
      </c>
      <c r="D225" s="12">
        <v>0.98699999999999999</v>
      </c>
      <c r="I225" s="12"/>
    </row>
    <row r="226" spans="2:9" ht="15.75">
      <c r="B226" s="12">
        <v>986</v>
      </c>
      <c r="C226" s="12" t="s">
        <v>505</v>
      </c>
      <c r="D226" s="12">
        <v>0.98599999999999999</v>
      </c>
      <c r="I226" s="12"/>
    </row>
    <row r="227" spans="2:9" ht="15.75">
      <c r="B227" s="12">
        <v>985</v>
      </c>
      <c r="C227" s="12" t="s">
        <v>506</v>
      </c>
      <c r="D227" s="12">
        <v>0.98499999999999999</v>
      </c>
      <c r="I227" s="12"/>
    </row>
    <row r="228" spans="2:9" ht="15.75">
      <c r="B228" s="12">
        <v>984</v>
      </c>
      <c r="C228" s="12" t="s">
        <v>507</v>
      </c>
      <c r="D228" s="12">
        <v>0.98399999999999999</v>
      </c>
      <c r="I228" s="12"/>
    </row>
    <row r="229" spans="2:9" ht="15.75">
      <c r="B229" s="12">
        <v>983</v>
      </c>
      <c r="C229" s="12" t="s">
        <v>508</v>
      </c>
      <c r="D229" s="12">
        <v>0.98299999999999998</v>
      </c>
      <c r="I229" s="12"/>
    </row>
    <row r="230" spans="2:9" ht="15.75">
      <c r="B230" s="12">
        <v>982</v>
      </c>
      <c r="C230" s="12" t="s">
        <v>509</v>
      </c>
      <c r="D230" s="12">
        <v>0.98199999999999998</v>
      </c>
      <c r="I230" s="12"/>
    </row>
    <row r="231" spans="2:9" ht="15.75">
      <c r="B231" s="12">
        <v>981</v>
      </c>
      <c r="C231" s="12" t="s">
        <v>510</v>
      </c>
      <c r="D231" s="12">
        <v>0.98099999999999998</v>
      </c>
      <c r="I231" s="12"/>
    </row>
    <row r="232" spans="2:9" ht="15.75">
      <c r="B232" s="12">
        <v>980</v>
      </c>
      <c r="C232" s="12" t="s">
        <v>511</v>
      </c>
      <c r="D232" s="12">
        <v>0.98</v>
      </c>
      <c r="I232" s="12"/>
    </row>
    <row r="233" spans="2:9" ht="15.75">
      <c r="B233" s="12">
        <v>979</v>
      </c>
      <c r="C233" s="12" t="s">
        <v>512</v>
      </c>
      <c r="D233" s="12">
        <v>0.97899999999999998</v>
      </c>
      <c r="I233" s="12"/>
    </row>
    <row r="234" spans="2:9" ht="15.75">
      <c r="B234" s="12">
        <v>978</v>
      </c>
      <c r="C234" s="12" t="s">
        <v>513</v>
      </c>
      <c r="D234" s="12">
        <v>0.97799999999999998</v>
      </c>
      <c r="I234" s="12"/>
    </row>
    <row r="235" spans="2:9" ht="15.75">
      <c r="B235" s="12">
        <v>977</v>
      </c>
      <c r="C235" s="12" t="s">
        <v>514</v>
      </c>
      <c r="D235" s="12">
        <v>0.97699999999999998</v>
      </c>
      <c r="I235" s="12"/>
    </row>
    <row r="236" spans="2:9" ht="15.75">
      <c r="B236" s="12">
        <v>976</v>
      </c>
      <c r="C236" s="12" t="s">
        <v>515</v>
      </c>
      <c r="D236" s="12">
        <v>0.97599999999999998</v>
      </c>
      <c r="I236" s="12"/>
    </row>
    <row r="237" spans="2:9" ht="15.75">
      <c r="B237" s="12">
        <v>975</v>
      </c>
      <c r="C237" s="12" t="s">
        <v>516</v>
      </c>
      <c r="D237" s="12">
        <v>0.97499999999999998</v>
      </c>
      <c r="I237" s="12"/>
    </row>
    <row r="238" spans="2:9" ht="15.75">
      <c r="B238" s="12">
        <v>974</v>
      </c>
      <c r="C238" s="12" t="s">
        <v>517</v>
      </c>
      <c r="D238" s="12">
        <v>0.97399999999999998</v>
      </c>
      <c r="I238" s="12"/>
    </row>
    <row r="239" spans="2:9" ht="15.75">
      <c r="B239" s="12">
        <v>973</v>
      </c>
      <c r="C239" s="12" t="s">
        <v>518</v>
      </c>
      <c r="D239" s="12">
        <v>0.97299999999999998</v>
      </c>
      <c r="I239" s="12"/>
    </row>
    <row r="240" spans="2:9" ht="15.75">
      <c r="B240" s="12">
        <v>972</v>
      </c>
      <c r="C240" s="12" t="s">
        <v>519</v>
      </c>
      <c r="D240" s="12">
        <v>0.97199999999999998</v>
      </c>
      <c r="I240" s="12"/>
    </row>
    <row r="241" spans="2:9" ht="15.75">
      <c r="B241" s="12">
        <v>971</v>
      </c>
      <c r="C241" s="12" t="s">
        <v>520</v>
      </c>
      <c r="D241" s="12">
        <v>0.97099999999999997</v>
      </c>
      <c r="I241" s="12"/>
    </row>
    <row r="242" spans="2:9" ht="15.75">
      <c r="B242" s="12">
        <v>970</v>
      </c>
      <c r="C242" s="12" t="s">
        <v>521</v>
      </c>
      <c r="D242" s="12">
        <v>0.97</v>
      </c>
      <c r="I242" s="12"/>
    </row>
    <row r="243" spans="2:9" ht="15.75">
      <c r="B243" s="12">
        <v>969</v>
      </c>
      <c r="C243" s="12" t="s">
        <v>522</v>
      </c>
      <c r="D243" s="12">
        <v>0.96899999999999997</v>
      </c>
      <c r="I243" s="12"/>
    </row>
    <row r="244" spans="2:9" ht="15.75">
      <c r="B244" s="12">
        <v>968</v>
      </c>
      <c r="C244" s="12" t="s">
        <v>523</v>
      </c>
      <c r="D244" s="12">
        <v>0.96799999999999997</v>
      </c>
      <c r="I244" s="12"/>
    </row>
    <row r="245" spans="2:9" ht="15.75">
      <c r="B245" s="12">
        <v>967</v>
      </c>
      <c r="C245" s="12" t="s">
        <v>524</v>
      </c>
      <c r="D245" s="12">
        <v>0.96699999999999997</v>
      </c>
      <c r="I245" s="12"/>
    </row>
    <row r="246" spans="2:9" ht="15.75">
      <c r="B246" s="12">
        <v>966</v>
      </c>
      <c r="C246" s="12" t="s">
        <v>525</v>
      </c>
      <c r="D246" s="12">
        <v>0.96599999999999997</v>
      </c>
      <c r="I246" s="12"/>
    </row>
    <row r="247" spans="2:9" ht="15.75">
      <c r="B247" s="12">
        <v>965</v>
      </c>
      <c r="C247" s="12" t="s">
        <v>526</v>
      </c>
      <c r="D247" s="12">
        <v>0.96499999999999997</v>
      </c>
      <c r="I247" s="12"/>
    </row>
    <row r="248" spans="2:9" ht="15.75">
      <c r="B248" s="12">
        <v>964</v>
      </c>
      <c r="C248" s="12" t="s">
        <v>527</v>
      </c>
      <c r="D248" s="12">
        <v>0.96399999999999997</v>
      </c>
      <c r="I248" s="12"/>
    </row>
    <row r="249" spans="2:9" ht="15.75">
      <c r="B249" s="12">
        <v>963</v>
      </c>
      <c r="C249" s="12" t="s">
        <v>528</v>
      </c>
      <c r="D249" s="12">
        <v>0.96299999999999997</v>
      </c>
      <c r="I249" s="12"/>
    </row>
    <row r="250" spans="2:9" ht="15.75">
      <c r="B250" s="12">
        <v>962</v>
      </c>
      <c r="C250" s="12" t="s">
        <v>529</v>
      </c>
      <c r="D250" s="12">
        <v>0.96199999999999997</v>
      </c>
      <c r="I250" s="12"/>
    </row>
    <row r="251" spans="2:9" ht="15.75">
      <c r="B251" s="12">
        <v>961</v>
      </c>
      <c r="C251" s="12" t="s">
        <v>530</v>
      </c>
      <c r="D251" s="12">
        <v>0.96099999999999997</v>
      </c>
      <c r="I251" s="12"/>
    </row>
    <row r="252" spans="2:9" ht="15.75">
      <c r="B252" s="12">
        <v>960</v>
      </c>
      <c r="C252" s="12" t="s">
        <v>531</v>
      </c>
      <c r="D252" s="12">
        <v>0.96</v>
      </c>
      <c r="I252" s="12"/>
    </row>
    <row r="253" spans="2:9" ht="15.75">
      <c r="B253" s="12">
        <v>959</v>
      </c>
      <c r="C253" s="12" t="s">
        <v>1182</v>
      </c>
      <c r="D253" s="12">
        <v>0.95899999999999996</v>
      </c>
      <c r="I253" s="12"/>
    </row>
    <row r="254" spans="2:9" ht="15.75">
      <c r="B254" s="12">
        <v>958</v>
      </c>
      <c r="C254" s="12" t="s">
        <v>1183</v>
      </c>
      <c r="D254" s="12">
        <v>0.95799999999999996</v>
      </c>
      <c r="I254" s="12"/>
    </row>
    <row r="255" spans="2:9" ht="15.75">
      <c r="B255" s="12">
        <v>957</v>
      </c>
      <c r="C255" s="12" t="s">
        <v>1184</v>
      </c>
      <c r="D255" s="12">
        <v>0.95699999999999996</v>
      </c>
      <c r="I255" s="12"/>
    </row>
    <row r="256" spans="2:9" ht="15.75">
      <c r="B256" s="12">
        <v>956</v>
      </c>
      <c r="C256" s="12" t="s">
        <v>1185</v>
      </c>
      <c r="D256" s="12">
        <v>0.95599999999999996</v>
      </c>
      <c r="I256" s="12"/>
    </row>
    <row r="257" spans="2:9" ht="15.75">
      <c r="B257" s="12">
        <v>955</v>
      </c>
      <c r="C257" s="12" t="s">
        <v>1186</v>
      </c>
      <c r="D257" s="12">
        <v>0.95499999999999996</v>
      </c>
      <c r="I257" s="12"/>
    </row>
    <row r="258" spans="2:9" ht="15.75">
      <c r="B258" s="12">
        <v>954</v>
      </c>
      <c r="C258" s="12" t="s">
        <v>1187</v>
      </c>
      <c r="D258" s="12">
        <v>0.95399999999999996</v>
      </c>
      <c r="I258" s="12"/>
    </row>
    <row r="259" spans="2:9" ht="15.75">
      <c r="B259" s="12">
        <v>953</v>
      </c>
      <c r="C259" s="12" t="s">
        <v>1188</v>
      </c>
      <c r="D259" s="12">
        <v>0.95299999999999996</v>
      </c>
      <c r="I259" s="12"/>
    </row>
    <row r="260" spans="2:9" ht="15.75">
      <c r="B260" s="12">
        <v>952</v>
      </c>
      <c r="C260" s="12" t="s">
        <v>1189</v>
      </c>
      <c r="D260" s="12">
        <v>0.95199999999999996</v>
      </c>
      <c r="I260" s="12"/>
    </row>
    <row r="261" spans="2:9" ht="15.75">
      <c r="B261" s="12">
        <v>951</v>
      </c>
      <c r="C261" s="12" t="s">
        <v>1190</v>
      </c>
      <c r="D261" s="12">
        <v>0.95099999999999996</v>
      </c>
      <c r="I261" s="12"/>
    </row>
    <row r="262" spans="2:9" ht="15.75">
      <c r="B262" s="12">
        <v>950</v>
      </c>
      <c r="C262" s="12" t="s">
        <v>1191</v>
      </c>
      <c r="D262" s="12">
        <v>0.95</v>
      </c>
      <c r="I262" s="12"/>
    </row>
    <row r="263" spans="2:9" ht="15.75">
      <c r="B263" s="12">
        <v>949</v>
      </c>
      <c r="C263" s="12" t="s">
        <v>1192</v>
      </c>
      <c r="D263" s="12">
        <v>0.94899999999999995</v>
      </c>
      <c r="I263" s="12"/>
    </row>
    <row r="264" spans="2:9" ht="15.75">
      <c r="B264" s="12">
        <v>948</v>
      </c>
      <c r="C264" s="12" t="s">
        <v>1193</v>
      </c>
      <c r="D264" s="12">
        <v>0.94799999999999995</v>
      </c>
      <c r="I264" s="12"/>
    </row>
    <row r="265" spans="2:9" ht="15.75">
      <c r="B265" s="12">
        <v>947</v>
      </c>
      <c r="C265" s="12" t="s">
        <v>1194</v>
      </c>
      <c r="D265" s="12">
        <v>0.94699999999999995</v>
      </c>
      <c r="I265" s="12"/>
    </row>
    <row r="266" spans="2:9" ht="15.75">
      <c r="B266" s="12">
        <v>946</v>
      </c>
      <c r="C266" s="12" t="s">
        <v>1195</v>
      </c>
      <c r="D266" s="12">
        <v>0.94599999999999995</v>
      </c>
      <c r="I266" s="12"/>
    </row>
    <row r="267" spans="2:9" ht="15.75">
      <c r="B267" s="12">
        <v>945</v>
      </c>
      <c r="C267" s="12" t="s">
        <v>1196</v>
      </c>
      <c r="D267" s="12">
        <v>0.94499999999999995</v>
      </c>
      <c r="I267" s="12"/>
    </row>
    <row r="268" spans="2:9" ht="15.75">
      <c r="B268" s="12">
        <v>944</v>
      </c>
      <c r="C268" s="12" t="s">
        <v>1197</v>
      </c>
      <c r="D268" s="12">
        <v>0.94399999999999995</v>
      </c>
      <c r="I268" s="12"/>
    </row>
    <row r="269" spans="2:9" ht="15.75">
      <c r="B269" s="12">
        <v>943</v>
      </c>
      <c r="C269" s="12" t="s">
        <v>1198</v>
      </c>
      <c r="D269" s="12">
        <v>0.94299999999999995</v>
      </c>
      <c r="I269" s="12"/>
    </row>
    <row r="270" spans="2:9" ht="15.75">
      <c r="B270" s="12">
        <v>942</v>
      </c>
      <c r="C270" s="12" t="s">
        <v>1199</v>
      </c>
      <c r="D270" s="12">
        <v>0.94199999999999995</v>
      </c>
      <c r="I270" s="12"/>
    </row>
    <row r="271" spans="2:9" ht="15.75">
      <c r="B271" s="12">
        <v>941</v>
      </c>
      <c r="C271" s="12" t="s">
        <v>1200</v>
      </c>
      <c r="D271" s="12">
        <v>0.94099999999999995</v>
      </c>
      <c r="I271" s="12"/>
    </row>
    <row r="272" spans="2:9" ht="15.75">
      <c r="B272" s="12">
        <v>940</v>
      </c>
      <c r="C272" s="12" t="s">
        <v>1201</v>
      </c>
      <c r="D272" s="12">
        <v>0.94</v>
      </c>
      <c r="I272" s="12"/>
    </row>
    <row r="273" spans="2:9" ht="15.75">
      <c r="B273" s="12">
        <v>939</v>
      </c>
      <c r="C273" s="12" t="s">
        <v>1202</v>
      </c>
      <c r="D273" s="12">
        <v>0.93899999999999995</v>
      </c>
      <c r="I273" s="12"/>
    </row>
    <row r="274" spans="2:9" ht="15.75">
      <c r="B274" s="12">
        <v>938</v>
      </c>
      <c r="C274" s="12" t="s">
        <v>1203</v>
      </c>
      <c r="D274" s="12">
        <v>0.93799999999999994</v>
      </c>
      <c r="I274" s="12"/>
    </row>
    <row r="275" spans="2:9" ht="15.75">
      <c r="B275" s="12">
        <v>937</v>
      </c>
      <c r="C275" s="12" t="s">
        <v>1204</v>
      </c>
      <c r="D275" s="12">
        <v>0.93700000000000006</v>
      </c>
      <c r="I275" s="12"/>
    </row>
    <row r="276" spans="2:9" ht="15.75">
      <c r="B276" s="12">
        <v>936</v>
      </c>
      <c r="C276" s="12" t="s">
        <v>1205</v>
      </c>
      <c r="D276" s="12">
        <v>0.93600000000000005</v>
      </c>
      <c r="I276" s="12"/>
    </row>
    <row r="277" spans="2:9" ht="15.75">
      <c r="B277" s="12">
        <v>935</v>
      </c>
      <c r="C277" s="12" t="s">
        <v>1206</v>
      </c>
      <c r="D277" s="12">
        <v>0.93500000000000005</v>
      </c>
      <c r="I277" s="12"/>
    </row>
    <row r="278" spans="2:9" ht="15.75">
      <c r="B278" s="12">
        <v>934</v>
      </c>
      <c r="C278" s="12" t="s">
        <v>1207</v>
      </c>
      <c r="D278" s="12">
        <v>0.93400000000000005</v>
      </c>
      <c r="I278" s="12"/>
    </row>
    <row r="279" spans="2:9" ht="15.75">
      <c r="B279" s="12">
        <v>933</v>
      </c>
      <c r="C279" s="12" t="s">
        <v>1208</v>
      </c>
      <c r="D279" s="12">
        <v>0.93300000000000005</v>
      </c>
      <c r="I279" s="12"/>
    </row>
    <row r="280" spans="2:9" ht="15.75">
      <c r="B280" s="12">
        <v>932</v>
      </c>
      <c r="C280" s="12" t="s">
        <v>1209</v>
      </c>
      <c r="D280" s="12">
        <v>0.93200000000000005</v>
      </c>
      <c r="I280" s="12"/>
    </row>
    <row r="281" spans="2:9" ht="15.75">
      <c r="B281" s="12">
        <v>931</v>
      </c>
      <c r="C281" s="12" t="s">
        <v>1210</v>
      </c>
      <c r="D281" s="12">
        <v>0.93100000000000005</v>
      </c>
      <c r="I281" s="12"/>
    </row>
    <row r="282" spans="2:9" ht="15.75">
      <c r="B282" s="12">
        <v>930</v>
      </c>
      <c r="C282" s="12" t="s">
        <v>1211</v>
      </c>
      <c r="D282" s="12">
        <v>0.93</v>
      </c>
      <c r="I282" s="12"/>
    </row>
    <row r="283" spans="2:9" ht="15.75">
      <c r="B283" s="12">
        <v>929</v>
      </c>
      <c r="C283" s="12" t="s">
        <v>1212</v>
      </c>
      <c r="D283" s="12">
        <v>0.92900000000000005</v>
      </c>
      <c r="I283" s="12"/>
    </row>
    <row r="284" spans="2:9" ht="15.75">
      <c r="B284" s="12">
        <v>928</v>
      </c>
      <c r="C284" s="12" t="s">
        <v>1213</v>
      </c>
      <c r="D284" s="12">
        <v>0.92800000000000005</v>
      </c>
      <c r="I284" s="12"/>
    </row>
    <row r="285" spans="2:9" ht="15.75">
      <c r="B285" s="12">
        <v>927</v>
      </c>
      <c r="C285" s="12" t="s">
        <v>1214</v>
      </c>
      <c r="D285" s="12">
        <v>0.92700000000000005</v>
      </c>
      <c r="I285" s="12"/>
    </row>
    <row r="286" spans="2:9" ht="15.75">
      <c r="B286" s="12">
        <v>926</v>
      </c>
      <c r="C286" s="12" t="s">
        <v>1215</v>
      </c>
      <c r="D286" s="12">
        <v>0.92600000000000005</v>
      </c>
      <c r="I286" s="12"/>
    </row>
    <row r="287" spans="2:9" ht="15.75">
      <c r="B287" s="12">
        <v>925</v>
      </c>
      <c r="C287" s="12" t="s">
        <v>1216</v>
      </c>
      <c r="D287" s="12">
        <v>0.92500000000000004</v>
      </c>
      <c r="I287" s="12"/>
    </row>
    <row r="288" spans="2:9" ht="15.75">
      <c r="B288" s="12">
        <v>924</v>
      </c>
      <c r="C288" s="12" t="s">
        <v>1217</v>
      </c>
      <c r="D288" s="12">
        <v>0.92400000000000004</v>
      </c>
      <c r="I288" s="12"/>
    </row>
    <row r="289" spans="2:9" ht="15.75">
      <c r="B289" s="12">
        <v>923</v>
      </c>
      <c r="C289" s="12" t="s">
        <v>1218</v>
      </c>
      <c r="D289" s="12">
        <v>0.92300000000000004</v>
      </c>
      <c r="I289" s="12"/>
    </row>
    <row r="290" spans="2:9" ht="15.75">
      <c r="B290" s="12">
        <v>922</v>
      </c>
      <c r="C290" s="12" t="s">
        <v>1219</v>
      </c>
      <c r="D290" s="12">
        <v>0.92200000000000004</v>
      </c>
      <c r="I290" s="12"/>
    </row>
    <row r="291" spans="2:9" ht="15.75">
      <c r="B291" s="12">
        <v>921</v>
      </c>
      <c r="C291" s="12" t="s">
        <v>1220</v>
      </c>
      <c r="D291" s="12">
        <v>0.92100000000000004</v>
      </c>
      <c r="I291" s="12"/>
    </row>
    <row r="292" spans="2:9" ht="15.75">
      <c r="B292" s="12">
        <v>920</v>
      </c>
      <c r="C292" s="12" t="s">
        <v>1221</v>
      </c>
      <c r="D292" s="12">
        <v>0.92</v>
      </c>
      <c r="I292" s="12"/>
    </row>
    <row r="293" spans="2:9" ht="15.75">
      <c r="B293" s="12">
        <v>919</v>
      </c>
      <c r="C293" s="12" t="s">
        <v>1222</v>
      </c>
      <c r="D293" s="12">
        <v>0.91900000000000004</v>
      </c>
      <c r="I293" s="12"/>
    </row>
    <row r="294" spans="2:9" ht="15.75">
      <c r="B294" s="12">
        <v>918</v>
      </c>
      <c r="C294" s="12" t="s">
        <v>1223</v>
      </c>
      <c r="D294" s="12">
        <v>0.91800000000000004</v>
      </c>
      <c r="I294" s="12"/>
    </row>
    <row r="295" spans="2:9" ht="15.75">
      <c r="B295" s="12">
        <v>917</v>
      </c>
      <c r="C295" s="12" t="s">
        <v>1224</v>
      </c>
      <c r="D295" s="12">
        <v>0.91700000000000004</v>
      </c>
      <c r="I295" s="12"/>
    </row>
    <row r="296" spans="2:9" ht="15.75">
      <c r="B296" s="12">
        <v>916</v>
      </c>
      <c r="C296" s="12" t="s">
        <v>1225</v>
      </c>
      <c r="D296" s="12">
        <v>0.91600000000000004</v>
      </c>
      <c r="I296" s="12"/>
    </row>
    <row r="297" spans="2:9" ht="15.75">
      <c r="B297" s="12">
        <v>915</v>
      </c>
      <c r="C297" s="12" t="s">
        <v>1226</v>
      </c>
      <c r="D297" s="12">
        <v>0.91500000000000004</v>
      </c>
      <c r="I297" s="12"/>
    </row>
    <row r="298" spans="2:9" ht="15.75">
      <c r="B298" s="12">
        <v>914</v>
      </c>
      <c r="C298" s="12" t="s">
        <v>1227</v>
      </c>
      <c r="D298" s="12">
        <v>0.91400000000000003</v>
      </c>
      <c r="I298" s="12"/>
    </row>
    <row r="299" spans="2:9" ht="15.75">
      <c r="B299" s="12">
        <v>913</v>
      </c>
      <c r="C299" s="12" t="s">
        <v>1228</v>
      </c>
      <c r="D299" s="12">
        <v>0.91300000000000003</v>
      </c>
      <c r="I299" s="12"/>
    </row>
    <row r="300" spans="2:9" ht="15.75">
      <c r="B300" s="12">
        <v>912</v>
      </c>
      <c r="C300" s="12" t="s">
        <v>1229</v>
      </c>
      <c r="D300" s="12">
        <v>0.91200000000000003</v>
      </c>
      <c r="I300" s="12"/>
    </row>
    <row r="301" spans="2:9" ht="15.75">
      <c r="B301" s="12">
        <v>911</v>
      </c>
      <c r="C301" s="12" t="s">
        <v>1230</v>
      </c>
      <c r="D301" s="12">
        <v>0.91100000000000003</v>
      </c>
      <c r="I301" s="12"/>
    </row>
    <row r="302" spans="2:9" ht="15.75">
      <c r="B302" s="12">
        <v>910</v>
      </c>
      <c r="C302" s="12" t="s">
        <v>1231</v>
      </c>
      <c r="D302" s="12">
        <v>0.91</v>
      </c>
      <c r="I302" s="12"/>
    </row>
    <row r="303" spans="2:9" ht="15.75">
      <c r="B303" s="12">
        <v>909</v>
      </c>
      <c r="C303" s="12" t="s">
        <v>1232</v>
      </c>
      <c r="D303" s="12">
        <v>0.90900000000000003</v>
      </c>
      <c r="I303" s="12"/>
    </row>
    <row r="304" spans="2:9" ht="15.75">
      <c r="B304" s="12">
        <v>908</v>
      </c>
      <c r="C304" s="12" t="s">
        <v>1233</v>
      </c>
      <c r="D304" s="12">
        <v>0.90800000000000003</v>
      </c>
      <c r="I304" s="12"/>
    </row>
    <row r="305" spans="2:9" ht="15.75">
      <c r="B305" s="12">
        <v>907</v>
      </c>
      <c r="C305" s="12" t="s">
        <v>1234</v>
      </c>
      <c r="D305" s="12">
        <v>0.90700000000000003</v>
      </c>
      <c r="I305" s="12"/>
    </row>
    <row r="306" spans="2:9" ht="15.75">
      <c r="B306" s="12">
        <v>906</v>
      </c>
      <c r="C306" s="12" t="s">
        <v>1235</v>
      </c>
      <c r="D306" s="12">
        <v>0.90600000000000003</v>
      </c>
      <c r="I306" s="12"/>
    </row>
    <row r="307" spans="2:9" ht="15.75">
      <c r="B307" s="12">
        <v>905</v>
      </c>
      <c r="C307" s="12" t="s">
        <v>1236</v>
      </c>
      <c r="D307" s="12">
        <v>0.90500000000000003</v>
      </c>
      <c r="I307" s="12"/>
    </row>
    <row r="308" spans="2:9" ht="15.75">
      <c r="B308" s="12">
        <v>904</v>
      </c>
      <c r="C308" s="12" t="s">
        <v>1237</v>
      </c>
      <c r="D308" s="12">
        <v>0.90400000000000003</v>
      </c>
      <c r="I308" s="12"/>
    </row>
    <row r="309" spans="2:9" ht="15.75">
      <c r="B309" s="12">
        <v>903</v>
      </c>
      <c r="C309" s="12" t="s">
        <v>1238</v>
      </c>
      <c r="D309" s="12">
        <v>0.90300000000000002</v>
      </c>
      <c r="I309" s="12"/>
    </row>
    <row r="310" spans="2:9" ht="15.75">
      <c r="B310" s="12">
        <v>902</v>
      </c>
      <c r="C310" s="12" t="s">
        <v>1239</v>
      </c>
      <c r="D310" s="12">
        <v>0.90200000000000002</v>
      </c>
      <c r="I310" s="12"/>
    </row>
    <row r="311" spans="2:9" ht="15.75">
      <c r="B311" s="12">
        <v>901</v>
      </c>
      <c r="C311" s="12" t="s">
        <v>1240</v>
      </c>
      <c r="D311" s="12">
        <v>0.90100000000000002</v>
      </c>
      <c r="I311" s="12"/>
    </row>
    <row r="312" spans="2:9" ht="15.75">
      <c r="B312" s="12">
        <v>900</v>
      </c>
      <c r="C312" s="12" t="s">
        <v>1241</v>
      </c>
      <c r="D312" s="12">
        <v>0.9</v>
      </c>
      <c r="I312" s="12"/>
    </row>
    <row r="313" spans="2:9" ht="15.75">
      <c r="B313" s="12">
        <v>899</v>
      </c>
      <c r="C313" s="12" t="s">
        <v>1242</v>
      </c>
      <c r="D313" s="12">
        <v>0.89900000000000002</v>
      </c>
      <c r="I313" s="12"/>
    </row>
    <row r="314" spans="2:9" ht="15.75">
      <c r="B314" s="12">
        <v>898</v>
      </c>
      <c r="C314" s="12" t="s">
        <v>1243</v>
      </c>
      <c r="D314" s="12">
        <v>0.89800000000000002</v>
      </c>
      <c r="I314" s="12"/>
    </row>
    <row r="315" spans="2:9" ht="15.75">
      <c r="B315" s="12">
        <v>897</v>
      </c>
      <c r="C315" s="12" t="s">
        <v>1244</v>
      </c>
      <c r="D315" s="12">
        <v>0.89700000000000002</v>
      </c>
      <c r="I315" s="12"/>
    </row>
    <row r="316" spans="2:9" ht="15.75">
      <c r="B316" s="12">
        <v>896</v>
      </c>
      <c r="C316" s="12" t="s">
        <v>1245</v>
      </c>
      <c r="D316" s="12">
        <v>0.89600000000000002</v>
      </c>
      <c r="I316" s="12"/>
    </row>
    <row r="317" spans="2:9" ht="15.75">
      <c r="B317" s="12">
        <v>895</v>
      </c>
      <c r="C317" s="12" t="s">
        <v>1246</v>
      </c>
      <c r="D317" s="12">
        <v>0.89500000000000002</v>
      </c>
      <c r="I317" s="12"/>
    </row>
    <row r="318" spans="2:9" ht="15.75">
      <c r="B318" s="12">
        <v>894</v>
      </c>
      <c r="C318" s="12" t="s">
        <v>1247</v>
      </c>
      <c r="D318" s="12">
        <v>0.89400000000000002</v>
      </c>
      <c r="I318" s="12"/>
    </row>
    <row r="319" spans="2:9" ht="15.75">
      <c r="B319" s="12">
        <v>893</v>
      </c>
      <c r="C319" s="12" t="s">
        <v>1248</v>
      </c>
      <c r="D319" s="12">
        <v>0.89300000000000002</v>
      </c>
      <c r="I319" s="12"/>
    </row>
    <row r="320" spans="2:9" ht="15.75">
      <c r="B320" s="12">
        <v>892</v>
      </c>
      <c r="C320" s="12" t="s">
        <v>1249</v>
      </c>
      <c r="D320" s="12">
        <v>0.89200000000000002</v>
      </c>
      <c r="I320" s="12"/>
    </row>
    <row r="321" spans="2:9" ht="15.75">
      <c r="B321" s="12">
        <v>891</v>
      </c>
      <c r="C321" s="12" t="s">
        <v>1250</v>
      </c>
      <c r="D321" s="12">
        <v>0.89100000000000001</v>
      </c>
      <c r="I321" s="12"/>
    </row>
    <row r="322" spans="2:9" ht="15.75">
      <c r="B322" s="12">
        <v>890</v>
      </c>
      <c r="C322" s="12" t="s">
        <v>1251</v>
      </c>
      <c r="D322" s="12">
        <v>0.89</v>
      </c>
      <c r="I322" s="12"/>
    </row>
    <row r="323" spans="2:9" ht="15.75">
      <c r="B323" s="12">
        <v>889</v>
      </c>
      <c r="C323" s="12" t="s">
        <v>1252</v>
      </c>
      <c r="D323" s="12">
        <v>0.88900000000000001</v>
      </c>
      <c r="I323" s="12"/>
    </row>
    <row r="324" spans="2:9" ht="15.75">
      <c r="B324" s="12">
        <v>888</v>
      </c>
      <c r="C324" s="12" t="s">
        <v>1253</v>
      </c>
      <c r="D324" s="12">
        <v>0.88800000000000001</v>
      </c>
      <c r="I324" s="12"/>
    </row>
    <row r="325" spans="2:9" ht="15.75">
      <c r="B325" s="12">
        <v>887</v>
      </c>
      <c r="C325" s="12" t="s">
        <v>1254</v>
      </c>
      <c r="D325" s="12">
        <v>0.88700000000000001</v>
      </c>
      <c r="I325" s="12"/>
    </row>
    <row r="326" spans="2:9" ht="15.75">
      <c r="B326" s="12">
        <v>886</v>
      </c>
      <c r="C326" s="12" t="s">
        <v>1255</v>
      </c>
      <c r="D326" s="12">
        <v>0.88600000000000001</v>
      </c>
      <c r="I326" s="12"/>
    </row>
    <row r="327" spans="2:9" ht="15.75">
      <c r="B327" s="12">
        <v>885</v>
      </c>
      <c r="C327" s="12" t="s">
        <v>1256</v>
      </c>
      <c r="D327" s="12">
        <v>0.88500000000000001</v>
      </c>
      <c r="I327" s="12"/>
    </row>
    <row r="328" spans="2:9" ht="15.75">
      <c r="B328" s="12">
        <v>884</v>
      </c>
      <c r="C328" s="12" t="s">
        <v>1257</v>
      </c>
      <c r="D328" s="12">
        <v>0.88400000000000001</v>
      </c>
      <c r="I328" s="12"/>
    </row>
    <row r="329" spans="2:9" ht="15.75">
      <c r="B329" s="12">
        <v>883</v>
      </c>
      <c r="C329" s="12" t="s">
        <v>1258</v>
      </c>
      <c r="D329" s="12">
        <v>0.88300000000000001</v>
      </c>
      <c r="I329" s="12"/>
    </row>
    <row r="330" spans="2:9" ht="15.75">
      <c r="B330" s="12">
        <v>882</v>
      </c>
      <c r="C330" s="12" t="s">
        <v>1259</v>
      </c>
      <c r="D330" s="12">
        <v>0.88200000000000001</v>
      </c>
      <c r="I330" s="12"/>
    </row>
    <row r="331" spans="2:9" ht="15.75">
      <c r="B331" s="12">
        <v>881</v>
      </c>
      <c r="C331" s="12" t="s">
        <v>1260</v>
      </c>
      <c r="D331" s="12">
        <v>0.88100000000000001</v>
      </c>
      <c r="I331" s="12"/>
    </row>
    <row r="332" spans="2:9" ht="15.75">
      <c r="B332" s="12">
        <v>880</v>
      </c>
      <c r="C332" s="12" t="s">
        <v>1261</v>
      </c>
      <c r="D332" s="12">
        <v>0.88</v>
      </c>
      <c r="I332" s="12"/>
    </row>
    <row r="333" spans="2:9" ht="15.75">
      <c r="B333" s="12">
        <v>879</v>
      </c>
      <c r="C333" s="12" t="s">
        <v>1262</v>
      </c>
      <c r="D333" s="12">
        <v>0.879</v>
      </c>
      <c r="I333" s="12"/>
    </row>
    <row r="334" spans="2:9" ht="15.75">
      <c r="B334" s="12">
        <v>878</v>
      </c>
      <c r="C334" s="12" t="s">
        <v>1263</v>
      </c>
      <c r="D334" s="12">
        <v>0.878</v>
      </c>
      <c r="I334" s="12"/>
    </row>
    <row r="335" spans="2:9" ht="15.75">
      <c r="B335" s="12">
        <v>877</v>
      </c>
      <c r="C335" s="12" t="s">
        <v>1264</v>
      </c>
      <c r="D335" s="12">
        <v>0.877</v>
      </c>
      <c r="I335" s="12"/>
    </row>
    <row r="336" spans="2:9" ht="15.75">
      <c r="B336" s="12">
        <v>876</v>
      </c>
      <c r="C336" s="12" t="s">
        <v>1265</v>
      </c>
      <c r="D336" s="12">
        <v>0.876</v>
      </c>
      <c r="I336" s="12"/>
    </row>
    <row r="337" spans="2:9" ht="15.75">
      <c r="B337" s="12">
        <v>875</v>
      </c>
      <c r="C337" s="12" t="s">
        <v>1266</v>
      </c>
      <c r="D337" s="12">
        <v>0.875</v>
      </c>
      <c r="I337" s="12"/>
    </row>
    <row r="338" spans="2:9" ht="15.75">
      <c r="B338" s="12">
        <v>874</v>
      </c>
      <c r="C338" s="12" t="s">
        <v>1267</v>
      </c>
      <c r="D338" s="12">
        <v>0.874</v>
      </c>
      <c r="I338" s="12"/>
    </row>
    <row r="339" spans="2:9" ht="15.75">
      <c r="B339" s="12">
        <v>873</v>
      </c>
      <c r="C339" s="12" t="s">
        <v>1268</v>
      </c>
      <c r="D339" s="12">
        <v>0.873</v>
      </c>
      <c r="I339" s="12"/>
    </row>
    <row r="340" spans="2:9" ht="15.75">
      <c r="B340" s="12">
        <v>872</v>
      </c>
      <c r="C340" s="12" t="s">
        <v>1269</v>
      </c>
      <c r="D340" s="12">
        <v>0.872</v>
      </c>
      <c r="I340" s="12"/>
    </row>
    <row r="341" spans="2:9" ht="15.75">
      <c r="B341" s="12">
        <v>871</v>
      </c>
      <c r="C341" s="12" t="s">
        <v>1270</v>
      </c>
      <c r="D341" s="12">
        <v>0.871</v>
      </c>
      <c r="I341" s="12"/>
    </row>
    <row r="342" spans="2:9" ht="15.75">
      <c r="B342" s="12">
        <v>870</v>
      </c>
      <c r="C342" s="12" t="s">
        <v>1271</v>
      </c>
      <c r="D342" s="12">
        <v>0.87</v>
      </c>
      <c r="I342" s="12"/>
    </row>
    <row r="343" spans="2:9" ht="15.75">
      <c r="B343" s="12">
        <v>869</v>
      </c>
      <c r="C343" s="12" t="s">
        <v>1272</v>
      </c>
      <c r="D343" s="12">
        <v>0.86899999999999999</v>
      </c>
      <c r="I343" s="12"/>
    </row>
    <row r="344" spans="2:9" ht="15.75">
      <c r="B344" s="12">
        <v>868</v>
      </c>
      <c r="C344" s="12" t="s">
        <v>1273</v>
      </c>
      <c r="D344" s="12">
        <v>0.86799999999999999</v>
      </c>
      <c r="I344" s="12"/>
    </row>
    <row r="345" spans="2:9" ht="15.75">
      <c r="B345" s="12">
        <v>867</v>
      </c>
      <c r="C345" s="12" t="s">
        <v>1274</v>
      </c>
      <c r="D345" s="12">
        <v>0.86699999999999999</v>
      </c>
      <c r="I345" s="12"/>
    </row>
    <row r="346" spans="2:9" ht="15.75">
      <c r="B346" s="12">
        <v>866</v>
      </c>
      <c r="C346" s="12" t="s">
        <v>1275</v>
      </c>
      <c r="D346" s="12">
        <v>0.86599999999999999</v>
      </c>
      <c r="I346" s="12"/>
    </row>
    <row r="347" spans="2:9" ht="15.75">
      <c r="B347" s="12">
        <v>865</v>
      </c>
      <c r="C347" s="12" t="s">
        <v>1276</v>
      </c>
      <c r="D347" s="12">
        <v>0.86499999999999999</v>
      </c>
      <c r="I347" s="12"/>
    </row>
    <row r="348" spans="2:9" ht="15.75">
      <c r="B348" s="12">
        <v>864</v>
      </c>
      <c r="C348" s="12" t="s">
        <v>1277</v>
      </c>
      <c r="D348" s="12">
        <v>0.86399999999999999</v>
      </c>
      <c r="I348" s="12"/>
    </row>
    <row r="349" spans="2:9" ht="15.75">
      <c r="B349" s="12">
        <v>863</v>
      </c>
      <c r="C349" s="12" t="s">
        <v>1278</v>
      </c>
      <c r="D349" s="12">
        <v>0.86299999999999999</v>
      </c>
      <c r="I349" s="12"/>
    </row>
    <row r="350" spans="2:9" ht="15.75">
      <c r="B350" s="12">
        <v>862</v>
      </c>
      <c r="C350" s="12" t="s">
        <v>1279</v>
      </c>
      <c r="D350" s="12">
        <v>0.86199999999999999</v>
      </c>
      <c r="I350" s="12"/>
    </row>
    <row r="351" spans="2:9" ht="15.75">
      <c r="B351" s="12">
        <v>861</v>
      </c>
      <c r="C351" s="12" t="s">
        <v>1280</v>
      </c>
      <c r="D351" s="12">
        <v>0.86099999999999999</v>
      </c>
      <c r="I351" s="12"/>
    </row>
    <row r="352" spans="2:9" ht="15.75">
      <c r="B352" s="12">
        <v>860</v>
      </c>
      <c r="C352" s="12" t="s">
        <v>1281</v>
      </c>
      <c r="D352" s="12">
        <v>0.86</v>
      </c>
      <c r="I352" s="12"/>
    </row>
    <row r="353" spans="2:9" ht="15.75">
      <c r="B353" s="12">
        <v>859</v>
      </c>
      <c r="C353" s="12" t="s">
        <v>1282</v>
      </c>
      <c r="D353" s="12">
        <v>0.85899999999999999</v>
      </c>
      <c r="I353" s="12"/>
    </row>
    <row r="354" spans="2:9" ht="15.75">
      <c r="B354" s="12">
        <v>858</v>
      </c>
      <c r="C354" s="12" t="s">
        <v>1283</v>
      </c>
      <c r="D354" s="12">
        <v>0.85799999999999998</v>
      </c>
      <c r="I354" s="12"/>
    </row>
    <row r="355" spans="2:9" ht="15.75">
      <c r="B355" s="12">
        <v>857</v>
      </c>
      <c r="C355" s="12" t="s">
        <v>1284</v>
      </c>
      <c r="D355" s="12">
        <v>0.85699999999999998</v>
      </c>
      <c r="I355" s="12"/>
    </row>
    <row r="356" spans="2:9" ht="15.75">
      <c r="B356" s="12">
        <v>856</v>
      </c>
      <c r="C356" s="12" t="s">
        <v>1285</v>
      </c>
      <c r="D356" s="12">
        <v>0.85599999999999998</v>
      </c>
      <c r="I356" s="12"/>
    </row>
    <row r="357" spans="2:9" ht="15.75">
      <c r="B357" s="12">
        <v>855</v>
      </c>
      <c r="C357" s="12" t="s">
        <v>1286</v>
      </c>
      <c r="D357" s="12">
        <v>0.85499999999999998</v>
      </c>
      <c r="I357" s="12"/>
    </row>
    <row r="358" spans="2:9" ht="15.75">
      <c r="B358" s="12">
        <v>854</v>
      </c>
      <c r="C358" s="12" t="s">
        <v>1287</v>
      </c>
      <c r="D358" s="12">
        <v>0.85399999999999998</v>
      </c>
      <c r="I358" s="12"/>
    </row>
    <row r="359" spans="2:9" ht="15.75">
      <c r="B359" s="12">
        <v>853</v>
      </c>
      <c r="C359" s="12" t="s">
        <v>1288</v>
      </c>
      <c r="D359" s="12">
        <v>0.85299999999999998</v>
      </c>
      <c r="I359" s="12"/>
    </row>
    <row r="360" spans="2:9" ht="15.75">
      <c r="B360" s="12">
        <v>852</v>
      </c>
      <c r="C360" s="12" t="s">
        <v>1289</v>
      </c>
      <c r="D360" s="12">
        <v>0.85199999999999998</v>
      </c>
      <c r="I360" s="12"/>
    </row>
    <row r="361" spans="2:9" ht="15.75">
      <c r="B361" s="12">
        <v>851</v>
      </c>
      <c r="C361" s="12" t="s">
        <v>1290</v>
      </c>
      <c r="D361" s="12">
        <v>0.85099999999999998</v>
      </c>
      <c r="I361" s="12"/>
    </row>
    <row r="362" spans="2:9" ht="15.75">
      <c r="B362" s="12">
        <v>850</v>
      </c>
      <c r="C362" s="12" t="s">
        <v>1291</v>
      </c>
      <c r="D362" s="12">
        <v>0.85</v>
      </c>
      <c r="I362" s="12"/>
    </row>
    <row r="363" spans="2:9" ht="15.75">
      <c r="B363" s="12">
        <v>849</v>
      </c>
      <c r="C363" s="12" t="s">
        <v>1292</v>
      </c>
      <c r="D363" s="12">
        <v>0.84899999999999998</v>
      </c>
      <c r="I363" s="12"/>
    </row>
    <row r="364" spans="2:9" ht="15.75">
      <c r="B364" s="12">
        <v>848</v>
      </c>
      <c r="C364" s="12" t="s">
        <v>1293</v>
      </c>
      <c r="D364" s="12">
        <v>0.84799999999999998</v>
      </c>
      <c r="I364" s="12"/>
    </row>
    <row r="365" spans="2:9" ht="15.75">
      <c r="B365" s="12">
        <v>847</v>
      </c>
      <c r="C365" s="12" t="s">
        <v>1294</v>
      </c>
      <c r="D365" s="12">
        <v>0.84699999999999998</v>
      </c>
      <c r="I365" s="12"/>
    </row>
    <row r="366" spans="2:9" ht="15.75">
      <c r="B366" s="12">
        <v>846</v>
      </c>
      <c r="C366" s="12" t="s">
        <v>1295</v>
      </c>
      <c r="D366" s="12">
        <v>0.84599999999999997</v>
      </c>
      <c r="I366" s="12"/>
    </row>
    <row r="367" spans="2:9" ht="15.75">
      <c r="B367" s="12">
        <v>845</v>
      </c>
      <c r="C367" s="12" t="s">
        <v>1296</v>
      </c>
      <c r="D367" s="12">
        <v>0.84499999999999997</v>
      </c>
      <c r="I367" s="12"/>
    </row>
    <row r="368" spans="2:9" ht="15.75">
      <c r="B368" s="12">
        <v>844</v>
      </c>
      <c r="C368" s="12" t="s">
        <v>1297</v>
      </c>
      <c r="D368" s="12">
        <v>0.84399999999999997</v>
      </c>
      <c r="I368" s="12"/>
    </row>
    <row r="369" spans="2:9" ht="15.75">
      <c r="B369" s="12">
        <v>843</v>
      </c>
      <c r="C369" s="12" t="s">
        <v>1298</v>
      </c>
      <c r="D369" s="12">
        <v>0.84299999999999997</v>
      </c>
      <c r="I369" s="12"/>
    </row>
    <row r="370" spans="2:9" ht="15.75">
      <c r="B370" s="12">
        <v>842</v>
      </c>
      <c r="C370" s="12" t="s">
        <v>1299</v>
      </c>
      <c r="D370" s="12">
        <v>0.84199999999999997</v>
      </c>
      <c r="I370" s="12"/>
    </row>
    <row r="371" spans="2:9" ht="15.75">
      <c r="B371" s="12">
        <v>841</v>
      </c>
      <c r="C371" s="12" t="s">
        <v>1300</v>
      </c>
      <c r="D371" s="12">
        <v>0.84099999999999997</v>
      </c>
      <c r="I371" s="12"/>
    </row>
    <row r="372" spans="2:9" ht="15.75">
      <c r="B372" s="12">
        <v>840</v>
      </c>
      <c r="C372" s="12" t="s">
        <v>1301</v>
      </c>
      <c r="D372" s="12">
        <v>0.84</v>
      </c>
      <c r="I372" s="12"/>
    </row>
    <row r="373" spans="2:9" ht="15.75">
      <c r="B373" s="12">
        <v>839</v>
      </c>
      <c r="C373" s="12" t="s">
        <v>1302</v>
      </c>
      <c r="D373" s="12">
        <v>0.83899999999999997</v>
      </c>
      <c r="I373" s="12"/>
    </row>
    <row r="374" spans="2:9" ht="15.75">
      <c r="B374" s="12">
        <v>838</v>
      </c>
      <c r="C374" s="12" t="s">
        <v>1303</v>
      </c>
      <c r="D374" s="12">
        <v>0.83799999999999997</v>
      </c>
      <c r="I374" s="12"/>
    </row>
    <row r="375" spans="2:9" ht="15.75">
      <c r="B375" s="12">
        <v>837</v>
      </c>
      <c r="C375" s="12" t="s">
        <v>1304</v>
      </c>
      <c r="D375" s="12">
        <v>0.83699999999999997</v>
      </c>
      <c r="I375" s="12"/>
    </row>
    <row r="376" spans="2:9" ht="15.75">
      <c r="B376" s="12">
        <v>836</v>
      </c>
      <c r="C376" s="12" t="s">
        <v>1305</v>
      </c>
      <c r="D376" s="12">
        <v>0.83599999999999997</v>
      </c>
      <c r="I376" s="12"/>
    </row>
    <row r="377" spans="2:9" ht="15.75">
      <c r="B377" s="12">
        <v>835</v>
      </c>
      <c r="C377" s="12" t="s">
        <v>1306</v>
      </c>
      <c r="D377" s="12">
        <v>0.83499999999999996</v>
      </c>
      <c r="I377" s="12"/>
    </row>
    <row r="378" spans="2:9" ht="15.75">
      <c r="B378" s="12">
        <v>834</v>
      </c>
      <c r="C378" s="12" t="s">
        <v>1307</v>
      </c>
      <c r="D378" s="12">
        <v>0.83399999999999996</v>
      </c>
      <c r="I378" s="12"/>
    </row>
    <row r="379" spans="2:9" ht="15.75">
      <c r="B379" s="12">
        <v>833</v>
      </c>
      <c r="C379" s="12" t="s">
        <v>1308</v>
      </c>
      <c r="D379" s="12">
        <v>0.83299999999999996</v>
      </c>
      <c r="I379" s="12"/>
    </row>
    <row r="380" spans="2:9" ht="15.75">
      <c r="B380" s="12">
        <v>832</v>
      </c>
      <c r="C380" s="12" t="s">
        <v>1309</v>
      </c>
      <c r="D380" s="12">
        <v>0.83199999999999996</v>
      </c>
      <c r="I380" s="12"/>
    </row>
    <row r="381" spans="2:9" ht="15.75">
      <c r="B381" s="12">
        <v>831</v>
      </c>
      <c r="C381" s="12" t="s">
        <v>1310</v>
      </c>
      <c r="D381" s="12">
        <v>0.83099999999999996</v>
      </c>
      <c r="I381" s="12"/>
    </row>
    <row r="382" spans="2:9" ht="15.75">
      <c r="B382" s="12">
        <v>830</v>
      </c>
      <c r="C382" s="12" t="s">
        <v>1311</v>
      </c>
      <c r="D382" s="12">
        <v>0.83</v>
      </c>
      <c r="I382" s="12"/>
    </row>
    <row r="383" spans="2:9" ht="15.75">
      <c r="B383" s="12">
        <v>829</v>
      </c>
      <c r="C383" s="12" t="s">
        <v>1312</v>
      </c>
      <c r="D383" s="12">
        <v>0.82899999999999996</v>
      </c>
      <c r="I383" s="12"/>
    </row>
    <row r="384" spans="2:9" ht="15.75">
      <c r="B384" s="12">
        <v>828</v>
      </c>
      <c r="C384" s="12" t="s">
        <v>1313</v>
      </c>
      <c r="D384" s="12">
        <v>0.82799999999999996</v>
      </c>
      <c r="I384" s="12"/>
    </row>
    <row r="385" spans="2:9" ht="15.75">
      <c r="B385" s="12">
        <v>827</v>
      </c>
      <c r="C385" s="12" t="s">
        <v>1314</v>
      </c>
      <c r="D385" s="12">
        <v>0.82699999999999996</v>
      </c>
      <c r="I385" s="12"/>
    </row>
    <row r="386" spans="2:9" ht="15.75">
      <c r="B386" s="12">
        <v>826</v>
      </c>
      <c r="C386" s="12" t="s">
        <v>1315</v>
      </c>
      <c r="D386" s="12">
        <v>0.82599999999999996</v>
      </c>
      <c r="I386" s="12"/>
    </row>
    <row r="387" spans="2:9" ht="15.75">
      <c r="B387" s="12">
        <v>825</v>
      </c>
      <c r="C387" s="12" t="s">
        <v>1316</v>
      </c>
      <c r="D387" s="12">
        <v>0.82499999999999996</v>
      </c>
      <c r="I387" s="12"/>
    </row>
    <row r="388" spans="2:9" ht="15.75">
      <c r="B388" s="12">
        <v>824</v>
      </c>
      <c r="C388" s="12" t="s">
        <v>1317</v>
      </c>
      <c r="D388" s="12">
        <v>0.82399999999999995</v>
      </c>
      <c r="I388" s="12"/>
    </row>
    <row r="389" spans="2:9" ht="15.75">
      <c r="B389" s="12">
        <v>823</v>
      </c>
      <c r="C389" s="12" t="s">
        <v>1318</v>
      </c>
      <c r="D389" s="12">
        <v>0.82299999999999995</v>
      </c>
      <c r="I389" s="12"/>
    </row>
    <row r="390" spans="2:9" ht="15.75">
      <c r="B390" s="12">
        <v>822</v>
      </c>
      <c r="C390" s="12" t="s">
        <v>1319</v>
      </c>
      <c r="D390" s="12">
        <v>0.82199999999999995</v>
      </c>
      <c r="I390" s="12"/>
    </row>
    <row r="391" spans="2:9" ht="15.75">
      <c r="B391" s="12">
        <v>821</v>
      </c>
      <c r="C391" s="12" t="s">
        <v>1320</v>
      </c>
      <c r="D391" s="12">
        <v>0.82099999999999995</v>
      </c>
      <c r="I391" s="12"/>
    </row>
    <row r="392" spans="2:9" ht="15.75">
      <c r="B392" s="12">
        <v>820</v>
      </c>
      <c r="C392" s="12" t="s">
        <v>1321</v>
      </c>
      <c r="D392" s="12">
        <v>0.82</v>
      </c>
      <c r="I392" s="12"/>
    </row>
    <row r="393" spans="2:9" ht="15.75">
      <c r="B393" s="12">
        <v>819</v>
      </c>
      <c r="C393" s="12" t="s">
        <v>1322</v>
      </c>
      <c r="D393" s="12">
        <v>0.81899999999999995</v>
      </c>
      <c r="I393" s="12"/>
    </row>
    <row r="394" spans="2:9" ht="15.75">
      <c r="B394" s="12">
        <v>818</v>
      </c>
      <c r="C394" s="12" t="s">
        <v>1323</v>
      </c>
      <c r="D394" s="12">
        <v>0.81799999999999995</v>
      </c>
      <c r="I394" s="12"/>
    </row>
    <row r="395" spans="2:9" ht="15.75">
      <c r="B395" s="12">
        <v>817</v>
      </c>
      <c r="C395" s="12" t="s">
        <v>1324</v>
      </c>
      <c r="D395" s="12">
        <v>0.81699999999999995</v>
      </c>
      <c r="I395" s="12"/>
    </row>
    <row r="396" spans="2:9" ht="15.75">
      <c r="B396" s="12">
        <v>816</v>
      </c>
      <c r="C396" s="12" t="s">
        <v>1325</v>
      </c>
      <c r="D396" s="12">
        <v>0.81599999999999995</v>
      </c>
      <c r="I396" s="12"/>
    </row>
    <row r="397" spans="2:9" ht="15.75">
      <c r="B397" s="12">
        <v>815</v>
      </c>
      <c r="C397" s="12" t="s">
        <v>1326</v>
      </c>
      <c r="D397" s="12">
        <v>0.81499999999999995</v>
      </c>
      <c r="I397" s="12"/>
    </row>
    <row r="398" spans="2:9" ht="15.75">
      <c r="B398" s="12">
        <v>814</v>
      </c>
      <c r="C398" s="12" t="s">
        <v>1327</v>
      </c>
      <c r="D398" s="12">
        <v>0.81399999999999995</v>
      </c>
      <c r="I398" s="12"/>
    </row>
    <row r="399" spans="2:9" ht="15.75">
      <c r="B399" s="12">
        <v>813</v>
      </c>
      <c r="C399" s="12" t="s">
        <v>1328</v>
      </c>
      <c r="D399" s="12">
        <v>0.81299999999999994</v>
      </c>
      <c r="I399" s="12"/>
    </row>
    <row r="400" spans="2:9" ht="15.75">
      <c r="B400" s="12">
        <v>812</v>
      </c>
      <c r="C400" s="12" t="s">
        <v>1329</v>
      </c>
      <c r="D400" s="12">
        <v>0.81200000000000006</v>
      </c>
      <c r="I400" s="12"/>
    </row>
    <row r="401" spans="2:9" ht="15.75">
      <c r="B401" s="12">
        <v>811</v>
      </c>
      <c r="C401" s="12" t="s">
        <v>1330</v>
      </c>
      <c r="D401" s="12">
        <v>0.81100000000000005</v>
      </c>
      <c r="I401" s="12"/>
    </row>
    <row r="402" spans="2:9" ht="15.75">
      <c r="B402" s="12">
        <v>810</v>
      </c>
      <c r="C402" s="12" t="s">
        <v>1331</v>
      </c>
      <c r="D402" s="12">
        <v>0.81</v>
      </c>
      <c r="I402" s="12"/>
    </row>
    <row r="403" spans="2:9" ht="15.75">
      <c r="B403" s="12">
        <v>809</v>
      </c>
      <c r="C403" s="12" t="s">
        <v>1332</v>
      </c>
      <c r="D403" s="12">
        <v>0.80900000000000005</v>
      </c>
      <c r="I403" s="12"/>
    </row>
    <row r="404" spans="2:9" ht="15.75">
      <c r="B404" s="12">
        <v>808</v>
      </c>
      <c r="C404" s="12" t="s">
        <v>1333</v>
      </c>
      <c r="D404" s="12">
        <v>0.80800000000000005</v>
      </c>
      <c r="I404" s="12"/>
    </row>
    <row r="405" spans="2:9" ht="15.75">
      <c r="B405" s="12">
        <v>807</v>
      </c>
      <c r="C405" s="12" t="s">
        <v>1334</v>
      </c>
      <c r="D405" s="12">
        <v>0.80700000000000005</v>
      </c>
      <c r="I405" s="12"/>
    </row>
    <row r="406" spans="2:9" ht="15.75">
      <c r="B406" s="12">
        <v>806</v>
      </c>
      <c r="C406" s="12" t="s">
        <v>1335</v>
      </c>
      <c r="D406" s="12">
        <v>0.80600000000000005</v>
      </c>
      <c r="I406" s="12"/>
    </row>
    <row r="407" spans="2:9" ht="15.75">
      <c r="B407" s="12">
        <v>805</v>
      </c>
      <c r="C407" s="12" t="s">
        <v>1336</v>
      </c>
      <c r="D407" s="12">
        <v>0.80500000000000005</v>
      </c>
      <c r="I407" s="12"/>
    </row>
    <row r="408" spans="2:9" ht="15.75">
      <c r="B408" s="12">
        <v>804</v>
      </c>
      <c r="C408" s="12" t="s">
        <v>1337</v>
      </c>
      <c r="D408" s="12">
        <v>0.80400000000000005</v>
      </c>
      <c r="I408" s="12"/>
    </row>
    <row r="409" spans="2:9" ht="15.75">
      <c r="B409" s="12">
        <v>803</v>
      </c>
      <c r="C409" s="12" t="s">
        <v>1338</v>
      </c>
      <c r="D409" s="12">
        <v>0.80300000000000005</v>
      </c>
      <c r="I409" s="12"/>
    </row>
    <row r="410" spans="2:9" ht="15.75">
      <c r="B410" s="12">
        <v>802</v>
      </c>
      <c r="C410" s="12" t="s">
        <v>995</v>
      </c>
      <c r="D410" s="12">
        <v>0.80200000000000005</v>
      </c>
      <c r="I410" s="12"/>
    </row>
    <row r="411" spans="2:9" ht="15.75">
      <c r="B411" s="12">
        <v>801</v>
      </c>
      <c r="C411" s="12" t="s">
        <v>1339</v>
      </c>
      <c r="D411" s="12">
        <v>0.80100000000000005</v>
      </c>
      <c r="I411" s="12"/>
    </row>
    <row r="412" spans="2:9" ht="15.75">
      <c r="B412" s="12">
        <v>800</v>
      </c>
      <c r="C412" s="12" t="s">
        <v>1340</v>
      </c>
      <c r="D412" s="12">
        <v>0.8</v>
      </c>
      <c r="I412" s="12"/>
    </row>
    <row r="413" spans="2:9" ht="15.75">
      <c r="B413" s="12">
        <v>799</v>
      </c>
      <c r="C413" s="12" t="s">
        <v>1341</v>
      </c>
      <c r="D413" s="12">
        <v>0.79900000000000004</v>
      </c>
      <c r="I413" s="12"/>
    </row>
    <row r="414" spans="2:9" ht="15.75">
      <c r="B414" s="12">
        <v>798</v>
      </c>
      <c r="C414" s="12" t="s">
        <v>1342</v>
      </c>
      <c r="D414" s="12">
        <v>0.79800000000000004</v>
      </c>
      <c r="I414" s="12"/>
    </row>
    <row r="415" spans="2:9" ht="15.75">
      <c r="B415" s="12">
        <v>797</v>
      </c>
      <c r="C415" s="12" t="s">
        <v>1343</v>
      </c>
      <c r="D415" s="12">
        <v>0.79700000000000004</v>
      </c>
      <c r="I415" s="12"/>
    </row>
    <row r="416" spans="2:9" ht="15.75">
      <c r="B416" s="12">
        <v>796</v>
      </c>
      <c r="C416" s="12" t="s">
        <v>1344</v>
      </c>
      <c r="D416" s="12">
        <v>0.79600000000000004</v>
      </c>
      <c r="I416" s="12"/>
    </row>
    <row r="417" spans="2:9" ht="15.75">
      <c r="B417" s="12">
        <v>795</v>
      </c>
      <c r="C417" s="12" t="s">
        <v>1345</v>
      </c>
      <c r="D417" s="12">
        <v>0.79500000000000004</v>
      </c>
      <c r="I417" s="12"/>
    </row>
    <row r="418" spans="2:9" ht="15.75">
      <c r="B418" s="12">
        <v>794</v>
      </c>
      <c r="C418" s="12" t="s">
        <v>1346</v>
      </c>
      <c r="D418" s="12">
        <v>0.79400000000000004</v>
      </c>
      <c r="I418" s="12"/>
    </row>
    <row r="419" spans="2:9" ht="15.75">
      <c r="B419" s="12">
        <v>793</v>
      </c>
      <c r="C419" s="12" t="s">
        <v>1347</v>
      </c>
      <c r="D419" s="12">
        <v>0.79300000000000004</v>
      </c>
      <c r="I419" s="12"/>
    </row>
    <row r="420" spans="2:9" ht="15.75">
      <c r="B420" s="12">
        <v>792</v>
      </c>
      <c r="C420" s="12" t="s">
        <v>1348</v>
      </c>
      <c r="D420" s="12">
        <v>0.79200000000000004</v>
      </c>
      <c r="I420" s="12"/>
    </row>
    <row r="421" spans="2:9" ht="15.75">
      <c r="B421" s="12">
        <v>791</v>
      </c>
      <c r="C421" s="12" t="s">
        <v>1349</v>
      </c>
      <c r="D421" s="12">
        <v>0.79100000000000004</v>
      </c>
      <c r="I421" s="12"/>
    </row>
    <row r="422" spans="2:9" ht="15.75">
      <c r="B422" s="12">
        <v>790</v>
      </c>
      <c r="C422" s="12" t="s">
        <v>1350</v>
      </c>
      <c r="D422" s="12">
        <v>0.79</v>
      </c>
      <c r="I422" s="12"/>
    </row>
    <row r="423" spans="2:9" ht="15.75">
      <c r="B423" s="12">
        <v>789</v>
      </c>
      <c r="C423" s="12" t="s">
        <v>1351</v>
      </c>
      <c r="D423" s="12">
        <v>0.78900000000000003</v>
      </c>
      <c r="I423" s="12"/>
    </row>
    <row r="424" spans="2:9" ht="15.75">
      <c r="B424" s="12">
        <v>788</v>
      </c>
      <c r="C424" s="12" t="s">
        <v>1352</v>
      </c>
      <c r="D424" s="12">
        <v>0.78800000000000003</v>
      </c>
      <c r="I424" s="12"/>
    </row>
    <row r="425" spans="2:9" ht="15.75">
      <c r="B425" s="12">
        <v>787</v>
      </c>
      <c r="C425" s="12" t="s">
        <v>1353</v>
      </c>
      <c r="D425" s="12">
        <v>0.78700000000000003</v>
      </c>
      <c r="I425" s="12"/>
    </row>
    <row r="426" spans="2:9" ht="15.75">
      <c r="B426" s="12">
        <v>786</v>
      </c>
      <c r="C426" s="12" t="s">
        <v>1354</v>
      </c>
      <c r="D426" s="12">
        <v>0.78600000000000003</v>
      </c>
      <c r="I426" s="12"/>
    </row>
    <row r="427" spans="2:9" ht="15.75">
      <c r="B427" s="12">
        <v>785</v>
      </c>
      <c r="C427" s="12" t="s">
        <v>1355</v>
      </c>
      <c r="D427" s="12">
        <v>0.78500000000000003</v>
      </c>
      <c r="I427" s="12"/>
    </row>
    <row r="428" spans="2:9" ht="15.75">
      <c r="B428" s="12">
        <v>784</v>
      </c>
      <c r="C428" s="12" t="s">
        <v>1356</v>
      </c>
      <c r="D428" s="12">
        <v>0.78400000000000003</v>
      </c>
      <c r="I428" s="12"/>
    </row>
    <row r="429" spans="2:9" ht="15.75">
      <c r="B429" s="12">
        <v>783</v>
      </c>
      <c r="C429" s="12" t="s">
        <v>1357</v>
      </c>
      <c r="D429" s="12">
        <v>0.78300000000000003</v>
      </c>
      <c r="I429" s="12"/>
    </row>
    <row r="430" spans="2:9" ht="15.75">
      <c r="B430" s="12">
        <v>782</v>
      </c>
      <c r="C430" s="12" t="s">
        <v>1358</v>
      </c>
      <c r="D430" s="12">
        <v>0.78200000000000003</v>
      </c>
      <c r="I430" s="12"/>
    </row>
    <row r="431" spans="2:9" ht="15.75">
      <c r="B431" s="12">
        <v>781</v>
      </c>
      <c r="C431" s="12" t="s">
        <v>1359</v>
      </c>
      <c r="D431" s="12">
        <v>0.78100000000000003</v>
      </c>
      <c r="I431" s="12"/>
    </row>
    <row r="432" spans="2:9" ht="15.75">
      <c r="B432" s="12">
        <v>780</v>
      </c>
      <c r="C432" s="12" t="s">
        <v>1360</v>
      </c>
      <c r="D432" s="12">
        <v>0.78</v>
      </c>
      <c r="I432" s="12"/>
    </row>
    <row r="433" spans="2:9" ht="15.75">
      <c r="B433" s="12">
        <v>779</v>
      </c>
      <c r="C433" s="12" t="s">
        <v>1361</v>
      </c>
      <c r="D433" s="12">
        <v>0.77900000000000003</v>
      </c>
      <c r="I433" s="12"/>
    </row>
    <row r="434" spans="2:9" ht="15.75">
      <c r="B434" s="12">
        <v>778</v>
      </c>
      <c r="C434" s="12" t="s">
        <v>1362</v>
      </c>
      <c r="D434" s="12">
        <v>0.77800000000000002</v>
      </c>
      <c r="I434" s="12"/>
    </row>
    <row r="435" spans="2:9" ht="15.75">
      <c r="B435" s="12">
        <v>777</v>
      </c>
      <c r="C435" s="12" t="s">
        <v>1363</v>
      </c>
      <c r="D435" s="12">
        <v>0.77700000000000002</v>
      </c>
      <c r="I435" s="12"/>
    </row>
    <row r="436" spans="2:9" ht="15.75">
      <c r="B436" s="12">
        <v>776</v>
      </c>
      <c r="C436" s="12" t="s">
        <v>1364</v>
      </c>
      <c r="D436" s="12">
        <v>0.77600000000000002</v>
      </c>
      <c r="I436" s="12"/>
    </row>
    <row r="437" spans="2:9" ht="15.75">
      <c r="B437" s="12">
        <v>775</v>
      </c>
      <c r="C437" s="12" t="s">
        <v>1365</v>
      </c>
      <c r="D437" s="12">
        <v>0.77500000000000002</v>
      </c>
      <c r="I437" s="12"/>
    </row>
    <row r="438" spans="2:9" ht="15.75">
      <c r="B438" s="12">
        <v>774</v>
      </c>
      <c r="C438" s="12" t="s">
        <v>1366</v>
      </c>
      <c r="D438" s="12">
        <v>0.77400000000000002</v>
      </c>
      <c r="I438" s="12"/>
    </row>
    <row r="439" spans="2:9" ht="15.75">
      <c r="B439" s="12">
        <v>773</v>
      </c>
      <c r="C439" s="12" t="s">
        <v>1367</v>
      </c>
      <c r="D439" s="12">
        <v>0.77300000000000002</v>
      </c>
      <c r="I439" s="12"/>
    </row>
    <row r="440" spans="2:9" ht="15.75">
      <c r="B440" s="12">
        <v>772</v>
      </c>
      <c r="C440" s="12" t="s">
        <v>1368</v>
      </c>
      <c r="D440" s="12">
        <v>0.77200000000000002</v>
      </c>
      <c r="I440" s="12"/>
    </row>
    <row r="441" spans="2:9" ht="15.75">
      <c r="B441" s="12">
        <v>771</v>
      </c>
      <c r="C441" s="12" t="s">
        <v>1369</v>
      </c>
      <c r="D441" s="12">
        <v>0.77100000000000002</v>
      </c>
      <c r="I441" s="12"/>
    </row>
    <row r="442" spans="2:9" ht="15.75">
      <c r="B442" s="12">
        <v>770</v>
      </c>
      <c r="C442" s="12" t="s">
        <v>1370</v>
      </c>
      <c r="D442" s="12">
        <v>0.77</v>
      </c>
      <c r="I442" s="12"/>
    </row>
    <row r="443" spans="2:9" ht="15.75">
      <c r="B443" s="12">
        <v>769</v>
      </c>
      <c r="C443" s="12" t="s">
        <v>1371</v>
      </c>
      <c r="D443" s="12">
        <v>0.76900000000000002</v>
      </c>
      <c r="I443" s="12"/>
    </row>
    <row r="444" spans="2:9" ht="15.75">
      <c r="B444" s="12">
        <v>768</v>
      </c>
      <c r="C444" s="12" t="s">
        <v>1372</v>
      </c>
      <c r="D444" s="12">
        <v>0.76800000000000002</v>
      </c>
      <c r="I444" s="12"/>
    </row>
    <row r="445" spans="2:9" ht="15.75">
      <c r="B445" s="12">
        <v>767</v>
      </c>
      <c r="C445" s="12" t="s">
        <v>1373</v>
      </c>
      <c r="D445" s="12">
        <v>0.76700000000000002</v>
      </c>
      <c r="I445" s="12"/>
    </row>
    <row r="446" spans="2:9" ht="15.75">
      <c r="B446" s="12">
        <v>766</v>
      </c>
      <c r="C446" s="12" t="s">
        <v>1374</v>
      </c>
      <c r="D446" s="12">
        <v>0.76600000000000001</v>
      </c>
      <c r="I446" s="12"/>
    </row>
    <row r="447" spans="2:9" ht="15.75">
      <c r="B447" s="12">
        <v>765</v>
      </c>
      <c r="C447" s="12" t="s">
        <v>1375</v>
      </c>
      <c r="D447" s="12">
        <v>0.76500000000000001</v>
      </c>
      <c r="I447" s="12"/>
    </row>
    <row r="448" spans="2:9" ht="15.75">
      <c r="B448" s="12">
        <v>764</v>
      </c>
      <c r="C448" s="12" t="s">
        <v>1376</v>
      </c>
      <c r="D448" s="12">
        <v>0.76400000000000001</v>
      </c>
      <c r="I448" s="12"/>
    </row>
    <row r="449" spans="2:9" ht="15.75">
      <c r="B449" s="12">
        <v>763</v>
      </c>
      <c r="C449" s="12" t="s">
        <v>1377</v>
      </c>
      <c r="D449" s="12">
        <v>0.76300000000000001</v>
      </c>
      <c r="I449" s="12"/>
    </row>
    <row r="450" spans="2:9" ht="15.75">
      <c r="B450" s="12">
        <v>762</v>
      </c>
      <c r="C450" s="12" t="s">
        <v>1378</v>
      </c>
      <c r="D450" s="12">
        <v>0.76200000000000001</v>
      </c>
      <c r="I450" s="12"/>
    </row>
    <row r="451" spans="2:9" ht="15.75">
      <c r="B451" s="12">
        <v>761</v>
      </c>
      <c r="C451" s="12" t="s">
        <v>1379</v>
      </c>
      <c r="D451" s="12">
        <v>0.76100000000000001</v>
      </c>
      <c r="I451" s="12"/>
    </row>
    <row r="452" spans="2:9" ht="15.75">
      <c r="B452" s="12">
        <v>760</v>
      </c>
      <c r="C452" s="12" t="s">
        <v>1380</v>
      </c>
      <c r="D452" s="12">
        <v>0.76</v>
      </c>
      <c r="I452" s="12"/>
    </row>
    <row r="453" spans="2:9" ht="15.75">
      <c r="B453" s="12">
        <v>759</v>
      </c>
      <c r="C453" s="12" t="s">
        <v>1381</v>
      </c>
      <c r="D453" s="12">
        <v>0.75900000000000001</v>
      </c>
      <c r="I453" s="12"/>
    </row>
    <row r="454" spans="2:9" ht="15.75">
      <c r="B454" s="12">
        <v>758</v>
      </c>
      <c r="C454" s="12" t="s">
        <v>1382</v>
      </c>
      <c r="D454" s="12">
        <v>0.75800000000000001</v>
      </c>
      <c r="I454" s="12"/>
    </row>
    <row r="455" spans="2:9" ht="15.75">
      <c r="B455" s="12">
        <v>757</v>
      </c>
      <c r="C455" s="12" t="s">
        <v>1383</v>
      </c>
      <c r="D455" s="12">
        <v>0.75700000000000001</v>
      </c>
      <c r="I455" s="12"/>
    </row>
    <row r="456" spans="2:9" ht="15.75">
      <c r="B456" s="12">
        <v>756</v>
      </c>
      <c r="C456" s="12" t="s">
        <v>1384</v>
      </c>
      <c r="D456" s="12">
        <v>0.75600000000000001</v>
      </c>
      <c r="I456" s="12"/>
    </row>
    <row r="457" spans="2:9" ht="15.75">
      <c r="B457" s="12">
        <v>755</v>
      </c>
      <c r="C457" s="12" t="s">
        <v>1385</v>
      </c>
      <c r="D457" s="12">
        <v>0.755</v>
      </c>
      <c r="I457" s="12"/>
    </row>
    <row r="458" spans="2:9" ht="15.75">
      <c r="B458" s="12">
        <v>754</v>
      </c>
      <c r="C458" s="12" t="s">
        <v>1386</v>
      </c>
      <c r="D458" s="12">
        <v>0.754</v>
      </c>
      <c r="I458" s="12"/>
    </row>
    <row r="459" spans="2:9" ht="15.75">
      <c r="B459" s="12">
        <v>753</v>
      </c>
      <c r="C459" s="12" t="s">
        <v>1387</v>
      </c>
      <c r="D459" s="12">
        <v>0.753</v>
      </c>
      <c r="I459" s="12"/>
    </row>
    <row r="460" spans="2:9" ht="15.75">
      <c r="B460" s="12">
        <v>752</v>
      </c>
      <c r="C460" s="12" t="s">
        <v>991</v>
      </c>
      <c r="D460" s="12">
        <v>0.752</v>
      </c>
      <c r="I460" s="12"/>
    </row>
    <row r="461" spans="2:9" ht="15.75">
      <c r="B461" s="12">
        <v>751</v>
      </c>
      <c r="C461" s="12" t="s">
        <v>1388</v>
      </c>
      <c r="D461" s="12">
        <v>0.751</v>
      </c>
      <c r="I461" s="12"/>
    </row>
    <row r="462" spans="2:9" ht="15.75">
      <c r="B462" s="12">
        <v>750</v>
      </c>
      <c r="C462" s="12" t="s">
        <v>1389</v>
      </c>
      <c r="D462" s="12">
        <v>0.75</v>
      </c>
      <c r="I462" s="12"/>
    </row>
    <row r="463" spans="2:9" ht="15.75">
      <c r="B463" s="12">
        <v>749</v>
      </c>
      <c r="C463" s="12" t="s">
        <v>1390</v>
      </c>
      <c r="D463" s="12">
        <v>0.749</v>
      </c>
      <c r="I463" s="12"/>
    </row>
    <row r="464" spans="2:9" ht="15.75">
      <c r="B464" s="12">
        <v>748</v>
      </c>
      <c r="C464" s="12" t="s">
        <v>1391</v>
      </c>
      <c r="D464" s="12">
        <v>0.748</v>
      </c>
      <c r="I464" s="12"/>
    </row>
    <row r="465" spans="2:9" ht="15.75">
      <c r="B465" s="12">
        <v>747</v>
      </c>
      <c r="C465" s="12" t="s">
        <v>1392</v>
      </c>
      <c r="D465" s="12">
        <v>0.747</v>
      </c>
      <c r="I465" s="12"/>
    </row>
    <row r="466" spans="2:9" ht="15.75">
      <c r="B466" s="12">
        <v>746</v>
      </c>
      <c r="C466" s="12" t="s">
        <v>1393</v>
      </c>
      <c r="D466" s="12">
        <v>0.746</v>
      </c>
      <c r="I466" s="12"/>
    </row>
    <row r="467" spans="2:9" ht="15.75">
      <c r="B467" s="12">
        <v>745</v>
      </c>
      <c r="C467" s="12" t="s">
        <v>1394</v>
      </c>
      <c r="D467" s="12">
        <v>0.745</v>
      </c>
      <c r="I467" s="12"/>
    </row>
    <row r="468" spans="2:9" ht="15.75">
      <c r="B468" s="12">
        <v>744</v>
      </c>
      <c r="C468" s="12" t="s">
        <v>1395</v>
      </c>
      <c r="D468" s="12">
        <v>0.74399999999999999</v>
      </c>
      <c r="I468" s="12"/>
    </row>
    <row r="469" spans="2:9" ht="15.75">
      <c r="B469" s="12">
        <v>743</v>
      </c>
      <c r="C469" s="12" t="s">
        <v>1396</v>
      </c>
      <c r="D469" s="12">
        <v>0.74299999999999999</v>
      </c>
      <c r="I469" s="12"/>
    </row>
    <row r="470" spans="2:9" ht="15.75">
      <c r="B470" s="12">
        <v>742</v>
      </c>
      <c r="C470" s="12" t="s">
        <v>1397</v>
      </c>
      <c r="D470" s="12">
        <v>0.74199999999999999</v>
      </c>
      <c r="I470" s="12"/>
    </row>
    <row r="471" spans="2:9" ht="15.75">
      <c r="B471" s="12">
        <v>741</v>
      </c>
      <c r="C471" s="12" t="s">
        <v>1398</v>
      </c>
      <c r="D471" s="12">
        <v>0.74099999999999999</v>
      </c>
      <c r="I471" s="12"/>
    </row>
    <row r="472" spans="2:9" ht="15.75">
      <c r="B472" s="12">
        <v>740</v>
      </c>
      <c r="C472" s="12" t="s">
        <v>1399</v>
      </c>
      <c r="D472" s="12">
        <v>0.74</v>
      </c>
      <c r="I472" s="12"/>
    </row>
    <row r="473" spans="2:9" ht="15.75">
      <c r="B473" s="12">
        <v>739</v>
      </c>
      <c r="C473" s="12" t="s">
        <v>1400</v>
      </c>
      <c r="D473" s="12">
        <v>0.73899999999999999</v>
      </c>
      <c r="I473" s="12"/>
    </row>
    <row r="474" spans="2:9" ht="15.75">
      <c r="B474" s="12">
        <v>738</v>
      </c>
      <c r="C474" s="12" t="s">
        <v>1401</v>
      </c>
      <c r="D474" s="12">
        <v>0.73799999999999999</v>
      </c>
      <c r="I474" s="12"/>
    </row>
    <row r="475" spans="2:9" ht="15.75">
      <c r="B475" s="12">
        <v>737</v>
      </c>
      <c r="C475" s="12" t="s">
        <v>1402</v>
      </c>
      <c r="D475" s="12">
        <v>0.73699999999999999</v>
      </c>
      <c r="I475" s="12"/>
    </row>
    <row r="476" spans="2:9" ht="15.75">
      <c r="B476" s="12">
        <v>736</v>
      </c>
      <c r="C476" s="12" t="s">
        <v>1403</v>
      </c>
      <c r="D476" s="12">
        <v>0.73599999999999999</v>
      </c>
      <c r="I476" s="12"/>
    </row>
    <row r="477" spans="2:9" ht="15.75">
      <c r="B477" s="12">
        <v>735</v>
      </c>
      <c r="C477" s="12" t="s">
        <v>1404</v>
      </c>
      <c r="D477" s="12">
        <v>0.73499999999999999</v>
      </c>
      <c r="I477" s="12"/>
    </row>
    <row r="478" spans="2:9" ht="15.75">
      <c r="B478" s="12">
        <v>734</v>
      </c>
      <c r="C478" s="12" t="s">
        <v>1405</v>
      </c>
      <c r="D478" s="12">
        <v>0.73399999999999999</v>
      </c>
      <c r="I478" s="12"/>
    </row>
    <row r="479" spans="2:9" ht="15.75">
      <c r="B479" s="12">
        <v>733</v>
      </c>
      <c r="C479" s="12" t="s">
        <v>1406</v>
      </c>
      <c r="D479" s="12">
        <v>0.73299999999999998</v>
      </c>
      <c r="I479" s="12"/>
    </row>
    <row r="480" spans="2:9" ht="15.75">
      <c r="B480" s="12">
        <v>732</v>
      </c>
      <c r="C480" s="12" t="s">
        <v>1407</v>
      </c>
      <c r="D480" s="12">
        <v>0.73199999999999998</v>
      </c>
      <c r="I480" s="12"/>
    </row>
    <row r="481" spans="2:9" ht="15.75">
      <c r="B481" s="12">
        <v>731</v>
      </c>
      <c r="C481" s="12" t="s">
        <v>1408</v>
      </c>
      <c r="D481" s="12">
        <v>0.73099999999999998</v>
      </c>
      <c r="I481" s="12"/>
    </row>
    <row r="482" spans="2:9" ht="15.75">
      <c r="B482" s="12">
        <v>730</v>
      </c>
      <c r="C482" s="12" t="s">
        <v>1409</v>
      </c>
      <c r="D482" s="12">
        <v>0.73</v>
      </c>
      <c r="I482" s="12"/>
    </row>
    <row r="483" spans="2:9" ht="15.75">
      <c r="B483" s="12">
        <v>729</v>
      </c>
      <c r="C483" s="12" t="s">
        <v>1410</v>
      </c>
      <c r="D483" s="12">
        <v>0.72899999999999998</v>
      </c>
      <c r="I483" s="12"/>
    </row>
    <row r="484" spans="2:9" ht="15.75">
      <c r="B484" s="12">
        <v>728</v>
      </c>
      <c r="C484" s="12" t="s">
        <v>1411</v>
      </c>
      <c r="D484" s="12">
        <v>0.72799999999999998</v>
      </c>
      <c r="I484" s="12"/>
    </row>
    <row r="485" spans="2:9" ht="15.75">
      <c r="B485" s="12">
        <v>727</v>
      </c>
      <c r="C485" s="12" t="s">
        <v>1412</v>
      </c>
      <c r="D485" s="12">
        <v>0.72699999999999998</v>
      </c>
      <c r="I485" s="12"/>
    </row>
    <row r="486" spans="2:9" ht="15.75">
      <c r="B486" s="12">
        <v>726</v>
      </c>
      <c r="C486" s="12" t="s">
        <v>1413</v>
      </c>
      <c r="D486" s="12">
        <v>0.72599999999999998</v>
      </c>
      <c r="I486" s="12"/>
    </row>
    <row r="487" spans="2:9" ht="15.75">
      <c r="B487" s="12">
        <v>725</v>
      </c>
      <c r="C487" s="12" t="s">
        <v>1414</v>
      </c>
      <c r="D487" s="12">
        <v>0.72499999999999998</v>
      </c>
      <c r="I487" s="12"/>
    </row>
    <row r="488" spans="2:9" ht="15.75">
      <c r="B488" s="12">
        <v>724</v>
      </c>
      <c r="C488" s="12" t="s">
        <v>1415</v>
      </c>
      <c r="D488" s="12">
        <v>0.72399999999999998</v>
      </c>
      <c r="I488" s="12"/>
    </row>
    <row r="489" spans="2:9" ht="15.75">
      <c r="B489" s="12">
        <v>723</v>
      </c>
      <c r="C489" s="12" t="s">
        <v>1416</v>
      </c>
      <c r="D489" s="12">
        <v>0.72299999999999998</v>
      </c>
      <c r="I489" s="12"/>
    </row>
    <row r="490" spans="2:9" ht="15.75">
      <c r="B490" s="12">
        <v>722</v>
      </c>
      <c r="C490" s="12" t="s">
        <v>1417</v>
      </c>
      <c r="D490" s="12">
        <v>0.72199999999999998</v>
      </c>
      <c r="I490" s="12"/>
    </row>
    <row r="491" spans="2:9" ht="15.75">
      <c r="B491" s="12">
        <v>721</v>
      </c>
      <c r="C491" s="12" t="s">
        <v>1418</v>
      </c>
      <c r="D491" s="12">
        <v>0.72099999999999997</v>
      </c>
      <c r="I491" s="12"/>
    </row>
    <row r="492" spans="2:9" ht="15.75">
      <c r="B492" s="12">
        <v>720</v>
      </c>
      <c r="C492" s="12" t="s">
        <v>1419</v>
      </c>
      <c r="D492" s="12">
        <v>0.72</v>
      </c>
      <c r="I492" s="12"/>
    </row>
    <row r="493" spans="2:9" ht="15.75">
      <c r="B493" s="12">
        <v>719</v>
      </c>
      <c r="C493" s="12" t="s">
        <v>1420</v>
      </c>
      <c r="D493" s="12">
        <v>0.71899999999999997</v>
      </c>
      <c r="I493" s="12"/>
    </row>
    <row r="494" spans="2:9" ht="15.75">
      <c r="B494" s="12">
        <v>718</v>
      </c>
      <c r="C494" s="12" t="s">
        <v>1421</v>
      </c>
      <c r="D494" s="12">
        <v>0.71799999999999997</v>
      </c>
      <c r="I494" s="12"/>
    </row>
    <row r="495" spans="2:9" ht="15.75">
      <c r="B495" s="12">
        <v>717</v>
      </c>
      <c r="C495" s="12" t="s">
        <v>1422</v>
      </c>
      <c r="D495" s="12">
        <v>0.71699999999999997</v>
      </c>
      <c r="I495" s="12"/>
    </row>
    <row r="496" spans="2:9" ht="15.75">
      <c r="B496" s="12">
        <v>716</v>
      </c>
      <c r="C496" s="12" t="s">
        <v>1423</v>
      </c>
      <c r="D496" s="12">
        <v>0.71599999999999997</v>
      </c>
      <c r="I496" s="12"/>
    </row>
    <row r="497" spans="2:9" ht="15.75">
      <c r="B497" s="12">
        <v>715</v>
      </c>
      <c r="C497" s="12" t="s">
        <v>1424</v>
      </c>
      <c r="D497" s="12">
        <v>0.71499999999999997</v>
      </c>
      <c r="I497" s="12"/>
    </row>
    <row r="498" spans="2:9" ht="15.75">
      <c r="B498" s="12">
        <v>714</v>
      </c>
      <c r="C498" s="12" t="s">
        <v>1425</v>
      </c>
      <c r="D498" s="12">
        <v>0.71399999999999997</v>
      </c>
      <c r="I498" s="12"/>
    </row>
    <row r="499" spans="2:9" ht="15.75">
      <c r="B499" s="12">
        <v>713</v>
      </c>
      <c r="C499" s="12" t="s">
        <v>1426</v>
      </c>
      <c r="D499" s="12">
        <v>0.71299999999999997</v>
      </c>
      <c r="I499" s="12"/>
    </row>
    <row r="500" spans="2:9" ht="15.75">
      <c r="B500" s="12">
        <v>712</v>
      </c>
      <c r="C500" s="12" t="s">
        <v>1427</v>
      </c>
      <c r="D500" s="12">
        <v>0.71199999999999997</v>
      </c>
      <c r="I500" s="12"/>
    </row>
    <row r="501" spans="2:9" ht="15.75">
      <c r="B501" s="12">
        <v>711</v>
      </c>
      <c r="C501" s="12" t="s">
        <v>1428</v>
      </c>
      <c r="D501" s="12">
        <v>0.71099999999999997</v>
      </c>
      <c r="I501" s="12"/>
    </row>
    <row r="502" spans="2:9" ht="15.75">
      <c r="B502" s="12">
        <v>710</v>
      </c>
      <c r="C502" s="12" t="s">
        <v>1429</v>
      </c>
      <c r="D502" s="12">
        <v>0.71</v>
      </c>
      <c r="I502" s="12"/>
    </row>
    <row r="503" spans="2:9" ht="15.75">
      <c r="B503" s="12">
        <v>709</v>
      </c>
      <c r="C503" s="12" t="s">
        <v>1430</v>
      </c>
      <c r="D503" s="12">
        <v>0.70899999999999996</v>
      </c>
      <c r="I503" s="12"/>
    </row>
    <row r="504" spans="2:9" ht="15.75">
      <c r="B504" s="12">
        <v>708</v>
      </c>
      <c r="C504" s="12" t="s">
        <v>1431</v>
      </c>
      <c r="D504" s="12">
        <v>0.70799999999999996</v>
      </c>
      <c r="I504" s="12"/>
    </row>
    <row r="505" spans="2:9" ht="15.75">
      <c r="B505" s="12">
        <v>707</v>
      </c>
      <c r="C505" s="12" t="s">
        <v>1432</v>
      </c>
      <c r="D505" s="12">
        <v>0.70699999999999996</v>
      </c>
      <c r="I505" s="12"/>
    </row>
    <row r="506" spans="2:9" ht="15.75">
      <c r="B506" s="12">
        <v>706</v>
      </c>
      <c r="C506" s="12" t="s">
        <v>1433</v>
      </c>
      <c r="D506" s="12">
        <v>0.70599999999999996</v>
      </c>
      <c r="I506" s="12"/>
    </row>
    <row r="507" spans="2:9" ht="15.75">
      <c r="B507" s="12">
        <v>705</v>
      </c>
      <c r="C507" s="12" t="s">
        <v>1434</v>
      </c>
      <c r="D507" s="12">
        <v>0.70499999999999996</v>
      </c>
      <c r="I507" s="12"/>
    </row>
    <row r="508" spans="2:9" ht="15.75">
      <c r="B508" s="12">
        <v>704</v>
      </c>
      <c r="C508" s="12" t="s">
        <v>1435</v>
      </c>
      <c r="D508" s="12">
        <v>0.70399999999999996</v>
      </c>
      <c r="I508" s="12"/>
    </row>
    <row r="509" spans="2:9" ht="15.75">
      <c r="B509" s="12">
        <v>703</v>
      </c>
      <c r="C509" s="12" t="s">
        <v>1436</v>
      </c>
      <c r="D509" s="12">
        <v>0.70299999999999996</v>
      </c>
      <c r="I509" s="12"/>
    </row>
    <row r="510" spans="2:9" ht="15.75">
      <c r="B510" s="12">
        <v>702</v>
      </c>
      <c r="C510" s="12" t="s">
        <v>1437</v>
      </c>
      <c r="D510" s="12">
        <v>0.70199999999999996</v>
      </c>
      <c r="I510" s="12"/>
    </row>
    <row r="511" spans="2:9" ht="15.75">
      <c r="B511" s="12">
        <v>701</v>
      </c>
      <c r="C511" s="12" t="s">
        <v>1438</v>
      </c>
      <c r="D511" s="12">
        <v>0.70099999999999996</v>
      </c>
      <c r="I511" s="12"/>
    </row>
    <row r="512" spans="2:9" ht="15.75">
      <c r="B512" s="12">
        <v>700</v>
      </c>
      <c r="C512" s="12" t="s">
        <v>1439</v>
      </c>
      <c r="D512" s="12">
        <v>0.7</v>
      </c>
      <c r="I512" s="12"/>
    </row>
    <row r="513" spans="2:9" ht="15.75">
      <c r="B513" s="12">
        <v>699</v>
      </c>
      <c r="C513" s="12" t="s">
        <v>1440</v>
      </c>
      <c r="D513" s="12">
        <v>0.69899999999999995</v>
      </c>
      <c r="I513" s="12"/>
    </row>
    <row r="514" spans="2:9" ht="15.75">
      <c r="B514" s="12">
        <v>698</v>
      </c>
      <c r="C514" s="12" t="s">
        <v>1441</v>
      </c>
      <c r="D514" s="12">
        <v>0.69799999999999995</v>
      </c>
      <c r="I514" s="12"/>
    </row>
    <row r="515" spans="2:9" ht="15.75">
      <c r="B515" s="12">
        <v>697</v>
      </c>
      <c r="C515" s="12" t="s">
        <v>1442</v>
      </c>
      <c r="D515" s="12">
        <v>0.69699999999999995</v>
      </c>
      <c r="I515" s="12"/>
    </row>
    <row r="516" spans="2:9" ht="15.75">
      <c r="B516" s="12">
        <v>696</v>
      </c>
      <c r="C516" s="12" t="s">
        <v>1443</v>
      </c>
      <c r="D516" s="12">
        <v>0.69599999999999995</v>
      </c>
      <c r="I516" s="12"/>
    </row>
    <row r="517" spans="2:9" ht="15.75">
      <c r="B517" s="12">
        <v>695</v>
      </c>
      <c r="C517" s="12" t="s">
        <v>1444</v>
      </c>
      <c r="D517" s="12">
        <v>0.69499999999999995</v>
      </c>
      <c r="I517" s="12"/>
    </row>
    <row r="518" spans="2:9" ht="15.75">
      <c r="B518" s="12">
        <v>694</v>
      </c>
      <c r="C518" s="12" t="s">
        <v>1445</v>
      </c>
      <c r="D518" s="12">
        <v>0.69399999999999995</v>
      </c>
      <c r="I518" s="12"/>
    </row>
    <row r="519" spans="2:9" ht="15.75">
      <c r="B519" s="12">
        <v>693</v>
      </c>
      <c r="C519" s="12" t="s">
        <v>1446</v>
      </c>
      <c r="D519" s="12">
        <v>0.69299999999999995</v>
      </c>
      <c r="I519" s="12"/>
    </row>
    <row r="520" spans="2:9" ht="15.75">
      <c r="B520" s="12">
        <v>692</v>
      </c>
      <c r="C520" s="12" t="s">
        <v>1447</v>
      </c>
      <c r="D520" s="12">
        <v>0.69199999999999995</v>
      </c>
      <c r="I520" s="12"/>
    </row>
    <row r="521" spans="2:9" ht="15.75">
      <c r="B521" s="12">
        <v>691</v>
      </c>
      <c r="C521" s="12" t="s">
        <v>1448</v>
      </c>
      <c r="D521" s="12">
        <v>0.69099999999999995</v>
      </c>
      <c r="I521" s="12"/>
    </row>
    <row r="522" spans="2:9" ht="15.75">
      <c r="B522" s="12">
        <v>690</v>
      </c>
      <c r="C522" s="12" t="s">
        <v>1449</v>
      </c>
      <c r="D522" s="12">
        <v>0.69</v>
      </c>
      <c r="I522" s="12"/>
    </row>
    <row r="523" spans="2:9" ht="15.75">
      <c r="B523" s="12">
        <v>689</v>
      </c>
      <c r="C523" s="12" t="s">
        <v>1450</v>
      </c>
      <c r="D523" s="12">
        <v>0.68899999999999995</v>
      </c>
      <c r="I523" s="12"/>
    </row>
    <row r="524" spans="2:9" ht="15.75">
      <c r="B524" s="12">
        <v>688</v>
      </c>
      <c r="C524" s="12" t="s">
        <v>1451</v>
      </c>
      <c r="D524" s="12">
        <v>0.68799999999999994</v>
      </c>
      <c r="I524" s="12"/>
    </row>
    <row r="525" spans="2:9" ht="15.75">
      <c r="B525" s="12">
        <v>687</v>
      </c>
      <c r="C525" s="12" t="s">
        <v>1452</v>
      </c>
      <c r="D525" s="12">
        <v>0.68700000000000006</v>
      </c>
      <c r="I525" s="12"/>
    </row>
    <row r="526" spans="2:9" ht="15.75">
      <c r="B526" s="12">
        <v>686</v>
      </c>
      <c r="C526" s="12" t="s">
        <v>1453</v>
      </c>
      <c r="D526" s="12">
        <v>0.68600000000000005</v>
      </c>
      <c r="I526" s="12"/>
    </row>
    <row r="527" spans="2:9" ht="15.75">
      <c r="B527" s="12">
        <v>685</v>
      </c>
      <c r="C527" s="12" t="s">
        <v>1454</v>
      </c>
      <c r="D527" s="12">
        <v>0.68500000000000005</v>
      </c>
      <c r="I527" s="12"/>
    </row>
    <row r="528" spans="2:9" ht="15.75">
      <c r="B528" s="12">
        <v>684</v>
      </c>
      <c r="C528" s="12" t="s">
        <v>1455</v>
      </c>
      <c r="D528" s="12">
        <v>0.68400000000000005</v>
      </c>
      <c r="I528" s="12"/>
    </row>
    <row r="529" spans="2:9" ht="15.75">
      <c r="B529" s="12">
        <v>683</v>
      </c>
      <c r="C529" s="12" t="s">
        <v>1456</v>
      </c>
      <c r="D529" s="12">
        <v>0.68300000000000005</v>
      </c>
      <c r="I529" s="12"/>
    </row>
    <row r="530" spans="2:9" ht="15.75">
      <c r="B530" s="12">
        <v>682</v>
      </c>
      <c r="C530" s="12" t="s">
        <v>1457</v>
      </c>
      <c r="D530" s="12">
        <v>0.68200000000000005</v>
      </c>
      <c r="I530" s="12"/>
    </row>
    <row r="531" spans="2:9" ht="15.75">
      <c r="B531" s="12">
        <v>681</v>
      </c>
      <c r="C531" s="12" t="s">
        <v>1458</v>
      </c>
      <c r="D531" s="12">
        <v>0.68100000000000005</v>
      </c>
      <c r="I531" s="12"/>
    </row>
    <row r="532" spans="2:9" ht="15.75">
      <c r="B532" s="12">
        <v>680</v>
      </c>
      <c r="C532" s="12" t="s">
        <v>1459</v>
      </c>
      <c r="D532" s="12">
        <v>0.68</v>
      </c>
      <c r="I532" s="12"/>
    </row>
    <row r="533" spans="2:9" ht="15.75">
      <c r="B533" s="12">
        <v>679</v>
      </c>
      <c r="C533" s="12" t="s">
        <v>1460</v>
      </c>
      <c r="D533" s="12">
        <v>0.67900000000000005</v>
      </c>
      <c r="I533" s="12"/>
    </row>
    <row r="534" spans="2:9" ht="15.75">
      <c r="B534" s="12">
        <v>678</v>
      </c>
      <c r="C534" s="12" t="s">
        <v>1461</v>
      </c>
      <c r="D534" s="12">
        <v>0.67800000000000005</v>
      </c>
      <c r="I534" s="12"/>
    </row>
    <row r="535" spans="2:9" ht="15.75">
      <c r="B535" s="12">
        <v>677</v>
      </c>
      <c r="C535" s="12" t="s">
        <v>1462</v>
      </c>
      <c r="D535" s="12">
        <v>0.67700000000000005</v>
      </c>
      <c r="I535" s="12"/>
    </row>
    <row r="536" spans="2:9" ht="15.75">
      <c r="B536" s="12">
        <v>676</v>
      </c>
      <c r="C536" s="12" t="s">
        <v>1463</v>
      </c>
      <c r="D536" s="12">
        <v>0.67600000000000005</v>
      </c>
      <c r="I536" s="12"/>
    </row>
    <row r="537" spans="2:9" ht="15.75">
      <c r="B537" s="12">
        <v>675</v>
      </c>
      <c r="C537" s="12" t="s">
        <v>1464</v>
      </c>
      <c r="D537" s="12">
        <v>0.67500000000000004</v>
      </c>
      <c r="I537" s="12"/>
    </row>
    <row r="538" spans="2:9" ht="15.75">
      <c r="B538" s="12">
        <v>674</v>
      </c>
      <c r="C538" s="12" t="s">
        <v>1465</v>
      </c>
      <c r="D538" s="12">
        <v>0.67400000000000004</v>
      </c>
      <c r="I538" s="12"/>
    </row>
    <row r="539" spans="2:9" ht="15.75">
      <c r="B539" s="12">
        <v>673</v>
      </c>
      <c r="C539" s="12" t="s">
        <v>1466</v>
      </c>
      <c r="D539" s="12">
        <v>0.67300000000000004</v>
      </c>
      <c r="I539" s="12"/>
    </row>
    <row r="540" spans="2:9" ht="15.75">
      <c r="B540" s="12">
        <v>672</v>
      </c>
      <c r="C540" s="12" t="s">
        <v>1467</v>
      </c>
      <c r="D540" s="12">
        <v>0.67200000000000004</v>
      </c>
      <c r="I540" s="12"/>
    </row>
    <row r="541" spans="2:9" ht="15.75">
      <c r="B541" s="12">
        <v>671</v>
      </c>
      <c r="C541" s="12" t="s">
        <v>1468</v>
      </c>
      <c r="D541" s="12">
        <v>0.67100000000000004</v>
      </c>
      <c r="I541" s="12"/>
    </row>
    <row r="542" spans="2:9" ht="15.75">
      <c r="B542" s="12">
        <v>670</v>
      </c>
      <c r="C542" s="12" t="s">
        <v>1469</v>
      </c>
      <c r="D542" s="12">
        <v>0.67</v>
      </c>
      <c r="I542" s="12"/>
    </row>
    <row r="543" spans="2:9" ht="15.75">
      <c r="B543" s="12">
        <v>669</v>
      </c>
      <c r="C543" s="12" t="s">
        <v>1470</v>
      </c>
      <c r="D543" s="12">
        <v>0.66900000000000004</v>
      </c>
      <c r="I543" s="12"/>
    </row>
    <row r="544" spans="2:9" ht="15.75">
      <c r="B544" s="12">
        <v>668</v>
      </c>
      <c r="C544" s="12" t="s">
        <v>1471</v>
      </c>
      <c r="D544" s="12">
        <v>0.66800000000000004</v>
      </c>
      <c r="I544" s="12"/>
    </row>
    <row r="545" spans="2:9" ht="15.75">
      <c r="B545" s="12">
        <v>667</v>
      </c>
      <c r="C545" s="12" t="s">
        <v>1472</v>
      </c>
      <c r="D545" s="12">
        <v>0.66700000000000004</v>
      </c>
      <c r="I545" s="12"/>
    </row>
    <row r="546" spans="2:9" ht="15.75">
      <c r="B546" s="12">
        <v>666</v>
      </c>
      <c r="C546" s="12" t="s">
        <v>1473</v>
      </c>
      <c r="D546" s="12">
        <v>0.66600000000000004</v>
      </c>
      <c r="I546" s="12"/>
    </row>
    <row r="547" spans="2:9" ht="15.75">
      <c r="B547" s="12">
        <v>665</v>
      </c>
      <c r="C547" s="12" t="s">
        <v>1474</v>
      </c>
      <c r="D547" s="12">
        <v>0.66500000000000004</v>
      </c>
      <c r="I547" s="12"/>
    </row>
    <row r="548" spans="2:9" ht="15.75">
      <c r="B548" s="12">
        <v>664</v>
      </c>
      <c r="C548" s="12" t="s">
        <v>1475</v>
      </c>
      <c r="D548" s="12">
        <v>0.66400000000000003</v>
      </c>
      <c r="I548" s="12"/>
    </row>
    <row r="549" spans="2:9" ht="15.75">
      <c r="B549" s="12">
        <v>663</v>
      </c>
      <c r="C549" s="12" t="s">
        <v>1476</v>
      </c>
      <c r="D549" s="12">
        <v>0.66300000000000003</v>
      </c>
      <c r="I549" s="12"/>
    </row>
    <row r="550" spans="2:9" ht="15.75">
      <c r="B550" s="12">
        <v>662</v>
      </c>
      <c r="C550" s="12" t="s">
        <v>1477</v>
      </c>
      <c r="D550" s="12">
        <v>0.66200000000000003</v>
      </c>
      <c r="I550" s="12"/>
    </row>
    <row r="551" spans="2:9" ht="15.75">
      <c r="B551" s="12">
        <v>661</v>
      </c>
      <c r="C551" s="12" t="s">
        <v>1478</v>
      </c>
      <c r="D551" s="12">
        <v>0.66100000000000003</v>
      </c>
      <c r="I551" s="12"/>
    </row>
    <row r="552" spans="2:9" ht="15.75">
      <c r="B552" s="12">
        <v>660</v>
      </c>
      <c r="C552" s="12" t="s">
        <v>1479</v>
      </c>
      <c r="D552" s="12">
        <v>0.66</v>
      </c>
      <c r="I552" s="12"/>
    </row>
    <row r="553" spans="2:9" ht="15.75">
      <c r="B553" s="12">
        <v>659</v>
      </c>
      <c r="C553" s="12" t="s">
        <v>1480</v>
      </c>
      <c r="D553" s="12">
        <v>0.65900000000000003</v>
      </c>
      <c r="I553" s="12"/>
    </row>
    <row r="554" spans="2:9" ht="15.75">
      <c r="B554" s="12">
        <v>658</v>
      </c>
      <c r="C554" s="12" t="s">
        <v>1481</v>
      </c>
      <c r="D554" s="12">
        <v>0.65800000000000003</v>
      </c>
      <c r="I554" s="12"/>
    </row>
    <row r="555" spans="2:9" ht="15.75">
      <c r="B555" s="12">
        <v>657</v>
      </c>
      <c r="C555" s="12" t="s">
        <v>1482</v>
      </c>
      <c r="D555" s="12">
        <v>0.65700000000000003</v>
      </c>
      <c r="I555" s="12"/>
    </row>
    <row r="556" spans="2:9" ht="15.75">
      <c r="B556" s="12">
        <v>656</v>
      </c>
      <c r="C556" s="12" t="s">
        <v>1483</v>
      </c>
      <c r="D556" s="12">
        <v>0.65600000000000003</v>
      </c>
      <c r="I556" s="12"/>
    </row>
    <row r="557" spans="2:9" ht="15.75">
      <c r="B557" s="12">
        <v>655</v>
      </c>
      <c r="C557" s="12" t="s">
        <v>1484</v>
      </c>
      <c r="D557" s="12">
        <v>0.65500000000000003</v>
      </c>
      <c r="I557" s="12"/>
    </row>
    <row r="558" spans="2:9" ht="15.75">
      <c r="B558" s="12">
        <v>654</v>
      </c>
      <c r="C558" s="12" t="s">
        <v>1485</v>
      </c>
      <c r="D558" s="12">
        <v>0.65400000000000003</v>
      </c>
      <c r="I558" s="12"/>
    </row>
    <row r="559" spans="2:9" ht="15.75">
      <c r="B559" s="12">
        <v>653</v>
      </c>
      <c r="C559" s="12" t="s">
        <v>1486</v>
      </c>
      <c r="D559" s="12">
        <v>0.65300000000000002</v>
      </c>
      <c r="I559" s="12"/>
    </row>
    <row r="560" spans="2:9" ht="15.75">
      <c r="B560" s="12">
        <v>652</v>
      </c>
      <c r="C560" s="12" t="s">
        <v>1487</v>
      </c>
      <c r="D560" s="12">
        <v>0.65200000000000002</v>
      </c>
      <c r="I560" s="12"/>
    </row>
    <row r="561" spans="2:9" ht="15.75">
      <c r="B561" s="12">
        <v>651</v>
      </c>
      <c r="C561" s="12" t="s">
        <v>1488</v>
      </c>
      <c r="D561" s="12">
        <v>0.65100000000000002</v>
      </c>
      <c r="I561" s="12"/>
    </row>
    <row r="562" spans="2:9" ht="15.75">
      <c r="B562" s="12">
        <v>650</v>
      </c>
      <c r="C562" s="12" t="s">
        <v>1489</v>
      </c>
      <c r="D562" s="12">
        <v>0.65</v>
      </c>
      <c r="I562" s="12"/>
    </row>
    <row r="563" spans="2:9" ht="15.75">
      <c r="B563" s="12">
        <v>649</v>
      </c>
      <c r="C563" s="12" t="s">
        <v>1490</v>
      </c>
      <c r="D563" s="12">
        <v>0.64900000000000002</v>
      </c>
      <c r="I563" s="12"/>
    </row>
    <row r="564" spans="2:9" ht="15.75">
      <c r="B564" s="12">
        <v>648</v>
      </c>
      <c r="C564" s="12" t="s">
        <v>1491</v>
      </c>
      <c r="D564" s="12">
        <v>0.64800000000000002</v>
      </c>
      <c r="I564" s="12"/>
    </row>
    <row r="565" spans="2:9" ht="15.75">
      <c r="B565" s="12">
        <v>647</v>
      </c>
      <c r="C565" s="12" t="s">
        <v>1492</v>
      </c>
      <c r="D565" s="12">
        <v>0.64700000000000002</v>
      </c>
      <c r="I565" s="12"/>
    </row>
    <row r="566" spans="2:9" ht="15.75">
      <c r="B566" s="12">
        <v>646</v>
      </c>
      <c r="C566" s="12" t="s">
        <v>1493</v>
      </c>
      <c r="D566" s="12">
        <v>0.64600000000000002</v>
      </c>
      <c r="I566" s="12"/>
    </row>
    <row r="567" spans="2:9" ht="15.75">
      <c r="B567" s="12">
        <v>645</v>
      </c>
      <c r="C567" s="12" t="s">
        <v>1494</v>
      </c>
      <c r="D567" s="12">
        <v>0.64500000000000002</v>
      </c>
      <c r="I567" s="12"/>
    </row>
    <row r="568" spans="2:9" ht="15.75">
      <c r="B568" s="12">
        <v>644</v>
      </c>
      <c r="C568" s="12" t="s">
        <v>1495</v>
      </c>
      <c r="D568" s="12">
        <v>0.64400000000000002</v>
      </c>
      <c r="I568" s="12"/>
    </row>
    <row r="569" spans="2:9" ht="15.75">
      <c r="B569" s="12">
        <v>643</v>
      </c>
      <c r="C569" s="12" t="s">
        <v>1496</v>
      </c>
      <c r="D569" s="12">
        <v>0.64300000000000002</v>
      </c>
      <c r="I569" s="12"/>
    </row>
    <row r="570" spans="2:9" ht="15.75">
      <c r="B570" s="12">
        <v>642</v>
      </c>
      <c r="C570" s="12" t="s">
        <v>1497</v>
      </c>
      <c r="D570" s="12">
        <v>0.64200000000000002</v>
      </c>
      <c r="I570" s="12"/>
    </row>
    <row r="571" spans="2:9" ht="15.75">
      <c r="B571" s="12">
        <v>641</v>
      </c>
      <c r="C571" s="12" t="s">
        <v>1498</v>
      </c>
      <c r="D571" s="12">
        <v>0.64100000000000001</v>
      </c>
      <c r="I571" s="12"/>
    </row>
    <row r="572" spans="2:9" ht="15.75">
      <c r="B572" s="12">
        <v>640</v>
      </c>
      <c r="C572" s="12" t="s">
        <v>1499</v>
      </c>
      <c r="D572" s="12">
        <v>0.64</v>
      </c>
      <c r="I572" s="12"/>
    </row>
    <row r="573" spans="2:9" ht="15.75">
      <c r="B573" s="12">
        <v>639</v>
      </c>
      <c r="C573" s="12" t="s">
        <v>1500</v>
      </c>
      <c r="D573" s="12">
        <v>0.63900000000000001</v>
      </c>
      <c r="I573" s="12"/>
    </row>
    <row r="574" spans="2:9" ht="15.75">
      <c r="B574" s="12">
        <v>638</v>
      </c>
      <c r="C574" s="12" t="s">
        <v>1501</v>
      </c>
      <c r="D574" s="12">
        <v>0.63800000000000001</v>
      </c>
      <c r="I574" s="12"/>
    </row>
    <row r="575" spans="2:9" ht="15.75">
      <c r="B575" s="12">
        <v>637</v>
      </c>
      <c r="C575" s="12" t="s">
        <v>1502</v>
      </c>
      <c r="D575" s="12">
        <v>0.63700000000000001</v>
      </c>
      <c r="I575" s="12"/>
    </row>
    <row r="576" spans="2:9" ht="15.75">
      <c r="B576" s="12">
        <v>636</v>
      </c>
      <c r="C576" s="12" t="s">
        <v>1503</v>
      </c>
      <c r="D576" s="12">
        <v>0.63600000000000001</v>
      </c>
      <c r="I576" s="12"/>
    </row>
    <row r="577" spans="2:9" ht="15.75">
      <c r="B577" s="12">
        <v>635</v>
      </c>
      <c r="C577" s="12" t="s">
        <v>1504</v>
      </c>
      <c r="D577" s="12">
        <v>0.63500000000000001</v>
      </c>
      <c r="I577" s="12"/>
    </row>
    <row r="578" spans="2:9" ht="15.75">
      <c r="B578" s="12">
        <v>634</v>
      </c>
      <c r="C578" s="12" t="s">
        <v>1505</v>
      </c>
      <c r="D578" s="12">
        <v>0.63400000000000001</v>
      </c>
      <c r="I578" s="12"/>
    </row>
    <row r="579" spans="2:9" ht="15.75">
      <c r="B579" s="12">
        <v>633</v>
      </c>
      <c r="C579" s="12" t="s">
        <v>1506</v>
      </c>
      <c r="D579" s="12">
        <v>0.63300000000000001</v>
      </c>
      <c r="I579" s="12"/>
    </row>
    <row r="580" spans="2:9" ht="15.75">
      <c r="B580" s="12">
        <v>632</v>
      </c>
      <c r="C580" s="12" t="s">
        <v>1507</v>
      </c>
      <c r="D580" s="12">
        <v>0.63200000000000001</v>
      </c>
      <c r="I580" s="12"/>
    </row>
    <row r="581" spans="2:9" ht="15.75">
      <c r="B581" s="12">
        <v>631</v>
      </c>
      <c r="C581" s="12" t="s">
        <v>1508</v>
      </c>
      <c r="D581" s="12">
        <v>0.63100000000000001</v>
      </c>
      <c r="I581" s="12"/>
    </row>
    <row r="582" spans="2:9" ht="15.75">
      <c r="B582" s="12">
        <v>630</v>
      </c>
      <c r="C582" s="12" t="s">
        <v>1509</v>
      </c>
      <c r="D582" s="12">
        <v>0.63</v>
      </c>
      <c r="I582" s="12"/>
    </row>
    <row r="583" spans="2:9" ht="15.75">
      <c r="B583" s="12">
        <v>629</v>
      </c>
      <c r="C583" s="12" t="s">
        <v>1510</v>
      </c>
      <c r="D583" s="12">
        <v>0.629</v>
      </c>
      <c r="I583" s="12"/>
    </row>
    <row r="584" spans="2:9" ht="15.75">
      <c r="B584" s="12">
        <v>628</v>
      </c>
      <c r="C584" s="12" t="s">
        <v>1511</v>
      </c>
      <c r="D584" s="12">
        <v>0.628</v>
      </c>
      <c r="I584" s="12"/>
    </row>
    <row r="585" spans="2:9" ht="15.75">
      <c r="B585" s="12">
        <v>627</v>
      </c>
      <c r="C585" s="12" t="s">
        <v>1512</v>
      </c>
      <c r="D585" s="12">
        <v>0.627</v>
      </c>
      <c r="I585" s="12"/>
    </row>
    <row r="586" spans="2:9" ht="15.75">
      <c r="B586" s="12">
        <v>626</v>
      </c>
      <c r="C586" s="12" t="s">
        <v>1513</v>
      </c>
      <c r="D586" s="12">
        <v>0.626</v>
      </c>
      <c r="I586" s="12"/>
    </row>
    <row r="587" spans="2:9" ht="15.75">
      <c r="B587" s="12">
        <v>625</v>
      </c>
      <c r="C587" s="12" t="s">
        <v>1514</v>
      </c>
      <c r="D587" s="12">
        <v>0.625</v>
      </c>
      <c r="I587" s="12"/>
    </row>
    <row r="588" spans="2:9" ht="15.75">
      <c r="B588" s="12">
        <v>624</v>
      </c>
      <c r="C588" s="12" t="s">
        <v>1515</v>
      </c>
      <c r="D588" s="12">
        <v>0.624</v>
      </c>
      <c r="I588" s="12"/>
    </row>
    <row r="589" spans="2:9" ht="15.75">
      <c r="B589" s="12">
        <v>623</v>
      </c>
      <c r="C589" s="12" t="s">
        <v>1516</v>
      </c>
      <c r="D589" s="12">
        <v>0.623</v>
      </c>
      <c r="I589" s="12"/>
    </row>
    <row r="590" spans="2:9" ht="15.75">
      <c r="B590" s="12">
        <v>622</v>
      </c>
      <c r="C590" s="12" t="s">
        <v>1517</v>
      </c>
      <c r="D590" s="12">
        <v>0.622</v>
      </c>
      <c r="I590" s="12"/>
    </row>
    <row r="591" spans="2:9" ht="15.75">
      <c r="B591" s="12">
        <v>621</v>
      </c>
      <c r="C591" s="12" t="s">
        <v>1518</v>
      </c>
      <c r="D591" s="12">
        <v>0.621</v>
      </c>
      <c r="I591" s="12"/>
    </row>
    <row r="592" spans="2:9" ht="15.75">
      <c r="B592" s="12">
        <v>620</v>
      </c>
      <c r="C592" s="12" t="s">
        <v>1519</v>
      </c>
      <c r="D592" s="12">
        <v>0.62</v>
      </c>
      <c r="I592" s="12"/>
    </row>
    <row r="593" spans="2:9" ht="15.75">
      <c r="B593" s="12">
        <v>619</v>
      </c>
      <c r="C593" s="12" t="s">
        <v>1520</v>
      </c>
      <c r="D593" s="12">
        <v>0.61899999999999999</v>
      </c>
      <c r="I593" s="12"/>
    </row>
    <row r="594" spans="2:9" ht="15.75">
      <c r="B594" s="12">
        <v>618</v>
      </c>
      <c r="C594" s="12" t="s">
        <v>1521</v>
      </c>
      <c r="D594" s="12">
        <v>0.61799999999999999</v>
      </c>
      <c r="I594" s="12"/>
    </row>
    <row r="595" spans="2:9" ht="15.75">
      <c r="B595" s="12">
        <v>617</v>
      </c>
      <c r="C595" s="12" t="s">
        <v>1522</v>
      </c>
      <c r="D595" s="12">
        <v>0.61699999999999999</v>
      </c>
      <c r="I595" s="12"/>
    </row>
    <row r="596" spans="2:9" ht="15.75">
      <c r="B596" s="12">
        <v>616</v>
      </c>
      <c r="C596" s="12" t="s">
        <v>1523</v>
      </c>
      <c r="D596" s="12">
        <v>0.61599999999999999</v>
      </c>
      <c r="I596" s="12"/>
    </row>
    <row r="597" spans="2:9" ht="15.75">
      <c r="B597" s="12">
        <v>615</v>
      </c>
      <c r="C597" s="12" t="s">
        <v>1524</v>
      </c>
      <c r="D597" s="12">
        <v>0.61499999999999999</v>
      </c>
      <c r="I597" s="12"/>
    </row>
    <row r="598" spans="2:9" ht="15.75">
      <c r="B598" s="12">
        <v>614</v>
      </c>
      <c r="C598" s="12" t="s">
        <v>1525</v>
      </c>
      <c r="D598" s="12">
        <v>0.61399999999999999</v>
      </c>
      <c r="I598" s="12"/>
    </row>
    <row r="599" spans="2:9" ht="15.75">
      <c r="B599" s="12">
        <v>613</v>
      </c>
      <c r="C599" s="12" t="s">
        <v>1526</v>
      </c>
      <c r="D599" s="12">
        <v>0.61299999999999999</v>
      </c>
      <c r="I599" s="12"/>
    </row>
    <row r="600" spans="2:9" ht="15.75">
      <c r="B600" s="12">
        <v>612</v>
      </c>
      <c r="C600" s="12" t="s">
        <v>1527</v>
      </c>
      <c r="D600" s="12">
        <v>0.61199999999999999</v>
      </c>
      <c r="I600" s="12"/>
    </row>
    <row r="601" spans="2:9" ht="15.75">
      <c r="B601" s="12">
        <v>611</v>
      </c>
      <c r="C601" s="12" t="s">
        <v>1528</v>
      </c>
      <c r="D601" s="12">
        <v>0.61099999999999999</v>
      </c>
      <c r="I601" s="12"/>
    </row>
    <row r="602" spans="2:9" ht="15.75">
      <c r="B602" s="12">
        <v>610</v>
      </c>
      <c r="C602" s="12" t="s">
        <v>1529</v>
      </c>
      <c r="D602" s="12">
        <v>0.61</v>
      </c>
      <c r="I602" s="12"/>
    </row>
    <row r="603" spans="2:9" ht="15.75">
      <c r="B603" s="12">
        <v>609</v>
      </c>
      <c r="C603" s="12" t="s">
        <v>1530</v>
      </c>
      <c r="D603" s="12">
        <v>0.60899999999999999</v>
      </c>
      <c r="I603" s="12"/>
    </row>
    <row r="604" spans="2:9" ht="15.75">
      <c r="B604" s="12">
        <v>608</v>
      </c>
      <c r="C604" s="12" t="s">
        <v>1531</v>
      </c>
      <c r="D604" s="12">
        <v>0.60799999999999998</v>
      </c>
      <c r="I604" s="12"/>
    </row>
    <row r="605" spans="2:9" ht="15.75">
      <c r="B605" s="12">
        <v>607</v>
      </c>
      <c r="C605" s="12" t="s">
        <v>1532</v>
      </c>
      <c r="D605" s="12">
        <v>0.60699999999999998</v>
      </c>
      <c r="I605" s="12"/>
    </row>
    <row r="606" spans="2:9" ht="15.75">
      <c r="B606" s="12">
        <v>606</v>
      </c>
      <c r="C606" s="12" t="s">
        <v>1533</v>
      </c>
      <c r="D606" s="12">
        <v>0.60599999999999998</v>
      </c>
      <c r="I606" s="12"/>
    </row>
    <row r="607" spans="2:9" ht="15.75">
      <c r="B607" s="12">
        <v>605</v>
      </c>
      <c r="C607" s="12" t="s">
        <v>1534</v>
      </c>
      <c r="D607" s="12">
        <v>0.60499999999999998</v>
      </c>
      <c r="I607" s="12"/>
    </row>
    <row r="608" spans="2:9" ht="15.75">
      <c r="B608" s="12">
        <v>604</v>
      </c>
      <c r="C608" s="12" t="s">
        <v>1535</v>
      </c>
      <c r="D608" s="12">
        <v>0.60399999999999998</v>
      </c>
      <c r="I608" s="12"/>
    </row>
    <row r="609" spans="2:9" ht="15.75">
      <c r="B609" s="12">
        <v>603</v>
      </c>
      <c r="C609" s="12" t="s">
        <v>1536</v>
      </c>
      <c r="D609" s="12">
        <v>0.60299999999999998</v>
      </c>
      <c r="I609" s="12"/>
    </row>
    <row r="610" spans="2:9" ht="15.75">
      <c r="B610" s="12">
        <v>602</v>
      </c>
      <c r="C610" s="12" t="s">
        <v>1537</v>
      </c>
      <c r="D610" s="12">
        <v>0.60199999999999998</v>
      </c>
      <c r="I610" s="12"/>
    </row>
    <row r="611" spans="2:9" ht="15.75">
      <c r="B611" s="12">
        <v>601</v>
      </c>
      <c r="C611" s="12" t="s">
        <v>1538</v>
      </c>
      <c r="D611" s="12">
        <v>0.60099999999999998</v>
      </c>
      <c r="I611" s="12"/>
    </row>
    <row r="612" spans="2:9" ht="15.75">
      <c r="B612" s="12">
        <v>600</v>
      </c>
      <c r="C612" s="12" t="s">
        <v>1539</v>
      </c>
      <c r="D612" s="12">
        <v>0.6</v>
      </c>
      <c r="I612" s="12"/>
    </row>
    <row r="613" spans="2:9" ht="15.75">
      <c r="B613" s="12">
        <v>599</v>
      </c>
      <c r="C613" s="12" t="s">
        <v>1540</v>
      </c>
      <c r="D613" s="12">
        <v>0.59899999999999998</v>
      </c>
      <c r="I613" s="12"/>
    </row>
    <row r="614" spans="2:9" ht="15.75">
      <c r="B614" s="12">
        <v>598</v>
      </c>
      <c r="C614" s="12" t="s">
        <v>1541</v>
      </c>
      <c r="D614" s="12">
        <v>0.59799999999999998</v>
      </c>
      <c r="I614" s="12"/>
    </row>
    <row r="615" spans="2:9" ht="15.75">
      <c r="B615" s="12">
        <v>597</v>
      </c>
      <c r="C615" s="12" t="s">
        <v>1542</v>
      </c>
      <c r="D615" s="12">
        <v>0.59699999999999998</v>
      </c>
      <c r="I615" s="12"/>
    </row>
    <row r="616" spans="2:9" ht="15.75">
      <c r="B616" s="12">
        <v>596</v>
      </c>
      <c r="C616" s="12" t="s">
        <v>1543</v>
      </c>
      <c r="D616" s="12">
        <v>0.59599999999999997</v>
      </c>
      <c r="I616" s="12"/>
    </row>
    <row r="617" spans="2:9" ht="15.75">
      <c r="B617" s="12">
        <v>595</v>
      </c>
      <c r="C617" s="12" t="s">
        <v>1544</v>
      </c>
      <c r="D617" s="12">
        <v>0.59499999999999997</v>
      </c>
      <c r="I617" s="12"/>
    </row>
    <row r="618" spans="2:9" ht="15.75">
      <c r="B618" s="12">
        <v>594</v>
      </c>
      <c r="C618" s="12" t="s">
        <v>1545</v>
      </c>
      <c r="D618" s="12">
        <v>0.59399999999999997</v>
      </c>
      <c r="I618" s="12"/>
    </row>
    <row r="619" spans="2:9" ht="15.75">
      <c r="B619" s="12">
        <v>593</v>
      </c>
      <c r="C619" s="12" t="s">
        <v>1546</v>
      </c>
      <c r="D619" s="12">
        <v>0.59299999999999997</v>
      </c>
      <c r="I619" s="12"/>
    </row>
    <row r="620" spans="2:9" ht="15.75">
      <c r="B620" s="12">
        <v>592</v>
      </c>
      <c r="C620" s="12" t="s">
        <v>1547</v>
      </c>
      <c r="D620" s="12">
        <v>0.59199999999999997</v>
      </c>
      <c r="I620" s="12"/>
    </row>
    <row r="621" spans="2:9" ht="15.75">
      <c r="B621" s="12">
        <v>591</v>
      </c>
      <c r="C621" s="12" t="s">
        <v>1548</v>
      </c>
      <c r="D621" s="12">
        <v>0.59099999999999997</v>
      </c>
      <c r="I621" s="12"/>
    </row>
    <row r="622" spans="2:9" ht="15.75">
      <c r="B622" s="12">
        <v>590</v>
      </c>
      <c r="C622" s="12" t="s">
        <v>1549</v>
      </c>
      <c r="D622" s="12">
        <v>0.59</v>
      </c>
      <c r="I622" s="12"/>
    </row>
    <row r="623" spans="2:9" ht="15.75">
      <c r="B623" s="12">
        <v>589</v>
      </c>
      <c r="C623" s="12" t="s">
        <v>1550</v>
      </c>
      <c r="D623" s="12">
        <v>0.58899999999999997</v>
      </c>
      <c r="I623" s="12"/>
    </row>
    <row r="624" spans="2:9" ht="15.75">
      <c r="B624" s="12">
        <v>588</v>
      </c>
      <c r="C624" s="12" t="s">
        <v>1551</v>
      </c>
      <c r="D624" s="12">
        <v>0.58799999999999997</v>
      </c>
      <c r="I624" s="12"/>
    </row>
    <row r="625" spans="2:9" ht="15.75">
      <c r="B625" s="12">
        <v>587</v>
      </c>
      <c r="C625" s="12" t="s">
        <v>1552</v>
      </c>
      <c r="D625" s="12">
        <v>0.58699999999999997</v>
      </c>
      <c r="I625" s="12"/>
    </row>
    <row r="626" spans="2:9" ht="15.75">
      <c r="B626" s="12">
        <v>586</v>
      </c>
      <c r="C626" s="12" t="s">
        <v>1553</v>
      </c>
      <c r="D626" s="12">
        <v>0.58599999999999997</v>
      </c>
      <c r="I626" s="12"/>
    </row>
    <row r="627" spans="2:9" ht="15.75">
      <c r="B627" s="12">
        <v>585</v>
      </c>
      <c r="C627" s="12" t="s">
        <v>1554</v>
      </c>
      <c r="D627" s="12">
        <v>0.58499999999999996</v>
      </c>
      <c r="I627" s="12"/>
    </row>
    <row r="628" spans="2:9" ht="15.75">
      <c r="B628" s="12">
        <v>584</v>
      </c>
      <c r="C628" s="12" t="s">
        <v>1555</v>
      </c>
      <c r="D628" s="12">
        <v>0.58399999999999996</v>
      </c>
      <c r="I628" s="12"/>
    </row>
    <row r="629" spans="2:9" ht="15.75">
      <c r="B629" s="12">
        <v>583</v>
      </c>
      <c r="C629" s="12" t="s">
        <v>1556</v>
      </c>
      <c r="D629" s="12">
        <v>0.58299999999999996</v>
      </c>
      <c r="I629" s="12"/>
    </row>
    <row r="630" spans="2:9" ht="15.75">
      <c r="B630" s="12">
        <v>582</v>
      </c>
      <c r="C630" s="12" t="s">
        <v>1557</v>
      </c>
      <c r="D630" s="12">
        <v>0.58199999999999996</v>
      </c>
      <c r="I630" s="12"/>
    </row>
    <row r="631" spans="2:9" ht="15.75">
      <c r="B631" s="12">
        <v>581</v>
      </c>
      <c r="C631" s="12" t="s">
        <v>1558</v>
      </c>
      <c r="D631" s="12">
        <v>0.58099999999999996</v>
      </c>
      <c r="I631" s="12"/>
    </row>
    <row r="632" spans="2:9" ht="15.75">
      <c r="B632" s="12">
        <v>580</v>
      </c>
      <c r="C632" s="12" t="s">
        <v>1559</v>
      </c>
      <c r="D632" s="12">
        <v>0.57999999999999996</v>
      </c>
      <c r="I632" s="12"/>
    </row>
    <row r="633" spans="2:9" ht="15.75">
      <c r="B633" s="12">
        <v>579</v>
      </c>
      <c r="C633" s="12" t="s">
        <v>1560</v>
      </c>
      <c r="D633" s="12">
        <v>0.57899999999999996</v>
      </c>
      <c r="I633" s="12"/>
    </row>
    <row r="634" spans="2:9" ht="15.75">
      <c r="B634" s="12">
        <v>578</v>
      </c>
      <c r="C634" s="12" t="s">
        <v>1561</v>
      </c>
      <c r="D634" s="12">
        <v>0.57799999999999996</v>
      </c>
      <c r="I634" s="12"/>
    </row>
    <row r="635" spans="2:9" ht="15.75">
      <c r="B635" s="12">
        <v>577</v>
      </c>
      <c r="C635" s="12" t="s">
        <v>1562</v>
      </c>
      <c r="D635" s="12">
        <v>0.57699999999999996</v>
      </c>
      <c r="I635" s="12"/>
    </row>
    <row r="636" spans="2:9" ht="15.75">
      <c r="B636" s="12">
        <v>576</v>
      </c>
      <c r="C636" s="12" t="s">
        <v>1563</v>
      </c>
      <c r="D636" s="12">
        <v>0.57599999999999996</v>
      </c>
      <c r="I636" s="12"/>
    </row>
    <row r="637" spans="2:9" ht="15.75">
      <c r="B637" s="12">
        <v>575</v>
      </c>
      <c r="C637" s="12" t="s">
        <v>1564</v>
      </c>
      <c r="D637" s="12">
        <v>0.57499999999999996</v>
      </c>
      <c r="I637" s="12"/>
    </row>
    <row r="638" spans="2:9" ht="15.75">
      <c r="B638" s="12">
        <v>574</v>
      </c>
      <c r="C638" s="12" t="s">
        <v>1565</v>
      </c>
      <c r="D638" s="12">
        <v>0.57399999999999995</v>
      </c>
      <c r="I638" s="12"/>
    </row>
    <row r="639" spans="2:9" ht="15.75">
      <c r="B639" s="12">
        <v>573</v>
      </c>
      <c r="C639" s="12" t="s">
        <v>1566</v>
      </c>
      <c r="D639" s="12">
        <v>0.57299999999999995</v>
      </c>
      <c r="I639" s="12"/>
    </row>
    <row r="640" spans="2:9" ht="15.75">
      <c r="B640" s="12">
        <v>572</v>
      </c>
      <c r="C640" s="12" t="s">
        <v>1567</v>
      </c>
      <c r="D640" s="12">
        <v>0.57199999999999995</v>
      </c>
      <c r="I640" s="12"/>
    </row>
    <row r="641" spans="2:9" ht="15.75">
      <c r="B641" s="12">
        <v>571</v>
      </c>
      <c r="C641" s="12" t="s">
        <v>1568</v>
      </c>
      <c r="D641" s="12">
        <v>0.57099999999999995</v>
      </c>
      <c r="I641" s="12"/>
    </row>
    <row r="642" spans="2:9" ht="15.75">
      <c r="B642" s="12">
        <v>570</v>
      </c>
      <c r="C642" s="12" t="s">
        <v>1569</v>
      </c>
      <c r="D642" s="12">
        <v>0.56999999999999995</v>
      </c>
      <c r="I642" s="12"/>
    </row>
    <row r="643" spans="2:9" ht="15.75">
      <c r="B643" s="12">
        <v>569</v>
      </c>
      <c r="C643" s="12" t="s">
        <v>1570</v>
      </c>
      <c r="D643" s="12">
        <v>0.56899999999999995</v>
      </c>
      <c r="I643" s="12"/>
    </row>
    <row r="644" spans="2:9" ht="15.75">
      <c r="B644" s="12">
        <v>568</v>
      </c>
      <c r="C644" s="12" t="s">
        <v>1571</v>
      </c>
      <c r="D644" s="12">
        <v>0.56799999999999995</v>
      </c>
      <c r="I644" s="12"/>
    </row>
    <row r="645" spans="2:9" ht="15.75">
      <c r="B645" s="12">
        <v>567</v>
      </c>
      <c r="C645" s="12" t="s">
        <v>1572</v>
      </c>
      <c r="D645" s="12">
        <v>0.56699999999999995</v>
      </c>
      <c r="I645" s="12"/>
    </row>
    <row r="646" spans="2:9" ht="15.75">
      <c r="B646" s="12">
        <v>566</v>
      </c>
      <c r="C646" s="12" t="s">
        <v>1573</v>
      </c>
      <c r="D646" s="12">
        <v>0.56599999999999995</v>
      </c>
      <c r="I646" s="12"/>
    </row>
    <row r="647" spans="2:9" ht="15.75">
      <c r="B647" s="12">
        <v>565</v>
      </c>
      <c r="C647" s="12" t="s">
        <v>1574</v>
      </c>
      <c r="D647" s="12">
        <v>0.56499999999999995</v>
      </c>
      <c r="I647" s="12"/>
    </row>
    <row r="648" spans="2:9" ht="15.75">
      <c r="B648" s="12">
        <v>564</v>
      </c>
      <c r="C648" s="12" t="s">
        <v>1575</v>
      </c>
      <c r="D648" s="12">
        <v>0.56399999999999995</v>
      </c>
      <c r="I648" s="12"/>
    </row>
    <row r="649" spans="2:9" ht="15.75">
      <c r="B649" s="12">
        <v>563</v>
      </c>
      <c r="C649" s="12" t="s">
        <v>1576</v>
      </c>
      <c r="D649" s="12">
        <v>0.56299999999999994</v>
      </c>
      <c r="I649" s="12"/>
    </row>
    <row r="650" spans="2:9" ht="15.75">
      <c r="B650" s="12">
        <v>562</v>
      </c>
      <c r="C650" s="12" t="s">
        <v>1577</v>
      </c>
      <c r="D650" s="12">
        <v>0.56200000000000006</v>
      </c>
      <c r="I650" s="12"/>
    </row>
    <row r="651" spans="2:9" ht="15.75">
      <c r="B651" s="12">
        <v>561</v>
      </c>
      <c r="C651" s="12" t="s">
        <v>1578</v>
      </c>
      <c r="D651" s="12">
        <v>0.56100000000000005</v>
      </c>
      <c r="I651" s="12"/>
    </row>
    <row r="652" spans="2:9" ht="15.75">
      <c r="B652" s="12">
        <v>560</v>
      </c>
      <c r="C652" s="12" t="s">
        <v>1579</v>
      </c>
      <c r="D652" s="12">
        <v>0.56000000000000005</v>
      </c>
      <c r="I652" s="12"/>
    </row>
    <row r="653" spans="2:9" ht="15.75">
      <c r="B653" s="12">
        <v>559</v>
      </c>
      <c r="C653" s="12" t="s">
        <v>1580</v>
      </c>
      <c r="D653" s="12">
        <v>0.55900000000000005</v>
      </c>
      <c r="I653" s="12"/>
    </row>
    <row r="654" spans="2:9" ht="15.75">
      <c r="B654" s="12">
        <v>558</v>
      </c>
      <c r="C654" s="12" t="s">
        <v>1581</v>
      </c>
      <c r="D654" s="12">
        <v>0.55800000000000005</v>
      </c>
      <c r="I654" s="12"/>
    </row>
    <row r="655" spans="2:9" ht="15.75">
      <c r="B655" s="12">
        <v>557</v>
      </c>
      <c r="C655" s="12" t="s">
        <v>1582</v>
      </c>
      <c r="D655" s="12">
        <v>0.55700000000000005</v>
      </c>
      <c r="I655" s="12"/>
    </row>
    <row r="656" spans="2:9" ht="15.75">
      <c r="B656" s="12">
        <v>556</v>
      </c>
      <c r="C656" s="12" t="s">
        <v>1583</v>
      </c>
      <c r="D656" s="12">
        <v>0.55600000000000005</v>
      </c>
      <c r="I656" s="12"/>
    </row>
    <row r="657" spans="2:9" ht="15.75">
      <c r="B657" s="12">
        <v>555</v>
      </c>
      <c r="C657" s="12" t="s">
        <v>1584</v>
      </c>
      <c r="D657" s="12">
        <v>0.55500000000000005</v>
      </c>
      <c r="I657" s="12"/>
    </row>
    <row r="658" spans="2:9" ht="15.75">
      <c r="B658" s="12">
        <v>554</v>
      </c>
      <c r="C658" s="12" t="s">
        <v>1585</v>
      </c>
      <c r="D658" s="12">
        <v>0.55400000000000005</v>
      </c>
      <c r="I658" s="12"/>
    </row>
    <row r="659" spans="2:9" ht="15.75">
      <c r="B659" s="12">
        <v>553</v>
      </c>
      <c r="C659" s="12" t="s">
        <v>1586</v>
      </c>
      <c r="D659" s="12">
        <v>0.55300000000000005</v>
      </c>
      <c r="I659" s="12"/>
    </row>
    <row r="660" spans="2:9" ht="15.75">
      <c r="B660" s="12">
        <v>552</v>
      </c>
      <c r="C660" s="12" t="s">
        <v>1587</v>
      </c>
      <c r="D660" s="12">
        <v>0.55200000000000005</v>
      </c>
      <c r="I660" s="12"/>
    </row>
    <row r="661" spans="2:9" ht="15.75">
      <c r="B661" s="12">
        <v>551</v>
      </c>
      <c r="C661" s="12" t="s">
        <v>1588</v>
      </c>
      <c r="D661" s="12">
        <v>0.55100000000000005</v>
      </c>
      <c r="I661" s="12"/>
    </row>
    <row r="662" spans="2:9" ht="15.75">
      <c r="B662" s="12">
        <v>550</v>
      </c>
      <c r="C662" s="12" t="s">
        <v>1589</v>
      </c>
      <c r="D662" s="12">
        <v>0.55000000000000004</v>
      </c>
      <c r="I662" s="12"/>
    </row>
    <row r="663" spans="2:9" ht="15.75">
      <c r="B663" s="12">
        <v>549</v>
      </c>
      <c r="C663" s="12" t="s">
        <v>1590</v>
      </c>
      <c r="D663" s="12">
        <v>0.54900000000000004</v>
      </c>
      <c r="I663" s="12"/>
    </row>
    <row r="664" spans="2:9" ht="15.75">
      <c r="B664" s="12">
        <v>548</v>
      </c>
      <c r="C664" s="12" t="s">
        <v>1591</v>
      </c>
      <c r="D664" s="12">
        <v>0.54800000000000004</v>
      </c>
      <c r="I664" s="12"/>
    </row>
    <row r="665" spans="2:9" ht="15.75">
      <c r="B665" s="12">
        <v>547</v>
      </c>
      <c r="C665" s="12" t="s">
        <v>1592</v>
      </c>
      <c r="D665" s="12">
        <v>0.54700000000000004</v>
      </c>
      <c r="I665" s="12"/>
    </row>
    <row r="666" spans="2:9" ht="15.75">
      <c r="B666" s="12">
        <v>546</v>
      </c>
      <c r="C666" s="12" t="s">
        <v>1593</v>
      </c>
      <c r="D666" s="12">
        <v>0.54600000000000004</v>
      </c>
      <c r="I666" s="12"/>
    </row>
    <row r="667" spans="2:9" ht="15.75">
      <c r="B667" s="12">
        <v>545</v>
      </c>
      <c r="C667" s="12" t="s">
        <v>1594</v>
      </c>
      <c r="D667" s="12">
        <v>0.54500000000000004</v>
      </c>
      <c r="I667" s="12"/>
    </row>
    <row r="668" spans="2:9" ht="15.75">
      <c r="B668" s="12">
        <v>544</v>
      </c>
      <c r="C668" s="12" t="s">
        <v>1595</v>
      </c>
      <c r="D668" s="12">
        <v>0.54400000000000004</v>
      </c>
      <c r="I668" s="12"/>
    </row>
    <row r="669" spans="2:9" ht="15.75">
      <c r="B669" s="12">
        <v>543</v>
      </c>
      <c r="C669" s="12" t="s">
        <v>1596</v>
      </c>
      <c r="D669" s="12">
        <v>0.54300000000000004</v>
      </c>
      <c r="I669" s="12"/>
    </row>
    <row r="670" spans="2:9" ht="15.75">
      <c r="B670" s="12">
        <v>542</v>
      </c>
      <c r="C670" s="12" t="s">
        <v>1597</v>
      </c>
      <c r="D670" s="12">
        <v>0.54200000000000004</v>
      </c>
      <c r="I670" s="12"/>
    </row>
    <row r="671" spans="2:9" ht="15.75">
      <c r="B671" s="12">
        <v>541</v>
      </c>
      <c r="C671" s="12" t="s">
        <v>1598</v>
      </c>
      <c r="D671" s="12">
        <v>0.54100000000000004</v>
      </c>
      <c r="I671" s="12"/>
    </row>
    <row r="672" spans="2:9" ht="15.75">
      <c r="B672" s="12">
        <v>540</v>
      </c>
      <c r="C672" s="12" t="s">
        <v>1599</v>
      </c>
      <c r="D672" s="12">
        <v>0.54</v>
      </c>
      <c r="I672" s="12"/>
    </row>
    <row r="673" spans="2:9" ht="15.75">
      <c r="B673" s="12">
        <v>539</v>
      </c>
      <c r="C673" s="12" t="s">
        <v>1600</v>
      </c>
      <c r="D673" s="12">
        <v>0.53900000000000003</v>
      </c>
      <c r="I673" s="12"/>
    </row>
    <row r="674" spans="2:9" ht="15.75">
      <c r="B674" s="12">
        <v>538</v>
      </c>
      <c r="C674" s="12" t="s">
        <v>1601</v>
      </c>
      <c r="D674" s="12">
        <v>0.53800000000000003</v>
      </c>
      <c r="I674" s="12"/>
    </row>
    <row r="675" spans="2:9" ht="15.75">
      <c r="B675" s="12">
        <v>537</v>
      </c>
      <c r="C675" s="12" t="s">
        <v>1602</v>
      </c>
      <c r="D675" s="12">
        <v>0.53700000000000003</v>
      </c>
      <c r="I675" s="12"/>
    </row>
    <row r="676" spans="2:9" ht="15.75">
      <c r="B676" s="12">
        <v>536</v>
      </c>
      <c r="C676" s="12" t="s">
        <v>1603</v>
      </c>
      <c r="D676" s="12">
        <v>0.53600000000000003</v>
      </c>
      <c r="I676" s="12"/>
    </row>
    <row r="677" spans="2:9" ht="15.75">
      <c r="B677" s="12">
        <v>535</v>
      </c>
      <c r="C677" s="12" t="s">
        <v>1604</v>
      </c>
      <c r="D677" s="12">
        <v>0.53500000000000003</v>
      </c>
      <c r="I677" s="12"/>
    </row>
    <row r="678" spans="2:9" ht="15.75">
      <c r="B678" s="12">
        <v>534</v>
      </c>
      <c r="C678" s="12" t="s">
        <v>1605</v>
      </c>
      <c r="D678" s="12">
        <v>0.53400000000000003</v>
      </c>
      <c r="I678" s="12"/>
    </row>
    <row r="679" spans="2:9" ht="15.75">
      <c r="B679" s="12">
        <v>533</v>
      </c>
      <c r="C679" s="12" t="s">
        <v>1606</v>
      </c>
      <c r="D679" s="12">
        <v>0.53300000000000003</v>
      </c>
      <c r="I679" s="12"/>
    </row>
    <row r="680" spans="2:9" ht="15.75">
      <c r="B680" s="12">
        <v>532</v>
      </c>
      <c r="C680" s="12" t="s">
        <v>1607</v>
      </c>
      <c r="D680" s="12">
        <v>0.53200000000000003</v>
      </c>
      <c r="I680" s="12"/>
    </row>
    <row r="681" spans="2:9" ht="15.75">
      <c r="B681" s="12">
        <v>531</v>
      </c>
      <c r="C681" s="12" t="s">
        <v>1608</v>
      </c>
      <c r="D681" s="12">
        <v>0.53100000000000003</v>
      </c>
      <c r="I681" s="12"/>
    </row>
    <row r="682" spans="2:9" ht="15.75">
      <c r="B682" s="12">
        <v>530</v>
      </c>
      <c r="C682" s="12" t="s">
        <v>1609</v>
      </c>
      <c r="D682" s="12">
        <v>0.53</v>
      </c>
      <c r="I682" s="12"/>
    </row>
    <row r="683" spans="2:9" ht="15.75">
      <c r="B683" s="12">
        <v>529</v>
      </c>
      <c r="C683" s="12" t="s">
        <v>1610</v>
      </c>
      <c r="D683" s="12">
        <v>0.52900000000000003</v>
      </c>
      <c r="I683" s="12"/>
    </row>
    <row r="684" spans="2:9" ht="15.75">
      <c r="B684" s="12">
        <v>528</v>
      </c>
      <c r="C684" s="12" t="s">
        <v>1611</v>
      </c>
      <c r="D684" s="12">
        <v>0.52800000000000002</v>
      </c>
      <c r="I684" s="12"/>
    </row>
    <row r="685" spans="2:9" ht="15.75">
      <c r="B685" s="12">
        <v>527</v>
      </c>
      <c r="C685" s="12" t="s">
        <v>1612</v>
      </c>
      <c r="D685" s="12">
        <v>0.52700000000000002</v>
      </c>
      <c r="I685" s="12"/>
    </row>
    <row r="686" spans="2:9" ht="15.75">
      <c r="B686" s="12">
        <v>526</v>
      </c>
      <c r="C686" s="12" t="s">
        <v>1613</v>
      </c>
      <c r="D686" s="12">
        <v>0.52600000000000002</v>
      </c>
      <c r="I686" s="12"/>
    </row>
    <row r="687" spans="2:9" ht="15.75">
      <c r="B687" s="12">
        <v>525</v>
      </c>
      <c r="C687" s="12" t="s">
        <v>1614</v>
      </c>
      <c r="D687" s="12">
        <v>0.52500000000000002</v>
      </c>
      <c r="I687" s="12"/>
    </row>
    <row r="688" spans="2:9" ht="15.75">
      <c r="B688" s="12">
        <v>524</v>
      </c>
      <c r="C688" s="12" t="s">
        <v>1615</v>
      </c>
      <c r="D688" s="12">
        <v>0.52400000000000002</v>
      </c>
      <c r="I688" s="12"/>
    </row>
    <row r="689" spans="2:9" ht="15.75">
      <c r="B689" s="12">
        <v>523</v>
      </c>
      <c r="C689" s="12" t="s">
        <v>1616</v>
      </c>
      <c r="D689" s="12">
        <v>0.52300000000000002</v>
      </c>
      <c r="I689" s="12"/>
    </row>
    <row r="690" spans="2:9" ht="15.75">
      <c r="B690" s="12">
        <v>522</v>
      </c>
      <c r="C690" s="12" t="s">
        <v>1617</v>
      </c>
      <c r="D690" s="12">
        <v>0.52200000000000002</v>
      </c>
      <c r="I690" s="12"/>
    </row>
    <row r="691" spans="2:9" ht="15.75">
      <c r="B691" s="12">
        <v>521</v>
      </c>
      <c r="C691" s="12" t="s">
        <v>1618</v>
      </c>
      <c r="D691" s="12">
        <v>0.52100000000000002</v>
      </c>
      <c r="I691" s="12"/>
    </row>
    <row r="692" spans="2:9" ht="15.75">
      <c r="B692" s="12">
        <v>520</v>
      </c>
      <c r="C692" s="12" t="s">
        <v>1619</v>
      </c>
      <c r="D692" s="12">
        <v>0.52</v>
      </c>
      <c r="I692" s="12"/>
    </row>
    <row r="693" spans="2:9" ht="15.75">
      <c r="B693" s="12">
        <v>519</v>
      </c>
      <c r="C693" s="12" t="s">
        <v>1620</v>
      </c>
      <c r="D693" s="12">
        <v>0.51900000000000002</v>
      </c>
      <c r="I693" s="12"/>
    </row>
    <row r="694" spans="2:9" ht="15.75">
      <c r="B694" s="12">
        <v>518</v>
      </c>
      <c r="C694" s="12" t="s">
        <v>1621</v>
      </c>
      <c r="D694" s="12">
        <v>0.51800000000000002</v>
      </c>
      <c r="I694" s="12"/>
    </row>
    <row r="695" spans="2:9" ht="15.75">
      <c r="B695" s="12">
        <v>517</v>
      </c>
      <c r="C695" s="12" t="s">
        <v>1622</v>
      </c>
      <c r="D695" s="12">
        <v>0.51700000000000002</v>
      </c>
      <c r="I695" s="12"/>
    </row>
    <row r="696" spans="2:9" ht="15.75">
      <c r="B696" s="12">
        <v>516</v>
      </c>
      <c r="C696" s="12" t="s">
        <v>1623</v>
      </c>
      <c r="D696" s="12">
        <v>0.51600000000000001</v>
      </c>
      <c r="I696" s="12"/>
    </row>
    <row r="697" spans="2:9" ht="15.75">
      <c r="B697" s="12">
        <v>515</v>
      </c>
      <c r="C697" s="12" t="s">
        <v>1624</v>
      </c>
      <c r="D697" s="12">
        <v>0.51500000000000001</v>
      </c>
      <c r="I697" s="12"/>
    </row>
    <row r="698" spans="2:9" ht="15.75">
      <c r="B698" s="12">
        <v>514</v>
      </c>
      <c r="C698" s="12" t="s">
        <v>1625</v>
      </c>
      <c r="D698" s="12">
        <v>0.51400000000000001</v>
      </c>
      <c r="I698" s="12"/>
    </row>
    <row r="699" spans="2:9" ht="15.75">
      <c r="B699" s="12">
        <v>513</v>
      </c>
      <c r="C699" s="12" t="s">
        <v>1626</v>
      </c>
      <c r="D699" s="12">
        <v>0.51300000000000001</v>
      </c>
      <c r="I699" s="12"/>
    </row>
    <row r="700" spans="2:9" ht="15.75">
      <c r="B700" s="12">
        <v>512</v>
      </c>
      <c r="C700" s="12" t="s">
        <v>1627</v>
      </c>
      <c r="D700" s="12">
        <v>0.51200000000000001</v>
      </c>
      <c r="I700" s="12"/>
    </row>
    <row r="701" spans="2:9" ht="15.75">
      <c r="B701" s="12">
        <v>511</v>
      </c>
      <c r="C701" s="12" t="s">
        <v>1628</v>
      </c>
      <c r="D701" s="12">
        <v>0.51100000000000001</v>
      </c>
      <c r="I701" s="12"/>
    </row>
    <row r="702" spans="2:9" ht="15.75">
      <c r="B702" s="12">
        <v>510</v>
      </c>
      <c r="C702" s="12" t="s">
        <v>1629</v>
      </c>
      <c r="D702" s="12">
        <v>0.51</v>
      </c>
      <c r="I702" s="12"/>
    </row>
    <row r="703" spans="2:9" ht="15.75">
      <c r="B703" s="12">
        <v>509</v>
      </c>
      <c r="C703" s="12" t="s">
        <v>1630</v>
      </c>
      <c r="D703" s="12">
        <v>0.50900000000000001</v>
      </c>
      <c r="I703" s="12"/>
    </row>
    <row r="704" spans="2:9" ht="15.75">
      <c r="B704" s="12">
        <v>508</v>
      </c>
      <c r="C704" s="12" t="s">
        <v>1631</v>
      </c>
      <c r="D704" s="12">
        <v>0.50800000000000001</v>
      </c>
      <c r="I704" s="12"/>
    </row>
    <row r="705" spans="2:9" ht="15.75">
      <c r="B705" s="12">
        <v>507</v>
      </c>
      <c r="C705" s="12" t="s">
        <v>1632</v>
      </c>
      <c r="D705" s="12">
        <v>0.50700000000000001</v>
      </c>
      <c r="I705" s="12"/>
    </row>
    <row r="706" spans="2:9" ht="15.75">
      <c r="B706" s="12">
        <v>506</v>
      </c>
      <c r="C706" s="12" t="s">
        <v>1633</v>
      </c>
      <c r="D706" s="12">
        <v>0.50600000000000001</v>
      </c>
      <c r="I706" s="12"/>
    </row>
    <row r="707" spans="2:9" ht="15.75">
      <c r="B707" s="12">
        <v>505</v>
      </c>
      <c r="C707" s="12" t="s">
        <v>1634</v>
      </c>
      <c r="D707" s="12">
        <v>0.505</v>
      </c>
      <c r="I707" s="12"/>
    </row>
    <row r="708" spans="2:9" ht="15.75">
      <c r="B708" s="12">
        <v>504</v>
      </c>
      <c r="C708" s="12" t="s">
        <v>1635</v>
      </c>
      <c r="D708" s="12">
        <v>0.504</v>
      </c>
      <c r="I708" s="12"/>
    </row>
    <row r="709" spans="2:9" ht="15.75">
      <c r="B709" s="12">
        <v>503</v>
      </c>
      <c r="C709" s="12" t="s">
        <v>1636</v>
      </c>
      <c r="D709" s="12">
        <v>0.503</v>
      </c>
      <c r="I709" s="12"/>
    </row>
    <row r="710" spans="2:9" ht="15.75">
      <c r="B710" s="12">
        <v>502</v>
      </c>
      <c r="C710" s="12" t="s">
        <v>91</v>
      </c>
      <c r="D710" s="12">
        <v>0.502</v>
      </c>
      <c r="I710" s="12"/>
    </row>
    <row r="711" spans="2:9" ht="15.75">
      <c r="B711" s="12">
        <v>501</v>
      </c>
      <c r="C711" s="12" t="s">
        <v>1637</v>
      </c>
      <c r="D711" s="12">
        <v>0.501</v>
      </c>
      <c r="I711" s="12"/>
    </row>
    <row r="712" spans="2:9" ht="15.75">
      <c r="B712" s="12">
        <v>500</v>
      </c>
      <c r="C712" s="12" t="s">
        <v>1638</v>
      </c>
      <c r="D712" s="12">
        <v>0.5</v>
      </c>
      <c r="I712" s="12"/>
    </row>
    <row r="713" spans="2:9" ht="15.75">
      <c r="B713" s="12">
        <v>499</v>
      </c>
      <c r="C713" s="12" t="s">
        <v>1639</v>
      </c>
      <c r="D713" s="12">
        <v>0.499</v>
      </c>
      <c r="I713" s="12"/>
    </row>
    <row r="714" spans="2:9" ht="15.75">
      <c r="B714" s="12">
        <v>498</v>
      </c>
      <c r="C714" s="12" t="s">
        <v>1640</v>
      </c>
      <c r="D714" s="12">
        <v>0.498</v>
      </c>
      <c r="I714" s="12"/>
    </row>
    <row r="715" spans="2:9" ht="15.75">
      <c r="B715" s="12">
        <v>497</v>
      </c>
      <c r="C715" s="12" t="s">
        <v>1641</v>
      </c>
      <c r="D715" s="12">
        <v>0.497</v>
      </c>
      <c r="I715" s="12"/>
    </row>
    <row r="716" spans="2:9" ht="15.75">
      <c r="B716" s="12">
        <v>496</v>
      </c>
      <c r="C716" s="12" t="s">
        <v>1642</v>
      </c>
      <c r="D716" s="12">
        <v>0.496</v>
      </c>
      <c r="I716" s="12"/>
    </row>
    <row r="717" spans="2:9" ht="15.75">
      <c r="B717" s="12">
        <v>495</v>
      </c>
      <c r="C717" s="12" t="s">
        <v>1643</v>
      </c>
      <c r="D717" s="12">
        <v>0.495</v>
      </c>
      <c r="I717" s="12"/>
    </row>
    <row r="718" spans="2:9" ht="15.75">
      <c r="B718" s="12">
        <v>494</v>
      </c>
      <c r="C718" s="12" t="s">
        <v>1644</v>
      </c>
      <c r="D718" s="12">
        <v>0.49399999999999999</v>
      </c>
      <c r="I718" s="12"/>
    </row>
    <row r="719" spans="2:9" ht="15.75">
      <c r="B719" s="12">
        <v>493</v>
      </c>
      <c r="C719" s="12" t="s">
        <v>1645</v>
      </c>
      <c r="D719" s="12">
        <v>0.49299999999999999</v>
      </c>
      <c r="I719" s="12"/>
    </row>
    <row r="720" spans="2:9" ht="15.75">
      <c r="B720" s="12">
        <v>492</v>
      </c>
      <c r="C720" s="12" t="s">
        <v>1646</v>
      </c>
      <c r="D720" s="12">
        <v>0.49199999999999999</v>
      </c>
      <c r="I720" s="12"/>
    </row>
    <row r="721" spans="2:9" ht="15.75">
      <c r="B721" s="12">
        <v>491</v>
      </c>
      <c r="C721" s="12" t="s">
        <v>1647</v>
      </c>
      <c r="D721" s="12">
        <v>0.49099999999999999</v>
      </c>
      <c r="I721" s="12"/>
    </row>
    <row r="722" spans="2:9" ht="15.75">
      <c r="B722" s="12">
        <v>490</v>
      </c>
      <c r="C722" s="12" t="s">
        <v>1648</v>
      </c>
      <c r="D722" s="12">
        <v>0.49</v>
      </c>
      <c r="I722" s="12"/>
    </row>
    <row r="723" spans="2:9" ht="15.75">
      <c r="B723" s="12">
        <v>489</v>
      </c>
      <c r="C723" s="12" t="s">
        <v>1649</v>
      </c>
      <c r="D723" s="12">
        <v>0.48899999999999999</v>
      </c>
      <c r="I723" s="12"/>
    </row>
    <row r="724" spans="2:9" ht="15.75">
      <c r="B724" s="12">
        <v>488</v>
      </c>
      <c r="C724" s="12" t="s">
        <v>1650</v>
      </c>
      <c r="D724" s="12">
        <v>0.48799999999999999</v>
      </c>
      <c r="I724" s="12"/>
    </row>
    <row r="725" spans="2:9" ht="15.75">
      <c r="B725" s="12">
        <v>487</v>
      </c>
      <c r="C725" s="12" t="s">
        <v>1651</v>
      </c>
      <c r="D725" s="12">
        <v>0.48699999999999999</v>
      </c>
      <c r="I725" s="12"/>
    </row>
    <row r="726" spans="2:9" ht="15.75">
      <c r="B726" s="12">
        <v>486</v>
      </c>
      <c r="C726" s="12" t="s">
        <v>1652</v>
      </c>
      <c r="D726" s="12">
        <v>0.48599999999999999</v>
      </c>
      <c r="I726" s="12"/>
    </row>
    <row r="727" spans="2:9" ht="15.75">
      <c r="B727" s="12">
        <v>485</v>
      </c>
      <c r="C727" s="12" t="s">
        <v>1653</v>
      </c>
      <c r="D727" s="12">
        <v>0.48499999999999999</v>
      </c>
      <c r="I727" s="12"/>
    </row>
    <row r="728" spans="2:9" ht="15.75">
      <c r="B728" s="12">
        <v>484</v>
      </c>
      <c r="C728" s="12" t="s">
        <v>1654</v>
      </c>
      <c r="D728" s="12">
        <v>0.48399999999999999</v>
      </c>
      <c r="I728" s="12"/>
    </row>
    <row r="729" spans="2:9" ht="15.75">
      <c r="B729" s="12">
        <v>483</v>
      </c>
      <c r="C729" s="12" t="s">
        <v>1655</v>
      </c>
      <c r="D729" s="12">
        <v>0.48299999999999998</v>
      </c>
      <c r="I729" s="12"/>
    </row>
    <row r="730" spans="2:9" ht="15.75">
      <c r="B730" s="12">
        <v>482</v>
      </c>
      <c r="C730" s="12" t="s">
        <v>1656</v>
      </c>
      <c r="D730" s="12">
        <v>0.48199999999999998</v>
      </c>
      <c r="I730" s="12"/>
    </row>
    <row r="731" spans="2:9" ht="15.75">
      <c r="B731" s="12">
        <v>481</v>
      </c>
      <c r="C731" s="12" t="s">
        <v>1657</v>
      </c>
      <c r="D731" s="12">
        <v>0.48099999999999998</v>
      </c>
      <c r="I731" s="12"/>
    </row>
    <row r="732" spans="2:9" ht="15.75">
      <c r="B732" s="12">
        <v>480</v>
      </c>
      <c r="C732" s="12" t="s">
        <v>1658</v>
      </c>
      <c r="D732" s="12">
        <v>0.48</v>
      </c>
      <c r="I732" s="12"/>
    </row>
    <row r="733" spans="2:9" ht="15.75">
      <c r="B733" s="12">
        <v>479</v>
      </c>
      <c r="C733" s="12" t="s">
        <v>1659</v>
      </c>
      <c r="D733" s="12">
        <v>0.47899999999999998</v>
      </c>
      <c r="I733" s="12"/>
    </row>
    <row r="734" spans="2:9" ht="15.75">
      <c r="B734" s="12">
        <v>478</v>
      </c>
      <c r="C734" s="12" t="s">
        <v>1660</v>
      </c>
      <c r="D734" s="12">
        <v>0.47799999999999998</v>
      </c>
      <c r="I734" s="12"/>
    </row>
    <row r="735" spans="2:9" ht="15.75">
      <c r="B735" s="12">
        <v>477</v>
      </c>
      <c r="C735" s="12" t="s">
        <v>1661</v>
      </c>
      <c r="D735" s="12">
        <v>0.47699999999999998</v>
      </c>
      <c r="I735" s="12"/>
    </row>
    <row r="736" spans="2:9" ht="15.75">
      <c r="B736" s="12">
        <v>476</v>
      </c>
      <c r="C736" s="12" t="s">
        <v>1662</v>
      </c>
      <c r="D736" s="12">
        <v>0.47599999999999998</v>
      </c>
      <c r="I736" s="12"/>
    </row>
    <row r="737" spans="2:9" ht="15.75">
      <c r="B737" s="12">
        <v>475</v>
      </c>
      <c r="C737" s="12" t="s">
        <v>1663</v>
      </c>
      <c r="D737" s="12">
        <v>0.47499999999999998</v>
      </c>
      <c r="I737" s="12"/>
    </row>
    <row r="738" spans="2:9" ht="15.75">
      <c r="B738" s="12">
        <v>474</v>
      </c>
      <c r="C738" s="12" t="s">
        <v>1664</v>
      </c>
      <c r="D738" s="12">
        <v>0.47399999999999998</v>
      </c>
      <c r="I738" s="12"/>
    </row>
    <row r="739" spans="2:9" ht="15.75">
      <c r="B739" s="12">
        <v>473</v>
      </c>
      <c r="C739" s="12" t="s">
        <v>1665</v>
      </c>
      <c r="D739" s="12">
        <v>0.47299999999999998</v>
      </c>
      <c r="I739" s="12"/>
    </row>
    <row r="740" spans="2:9" ht="15.75">
      <c r="B740" s="12">
        <v>472</v>
      </c>
      <c r="C740" s="12" t="s">
        <v>1666</v>
      </c>
      <c r="D740" s="12">
        <v>0.47199999999999998</v>
      </c>
      <c r="I740" s="12"/>
    </row>
    <row r="741" spans="2:9" ht="15.75">
      <c r="B741" s="12">
        <v>471</v>
      </c>
      <c r="C741" s="12" t="s">
        <v>1667</v>
      </c>
      <c r="D741" s="12">
        <v>0.47099999999999997</v>
      </c>
      <c r="I741" s="12"/>
    </row>
    <row r="742" spans="2:9" ht="15.75">
      <c r="B742" s="12">
        <v>470</v>
      </c>
      <c r="C742" s="12" t="s">
        <v>1668</v>
      </c>
      <c r="D742" s="12">
        <v>0.47</v>
      </c>
      <c r="I742" s="12"/>
    </row>
    <row r="743" spans="2:9" ht="15.75">
      <c r="B743" s="12">
        <v>469</v>
      </c>
      <c r="C743" s="12" t="s">
        <v>1669</v>
      </c>
      <c r="D743" s="12">
        <v>0.46899999999999997</v>
      </c>
      <c r="I743" s="12"/>
    </row>
    <row r="744" spans="2:9" ht="15.75">
      <c r="B744" s="12">
        <v>468</v>
      </c>
      <c r="C744" s="12" t="s">
        <v>1670</v>
      </c>
      <c r="D744" s="12">
        <v>0.46800000000000003</v>
      </c>
      <c r="I744" s="12"/>
    </row>
    <row r="745" spans="2:9" ht="15.75">
      <c r="B745" s="12">
        <v>467</v>
      </c>
      <c r="C745" s="12" t="s">
        <v>1671</v>
      </c>
      <c r="D745" s="12">
        <v>0.46700000000000003</v>
      </c>
      <c r="I745" s="12"/>
    </row>
    <row r="746" spans="2:9" ht="15.75">
      <c r="B746" s="12">
        <v>466</v>
      </c>
      <c r="C746" s="12" t="s">
        <v>1672</v>
      </c>
      <c r="D746" s="12">
        <v>0.46600000000000003</v>
      </c>
      <c r="I746" s="12"/>
    </row>
    <row r="747" spans="2:9" ht="15.75">
      <c r="B747" s="12">
        <v>465</v>
      </c>
      <c r="C747" s="12" t="s">
        <v>1673</v>
      </c>
      <c r="D747" s="12">
        <v>0.46500000000000002</v>
      </c>
      <c r="I747" s="12"/>
    </row>
    <row r="748" spans="2:9" ht="15.75">
      <c r="B748" s="12">
        <v>464</v>
      </c>
      <c r="C748" s="12" t="s">
        <v>1674</v>
      </c>
      <c r="D748" s="12">
        <v>0.46400000000000002</v>
      </c>
      <c r="I748" s="12"/>
    </row>
    <row r="749" spans="2:9" ht="15.75">
      <c r="B749" s="12">
        <v>463</v>
      </c>
      <c r="C749" s="12" t="s">
        <v>1675</v>
      </c>
      <c r="D749" s="12">
        <v>0.46300000000000002</v>
      </c>
      <c r="I749" s="12"/>
    </row>
    <row r="750" spans="2:9" ht="15.75">
      <c r="B750" s="12">
        <v>462</v>
      </c>
      <c r="C750" s="12" t="s">
        <v>1676</v>
      </c>
      <c r="D750" s="12">
        <v>0.46200000000000002</v>
      </c>
      <c r="I750" s="12"/>
    </row>
    <row r="751" spans="2:9" ht="15.75">
      <c r="B751" s="12">
        <v>461</v>
      </c>
      <c r="C751" s="12" t="s">
        <v>1677</v>
      </c>
      <c r="D751" s="12">
        <v>0.46100000000000002</v>
      </c>
      <c r="I751" s="12"/>
    </row>
    <row r="752" spans="2:9" ht="15.75">
      <c r="B752" s="12">
        <v>460</v>
      </c>
      <c r="C752" s="12" t="s">
        <v>1678</v>
      </c>
      <c r="D752" s="12">
        <v>0.46</v>
      </c>
      <c r="I752" s="12"/>
    </row>
    <row r="753" spans="2:9" ht="15.75">
      <c r="B753" s="12">
        <v>459</v>
      </c>
      <c r="C753" s="12" t="s">
        <v>1679</v>
      </c>
      <c r="D753" s="12">
        <v>0.45900000000000002</v>
      </c>
      <c r="I753" s="12"/>
    </row>
    <row r="754" spans="2:9" ht="15.75">
      <c r="B754" s="12">
        <v>458</v>
      </c>
      <c r="C754" s="12" t="s">
        <v>1680</v>
      </c>
      <c r="D754" s="12">
        <v>0.45800000000000002</v>
      </c>
      <c r="I754" s="12"/>
    </row>
    <row r="755" spans="2:9" ht="15.75">
      <c r="B755" s="12">
        <v>457</v>
      </c>
      <c r="C755" s="12" t="s">
        <v>1681</v>
      </c>
      <c r="D755" s="12">
        <v>0.45700000000000002</v>
      </c>
      <c r="I755" s="12"/>
    </row>
    <row r="756" spans="2:9" ht="15.75">
      <c r="B756" s="12">
        <v>456</v>
      </c>
      <c r="C756" s="12" t="s">
        <v>1682</v>
      </c>
      <c r="D756" s="12">
        <v>0.45600000000000002</v>
      </c>
      <c r="I756" s="12"/>
    </row>
    <row r="757" spans="2:9" ht="15.75">
      <c r="B757" s="12">
        <v>455</v>
      </c>
      <c r="C757" s="12" t="s">
        <v>1683</v>
      </c>
      <c r="D757" s="12">
        <v>0.45500000000000002</v>
      </c>
      <c r="I757" s="12"/>
    </row>
    <row r="758" spans="2:9" ht="15.75">
      <c r="B758" s="12">
        <v>454</v>
      </c>
      <c r="C758" s="12" t="s">
        <v>1684</v>
      </c>
      <c r="D758" s="12">
        <v>0.45400000000000001</v>
      </c>
      <c r="I758" s="12"/>
    </row>
    <row r="759" spans="2:9" ht="15.75">
      <c r="B759" s="12">
        <v>453</v>
      </c>
      <c r="C759" s="12" t="s">
        <v>1685</v>
      </c>
      <c r="D759" s="12">
        <v>0.45300000000000001</v>
      </c>
      <c r="I759" s="12"/>
    </row>
    <row r="760" spans="2:9" ht="15.75">
      <c r="B760" s="12">
        <v>452</v>
      </c>
      <c r="C760" s="12" t="s">
        <v>1686</v>
      </c>
      <c r="D760" s="12">
        <v>0.45200000000000001</v>
      </c>
      <c r="I760" s="12"/>
    </row>
    <row r="761" spans="2:9" ht="15.75">
      <c r="B761" s="12">
        <v>451</v>
      </c>
      <c r="C761" s="12" t="s">
        <v>1687</v>
      </c>
      <c r="D761" s="12">
        <v>0.45100000000000001</v>
      </c>
      <c r="I761" s="12"/>
    </row>
    <row r="762" spans="2:9" ht="15.75">
      <c r="B762" s="12">
        <v>450</v>
      </c>
      <c r="C762" s="12" t="s">
        <v>1688</v>
      </c>
      <c r="D762" s="12">
        <v>0.45</v>
      </c>
      <c r="I762" s="12"/>
    </row>
    <row r="763" spans="2:9" ht="15.75">
      <c r="B763" s="12">
        <v>449</v>
      </c>
      <c r="C763" s="12" t="s">
        <v>1689</v>
      </c>
      <c r="D763" s="12">
        <v>0.44900000000000001</v>
      </c>
      <c r="I763" s="12"/>
    </row>
    <row r="764" spans="2:9" ht="15.75">
      <c r="B764" s="12">
        <v>448</v>
      </c>
      <c r="C764" s="12" t="s">
        <v>1690</v>
      </c>
      <c r="D764" s="12">
        <v>0.44800000000000001</v>
      </c>
      <c r="I764" s="12"/>
    </row>
    <row r="765" spans="2:9" ht="15.75">
      <c r="B765" s="12">
        <v>447</v>
      </c>
      <c r="C765" s="12" t="s">
        <v>1691</v>
      </c>
      <c r="D765" s="12">
        <v>0.44700000000000001</v>
      </c>
      <c r="I765" s="12"/>
    </row>
    <row r="766" spans="2:9" ht="15.75">
      <c r="B766" s="12">
        <v>446</v>
      </c>
      <c r="C766" s="12" t="s">
        <v>1692</v>
      </c>
      <c r="D766" s="12">
        <v>0.44600000000000001</v>
      </c>
      <c r="I766" s="12"/>
    </row>
    <row r="767" spans="2:9" ht="15.75">
      <c r="B767" s="12">
        <v>445</v>
      </c>
      <c r="C767" s="12" t="s">
        <v>1693</v>
      </c>
      <c r="D767" s="12">
        <v>0.44500000000000001</v>
      </c>
      <c r="I767" s="12"/>
    </row>
    <row r="768" spans="2:9" ht="15.75">
      <c r="B768" s="12">
        <v>444</v>
      </c>
      <c r="C768" s="12" t="s">
        <v>1694</v>
      </c>
      <c r="D768" s="12">
        <v>0.44400000000000001</v>
      </c>
      <c r="I768" s="12"/>
    </row>
    <row r="769" spans="2:9" ht="15.75">
      <c r="B769" s="12">
        <v>443</v>
      </c>
      <c r="C769" s="12" t="s">
        <v>1695</v>
      </c>
      <c r="D769" s="12">
        <v>0.443</v>
      </c>
      <c r="I769" s="12"/>
    </row>
    <row r="770" spans="2:9" ht="15.75">
      <c r="B770" s="12">
        <v>442</v>
      </c>
      <c r="C770" s="12" t="s">
        <v>1696</v>
      </c>
      <c r="D770" s="12">
        <v>0.442</v>
      </c>
      <c r="I770" s="12"/>
    </row>
    <row r="771" spans="2:9" ht="15.75">
      <c r="B771" s="12">
        <v>441</v>
      </c>
      <c r="C771" s="12" t="s">
        <v>1697</v>
      </c>
      <c r="D771" s="12">
        <v>0.441</v>
      </c>
      <c r="I771" s="12"/>
    </row>
    <row r="772" spans="2:9" ht="15.75">
      <c r="B772" s="12">
        <v>440</v>
      </c>
      <c r="C772" s="12" t="s">
        <v>1698</v>
      </c>
      <c r="D772" s="12">
        <v>0.44</v>
      </c>
      <c r="I772" s="12"/>
    </row>
    <row r="773" spans="2:9" ht="15.75">
      <c r="B773" s="12">
        <v>439</v>
      </c>
      <c r="C773" s="12" t="s">
        <v>1699</v>
      </c>
      <c r="D773" s="12">
        <v>0.439</v>
      </c>
      <c r="I773" s="12"/>
    </row>
    <row r="774" spans="2:9" ht="15.75">
      <c r="B774" s="12">
        <v>438</v>
      </c>
      <c r="C774" s="12" t="s">
        <v>1700</v>
      </c>
      <c r="D774" s="12">
        <v>0.438</v>
      </c>
      <c r="I774" s="12"/>
    </row>
    <row r="775" spans="2:9" ht="15.75">
      <c r="B775" s="12">
        <v>437</v>
      </c>
      <c r="C775" s="12" t="s">
        <v>1701</v>
      </c>
      <c r="D775" s="12">
        <v>0.437</v>
      </c>
      <c r="I775" s="12"/>
    </row>
    <row r="776" spans="2:9" ht="15.75">
      <c r="B776" s="12">
        <v>436</v>
      </c>
      <c r="C776" s="12" t="s">
        <v>1702</v>
      </c>
      <c r="D776" s="12">
        <v>0.436</v>
      </c>
      <c r="I776" s="12"/>
    </row>
    <row r="777" spans="2:9" ht="15.75">
      <c r="B777" s="12">
        <v>435</v>
      </c>
      <c r="C777" s="12" t="s">
        <v>1703</v>
      </c>
      <c r="D777" s="12">
        <v>0.435</v>
      </c>
      <c r="I777" s="12"/>
    </row>
    <row r="778" spans="2:9" ht="15.75">
      <c r="B778" s="12">
        <v>434</v>
      </c>
      <c r="C778" s="12" t="s">
        <v>1704</v>
      </c>
      <c r="D778" s="12">
        <v>0.434</v>
      </c>
      <c r="I778" s="12"/>
    </row>
    <row r="779" spans="2:9" ht="15.75">
      <c r="B779" s="12">
        <v>433</v>
      </c>
      <c r="C779" s="12" t="s">
        <v>1705</v>
      </c>
      <c r="D779" s="12">
        <v>0.433</v>
      </c>
      <c r="I779" s="12"/>
    </row>
    <row r="780" spans="2:9" ht="15.75">
      <c r="B780" s="12">
        <v>432</v>
      </c>
      <c r="C780" s="12" t="s">
        <v>1706</v>
      </c>
      <c r="D780" s="12">
        <v>0.432</v>
      </c>
      <c r="I780" s="12"/>
    </row>
    <row r="781" spans="2:9" ht="15.75">
      <c r="B781" s="12">
        <v>431</v>
      </c>
      <c r="C781" s="12" t="s">
        <v>1707</v>
      </c>
      <c r="D781" s="12">
        <v>0.43099999999999999</v>
      </c>
      <c r="I781" s="12"/>
    </row>
    <row r="782" spans="2:9" ht="15.75">
      <c r="B782" s="12">
        <v>430</v>
      </c>
      <c r="C782" s="12" t="s">
        <v>1708</v>
      </c>
      <c r="D782" s="12">
        <v>0.43</v>
      </c>
      <c r="I782" s="12"/>
    </row>
    <row r="783" spans="2:9" ht="15.75">
      <c r="B783" s="12">
        <v>429</v>
      </c>
      <c r="C783" s="12" t="s">
        <v>1709</v>
      </c>
      <c r="D783" s="12">
        <v>0.42899999999999999</v>
      </c>
      <c r="I783" s="12"/>
    </row>
    <row r="784" spans="2:9" ht="15.75">
      <c r="B784" s="12">
        <v>428</v>
      </c>
      <c r="C784" s="12" t="s">
        <v>1710</v>
      </c>
      <c r="D784" s="12">
        <v>0.42799999999999999</v>
      </c>
      <c r="I784" s="12"/>
    </row>
    <row r="785" spans="2:9" ht="15.75">
      <c r="B785" s="12">
        <v>427</v>
      </c>
      <c r="C785" s="12" t="s">
        <v>1711</v>
      </c>
      <c r="D785" s="12">
        <v>0.42699999999999999</v>
      </c>
      <c r="I785" s="12"/>
    </row>
    <row r="786" spans="2:9" ht="15.75">
      <c r="B786" s="12">
        <v>426</v>
      </c>
      <c r="C786" s="12" t="s">
        <v>1712</v>
      </c>
      <c r="D786" s="12">
        <v>0.42599999999999999</v>
      </c>
      <c r="I786" s="12"/>
    </row>
    <row r="787" spans="2:9" ht="15.75">
      <c r="B787" s="12">
        <v>425</v>
      </c>
      <c r="C787" s="12" t="s">
        <v>1713</v>
      </c>
      <c r="D787" s="12">
        <v>0.42499999999999999</v>
      </c>
      <c r="I787" s="12"/>
    </row>
    <row r="788" spans="2:9" ht="15.75">
      <c r="B788" s="12">
        <v>424</v>
      </c>
      <c r="C788" s="12" t="s">
        <v>1714</v>
      </c>
      <c r="D788" s="12">
        <v>0.42399999999999999</v>
      </c>
      <c r="I788" s="12"/>
    </row>
    <row r="789" spans="2:9" ht="15.75">
      <c r="B789" s="12">
        <v>423</v>
      </c>
      <c r="C789" s="12" t="s">
        <v>1715</v>
      </c>
      <c r="D789" s="12">
        <v>0.42299999999999999</v>
      </c>
      <c r="I789" s="12"/>
    </row>
    <row r="790" spans="2:9" ht="15.75">
      <c r="B790" s="12">
        <v>422</v>
      </c>
      <c r="C790" s="12" t="s">
        <v>1716</v>
      </c>
      <c r="D790" s="12">
        <v>0.42199999999999999</v>
      </c>
      <c r="I790" s="12"/>
    </row>
    <row r="791" spans="2:9" ht="15.75">
      <c r="B791" s="12">
        <v>421</v>
      </c>
      <c r="C791" s="12" t="s">
        <v>1717</v>
      </c>
      <c r="D791" s="12">
        <v>0.42099999999999999</v>
      </c>
      <c r="I791" s="12"/>
    </row>
    <row r="792" spans="2:9" ht="15.75">
      <c r="B792" s="12">
        <v>420</v>
      </c>
      <c r="C792" s="12" t="s">
        <v>1718</v>
      </c>
      <c r="D792" s="12">
        <v>0.42</v>
      </c>
      <c r="I792" s="12"/>
    </row>
    <row r="793" spans="2:9" ht="15.75">
      <c r="B793" s="12">
        <v>419</v>
      </c>
      <c r="C793" s="12" t="s">
        <v>1719</v>
      </c>
      <c r="D793" s="12">
        <v>0.41899999999999998</v>
      </c>
      <c r="I793" s="12"/>
    </row>
    <row r="794" spans="2:9" ht="15.75">
      <c r="B794" s="12">
        <v>418</v>
      </c>
      <c r="C794" s="12" t="s">
        <v>1720</v>
      </c>
      <c r="D794" s="12">
        <v>0.41799999999999998</v>
      </c>
      <c r="I794" s="12"/>
    </row>
    <row r="795" spans="2:9" ht="15.75">
      <c r="B795" s="12">
        <v>417</v>
      </c>
      <c r="C795" s="12" t="s">
        <v>1721</v>
      </c>
      <c r="D795" s="12">
        <v>0.41699999999999998</v>
      </c>
      <c r="I795" s="12"/>
    </row>
    <row r="796" spans="2:9" ht="15.75">
      <c r="B796" s="12">
        <v>416</v>
      </c>
      <c r="C796" s="12" t="s">
        <v>1722</v>
      </c>
      <c r="D796" s="12">
        <v>0.41599999999999998</v>
      </c>
      <c r="I796" s="12"/>
    </row>
    <row r="797" spans="2:9" ht="15.75">
      <c r="B797" s="12">
        <v>415</v>
      </c>
      <c r="C797" s="12" t="s">
        <v>1723</v>
      </c>
      <c r="D797" s="12">
        <v>0.41499999999999998</v>
      </c>
      <c r="I797" s="12"/>
    </row>
    <row r="798" spans="2:9" ht="15.75">
      <c r="B798" s="12">
        <v>414</v>
      </c>
      <c r="C798" s="12" t="s">
        <v>1724</v>
      </c>
      <c r="D798" s="12">
        <v>0.41399999999999998</v>
      </c>
      <c r="I798" s="12"/>
    </row>
    <row r="799" spans="2:9" ht="15.75">
      <c r="B799" s="12">
        <v>413</v>
      </c>
      <c r="C799" s="12" t="s">
        <v>1725</v>
      </c>
      <c r="D799" s="12">
        <v>0.41299999999999998</v>
      </c>
      <c r="I799" s="12"/>
    </row>
    <row r="800" spans="2:9" ht="15.75">
      <c r="B800" s="12">
        <v>412</v>
      </c>
      <c r="C800" s="12" t="s">
        <v>1726</v>
      </c>
      <c r="D800" s="12">
        <v>0.41199999999999998</v>
      </c>
      <c r="I800" s="12"/>
    </row>
    <row r="801" spans="2:9" ht="15.75">
      <c r="B801" s="12">
        <v>411</v>
      </c>
      <c r="C801" s="12" t="s">
        <v>1727</v>
      </c>
      <c r="D801" s="12">
        <v>0.41099999999999998</v>
      </c>
      <c r="I801" s="12"/>
    </row>
    <row r="802" spans="2:9" ht="15.75">
      <c r="B802" s="12">
        <v>410</v>
      </c>
      <c r="C802" s="12" t="s">
        <v>1728</v>
      </c>
      <c r="D802" s="12">
        <v>0.41</v>
      </c>
      <c r="I802" s="12"/>
    </row>
    <row r="803" spans="2:9" ht="15.75">
      <c r="B803" s="12">
        <v>409</v>
      </c>
      <c r="C803" s="12" t="s">
        <v>1729</v>
      </c>
      <c r="D803" s="12">
        <v>0.40899999999999997</v>
      </c>
      <c r="I803" s="12"/>
    </row>
    <row r="804" spans="2:9" ht="15.75">
      <c r="B804" s="12">
        <v>408</v>
      </c>
      <c r="C804" s="12" t="s">
        <v>1730</v>
      </c>
      <c r="D804" s="12">
        <v>0.40799999999999997</v>
      </c>
      <c r="I804" s="12"/>
    </row>
    <row r="805" spans="2:9" ht="15.75">
      <c r="B805" s="12">
        <v>407</v>
      </c>
      <c r="C805" s="12" t="s">
        <v>1731</v>
      </c>
      <c r="D805" s="12">
        <v>0.40699999999999997</v>
      </c>
      <c r="I805" s="12"/>
    </row>
    <row r="806" spans="2:9" ht="15.75">
      <c r="B806" s="12">
        <v>406</v>
      </c>
      <c r="C806" s="12" t="s">
        <v>1732</v>
      </c>
      <c r="D806" s="12">
        <v>0.40600000000000003</v>
      </c>
      <c r="I806" s="12"/>
    </row>
    <row r="807" spans="2:9" ht="15.75">
      <c r="B807" s="12">
        <v>405</v>
      </c>
      <c r="C807" s="12" t="s">
        <v>1733</v>
      </c>
      <c r="D807" s="12">
        <v>0.40500000000000003</v>
      </c>
      <c r="I807" s="12"/>
    </row>
    <row r="808" spans="2:9" ht="15.75">
      <c r="B808" s="12">
        <v>404</v>
      </c>
      <c r="C808" s="12" t="s">
        <v>1734</v>
      </c>
      <c r="D808" s="12">
        <v>0.40400000000000003</v>
      </c>
      <c r="I808" s="12"/>
    </row>
    <row r="809" spans="2:9" ht="15.75">
      <c r="B809" s="12">
        <v>403</v>
      </c>
      <c r="C809" s="12" t="s">
        <v>1735</v>
      </c>
      <c r="D809" s="12">
        <v>0.40300000000000002</v>
      </c>
      <c r="I809" s="12"/>
    </row>
    <row r="810" spans="2:9" ht="15.75">
      <c r="B810" s="12">
        <v>402</v>
      </c>
      <c r="C810" s="12" t="s">
        <v>1736</v>
      </c>
      <c r="D810" s="12">
        <v>0.40200000000000002</v>
      </c>
      <c r="I810" s="12"/>
    </row>
    <row r="811" spans="2:9" ht="15.75">
      <c r="B811" s="12">
        <v>401</v>
      </c>
      <c r="C811" s="12" t="s">
        <v>1737</v>
      </c>
      <c r="D811" s="12">
        <v>0.40100000000000002</v>
      </c>
      <c r="I811" s="12"/>
    </row>
    <row r="812" spans="2:9" ht="15.75">
      <c r="B812" s="12">
        <v>400</v>
      </c>
      <c r="C812" s="12" t="s">
        <v>1738</v>
      </c>
      <c r="D812" s="12">
        <v>0.4</v>
      </c>
      <c r="I812" s="12"/>
    </row>
    <row r="813" spans="2:9" ht="15.75">
      <c r="B813" s="12">
        <v>399</v>
      </c>
      <c r="C813" s="12" t="s">
        <v>1739</v>
      </c>
      <c r="D813" s="12">
        <v>0.39900000000000002</v>
      </c>
      <c r="I813" s="12"/>
    </row>
    <row r="814" spans="2:9" ht="15.75">
      <c r="B814" s="12">
        <v>398</v>
      </c>
      <c r="C814" s="12" t="s">
        <v>1740</v>
      </c>
      <c r="D814" s="12">
        <v>0.39800000000000002</v>
      </c>
      <c r="I814" s="12"/>
    </row>
    <row r="815" spans="2:9" ht="15.75">
      <c r="B815" s="12">
        <v>397</v>
      </c>
      <c r="C815" s="12" t="s">
        <v>1741</v>
      </c>
      <c r="D815" s="12">
        <v>0.39700000000000002</v>
      </c>
      <c r="I815" s="12"/>
    </row>
    <row r="816" spans="2:9" ht="15.75">
      <c r="B816" s="12">
        <v>396</v>
      </c>
      <c r="C816" s="12" t="s">
        <v>1742</v>
      </c>
      <c r="D816" s="12">
        <v>0.39600000000000002</v>
      </c>
      <c r="I816" s="12"/>
    </row>
    <row r="817" spans="2:9" ht="15.75">
      <c r="B817" s="12">
        <v>395</v>
      </c>
      <c r="C817" s="12" t="s">
        <v>1743</v>
      </c>
      <c r="D817" s="12">
        <v>0.39500000000000002</v>
      </c>
      <c r="I817" s="12"/>
    </row>
    <row r="818" spans="2:9" ht="15.75">
      <c r="B818" s="12">
        <v>394</v>
      </c>
      <c r="C818" s="12" t="s">
        <v>1744</v>
      </c>
      <c r="D818" s="12">
        <v>0.39400000000000002</v>
      </c>
      <c r="I818" s="12"/>
    </row>
    <row r="819" spans="2:9" ht="15.75">
      <c r="B819" s="12">
        <v>393</v>
      </c>
      <c r="C819" s="12" t="s">
        <v>1745</v>
      </c>
      <c r="D819" s="12">
        <v>0.39300000000000002</v>
      </c>
      <c r="I819" s="12"/>
    </row>
    <row r="820" spans="2:9" ht="15.75">
      <c r="B820" s="12">
        <v>392</v>
      </c>
      <c r="C820" s="12" t="s">
        <v>1746</v>
      </c>
      <c r="D820" s="12">
        <v>0.39200000000000002</v>
      </c>
      <c r="I820" s="12"/>
    </row>
    <row r="821" spans="2:9" ht="15.75">
      <c r="B821" s="12">
        <v>391</v>
      </c>
      <c r="C821" s="12" t="s">
        <v>1747</v>
      </c>
      <c r="D821" s="12">
        <v>0.39100000000000001</v>
      </c>
      <c r="I821" s="12"/>
    </row>
    <row r="822" spans="2:9" ht="15.75">
      <c r="B822" s="12">
        <v>390</v>
      </c>
      <c r="C822" s="12" t="s">
        <v>1748</v>
      </c>
      <c r="D822" s="12">
        <v>0.39</v>
      </c>
      <c r="I822" s="12"/>
    </row>
    <row r="823" spans="2:9" ht="15.75">
      <c r="B823" s="12">
        <v>389</v>
      </c>
      <c r="C823" s="12" t="s">
        <v>1749</v>
      </c>
      <c r="D823" s="12">
        <v>0.38900000000000001</v>
      </c>
      <c r="I823" s="12"/>
    </row>
    <row r="824" spans="2:9" ht="15.75">
      <c r="B824" s="12">
        <v>388</v>
      </c>
      <c r="C824" s="12" t="s">
        <v>1750</v>
      </c>
      <c r="D824" s="12">
        <v>0.38800000000000001</v>
      </c>
      <c r="I824" s="12"/>
    </row>
    <row r="825" spans="2:9" ht="15.75">
      <c r="B825" s="12">
        <v>387</v>
      </c>
      <c r="C825" s="12" t="s">
        <v>1751</v>
      </c>
      <c r="D825" s="12">
        <v>0.38700000000000001</v>
      </c>
      <c r="I825" s="12"/>
    </row>
    <row r="826" spans="2:9" ht="15.75">
      <c r="B826" s="12">
        <v>386</v>
      </c>
      <c r="C826" s="12" t="s">
        <v>1752</v>
      </c>
      <c r="D826" s="12">
        <v>0.38600000000000001</v>
      </c>
      <c r="I826" s="12"/>
    </row>
    <row r="827" spans="2:9" ht="15.75">
      <c r="B827" s="12">
        <v>385</v>
      </c>
      <c r="C827" s="12" t="s">
        <v>1753</v>
      </c>
      <c r="D827" s="12">
        <v>0.38500000000000001</v>
      </c>
      <c r="I827" s="12"/>
    </row>
    <row r="828" spans="2:9" ht="15.75">
      <c r="B828" s="12">
        <v>384</v>
      </c>
      <c r="C828" s="12" t="s">
        <v>1754</v>
      </c>
      <c r="D828" s="12">
        <v>0.38400000000000001</v>
      </c>
      <c r="I828" s="12"/>
    </row>
    <row r="829" spans="2:9" ht="15.75">
      <c r="B829" s="12">
        <v>383</v>
      </c>
      <c r="C829" s="12" t="s">
        <v>1755</v>
      </c>
      <c r="D829" s="12">
        <v>0.38300000000000001</v>
      </c>
      <c r="I829" s="12"/>
    </row>
    <row r="830" spans="2:9" ht="15.75">
      <c r="B830" s="12">
        <v>382</v>
      </c>
      <c r="C830" s="12" t="s">
        <v>1756</v>
      </c>
      <c r="D830" s="12">
        <v>0.38200000000000001</v>
      </c>
      <c r="I830" s="12"/>
    </row>
    <row r="831" spans="2:9" ht="15.75">
      <c r="B831" s="12">
        <v>381</v>
      </c>
      <c r="C831" s="12" t="s">
        <v>1757</v>
      </c>
      <c r="D831" s="12">
        <v>0.38100000000000001</v>
      </c>
      <c r="I831" s="12"/>
    </row>
    <row r="832" spans="2:9" ht="15.75">
      <c r="B832" s="12">
        <v>380</v>
      </c>
      <c r="C832" s="12" t="s">
        <v>1758</v>
      </c>
      <c r="D832" s="12">
        <v>0.38</v>
      </c>
      <c r="I832" s="12"/>
    </row>
    <row r="833" spans="2:9" ht="15.75">
      <c r="B833" s="12">
        <v>379</v>
      </c>
      <c r="C833" s="12" t="s">
        <v>1759</v>
      </c>
      <c r="D833" s="12">
        <v>0.379</v>
      </c>
      <c r="I833" s="12"/>
    </row>
    <row r="834" spans="2:9" ht="15.75">
      <c r="B834" s="12">
        <v>378</v>
      </c>
      <c r="C834" s="12" t="s">
        <v>1760</v>
      </c>
      <c r="D834" s="12">
        <v>0.378</v>
      </c>
      <c r="I834" s="12"/>
    </row>
    <row r="835" spans="2:9" ht="15.75">
      <c r="B835" s="12">
        <v>377</v>
      </c>
      <c r="C835" s="12" t="s">
        <v>1761</v>
      </c>
      <c r="D835" s="12">
        <v>0.377</v>
      </c>
      <c r="I835" s="12"/>
    </row>
    <row r="836" spans="2:9" ht="15.75">
      <c r="B836" s="12">
        <v>376</v>
      </c>
      <c r="C836" s="12" t="s">
        <v>1762</v>
      </c>
      <c r="D836" s="12">
        <v>0.376</v>
      </c>
      <c r="I836" s="12"/>
    </row>
    <row r="837" spans="2:9" ht="15.75">
      <c r="B837" s="12">
        <v>375</v>
      </c>
      <c r="C837" s="12" t="s">
        <v>1763</v>
      </c>
      <c r="D837" s="12">
        <v>0.375</v>
      </c>
      <c r="I837" s="12"/>
    </row>
    <row r="838" spans="2:9" ht="15.75">
      <c r="B838" s="12">
        <v>374</v>
      </c>
      <c r="C838" s="12" t="s">
        <v>1764</v>
      </c>
      <c r="D838" s="12">
        <v>0.374</v>
      </c>
      <c r="I838" s="12"/>
    </row>
    <row r="839" spans="2:9" ht="15.75">
      <c r="B839" s="12">
        <v>373</v>
      </c>
      <c r="C839" s="12" t="s">
        <v>1765</v>
      </c>
      <c r="D839" s="12">
        <v>0.373</v>
      </c>
      <c r="I839" s="12"/>
    </row>
    <row r="840" spans="2:9" ht="15.75">
      <c r="B840" s="12">
        <v>372</v>
      </c>
      <c r="C840" s="12" t="s">
        <v>1766</v>
      </c>
      <c r="D840" s="12">
        <v>0.372</v>
      </c>
      <c r="I840" s="12"/>
    </row>
    <row r="841" spans="2:9" ht="15.75">
      <c r="B841" s="12">
        <v>371</v>
      </c>
      <c r="C841" s="12" t="s">
        <v>1767</v>
      </c>
      <c r="D841" s="12">
        <v>0.371</v>
      </c>
      <c r="I841" s="12"/>
    </row>
    <row r="842" spans="2:9" ht="15.75">
      <c r="B842" s="12">
        <v>370</v>
      </c>
      <c r="C842" s="12" t="s">
        <v>1768</v>
      </c>
      <c r="D842" s="12">
        <v>0.37</v>
      </c>
      <c r="I842" s="12"/>
    </row>
    <row r="843" spans="2:9" ht="15.75">
      <c r="B843" s="12">
        <v>369</v>
      </c>
      <c r="C843" s="12" t="s">
        <v>1769</v>
      </c>
      <c r="D843" s="12">
        <v>0.36899999999999999</v>
      </c>
      <c r="I843" s="12"/>
    </row>
    <row r="844" spans="2:9" ht="15.75">
      <c r="B844" s="12">
        <v>368</v>
      </c>
      <c r="C844" s="12" t="s">
        <v>1770</v>
      </c>
      <c r="D844" s="12">
        <v>0.36799999999999999</v>
      </c>
      <c r="I844" s="12"/>
    </row>
    <row r="845" spans="2:9" ht="15.75">
      <c r="B845" s="12">
        <v>367</v>
      </c>
      <c r="C845" s="12" t="s">
        <v>1771</v>
      </c>
      <c r="D845" s="12">
        <v>0.36699999999999999</v>
      </c>
      <c r="I845" s="12"/>
    </row>
    <row r="846" spans="2:9" ht="15.75">
      <c r="B846" s="12">
        <v>366</v>
      </c>
      <c r="C846" s="12" t="s">
        <v>1772</v>
      </c>
      <c r="D846" s="12">
        <v>0.36599999999999999</v>
      </c>
      <c r="I846" s="12"/>
    </row>
    <row r="847" spans="2:9" ht="15.75">
      <c r="B847" s="12">
        <v>365</v>
      </c>
      <c r="C847" s="12" t="s">
        <v>1773</v>
      </c>
      <c r="D847" s="12">
        <v>0.36499999999999999</v>
      </c>
      <c r="I847" s="12"/>
    </row>
    <row r="848" spans="2:9" ht="15.75">
      <c r="B848" s="12">
        <v>364</v>
      </c>
      <c r="C848" s="12" t="s">
        <v>1774</v>
      </c>
      <c r="D848" s="12">
        <v>0.36399999999999999</v>
      </c>
      <c r="I848" s="12"/>
    </row>
    <row r="849" spans="2:9" ht="15.75">
      <c r="B849" s="12">
        <v>363</v>
      </c>
      <c r="C849" s="12" t="s">
        <v>1775</v>
      </c>
      <c r="D849" s="12">
        <v>0.36299999999999999</v>
      </c>
      <c r="I849" s="12"/>
    </row>
    <row r="850" spans="2:9" ht="15.75">
      <c r="B850" s="12">
        <v>362</v>
      </c>
      <c r="C850" s="12" t="s">
        <v>1776</v>
      </c>
      <c r="D850" s="12">
        <v>0.36199999999999999</v>
      </c>
      <c r="I850" s="12"/>
    </row>
    <row r="851" spans="2:9" ht="15.75">
      <c r="B851" s="12">
        <v>361</v>
      </c>
      <c r="C851" s="12" t="s">
        <v>1777</v>
      </c>
      <c r="D851" s="12">
        <v>0.36099999999999999</v>
      </c>
      <c r="I851" s="12"/>
    </row>
    <row r="852" spans="2:9" ht="15.75">
      <c r="B852" s="12">
        <v>360</v>
      </c>
      <c r="C852" s="12" t="s">
        <v>1778</v>
      </c>
      <c r="D852" s="12">
        <v>0.36</v>
      </c>
      <c r="I852" s="12"/>
    </row>
    <row r="853" spans="2:9" ht="15.75">
      <c r="B853" s="12">
        <v>359</v>
      </c>
      <c r="C853" s="12" t="s">
        <v>1779</v>
      </c>
      <c r="D853" s="12">
        <v>0.35899999999999999</v>
      </c>
      <c r="I853" s="12"/>
    </row>
    <row r="854" spans="2:9" ht="15.75">
      <c r="B854" s="12">
        <v>358</v>
      </c>
      <c r="C854" s="12" t="s">
        <v>1780</v>
      </c>
      <c r="D854" s="12">
        <v>0.35799999999999998</v>
      </c>
      <c r="I854" s="12"/>
    </row>
    <row r="855" spans="2:9" ht="15.75">
      <c r="B855" s="12">
        <v>357</v>
      </c>
      <c r="C855" s="12" t="s">
        <v>1781</v>
      </c>
      <c r="D855" s="12">
        <v>0.35699999999999998</v>
      </c>
      <c r="I855" s="12"/>
    </row>
    <row r="856" spans="2:9" ht="15.75">
      <c r="B856" s="12">
        <v>356</v>
      </c>
      <c r="C856" s="12" t="s">
        <v>1782</v>
      </c>
      <c r="D856" s="12">
        <v>0.35599999999999998</v>
      </c>
      <c r="I856" s="12"/>
    </row>
    <row r="857" spans="2:9" ht="15.75">
      <c r="B857" s="12">
        <v>355</v>
      </c>
      <c r="C857" s="12" t="s">
        <v>1783</v>
      </c>
      <c r="D857" s="12">
        <v>0.35499999999999998</v>
      </c>
      <c r="I857" s="12"/>
    </row>
    <row r="858" spans="2:9" ht="15.75">
      <c r="B858" s="12">
        <v>354</v>
      </c>
      <c r="C858" s="12" t="s">
        <v>1784</v>
      </c>
      <c r="D858" s="12">
        <v>0.35399999999999998</v>
      </c>
      <c r="I858" s="12"/>
    </row>
    <row r="859" spans="2:9" ht="15.75">
      <c r="B859" s="12">
        <v>353</v>
      </c>
      <c r="C859" s="12" t="s">
        <v>1785</v>
      </c>
      <c r="D859" s="12">
        <v>0.35299999999999998</v>
      </c>
      <c r="I859" s="12"/>
    </row>
    <row r="860" spans="2:9" ht="15.75">
      <c r="B860" s="12">
        <v>352</v>
      </c>
      <c r="C860" s="12" t="s">
        <v>1786</v>
      </c>
      <c r="D860" s="12">
        <v>0.35199999999999998</v>
      </c>
      <c r="I860" s="12"/>
    </row>
    <row r="861" spans="2:9" ht="15.75">
      <c r="B861" s="12">
        <v>351</v>
      </c>
      <c r="C861" s="12" t="s">
        <v>1787</v>
      </c>
      <c r="D861" s="12">
        <v>0.35099999999999998</v>
      </c>
      <c r="I861" s="12"/>
    </row>
    <row r="862" spans="2:9" ht="15.75">
      <c r="B862" s="12">
        <v>350</v>
      </c>
      <c r="C862" s="12" t="s">
        <v>1162</v>
      </c>
      <c r="D862" s="12">
        <v>0.35</v>
      </c>
      <c r="I862" s="12"/>
    </row>
    <row r="863" spans="2:9" ht="15.75">
      <c r="B863" s="12">
        <v>349</v>
      </c>
      <c r="C863" s="12" t="s">
        <v>1788</v>
      </c>
      <c r="D863" s="12">
        <v>0.34899999999999998</v>
      </c>
      <c r="I863" s="12"/>
    </row>
    <row r="864" spans="2:9" ht="15.75">
      <c r="B864" s="12">
        <v>348</v>
      </c>
      <c r="C864" s="12" t="s">
        <v>1789</v>
      </c>
      <c r="D864" s="12">
        <v>0.34799999999999998</v>
      </c>
      <c r="I864" s="12"/>
    </row>
    <row r="865" spans="2:9" ht="15.75">
      <c r="B865" s="12">
        <v>347</v>
      </c>
      <c r="C865" s="12" t="s">
        <v>1790</v>
      </c>
      <c r="D865" s="12">
        <v>0.34699999999999998</v>
      </c>
      <c r="I865" s="12"/>
    </row>
    <row r="866" spans="2:9" ht="15.75">
      <c r="B866" s="12">
        <v>346</v>
      </c>
      <c r="C866" s="12" t="s">
        <v>1791</v>
      </c>
      <c r="D866" s="12">
        <v>0.34599999999999997</v>
      </c>
      <c r="I866" s="12"/>
    </row>
    <row r="867" spans="2:9" ht="15.75">
      <c r="B867" s="12">
        <v>345</v>
      </c>
      <c r="C867" s="12" t="s">
        <v>1792</v>
      </c>
      <c r="D867" s="12">
        <v>0.34499999999999997</v>
      </c>
      <c r="I867" s="12"/>
    </row>
    <row r="868" spans="2:9" ht="15.75">
      <c r="B868" s="12">
        <v>344</v>
      </c>
      <c r="C868" s="12" t="s">
        <v>1793</v>
      </c>
      <c r="D868" s="12">
        <v>0.34399999999999997</v>
      </c>
      <c r="I868" s="12"/>
    </row>
    <row r="869" spans="2:9" ht="15.75">
      <c r="B869" s="12">
        <v>343</v>
      </c>
      <c r="C869" s="12" t="s">
        <v>1794</v>
      </c>
      <c r="D869" s="12">
        <v>0.34300000000000003</v>
      </c>
      <c r="I869" s="12"/>
    </row>
    <row r="870" spans="2:9" ht="15.75">
      <c r="B870" s="12">
        <v>342</v>
      </c>
      <c r="C870" s="12" t="s">
        <v>1795</v>
      </c>
      <c r="D870" s="12">
        <v>0.34200000000000003</v>
      </c>
      <c r="I870" s="12"/>
    </row>
    <row r="871" spans="2:9" ht="15.75">
      <c r="B871" s="12">
        <v>341</v>
      </c>
      <c r="C871" s="12" t="s">
        <v>1796</v>
      </c>
      <c r="D871" s="12">
        <v>0.34100000000000003</v>
      </c>
      <c r="I871" s="12"/>
    </row>
    <row r="872" spans="2:9" ht="15.75">
      <c r="B872" s="12">
        <v>340</v>
      </c>
      <c r="C872" s="12" t="s">
        <v>1797</v>
      </c>
      <c r="D872" s="12">
        <v>0.34</v>
      </c>
      <c r="I872" s="12"/>
    </row>
    <row r="873" spans="2:9" ht="15.75">
      <c r="B873" s="12">
        <v>339</v>
      </c>
      <c r="C873" s="12" t="s">
        <v>1798</v>
      </c>
      <c r="D873" s="12">
        <v>0.33900000000000002</v>
      </c>
      <c r="I873" s="12"/>
    </row>
    <row r="874" spans="2:9" ht="15.75">
      <c r="B874" s="12">
        <v>338</v>
      </c>
      <c r="C874" s="12" t="s">
        <v>1799</v>
      </c>
      <c r="D874" s="12">
        <v>0.33800000000000002</v>
      </c>
      <c r="I874" s="12"/>
    </row>
    <row r="875" spans="2:9" ht="15.75">
      <c r="B875" s="12">
        <v>337</v>
      </c>
      <c r="C875" s="12" t="s">
        <v>1800</v>
      </c>
      <c r="D875" s="12">
        <v>0.33700000000000002</v>
      </c>
      <c r="I875" s="12"/>
    </row>
    <row r="876" spans="2:9" ht="15.75">
      <c r="B876" s="12">
        <v>336</v>
      </c>
      <c r="C876" s="12" t="s">
        <v>1801</v>
      </c>
      <c r="D876" s="12">
        <v>0.33600000000000002</v>
      </c>
      <c r="I876" s="12"/>
    </row>
    <row r="877" spans="2:9" ht="15.75">
      <c r="B877" s="12">
        <v>335</v>
      </c>
      <c r="C877" s="12" t="s">
        <v>1802</v>
      </c>
      <c r="D877" s="12">
        <v>0.33500000000000002</v>
      </c>
      <c r="I877" s="12"/>
    </row>
    <row r="878" spans="2:9" ht="15.75">
      <c r="B878" s="12">
        <v>334</v>
      </c>
      <c r="C878" s="12" t="s">
        <v>1803</v>
      </c>
      <c r="D878" s="12">
        <v>0.33400000000000002</v>
      </c>
      <c r="I878" s="12"/>
    </row>
    <row r="879" spans="2:9" ht="15.75">
      <c r="B879" s="12">
        <v>333</v>
      </c>
      <c r="C879" s="12" t="s">
        <v>1804</v>
      </c>
      <c r="D879" s="12">
        <v>0.33300000000000002</v>
      </c>
      <c r="I879" s="12"/>
    </row>
    <row r="880" spans="2:9" ht="15.75">
      <c r="B880" s="12">
        <v>332</v>
      </c>
      <c r="C880" s="12" t="s">
        <v>1805</v>
      </c>
      <c r="D880" s="12">
        <v>0.33200000000000002</v>
      </c>
      <c r="I880" s="12"/>
    </row>
    <row r="881" spans="2:9" ht="15.75">
      <c r="B881" s="12">
        <v>331</v>
      </c>
      <c r="C881" s="12" t="s">
        <v>1806</v>
      </c>
      <c r="D881" s="12">
        <v>0.33100000000000002</v>
      </c>
      <c r="I881" s="12"/>
    </row>
    <row r="882" spans="2:9" ht="15.75">
      <c r="B882" s="12">
        <v>330</v>
      </c>
      <c r="C882" s="12" t="s">
        <v>1807</v>
      </c>
      <c r="D882" s="12">
        <v>0.33</v>
      </c>
      <c r="I882" s="12"/>
    </row>
    <row r="883" spans="2:9" ht="15.75">
      <c r="B883" s="12">
        <v>329</v>
      </c>
      <c r="C883" s="12" t="s">
        <v>1808</v>
      </c>
      <c r="D883" s="12">
        <v>0.32900000000000001</v>
      </c>
      <c r="I883" s="12"/>
    </row>
    <row r="884" spans="2:9" ht="15.75">
      <c r="B884" s="12">
        <v>328</v>
      </c>
      <c r="C884" s="12" t="s">
        <v>1809</v>
      </c>
      <c r="D884" s="12">
        <v>0.32800000000000001</v>
      </c>
      <c r="I884" s="12"/>
    </row>
    <row r="885" spans="2:9" ht="15.75">
      <c r="B885" s="12">
        <v>327</v>
      </c>
      <c r="C885" s="12" t="s">
        <v>1810</v>
      </c>
      <c r="D885" s="12">
        <v>0.32700000000000001</v>
      </c>
      <c r="I885" s="12"/>
    </row>
    <row r="886" spans="2:9" ht="15.75">
      <c r="B886" s="12">
        <v>326</v>
      </c>
      <c r="C886" s="12" t="s">
        <v>1811</v>
      </c>
      <c r="D886" s="12">
        <v>0.32600000000000001</v>
      </c>
      <c r="I886" s="12"/>
    </row>
    <row r="887" spans="2:9" ht="15.75">
      <c r="B887" s="12">
        <v>325</v>
      </c>
      <c r="C887" s="12" t="s">
        <v>1812</v>
      </c>
      <c r="D887" s="12">
        <v>0.32500000000000001</v>
      </c>
      <c r="I887" s="12"/>
    </row>
    <row r="888" spans="2:9" ht="15.75">
      <c r="B888" s="12">
        <v>324</v>
      </c>
      <c r="C888" s="12" t="s">
        <v>1813</v>
      </c>
      <c r="D888" s="12">
        <v>0.32400000000000001</v>
      </c>
      <c r="I888" s="12"/>
    </row>
    <row r="889" spans="2:9" ht="15.75">
      <c r="B889" s="12">
        <v>323</v>
      </c>
      <c r="C889" s="12" t="s">
        <v>1814</v>
      </c>
      <c r="D889" s="12">
        <v>0.32300000000000001</v>
      </c>
      <c r="I889" s="12"/>
    </row>
    <row r="890" spans="2:9" ht="15.75">
      <c r="B890" s="12">
        <v>322</v>
      </c>
      <c r="C890" s="12" t="s">
        <v>1815</v>
      </c>
      <c r="D890" s="12">
        <v>0.32200000000000001</v>
      </c>
      <c r="I890" s="12"/>
    </row>
    <row r="891" spans="2:9" ht="15.75">
      <c r="B891" s="12">
        <v>321</v>
      </c>
      <c r="C891" s="12" t="s">
        <v>1816</v>
      </c>
      <c r="D891" s="12">
        <v>0.32100000000000001</v>
      </c>
      <c r="I891" s="12"/>
    </row>
    <row r="892" spans="2:9" ht="15.75">
      <c r="B892" s="12">
        <v>320</v>
      </c>
      <c r="C892" s="12" t="s">
        <v>1817</v>
      </c>
      <c r="D892" s="12">
        <v>0.32</v>
      </c>
      <c r="I892" s="12"/>
    </row>
    <row r="893" spans="2:9" ht="15.75">
      <c r="B893" s="12">
        <v>319</v>
      </c>
      <c r="C893" s="12" t="s">
        <v>1818</v>
      </c>
      <c r="D893" s="12">
        <v>0.31900000000000001</v>
      </c>
      <c r="I893" s="12"/>
    </row>
    <row r="894" spans="2:9" ht="15.75">
      <c r="B894" s="12">
        <v>318</v>
      </c>
      <c r="C894" s="12" t="s">
        <v>1819</v>
      </c>
      <c r="D894" s="12">
        <v>0.318</v>
      </c>
      <c r="I894" s="12"/>
    </row>
    <row r="895" spans="2:9" ht="15.75">
      <c r="B895" s="12">
        <v>317</v>
      </c>
      <c r="C895" s="12" t="s">
        <v>1820</v>
      </c>
      <c r="D895" s="12">
        <v>0.317</v>
      </c>
      <c r="I895" s="12"/>
    </row>
    <row r="896" spans="2:9" ht="15.75">
      <c r="B896" s="12">
        <v>316</v>
      </c>
      <c r="C896" s="12" t="s">
        <v>1821</v>
      </c>
      <c r="D896" s="12">
        <v>0.316</v>
      </c>
      <c r="I896" s="12"/>
    </row>
    <row r="897" spans="2:9" ht="15.75">
      <c r="B897" s="12">
        <v>315</v>
      </c>
      <c r="C897" s="12" t="s">
        <v>1822</v>
      </c>
      <c r="D897" s="12">
        <v>0.315</v>
      </c>
      <c r="I897" s="12"/>
    </row>
    <row r="898" spans="2:9" ht="15.75">
      <c r="B898" s="12">
        <v>314</v>
      </c>
      <c r="C898" s="12" t="s">
        <v>1823</v>
      </c>
      <c r="D898" s="12">
        <v>0.314</v>
      </c>
      <c r="I898" s="12"/>
    </row>
    <row r="899" spans="2:9" ht="15.75">
      <c r="B899" s="12">
        <v>313</v>
      </c>
      <c r="C899" s="12" t="s">
        <v>1824</v>
      </c>
      <c r="D899" s="12">
        <v>0.313</v>
      </c>
      <c r="I899" s="12"/>
    </row>
    <row r="900" spans="2:9" ht="15.75">
      <c r="B900" s="12">
        <v>312</v>
      </c>
      <c r="C900" s="12" t="s">
        <v>1825</v>
      </c>
      <c r="D900" s="12">
        <v>0.312</v>
      </c>
      <c r="I900" s="12"/>
    </row>
    <row r="901" spans="2:9" ht="15.75">
      <c r="B901" s="12">
        <v>311</v>
      </c>
      <c r="C901" s="12" t="s">
        <v>1826</v>
      </c>
      <c r="D901" s="12">
        <v>0.311</v>
      </c>
      <c r="I901" s="12"/>
    </row>
    <row r="902" spans="2:9" ht="15.75">
      <c r="B902" s="12">
        <v>310</v>
      </c>
      <c r="C902" s="12" t="s">
        <v>1827</v>
      </c>
      <c r="D902" s="12">
        <v>0.31</v>
      </c>
      <c r="I902" s="12"/>
    </row>
    <row r="903" spans="2:9" ht="15.75">
      <c r="B903" s="12">
        <v>309</v>
      </c>
      <c r="C903" s="12" t="s">
        <v>1828</v>
      </c>
      <c r="D903" s="12">
        <v>0.309</v>
      </c>
      <c r="I903" s="12"/>
    </row>
    <row r="904" spans="2:9" ht="15.75">
      <c r="B904" s="12">
        <v>308</v>
      </c>
      <c r="C904" s="12" t="s">
        <v>1829</v>
      </c>
      <c r="D904" s="12">
        <v>0.308</v>
      </c>
      <c r="I904" s="12"/>
    </row>
    <row r="905" spans="2:9" ht="15.75">
      <c r="B905" s="12">
        <v>307</v>
      </c>
      <c r="C905" s="12" t="s">
        <v>1830</v>
      </c>
      <c r="D905" s="12">
        <v>0.307</v>
      </c>
      <c r="I905" s="12"/>
    </row>
    <row r="906" spans="2:9" ht="15.75">
      <c r="B906" s="12">
        <v>306</v>
      </c>
      <c r="C906" s="12" t="s">
        <v>1831</v>
      </c>
      <c r="D906" s="12">
        <v>0.30599999999999999</v>
      </c>
      <c r="I906" s="12"/>
    </row>
    <row r="907" spans="2:9" ht="15.75">
      <c r="B907" s="12">
        <v>305</v>
      </c>
      <c r="C907" s="12" t="s">
        <v>1832</v>
      </c>
      <c r="D907" s="12">
        <v>0.30499999999999999</v>
      </c>
      <c r="I907" s="12"/>
    </row>
    <row r="908" spans="2:9" ht="15.75">
      <c r="B908" s="12">
        <v>304</v>
      </c>
      <c r="C908" s="12" t="s">
        <v>1833</v>
      </c>
      <c r="D908" s="12">
        <v>0.30399999999999999</v>
      </c>
      <c r="I908" s="12"/>
    </row>
    <row r="909" spans="2:9" ht="15.75">
      <c r="B909" s="12">
        <v>303</v>
      </c>
      <c r="C909" s="12" t="s">
        <v>1834</v>
      </c>
      <c r="D909" s="12">
        <v>0.30299999999999999</v>
      </c>
      <c r="I909" s="12"/>
    </row>
    <row r="910" spans="2:9" ht="15.75">
      <c r="B910" s="12">
        <v>302</v>
      </c>
      <c r="C910" s="12" t="s">
        <v>1835</v>
      </c>
      <c r="D910" s="12">
        <v>0.30199999999999999</v>
      </c>
      <c r="I910" s="12"/>
    </row>
    <row r="911" spans="2:9" ht="15.75">
      <c r="B911" s="12">
        <v>301</v>
      </c>
      <c r="C911" s="12" t="s">
        <v>1836</v>
      </c>
      <c r="D911" s="12">
        <v>0.30099999999999999</v>
      </c>
      <c r="I911" s="12"/>
    </row>
    <row r="912" spans="2:9" ht="15.75">
      <c r="B912" s="12">
        <v>300</v>
      </c>
      <c r="C912" s="12" t="s">
        <v>1837</v>
      </c>
      <c r="D912" s="12">
        <v>0.3</v>
      </c>
      <c r="I912" s="12"/>
    </row>
    <row r="913" spans="2:9" ht="15.75">
      <c r="B913" s="12">
        <v>299</v>
      </c>
      <c r="C913" s="12" t="s">
        <v>1838</v>
      </c>
      <c r="D913" s="12">
        <v>0.29899999999999999</v>
      </c>
      <c r="I913" s="12"/>
    </row>
    <row r="914" spans="2:9" ht="15.75">
      <c r="B914" s="12">
        <v>298</v>
      </c>
      <c r="C914" s="12" t="s">
        <v>1839</v>
      </c>
      <c r="D914" s="12">
        <v>0.29799999999999999</v>
      </c>
      <c r="I914" s="12"/>
    </row>
    <row r="915" spans="2:9" ht="15.75">
      <c r="B915" s="12">
        <v>297</v>
      </c>
      <c r="C915" s="12" t="s">
        <v>1840</v>
      </c>
      <c r="D915" s="12">
        <v>0.29699999999999999</v>
      </c>
      <c r="I915" s="12"/>
    </row>
    <row r="916" spans="2:9" ht="15.75">
      <c r="B916" s="12">
        <v>296</v>
      </c>
      <c r="C916" s="12" t="s">
        <v>1841</v>
      </c>
      <c r="D916" s="12">
        <v>0.29599999999999999</v>
      </c>
      <c r="I916" s="12"/>
    </row>
    <row r="917" spans="2:9" ht="15.75">
      <c r="B917" s="12">
        <v>295</v>
      </c>
      <c r="C917" s="12" t="s">
        <v>1842</v>
      </c>
      <c r="D917" s="12">
        <v>0.29499999999999998</v>
      </c>
      <c r="I917" s="12"/>
    </row>
    <row r="918" spans="2:9" ht="15.75">
      <c r="B918" s="12">
        <v>294</v>
      </c>
      <c r="C918" s="12" t="s">
        <v>1843</v>
      </c>
      <c r="D918" s="12">
        <v>0.29399999999999998</v>
      </c>
      <c r="I918" s="12"/>
    </row>
    <row r="919" spans="2:9" ht="15.75">
      <c r="B919" s="12">
        <v>293</v>
      </c>
      <c r="C919" s="12" t="s">
        <v>1844</v>
      </c>
      <c r="D919" s="12">
        <v>0.29299999999999998</v>
      </c>
      <c r="I919" s="12"/>
    </row>
    <row r="920" spans="2:9" ht="15.75">
      <c r="B920" s="12">
        <v>292</v>
      </c>
      <c r="C920" s="12" t="s">
        <v>1845</v>
      </c>
      <c r="D920" s="12">
        <v>0.29199999999999998</v>
      </c>
      <c r="I920" s="12"/>
    </row>
    <row r="921" spans="2:9" ht="15.75">
      <c r="B921" s="12">
        <v>291</v>
      </c>
      <c r="C921" s="12" t="s">
        <v>1846</v>
      </c>
      <c r="D921" s="12">
        <v>0.29099999999999998</v>
      </c>
      <c r="I921" s="12"/>
    </row>
    <row r="922" spans="2:9" ht="15.75">
      <c r="B922" s="12">
        <v>290</v>
      </c>
      <c r="C922" s="12" t="s">
        <v>1847</v>
      </c>
      <c r="D922" s="12">
        <v>0.28999999999999998</v>
      </c>
      <c r="I922" s="12"/>
    </row>
    <row r="923" spans="2:9" ht="15.75">
      <c r="B923" s="12">
        <v>289</v>
      </c>
      <c r="C923" s="12" t="s">
        <v>1848</v>
      </c>
      <c r="D923" s="12">
        <v>0.28899999999999998</v>
      </c>
      <c r="I923" s="12"/>
    </row>
    <row r="924" spans="2:9" ht="15.75">
      <c r="B924" s="12">
        <v>288</v>
      </c>
      <c r="C924" s="12" t="s">
        <v>1849</v>
      </c>
      <c r="D924" s="12">
        <v>0.28799999999999998</v>
      </c>
      <c r="I924" s="12"/>
    </row>
    <row r="925" spans="2:9" ht="15.75">
      <c r="B925" s="12">
        <v>287</v>
      </c>
      <c r="C925" s="12" t="s">
        <v>1850</v>
      </c>
      <c r="D925" s="12">
        <v>0.28699999999999998</v>
      </c>
      <c r="I925" s="12"/>
    </row>
    <row r="926" spans="2:9" ht="15.75">
      <c r="B926" s="12">
        <v>286</v>
      </c>
      <c r="C926" s="12" t="s">
        <v>1851</v>
      </c>
      <c r="D926" s="12">
        <v>0.28599999999999998</v>
      </c>
      <c r="I926" s="12"/>
    </row>
    <row r="927" spans="2:9" ht="15.75">
      <c r="B927" s="12">
        <v>285</v>
      </c>
      <c r="C927" s="12" t="s">
        <v>1852</v>
      </c>
      <c r="D927" s="12">
        <v>0.28499999999999998</v>
      </c>
      <c r="I927" s="12"/>
    </row>
    <row r="928" spans="2:9" ht="15.75">
      <c r="B928" s="12">
        <v>284</v>
      </c>
      <c r="C928" s="12" t="s">
        <v>1853</v>
      </c>
      <c r="D928" s="12">
        <v>0.28399999999999997</v>
      </c>
      <c r="I928" s="12"/>
    </row>
    <row r="929" spans="2:9" ht="15.75">
      <c r="B929" s="12">
        <v>283</v>
      </c>
      <c r="C929" s="12" t="s">
        <v>1854</v>
      </c>
      <c r="D929" s="12">
        <v>0.28299999999999997</v>
      </c>
      <c r="I929" s="12"/>
    </row>
    <row r="930" spans="2:9" ht="15.75">
      <c r="B930" s="12">
        <v>282</v>
      </c>
      <c r="C930" s="12" t="s">
        <v>1855</v>
      </c>
      <c r="D930" s="12">
        <v>0.28199999999999997</v>
      </c>
      <c r="I930" s="12"/>
    </row>
    <row r="931" spans="2:9" ht="15.75">
      <c r="B931" s="12">
        <v>281</v>
      </c>
      <c r="C931" s="12" t="s">
        <v>1856</v>
      </c>
      <c r="D931" s="12">
        <v>0.28100000000000003</v>
      </c>
      <c r="I931" s="12"/>
    </row>
    <row r="932" spans="2:9" ht="15.75">
      <c r="B932" s="12">
        <v>280</v>
      </c>
      <c r="C932" s="12" t="s">
        <v>1857</v>
      </c>
      <c r="D932" s="12">
        <v>0.28000000000000003</v>
      </c>
      <c r="I932" s="12"/>
    </row>
    <row r="933" spans="2:9" ht="15.75">
      <c r="B933" s="12">
        <v>279</v>
      </c>
      <c r="C933" s="12" t="s">
        <v>1858</v>
      </c>
      <c r="D933" s="12">
        <v>0.27900000000000003</v>
      </c>
      <c r="I933" s="12"/>
    </row>
    <row r="934" spans="2:9" ht="15.75">
      <c r="B934" s="12">
        <v>278</v>
      </c>
      <c r="C934" s="12" t="s">
        <v>1859</v>
      </c>
      <c r="D934" s="12">
        <v>0.27800000000000002</v>
      </c>
      <c r="I934" s="12"/>
    </row>
    <row r="935" spans="2:9" ht="15.75">
      <c r="B935" s="12">
        <v>277</v>
      </c>
      <c r="C935" s="12" t="s">
        <v>1860</v>
      </c>
      <c r="D935" s="12">
        <v>0.27700000000000002</v>
      </c>
      <c r="I935" s="12"/>
    </row>
    <row r="936" spans="2:9" ht="15.75">
      <c r="B936" s="12">
        <v>276</v>
      </c>
      <c r="C936" s="12" t="s">
        <v>1861</v>
      </c>
      <c r="D936" s="12">
        <v>0.27600000000000002</v>
      </c>
      <c r="I936" s="12"/>
    </row>
    <row r="937" spans="2:9" ht="15.75">
      <c r="B937" s="12">
        <v>275</v>
      </c>
      <c r="C937" s="12" t="s">
        <v>1862</v>
      </c>
      <c r="D937" s="12">
        <v>0.27500000000000002</v>
      </c>
      <c r="I937" s="12"/>
    </row>
    <row r="938" spans="2:9" ht="15.75">
      <c r="B938" s="12">
        <v>274</v>
      </c>
      <c r="C938" s="12" t="s">
        <v>1863</v>
      </c>
      <c r="D938" s="12">
        <v>0.27400000000000002</v>
      </c>
      <c r="I938" s="12"/>
    </row>
    <row r="939" spans="2:9" ht="15.75">
      <c r="B939" s="12">
        <v>273</v>
      </c>
      <c r="C939" s="12" t="s">
        <v>1864</v>
      </c>
      <c r="D939" s="12">
        <v>0.27300000000000002</v>
      </c>
      <c r="I939" s="12"/>
    </row>
    <row r="940" spans="2:9" ht="15.75">
      <c r="B940" s="12">
        <v>272</v>
      </c>
      <c r="C940" s="12" t="s">
        <v>1865</v>
      </c>
      <c r="D940" s="12">
        <v>0.27200000000000002</v>
      </c>
      <c r="I940" s="12"/>
    </row>
    <row r="941" spans="2:9" ht="15.75">
      <c r="B941" s="12">
        <v>271</v>
      </c>
      <c r="C941" s="12" t="s">
        <v>1866</v>
      </c>
      <c r="D941" s="12">
        <v>0.27100000000000002</v>
      </c>
      <c r="I941" s="12"/>
    </row>
    <row r="942" spans="2:9" ht="15.75">
      <c r="B942" s="12">
        <v>270</v>
      </c>
      <c r="C942" s="12" t="s">
        <v>1867</v>
      </c>
      <c r="D942" s="12">
        <v>0.27</v>
      </c>
      <c r="I942" s="12"/>
    </row>
    <row r="943" spans="2:9" ht="15.75">
      <c r="B943" s="12">
        <v>269</v>
      </c>
      <c r="C943" s="12" t="s">
        <v>1868</v>
      </c>
      <c r="D943" s="12">
        <v>0.26900000000000002</v>
      </c>
      <c r="I943" s="12"/>
    </row>
    <row r="944" spans="2:9" ht="15.75">
      <c r="B944" s="12">
        <v>268</v>
      </c>
      <c r="C944" s="12" t="s">
        <v>1869</v>
      </c>
      <c r="D944" s="12">
        <v>0.26800000000000002</v>
      </c>
      <c r="I944" s="12"/>
    </row>
    <row r="945" spans="2:9" ht="15.75">
      <c r="B945" s="12">
        <v>267</v>
      </c>
      <c r="C945" s="12" t="s">
        <v>1870</v>
      </c>
      <c r="D945" s="12">
        <v>0.26700000000000002</v>
      </c>
      <c r="I945" s="12"/>
    </row>
    <row r="946" spans="2:9" ht="15.75">
      <c r="B946" s="12">
        <v>266</v>
      </c>
      <c r="C946" s="12" t="s">
        <v>1871</v>
      </c>
      <c r="D946" s="12">
        <v>0.26600000000000001</v>
      </c>
      <c r="I946" s="12"/>
    </row>
    <row r="947" spans="2:9" ht="15.75">
      <c r="B947" s="12">
        <v>265</v>
      </c>
      <c r="C947" s="12" t="s">
        <v>1872</v>
      </c>
      <c r="D947" s="12">
        <v>0.26500000000000001</v>
      </c>
      <c r="I947" s="12"/>
    </row>
    <row r="948" spans="2:9" ht="15.75">
      <c r="B948" s="12">
        <v>264</v>
      </c>
      <c r="C948" s="12" t="s">
        <v>1873</v>
      </c>
      <c r="D948" s="12">
        <v>0.26400000000000001</v>
      </c>
      <c r="I948" s="12"/>
    </row>
    <row r="949" spans="2:9" ht="15.75">
      <c r="B949" s="12">
        <v>263</v>
      </c>
      <c r="C949" s="12" t="s">
        <v>1874</v>
      </c>
      <c r="D949" s="12">
        <v>0.26300000000000001</v>
      </c>
      <c r="I949" s="12"/>
    </row>
    <row r="950" spans="2:9" ht="15.75">
      <c r="B950" s="12">
        <v>262</v>
      </c>
      <c r="C950" s="12" t="s">
        <v>1875</v>
      </c>
      <c r="D950" s="12">
        <v>0.26200000000000001</v>
      </c>
      <c r="I950" s="12"/>
    </row>
    <row r="951" spans="2:9" ht="15.75">
      <c r="B951" s="12">
        <v>261</v>
      </c>
      <c r="C951" s="12" t="s">
        <v>1876</v>
      </c>
      <c r="D951" s="12">
        <v>0.26100000000000001</v>
      </c>
      <c r="I951" s="12"/>
    </row>
    <row r="952" spans="2:9" ht="15.75">
      <c r="B952" s="12">
        <v>260</v>
      </c>
      <c r="C952" s="12" t="s">
        <v>1877</v>
      </c>
      <c r="D952" s="12">
        <v>0.26</v>
      </c>
      <c r="I952" s="12"/>
    </row>
    <row r="953" spans="2:9" ht="15.75">
      <c r="B953" s="12">
        <v>259</v>
      </c>
      <c r="C953" s="12" t="s">
        <v>1878</v>
      </c>
      <c r="D953" s="12">
        <v>0.25900000000000001</v>
      </c>
      <c r="I953" s="12"/>
    </row>
    <row r="954" spans="2:9" ht="15.75">
      <c r="B954" s="12">
        <v>258</v>
      </c>
      <c r="C954" s="12" t="s">
        <v>1879</v>
      </c>
      <c r="D954" s="12">
        <v>0.25800000000000001</v>
      </c>
      <c r="I954" s="12"/>
    </row>
    <row r="955" spans="2:9" ht="15.75">
      <c r="B955" s="12">
        <v>257</v>
      </c>
      <c r="C955" s="12" t="s">
        <v>1880</v>
      </c>
      <c r="D955" s="12">
        <v>0.25700000000000001</v>
      </c>
      <c r="I955" s="12"/>
    </row>
    <row r="956" spans="2:9" ht="15.75">
      <c r="B956" s="12">
        <v>256</v>
      </c>
      <c r="C956" s="12" t="s">
        <v>1881</v>
      </c>
      <c r="D956" s="12">
        <v>0.25600000000000001</v>
      </c>
      <c r="I956" s="12"/>
    </row>
    <row r="957" spans="2:9" ht="15.75">
      <c r="B957" s="12">
        <v>255</v>
      </c>
      <c r="C957" s="12" t="s">
        <v>1882</v>
      </c>
      <c r="D957" s="12">
        <v>0.255</v>
      </c>
      <c r="I957" s="12"/>
    </row>
    <row r="958" spans="2:9" ht="15.75">
      <c r="B958" s="12">
        <v>254</v>
      </c>
      <c r="C958" s="12" t="s">
        <v>1883</v>
      </c>
      <c r="D958" s="12">
        <v>0.254</v>
      </c>
      <c r="I958" s="12"/>
    </row>
    <row r="959" spans="2:9" ht="15.75">
      <c r="B959" s="12">
        <v>253</v>
      </c>
      <c r="C959" s="12" t="s">
        <v>1884</v>
      </c>
      <c r="D959" s="12">
        <v>0.253</v>
      </c>
      <c r="I959" s="12"/>
    </row>
    <row r="960" spans="2:9" ht="15.75">
      <c r="B960" s="12">
        <v>252</v>
      </c>
      <c r="C960" s="12" t="s">
        <v>1885</v>
      </c>
      <c r="D960" s="12">
        <v>0.252</v>
      </c>
      <c r="I960" s="12"/>
    </row>
    <row r="961" spans="2:9" ht="15.75" customHeight="1">
      <c r="B961" s="12">
        <v>251</v>
      </c>
      <c r="C961" s="12" t="s">
        <v>1886</v>
      </c>
      <c r="D961" s="12">
        <v>0.251</v>
      </c>
      <c r="I961" s="12"/>
    </row>
    <row r="962" spans="2:9" ht="15.75" customHeight="1">
      <c r="B962" s="12">
        <v>250</v>
      </c>
      <c r="C962" s="12" t="s">
        <v>1887</v>
      </c>
      <c r="D962" s="12">
        <v>0.25</v>
      </c>
    </row>
    <row r="963" spans="2:9" ht="15.75">
      <c r="B963" s="12">
        <v>249</v>
      </c>
      <c r="C963" s="12" t="s">
        <v>1888</v>
      </c>
      <c r="D963" s="266">
        <f>B963/1000</f>
        <v>0.249</v>
      </c>
    </row>
    <row r="964" spans="2:9" ht="15.75">
      <c r="B964" s="12">
        <v>248</v>
      </c>
      <c r="C964" s="12" t="s">
        <v>1889</v>
      </c>
      <c r="D964" s="266">
        <f t="shared" ref="D964:D1027" si="0">B964/1000</f>
        <v>0.248</v>
      </c>
    </row>
    <row r="965" spans="2:9" ht="15.75">
      <c r="B965" s="12">
        <v>247</v>
      </c>
      <c r="C965" s="12" t="s">
        <v>1890</v>
      </c>
      <c r="D965" s="266">
        <f t="shared" si="0"/>
        <v>0.247</v>
      </c>
    </row>
    <row r="966" spans="2:9" ht="15.75">
      <c r="B966" s="12">
        <v>246</v>
      </c>
      <c r="C966" s="12" t="s">
        <v>1891</v>
      </c>
      <c r="D966" s="266">
        <f t="shared" si="0"/>
        <v>0.246</v>
      </c>
    </row>
    <row r="967" spans="2:9" ht="15.75">
      <c r="B967" s="12">
        <v>245</v>
      </c>
      <c r="C967" s="12" t="s">
        <v>1892</v>
      </c>
      <c r="D967" s="266">
        <f t="shared" si="0"/>
        <v>0.245</v>
      </c>
    </row>
    <row r="968" spans="2:9" ht="15.75">
      <c r="B968" s="12">
        <v>244</v>
      </c>
      <c r="C968" s="12" t="s">
        <v>1893</v>
      </c>
      <c r="D968" s="266">
        <f t="shared" si="0"/>
        <v>0.24399999999999999</v>
      </c>
    </row>
    <row r="969" spans="2:9" ht="15.75">
      <c r="B969" s="12">
        <v>243</v>
      </c>
      <c r="C969" s="12" t="s">
        <v>1894</v>
      </c>
      <c r="D969" s="266">
        <f t="shared" si="0"/>
        <v>0.24299999999999999</v>
      </c>
    </row>
    <row r="970" spans="2:9" ht="15.75">
      <c r="B970" s="12">
        <v>242</v>
      </c>
      <c r="C970" s="12" t="s">
        <v>1895</v>
      </c>
      <c r="D970" s="266">
        <f t="shared" si="0"/>
        <v>0.24199999999999999</v>
      </c>
    </row>
    <row r="971" spans="2:9" ht="15.75">
      <c r="B971" s="12">
        <v>241</v>
      </c>
      <c r="C971" s="12" t="s">
        <v>1896</v>
      </c>
      <c r="D971" s="266">
        <f t="shared" si="0"/>
        <v>0.24099999999999999</v>
      </c>
    </row>
    <row r="972" spans="2:9" ht="15.75">
      <c r="B972" s="12">
        <v>240</v>
      </c>
      <c r="C972" s="12" t="s">
        <v>1897</v>
      </c>
      <c r="D972" s="266">
        <f t="shared" si="0"/>
        <v>0.24</v>
      </c>
    </row>
    <row r="973" spans="2:9" ht="15.75">
      <c r="B973" s="12">
        <v>239</v>
      </c>
      <c r="C973" s="12" t="s">
        <v>1898</v>
      </c>
      <c r="D973" s="266">
        <f t="shared" si="0"/>
        <v>0.23899999999999999</v>
      </c>
    </row>
    <row r="974" spans="2:9" ht="15.75">
      <c r="B974" s="12">
        <v>238</v>
      </c>
      <c r="C974" s="12" t="s">
        <v>1899</v>
      </c>
      <c r="D974" s="266">
        <f t="shared" si="0"/>
        <v>0.23799999999999999</v>
      </c>
    </row>
    <row r="975" spans="2:9" ht="15.75">
      <c r="B975" s="12">
        <v>237</v>
      </c>
      <c r="C975" s="12" t="s">
        <v>1900</v>
      </c>
      <c r="D975" s="266">
        <f t="shared" si="0"/>
        <v>0.23699999999999999</v>
      </c>
    </row>
    <row r="976" spans="2:9" ht="15.75">
      <c r="B976" s="12">
        <v>236</v>
      </c>
      <c r="C976" s="12" t="s">
        <v>1901</v>
      </c>
      <c r="D976" s="266">
        <f t="shared" si="0"/>
        <v>0.23599999999999999</v>
      </c>
    </row>
    <row r="977" spans="2:4" ht="15.75">
      <c r="B977" s="12">
        <v>235</v>
      </c>
      <c r="C977" s="12" t="s">
        <v>1902</v>
      </c>
      <c r="D977" s="266">
        <f t="shared" si="0"/>
        <v>0.23499999999999999</v>
      </c>
    </row>
    <row r="978" spans="2:4" ht="15.75">
      <c r="B978" s="12">
        <v>234</v>
      </c>
      <c r="C978" s="12" t="s">
        <v>1903</v>
      </c>
      <c r="D978" s="266">
        <f t="shared" si="0"/>
        <v>0.23400000000000001</v>
      </c>
    </row>
    <row r="979" spans="2:4" ht="15.75">
      <c r="B979" s="12">
        <v>233</v>
      </c>
      <c r="C979" s="12" t="s">
        <v>1904</v>
      </c>
      <c r="D979" s="266">
        <f t="shared" si="0"/>
        <v>0.23300000000000001</v>
      </c>
    </row>
    <row r="980" spans="2:4" ht="15.75">
      <c r="B980" s="12">
        <v>232</v>
      </c>
      <c r="C980" s="12" t="s">
        <v>1905</v>
      </c>
      <c r="D980" s="266">
        <f t="shared" si="0"/>
        <v>0.23200000000000001</v>
      </c>
    </row>
    <row r="981" spans="2:4" ht="15.75">
      <c r="B981" s="12">
        <v>231</v>
      </c>
      <c r="C981" s="12" t="s">
        <v>1906</v>
      </c>
      <c r="D981" s="266">
        <f t="shared" si="0"/>
        <v>0.23100000000000001</v>
      </c>
    </row>
    <row r="982" spans="2:4" ht="15.75">
      <c r="B982" s="12">
        <v>230</v>
      </c>
      <c r="C982" s="12" t="s">
        <v>1907</v>
      </c>
      <c r="D982" s="266">
        <f t="shared" si="0"/>
        <v>0.23</v>
      </c>
    </row>
    <row r="983" spans="2:4" ht="15.75">
      <c r="B983" s="12">
        <v>229</v>
      </c>
      <c r="C983" s="12" t="s">
        <v>1908</v>
      </c>
      <c r="D983" s="266">
        <f t="shared" si="0"/>
        <v>0.22900000000000001</v>
      </c>
    </row>
    <row r="984" spans="2:4" ht="15.75">
      <c r="B984" s="12">
        <v>228</v>
      </c>
      <c r="C984" s="12" t="s">
        <v>1909</v>
      </c>
      <c r="D984" s="266">
        <f t="shared" si="0"/>
        <v>0.22800000000000001</v>
      </c>
    </row>
    <row r="985" spans="2:4" ht="15.75">
      <c r="B985" s="12">
        <v>227</v>
      </c>
      <c r="C985" s="12" t="s">
        <v>1910</v>
      </c>
      <c r="D985" s="266">
        <f t="shared" si="0"/>
        <v>0.22700000000000001</v>
      </c>
    </row>
    <row r="986" spans="2:4" ht="15.75">
      <c r="B986" s="12">
        <v>226</v>
      </c>
      <c r="C986" s="12" t="s">
        <v>1911</v>
      </c>
      <c r="D986" s="266">
        <f t="shared" si="0"/>
        <v>0.22600000000000001</v>
      </c>
    </row>
    <row r="987" spans="2:4" ht="15.75">
      <c r="B987" s="12">
        <v>225</v>
      </c>
      <c r="C987" s="12" t="s">
        <v>1912</v>
      </c>
      <c r="D987" s="266">
        <f t="shared" si="0"/>
        <v>0.22500000000000001</v>
      </c>
    </row>
    <row r="988" spans="2:4" ht="15.75">
      <c r="B988" s="12">
        <v>224</v>
      </c>
      <c r="C988" s="12" t="s">
        <v>1913</v>
      </c>
      <c r="D988" s="266">
        <f t="shared" si="0"/>
        <v>0.224</v>
      </c>
    </row>
    <row r="989" spans="2:4" ht="15.75">
      <c r="B989" s="12">
        <v>223</v>
      </c>
      <c r="C989" s="12" t="s">
        <v>1914</v>
      </c>
      <c r="D989" s="266">
        <f t="shared" si="0"/>
        <v>0.223</v>
      </c>
    </row>
    <row r="990" spans="2:4" ht="15.75">
      <c r="B990" s="12">
        <v>222</v>
      </c>
      <c r="C990" s="12" t="s">
        <v>1915</v>
      </c>
      <c r="D990" s="266">
        <f t="shared" si="0"/>
        <v>0.222</v>
      </c>
    </row>
    <row r="991" spans="2:4" ht="15.75">
      <c r="B991" s="12">
        <v>221</v>
      </c>
      <c r="C991" s="12" t="s">
        <v>1916</v>
      </c>
      <c r="D991" s="266">
        <f t="shared" si="0"/>
        <v>0.221</v>
      </c>
    </row>
    <row r="992" spans="2:4" ht="15.75">
      <c r="B992" s="12">
        <v>220</v>
      </c>
      <c r="C992" s="12" t="s">
        <v>1917</v>
      </c>
      <c r="D992" s="266">
        <f t="shared" si="0"/>
        <v>0.22</v>
      </c>
    </row>
    <row r="993" spans="2:4" ht="15.75">
      <c r="B993" s="12">
        <v>219</v>
      </c>
      <c r="C993" s="12" t="s">
        <v>1918</v>
      </c>
      <c r="D993" s="266">
        <f t="shared" si="0"/>
        <v>0.219</v>
      </c>
    </row>
    <row r="994" spans="2:4" ht="15.75">
      <c r="B994" s="12">
        <v>218</v>
      </c>
      <c r="C994" s="12" t="s">
        <v>1919</v>
      </c>
      <c r="D994" s="266">
        <f t="shared" si="0"/>
        <v>0.218</v>
      </c>
    </row>
    <row r="995" spans="2:4" ht="15.75">
      <c r="B995" s="12">
        <v>217</v>
      </c>
      <c r="C995" s="12" t="s">
        <v>1920</v>
      </c>
      <c r="D995" s="266">
        <f t="shared" si="0"/>
        <v>0.217</v>
      </c>
    </row>
    <row r="996" spans="2:4" ht="15.75">
      <c r="B996" s="12">
        <v>216</v>
      </c>
      <c r="C996" s="12" t="s">
        <v>1921</v>
      </c>
      <c r="D996" s="266">
        <f t="shared" si="0"/>
        <v>0.216</v>
      </c>
    </row>
    <row r="997" spans="2:4" ht="15.75">
      <c r="B997" s="12">
        <v>215</v>
      </c>
      <c r="C997" s="12" t="s">
        <v>1922</v>
      </c>
      <c r="D997" s="266">
        <f t="shared" si="0"/>
        <v>0.215</v>
      </c>
    </row>
    <row r="998" spans="2:4" ht="15.75">
      <c r="B998" s="12">
        <v>214</v>
      </c>
      <c r="C998" s="12" t="s">
        <v>1923</v>
      </c>
      <c r="D998" s="266">
        <f t="shared" si="0"/>
        <v>0.214</v>
      </c>
    </row>
    <row r="999" spans="2:4" ht="15.75">
      <c r="B999" s="12">
        <v>213</v>
      </c>
      <c r="C999" s="12" t="s">
        <v>1924</v>
      </c>
      <c r="D999" s="266">
        <f t="shared" si="0"/>
        <v>0.21299999999999999</v>
      </c>
    </row>
    <row r="1000" spans="2:4" ht="15.75">
      <c r="B1000" s="12">
        <v>212</v>
      </c>
      <c r="C1000" s="12" t="s">
        <v>1925</v>
      </c>
      <c r="D1000" s="266">
        <f t="shared" si="0"/>
        <v>0.21199999999999999</v>
      </c>
    </row>
    <row r="1001" spans="2:4" ht="15.75">
      <c r="B1001" s="12">
        <v>211</v>
      </c>
      <c r="C1001" s="12" t="s">
        <v>1926</v>
      </c>
      <c r="D1001" s="266">
        <f t="shared" si="0"/>
        <v>0.21099999999999999</v>
      </c>
    </row>
    <row r="1002" spans="2:4" ht="15.75">
      <c r="B1002" s="12">
        <v>210</v>
      </c>
      <c r="C1002" s="12" t="s">
        <v>1927</v>
      </c>
      <c r="D1002" s="266">
        <f t="shared" si="0"/>
        <v>0.21</v>
      </c>
    </row>
    <row r="1003" spans="2:4" ht="15.75">
      <c r="B1003" s="12">
        <v>209</v>
      </c>
      <c r="C1003" s="12" t="s">
        <v>1928</v>
      </c>
      <c r="D1003" s="266">
        <f t="shared" si="0"/>
        <v>0.20899999999999999</v>
      </c>
    </row>
    <row r="1004" spans="2:4" ht="15.75">
      <c r="B1004" s="12">
        <v>208</v>
      </c>
      <c r="C1004" s="12" t="s">
        <v>1929</v>
      </c>
      <c r="D1004" s="266">
        <f t="shared" si="0"/>
        <v>0.20799999999999999</v>
      </c>
    </row>
    <row r="1005" spans="2:4" ht="15.75">
      <c r="B1005" s="12">
        <v>207</v>
      </c>
      <c r="C1005" s="12" t="s">
        <v>1930</v>
      </c>
      <c r="D1005" s="266">
        <f t="shared" si="0"/>
        <v>0.20699999999999999</v>
      </c>
    </row>
    <row r="1006" spans="2:4" ht="15.75">
      <c r="B1006" s="12">
        <v>206</v>
      </c>
      <c r="C1006" s="12" t="s">
        <v>1931</v>
      </c>
      <c r="D1006" s="266">
        <f t="shared" si="0"/>
        <v>0.20599999999999999</v>
      </c>
    </row>
    <row r="1007" spans="2:4" ht="15.75">
      <c r="B1007" s="12">
        <v>205</v>
      </c>
      <c r="C1007" s="12" t="s">
        <v>1932</v>
      </c>
      <c r="D1007" s="266">
        <f t="shared" si="0"/>
        <v>0.20499999999999999</v>
      </c>
    </row>
    <row r="1008" spans="2:4" ht="15.75">
      <c r="B1008" s="12">
        <v>204</v>
      </c>
      <c r="C1008" s="12" t="s">
        <v>1933</v>
      </c>
      <c r="D1008" s="266">
        <f t="shared" si="0"/>
        <v>0.20399999999999999</v>
      </c>
    </row>
    <row r="1009" spans="2:4" ht="15.75">
      <c r="B1009" s="12">
        <v>203</v>
      </c>
      <c r="C1009" s="12" t="s">
        <v>1934</v>
      </c>
      <c r="D1009" s="266">
        <f t="shared" si="0"/>
        <v>0.20300000000000001</v>
      </c>
    </row>
    <row r="1010" spans="2:4" ht="15.75">
      <c r="B1010" s="12">
        <v>202</v>
      </c>
      <c r="C1010" s="12" t="s">
        <v>1935</v>
      </c>
      <c r="D1010" s="266">
        <f t="shared" si="0"/>
        <v>0.20200000000000001</v>
      </c>
    </row>
    <row r="1011" spans="2:4" ht="15.75">
      <c r="B1011" s="12">
        <v>201</v>
      </c>
      <c r="C1011" s="12" t="s">
        <v>1936</v>
      </c>
      <c r="D1011" s="266">
        <f t="shared" si="0"/>
        <v>0.20100000000000001</v>
      </c>
    </row>
    <row r="1012" spans="2:4" ht="15.75">
      <c r="B1012" s="12">
        <v>200</v>
      </c>
      <c r="C1012" s="12" t="s">
        <v>1937</v>
      </c>
      <c r="D1012" s="266">
        <f t="shared" si="0"/>
        <v>0.2</v>
      </c>
    </row>
    <row r="1013" spans="2:4" ht="15.75">
      <c r="B1013" s="12">
        <v>199</v>
      </c>
      <c r="C1013" s="12" t="s">
        <v>1938</v>
      </c>
      <c r="D1013" s="266">
        <f t="shared" si="0"/>
        <v>0.19900000000000001</v>
      </c>
    </row>
    <row r="1014" spans="2:4" ht="15.75">
      <c r="B1014" s="12">
        <v>198</v>
      </c>
      <c r="C1014" s="12" t="s">
        <v>1939</v>
      </c>
      <c r="D1014" s="266">
        <f t="shared" si="0"/>
        <v>0.19800000000000001</v>
      </c>
    </row>
    <row r="1015" spans="2:4" ht="15.75">
      <c r="B1015" s="12">
        <v>197</v>
      </c>
      <c r="C1015" s="12" t="s">
        <v>1940</v>
      </c>
      <c r="D1015" s="266">
        <f t="shared" si="0"/>
        <v>0.19700000000000001</v>
      </c>
    </row>
    <row r="1016" spans="2:4" ht="15.75">
      <c r="B1016" s="12">
        <v>196</v>
      </c>
      <c r="C1016" s="12" t="s">
        <v>1941</v>
      </c>
      <c r="D1016" s="266">
        <f t="shared" si="0"/>
        <v>0.19600000000000001</v>
      </c>
    </row>
    <row r="1017" spans="2:4" ht="15.75">
      <c r="B1017" s="12">
        <v>195</v>
      </c>
      <c r="C1017" s="12" t="s">
        <v>1942</v>
      </c>
      <c r="D1017" s="266">
        <f t="shared" si="0"/>
        <v>0.19500000000000001</v>
      </c>
    </row>
    <row r="1018" spans="2:4" ht="15.75">
      <c r="B1018" s="12">
        <v>194</v>
      </c>
      <c r="C1018" s="12" t="s">
        <v>1943</v>
      </c>
      <c r="D1018" s="266">
        <f t="shared" si="0"/>
        <v>0.19400000000000001</v>
      </c>
    </row>
    <row r="1019" spans="2:4" ht="15.75">
      <c r="B1019" s="12">
        <v>193</v>
      </c>
      <c r="C1019" s="12" t="s">
        <v>1944</v>
      </c>
      <c r="D1019" s="266">
        <f t="shared" si="0"/>
        <v>0.193</v>
      </c>
    </row>
    <row r="1020" spans="2:4" ht="15.75">
      <c r="B1020" s="12">
        <v>192</v>
      </c>
      <c r="C1020" s="12" t="s">
        <v>1945</v>
      </c>
      <c r="D1020" s="266">
        <f t="shared" si="0"/>
        <v>0.192</v>
      </c>
    </row>
    <row r="1021" spans="2:4" ht="15.75">
      <c r="B1021" s="12">
        <v>191</v>
      </c>
      <c r="C1021" s="12" t="s">
        <v>1946</v>
      </c>
      <c r="D1021" s="266">
        <f t="shared" si="0"/>
        <v>0.191</v>
      </c>
    </row>
    <row r="1022" spans="2:4" ht="15.75">
      <c r="B1022" s="12">
        <v>190</v>
      </c>
      <c r="C1022" s="12" t="s">
        <v>1947</v>
      </c>
      <c r="D1022" s="266">
        <f t="shared" si="0"/>
        <v>0.19</v>
      </c>
    </row>
    <row r="1023" spans="2:4" ht="15.75">
      <c r="B1023" s="12">
        <v>189</v>
      </c>
      <c r="C1023" s="12" t="s">
        <v>1948</v>
      </c>
      <c r="D1023" s="266">
        <f t="shared" si="0"/>
        <v>0.189</v>
      </c>
    </row>
    <row r="1024" spans="2:4" ht="15.75">
      <c r="B1024" s="12">
        <v>188</v>
      </c>
      <c r="C1024" s="12" t="s">
        <v>1949</v>
      </c>
      <c r="D1024" s="266">
        <f t="shared" si="0"/>
        <v>0.188</v>
      </c>
    </row>
    <row r="1025" spans="2:4" ht="15.75">
      <c r="B1025" s="12">
        <v>187</v>
      </c>
      <c r="C1025" s="12" t="s">
        <v>1950</v>
      </c>
      <c r="D1025" s="266">
        <f t="shared" si="0"/>
        <v>0.187</v>
      </c>
    </row>
    <row r="1026" spans="2:4" ht="15.75">
      <c r="B1026" s="12">
        <v>186</v>
      </c>
      <c r="C1026" s="12" t="s">
        <v>1951</v>
      </c>
      <c r="D1026" s="266">
        <f t="shared" si="0"/>
        <v>0.186</v>
      </c>
    </row>
    <row r="1027" spans="2:4" ht="15.75">
      <c r="B1027" s="12">
        <v>185</v>
      </c>
      <c r="C1027" s="12" t="s">
        <v>1952</v>
      </c>
      <c r="D1027" s="266">
        <f t="shared" si="0"/>
        <v>0.185</v>
      </c>
    </row>
    <row r="1028" spans="2:4" ht="15.75">
      <c r="B1028" s="12">
        <v>184</v>
      </c>
      <c r="C1028" s="12" t="s">
        <v>1953</v>
      </c>
      <c r="D1028" s="266">
        <f t="shared" ref="D1028:D1091" si="1">B1028/1000</f>
        <v>0.184</v>
      </c>
    </row>
    <row r="1029" spans="2:4" ht="15.75">
      <c r="B1029" s="12">
        <v>183</v>
      </c>
      <c r="C1029" s="12" t="s">
        <v>1954</v>
      </c>
      <c r="D1029" s="266">
        <f t="shared" si="1"/>
        <v>0.183</v>
      </c>
    </row>
    <row r="1030" spans="2:4" ht="15.75">
      <c r="B1030" s="12">
        <v>182</v>
      </c>
      <c r="C1030" s="12" t="s">
        <v>1955</v>
      </c>
      <c r="D1030" s="266">
        <f t="shared" si="1"/>
        <v>0.182</v>
      </c>
    </row>
    <row r="1031" spans="2:4" ht="15.75">
      <c r="B1031" s="12">
        <v>181</v>
      </c>
      <c r="C1031" s="12" t="s">
        <v>1956</v>
      </c>
      <c r="D1031" s="266">
        <f t="shared" si="1"/>
        <v>0.18099999999999999</v>
      </c>
    </row>
    <row r="1032" spans="2:4" ht="15.75">
      <c r="B1032" s="12">
        <v>180</v>
      </c>
      <c r="C1032" s="12" t="s">
        <v>1957</v>
      </c>
      <c r="D1032" s="266">
        <f t="shared" si="1"/>
        <v>0.18</v>
      </c>
    </row>
    <row r="1033" spans="2:4" ht="15.75">
      <c r="B1033" s="12">
        <v>179</v>
      </c>
      <c r="C1033" s="12" t="s">
        <v>1958</v>
      </c>
      <c r="D1033" s="266">
        <f t="shared" si="1"/>
        <v>0.17899999999999999</v>
      </c>
    </row>
    <row r="1034" spans="2:4" ht="15.75">
      <c r="B1034" s="12">
        <v>178</v>
      </c>
      <c r="C1034" s="12" t="s">
        <v>1959</v>
      </c>
      <c r="D1034" s="266">
        <f t="shared" si="1"/>
        <v>0.17799999999999999</v>
      </c>
    </row>
    <row r="1035" spans="2:4" ht="15.75">
      <c r="B1035" s="12">
        <v>177</v>
      </c>
      <c r="C1035" s="12" t="s">
        <v>1960</v>
      </c>
      <c r="D1035" s="266">
        <f t="shared" si="1"/>
        <v>0.17699999999999999</v>
      </c>
    </row>
    <row r="1036" spans="2:4" ht="15.75">
      <c r="B1036" s="12">
        <v>176</v>
      </c>
      <c r="C1036" s="12" t="s">
        <v>1961</v>
      </c>
      <c r="D1036" s="266">
        <f t="shared" si="1"/>
        <v>0.17599999999999999</v>
      </c>
    </row>
    <row r="1037" spans="2:4" ht="15.75">
      <c r="B1037" s="12">
        <v>175</v>
      </c>
      <c r="C1037" s="12" t="s">
        <v>1962</v>
      </c>
      <c r="D1037" s="266">
        <f t="shared" si="1"/>
        <v>0.17499999999999999</v>
      </c>
    </row>
    <row r="1038" spans="2:4" ht="15.75">
      <c r="B1038" s="12">
        <v>174</v>
      </c>
      <c r="C1038" s="12" t="s">
        <v>1963</v>
      </c>
      <c r="D1038" s="266">
        <f t="shared" si="1"/>
        <v>0.17399999999999999</v>
      </c>
    </row>
    <row r="1039" spans="2:4" ht="15.75">
      <c r="B1039" s="12">
        <v>173</v>
      </c>
      <c r="C1039" s="12" t="s">
        <v>1964</v>
      </c>
      <c r="D1039" s="266">
        <f t="shared" si="1"/>
        <v>0.17299999999999999</v>
      </c>
    </row>
    <row r="1040" spans="2:4" ht="15.75">
      <c r="B1040" s="12">
        <v>172</v>
      </c>
      <c r="C1040" s="12" t="s">
        <v>1965</v>
      </c>
      <c r="D1040" s="266">
        <f t="shared" si="1"/>
        <v>0.17199999999999999</v>
      </c>
    </row>
    <row r="1041" spans="2:4" ht="15.75">
      <c r="B1041" s="12">
        <v>171</v>
      </c>
      <c r="C1041" s="12" t="s">
        <v>1966</v>
      </c>
      <c r="D1041" s="266">
        <f t="shared" si="1"/>
        <v>0.17100000000000001</v>
      </c>
    </row>
    <row r="1042" spans="2:4" ht="15.75">
      <c r="B1042" s="12">
        <v>170</v>
      </c>
      <c r="C1042" s="12" t="s">
        <v>1967</v>
      </c>
      <c r="D1042" s="266">
        <f t="shared" si="1"/>
        <v>0.17</v>
      </c>
    </row>
    <row r="1043" spans="2:4" ht="15.75">
      <c r="B1043" s="12">
        <v>169</v>
      </c>
      <c r="C1043" s="12" t="s">
        <v>1968</v>
      </c>
      <c r="D1043" s="266">
        <f t="shared" si="1"/>
        <v>0.16900000000000001</v>
      </c>
    </row>
    <row r="1044" spans="2:4" ht="15.75">
      <c r="B1044" s="12">
        <v>168</v>
      </c>
      <c r="C1044" s="12" t="s">
        <v>1969</v>
      </c>
      <c r="D1044" s="266">
        <f t="shared" si="1"/>
        <v>0.16800000000000001</v>
      </c>
    </row>
    <row r="1045" spans="2:4" ht="15.75">
      <c r="B1045" s="12">
        <v>167</v>
      </c>
      <c r="C1045" s="12" t="s">
        <v>1970</v>
      </c>
      <c r="D1045" s="266">
        <f t="shared" si="1"/>
        <v>0.16700000000000001</v>
      </c>
    </row>
    <row r="1046" spans="2:4" ht="15.75">
      <c r="B1046" s="12">
        <v>166</v>
      </c>
      <c r="C1046" s="12" t="s">
        <v>1971</v>
      </c>
      <c r="D1046" s="266">
        <f t="shared" si="1"/>
        <v>0.16600000000000001</v>
      </c>
    </row>
    <row r="1047" spans="2:4" ht="15.75">
      <c r="B1047" s="12">
        <v>165</v>
      </c>
      <c r="C1047" s="12" t="s">
        <v>1972</v>
      </c>
      <c r="D1047" s="266">
        <f t="shared" si="1"/>
        <v>0.16500000000000001</v>
      </c>
    </row>
    <row r="1048" spans="2:4" ht="15.75">
      <c r="B1048" s="12">
        <v>164</v>
      </c>
      <c r="C1048" s="12" t="s">
        <v>1973</v>
      </c>
      <c r="D1048" s="266">
        <f t="shared" si="1"/>
        <v>0.16400000000000001</v>
      </c>
    </row>
    <row r="1049" spans="2:4" ht="15.75">
      <c r="B1049" s="12">
        <v>163</v>
      </c>
      <c r="C1049" s="12" t="s">
        <v>1974</v>
      </c>
      <c r="D1049" s="266">
        <f t="shared" si="1"/>
        <v>0.16300000000000001</v>
      </c>
    </row>
    <row r="1050" spans="2:4" ht="15.75">
      <c r="B1050" s="12">
        <v>162</v>
      </c>
      <c r="C1050" s="12" t="s">
        <v>1975</v>
      </c>
      <c r="D1050" s="266">
        <f t="shared" si="1"/>
        <v>0.16200000000000001</v>
      </c>
    </row>
    <row r="1051" spans="2:4" ht="15.75">
      <c r="B1051" s="12">
        <v>161</v>
      </c>
      <c r="C1051" s="12" t="s">
        <v>1976</v>
      </c>
      <c r="D1051" s="266">
        <f t="shared" si="1"/>
        <v>0.161</v>
      </c>
    </row>
    <row r="1052" spans="2:4" ht="15.75">
      <c r="B1052" s="12">
        <v>160</v>
      </c>
      <c r="C1052" s="12" t="s">
        <v>1977</v>
      </c>
      <c r="D1052" s="266">
        <f t="shared" si="1"/>
        <v>0.16</v>
      </c>
    </row>
    <row r="1053" spans="2:4" ht="15.75">
      <c r="B1053" s="12">
        <v>159</v>
      </c>
      <c r="C1053" s="12" t="s">
        <v>1978</v>
      </c>
      <c r="D1053" s="266">
        <f t="shared" si="1"/>
        <v>0.159</v>
      </c>
    </row>
    <row r="1054" spans="2:4" ht="15.75">
      <c r="B1054" s="12">
        <v>158</v>
      </c>
      <c r="C1054" s="12" t="s">
        <v>1979</v>
      </c>
      <c r="D1054" s="266">
        <f t="shared" si="1"/>
        <v>0.158</v>
      </c>
    </row>
    <row r="1055" spans="2:4" ht="15.75">
      <c r="B1055" s="12">
        <v>157</v>
      </c>
      <c r="C1055" s="12" t="s">
        <v>1980</v>
      </c>
      <c r="D1055" s="266">
        <f t="shared" si="1"/>
        <v>0.157</v>
      </c>
    </row>
    <row r="1056" spans="2:4" ht="15.75">
      <c r="B1056" s="12">
        <v>156</v>
      </c>
      <c r="C1056" s="12" t="s">
        <v>1981</v>
      </c>
      <c r="D1056" s="266">
        <f t="shared" si="1"/>
        <v>0.156</v>
      </c>
    </row>
    <row r="1057" spans="2:4" ht="15.75">
      <c r="B1057" s="12">
        <v>155</v>
      </c>
      <c r="C1057" s="12" t="s">
        <v>1982</v>
      </c>
      <c r="D1057" s="266">
        <f t="shared" si="1"/>
        <v>0.155</v>
      </c>
    </row>
    <row r="1058" spans="2:4" ht="15.75">
      <c r="B1058" s="12">
        <v>154</v>
      </c>
      <c r="C1058" s="12" t="s">
        <v>1983</v>
      </c>
      <c r="D1058" s="266">
        <f t="shared" si="1"/>
        <v>0.154</v>
      </c>
    </row>
    <row r="1059" spans="2:4" ht="15.75">
      <c r="B1059" s="12">
        <v>153</v>
      </c>
      <c r="C1059" s="12" t="s">
        <v>1984</v>
      </c>
      <c r="D1059" s="266">
        <f t="shared" si="1"/>
        <v>0.153</v>
      </c>
    </row>
    <row r="1060" spans="2:4" ht="15.75">
      <c r="B1060" s="12">
        <v>152</v>
      </c>
      <c r="C1060" s="12" t="s">
        <v>1985</v>
      </c>
      <c r="D1060" s="266">
        <f t="shared" si="1"/>
        <v>0.152</v>
      </c>
    </row>
    <row r="1061" spans="2:4" ht="15.75">
      <c r="B1061" s="12">
        <v>151</v>
      </c>
      <c r="C1061" s="12" t="s">
        <v>1986</v>
      </c>
      <c r="D1061" s="266">
        <f t="shared" si="1"/>
        <v>0.151</v>
      </c>
    </row>
    <row r="1062" spans="2:4" ht="15.75">
      <c r="B1062" s="12">
        <v>150</v>
      </c>
      <c r="C1062" s="12" t="s">
        <v>1987</v>
      </c>
      <c r="D1062" s="266">
        <f t="shared" si="1"/>
        <v>0.15</v>
      </c>
    </row>
    <row r="1063" spans="2:4" ht="15.75">
      <c r="B1063" s="12">
        <v>149</v>
      </c>
      <c r="C1063" s="12" t="s">
        <v>1988</v>
      </c>
      <c r="D1063" s="266">
        <f t="shared" si="1"/>
        <v>0.14899999999999999</v>
      </c>
    </row>
    <row r="1064" spans="2:4" ht="15.75">
      <c r="B1064" s="12">
        <v>148</v>
      </c>
      <c r="C1064" s="12" t="s">
        <v>1989</v>
      </c>
      <c r="D1064" s="266">
        <f t="shared" si="1"/>
        <v>0.14799999999999999</v>
      </c>
    </row>
    <row r="1065" spans="2:4" ht="15.75">
      <c r="B1065" s="12">
        <v>147</v>
      </c>
      <c r="C1065" s="12" t="s">
        <v>1990</v>
      </c>
      <c r="D1065" s="266">
        <f t="shared" si="1"/>
        <v>0.14699999999999999</v>
      </c>
    </row>
    <row r="1066" spans="2:4" ht="15.75">
      <c r="B1066" s="12">
        <v>146</v>
      </c>
      <c r="C1066" s="12" t="s">
        <v>1991</v>
      </c>
      <c r="D1066" s="266">
        <f t="shared" si="1"/>
        <v>0.14599999999999999</v>
      </c>
    </row>
    <row r="1067" spans="2:4" ht="15.75">
      <c r="B1067" s="12">
        <v>145</v>
      </c>
      <c r="C1067" s="12" t="s">
        <v>1992</v>
      </c>
      <c r="D1067" s="266">
        <f t="shared" si="1"/>
        <v>0.14499999999999999</v>
      </c>
    </row>
    <row r="1068" spans="2:4" ht="15.75">
      <c r="B1068" s="12">
        <v>144</v>
      </c>
      <c r="C1068" s="12" t="s">
        <v>1993</v>
      </c>
      <c r="D1068" s="266">
        <f t="shared" si="1"/>
        <v>0.14399999999999999</v>
      </c>
    </row>
    <row r="1069" spans="2:4" ht="15.75">
      <c r="B1069" s="12">
        <v>143</v>
      </c>
      <c r="C1069" s="12" t="s">
        <v>1994</v>
      </c>
      <c r="D1069" s="266">
        <f t="shared" si="1"/>
        <v>0.14299999999999999</v>
      </c>
    </row>
    <row r="1070" spans="2:4" ht="15.75">
      <c r="B1070" s="12">
        <v>142</v>
      </c>
      <c r="C1070" s="12" t="s">
        <v>1995</v>
      </c>
      <c r="D1070" s="266">
        <f t="shared" si="1"/>
        <v>0.14199999999999999</v>
      </c>
    </row>
    <row r="1071" spans="2:4" ht="15.75">
      <c r="B1071" s="12">
        <v>141</v>
      </c>
      <c r="C1071" s="12" t="s">
        <v>1996</v>
      </c>
      <c r="D1071" s="266">
        <f t="shared" si="1"/>
        <v>0.14099999999999999</v>
      </c>
    </row>
    <row r="1072" spans="2:4" ht="15.75">
      <c r="B1072" s="12">
        <v>140</v>
      </c>
      <c r="C1072" s="12" t="s">
        <v>1997</v>
      </c>
      <c r="D1072" s="266">
        <f t="shared" si="1"/>
        <v>0.14000000000000001</v>
      </c>
    </row>
    <row r="1073" spans="2:4" ht="15.75">
      <c r="B1073" s="12">
        <v>139</v>
      </c>
      <c r="C1073" s="12" t="s">
        <v>1998</v>
      </c>
      <c r="D1073" s="266">
        <f t="shared" si="1"/>
        <v>0.13900000000000001</v>
      </c>
    </row>
    <row r="1074" spans="2:4" ht="15.75">
      <c r="B1074" s="12">
        <v>138</v>
      </c>
      <c r="C1074" s="12" t="s">
        <v>1999</v>
      </c>
      <c r="D1074" s="266">
        <f t="shared" si="1"/>
        <v>0.13800000000000001</v>
      </c>
    </row>
    <row r="1075" spans="2:4" ht="15.75">
      <c r="B1075" s="12">
        <v>137</v>
      </c>
      <c r="C1075" s="12" t="s">
        <v>2000</v>
      </c>
      <c r="D1075" s="266">
        <f t="shared" si="1"/>
        <v>0.13700000000000001</v>
      </c>
    </row>
    <row r="1076" spans="2:4" ht="15.75">
      <c r="B1076" s="12">
        <v>136</v>
      </c>
      <c r="C1076" s="12" t="s">
        <v>2001</v>
      </c>
      <c r="D1076" s="266">
        <f t="shared" si="1"/>
        <v>0.13600000000000001</v>
      </c>
    </row>
    <row r="1077" spans="2:4" ht="15.75">
      <c r="B1077" s="12">
        <v>135</v>
      </c>
      <c r="C1077" s="12" t="s">
        <v>2002</v>
      </c>
      <c r="D1077" s="266">
        <f t="shared" si="1"/>
        <v>0.13500000000000001</v>
      </c>
    </row>
    <row r="1078" spans="2:4" ht="15.75">
      <c r="B1078" s="12">
        <v>134</v>
      </c>
      <c r="C1078" s="12" t="s">
        <v>2003</v>
      </c>
      <c r="D1078" s="266">
        <f t="shared" si="1"/>
        <v>0.13400000000000001</v>
      </c>
    </row>
    <row r="1079" spans="2:4" ht="15.75">
      <c r="B1079" s="12">
        <v>133</v>
      </c>
      <c r="C1079" s="12" t="s">
        <v>2004</v>
      </c>
      <c r="D1079" s="266">
        <f t="shared" si="1"/>
        <v>0.13300000000000001</v>
      </c>
    </row>
    <row r="1080" spans="2:4" ht="15.75">
      <c r="B1080" s="12">
        <v>132</v>
      </c>
      <c r="C1080" s="12" t="s">
        <v>2005</v>
      </c>
      <c r="D1080" s="266">
        <f t="shared" si="1"/>
        <v>0.13200000000000001</v>
      </c>
    </row>
    <row r="1081" spans="2:4" ht="15.75">
      <c r="B1081" s="12">
        <v>131</v>
      </c>
      <c r="C1081" s="12" t="s">
        <v>2006</v>
      </c>
      <c r="D1081" s="266">
        <f t="shared" si="1"/>
        <v>0.13100000000000001</v>
      </c>
    </row>
    <row r="1082" spans="2:4" ht="15.75">
      <c r="B1082" s="12">
        <v>130</v>
      </c>
      <c r="C1082" s="12" t="s">
        <v>2007</v>
      </c>
      <c r="D1082" s="266">
        <f t="shared" si="1"/>
        <v>0.13</v>
      </c>
    </row>
    <row r="1083" spans="2:4" ht="15.75">
      <c r="B1083" s="12">
        <v>129</v>
      </c>
      <c r="C1083" s="12" t="s">
        <v>2008</v>
      </c>
      <c r="D1083" s="266">
        <f t="shared" si="1"/>
        <v>0.129</v>
      </c>
    </row>
    <row r="1084" spans="2:4" ht="15.75">
      <c r="B1084" s="12">
        <v>128</v>
      </c>
      <c r="C1084" s="12" t="s">
        <v>2009</v>
      </c>
      <c r="D1084" s="266">
        <f t="shared" si="1"/>
        <v>0.128</v>
      </c>
    </row>
    <row r="1085" spans="2:4" ht="15.75">
      <c r="B1085" s="12">
        <v>127</v>
      </c>
      <c r="C1085" s="12" t="s">
        <v>2010</v>
      </c>
      <c r="D1085" s="266">
        <f t="shared" si="1"/>
        <v>0.127</v>
      </c>
    </row>
    <row r="1086" spans="2:4" ht="15.75">
      <c r="B1086" s="12">
        <v>126</v>
      </c>
      <c r="C1086" s="12" t="s">
        <v>2011</v>
      </c>
      <c r="D1086" s="266">
        <f t="shared" si="1"/>
        <v>0.126</v>
      </c>
    </row>
    <row r="1087" spans="2:4" ht="15.75">
      <c r="B1087" s="12">
        <v>125</v>
      </c>
      <c r="C1087" s="12" t="s">
        <v>2012</v>
      </c>
      <c r="D1087" s="266">
        <f t="shared" si="1"/>
        <v>0.125</v>
      </c>
    </row>
    <row r="1088" spans="2:4" ht="15.75">
      <c r="B1088" s="12">
        <v>124</v>
      </c>
      <c r="C1088" s="12" t="s">
        <v>2013</v>
      </c>
      <c r="D1088" s="266">
        <f t="shared" si="1"/>
        <v>0.124</v>
      </c>
    </row>
    <row r="1089" spans="2:4" ht="15.75">
      <c r="B1089" s="12">
        <v>123</v>
      </c>
      <c r="C1089" s="12" t="s">
        <v>2014</v>
      </c>
      <c r="D1089" s="266">
        <f t="shared" si="1"/>
        <v>0.123</v>
      </c>
    </row>
    <row r="1090" spans="2:4" ht="15.75">
      <c r="B1090" s="12">
        <v>122</v>
      </c>
      <c r="C1090" s="12" t="s">
        <v>2015</v>
      </c>
      <c r="D1090" s="266">
        <f t="shared" si="1"/>
        <v>0.122</v>
      </c>
    </row>
    <row r="1091" spans="2:4" ht="15.75">
      <c r="B1091" s="12">
        <v>121</v>
      </c>
      <c r="C1091" s="12" t="s">
        <v>2016</v>
      </c>
      <c r="D1091" s="266">
        <f t="shared" si="1"/>
        <v>0.121</v>
      </c>
    </row>
    <row r="1092" spans="2:4" ht="15.75">
      <c r="B1092" s="12">
        <v>120</v>
      </c>
      <c r="C1092" s="12" t="s">
        <v>2017</v>
      </c>
      <c r="D1092" s="266">
        <f t="shared" ref="D1092:D1155" si="2">B1092/1000</f>
        <v>0.12</v>
      </c>
    </row>
    <row r="1093" spans="2:4" ht="15.75">
      <c r="B1093" s="12">
        <v>119</v>
      </c>
      <c r="C1093" s="12" t="s">
        <v>2018</v>
      </c>
      <c r="D1093" s="266">
        <f t="shared" si="2"/>
        <v>0.11899999999999999</v>
      </c>
    </row>
    <row r="1094" spans="2:4" ht="15.75">
      <c r="B1094" s="12">
        <v>118</v>
      </c>
      <c r="C1094" s="12" t="s">
        <v>2019</v>
      </c>
      <c r="D1094" s="266">
        <f t="shared" si="2"/>
        <v>0.11799999999999999</v>
      </c>
    </row>
    <row r="1095" spans="2:4" ht="15.75">
      <c r="B1095" s="12">
        <v>117</v>
      </c>
      <c r="C1095" s="12" t="s">
        <v>2020</v>
      </c>
      <c r="D1095" s="266">
        <f t="shared" si="2"/>
        <v>0.11700000000000001</v>
      </c>
    </row>
    <row r="1096" spans="2:4" ht="15.75">
      <c r="B1096" s="12">
        <v>116</v>
      </c>
      <c r="C1096" s="12" t="s">
        <v>2021</v>
      </c>
      <c r="D1096" s="266">
        <f t="shared" si="2"/>
        <v>0.11600000000000001</v>
      </c>
    </row>
    <row r="1097" spans="2:4" ht="15.75">
      <c r="B1097" s="12">
        <v>115</v>
      </c>
      <c r="C1097" s="12" t="s">
        <v>2022</v>
      </c>
      <c r="D1097" s="266">
        <f t="shared" si="2"/>
        <v>0.115</v>
      </c>
    </row>
    <row r="1098" spans="2:4" ht="15.75">
      <c r="B1098" s="12">
        <v>114</v>
      </c>
      <c r="C1098" s="12" t="s">
        <v>2023</v>
      </c>
      <c r="D1098" s="266">
        <f t="shared" si="2"/>
        <v>0.114</v>
      </c>
    </row>
    <row r="1099" spans="2:4" ht="15.75">
      <c r="B1099" s="12">
        <v>113</v>
      </c>
      <c r="C1099" s="12" t="s">
        <v>2024</v>
      </c>
      <c r="D1099" s="266">
        <f t="shared" si="2"/>
        <v>0.113</v>
      </c>
    </row>
    <row r="1100" spans="2:4" ht="15.75">
      <c r="B1100" s="12">
        <v>112</v>
      </c>
      <c r="C1100" s="12" t="s">
        <v>2025</v>
      </c>
      <c r="D1100" s="266">
        <f t="shared" si="2"/>
        <v>0.112</v>
      </c>
    </row>
    <row r="1101" spans="2:4" ht="15.75">
      <c r="B1101" s="12">
        <v>111</v>
      </c>
      <c r="C1101" s="12" t="s">
        <v>2026</v>
      </c>
      <c r="D1101" s="266">
        <f t="shared" si="2"/>
        <v>0.111</v>
      </c>
    </row>
    <row r="1102" spans="2:4" ht="15.75">
      <c r="B1102" s="12">
        <v>110</v>
      </c>
      <c r="C1102" s="12" t="s">
        <v>2027</v>
      </c>
      <c r="D1102" s="266">
        <f t="shared" si="2"/>
        <v>0.11</v>
      </c>
    </row>
    <row r="1103" spans="2:4" ht="15.75">
      <c r="B1103" s="12">
        <v>109</v>
      </c>
      <c r="C1103" s="12" t="s">
        <v>2028</v>
      </c>
      <c r="D1103" s="266">
        <f t="shared" si="2"/>
        <v>0.109</v>
      </c>
    </row>
    <row r="1104" spans="2:4" ht="15.75">
      <c r="B1104" s="12">
        <v>108</v>
      </c>
      <c r="C1104" s="12" t="s">
        <v>2029</v>
      </c>
      <c r="D1104" s="266">
        <f t="shared" si="2"/>
        <v>0.108</v>
      </c>
    </row>
    <row r="1105" spans="2:4" ht="15.75">
      <c r="B1105" s="12">
        <v>107</v>
      </c>
      <c r="C1105" s="12" t="s">
        <v>2030</v>
      </c>
      <c r="D1105" s="266">
        <f t="shared" si="2"/>
        <v>0.107</v>
      </c>
    </row>
    <row r="1106" spans="2:4" ht="15.75">
      <c r="B1106" s="12">
        <v>106</v>
      </c>
      <c r="C1106" s="12" t="s">
        <v>2031</v>
      </c>
      <c r="D1106" s="266">
        <f t="shared" si="2"/>
        <v>0.106</v>
      </c>
    </row>
    <row r="1107" spans="2:4" ht="15.75">
      <c r="B1107" s="12">
        <v>105</v>
      </c>
      <c r="C1107" s="12" t="s">
        <v>2032</v>
      </c>
      <c r="D1107" s="266">
        <f t="shared" si="2"/>
        <v>0.105</v>
      </c>
    </row>
    <row r="1108" spans="2:4" ht="15.75">
      <c r="B1108" s="12">
        <v>104</v>
      </c>
      <c r="C1108" s="12" t="s">
        <v>2033</v>
      </c>
      <c r="D1108" s="266">
        <f t="shared" si="2"/>
        <v>0.104</v>
      </c>
    </row>
    <row r="1109" spans="2:4" ht="15.75">
      <c r="B1109" s="12">
        <v>103</v>
      </c>
      <c r="C1109" s="12" t="s">
        <v>2034</v>
      </c>
      <c r="D1109" s="266">
        <f t="shared" si="2"/>
        <v>0.10299999999999999</v>
      </c>
    </row>
    <row r="1110" spans="2:4" ht="15.75">
      <c r="B1110" s="12">
        <v>102</v>
      </c>
      <c r="C1110" s="12" t="s">
        <v>2035</v>
      </c>
      <c r="D1110" s="266">
        <f t="shared" si="2"/>
        <v>0.10199999999999999</v>
      </c>
    </row>
    <row r="1111" spans="2:4" ht="15.75">
      <c r="B1111" s="12">
        <v>101</v>
      </c>
      <c r="C1111" s="12" t="s">
        <v>2036</v>
      </c>
      <c r="D1111" s="266">
        <f t="shared" si="2"/>
        <v>0.10100000000000001</v>
      </c>
    </row>
    <row r="1112" spans="2:4" ht="15.75">
      <c r="B1112" s="12">
        <v>100</v>
      </c>
      <c r="C1112" s="12" t="s">
        <v>2037</v>
      </c>
      <c r="D1112" s="266">
        <f t="shared" si="2"/>
        <v>0.1</v>
      </c>
    </row>
    <row r="1113" spans="2:4" ht="15.75">
      <c r="B1113" s="12">
        <v>99</v>
      </c>
      <c r="C1113" s="12" t="s">
        <v>2038</v>
      </c>
      <c r="D1113" s="266">
        <f t="shared" si="2"/>
        <v>9.9000000000000005E-2</v>
      </c>
    </row>
    <row r="1114" spans="2:4" ht="15.75">
      <c r="B1114" s="12">
        <v>98</v>
      </c>
      <c r="C1114" s="12" t="s">
        <v>2039</v>
      </c>
      <c r="D1114" s="266">
        <f t="shared" si="2"/>
        <v>9.8000000000000004E-2</v>
      </c>
    </row>
    <row r="1115" spans="2:4" ht="15.75">
      <c r="B1115" s="12">
        <v>97</v>
      </c>
      <c r="C1115" s="12" t="s">
        <v>2040</v>
      </c>
      <c r="D1115" s="266">
        <f t="shared" si="2"/>
        <v>9.7000000000000003E-2</v>
      </c>
    </row>
    <row r="1116" spans="2:4" ht="15.75">
      <c r="B1116" s="12">
        <v>96</v>
      </c>
      <c r="C1116" s="12" t="s">
        <v>2041</v>
      </c>
      <c r="D1116" s="266">
        <f t="shared" si="2"/>
        <v>9.6000000000000002E-2</v>
      </c>
    </row>
    <row r="1117" spans="2:4" ht="15.75">
      <c r="B1117" s="12">
        <v>95</v>
      </c>
      <c r="C1117" s="12" t="s">
        <v>2042</v>
      </c>
      <c r="D1117" s="266">
        <f t="shared" si="2"/>
        <v>9.5000000000000001E-2</v>
      </c>
    </row>
    <row r="1118" spans="2:4" ht="15.75">
      <c r="B1118" s="12">
        <v>94</v>
      </c>
      <c r="C1118" s="12" t="s">
        <v>2043</v>
      </c>
      <c r="D1118" s="266">
        <f t="shared" si="2"/>
        <v>9.4E-2</v>
      </c>
    </row>
    <row r="1119" spans="2:4" ht="15.75">
      <c r="B1119" s="12">
        <v>93</v>
      </c>
      <c r="C1119" s="12" t="s">
        <v>2044</v>
      </c>
      <c r="D1119" s="266">
        <f t="shared" si="2"/>
        <v>9.2999999999999999E-2</v>
      </c>
    </row>
    <row r="1120" spans="2:4" ht="15.75">
      <c r="B1120" s="12">
        <v>92</v>
      </c>
      <c r="C1120" s="12" t="s">
        <v>2045</v>
      </c>
      <c r="D1120" s="266">
        <f t="shared" si="2"/>
        <v>9.1999999999999998E-2</v>
      </c>
    </row>
    <row r="1121" spans="2:4" ht="15.75">
      <c r="B1121" s="12">
        <v>91</v>
      </c>
      <c r="C1121" s="12" t="s">
        <v>2046</v>
      </c>
      <c r="D1121" s="266">
        <f t="shared" si="2"/>
        <v>9.0999999999999998E-2</v>
      </c>
    </row>
    <row r="1122" spans="2:4" ht="15.75">
      <c r="B1122" s="12">
        <v>90</v>
      </c>
      <c r="C1122" s="12" t="s">
        <v>2047</v>
      </c>
      <c r="D1122" s="266">
        <f t="shared" si="2"/>
        <v>0.09</v>
      </c>
    </row>
    <row r="1123" spans="2:4" ht="15.75">
      <c r="B1123" s="12">
        <v>89</v>
      </c>
      <c r="C1123" s="12" t="s">
        <v>2048</v>
      </c>
      <c r="D1123" s="266">
        <f t="shared" si="2"/>
        <v>8.8999999999999996E-2</v>
      </c>
    </row>
    <row r="1124" spans="2:4" ht="15.75">
      <c r="B1124" s="12">
        <v>88</v>
      </c>
      <c r="C1124" s="12" t="s">
        <v>2049</v>
      </c>
      <c r="D1124" s="266">
        <f t="shared" si="2"/>
        <v>8.7999999999999995E-2</v>
      </c>
    </row>
    <row r="1125" spans="2:4" ht="15.75">
      <c r="B1125" s="12">
        <v>87</v>
      </c>
      <c r="C1125" s="12" t="s">
        <v>2050</v>
      </c>
      <c r="D1125" s="266">
        <f t="shared" si="2"/>
        <v>8.6999999999999994E-2</v>
      </c>
    </row>
    <row r="1126" spans="2:4" ht="15.75">
      <c r="B1126" s="12">
        <v>86</v>
      </c>
      <c r="C1126" s="12" t="s">
        <v>2051</v>
      </c>
      <c r="D1126" s="266">
        <f t="shared" si="2"/>
        <v>8.5999999999999993E-2</v>
      </c>
    </row>
    <row r="1127" spans="2:4" ht="15.75">
      <c r="B1127" s="12">
        <v>85</v>
      </c>
      <c r="C1127" s="12" t="s">
        <v>2052</v>
      </c>
      <c r="D1127" s="266">
        <f t="shared" si="2"/>
        <v>8.5000000000000006E-2</v>
      </c>
    </row>
    <row r="1128" spans="2:4" ht="15.75">
      <c r="B1128" s="12">
        <v>84</v>
      </c>
      <c r="C1128" s="12" t="s">
        <v>2053</v>
      </c>
      <c r="D1128" s="266">
        <f t="shared" si="2"/>
        <v>8.4000000000000005E-2</v>
      </c>
    </row>
    <row r="1129" spans="2:4" ht="15.75">
      <c r="B1129" s="12">
        <v>83</v>
      </c>
      <c r="C1129" s="12" t="s">
        <v>2054</v>
      </c>
      <c r="D1129" s="266">
        <f t="shared" si="2"/>
        <v>8.3000000000000004E-2</v>
      </c>
    </row>
    <row r="1130" spans="2:4" ht="15.75">
      <c r="B1130" s="12">
        <v>82</v>
      </c>
      <c r="C1130" s="12" t="s">
        <v>2055</v>
      </c>
      <c r="D1130" s="266">
        <f t="shared" si="2"/>
        <v>8.2000000000000003E-2</v>
      </c>
    </row>
    <row r="1131" spans="2:4" ht="15.75">
      <c r="B1131" s="12">
        <v>81</v>
      </c>
      <c r="C1131" s="12" t="s">
        <v>2056</v>
      </c>
      <c r="D1131" s="266">
        <f t="shared" si="2"/>
        <v>8.1000000000000003E-2</v>
      </c>
    </row>
    <row r="1132" spans="2:4" ht="15.75">
      <c r="B1132" s="12">
        <v>80</v>
      </c>
      <c r="C1132" s="12" t="s">
        <v>2057</v>
      </c>
      <c r="D1132" s="266">
        <f t="shared" si="2"/>
        <v>0.08</v>
      </c>
    </row>
    <row r="1133" spans="2:4" ht="15.75">
      <c r="B1133" s="12">
        <v>79</v>
      </c>
      <c r="C1133" s="12" t="s">
        <v>2058</v>
      </c>
      <c r="D1133" s="266">
        <f t="shared" si="2"/>
        <v>7.9000000000000001E-2</v>
      </c>
    </row>
    <row r="1134" spans="2:4" ht="15.75">
      <c r="B1134" s="12">
        <v>78</v>
      </c>
      <c r="C1134" s="12" t="s">
        <v>2059</v>
      </c>
      <c r="D1134" s="266">
        <f t="shared" si="2"/>
        <v>7.8E-2</v>
      </c>
    </row>
    <row r="1135" spans="2:4" ht="15.75">
      <c r="B1135" s="12">
        <v>77</v>
      </c>
      <c r="C1135" s="12" t="s">
        <v>2060</v>
      </c>
      <c r="D1135" s="266">
        <f t="shared" si="2"/>
        <v>7.6999999999999999E-2</v>
      </c>
    </row>
    <row r="1136" spans="2:4" ht="15.75">
      <c r="B1136" s="12">
        <v>76</v>
      </c>
      <c r="C1136" s="12" t="s">
        <v>2061</v>
      </c>
      <c r="D1136" s="266">
        <f t="shared" si="2"/>
        <v>7.5999999999999998E-2</v>
      </c>
    </row>
    <row r="1137" spans="2:4" ht="15.75">
      <c r="B1137" s="12">
        <v>75</v>
      </c>
      <c r="C1137" s="12" t="s">
        <v>2062</v>
      </c>
      <c r="D1137" s="266">
        <f t="shared" si="2"/>
        <v>7.4999999999999997E-2</v>
      </c>
    </row>
    <row r="1138" spans="2:4" ht="15.75">
      <c r="B1138" s="12">
        <v>74</v>
      </c>
      <c r="C1138" s="12" t="s">
        <v>2063</v>
      </c>
      <c r="D1138" s="266">
        <f t="shared" si="2"/>
        <v>7.3999999999999996E-2</v>
      </c>
    </row>
    <row r="1139" spans="2:4" ht="15.75">
      <c r="B1139" s="12">
        <v>73</v>
      </c>
      <c r="C1139" s="12" t="s">
        <v>2064</v>
      </c>
      <c r="D1139" s="266">
        <f t="shared" si="2"/>
        <v>7.2999999999999995E-2</v>
      </c>
    </row>
    <row r="1140" spans="2:4" ht="15.75">
      <c r="B1140" s="12">
        <v>72</v>
      </c>
      <c r="C1140" s="12" t="s">
        <v>2065</v>
      </c>
      <c r="D1140" s="266">
        <f t="shared" si="2"/>
        <v>7.1999999999999995E-2</v>
      </c>
    </row>
    <row r="1141" spans="2:4" ht="15.75">
      <c r="B1141" s="12">
        <v>71</v>
      </c>
      <c r="C1141" s="12" t="s">
        <v>2066</v>
      </c>
      <c r="D1141" s="266">
        <f t="shared" si="2"/>
        <v>7.0999999999999994E-2</v>
      </c>
    </row>
    <row r="1142" spans="2:4" ht="15.75">
      <c r="B1142" s="12">
        <v>70</v>
      </c>
      <c r="C1142" s="12" t="s">
        <v>2067</v>
      </c>
      <c r="D1142" s="266">
        <f t="shared" si="2"/>
        <v>7.0000000000000007E-2</v>
      </c>
    </row>
    <row r="1143" spans="2:4" ht="15.75">
      <c r="B1143" s="12">
        <v>69</v>
      </c>
      <c r="C1143" s="12" t="s">
        <v>2068</v>
      </c>
      <c r="D1143" s="266">
        <f t="shared" si="2"/>
        <v>6.9000000000000006E-2</v>
      </c>
    </row>
    <row r="1144" spans="2:4" ht="15.75">
      <c r="B1144" s="12">
        <v>68</v>
      </c>
      <c r="C1144" s="12" t="s">
        <v>2069</v>
      </c>
      <c r="D1144" s="266">
        <f t="shared" si="2"/>
        <v>6.8000000000000005E-2</v>
      </c>
    </row>
    <row r="1145" spans="2:4" ht="15.75">
      <c r="B1145" s="12">
        <v>67</v>
      </c>
      <c r="C1145" s="12" t="s">
        <v>2070</v>
      </c>
      <c r="D1145" s="266">
        <f t="shared" si="2"/>
        <v>6.7000000000000004E-2</v>
      </c>
    </row>
    <row r="1146" spans="2:4" ht="15.75">
      <c r="B1146" s="12">
        <v>66</v>
      </c>
      <c r="C1146" s="12" t="s">
        <v>2071</v>
      </c>
      <c r="D1146" s="266">
        <f t="shared" si="2"/>
        <v>6.6000000000000003E-2</v>
      </c>
    </row>
    <row r="1147" spans="2:4" ht="15.75">
      <c r="B1147" s="12">
        <v>65</v>
      </c>
      <c r="C1147" s="12" t="s">
        <v>2072</v>
      </c>
      <c r="D1147" s="266">
        <f t="shared" si="2"/>
        <v>6.5000000000000002E-2</v>
      </c>
    </row>
    <row r="1148" spans="2:4" ht="15.75">
      <c r="B1148" s="12">
        <v>64</v>
      </c>
      <c r="C1148" s="12" t="s">
        <v>2073</v>
      </c>
      <c r="D1148" s="266">
        <f t="shared" si="2"/>
        <v>6.4000000000000001E-2</v>
      </c>
    </row>
    <row r="1149" spans="2:4" ht="15.75">
      <c r="B1149" s="12">
        <v>63</v>
      </c>
      <c r="C1149" s="12" t="s">
        <v>2074</v>
      </c>
      <c r="D1149" s="266">
        <f t="shared" si="2"/>
        <v>6.3E-2</v>
      </c>
    </row>
    <row r="1150" spans="2:4" ht="15.75">
      <c r="B1150" s="12">
        <v>62</v>
      </c>
      <c r="C1150" s="12" t="s">
        <v>2075</v>
      </c>
      <c r="D1150" s="266">
        <f t="shared" si="2"/>
        <v>6.2E-2</v>
      </c>
    </row>
    <row r="1151" spans="2:4" ht="15.75">
      <c r="B1151" s="12">
        <v>61</v>
      </c>
      <c r="C1151" s="12" t="s">
        <v>2076</v>
      </c>
      <c r="D1151" s="266">
        <f t="shared" si="2"/>
        <v>6.0999999999999999E-2</v>
      </c>
    </row>
    <row r="1152" spans="2:4" ht="15.75">
      <c r="B1152" s="12">
        <v>60</v>
      </c>
      <c r="C1152" s="12" t="s">
        <v>2077</v>
      </c>
      <c r="D1152" s="266">
        <f t="shared" si="2"/>
        <v>0.06</v>
      </c>
    </row>
    <row r="1153" spans="2:4" ht="15.75">
      <c r="B1153" s="12">
        <v>59</v>
      </c>
      <c r="C1153" s="12" t="s">
        <v>2078</v>
      </c>
      <c r="D1153" s="266">
        <f t="shared" si="2"/>
        <v>5.8999999999999997E-2</v>
      </c>
    </row>
    <row r="1154" spans="2:4" ht="15.75">
      <c r="B1154" s="12">
        <v>58</v>
      </c>
      <c r="C1154" s="12" t="s">
        <v>2079</v>
      </c>
      <c r="D1154" s="266">
        <f t="shared" si="2"/>
        <v>5.8000000000000003E-2</v>
      </c>
    </row>
    <row r="1155" spans="2:4" ht="15.75">
      <c r="B1155" s="12">
        <v>57</v>
      </c>
      <c r="C1155" s="12" t="s">
        <v>2080</v>
      </c>
      <c r="D1155" s="266">
        <f t="shared" si="2"/>
        <v>5.7000000000000002E-2</v>
      </c>
    </row>
    <row r="1156" spans="2:4" ht="15.75">
      <c r="B1156" s="12">
        <v>56</v>
      </c>
      <c r="C1156" s="12" t="s">
        <v>2081</v>
      </c>
      <c r="D1156" s="266">
        <f t="shared" ref="D1156:D1162" si="3">B1156/1000</f>
        <v>5.6000000000000001E-2</v>
      </c>
    </row>
    <row r="1157" spans="2:4" ht="15.75">
      <c r="B1157" s="12">
        <v>55</v>
      </c>
      <c r="C1157" s="12" t="s">
        <v>2082</v>
      </c>
      <c r="D1157" s="266">
        <f t="shared" si="3"/>
        <v>5.5E-2</v>
      </c>
    </row>
    <row r="1158" spans="2:4" ht="15.75">
      <c r="B1158" s="12">
        <v>54</v>
      </c>
      <c r="C1158" s="12" t="s">
        <v>2083</v>
      </c>
      <c r="D1158" s="266">
        <f t="shared" si="3"/>
        <v>5.3999999999999999E-2</v>
      </c>
    </row>
    <row r="1159" spans="2:4" ht="15.75">
      <c r="B1159" s="12">
        <v>53</v>
      </c>
      <c r="C1159" s="12" t="s">
        <v>2084</v>
      </c>
      <c r="D1159" s="266">
        <f t="shared" si="3"/>
        <v>5.2999999999999999E-2</v>
      </c>
    </row>
    <row r="1160" spans="2:4" ht="15.75">
      <c r="B1160" s="12">
        <v>52</v>
      </c>
      <c r="C1160" s="12" t="s">
        <v>2085</v>
      </c>
      <c r="D1160" s="266">
        <f t="shared" si="3"/>
        <v>5.1999999999999998E-2</v>
      </c>
    </row>
    <row r="1161" spans="2:4" ht="15.75">
      <c r="B1161" s="12">
        <v>51</v>
      </c>
      <c r="C1161" s="12" t="s">
        <v>2086</v>
      </c>
      <c r="D1161" s="266">
        <f t="shared" si="3"/>
        <v>5.0999999999999997E-2</v>
      </c>
    </row>
    <row r="1162" spans="2:4" ht="15.75">
      <c r="B1162" s="12">
        <v>50</v>
      </c>
      <c r="C1162" s="12" t="s">
        <v>2087</v>
      </c>
      <c r="D1162" s="266">
        <f t="shared" si="3"/>
        <v>0.05</v>
      </c>
    </row>
    <row r="1163" spans="2:4" ht="15.75">
      <c r="B1163" s="12"/>
      <c r="D1163" s="266"/>
    </row>
  </sheetData>
  <sheetProtection algorithmName="SHA-512" hashValue="MvTNJa6+4M2fnAx0NgdtaEY8r5DOWqvu8PHeEZnjKgF94EiWh3FiNeOtMUdFRDLw5zjXidtg6onqlKN0Lj0biA==" saltValue="pKGMYNWt/jt5nivyWoWrsw==" spinCount="100000" sheet="1" objects="1" scenarios="1"/>
  <mergeCells count="23">
    <mergeCell ref="AM21:AN21"/>
    <mergeCell ref="AJ18:AN19"/>
    <mergeCell ref="AJ28:AL28"/>
    <mergeCell ref="AM28:AN28"/>
    <mergeCell ref="AO28:AP28"/>
    <mergeCell ref="AJ23:AL25"/>
    <mergeCell ref="AM23:AN25"/>
    <mergeCell ref="AO23:AP25"/>
    <mergeCell ref="AJ26:AL27"/>
    <mergeCell ref="AM26:AN27"/>
    <mergeCell ref="AO26:AP27"/>
    <mergeCell ref="AZ1:BA1"/>
    <mergeCell ref="AO9:AP9"/>
    <mergeCell ref="AO12:AP12"/>
    <mergeCell ref="AA3:AB3"/>
    <mergeCell ref="AO20:AP20"/>
    <mergeCell ref="AJ4:AO5"/>
    <mergeCell ref="AT2:AY3"/>
    <mergeCell ref="AJ1:AK1"/>
    <mergeCell ref="AL1:AR1"/>
    <mergeCell ref="AS1:AV1"/>
    <mergeCell ref="AX1:AY1"/>
    <mergeCell ref="AM15:AO15"/>
  </mergeCells>
  <phoneticPr fontId="22" type="noConversion"/>
  <conditionalFormatting sqref="AL15">
    <cfRule type="expression" dxfId="6" priority="2">
      <formula>$AH$15</formula>
    </cfRule>
  </conditionalFormatting>
  <conditionalFormatting sqref="AM9">
    <cfRule type="expression" dxfId="5" priority="4">
      <formula>$AH$9</formula>
    </cfRule>
  </conditionalFormatting>
  <conditionalFormatting sqref="AM12">
    <cfRule type="expression" dxfId="4" priority="3">
      <formula>$AH$12</formula>
    </cfRule>
  </conditionalFormatting>
  <conditionalFormatting sqref="AM20">
    <cfRule type="expression" dxfId="3" priority="1">
      <formula>$AH$20</formula>
    </cfRule>
  </conditionalFormatting>
  <conditionalFormatting sqref="AM23:AN25">
    <cfRule type="expression" dxfId="2" priority="12">
      <formula>$AH$1</formula>
    </cfRule>
  </conditionalFormatting>
  <conditionalFormatting sqref="AN20">
    <cfRule type="expression" dxfId="1" priority="6">
      <formula>"ISBLANK($AM$20)"</formula>
    </cfRule>
  </conditionalFormatting>
  <hyperlinks>
    <hyperlink ref="AS1" r:id="rId1" xr:uid="{02831340-4F25-40B4-8EFD-2EB24BF7D502}"/>
  </hyperlinks>
  <pageMargins left="0.7" right="0.7" top="0.75" bottom="0.75" header="0.3" footer="0.3"/>
  <pageSetup orientation="portrait" r:id="rId2"/>
  <drawing r:id="rId3"/>
  <legacyDrawing r:id="rId4"/>
  <controls>
    <mc:AlternateContent xmlns:mc="http://schemas.openxmlformats.org/markup-compatibility/2006">
      <mc:Choice Requires="x14">
        <control shapeId="113665" r:id="rId5" name="ComboBox_1">
          <controlPr defaultSize="0" autoLine="0" linkedCell="$C$10" listFillRange="$C$11:$D$1162" r:id="rId6">
            <anchor moveWithCells="1">
              <from>
                <xdr:col>38</xdr:col>
                <xdr:colOff>0</xdr:colOff>
                <xdr:row>18</xdr:row>
                <xdr:rowOff>190500</xdr:rowOff>
              </from>
              <to>
                <xdr:col>40</xdr:col>
                <xdr:colOff>9525</xdr:colOff>
                <xdr:row>20</xdr:row>
                <xdr:rowOff>9525</xdr:rowOff>
              </to>
            </anchor>
          </controlPr>
        </control>
      </mc:Choice>
      <mc:Fallback>
        <control shapeId="113665" r:id="rId5" name="ComboBox_1"/>
      </mc:Fallback>
    </mc:AlternateContent>
    <mc:AlternateContent xmlns:mc="http://schemas.openxmlformats.org/markup-compatibility/2006">
      <mc:Choice Requires="x14">
        <control shapeId="113667" r:id="rId7" name="ComboBox_3">
          <controlPr defaultSize="0" autoLine="0" linkedCell="$I$10" listFillRange="$I$11:$J$92" r:id="rId8">
            <anchor moveWithCells="1">
              <from>
                <xdr:col>38</xdr:col>
                <xdr:colOff>0</xdr:colOff>
                <xdr:row>7</xdr:row>
                <xdr:rowOff>171450</xdr:rowOff>
              </from>
              <to>
                <xdr:col>40</xdr:col>
                <xdr:colOff>9525</xdr:colOff>
                <xdr:row>9</xdr:row>
                <xdr:rowOff>9525</xdr:rowOff>
              </to>
            </anchor>
          </controlPr>
        </control>
      </mc:Choice>
      <mc:Fallback>
        <control shapeId="113667" r:id="rId7" name="ComboBox_3"/>
      </mc:Fallback>
    </mc:AlternateContent>
    <mc:AlternateContent xmlns:mc="http://schemas.openxmlformats.org/markup-compatibility/2006">
      <mc:Choice Requires="x14">
        <control shapeId="113668" r:id="rId9" name="ComboBox_4">
          <controlPr defaultSize="0" autoLine="0" linkedCell="$L$10" listFillRange="$L$11:$M$82" r:id="rId10">
            <anchor moveWithCells="1">
              <from>
                <xdr:col>38</xdr:col>
                <xdr:colOff>0</xdr:colOff>
                <xdr:row>10</xdr:row>
                <xdr:rowOff>171450</xdr:rowOff>
              </from>
              <to>
                <xdr:col>40</xdr:col>
                <xdr:colOff>9525</xdr:colOff>
                <xdr:row>12</xdr:row>
                <xdr:rowOff>0</xdr:rowOff>
              </to>
            </anchor>
          </controlPr>
        </control>
      </mc:Choice>
      <mc:Fallback>
        <control shapeId="113668" r:id="rId9" name="ComboBox_4"/>
      </mc:Fallback>
    </mc:AlternateContent>
    <mc:AlternateContent xmlns:mc="http://schemas.openxmlformats.org/markup-compatibility/2006">
      <mc:Choice Requires="x14">
        <control shapeId="113682" r:id="rId11" name="ComboBox_2">
          <controlPr defaultSize="0" autoLine="0" linkedCell="$F$10" listFillRange="$F$11:$G$15" r:id="rId12">
            <anchor moveWithCells="1">
              <from>
                <xdr:col>36</xdr:col>
                <xdr:colOff>600075</xdr:colOff>
                <xdr:row>13</xdr:row>
                <xdr:rowOff>180975</xdr:rowOff>
              </from>
              <to>
                <xdr:col>41</xdr:col>
                <xdr:colOff>9525</xdr:colOff>
                <xdr:row>15</xdr:row>
                <xdr:rowOff>19050</xdr:rowOff>
              </to>
            </anchor>
          </controlPr>
        </control>
      </mc:Choice>
      <mc:Fallback>
        <control shapeId="113682" r:id="rId11" name="ComboBox_2"/>
      </mc:Fallback>
    </mc:AlternateContent>
  </controls>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2EBE85C-5D90-4B6D-9F3A-90DD6FC7267B}">
  <sheetPr codeName="Sheet14">
    <tabColor rgb="FFFFFF00"/>
    <pageSetUpPr fitToPage="1"/>
  </sheetPr>
  <dimension ref="A1:G122"/>
  <sheetViews>
    <sheetView showGridLines="0" showRowColHeaders="0" zoomScale="115" zoomScaleNormal="115" workbookViewId="0">
      <selection sqref="A1:A2"/>
    </sheetView>
  </sheetViews>
  <sheetFormatPr defaultRowHeight="15"/>
  <cols>
    <col min="1" max="1" width="5.28515625" style="735" customWidth="1"/>
    <col min="2" max="7" width="40.7109375" style="735" customWidth="1"/>
    <col min="8" max="16384" width="9.140625" style="735"/>
  </cols>
  <sheetData>
    <row r="1" spans="1:7">
      <c r="A1" s="1257"/>
    </row>
    <row r="2" spans="1:7">
      <c r="A2" s="1257"/>
      <c r="B2" s="1261" t="s">
        <v>2088</v>
      </c>
      <c r="C2" s="1261"/>
    </row>
    <row r="3" spans="1:7" ht="15.75" customHeight="1">
      <c r="B3" s="1258" t="e" vm="1">
        <v>#VALUE!</v>
      </c>
      <c r="C3" s="895" t="s">
        <v>2261</v>
      </c>
      <c r="D3" s="896"/>
      <c r="E3" s="891"/>
      <c r="F3" s="891"/>
      <c r="G3" s="892"/>
    </row>
    <row r="4" spans="1:7" ht="15" customHeight="1">
      <c r="B4" s="1259"/>
      <c r="C4" s="1260">
        <v>45988.700578703705</v>
      </c>
      <c r="D4" s="1260"/>
      <c r="E4" s="893"/>
      <c r="F4" s="893"/>
      <c r="G4" s="894"/>
    </row>
    <row r="5" spans="1:7" ht="15.75">
      <c r="B5" s="863"/>
      <c r="C5" s="864"/>
      <c r="D5" s="793" t="str">
        <f>" (2)"</f>
        <v xml:space="preserve"> (2)</v>
      </c>
      <c r="E5" s="793" t="str">
        <f>" (3)"</f>
        <v xml:space="preserve"> (3)</v>
      </c>
      <c r="F5" s="793" t="str">
        <f>" (4)"</f>
        <v xml:space="preserve"> (4)</v>
      </c>
      <c r="G5" s="793" t="str">
        <f>" (5)"</f>
        <v xml:space="preserve"> (5)</v>
      </c>
    </row>
    <row r="6" spans="1:7" ht="15.75">
      <c r="B6" s="865"/>
      <c r="C6" s="866" t="b" cm="1">
        <f t="array" aca="1" ref="C6" ca="1">NOT(ISERROR(INDIRECT("'"&amp;$B7&amp;C$5&amp;"'"&amp;"!F35")))</f>
        <v>1</v>
      </c>
      <c r="D6" s="866" t="b" cm="1">
        <f t="array" aca="1" ref="D6" ca="1">NOT(ISERROR(INDIRECT("'"&amp;$B7&amp;D$5&amp;"'"&amp;"!F35")))</f>
        <v>0</v>
      </c>
      <c r="E6" s="866" t="b" cm="1">
        <f t="array" aca="1" ref="E6" ca="1">NOT(ISERROR(INDIRECT("'"&amp;$B7&amp;E$5&amp;"'"&amp;"!F35")))</f>
        <v>0</v>
      </c>
      <c r="F6" s="866" t="b" cm="1">
        <f t="array" aca="1" ref="F6" ca="1">NOT(ISERROR(INDIRECT("'"&amp;$B7&amp;F$5&amp;"'"&amp;"!F35")))</f>
        <v>0</v>
      </c>
      <c r="G6" s="867" t="b" cm="1">
        <f t="array" aca="1" ref="G6" ca="1">NOT(ISERROR(INDIRECT("'"&amp;$B7&amp;G$5&amp;"'"&amp;"!F35")))</f>
        <v>0</v>
      </c>
    </row>
    <row r="7" spans="1:7" ht="15.75">
      <c r="B7" s="868" t="s">
        <v>879</v>
      </c>
      <c r="C7" s="741" t="str">
        <f ca="1">IF(C6,$B7&amp;C$5,"")</f>
        <v>Timber floors</v>
      </c>
      <c r="D7" s="741" t="str">
        <f t="shared" ref="D7:G7" ca="1" si="0">IF(D6,$B7&amp;D$5,"")</f>
        <v/>
      </c>
      <c r="E7" s="741" t="str">
        <f t="shared" ca="1" si="0"/>
        <v/>
      </c>
      <c r="F7" s="741" t="str">
        <f t="shared" ca="1" si="0"/>
        <v/>
      </c>
      <c r="G7" s="869" t="str">
        <f t="shared" ca="1" si="0"/>
        <v/>
      </c>
    </row>
    <row r="8" spans="1:7" ht="15.75">
      <c r="B8" s="870" t="s">
        <v>198</v>
      </c>
      <c r="C8" s="871" t="str" cm="1">
        <f t="array" aca="1" ref="C8" ca="1">IF(C6,INDIRECT("'"&amp;C7&amp;"'"&amp;"!G36"),"")</f>
        <v>2AJa</v>
      </c>
      <c r="D8" s="871" t="str" cm="1">
        <f t="array" aca="1" ref="D8" ca="1">IF(D6,INDIRECT("'"&amp;D7&amp;"'"&amp;"!G36"),"")</f>
        <v/>
      </c>
      <c r="E8" s="871" t="str" cm="1">
        <f t="array" aca="1" ref="E8" ca="1">IF(E6,INDIRECT("'"&amp;E7&amp;"'"&amp;"!G36"),"")</f>
        <v/>
      </c>
      <c r="F8" s="871" t="str" cm="1">
        <f t="array" aca="1" ref="F8" ca="1">IF(F6,INDIRECT("'"&amp;F7&amp;"'"&amp;"!G36"),"")</f>
        <v/>
      </c>
      <c r="G8" s="872" t="str" cm="1">
        <f t="array" aca="1" ref="G8" ca="1">IF(G6,INDIRECT("'"&amp;G7&amp;"'"&amp;"!G36"),"")</f>
        <v/>
      </c>
    </row>
    <row r="9" spans="1:7" ht="15.75">
      <c r="B9" s="873" t="str" cm="1">
        <f t="array" aca="1" ref="B9" ca="1">INDIRECT("'"&amp;B7&amp;"'"&amp;"!F37")</f>
        <v>Joist or Ibeam &amp; height</v>
      </c>
      <c r="C9" s="874" t="str" cm="1">
        <f t="array" aca="1" ref="C9" ca="1">IF(C6,INDIRECT("'"&amp;C7&amp;"'"&amp;"!G37"),"")</f>
        <v>joist 190 mm</v>
      </c>
      <c r="D9" s="874" t="str" cm="1">
        <f t="array" aca="1" ref="D9" ca="1">IF(D6,INDIRECT("'"&amp;D7&amp;"'"&amp;"!G37"),"")</f>
        <v/>
      </c>
      <c r="E9" s="874" t="str" cm="1">
        <f t="array" aca="1" ref="E9" ca="1">IF(E6,INDIRECT("'"&amp;E7&amp;"'"&amp;"!G37"),"")</f>
        <v/>
      </c>
      <c r="F9" s="874" t="str" cm="1">
        <f t="array" aca="1" ref="F9" ca="1">IF(F6,INDIRECT("'"&amp;F7&amp;"'"&amp;"!G37"),"")</f>
        <v/>
      </c>
      <c r="G9" s="875" t="str" cm="1">
        <f t="array" aca="1" ref="G9" ca="1">IF(G6,INDIRECT("'"&amp;G7&amp;"'"&amp;"!G37"),"")</f>
        <v/>
      </c>
    </row>
    <row r="10" spans="1:7" ht="15.75">
      <c r="B10" s="873" t="str" cm="1">
        <f t="array" aca="1" ref="B10" ca="1">INDIRECT("'"&amp;B7&amp;"'"&amp;"!F38")</f>
        <v>Insulation conductivity</v>
      </c>
      <c r="C10" s="874" cm="1">
        <f t="array" aca="1" ref="C10" ca="1">IF(C6,INDIRECT("'"&amp;C7&amp;"'"&amp;"!G38"),"")</f>
        <v>6.5000000000000002E-2</v>
      </c>
      <c r="D10" s="874" t="str" cm="1">
        <f t="array" aca="1" ref="D10" ca="1">IF(D6,INDIRECT("'"&amp;D7&amp;"'"&amp;"!G38"),"")</f>
        <v/>
      </c>
      <c r="E10" s="874" t="str" cm="1">
        <f t="array" aca="1" ref="E10" ca="1">IF(E6,INDIRECT("'"&amp;E7&amp;"'"&amp;"!G38"),"")</f>
        <v/>
      </c>
      <c r="F10" s="874" t="str" cm="1">
        <f t="array" aca="1" ref="F10" ca="1">IF(F6,INDIRECT("'"&amp;F7&amp;"'"&amp;"!G38"),"")</f>
        <v/>
      </c>
      <c r="G10" s="875" t="str" cm="1">
        <f t="array" aca="1" ref="G10" ca="1">IF(G6,INDIRECT("'"&amp;G7&amp;"'"&amp;"!G38"),"")</f>
        <v/>
      </c>
    </row>
    <row r="11" spans="1:7" ht="15.75">
      <c r="B11" s="873" t="str" cm="1">
        <f t="array" aca="1" ref="B11" ca="1">INDIRECT("'"&amp;B7&amp;"'"&amp;"!F39")</f>
        <v>Bottom of joists unlined or lined</v>
      </c>
      <c r="C11" s="874" t="str" cm="1">
        <f t="array" aca="1" ref="C11" ca="1">IF(C6,INDIRECT("'"&amp;C7&amp;"'"&amp;"!G39"),"")</f>
        <v>un-lined</v>
      </c>
      <c r="D11" s="874" t="str" cm="1">
        <f t="array" aca="1" ref="D11" ca="1">IF(D6,INDIRECT("'"&amp;D7&amp;"'"&amp;"!G39"),"")</f>
        <v/>
      </c>
      <c r="E11" s="874" t="str" cm="1">
        <f t="array" aca="1" ref="E11" ca="1">IF(E6,INDIRECT("'"&amp;E7&amp;"'"&amp;"!G39"),"")</f>
        <v/>
      </c>
      <c r="F11" s="874" t="str" cm="1">
        <f t="array" aca="1" ref="F11" ca="1">IF(F6,INDIRECT("'"&amp;F7&amp;"'"&amp;"!G39"),"")</f>
        <v/>
      </c>
      <c r="G11" s="875" t="str" cm="1">
        <f t="array" aca="1" ref="G11" ca="1">IF(G6,INDIRECT("'"&amp;G7&amp;"'"&amp;"!G39"),"")</f>
        <v/>
      </c>
    </row>
    <row r="12" spans="1:7" ht="15.75">
      <c r="B12" s="873" t="str" cm="1">
        <f t="array" aca="1" ref="B12" ca="1">INDIRECT("'"&amp;B7&amp;"'"&amp;"!F40")</f>
        <v>Joist spacing (mm)</v>
      </c>
      <c r="C12" s="874" cm="1">
        <f t="array" aca="1" ref="C12" ca="1">IF(C6,INDIRECT("'"&amp;C7&amp;"'"&amp;"!G40"),"")</f>
        <v>600</v>
      </c>
      <c r="D12" s="874" t="str" cm="1">
        <f t="array" aca="1" ref="D12" ca="1">IF(D6,INDIRECT("'"&amp;D7&amp;"'"&amp;"!G40"),"")</f>
        <v/>
      </c>
      <c r="E12" s="874" t="str" cm="1">
        <f t="array" aca="1" ref="E12" ca="1">IF(E6,INDIRECT("'"&amp;E7&amp;"'"&amp;"!G40"),"")</f>
        <v/>
      </c>
      <c r="F12" s="874" t="str" cm="1">
        <f t="array" aca="1" ref="F12" ca="1">IF(F6,INDIRECT("'"&amp;F7&amp;"'"&amp;"!G40"),"")</f>
        <v/>
      </c>
      <c r="G12" s="875" t="str" cm="1">
        <f t="array" aca="1" ref="G12" ca="1">IF(G6,INDIRECT("'"&amp;G7&amp;"'"&amp;"!G40"),"")</f>
        <v/>
      </c>
    </row>
    <row r="13" spans="1:7" ht="15.75">
      <c r="B13" s="873" t="str" cm="1">
        <f t="array" aca="1" ref="B13" ca="1">INDIRECT("'"&amp;B7&amp;"'"&amp;"!F41")</f>
        <v>Insulation R-value</v>
      </c>
      <c r="C13" s="874" t="str" cm="1">
        <f t="array" aca="1" ref="C13" ca="1">IF(C6,INDIRECT("'"&amp;C7&amp;"'"&amp;"!G41"),"")</f>
        <v>1.9</v>
      </c>
      <c r="D13" s="874" t="str" cm="1">
        <f t="array" aca="1" ref="D13" ca="1">IF(D6,INDIRECT("'"&amp;D7&amp;"'"&amp;"!G41"),"")</f>
        <v/>
      </c>
      <c r="E13" s="874" t="str" cm="1">
        <f t="array" aca="1" ref="E13" ca="1">IF(E6,INDIRECT("'"&amp;E7&amp;"'"&amp;"!G41"),"")</f>
        <v/>
      </c>
      <c r="F13" s="874" t="str" cm="1">
        <f t="array" aca="1" ref="F13" ca="1">IF(F6,INDIRECT("'"&amp;F7&amp;"'"&amp;"!G41"),"")</f>
        <v/>
      </c>
      <c r="G13" s="875" t="str" cm="1">
        <f t="array" aca="1" ref="G13" ca="1">IF(G6,INDIRECT("'"&amp;G7&amp;"'"&amp;"!G41"),"")</f>
        <v/>
      </c>
    </row>
    <row r="14" spans="1:7" ht="15.75">
      <c r="B14" s="876" t="str" cm="1">
        <f t="array" aca="1" ref="B14" ca="1">INDIRECT("'"&amp;B7&amp;"'"&amp;"!F42")</f>
        <v>Floor thermal resistance</v>
      </c>
      <c r="C14" s="877" cm="1">
        <f t="array" aca="1" ref="C14" ca="1">IF(C6,INDIRECT("'"&amp;C7&amp;"'"&amp;"!G42"),"")</f>
        <v>1.9692115519542848</v>
      </c>
      <c r="D14" s="877" t="str" cm="1">
        <f t="array" aca="1" ref="D14" ca="1">IF(D6,INDIRECT("'"&amp;D7&amp;"'"&amp;"!G42"),"")</f>
        <v/>
      </c>
      <c r="E14" s="877" t="str" cm="1">
        <f t="array" aca="1" ref="E14" ca="1">IF(E6,INDIRECT("'"&amp;E7&amp;"'"&amp;"!G42"),"")</f>
        <v/>
      </c>
      <c r="F14" s="877" t="str" cm="1">
        <f t="array" aca="1" ref="F14" ca="1">IF(F6,INDIRECT("'"&amp;F7&amp;"'"&amp;"!G42"),"")</f>
        <v/>
      </c>
      <c r="G14" s="878" t="str" cm="1">
        <f t="array" aca="1" ref="G14" ca="1">IF(G6,INDIRECT("'"&amp;G7&amp;"'"&amp;"!G42"),"")</f>
        <v/>
      </c>
    </row>
    <row r="15" spans="1:7" ht="15.75">
      <c r="B15" s="879"/>
      <c r="C15" s="866" t="b" cm="1">
        <f t="array" aca="1" ref="C15" ca="1">NOT(ISERROR(INDIRECT("'"&amp;$B16&amp;C$5&amp;"'"&amp;"!F35")))</f>
        <v>1</v>
      </c>
      <c r="D15" s="866" t="b" cm="1">
        <f t="array" aca="1" ref="D15" ca="1">NOT(ISERROR(INDIRECT("'"&amp;$B16&amp;D$5&amp;"'"&amp;"!F35")))</f>
        <v>0</v>
      </c>
      <c r="E15" s="866" t="b" cm="1">
        <f t="array" aca="1" ref="E15" ca="1">NOT(ISERROR(INDIRECT("'"&amp;$B16&amp;E$5&amp;"'"&amp;"!F35")))</f>
        <v>0</v>
      </c>
      <c r="F15" s="866" t="b" cm="1">
        <f t="array" aca="1" ref="F15" ca="1">NOT(ISERROR(INDIRECT("'"&amp;$B16&amp;F$5&amp;"'"&amp;"!F35")))</f>
        <v>0</v>
      </c>
      <c r="G15" s="867" t="b" cm="1">
        <f t="array" aca="1" ref="G15" ca="1">NOT(ISERROR(INDIRECT("'"&amp;$B16&amp;G$5&amp;"'"&amp;"!F35")))</f>
        <v>0</v>
      </c>
    </row>
    <row r="16" spans="1:7" ht="15.75">
      <c r="B16" s="868" t="s">
        <v>1077</v>
      </c>
      <c r="C16" s="741" t="str">
        <f ca="1">IF(C15,$B16&amp;C$5,"")</f>
        <v>Slab floors</v>
      </c>
      <c r="D16" s="741" t="str">
        <f ca="1">IF(D15,$B16&amp;D$5,"")</f>
        <v/>
      </c>
      <c r="E16" s="741" t="str">
        <f ca="1">IF(E15,$B16&amp;E$5,"")</f>
        <v/>
      </c>
      <c r="F16" s="741" t="str">
        <f ca="1">IF(F15,$B16&amp;F$5,"")</f>
        <v/>
      </c>
      <c r="G16" s="869" t="str">
        <f ca="1">IF(G15,$B16&amp;G$5,"")</f>
        <v/>
      </c>
    </row>
    <row r="17" spans="2:7" ht="15.75">
      <c r="B17" s="870" t="s">
        <v>198</v>
      </c>
      <c r="C17" s="871" t="str" cm="1">
        <f t="array" aca="1" ref="C17" ca="1">IF(C15,INDIRECT("'"&amp;C16&amp;"'"&amp;"!G36"),"")</f>
        <v>lGqQ</v>
      </c>
      <c r="D17" s="871" t="str" cm="1">
        <f t="array" aca="1" ref="D17" ca="1">IF(D15,INDIRECT("'"&amp;D16&amp;"'"&amp;"!G36"),"")</f>
        <v/>
      </c>
      <c r="E17" s="871" t="str" cm="1">
        <f t="array" aca="1" ref="E17" ca="1">IF(E15,INDIRECT("'"&amp;E16&amp;"'"&amp;"!G36"),"")</f>
        <v/>
      </c>
      <c r="F17" s="871" t="str" cm="1">
        <f t="array" aca="1" ref="F17" ca="1">IF(F15,INDIRECT("'"&amp;F16&amp;"'"&amp;"!G36"),"")</f>
        <v/>
      </c>
      <c r="G17" s="872" t="str" cm="1">
        <f t="array" aca="1" ref="G17" ca="1">IF(G15,INDIRECT("'"&amp;G16&amp;"'"&amp;"!G36"),"")</f>
        <v/>
      </c>
    </row>
    <row r="18" spans="2:7" ht="15.75">
      <c r="B18" s="873" t="str" cm="1">
        <f t="array" aca="1" ref="B18" ca="1">INDIRECT("'"&amp;B16&amp;"'"&amp;"!F37")</f>
        <v>Wall type</v>
      </c>
      <c r="C18" s="874" t="str" cm="1">
        <f t="array" aca="1" ref="C18" ca="1">IF(C15,INDIRECT("'"&amp;C16&amp;"'"&amp;"!G37"),"")</f>
        <v>other than masonry veneer</v>
      </c>
      <c r="D18" s="874" t="str" cm="1">
        <f t="array" aca="1" ref="D18" ca="1">IF(D15,INDIRECT("'"&amp;D16&amp;"'"&amp;"!G37"),"")</f>
        <v/>
      </c>
      <c r="E18" s="874" t="str" cm="1">
        <f t="array" aca="1" ref="E18" ca="1">IF(E15,INDIRECT("'"&amp;E16&amp;"'"&amp;"!G37"),"")</f>
        <v/>
      </c>
      <c r="F18" s="874" t="str" cm="1">
        <f t="array" aca="1" ref="F18" ca="1">IF(F15,INDIRECT("'"&amp;F16&amp;"'"&amp;"!G37"),"")</f>
        <v/>
      </c>
      <c r="G18" s="875" t="str" cm="1">
        <f t="array" aca="1" ref="G18" ca="1">IF(G15,INDIRECT("'"&amp;G16&amp;"'"&amp;"!G37"),"")</f>
        <v/>
      </c>
    </row>
    <row r="19" spans="2:7" ht="15.75">
      <c r="B19" s="873" t="str" cm="1">
        <f t="array" aca="1" ref="B19" ca="1">INDIRECT("'"&amp;B16&amp;"'"&amp;"!F38")</f>
        <v>Topper insulating layer</v>
      </c>
      <c r="C19" s="874" t="str" cm="1">
        <f t="array" aca="1" ref="C19" ca="1">IF(C15,INDIRECT("'"&amp;C16&amp;"'"&amp;"!G38"),"")</f>
        <v>none</v>
      </c>
      <c r="D19" s="874" t="str" cm="1">
        <f t="array" aca="1" ref="D19" ca="1">IF(D15,INDIRECT("'"&amp;D16&amp;"'"&amp;"!G38"),"")</f>
        <v/>
      </c>
      <c r="E19" s="874" t="str" cm="1">
        <f t="array" aca="1" ref="E19" ca="1">IF(E15,INDIRECT("'"&amp;E16&amp;"'"&amp;"!G38"),"")</f>
        <v/>
      </c>
      <c r="F19" s="874" t="str" cm="1">
        <f t="array" aca="1" ref="F19" ca="1">IF(F15,INDIRECT("'"&amp;F16&amp;"'"&amp;"!G38"),"")</f>
        <v/>
      </c>
      <c r="G19" s="875" t="str" cm="1">
        <f t="array" aca="1" ref="G19" ca="1">IF(G15,INDIRECT("'"&amp;G16&amp;"'"&amp;"!G38"),"")</f>
        <v/>
      </c>
    </row>
    <row r="20" spans="2:7" ht="15.75">
      <c r="B20" s="873" t="str" cm="1">
        <f t="array" aca="1" ref="B20" ca="1">INDIRECT("'"&amp;B16&amp;"'"&amp;"!F39")</f>
        <v>Vertical edge insulation</v>
      </c>
      <c r="C20" s="874" t="str" cm="1">
        <f t="array" aca="1" ref="C20" ca="1">IF(C15,INDIRECT("'"&amp;C16&amp;"'"&amp;"!G39"),"")</f>
        <v>none</v>
      </c>
      <c r="D20" s="874" t="str" cm="1">
        <f t="array" aca="1" ref="D20" ca="1">IF(D15,INDIRECT("'"&amp;D16&amp;"'"&amp;"!G39"),"")</f>
        <v/>
      </c>
      <c r="E20" s="874" t="str" cm="1">
        <f t="array" aca="1" ref="E20" ca="1">IF(E15,INDIRECT("'"&amp;E16&amp;"'"&amp;"!G39"),"")</f>
        <v/>
      </c>
      <c r="F20" s="874" t="str" cm="1">
        <f t="array" aca="1" ref="F20" ca="1">IF(F15,INDIRECT("'"&amp;F16&amp;"'"&amp;"!G39"),"")</f>
        <v/>
      </c>
      <c r="G20" s="875" t="str" cm="1">
        <f t="array" aca="1" ref="G20" ca="1">IF(G15,INDIRECT("'"&amp;G16&amp;"'"&amp;"!G39"),"")</f>
        <v/>
      </c>
    </row>
    <row r="21" spans="2:7" ht="15.75">
      <c r="B21" s="873" t="str" cm="1">
        <f t="array" aca="1" ref="B21" ca="1">INDIRECT("'"&amp;B16&amp;"'"&amp;"!F40")</f>
        <v>Floor type &amp; underslab insulation style</v>
      </c>
      <c r="C21" s="874" t="str" cm="1">
        <f t="array" aca="1" ref="C21" ca="1">IF(C15,INDIRECT("'"&amp;C16&amp;"'"&amp;"!G40"),"")</f>
        <v>Slab floor without insulation</v>
      </c>
      <c r="D21" s="874" t="str" cm="1">
        <f t="array" aca="1" ref="D21" ca="1">IF(D15,INDIRECT("'"&amp;D16&amp;"'"&amp;"!G40"),"")</f>
        <v/>
      </c>
      <c r="E21" s="874" t="str" cm="1">
        <f t="array" aca="1" ref="E21" ca="1">IF(E15,INDIRECT("'"&amp;E16&amp;"'"&amp;"!G40"),"")</f>
        <v/>
      </c>
      <c r="F21" s="874" t="str" cm="1">
        <f t="array" aca="1" ref="F21" ca="1">IF(F15,INDIRECT("'"&amp;F16&amp;"'"&amp;"!G40"),"")</f>
        <v/>
      </c>
      <c r="G21" s="875" t="str" cm="1">
        <f t="array" aca="1" ref="G21" ca="1">IF(G15,INDIRECT("'"&amp;G16&amp;"'"&amp;"!G40"),"")</f>
        <v/>
      </c>
    </row>
    <row r="22" spans="2:7" ht="15.75">
      <c r="B22" s="873" t="str" cm="1">
        <f t="array" aca="1" ref="B22" ca="1">INDIRECT("'"&amp;B16&amp;"'"&amp;"!F41")</f>
        <v>Wall depth (mm)</v>
      </c>
      <c r="C22" s="874" t="str" cm="1">
        <f t="array" aca="1" ref="C22" ca="1">IF(C15,INDIRECT("'"&amp;C16&amp;"'"&amp;"!G41"),"")</f>
        <v>90 +</v>
      </c>
      <c r="D22" s="874" t="str" cm="1">
        <f t="array" aca="1" ref="D22" ca="1">IF(D15,INDIRECT("'"&amp;D16&amp;"'"&amp;"!G41"),"")</f>
        <v/>
      </c>
      <c r="E22" s="874" t="str" cm="1">
        <f t="array" aca="1" ref="E22" ca="1">IF(E15,INDIRECT("'"&amp;E16&amp;"'"&amp;"!G41"),"")</f>
        <v/>
      </c>
      <c r="F22" s="874" t="str" cm="1">
        <f t="array" aca="1" ref="F22" ca="1">IF(F15,INDIRECT("'"&amp;F16&amp;"'"&amp;"!G41"),"")</f>
        <v/>
      </c>
      <c r="G22" s="875" t="str" cm="1">
        <f t="array" aca="1" ref="G22" ca="1">IF(G15,INDIRECT("'"&amp;G16&amp;"'"&amp;"!G41"),"")</f>
        <v/>
      </c>
    </row>
    <row r="23" spans="2:7" ht="15.75">
      <c r="B23" s="873" t="str" cm="1">
        <f t="array" aca="1" ref="B23" ca="1">INDIRECT("'"&amp;B16&amp;"'"&amp;"!F42")</f>
        <v>Area-Perim. fraction</v>
      </c>
      <c r="C23" s="874" cm="1">
        <f t="array" aca="1" ref="C23" ca="1">IF(C15,INDIRECT("'"&amp;C16&amp;"'"&amp;"!G42"),"")</f>
        <v>2.4</v>
      </c>
      <c r="D23" s="874" t="str" cm="1">
        <f t="array" aca="1" ref="D23" ca="1">IF(D15,INDIRECT("'"&amp;D16&amp;"'"&amp;"!G42"),"")</f>
        <v/>
      </c>
      <c r="E23" s="874" t="str" cm="1">
        <f t="array" aca="1" ref="E23" ca="1">IF(E15,INDIRECT("'"&amp;E16&amp;"'"&amp;"!G42"),"")</f>
        <v/>
      </c>
      <c r="F23" s="874" t="str" cm="1">
        <f t="array" aca="1" ref="F23" ca="1">IF(F15,INDIRECT("'"&amp;F16&amp;"'"&amp;"!G42"),"")</f>
        <v/>
      </c>
      <c r="G23" s="875" t="str" cm="1">
        <f t="array" aca="1" ref="G23" ca="1">IF(G15,INDIRECT("'"&amp;G16&amp;"'"&amp;"!G42"),"")</f>
        <v/>
      </c>
    </row>
    <row r="24" spans="2:7" ht="15.75">
      <c r="B24" s="876" t="str" cm="1">
        <f t="array" aca="1" ref="B24" ca="1">INDIRECT("'"&amp;B16&amp;"'"&amp;"!F43")</f>
        <v>Floor R-value (m2.K/W)</v>
      </c>
      <c r="C24" s="877" cm="1">
        <f t="array" aca="1" ref="C24" ca="1">IF(C15,INDIRECT("'"&amp;C16&amp;"'"&amp;"!G43"),"")</f>
        <v>1.0015778534598689</v>
      </c>
      <c r="D24" s="877" t="str" cm="1">
        <f t="array" aca="1" ref="D24" ca="1">IF(D15,INDIRECT("'"&amp;D16&amp;"'"&amp;"!G43"),"")</f>
        <v/>
      </c>
      <c r="E24" s="877" t="str" cm="1">
        <f t="array" aca="1" ref="E24" ca="1">IF(E15,INDIRECT("'"&amp;E16&amp;"'"&amp;"!G43"),"")</f>
        <v/>
      </c>
      <c r="F24" s="877" t="str" cm="1">
        <f t="array" aca="1" ref="F24" ca="1">IF(F15,INDIRECT("'"&amp;F16&amp;"'"&amp;"!G43"),"")</f>
        <v/>
      </c>
      <c r="G24" s="878" t="str" cm="1">
        <f t="array" aca="1" ref="G24" ca="1">IF(G15,INDIRECT("'"&amp;G16&amp;"'"&amp;"!G43"),"")</f>
        <v/>
      </c>
    </row>
    <row r="25" spans="2:7" ht="15.75">
      <c r="B25" s="879"/>
      <c r="C25" s="866" t="b" cm="1">
        <f t="array" aca="1" ref="C25" ca="1">NOT(ISERROR(INDIRECT("'"&amp;$B26&amp;C$5&amp;"'"&amp;"!F35")))</f>
        <v>1</v>
      </c>
      <c r="D25" s="866" t="b" cm="1">
        <f t="array" aca="1" ref="D25" ca="1">NOT(ISERROR(INDIRECT("'"&amp;$B26&amp;D$5&amp;"'"&amp;"!F35")))</f>
        <v>0</v>
      </c>
      <c r="E25" s="866" t="b" cm="1">
        <f t="array" aca="1" ref="E25" ca="1">NOT(ISERROR(INDIRECT("'"&amp;$B26&amp;E$5&amp;"'"&amp;"!F35")))</f>
        <v>0</v>
      </c>
      <c r="F25" s="866" t="b" cm="1">
        <f t="array" aca="1" ref="F25" ca="1">NOT(ISERROR(INDIRECT("'"&amp;$B26&amp;F$5&amp;"'"&amp;"!F35")))</f>
        <v>0</v>
      </c>
      <c r="G25" s="867" t="b" cm="1">
        <f t="array" aca="1" ref="G25" ca="1">NOT(ISERROR(INDIRECT("'"&amp;$B26&amp;G$5&amp;"'"&amp;"!F35")))</f>
        <v>0</v>
      </c>
    </row>
    <row r="26" spans="2:7" ht="15.75">
      <c r="B26" s="868" t="s">
        <v>619</v>
      </c>
      <c r="C26" s="741" t="str">
        <f ca="1">IF(C25,$B26&amp;C$5,"")</f>
        <v>Roofs</v>
      </c>
      <c r="D26" s="741" t="str">
        <f ca="1">IF(D25,$B26&amp;D$5,"")</f>
        <v/>
      </c>
      <c r="E26" s="741" t="str">
        <f ca="1">IF(E25,$B26&amp;E$5,"")</f>
        <v/>
      </c>
      <c r="F26" s="741" t="str">
        <f ca="1">IF(F25,$B26&amp;F$5,"")</f>
        <v/>
      </c>
      <c r="G26" s="869" t="str">
        <f ca="1">IF(G25,$B26&amp;G$5,"")</f>
        <v/>
      </c>
    </row>
    <row r="27" spans="2:7" ht="15.75">
      <c r="B27" s="870" t="s">
        <v>198</v>
      </c>
      <c r="C27" s="871" t="str" cm="1">
        <f t="array" aca="1" ref="C27" ca="1">IF(C25,INDIRECT("'"&amp;C26&amp;"'"&amp;"!G36"),"")</f>
        <v>ogEAAABLJA</v>
      </c>
      <c r="D27" s="871" t="str" cm="1">
        <f t="array" aca="1" ref="D27" ca="1">IF(D25,INDIRECT("'"&amp;D26&amp;"'"&amp;"!G36"),"")</f>
        <v/>
      </c>
      <c r="E27" s="871" t="str" cm="1">
        <f t="array" aca="1" ref="E27" ca="1">IF(E25,INDIRECT("'"&amp;E26&amp;"'"&amp;"!G36"),"")</f>
        <v/>
      </c>
      <c r="F27" s="871" t="str" cm="1">
        <f t="array" aca="1" ref="F27" ca="1">IF(F25,INDIRECT("'"&amp;F26&amp;"'"&amp;"!G36"),"")</f>
        <v/>
      </c>
      <c r="G27" s="872" t="str" cm="1">
        <f t="array" aca="1" ref="G27" ca="1">IF(G25,INDIRECT("'"&amp;G26&amp;"'"&amp;"!G36"),"")</f>
        <v/>
      </c>
    </row>
    <row r="28" spans="2:7" ht="15.75">
      <c r="B28" s="873" t="str" cm="1">
        <f t="array" aca="1" ref="B28" ca="1">INDIRECT("'"&amp;B26&amp;"'"&amp;"!F37")</f>
        <v>Roof cladding</v>
      </c>
      <c r="C28" s="874" t="str" cm="1">
        <f t="array" aca="1" ref="C28" ca="1">IF(C25,INDIRECT("'"&amp;C26&amp;"'"&amp;"!G37"),"")</f>
        <v>Metal tiles / profiled metal</v>
      </c>
      <c r="D28" s="874" t="str" cm="1">
        <f t="array" aca="1" ref="D28" ca="1">IF(D25,INDIRECT("'"&amp;D26&amp;"'"&amp;"!G37"),"")</f>
        <v/>
      </c>
      <c r="E28" s="874" t="str" cm="1">
        <f t="array" aca="1" ref="E28" ca="1">IF(E25,INDIRECT("'"&amp;E26&amp;"'"&amp;"!G37"),"")</f>
        <v/>
      </c>
      <c r="F28" s="874" t="str" cm="1">
        <f t="array" aca="1" ref="F28" ca="1">IF(F25,INDIRECT("'"&amp;F26&amp;"'"&amp;"!G37"),"")</f>
        <v/>
      </c>
      <c r="G28" s="875" t="str" cm="1">
        <f t="array" aca="1" ref="G28" ca="1">IF(G25,INDIRECT("'"&amp;G26&amp;"'"&amp;"!G37"),"")</f>
        <v/>
      </c>
    </row>
    <row r="29" spans="2:7" ht="15.75">
      <c r="B29" s="873" t="str" cm="1">
        <f t="array" aca="1" ref="B29" ca="1">INDIRECT("'"&amp;B26&amp;"'"&amp;"!F38")</f>
        <v>Rafter height (mm)</v>
      </c>
      <c r="C29" s="874" cm="1">
        <f t="array" aca="1" ref="C29" ca="1">IF(C25,INDIRECT("'"&amp;C26&amp;"'"&amp;"!G38"),"")</f>
        <v>140</v>
      </c>
      <c r="D29" s="874" t="str" cm="1">
        <f t="array" aca="1" ref="D29" ca="1">IF(D25,INDIRECT("'"&amp;D26&amp;"'"&amp;"!G38"),"")</f>
        <v/>
      </c>
      <c r="E29" s="874" t="str" cm="1">
        <f t="array" aca="1" ref="E29" ca="1">IF(E25,INDIRECT("'"&amp;E26&amp;"'"&amp;"!G38"),"")</f>
        <v/>
      </c>
      <c r="F29" s="874" t="str" cm="1">
        <f t="array" aca="1" ref="F29" ca="1">IF(F25,INDIRECT("'"&amp;F26&amp;"'"&amp;"!G38"),"")</f>
        <v/>
      </c>
      <c r="G29" s="875" t="str" cm="1">
        <f t="array" aca="1" ref="G29" ca="1">IF(G25,INDIRECT("'"&amp;G26&amp;"'"&amp;"!G38"),"")</f>
        <v/>
      </c>
    </row>
    <row r="30" spans="2:7" ht="15.75">
      <c r="B30" s="873" t="str" cm="1">
        <f t="array" aca="1" ref="B30" ca="1">INDIRECT("'"&amp;B26&amp;"'"&amp;"!F39")</f>
        <v>Battens / Dwangs</v>
      </c>
      <c r="C30" s="874" t="str" cm="1">
        <f t="array" aca="1" ref="C30" ca="1">IF(C25,INDIRECT("'"&amp;C26&amp;"'"&amp;"!G39"),"")</f>
        <v>battens</v>
      </c>
      <c r="D30" s="874" t="str" cm="1">
        <f t="array" aca="1" ref="D30" ca="1">IF(D25,INDIRECT("'"&amp;D26&amp;"'"&amp;"!G39"),"")</f>
        <v/>
      </c>
      <c r="E30" s="874" t="str" cm="1">
        <f t="array" aca="1" ref="E30" ca="1">IF(E25,INDIRECT("'"&amp;E26&amp;"'"&amp;"!G39"),"")</f>
        <v/>
      </c>
      <c r="F30" s="874" t="str" cm="1">
        <f t="array" aca="1" ref="F30" ca="1">IF(F25,INDIRECT("'"&amp;F26&amp;"'"&amp;"!G39"),"")</f>
        <v/>
      </c>
      <c r="G30" s="875" t="str" cm="1">
        <f t="array" aca="1" ref="G30" ca="1">IF(G25,INDIRECT("'"&amp;G26&amp;"'"&amp;"!G39"),"")</f>
        <v/>
      </c>
    </row>
    <row r="31" spans="2:7" ht="15.75">
      <c r="B31" s="873" t="str" cm="1">
        <f t="array" aca="1" ref="B31" ca="1">INDIRECT("'"&amp;B26&amp;"'"&amp;"!F40")</f>
        <v>Insulation conductivity</v>
      </c>
      <c r="C31" s="874" cm="1">
        <f t="array" aca="1" ref="C31" ca="1">IF(C25,INDIRECT("'"&amp;C26&amp;"'"&amp;"!G40"),"")</f>
        <v>6.5000000000000002E-2</v>
      </c>
      <c r="D31" s="874" t="str" cm="1">
        <f t="array" aca="1" ref="D31" ca="1">IF(D25,INDIRECT("'"&amp;D26&amp;"'"&amp;"!G40"),"")</f>
        <v/>
      </c>
      <c r="E31" s="874" t="str" cm="1">
        <f t="array" aca="1" ref="E31" ca="1">IF(E25,INDIRECT("'"&amp;E26&amp;"'"&amp;"!G40"),"")</f>
        <v/>
      </c>
      <c r="F31" s="874" t="str" cm="1">
        <f t="array" aca="1" ref="F31" ca="1">IF(F25,INDIRECT("'"&amp;F26&amp;"'"&amp;"!G40"),"")</f>
        <v/>
      </c>
      <c r="G31" s="875" t="str" cm="1">
        <f t="array" aca="1" ref="G31" ca="1">IF(G25,INDIRECT("'"&amp;G26&amp;"'"&amp;"!G40"),"")</f>
        <v/>
      </c>
    </row>
    <row r="32" spans="2:7" ht="15.75">
      <c r="B32" s="873" t="str" cm="1">
        <f t="array" aca="1" ref="B32" ca="1">INDIRECT("'"&amp;B26&amp;"'"&amp;"!F41")</f>
        <v>Interior secondary insulating layer (ISIL)</v>
      </c>
      <c r="C32" s="874" t="str" cm="1">
        <f t="array" aca="1" ref="C32" ca="1">IF(C25,INDIRECT("'"&amp;C26&amp;"'"&amp;"!G41"),"")</f>
        <v>none</v>
      </c>
      <c r="D32" s="874" t="str" cm="1">
        <f t="array" aca="1" ref="D32" ca="1">IF(D25,INDIRECT("'"&amp;D26&amp;"'"&amp;"!G41"),"")</f>
        <v/>
      </c>
      <c r="E32" s="874" t="str" cm="1">
        <f t="array" aca="1" ref="E32" ca="1">IF(E25,INDIRECT("'"&amp;E26&amp;"'"&amp;"!G41"),"")</f>
        <v/>
      </c>
      <c r="F32" s="874" t="str" cm="1">
        <f t="array" aca="1" ref="F32" ca="1">IF(F25,INDIRECT("'"&amp;F26&amp;"'"&amp;"!G41"),"")</f>
        <v/>
      </c>
      <c r="G32" s="875" t="str" cm="1">
        <f t="array" aca="1" ref="G32" ca="1">IF(G25,INDIRECT("'"&amp;G26&amp;"'"&amp;"!G41"),"")</f>
        <v/>
      </c>
    </row>
    <row r="33" spans="2:7" ht="15.75">
      <c r="B33" s="873" t="str" cm="1">
        <f t="array" aca="1" ref="B33" ca="1">INDIRECT("'"&amp;B26&amp;"'"&amp;"!F42")</f>
        <v>----------</v>
      </c>
      <c r="C33" s="874" cm="1">
        <f t="array" aca="1" ref="C33" ca="1">IF(C25,INDIRECT("'"&amp;C26&amp;"'"&amp;"!G42"),"")</f>
        <v>0</v>
      </c>
      <c r="D33" s="874" t="str" cm="1">
        <f t="array" aca="1" ref="D33" ca="1">IF(D25,INDIRECT("'"&amp;D26&amp;"'"&amp;"!G42"),"")</f>
        <v/>
      </c>
      <c r="E33" s="874" t="str" cm="1">
        <f t="array" aca="1" ref="E33" ca="1">IF(E25,INDIRECT("'"&amp;E26&amp;"'"&amp;"!G42"),"")</f>
        <v/>
      </c>
      <c r="F33" s="874" t="str" cm="1">
        <f t="array" aca="1" ref="F33" ca="1">IF(F25,INDIRECT("'"&amp;F26&amp;"'"&amp;"!G42"),"")</f>
        <v/>
      </c>
      <c r="G33" s="875" t="str" cm="1">
        <f t="array" aca="1" ref="G33" ca="1">IF(G25,INDIRECT("'"&amp;G26&amp;"'"&amp;"!G42"),"")</f>
        <v/>
      </c>
    </row>
    <row r="34" spans="2:7" ht="15.75">
      <c r="B34" s="873" t="str" cm="1">
        <f t="array" aca="1" ref="B34" ca="1">INDIRECT("'"&amp;B26&amp;"'"&amp;"!F43")</f>
        <v>----------</v>
      </c>
      <c r="C34" s="874" cm="1">
        <f t="array" aca="1" ref="C34" ca="1">IF(C25,INDIRECT("'"&amp;C26&amp;"'"&amp;"!G43"),"")</f>
        <v>0</v>
      </c>
      <c r="D34" s="874" t="str" cm="1">
        <f t="array" aca="1" ref="D34" ca="1">IF(D25,INDIRECT("'"&amp;D26&amp;"'"&amp;"!G43"),"")</f>
        <v/>
      </c>
      <c r="E34" s="874" t="str" cm="1">
        <f t="array" aca="1" ref="E34" ca="1">IF(E25,INDIRECT("'"&amp;E26&amp;"'"&amp;"!G43"),"")</f>
        <v/>
      </c>
      <c r="F34" s="874" t="str" cm="1">
        <f t="array" aca="1" ref="F34" ca="1">IF(F25,INDIRECT("'"&amp;F26&amp;"'"&amp;"!G43"),"")</f>
        <v/>
      </c>
      <c r="G34" s="875" t="str" cm="1">
        <f t="array" aca="1" ref="G34" ca="1">IF(G25,INDIRECT("'"&amp;G26&amp;"'"&amp;"!G43"),"")</f>
        <v/>
      </c>
    </row>
    <row r="35" spans="2:7" ht="15.75">
      <c r="B35" s="873" t="str" cm="1">
        <f t="array" aca="1" ref="B35" ca="1">INDIRECT("'"&amp;B26&amp;"'"&amp;"!F44")</f>
        <v>----------</v>
      </c>
      <c r="C35" s="874" cm="1">
        <f t="array" aca="1" ref="C35" ca="1">IF(C25,INDIRECT("'"&amp;C26&amp;"'"&amp;"!G44"),"")</f>
        <v>0</v>
      </c>
      <c r="D35" s="874" t="str" cm="1">
        <f t="array" aca="1" ref="D35" ca="1">IF(D25,INDIRECT("'"&amp;D26&amp;"'"&amp;"!G44"),"")</f>
        <v/>
      </c>
      <c r="E35" s="874" t="str" cm="1">
        <f t="array" aca="1" ref="E35" ca="1">IF(E25,INDIRECT("'"&amp;E26&amp;"'"&amp;"!G44"),"")</f>
        <v/>
      </c>
      <c r="F35" s="874" t="str" cm="1">
        <f t="array" aca="1" ref="F35" ca="1">IF(F25,INDIRECT("'"&amp;F26&amp;"'"&amp;"!G44"),"")</f>
        <v/>
      </c>
      <c r="G35" s="875" t="str" cm="1">
        <f t="array" aca="1" ref="G35" ca="1">IF(G25,INDIRECT("'"&amp;G26&amp;"'"&amp;"!G44"),"")</f>
        <v/>
      </c>
    </row>
    <row r="36" spans="2:7" ht="15.75">
      <c r="B36" s="873" t="str" cm="1">
        <f t="array" aca="1" ref="B36" ca="1">INDIRECT("'"&amp;B26&amp;"'"&amp;"!F45")</f>
        <v>Lining</v>
      </c>
      <c r="C36" s="874" t="str" cm="1">
        <f t="array" aca="1" ref="C36" ca="1">IF(C25,INDIRECT("'"&amp;C26&amp;"'"&amp;"!G45"),"")</f>
        <v>10 mm plasterboard</v>
      </c>
      <c r="D36" s="874" t="str" cm="1">
        <f t="array" aca="1" ref="D36" ca="1">IF(D25,INDIRECT("'"&amp;D26&amp;"'"&amp;"!G45"),"")</f>
        <v/>
      </c>
      <c r="E36" s="874" t="str" cm="1">
        <f t="array" aca="1" ref="E36" ca="1">IF(E25,INDIRECT("'"&amp;E26&amp;"'"&amp;"!G45"),"")</f>
        <v/>
      </c>
      <c r="F36" s="874" t="str" cm="1">
        <f t="array" aca="1" ref="F36" ca="1">IF(F25,INDIRECT("'"&amp;F26&amp;"'"&amp;"!G45"),"")</f>
        <v/>
      </c>
      <c r="G36" s="875" t="str" cm="1">
        <f t="array" aca="1" ref="G36" ca="1">IF(G25,INDIRECT("'"&amp;G26&amp;"'"&amp;"!G45"),"")</f>
        <v/>
      </c>
    </row>
    <row r="37" spans="2:7" ht="15.75">
      <c r="B37" s="873" t="str" cm="1">
        <f t="array" aca="1" ref="B37" ca="1">INDIRECT("'"&amp;B26&amp;"'"&amp;"!F46")</f>
        <v>Rafter spacing (mm)</v>
      </c>
      <c r="C37" s="874" cm="1">
        <f t="array" aca="1" ref="C37" ca="1">IF(C25,INDIRECT("'"&amp;C26&amp;"'"&amp;"!G46"),"")</f>
        <v>400</v>
      </c>
      <c r="D37" s="874" t="str" cm="1">
        <f t="array" aca="1" ref="D37" ca="1">IF(D25,INDIRECT("'"&amp;D26&amp;"'"&amp;"!G46"),"")</f>
        <v/>
      </c>
      <c r="E37" s="874" t="str" cm="1">
        <f t="array" aca="1" ref="E37" ca="1">IF(E25,INDIRECT("'"&amp;E26&amp;"'"&amp;"!G46"),"")</f>
        <v/>
      </c>
      <c r="F37" s="874" t="str" cm="1">
        <f t="array" aca="1" ref="F37" ca="1">IF(F25,INDIRECT("'"&amp;F26&amp;"'"&amp;"!G46"),"")</f>
        <v/>
      </c>
      <c r="G37" s="875" t="str" cm="1">
        <f t="array" aca="1" ref="G37" ca="1">IF(G25,INDIRECT("'"&amp;G26&amp;"'"&amp;"!G46"),"")</f>
        <v/>
      </c>
    </row>
    <row r="38" spans="2:7" ht="15.75">
      <c r="B38" s="873" t="str" cm="1">
        <f t="array" aca="1" ref="B38" ca="1">INDIRECT("'"&amp;B26&amp;"'"&amp;"!F47")</f>
        <v>Insulation R-value</v>
      </c>
      <c r="C38" s="874" t="str" cm="1">
        <f t="array" aca="1" ref="C38" ca="1">IF(C25,INDIRECT("'"&amp;C26&amp;"'"&amp;"!G47"),"")</f>
        <v>2.0</v>
      </c>
      <c r="D38" s="874" t="str" cm="1">
        <f t="array" aca="1" ref="D38" ca="1">IF(D25,INDIRECT("'"&amp;D26&amp;"'"&amp;"!G47"),"")</f>
        <v/>
      </c>
      <c r="E38" s="874" t="str" cm="1">
        <f t="array" aca="1" ref="E38" ca="1">IF(E25,INDIRECT("'"&amp;E26&amp;"'"&amp;"!G47"),"")</f>
        <v/>
      </c>
      <c r="F38" s="874" t="str" cm="1">
        <f t="array" aca="1" ref="F38" ca="1">IF(F25,INDIRECT("'"&amp;F26&amp;"'"&amp;"!G47"),"")</f>
        <v/>
      </c>
      <c r="G38" s="875" t="str" cm="1">
        <f t="array" aca="1" ref="G38" ca="1">IF(G25,INDIRECT("'"&amp;G26&amp;"'"&amp;"!G47"),"")</f>
        <v/>
      </c>
    </row>
    <row r="39" spans="2:7" ht="15.75">
      <c r="B39" s="873" t="str" cm="1">
        <f t="array" aca="1" ref="B39" ca="1">INDIRECT("'"&amp;B26&amp;"'"&amp;"!F48")</f>
        <v>thickness</v>
      </c>
      <c r="C39" s="874" cm="1">
        <f t="array" aca="1" ref="C39" ca="1">IF(C25,INDIRECT("'"&amp;C26&amp;"'"&amp;"!G48"),"")</f>
        <v>130</v>
      </c>
      <c r="D39" s="874" t="str" cm="1">
        <f t="array" aca="1" ref="D39" ca="1">IF(D25,INDIRECT("'"&amp;D26&amp;"'"&amp;"!G48"),"")</f>
        <v/>
      </c>
      <c r="E39" s="874" t="str" cm="1">
        <f t="array" aca="1" ref="E39" ca="1">IF(E25,INDIRECT("'"&amp;E26&amp;"'"&amp;"!G48"),"")</f>
        <v/>
      </c>
      <c r="F39" s="874" t="str" cm="1">
        <f t="array" aca="1" ref="F39" ca="1">IF(F25,INDIRECT("'"&amp;F26&amp;"'"&amp;"!G48"),"")</f>
        <v/>
      </c>
      <c r="G39" s="875" t="str" cm="1">
        <f t="array" aca="1" ref="G39" ca="1">IF(G25,INDIRECT("'"&amp;G26&amp;"'"&amp;"!G48"),"")</f>
        <v/>
      </c>
    </row>
    <row r="40" spans="2:7" ht="15.75">
      <c r="B40" s="876" t="str" cm="1">
        <f t="array" aca="1" ref="B40" ca="1">INDIRECT("'"&amp;B26&amp;"'"&amp;"!F49")</f>
        <v>Roof thermal resistance</v>
      </c>
      <c r="C40" s="877" cm="1">
        <f t="array" aca="1" ref="C40" ca="1">IF(C25,INDIRECT("'"&amp;C26&amp;"'"&amp;"!G49"),"")</f>
        <v>2.0622327639062124</v>
      </c>
      <c r="D40" s="877" t="str" cm="1">
        <f t="array" aca="1" ref="D40" ca="1">IF(D25,INDIRECT("'"&amp;D26&amp;"'"&amp;"!G49"),"")</f>
        <v/>
      </c>
      <c r="E40" s="877" t="str" cm="1">
        <f t="array" aca="1" ref="E40" ca="1">IF(E25,INDIRECT("'"&amp;E26&amp;"'"&amp;"!G49"),"")</f>
        <v/>
      </c>
      <c r="F40" s="877" t="str" cm="1">
        <f t="array" aca="1" ref="F40" ca="1">IF(F25,INDIRECT("'"&amp;F26&amp;"'"&amp;"!G49"),"")</f>
        <v/>
      </c>
      <c r="G40" s="878" t="str" cm="1">
        <f t="array" aca="1" ref="G40" ca="1">IF(G25,INDIRECT("'"&amp;G26&amp;"'"&amp;"!G49"),"")</f>
        <v/>
      </c>
    </row>
    <row r="41" spans="2:7">
      <c r="B41" s="880"/>
      <c r="C41" s="866" t="b" cm="1">
        <f t="array" aca="1" ref="C41" ca="1">NOT(ISERROR(INDIRECT("'"&amp;$B42&amp;C$5&amp;"'"&amp;"!F65")))</f>
        <v>1</v>
      </c>
      <c r="D41" s="866" t="b" cm="1">
        <f t="array" aca="1" ref="D41" ca="1">NOT(ISERROR(INDIRECT("'"&amp;$B42&amp;D$5&amp;"'"&amp;"!F65")))</f>
        <v>0</v>
      </c>
      <c r="E41" s="866" t="b" cm="1">
        <f t="array" aca="1" ref="E41" ca="1">NOT(ISERROR(INDIRECT("'"&amp;$B42&amp;E$5&amp;"'"&amp;"!F65")))</f>
        <v>0</v>
      </c>
      <c r="F41" s="866" t="b" cm="1">
        <f t="array" aca="1" ref="F41" ca="1">NOT(ISERROR(INDIRECT("'"&amp;$B42&amp;F$5&amp;"'"&amp;"!F65")))</f>
        <v>0</v>
      </c>
      <c r="G41" s="867" t="b" cm="1">
        <f t="array" aca="1" ref="G41" ca="1">NOT(ISERROR(INDIRECT("'"&amp;$B42&amp;G$5&amp;"'"&amp;"!F65")))</f>
        <v>0</v>
      </c>
    </row>
    <row r="42" spans="2:7" ht="15.75">
      <c r="B42" s="868" t="s">
        <v>2089</v>
      </c>
      <c r="C42" s="741" t="str">
        <f ca="1">IF(C41,$B42&amp;C$5,"")</f>
        <v>Walls</v>
      </c>
      <c r="D42" s="741" t="str">
        <f ca="1">IF(D41,$B42&amp;D$5,"")</f>
        <v/>
      </c>
      <c r="E42" s="741" t="str">
        <f ca="1">IF(E41,$B42&amp;E$5,"")</f>
        <v/>
      </c>
      <c r="F42" s="741" t="str">
        <f ca="1">IF(F41,$B42&amp;F$5,"")</f>
        <v/>
      </c>
      <c r="G42" s="869" t="str">
        <f ca="1">IF(G41,$B42&amp;G$5,"")</f>
        <v/>
      </c>
    </row>
    <row r="43" spans="2:7" ht="15.75">
      <c r="B43" s="870" t="s">
        <v>198</v>
      </c>
      <c r="C43" s="871" t="str" cm="1">
        <f t="array" aca="1" ref="C43" ca="1">IF(C41,INDIRECT("'"&amp;C42&amp;"'"&amp;"!G66"),"")</f>
        <v>AAAAAAAAMsgEKJMI</v>
      </c>
      <c r="D43" s="871" t="str" cm="1">
        <f t="array" aca="1" ref="D43" ca="1">IF(D41,INDIRECT("'"&amp;D42&amp;"'"&amp;"!G66"),"")</f>
        <v/>
      </c>
      <c r="E43" s="871" t="str" cm="1">
        <f t="array" aca="1" ref="E43" ca="1">IF(E41,INDIRECT("'"&amp;E42&amp;"'"&amp;"!G66"),"")</f>
        <v/>
      </c>
      <c r="F43" s="871" t="str" cm="1">
        <f t="array" aca="1" ref="F43" ca="1">IF(F41,INDIRECT("'"&amp;F42&amp;"'"&amp;"!G66"),"")</f>
        <v/>
      </c>
      <c r="G43" s="872" t="str" cm="1">
        <f t="array" aca="1" ref="G43" ca="1">IF(G41,INDIRECT("'"&amp;G42&amp;"'"&amp;"!G66"),"")</f>
        <v/>
      </c>
    </row>
    <row r="44" spans="2:7" ht="15.75">
      <c r="B44" s="873" t="str" cm="1">
        <f t="array" aca="1" ref="B44" ca="1">INDIRECT("'"&amp;B42&amp;"'"&amp;"!F67")</f>
        <v>Cladding</v>
      </c>
      <c r="C44" s="874" t="str" cm="1">
        <f t="array" aca="1" ref="C44" ca="1">IF(C41,INDIRECT("'"&amp;C42&amp;"'"&amp;"!G67"),"")</f>
        <v>BevelBack WB</v>
      </c>
      <c r="D44" s="874" t="str" cm="1">
        <f t="array" aca="1" ref="D44" ca="1">IF(D41,INDIRECT("'"&amp;D42&amp;"'"&amp;"!G67"),"")</f>
        <v/>
      </c>
      <c r="E44" s="874" t="str" cm="1">
        <f t="array" aca="1" ref="E44" ca="1">IF(E41,INDIRECT("'"&amp;E42&amp;"'"&amp;"!G67"),"")</f>
        <v/>
      </c>
      <c r="F44" s="874" t="str" cm="1">
        <f t="array" aca="1" ref="F44" ca="1">IF(F41,INDIRECT("'"&amp;F42&amp;"'"&amp;"!G67"),"")</f>
        <v/>
      </c>
      <c r="G44" s="875" t="str" cm="1">
        <f t="array" aca="1" ref="G44" ca="1">IF(G41,INDIRECT("'"&amp;G42&amp;"'"&amp;"!G67"),"")</f>
        <v/>
      </c>
    </row>
    <row r="45" spans="2:7" ht="15.75">
      <c r="B45" s="873" t="str" cm="1">
        <f t="array" aca="1" ref="B45" ca="1">INDIRECT("'"&amp;B42&amp;"'"&amp;"!F68")</f>
        <v>cavity?</v>
      </c>
      <c r="C45" s="874" t="str" cm="1">
        <f t="array" aca="1" ref="C45" ca="1">IF(C41,INDIRECT("'"&amp;C42&amp;"'"&amp;"!G68"),"")</f>
        <v>no cavity</v>
      </c>
      <c r="D45" s="874" t="str" cm="1">
        <f t="array" aca="1" ref="D45" ca="1">IF(D41,INDIRECT("'"&amp;D42&amp;"'"&amp;"!G68"),"")</f>
        <v/>
      </c>
      <c r="E45" s="874" t="str" cm="1">
        <f t="array" aca="1" ref="E45" ca="1">IF(E41,INDIRECT("'"&amp;E42&amp;"'"&amp;"!G68"),"")</f>
        <v/>
      </c>
      <c r="F45" s="874" t="str" cm="1">
        <f t="array" aca="1" ref="F45" ca="1">IF(F41,INDIRECT("'"&amp;F42&amp;"'"&amp;"!G68"),"")</f>
        <v/>
      </c>
      <c r="G45" s="875" t="str" cm="1">
        <f t="array" aca="1" ref="G45" ca="1">IF(G41,INDIRECT("'"&amp;G42&amp;"'"&amp;"!G68"),"")</f>
        <v/>
      </c>
    </row>
    <row r="46" spans="2:7" ht="15.75">
      <c r="B46" s="873" t="str" cm="1">
        <f t="array" aca="1" ref="B46" ca="1">INDIRECT("'"&amp;B42&amp;"'"&amp;"!F69")</f>
        <v>Exterior Insulation</v>
      </c>
      <c r="C46" s="874" t="str" cm="1">
        <f t="array" aca="1" ref="C46" ca="1">IF(C41,INDIRECT("'"&amp;C42&amp;"'"&amp;"!G69"),"")</f>
        <v>none</v>
      </c>
      <c r="D46" s="874" t="str" cm="1">
        <f t="array" aca="1" ref="D46" ca="1">IF(D41,INDIRECT("'"&amp;D42&amp;"'"&amp;"!G69"),"")</f>
        <v/>
      </c>
      <c r="E46" s="874" t="str" cm="1">
        <f t="array" aca="1" ref="E46" ca="1">IF(E41,INDIRECT("'"&amp;E42&amp;"'"&amp;"!G69"),"")</f>
        <v/>
      </c>
      <c r="F46" s="874" t="str" cm="1">
        <f t="array" aca="1" ref="F46" ca="1">IF(F41,INDIRECT("'"&amp;F42&amp;"'"&amp;"!G69"),"")</f>
        <v/>
      </c>
      <c r="G46" s="875" t="str" cm="1">
        <f t="array" aca="1" ref="G46" ca="1">IF(G41,INDIRECT("'"&amp;G42&amp;"'"&amp;"!G69"),"")</f>
        <v/>
      </c>
    </row>
    <row r="47" spans="2:7" ht="15.75">
      <c r="B47" s="873" t="str" cm="1">
        <f t="array" aca="1" ref="B47" ca="1">INDIRECT("'"&amp;B42&amp;"'"&amp;"!F70")</f>
        <v>----------</v>
      </c>
      <c r="C47" s="874" cm="1">
        <f t="array" aca="1" ref="C47" ca="1">IF(C41,INDIRECT("'"&amp;C42&amp;"'"&amp;"!G70"),"")</f>
        <v>0</v>
      </c>
      <c r="D47" s="874" t="str" cm="1">
        <f t="array" aca="1" ref="D47" ca="1">IF(D41,INDIRECT("'"&amp;D42&amp;"'"&amp;"!G70"),"")</f>
        <v/>
      </c>
      <c r="E47" s="874" t="str" cm="1">
        <f t="array" aca="1" ref="E47" ca="1">IF(E41,INDIRECT("'"&amp;E42&amp;"'"&amp;"!G70"),"")</f>
        <v/>
      </c>
      <c r="F47" s="874" t="str" cm="1">
        <f t="array" aca="1" ref="F47" ca="1">IF(F41,INDIRECT("'"&amp;F42&amp;"'"&amp;"!G70"),"")</f>
        <v/>
      </c>
      <c r="G47" s="875" t="str" cm="1">
        <f t="array" aca="1" ref="G47" ca="1">IF(G41,INDIRECT("'"&amp;G42&amp;"'"&amp;"!G70"),"")</f>
        <v/>
      </c>
    </row>
    <row r="48" spans="2:7" ht="15.75">
      <c r="B48" s="873" t="str" cm="1">
        <f t="array" aca="1" ref="B48" ca="1">INDIRECT("'"&amp;B42&amp;"'"&amp;"!F71")</f>
        <v>----------</v>
      </c>
      <c r="C48" s="874" cm="1">
        <f t="array" aca="1" ref="C48" ca="1">IF(C41,INDIRECT("'"&amp;C42&amp;"'"&amp;"!G71"),"")</f>
        <v>0</v>
      </c>
      <c r="D48" s="874" t="str" cm="1">
        <f t="array" aca="1" ref="D48" ca="1">IF(D41,INDIRECT("'"&amp;D42&amp;"'"&amp;"!G71"),"")</f>
        <v/>
      </c>
      <c r="E48" s="874" t="str" cm="1">
        <f t="array" aca="1" ref="E48" ca="1">IF(E41,INDIRECT("'"&amp;E42&amp;"'"&amp;"!G71"),"")</f>
        <v/>
      </c>
      <c r="F48" s="874" t="str" cm="1">
        <f t="array" aca="1" ref="F48" ca="1">IF(F41,INDIRECT("'"&amp;F42&amp;"'"&amp;"!G71"),"")</f>
        <v/>
      </c>
      <c r="G48" s="875" t="str" cm="1">
        <f t="array" aca="1" ref="G48" ca="1">IF(G41,INDIRECT("'"&amp;G42&amp;"'"&amp;"!G71"),"")</f>
        <v/>
      </c>
    </row>
    <row r="49" spans="2:7" ht="15.75">
      <c r="B49" s="873" t="str" cm="1">
        <f t="array" aca="1" ref="B49" ca="1">INDIRECT("'"&amp;B42&amp;"'"&amp;"!F72")</f>
        <v>----------</v>
      </c>
      <c r="C49" s="874" cm="1">
        <f t="array" aca="1" ref="C49" ca="1">IF(C41,INDIRECT("'"&amp;C42&amp;"'"&amp;"!G72"),"")</f>
        <v>0</v>
      </c>
      <c r="D49" s="874" t="str" cm="1">
        <f t="array" aca="1" ref="D49" ca="1">IF(D41,INDIRECT("'"&amp;D42&amp;"'"&amp;"!G72"),"")</f>
        <v/>
      </c>
      <c r="E49" s="874" t="str" cm="1">
        <f t="array" aca="1" ref="E49" ca="1">IF(E41,INDIRECT("'"&amp;E42&amp;"'"&amp;"!G72"),"")</f>
        <v/>
      </c>
      <c r="F49" s="874" t="str" cm="1">
        <f t="array" aca="1" ref="F49" ca="1">IF(F41,INDIRECT("'"&amp;F42&amp;"'"&amp;"!G72"),"")</f>
        <v/>
      </c>
      <c r="G49" s="875" t="str" cm="1">
        <f t="array" aca="1" ref="G49" ca="1">IF(G41,INDIRECT("'"&amp;G42&amp;"'"&amp;"!G72"),"")</f>
        <v/>
      </c>
    </row>
    <row r="50" spans="2:7" ht="15.75">
      <c r="B50" s="873" t="str" cm="1">
        <f t="array" aca="1" ref="B50" ca="1">INDIRECT("'"&amp;B42&amp;"'"&amp;"!F73")</f>
        <v>----------</v>
      </c>
      <c r="C50" s="874" cm="1">
        <f t="array" aca="1" ref="C50" ca="1">IF(C41,INDIRECT("'"&amp;C42&amp;"'"&amp;"!G73"),"")</f>
        <v>0</v>
      </c>
      <c r="D50" s="874" t="str" cm="1">
        <f t="array" aca="1" ref="D50" ca="1">IF(D41,INDIRECT("'"&amp;D42&amp;"'"&amp;"!G73"),"")</f>
        <v/>
      </c>
      <c r="E50" s="874" t="str" cm="1">
        <f t="array" aca="1" ref="E50" ca="1">IF(E41,INDIRECT("'"&amp;E42&amp;"'"&amp;"!G73"),"")</f>
        <v/>
      </c>
      <c r="F50" s="874" t="str" cm="1">
        <f t="array" aca="1" ref="F50" ca="1">IF(F41,INDIRECT("'"&amp;F42&amp;"'"&amp;"!G73"),"")</f>
        <v/>
      </c>
      <c r="G50" s="875" t="str" cm="1">
        <f t="array" aca="1" ref="G50" ca="1">IF(G41,INDIRECT("'"&amp;G42&amp;"'"&amp;"!G73"),"")</f>
        <v/>
      </c>
    </row>
    <row r="51" spans="2:7" ht="15.75">
      <c r="B51" s="873" t="str" cm="1">
        <f t="array" aca="1" ref="B51" ca="1">INDIRECT("'"&amp;B42&amp;"'"&amp;"!F74")</f>
        <v>Exterior Bracing / RAB</v>
      </c>
      <c r="C51" s="874" t="str" cm="1">
        <f t="array" aca="1" ref="C51" ca="1">IF(C41,INDIRECT("'"&amp;C42&amp;"'"&amp;"!G74"),"")</f>
        <v>none</v>
      </c>
      <c r="D51" s="874" t="str" cm="1">
        <f t="array" aca="1" ref="D51" ca="1">IF(D41,INDIRECT("'"&amp;D42&amp;"'"&amp;"!G74"),"")</f>
        <v/>
      </c>
      <c r="E51" s="874" t="str" cm="1">
        <f t="array" aca="1" ref="E51" ca="1">IF(E41,INDIRECT("'"&amp;E42&amp;"'"&amp;"!G74"),"")</f>
        <v/>
      </c>
      <c r="F51" s="874" t="str" cm="1">
        <f t="array" aca="1" ref="F51" ca="1">IF(F41,INDIRECT("'"&amp;F42&amp;"'"&amp;"!G74"),"")</f>
        <v/>
      </c>
      <c r="G51" s="875" t="str" cm="1">
        <f t="array" aca="1" ref="G51" ca="1">IF(G41,INDIRECT("'"&amp;G42&amp;"'"&amp;"!G74"),"")</f>
        <v/>
      </c>
    </row>
    <row r="52" spans="2:7" ht="15.75">
      <c r="B52" s="873" t="str" cm="1">
        <f t="array" aca="1" ref="B52" ca="1">INDIRECT("'"&amp;B42&amp;"'"&amp;"!F75")</f>
        <v>Primary frame</v>
      </c>
      <c r="C52" s="874" t="str" cm="1">
        <f t="array" aca="1" ref="C52" ca="1">IF(C41,INDIRECT("'"&amp;C42&amp;"'"&amp;"!G75"),"")</f>
        <v>none</v>
      </c>
      <c r="D52" s="874" t="str" cm="1">
        <f t="array" aca="1" ref="D52" ca="1">IF(D41,INDIRECT("'"&amp;D42&amp;"'"&amp;"!G75"),"")</f>
        <v/>
      </c>
      <c r="E52" s="874" t="str" cm="1">
        <f t="array" aca="1" ref="E52" ca="1">IF(E41,INDIRECT("'"&amp;E42&amp;"'"&amp;"!G75"),"")</f>
        <v/>
      </c>
      <c r="F52" s="874" t="str" cm="1">
        <f t="array" aca="1" ref="F52" ca="1">IF(F41,INDIRECT("'"&amp;F42&amp;"'"&amp;"!G75"),"")</f>
        <v/>
      </c>
      <c r="G52" s="875" t="str" cm="1">
        <f t="array" aca="1" ref="G52" ca="1">IF(G41,INDIRECT("'"&amp;G42&amp;"'"&amp;"!G75"),"")</f>
        <v/>
      </c>
    </row>
    <row r="53" spans="2:7" ht="15.75">
      <c r="B53" s="873" t="str" cm="1">
        <f t="array" aca="1" ref="B53" ca="1">INDIRECT("'"&amp;B42&amp;"'"&amp;"!F76")</f>
        <v xml:space="preserve">Insul. R-value range  </v>
      </c>
      <c r="C53" s="874" t="str" cm="1">
        <f t="array" aca="1" ref="C53" ca="1">IF(C41,INDIRECT("'"&amp;C42&amp;"'"&amp;"!G76"),"")</f>
        <v>no insul.</v>
      </c>
      <c r="D53" s="874" t="str" cm="1">
        <f t="array" aca="1" ref="D53" ca="1">IF(D41,INDIRECT("'"&amp;D42&amp;"'"&amp;"!G76"),"")</f>
        <v/>
      </c>
      <c r="E53" s="874" t="str" cm="1">
        <f t="array" aca="1" ref="E53" ca="1">IF(E41,INDIRECT("'"&amp;E42&amp;"'"&amp;"!G76"),"")</f>
        <v/>
      </c>
      <c r="F53" s="874" t="str" cm="1">
        <f t="array" aca="1" ref="F53" ca="1">IF(F41,INDIRECT("'"&amp;F42&amp;"'"&amp;"!G76"),"")</f>
        <v/>
      </c>
      <c r="G53" s="875" t="str" cm="1">
        <f t="array" aca="1" ref="G53" ca="1">IF(G41,INDIRECT("'"&amp;G42&amp;"'"&amp;"!G76"),"")</f>
        <v/>
      </c>
    </row>
    <row r="54" spans="2:7" ht="15.75">
      <c r="B54" s="873" t="str" cm="1">
        <f t="array" aca="1" ref="B54" ca="1">INDIRECT("'"&amp;B42&amp;"'"&amp;"!F77")</f>
        <v>----------</v>
      </c>
      <c r="C54" s="874" cm="1">
        <f t="array" aca="1" ref="C54" ca="1">IF(C41,INDIRECT("'"&amp;C42&amp;"'"&amp;"!G77"),"")</f>
        <v>0</v>
      </c>
      <c r="D54" s="874" t="str" cm="1">
        <f t="array" aca="1" ref="D54" ca="1">IF(D41,INDIRECT("'"&amp;D42&amp;"'"&amp;"!G77"),"")</f>
        <v/>
      </c>
      <c r="E54" s="874" t="str" cm="1">
        <f t="array" aca="1" ref="E54" ca="1">IF(E41,INDIRECT("'"&amp;E42&amp;"'"&amp;"!G77"),"")</f>
        <v/>
      </c>
      <c r="F54" s="874" t="str" cm="1">
        <f t="array" aca="1" ref="F54" ca="1">IF(F41,INDIRECT("'"&amp;F42&amp;"'"&amp;"!G77"),"")</f>
        <v/>
      </c>
      <c r="G54" s="875" t="str" cm="1">
        <f t="array" aca="1" ref="G54" ca="1">IF(G41,INDIRECT("'"&amp;G42&amp;"'"&amp;"!G77"),"")</f>
        <v/>
      </c>
    </row>
    <row r="55" spans="2:7" ht="15.75">
      <c r="B55" s="873" t="str" cm="1">
        <f t="array" aca="1" ref="B55" ca="1">INDIRECT("'"&amp;B42&amp;"'"&amp;"!F78")</f>
        <v>Interior  Bracing / RAB</v>
      </c>
      <c r="C55" s="874" t="str" cm="1">
        <f t="array" aca="1" ref="C55" ca="1">IF(C41,INDIRECT("'"&amp;C42&amp;"'"&amp;"!G78"),"")</f>
        <v>none</v>
      </c>
      <c r="D55" s="874" t="str" cm="1">
        <f t="array" aca="1" ref="D55" ca="1">IF(D41,INDIRECT("'"&amp;D42&amp;"'"&amp;"!G78"),"")</f>
        <v/>
      </c>
      <c r="E55" s="874" t="str" cm="1">
        <f t="array" aca="1" ref="E55" ca="1">IF(E41,INDIRECT("'"&amp;E42&amp;"'"&amp;"!G78"),"")</f>
        <v/>
      </c>
      <c r="F55" s="874" t="str" cm="1">
        <f t="array" aca="1" ref="F55" ca="1">IF(F41,INDIRECT("'"&amp;F42&amp;"'"&amp;"!G78"),"")</f>
        <v/>
      </c>
      <c r="G55" s="875" t="str" cm="1">
        <f t="array" aca="1" ref="G55" ca="1">IF(G41,INDIRECT("'"&amp;G42&amp;"'"&amp;"!G78"),"")</f>
        <v/>
      </c>
    </row>
    <row r="56" spans="2:7" ht="15.75">
      <c r="B56" s="873" t="str" cm="1">
        <f t="array" aca="1" ref="B56" ca="1">INDIRECT("'"&amp;B42&amp;"'"&amp;"!F79")</f>
        <v>Interior Insulation</v>
      </c>
      <c r="C56" s="874" t="str" cm="1">
        <f t="array" aca="1" ref="C56" ca="1">IF(C41,INDIRECT("'"&amp;C42&amp;"'"&amp;"!G79"),"")</f>
        <v>none</v>
      </c>
      <c r="D56" s="874" t="str" cm="1">
        <f t="array" aca="1" ref="D56" ca="1">IF(D41,INDIRECT("'"&amp;D42&amp;"'"&amp;"!G79"),"")</f>
        <v/>
      </c>
      <c r="E56" s="874" t="str" cm="1">
        <f t="array" aca="1" ref="E56" ca="1">IF(E41,INDIRECT("'"&amp;E42&amp;"'"&amp;"!G79"),"")</f>
        <v/>
      </c>
      <c r="F56" s="874" t="str" cm="1">
        <f t="array" aca="1" ref="F56" ca="1">IF(F41,INDIRECT("'"&amp;F42&amp;"'"&amp;"!G79"),"")</f>
        <v/>
      </c>
      <c r="G56" s="875" t="str" cm="1">
        <f t="array" aca="1" ref="G56" ca="1">IF(G41,INDIRECT("'"&amp;G42&amp;"'"&amp;"!G79"),"")</f>
        <v/>
      </c>
    </row>
    <row r="57" spans="2:7" ht="15.75">
      <c r="B57" s="873" t="str" cm="1">
        <f t="array" aca="1" ref="B57" ca="1">INDIRECT("'"&amp;B42&amp;"'"&amp;"!F80")</f>
        <v>----------</v>
      </c>
      <c r="C57" s="874" cm="1">
        <f t="array" aca="1" ref="C57" ca="1">IF(C41,INDIRECT("'"&amp;C42&amp;"'"&amp;"!G80"),"")</f>
        <v>0</v>
      </c>
      <c r="D57" s="874" t="str" cm="1">
        <f t="array" aca="1" ref="D57" ca="1">IF(D41,INDIRECT("'"&amp;D42&amp;"'"&amp;"!G80"),"")</f>
        <v/>
      </c>
      <c r="E57" s="874" t="str" cm="1">
        <f t="array" aca="1" ref="E57" ca="1">IF(E41,INDIRECT("'"&amp;E42&amp;"'"&amp;"!G80"),"")</f>
        <v/>
      </c>
      <c r="F57" s="874" t="str" cm="1">
        <f t="array" aca="1" ref="F57" ca="1">IF(F41,INDIRECT("'"&amp;F42&amp;"'"&amp;"!G80"),"")</f>
        <v/>
      </c>
      <c r="G57" s="875" t="str" cm="1">
        <f t="array" aca="1" ref="G57" ca="1">IF(G41,INDIRECT("'"&amp;G42&amp;"'"&amp;"!G80"),"")</f>
        <v/>
      </c>
    </row>
    <row r="58" spans="2:7" ht="15.75">
      <c r="B58" s="873" t="str" cm="1">
        <f t="array" aca="1" ref="B58" ca="1">INDIRECT("'"&amp;B42&amp;"'"&amp;"!F81")</f>
        <v>----------</v>
      </c>
      <c r="C58" s="881" cm="1">
        <f t="array" aca="1" ref="C58" ca="1">IF(C41,INDIRECT("'"&amp;C42&amp;"'"&amp;"!G81"),"")</f>
        <v>0</v>
      </c>
      <c r="D58" s="881" t="str" cm="1">
        <f t="array" aca="1" ref="D58" ca="1">IF(D41,INDIRECT("'"&amp;D42&amp;"'"&amp;"!G81"),"")</f>
        <v/>
      </c>
      <c r="E58" s="881" t="str" cm="1">
        <f t="array" aca="1" ref="E58" ca="1">IF(E41,INDIRECT("'"&amp;E42&amp;"'"&amp;"!G81"),"")</f>
        <v/>
      </c>
      <c r="F58" s="881" t="str" cm="1">
        <f t="array" aca="1" ref="F58" ca="1">IF(F41,INDIRECT("'"&amp;F42&amp;"'"&amp;"!G81"),"")</f>
        <v/>
      </c>
      <c r="G58" s="882" t="str" cm="1">
        <f t="array" aca="1" ref="G58" ca="1">IF(G41,INDIRECT("'"&amp;G42&amp;"'"&amp;"!G81"),"")</f>
        <v/>
      </c>
    </row>
    <row r="59" spans="2:7">
      <c r="B59" s="883" t="str" cm="1">
        <f t="array" aca="1" ref="B59" ca="1">INDIRECT("'"&amp;B42&amp;"'"&amp;"!F82")</f>
        <v>----------</v>
      </c>
      <c r="C59" s="881" cm="1">
        <f t="array" aca="1" ref="C59" ca="1">IF(C41,INDIRECT("'"&amp;C42&amp;"'"&amp;"!G82"),"")</f>
        <v>0</v>
      </c>
      <c r="D59" s="881" t="str" cm="1">
        <f t="array" aca="1" ref="D59" ca="1">IF(D41,INDIRECT("'"&amp;D42&amp;"'"&amp;"!G82"),"")</f>
        <v/>
      </c>
      <c r="E59" s="881" t="str" cm="1">
        <f t="array" aca="1" ref="E59" ca="1">IF(E41,INDIRECT("'"&amp;E42&amp;"'"&amp;"!G82"),"")</f>
        <v/>
      </c>
      <c r="F59" s="881" t="str" cm="1">
        <f t="array" aca="1" ref="F59" ca="1">IF(F41,INDIRECT("'"&amp;F42&amp;"'"&amp;"!G82"),"")</f>
        <v/>
      </c>
      <c r="G59" s="882" t="str" cm="1">
        <f t="array" aca="1" ref="G59" ca="1">IF(G41,INDIRECT("'"&amp;G42&amp;"'"&amp;"!G82"),"")</f>
        <v/>
      </c>
    </row>
    <row r="60" spans="2:7">
      <c r="B60" s="883" t="str" cm="1">
        <f t="array" aca="1" ref="B60" ca="1">INDIRECT("'"&amp;B42&amp;"'"&amp;"!F83")</f>
        <v>----------</v>
      </c>
      <c r="C60" s="881" cm="1">
        <f t="array" aca="1" ref="C60" ca="1">IF(C41,INDIRECT("'"&amp;C42&amp;"'"&amp;"!G83"),"")</f>
        <v>0</v>
      </c>
      <c r="D60" s="881" t="str" cm="1">
        <f t="array" aca="1" ref="D60" ca="1">IF(D41,INDIRECT("'"&amp;D42&amp;"'"&amp;"!G83"),"")</f>
        <v/>
      </c>
      <c r="E60" s="881" t="str" cm="1">
        <f t="array" aca="1" ref="E60" ca="1">IF(E41,INDIRECT("'"&amp;E42&amp;"'"&amp;"!G83"),"")</f>
        <v/>
      </c>
      <c r="F60" s="881" t="str" cm="1">
        <f t="array" aca="1" ref="F60" ca="1">IF(F41,INDIRECT("'"&amp;F42&amp;"'"&amp;"!G83"),"")</f>
        <v/>
      </c>
      <c r="G60" s="882" t="str" cm="1">
        <f t="array" aca="1" ref="G60" ca="1">IF(G41,INDIRECT("'"&amp;G42&amp;"'"&amp;"!G83"),"")</f>
        <v/>
      </c>
    </row>
    <row r="61" spans="2:7">
      <c r="B61" s="883" t="str" cm="1">
        <f t="array" aca="1" ref="B61" ca="1">INDIRECT("'"&amp;B42&amp;"'"&amp;"!F84")</f>
        <v>Interior lining</v>
      </c>
      <c r="C61" s="881" t="str" cm="1">
        <f t="array" aca="1" ref="C61" ca="1">IF(C41,INDIRECT("'"&amp;C42&amp;"'"&amp;"!G84"),"")</f>
        <v>10 mm plasterboard</v>
      </c>
      <c r="D61" s="881" t="str" cm="1">
        <f t="array" aca="1" ref="D61" ca="1">IF(D41,INDIRECT("'"&amp;D42&amp;"'"&amp;"!G84"),"")</f>
        <v/>
      </c>
      <c r="E61" s="881" t="str" cm="1">
        <f t="array" aca="1" ref="E61" ca="1">IF(E41,INDIRECT("'"&amp;E42&amp;"'"&amp;"!G84"),"")</f>
        <v/>
      </c>
      <c r="F61" s="881" t="str" cm="1">
        <f t="array" aca="1" ref="F61" ca="1">IF(F41,INDIRECT("'"&amp;F42&amp;"'"&amp;"!G84"),"")</f>
        <v/>
      </c>
      <c r="G61" s="882" t="str" cm="1">
        <f t="array" aca="1" ref="G61" ca="1">IF(G41,INDIRECT("'"&amp;G42&amp;"'"&amp;"!G84"),"")</f>
        <v/>
      </c>
    </row>
    <row r="62" spans="2:7">
      <c r="B62" s="883" t="str" cm="1">
        <f t="array" aca="1" ref="B62" ca="1">INDIRECT("'"&amp;B42&amp;"'"&amp;"!F85")</f>
        <v>Insulation thermal resistance  m2.K/W</v>
      </c>
      <c r="C62" s="881" t="str" cm="1">
        <f t="array" aca="1" ref="C62" ca="1">IF(C41,INDIRECT("'"&amp;C42&amp;"'"&amp;"!G85"),"")</f>
        <v>0.2</v>
      </c>
      <c r="D62" s="881" t="str" cm="1">
        <f t="array" aca="1" ref="D62" ca="1">IF(D41,INDIRECT("'"&amp;D42&amp;"'"&amp;"!G85"),"")</f>
        <v/>
      </c>
      <c r="E62" s="881" t="str" cm="1">
        <f t="array" aca="1" ref="E62" ca="1">IF(E41,INDIRECT("'"&amp;E42&amp;"'"&amp;"!G85"),"")</f>
        <v/>
      </c>
      <c r="F62" s="881" t="str" cm="1">
        <f t="array" aca="1" ref="F62" ca="1">IF(F41,INDIRECT("'"&amp;F42&amp;"'"&amp;"!G85"),"")</f>
        <v/>
      </c>
      <c r="G62" s="882" t="str" cm="1">
        <f t="array" aca="1" ref="G62" ca="1">IF(G41,INDIRECT("'"&amp;G42&amp;"'"&amp;"!G85"),"")</f>
        <v/>
      </c>
    </row>
    <row r="63" spans="2:7">
      <c r="B63" s="883" t="str" cm="1">
        <f t="array" aca="1" ref="B63" ca="1">INDIRECT("'"&amp;B42&amp;"'"&amp;"!F86")</f>
        <v>Frame fraction %</v>
      </c>
      <c r="C63" s="881" cm="1">
        <f t="array" aca="1" ref="C63" ca="1">IF(C41,INDIRECT("'"&amp;C42&amp;"'"&amp;"!G86"),"")</f>
        <v>34</v>
      </c>
      <c r="D63" s="881" t="str" cm="1">
        <f t="array" aca="1" ref="D63" ca="1">IF(D41,INDIRECT("'"&amp;D42&amp;"'"&amp;"!G86"),"")</f>
        <v/>
      </c>
      <c r="E63" s="881" t="str" cm="1">
        <f t="array" aca="1" ref="E63" ca="1">IF(E41,INDIRECT("'"&amp;E42&amp;"'"&amp;"!G86"),"")</f>
        <v/>
      </c>
      <c r="F63" s="881" t="str" cm="1">
        <f t="array" aca="1" ref="F63" ca="1">IF(F41,INDIRECT("'"&amp;F42&amp;"'"&amp;"!G86"),"")</f>
        <v/>
      </c>
      <c r="G63" s="882" t="str" cm="1">
        <f t="array" aca="1" ref="G63" ca="1">IF(G41,INDIRECT("'"&amp;G42&amp;"'"&amp;"!G86"),"")</f>
        <v/>
      </c>
    </row>
    <row r="64" spans="2:7">
      <c r="B64" s="884" t="str" cm="1">
        <f t="array" aca="1" ref="B64" ca="1">INDIRECT("'"&amp;B42&amp;"'"&amp;"!F87")</f>
        <v>Wall thermal resistance   m2.K/W</v>
      </c>
      <c r="C64" s="885" cm="1">
        <f t="array" aca="1" ref="C64" ca="1">IF(C41,INDIRECT("'"&amp;C42&amp;"'"&amp;"!G87"),"")</f>
        <v>0.97795439702120457</v>
      </c>
      <c r="D64" s="885" t="str" cm="1">
        <f t="array" aca="1" ref="D64" ca="1">IF(D41,INDIRECT("'"&amp;D42&amp;"'"&amp;"!G87"),"")</f>
        <v/>
      </c>
      <c r="E64" s="885" t="str" cm="1">
        <f t="array" aca="1" ref="E64" ca="1">IF(E41,INDIRECT("'"&amp;E42&amp;"'"&amp;"!G87"),"")</f>
        <v/>
      </c>
      <c r="F64" s="885" t="str" cm="1">
        <f t="array" aca="1" ref="F64" ca="1">IF(F41,INDIRECT("'"&amp;F42&amp;"'"&amp;"!G87"),"")</f>
        <v/>
      </c>
      <c r="G64" s="886" t="str" cm="1">
        <f t="array" aca="1" ref="G64" ca="1">IF(G41,INDIRECT("'"&amp;G42&amp;"'"&amp;"!G87"),"")</f>
        <v/>
      </c>
    </row>
    <row r="65" spans="2:7">
      <c r="B65" s="880"/>
      <c r="C65" s="866" t="b" cm="1">
        <f t="array" aca="1" ref="C65" ca="1">NOT(ISERROR(INDIRECT("'"&amp;$B66&amp;C$5&amp;"'"&amp;"!F35")))</f>
        <v>1</v>
      </c>
      <c r="D65" s="866" t="b" cm="1">
        <f t="array" aca="1" ref="D65" ca="1">NOT(ISERROR(INDIRECT("'"&amp;$B66&amp;D$5&amp;"'"&amp;"!F35")))</f>
        <v>0</v>
      </c>
      <c r="E65" s="866" t="b" cm="1">
        <f t="array" aca="1" ref="E65" ca="1">NOT(ISERROR(INDIRECT("'"&amp;$B66&amp;E$5&amp;"'"&amp;"!F35")))</f>
        <v>0</v>
      </c>
      <c r="F65" s="866" t="b" cm="1">
        <f t="array" aca="1" ref="F65" ca="1">NOT(ISERROR(INDIRECT("'"&amp;$B66&amp;F$5&amp;"'"&amp;"!F35")))</f>
        <v>0</v>
      </c>
      <c r="G65" s="867" t="b" cm="1">
        <f t="array" aca="1" ref="G65" ca="1">NOT(ISERROR(INDIRECT("'"&amp;$B66&amp;G$5&amp;"'"&amp;"!F35")))</f>
        <v>0</v>
      </c>
    </row>
    <row r="66" spans="2:7" ht="15.75">
      <c r="B66" s="868" t="s">
        <v>192</v>
      </c>
      <c r="C66" s="741" t="str">
        <f ca="1">IF(C65,$B66&amp;C$5,"")</f>
        <v>Roof spaces</v>
      </c>
      <c r="D66" s="741" t="str">
        <f ca="1">IF(D65,$B66&amp;D$5,"")</f>
        <v/>
      </c>
      <c r="E66" s="741" t="str">
        <f ca="1">IF(E65,$B66&amp;E$5,"")</f>
        <v/>
      </c>
      <c r="F66" s="741" t="str">
        <f ca="1">IF(F65,$B66&amp;F$5,"")</f>
        <v/>
      </c>
      <c r="G66" s="869" t="str">
        <f ca="1">IF(G65,$B66&amp;G$5,"")</f>
        <v/>
      </c>
    </row>
    <row r="67" spans="2:7" ht="15.75">
      <c r="B67" s="870" t="s">
        <v>198</v>
      </c>
      <c r="C67" s="871" t="str" cm="1">
        <f t="array" aca="1" ref="C67" ca="1">IF(C65,INDIRECT("'"&amp;C66&amp;"'"&amp;"!G36"),"")</f>
        <v>mAEAAABJkAOWI</v>
      </c>
      <c r="D67" s="871" t="str" cm="1">
        <f t="array" aca="1" ref="D67" ca="1">IF(D65,INDIRECT("'"&amp;D66&amp;"'"&amp;"!G36"),"")</f>
        <v/>
      </c>
      <c r="E67" s="871" t="str" cm="1">
        <f t="array" aca="1" ref="E67" ca="1">IF(E65,INDIRECT("'"&amp;E66&amp;"'"&amp;"!G36"),"")</f>
        <v/>
      </c>
      <c r="F67" s="871" t="str" cm="1">
        <f t="array" aca="1" ref="F67" ca="1">IF(F65,INDIRECT("'"&amp;F66&amp;"'"&amp;"!G36"),"")</f>
        <v/>
      </c>
      <c r="G67" s="872" t="str" cm="1">
        <f t="array" aca="1" ref="G67" ca="1">IF(G65,INDIRECT("'"&amp;G66&amp;"'"&amp;"!G36"),"")</f>
        <v/>
      </c>
    </row>
    <row r="68" spans="2:7" ht="31.5">
      <c r="B68" s="873" t="str" cm="1">
        <f t="array" aca="1" ref="B68" ca="1">INDIRECT("'"&amp;B66&amp;"'"&amp;"!F37")</f>
        <v>Insulation installed as a single layer or as two layers ?</v>
      </c>
      <c r="C68" s="874" t="str" cm="1">
        <f t="array" aca="1" ref="C68" ca="1">IF(C65,INDIRECT("'"&amp;C66&amp;"'"&amp;"!G37"),"")</f>
        <v>single layer or two layers of same material</v>
      </c>
      <c r="D68" s="874" t="str" cm="1">
        <f t="array" aca="1" ref="D68" ca="1">IF(D65,INDIRECT("'"&amp;D66&amp;"'"&amp;"!G37"),"")</f>
        <v/>
      </c>
      <c r="E68" s="874" t="str" cm="1">
        <f t="array" aca="1" ref="E68" ca="1">IF(E65,INDIRECT("'"&amp;E66&amp;"'"&amp;"!G37"),"")</f>
        <v/>
      </c>
      <c r="F68" s="874" t="str" cm="1">
        <f t="array" aca="1" ref="F68" ca="1">IF(F65,INDIRECT("'"&amp;F66&amp;"'"&amp;"!G37"),"")</f>
        <v/>
      </c>
      <c r="G68" s="875" t="str" cm="1">
        <f t="array" aca="1" ref="G68" ca="1">IF(G65,INDIRECT("'"&amp;G66&amp;"'"&amp;"!G37"),"")</f>
        <v/>
      </c>
    </row>
    <row r="69" spans="2:7" ht="15.75">
      <c r="B69" s="873" t="str" cm="1">
        <f t="array" aca="1" ref="B69" ca="1">INDIRECT("'"&amp;B66&amp;"'"&amp;"!F38")</f>
        <v>Roof cladding</v>
      </c>
      <c r="C69" s="874" t="str" cm="1">
        <f t="array" aca="1" ref="C69" ca="1">IF(C65,INDIRECT("'"&amp;C66&amp;"'"&amp;"!G38"),"")</f>
        <v>Profiled metal</v>
      </c>
      <c r="D69" s="874" t="str" cm="1">
        <f t="array" aca="1" ref="D69" ca="1">IF(D65,INDIRECT("'"&amp;D66&amp;"'"&amp;"!G38"),"")</f>
        <v/>
      </c>
      <c r="E69" s="874" t="str" cm="1">
        <f t="array" aca="1" ref="E69" ca="1">IF(E65,INDIRECT("'"&amp;E66&amp;"'"&amp;"!G38"),"")</f>
        <v/>
      </c>
      <c r="F69" s="874" t="str" cm="1">
        <f t="array" aca="1" ref="F69" ca="1">IF(F65,INDIRECT("'"&amp;F66&amp;"'"&amp;"!G38"),"")</f>
        <v/>
      </c>
      <c r="G69" s="875" t="str" cm="1">
        <f t="array" aca="1" ref="G69" ca="1">IF(G65,INDIRECT("'"&amp;G66&amp;"'"&amp;"!G38"),"")</f>
        <v/>
      </c>
    </row>
    <row r="70" spans="2:7" ht="15.75">
      <c r="B70" s="873" t="str" cm="1">
        <f t="array" aca="1" ref="B70" ca="1">INDIRECT("'"&amp;B66&amp;"'"&amp;"!F39")</f>
        <v>Joist/Cord height (mm)</v>
      </c>
      <c r="C70" s="874" cm="1">
        <f t="array" aca="1" ref="C70" ca="1">IF(C65,INDIRECT("'"&amp;C66&amp;"'"&amp;"!G39"),"")</f>
        <v>140</v>
      </c>
      <c r="D70" s="874" t="str" cm="1">
        <f t="array" aca="1" ref="D70" ca="1">IF(D65,INDIRECT("'"&amp;D66&amp;"'"&amp;"!G39"),"")</f>
        <v/>
      </c>
      <c r="E70" s="874" t="str" cm="1">
        <f t="array" aca="1" ref="E70" ca="1">IF(E65,INDIRECT("'"&amp;E66&amp;"'"&amp;"!G39"),"")</f>
        <v/>
      </c>
      <c r="F70" s="874" t="str" cm="1">
        <f t="array" aca="1" ref="F70" ca="1">IF(F65,INDIRECT("'"&amp;F66&amp;"'"&amp;"!G39"),"")</f>
        <v/>
      </c>
      <c r="G70" s="875" t="str" cm="1">
        <f t="array" aca="1" ref="G70" ca="1">IF(G65,INDIRECT("'"&amp;G66&amp;"'"&amp;"!G39"),"")</f>
        <v/>
      </c>
    </row>
    <row r="71" spans="2:7" ht="15.75">
      <c r="B71" s="873" t="str" cm="1">
        <f t="array" aca="1" ref="B71" ca="1">INDIRECT("'"&amp;B66&amp;"'"&amp;"!F40")</f>
        <v>Primary insulation conductivity (W/mK)</v>
      </c>
      <c r="C71" s="874" cm="1">
        <f t="array" aca="1" ref="C71" ca="1">IF(C65,INDIRECT("'"&amp;C66&amp;"'"&amp;"!G40"),"")</f>
        <v>6.5000000000000002E-2</v>
      </c>
      <c r="D71" s="874" t="str" cm="1">
        <f t="array" aca="1" ref="D71" ca="1">IF(D65,INDIRECT("'"&amp;D66&amp;"'"&amp;"!G40"),"")</f>
        <v/>
      </c>
      <c r="E71" s="874" t="str" cm="1">
        <f t="array" aca="1" ref="E71" ca="1">IF(E65,INDIRECT("'"&amp;E66&amp;"'"&amp;"!G40"),"")</f>
        <v/>
      </c>
      <c r="F71" s="874" t="str" cm="1">
        <f t="array" aca="1" ref="F71" ca="1">IF(F65,INDIRECT("'"&amp;F66&amp;"'"&amp;"!G40"),"")</f>
        <v/>
      </c>
      <c r="G71" s="875" t="str" cm="1">
        <f t="array" aca="1" ref="G71" ca="1">IF(G65,INDIRECT("'"&amp;G66&amp;"'"&amp;"!G40"),"")</f>
        <v/>
      </c>
    </row>
    <row r="72" spans="2:7" ht="15.75">
      <c r="B72" s="873" t="str" cm="1">
        <f t="array" aca="1" ref="B72" ca="1">INDIRECT("'"&amp;B66&amp;"'"&amp;"!F41")</f>
        <v xml:space="preserve"> </v>
      </c>
      <c r="C72" s="874" cm="1">
        <f t="array" aca="1" ref="C72" ca="1">IF(C65,INDIRECT("'"&amp;C66&amp;"'"&amp;"!G41"),"")</f>
        <v>0</v>
      </c>
      <c r="D72" s="874" t="str" cm="1">
        <f t="array" aca="1" ref="D72" ca="1">IF(D65,INDIRECT("'"&amp;D66&amp;"'"&amp;"!G41"),"")</f>
        <v/>
      </c>
      <c r="E72" s="874" t="str" cm="1">
        <f t="array" aca="1" ref="E72" ca="1">IF(E65,INDIRECT("'"&amp;E66&amp;"'"&amp;"!G41"),"")</f>
        <v/>
      </c>
      <c r="F72" s="874" t="str" cm="1">
        <f t="array" aca="1" ref="F72" ca="1">IF(F65,INDIRECT("'"&amp;F66&amp;"'"&amp;"!G41"),"")</f>
        <v/>
      </c>
      <c r="G72" s="875" t="str" cm="1">
        <f t="array" aca="1" ref="G72" ca="1">IF(G65,INDIRECT("'"&amp;G66&amp;"'"&amp;"!G41"),"")</f>
        <v/>
      </c>
    </row>
    <row r="73" spans="2:7" ht="15.75">
      <c r="B73" s="873" t="str" cm="1">
        <f t="array" aca="1" ref="B73" ca="1">INDIRECT("'"&amp;B66&amp;"'"&amp;"!F42")</f>
        <v>Secondary Insulation</v>
      </c>
      <c r="C73" s="874" t="str" cm="1">
        <f t="array" aca="1" ref="C73" ca="1">IF(C65,INDIRECT("'"&amp;C66&amp;"'"&amp;"!G42"),"")</f>
        <v>none</v>
      </c>
      <c r="D73" s="874" t="str" cm="1">
        <f t="array" aca="1" ref="D73" ca="1">IF(D65,INDIRECT("'"&amp;D66&amp;"'"&amp;"!G42"),"")</f>
        <v/>
      </c>
      <c r="E73" s="874" t="str" cm="1">
        <f t="array" aca="1" ref="E73" ca="1">IF(E65,INDIRECT("'"&amp;E66&amp;"'"&amp;"!G42"),"")</f>
        <v/>
      </c>
      <c r="F73" s="874" t="str" cm="1">
        <f t="array" aca="1" ref="F73" ca="1">IF(F65,INDIRECT("'"&amp;F66&amp;"'"&amp;"!G42"),"")</f>
        <v/>
      </c>
      <c r="G73" s="875" t="str" cm="1">
        <f t="array" aca="1" ref="G73" ca="1">IF(G65,INDIRECT("'"&amp;G66&amp;"'"&amp;"!G42"),"")</f>
        <v/>
      </c>
    </row>
    <row r="74" spans="2:7" ht="15.75">
      <c r="B74" s="873" t="str" cm="1">
        <f t="array" aca="1" ref="B74" ca="1">INDIRECT("'"&amp;B66&amp;"'"&amp;"!F43")</f>
        <v>----------</v>
      </c>
      <c r="C74" s="874" cm="1">
        <f t="array" aca="1" ref="C74" ca="1">IF(C65,INDIRECT("'"&amp;C66&amp;"'"&amp;"!G43"),"")</f>
        <v>0</v>
      </c>
      <c r="D74" s="874" t="str" cm="1">
        <f t="array" aca="1" ref="D74" ca="1">IF(D65,INDIRECT("'"&amp;D66&amp;"'"&amp;"!G43"),"")</f>
        <v/>
      </c>
      <c r="E74" s="874" t="str" cm="1">
        <f t="array" aca="1" ref="E74" ca="1">IF(E65,INDIRECT("'"&amp;E66&amp;"'"&amp;"!G43"),"")</f>
        <v/>
      </c>
      <c r="F74" s="874" t="str" cm="1">
        <f t="array" aca="1" ref="F74" ca="1">IF(F65,INDIRECT("'"&amp;F66&amp;"'"&amp;"!G43"),"")</f>
        <v/>
      </c>
      <c r="G74" s="875" t="str" cm="1">
        <f t="array" aca="1" ref="G74" ca="1">IF(G65,INDIRECT("'"&amp;G66&amp;"'"&amp;"!G43"),"")</f>
        <v/>
      </c>
    </row>
    <row r="75" spans="2:7" ht="15.75">
      <c r="B75" s="873" t="str" cm="1">
        <f t="array" aca="1" ref="B75" ca="1">INDIRECT("'"&amp;B66&amp;"'"&amp;"!F44")</f>
        <v>----------</v>
      </c>
      <c r="C75" s="874" cm="1">
        <f t="array" aca="1" ref="C75" ca="1">IF(C65,INDIRECT("'"&amp;C66&amp;"'"&amp;"!G44"),"")</f>
        <v>0</v>
      </c>
      <c r="D75" s="874" t="str" cm="1">
        <f t="array" aca="1" ref="D75" ca="1">IF(D65,INDIRECT("'"&amp;D66&amp;"'"&amp;"!G44"),"")</f>
        <v/>
      </c>
      <c r="E75" s="874" t="str" cm="1">
        <f t="array" aca="1" ref="E75" ca="1">IF(E65,INDIRECT("'"&amp;E66&amp;"'"&amp;"!G44"),"")</f>
        <v/>
      </c>
      <c r="F75" s="874" t="str" cm="1">
        <f t="array" aca="1" ref="F75" ca="1">IF(F65,INDIRECT("'"&amp;F66&amp;"'"&amp;"!G44"),"")</f>
        <v/>
      </c>
      <c r="G75" s="875" t="str" cm="1">
        <f t="array" aca="1" ref="G75" ca="1">IF(G65,INDIRECT("'"&amp;G66&amp;"'"&amp;"!G44"),"")</f>
        <v/>
      </c>
    </row>
    <row r="76" spans="2:7" ht="15.75">
      <c r="B76" s="873" t="str" cm="1">
        <f t="array" aca="1" ref="B76" ca="1">INDIRECT("'"&amp;B66&amp;"'"&amp;"!F45")</f>
        <v>----------</v>
      </c>
      <c r="C76" s="874" cm="1">
        <f t="array" aca="1" ref="C76" ca="1">IF(C65,INDIRECT("'"&amp;C66&amp;"'"&amp;"!G45"),"")</f>
        <v>0</v>
      </c>
      <c r="D76" s="874" t="str" cm="1">
        <f t="array" aca="1" ref="D76" ca="1">IF(D65,INDIRECT("'"&amp;D66&amp;"'"&amp;"!G45"),"")</f>
        <v/>
      </c>
      <c r="E76" s="874" t="str" cm="1">
        <f t="array" aca="1" ref="E76" ca="1">IF(E65,INDIRECT("'"&amp;E66&amp;"'"&amp;"!G45"),"")</f>
        <v/>
      </c>
      <c r="F76" s="874" t="str" cm="1">
        <f t="array" aca="1" ref="F76" ca="1">IF(F65,INDIRECT("'"&amp;F66&amp;"'"&amp;"!G45"),"")</f>
        <v/>
      </c>
      <c r="G76" s="875" t="str" cm="1">
        <f t="array" aca="1" ref="G76" ca="1">IF(G65,INDIRECT("'"&amp;G66&amp;"'"&amp;"!G45"),"")</f>
        <v/>
      </c>
    </row>
    <row r="77" spans="2:7" ht="15.75">
      <c r="B77" s="873" t="str" cm="1">
        <f t="array" aca="1" ref="B77" ca="1">INDIRECT("'"&amp;B66&amp;"'"&amp;"!F46")</f>
        <v>Lining</v>
      </c>
      <c r="C77" s="874" t="str" cm="1">
        <f t="array" aca="1" ref="C77" ca="1">IF(C65,INDIRECT("'"&amp;C66&amp;"'"&amp;"!G46"),"")</f>
        <v>10 mm plasterboard</v>
      </c>
      <c r="D77" s="874" t="str" cm="1">
        <f t="array" aca="1" ref="D77" ca="1">IF(D65,INDIRECT("'"&amp;D66&amp;"'"&amp;"!G46"),"")</f>
        <v/>
      </c>
      <c r="E77" s="874" t="str" cm="1">
        <f t="array" aca="1" ref="E77" ca="1">IF(E65,INDIRECT("'"&amp;E66&amp;"'"&amp;"!G46"),"")</f>
        <v/>
      </c>
      <c r="F77" s="874" t="str" cm="1">
        <f t="array" aca="1" ref="F77" ca="1">IF(F65,INDIRECT("'"&amp;F66&amp;"'"&amp;"!G46"),"")</f>
        <v/>
      </c>
      <c r="G77" s="875" t="str" cm="1">
        <f t="array" aca="1" ref="G77" ca="1">IF(G65,INDIRECT("'"&amp;G66&amp;"'"&amp;"!G46"),"")</f>
        <v/>
      </c>
    </row>
    <row r="78" spans="2:7" ht="15.75">
      <c r="B78" s="873" t="str" cm="1">
        <f t="array" aca="1" ref="B78" ca="1">INDIRECT("'"&amp;B66&amp;"'"&amp;"!F47")</f>
        <v>Joist/Cord spacing (mm)</v>
      </c>
      <c r="C78" s="874" cm="1">
        <f t="array" aca="1" ref="C78" ca="1">IF(C65,INDIRECT("'"&amp;C66&amp;"'"&amp;"!G47"),"")</f>
        <v>600</v>
      </c>
      <c r="D78" s="874" t="str" cm="1">
        <f t="array" aca="1" ref="D78" ca="1">IF(D65,INDIRECT("'"&amp;D66&amp;"'"&amp;"!G47"),"")</f>
        <v/>
      </c>
      <c r="E78" s="874" t="str" cm="1">
        <f t="array" aca="1" ref="E78" ca="1">IF(E65,INDIRECT("'"&amp;E66&amp;"'"&amp;"!G47"),"")</f>
        <v/>
      </c>
      <c r="F78" s="874" t="str" cm="1">
        <f t="array" aca="1" ref="F78" ca="1">IF(F65,INDIRECT("'"&amp;F66&amp;"'"&amp;"!G47"),"")</f>
        <v/>
      </c>
      <c r="G78" s="875" t="str" cm="1">
        <f t="array" aca="1" ref="G78" ca="1">IF(G65,INDIRECT("'"&amp;G66&amp;"'"&amp;"!G47"),"")</f>
        <v/>
      </c>
    </row>
    <row r="79" spans="2:7" ht="15.75">
      <c r="B79" s="873" t="str" cm="1">
        <f t="array" aca="1" ref="B79" ca="1">INDIRECT("'"&amp;B66&amp;"'"&amp;"!F48")</f>
        <v>Total primary insulation layer(s) R-value</v>
      </c>
      <c r="C79" s="874" cm="1">
        <f t="array" aca="1" ref="C79" ca="1">IF(C65,INDIRECT("'"&amp;C66&amp;"'"&amp;"!G48"),"")</f>
        <v>1.5</v>
      </c>
      <c r="D79" s="874" t="str" cm="1">
        <f t="array" aca="1" ref="D79" ca="1">IF(D65,INDIRECT("'"&amp;D66&amp;"'"&amp;"!G48"),"")</f>
        <v/>
      </c>
      <c r="E79" s="874" t="str" cm="1">
        <f t="array" aca="1" ref="E79" ca="1">IF(E65,INDIRECT("'"&amp;E66&amp;"'"&amp;"!G48"),"")</f>
        <v/>
      </c>
      <c r="F79" s="874" t="str" cm="1">
        <f t="array" aca="1" ref="F79" ca="1">IF(F65,INDIRECT("'"&amp;F66&amp;"'"&amp;"!G48"),"")</f>
        <v/>
      </c>
      <c r="G79" s="875" t="str" cm="1">
        <f t="array" aca="1" ref="G79" ca="1">IF(G65,INDIRECT("'"&amp;G66&amp;"'"&amp;"!G48"),"")</f>
        <v/>
      </c>
    </row>
    <row r="80" spans="2:7" ht="15.75">
      <c r="B80" s="873" t="str" cm="1">
        <f t="array" aca="1" ref="B80" ca="1">INDIRECT("'"&amp;B66&amp;"'"&amp;"!F49")</f>
        <v>thickness</v>
      </c>
      <c r="C80" s="874" t="str" cm="1">
        <f t="array" aca="1" ref="C80" ca="1">IF(C65,INDIRECT("'"&amp;C66&amp;"'"&amp;"!G49"),"")</f>
        <v>98 mm</v>
      </c>
      <c r="D80" s="874" t="str" cm="1">
        <f t="array" aca="1" ref="D80" ca="1">IF(D65,INDIRECT("'"&amp;D66&amp;"'"&amp;"!G49"),"")</f>
        <v/>
      </c>
      <c r="E80" s="874" t="str" cm="1">
        <f t="array" aca="1" ref="E80" ca="1">IF(E65,INDIRECT("'"&amp;E66&amp;"'"&amp;"!G49"),"")</f>
        <v/>
      </c>
      <c r="F80" s="874" t="str" cm="1">
        <f t="array" aca="1" ref="F80" ca="1">IF(F65,INDIRECT("'"&amp;F66&amp;"'"&amp;"!G49"),"")</f>
        <v/>
      </c>
      <c r="G80" s="875" t="str" cm="1">
        <f t="array" aca="1" ref="G80" ca="1">IF(G65,INDIRECT("'"&amp;G66&amp;"'"&amp;"!G49"),"")</f>
        <v/>
      </c>
    </row>
    <row r="81" spans="2:7" ht="15.75">
      <c r="B81" s="873" t="str" cm="1">
        <f t="array" aca="1" ref="B81" ca="1">INDIRECT("'"&amp;B66&amp;"'"&amp;"!F50")</f>
        <v/>
      </c>
      <c r="C81" s="874" t="str" cm="1">
        <f t="array" aca="1" ref="C81" ca="1">IF(C65,INDIRECT("'"&amp;C66&amp;"'"&amp;"!G50"),"")</f>
        <v/>
      </c>
      <c r="D81" s="874" t="str" cm="1">
        <f t="array" aca="1" ref="D81" ca="1">IF(D65,INDIRECT("'"&amp;D66&amp;"'"&amp;"!G50"),"")</f>
        <v/>
      </c>
      <c r="E81" s="874" t="str" cm="1">
        <f t="array" aca="1" ref="E81" ca="1">IF(E65,INDIRECT("'"&amp;E66&amp;"'"&amp;"!G50"),"")</f>
        <v/>
      </c>
      <c r="F81" s="874" t="str" cm="1">
        <f t="array" aca="1" ref="F81" ca="1">IF(F65,INDIRECT("'"&amp;F66&amp;"'"&amp;"!G50"),"")</f>
        <v/>
      </c>
      <c r="G81" s="875" t="str" cm="1">
        <f t="array" aca="1" ref="G81" ca="1">IF(G65,INDIRECT("'"&amp;G66&amp;"'"&amp;"!G50"),"")</f>
        <v/>
      </c>
    </row>
    <row r="82" spans="2:7" ht="30">
      <c r="B82" s="883" t="str" cm="1">
        <f t="array" aca="1" ref="B82" ca="1">INDIRECT("'"&amp;B66&amp;"'"&amp;"!F51")</f>
        <v>Roof R-value if joist/cord covered by insulation</v>
      </c>
      <c r="C82" s="887" cm="1">
        <f t="array" aca="1" ref="C82" ca="1">INDIRECT("'"&amp;C66&amp;"'"&amp;"!G51")</f>
        <v>1.5634411129037167</v>
      </c>
      <c r="D82" s="888"/>
      <c r="E82" s="888"/>
      <c r="F82" s="888"/>
      <c r="G82" s="889"/>
    </row>
    <row r="83" spans="2:7" s="890" customFormat="1">
      <c r="B83" s="883" t="str" cm="1">
        <f t="array" aca="1" ref="B83" ca="1">INDIRECT("'"&amp;B66&amp;"'"&amp;"!F52")</f>
        <v>----------</v>
      </c>
      <c r="C83" s="887" t="str" cm="1">
        <f t="array" aca="1" ref="C83" ca="1">INDIRECT("'"&amp;C66&amp;"'"&amp;"!G52")</f>
        <v>----------</v>
      </c>
      <c r="D83" s="888"/>
      <c r="E83" s="888"/>
      <c r="F83" s="888"/>
      <c r="G83" s="889"/>
    </row>
    <row r="84" spans="2:7">
      <c r="B84" s="883" t="str" cm="1">
        <f t="array" aca="1" ref="B84" ca="1">INDIRECT("'"&amp;B66&amp;"'"&amp;"!F53")</f>
        <v>----------</v>
      </c>
      <c r="C84" s="881" t="str" cm="1">
        <f t="array" aca="1" ref="C84" ca="1">INDIRECT("'"&amp;C66&amp;"'"&amp;"!G53")</f>
        <v>----------</v>
      </c>
      <c r="D84" s="888"/>
      <c r="E84" s="888"/>
      <c r="F84" s="888"/>
      <c r="G84" s="889"/>
    </row>
    <row r="85" spans="2:7">
      <c r="B85" s="883" t="str" cm="1">
        <f t="array" aca="1" ref="B85" ca="1">INDIRECT("'"&amp;B66&amp;"'"&amp;"!F54")</f>
        <v>----------</v>
      </c>
      <c r="C85" s="881" t="str" cm="1">
        <f t="array" aca="1" ref="C85" ca="1">INDIRECT("'"&amp;C66&amp;"'"&amp;"!G54")</f>
        <v>----------</v>
      </c>
      <c r="D85" s="888"/>
      <c r="E85" s="888"/>
      <c r="F85" s="888"/>
      <c r="G85" s="889"/>
    </row>
    <row r="86" spans="2:7">
      <c r="B86" s="883" t="str" cm="1">
        <f t="array" aca="1" ref="B86" ca="1">INDIRECT("'"&amp;B66&amp;"'"&amp;"!F55")</f>
        <v>----------</v>
      </c>
      <c r="C86" s="901" t="str" cm="1">
        <f t="array" aca="1" ref="C86" ca="1">INDIRECT("'"&amp;C66&amp;"'"&amp;"!G55")</f>
        <v>----------</v>
      </c>
      <c r="D86" s="888"/>
      <c r="E86" s="888"/>
      <c r="F86" s="888"/>
      <c r="G86" s="889"/>
    </row>
    <row r="87" spans="2:7">
      <c r="B87" s="883" t="str" cm="1">
        <f t="array" aca="1" ref="B87" ca="1">INDIRECT("'"&amp;B66&amp;"'"&amp;"!F56")</f>
        <v>----------</v>
      </c>
      <c r="C87" s="881" t="str" cm="1">
        <f t="array" aca="1" ref="C87" ca="1">INDIRECT("'"&amp;C66&amp;"'"&amp;"!G56")</f>
        <v>----------</v>
      </c>
      <c r="D87" s="888"/>
      <c r="E87" s="888"/>
      <c r="F87" s="888"/>
      <c r="G87" s="889"/>
    </row>
    <row r="88" spans="2:7">
      <c r="B88" s="883" t="str" cm="1">
        <f t="array" aca="1" ref="B88" ca="1">INDIRECT("'"&amp;B66&amp;"'"&amp;"!F57")</f>
        <v>----------</v>
      </c>
      <c r="C88" s="887" t="str" cm="1">
        <f t="array" aca="1" ref="C88" ca="1">INDIRECT("'"&amp;C66&amp;"'"&amp;"!G57")</f>
        <v>----------</v>
      </c>
      <c r="D88" s="888"/>
      <c r="E88" s="888"/>
      <c r="F88" s="888"/>
      <c r="G88" s="889"/>
    </row>
    <row r="89" spans="2:7">
      <c r="B89" s="880"/>
      <c r="C89" s="866" t="b" cm="1">
        <f t="array" aca="1" ref="C89" ca="1">NOT(ISERROR(INDIRECT("'"&amp;$B90&amp;C$5&amp;"'"&amp;"!F35")))</f>
        <v>1</v>
      </c>
      <c r="D89" s="866" t="b" cm="1">
        <f t="array" aca="1" ref="D89" ca="1">NOT(ISERROR(INDIRECT("'"&amp;$B90&amp;D$5&amp;"'"&amp;"!F35")))</f>
        <v>0</v>
      </c>
      <c r="E89" s="866" t="b" cm="1">
        <f t="array" aca="1" ref="E89" ca="1">NOT(ISERROR(INDIRECT("'"&amp;$B90&amp;E$5&amp;"'"&amp;"!F35")))</f>
        <v>0</v>
      </c>
      <c r="F89" s="866" t="b" cm="1">
        <f t="array" aca="1" ref="F89" ca="1">NOT(ISERROR(INDIRECT("'"&amp;$B90&amp;F$5&amp;"'"&amp;"!F35")))</f>
        <v>0</v>
      </c>
      <c r="G89" s="867" t="b" cm="1">
        <f t="array" aca="1" ref="G89" ca="1">NOT(ISERROR(INDIRECT("'"&amp;$B90&amp;G$5&amp;"'"&amp;"!F35")))</f>
        <v>0</v>
      </c>
    </row>
    <row r="90" spans="2:7" ht="15.75">
      <c r="B90" s="868" t="s">
        <v>574</v>
      </c>
      <c r="C90" s="741" t="str">
        <f ca="1">IF(C89,$B90&amp;C$5,"")</f>
        <v>Roof edge insulation</v>
      </c>
      <c r="D90" s="741" t="str">
        <f ca="1">IF(D89,$B90&amp;D$5,"")</f>
        <v/>
      </c>
      <c r="E90" s="741" t="str">
        <f ca="1">IF(E89,$B90&amp;E$5,"")</f>
        <v/>
      </c>
      <c r="F90" s="741" t="str">
        <f ca="1">IF(F89,$B90&amp;F$5,"")</f>
        <v/>
      </c>
      <c r="G90" s="869" t="str">
        <f ca="1">IF(G89,$B90&amp;G$5,"")</f>
        <v/>
      </c>
    </row>
    <row r="91" spans="2:7" ht="15.75">
      <c r="B91" s="870" t="s">
        <v>198</v>
      </c>
      <c r="C91" s="871" t="str" cm="1">
        <f t="array" aca="1" ref="C91" ca="1">IF(C89,INDIRECT("'"&amp;C90&amp;"'"&amp;"!G36"),"")</f>
        <v>egAAAAAAAABevF6qE</v>
      </c>
      <c r="D91" s="871" t="str" cm="1">
        <f t="array" aca="1" ref="D91" ca="1">IF(D89,INDIRECT("'"&amp;D90&amp;"'"&amp;"!G36"),"")</f>
        <v/>
      </c>
      <c r="E91" s="871" t="str" cm="1">
        <f t="array" aca="1" ref="E91" ca="1">IF(E89,INDIRECT("'"&amp;E90&amp;"'"&amp;"!G36"),"")</f>
        <v/>
      </c>
      <c r="F91" s="871" t="str" cm="1">
        <f t="array" aca="1" ref="F91" ca="1">IF(F89,INDIRECT("'"&amp;F90&amp;"'"&amp;"!G36"),"")</f>
        <v/>
      </c>
      <c r="G91" s="872" t="str" cm="1">
        <f t="array" aca="1" ref="G91" ca="1">IF(G89,INDIRECT("'"&amp;G90&amp;"'"&amp;"!G36"),"")</f>
        <v/>
      </c>
    </row>
    <row r="92" spans="2:7" ht="15.75">
      <c r="B92" s="873" t="str" cm="1">
        <f t="array" aca="1" ref="B92" ca="1">INDIRECT("'"&amp;B90&amp;"'"&amp;"!F37")</f>
        <v xml:space="preserve"> roof / baffle angle (degrees)</v>
      </c>
      <c r="C92" s="898" cm="1">
        <f t="array" aca="1" ref="C92" ca="1">IF(C89,INDIRECT("'"&amp;C90&amp;"'"&amp;"!G37"),"")</f>
        <v>20</v>
      </c>
      <c r="D92" s="874" t="str" cm="1">
        <f t="array" aca="1" ref="D92" ca="1">IF(D89,INDIRECT("'"&amp;D90&amp;"'"&amp;"!G37"),"")</f>
        <v/>
      </c>
      <c r="E92" s="874" t="str" cm="1">
        <f t="array" aca="1" ref="E92" ca="1">IF(E89,INDIRECT("'"&amp;E90&amp;"'"&amp;"!G37"),"")</f>
        <v/>
      </c>
      <c r="F92" s="874" t="str" cm="1">
        <f t="array" aca="1" ref="F92" ca="1">IF(F89,INDIRECT("'"&amp;F90&amp;"'"&amp;"!G37"),"")</f>
        <v/>
      </c>
      <c r="G92" s="875" t="str" cm="1">
        <f t="array" aca="1" ref="G92" ca="1">IF(G89,INDIRECT("'"&amp;G90&amp;"'"&amp;"!G37"),"")</f>
        <v/>
      </c>
    </row>
    <row r="93" spans="2:7" ht="15.75">
      <c r="B93" s="873" t="str" cm="1">
        <f t="array" aca="1" ref="B93" ca="1">INDIRECT("'"&amp;B90&amp;"'"&amp;"!F38")</f>
        <v xml:space="preserve"> lowest point (mm)</v>
      </c>
      <c r="C93" s="874" cm="1">
        <f t="array" aca="1" ref="C93" ca="1">IF(C89,INDIRECT("'"&amp;C90&amp;"'"&amp;"!G38"),"")</f>
        <v>200</v>
      </c>
      <c r="D93" s="874" t="str" cm="1">
        <f t="array" aca="1" ref="D93" ca="1">IF(D89,INDIRECT("'"&amp;D90&amp;"'"&amp;"!G38"),"")</f>
        <v/>
      </c>
      <c r="E93" s="874" t="str" cm="1">
        <f t="array" aca="1" ref="E93" ca="1">IF(E89,INDIRECT("'"&amp;E90&amp;"'"&amp;"!G38"),"")</f>
        <v/>
      </c>
      <c r="F93" s="874" t="str" cm="1">
        <f t="array" aca="1" ref="F93" ca="1">IF(F89,INDIRECT("'"&amp;F90&amp;"'"&amp;"!G38"),"")</f>
        <v/>
      </c>
      <c r="G93" s="875" t="str" cm="1">
        <f t="array" aca="1" ref="G93" ca="1">IF(G89,INDIRECT("'"&amp;G90&amp;"'"&amp;"!G38"),"")</f>
        <v/>
      </c>
    </row>
    <row r="94" spans="2:7" ht="15.75">
      <c r="B94" s="873" t="str" cm="1">
        <f t="array" aca="1" ref="B94" ca="1">INDIRECT("'"&amp;B90&amp;"'"&amp;"!F39")</f>
        <v>insulation type</v>
      </c>
      <c r="C94" s="874" t="str" cm="1">
        <f t="array" aca="1" ref="C94" ca="1">IF(C89,INDIRECT("'"&amp;C90&amp;"'"&amp;"!G39"),"")</f>
        <v>poly/wool fibre</v>
      </c>
      <c r="D94" s="874" t="str" cm="1">
        <f t="array" aca="1" ref="D94" ca="1">IF(D89,INDIRECT("'"&amp;D90&amp;"'"&amp;"!G39"),"")</f>
        <v/>
      </c>
      <c r="E94" s="874" t="str" cm="1">
        <f t="array" aca="1" ref="E94" ca="1">IF(E89,INDIRECT("'"&amp;E90&amp;"'"&amp;"!G39"),"")</f>
        <v/>
      </c>
      <c r="F94" s="874" t="str" cm="1">
        <f t="array" aca="1" ref="F94" ca="1">IF(F89,INDIRECT("'"&amp;F90&amp;"'"&amp;"!G39"),"")</f>
        <v/>
      </c>
      <c r="G94" s="875" t="str" cm="1">
        <f t="array" aca="1" ref="G94" ca="1">IF(G89,INDIRECT("'"&amp;G90&amp;"'"&amp;"!G39"),"")</f>
        <v/>
      </c>
    </row>
    <row r="95" spans="2:7" ht="15.75">
      <c r="B95" s="873" t="str" cm="1">
        <f t="array" aca="1" ref="B95" ca="1">INDIRECT("'"&amp;B90&amp;"'"&amp;"!F40")</f>
        <v>lofted R-value</v>
      </c>
      <c r="C95" s="897" cm="1">
        <f t="array" aca="1" ref="C95" ca="1">IF(C89,INDIRECT("'"&amp;C90&amp;"'"&amp;"!G40"),"")</f>
        <v>4</v>
      </c>
      <c r="D95" s="874" t="str" cm="1">
        <f t="array" aca="1" ref="D95" ca="1">IF(D89,INDIRECT("'"&amp;D90&amp;"'"&amp;"!G40"),"")</f>
        <v/>
      </c>
      <c r="E95" s="874" t="str" cm="1">
        <f t="array" aca="1" ref="E95" ca="1">IF(E89,INDIRECT("'"&amp;E90&amp;"'"&amp;"!G40"),"")</f>
        <v/>
      </c>
      <c r="F95" s="874" t="str" cm="1">
        <f t="array" aca="1" ref="F95" ca="1">IF(F89,INDIRECT("'"&amp;F90&amp;"'"&amp;"!G40"),"")</f>
        <v/>
      </c>
      <c r="G95" s="875" t="str" cm="1">
        <f t="array" aca="1" ref="G95" ca="1">IF(G89,INDIRECT("'"&amp;G90&amp;"'"&amp;"!G40"),"")</f>
        <v/>
      </c>
    </row>
    <row r="96" spans="2:7" ht="15.75">
      <c r="B96" s="873" t="str" cm="1">
        <f t="array" aca="1" ref="B96" ca="1">INDIRECT("'"&amp;B90&amp;"'"&amp;"!F41")</f>
        <v>thickness (mm)</v>
      </c>
      <c r="C96" s="900" cm="1">
        <f t="array" aca="1" ref="C96" ca="1">IF(C89,INDIRECT("'"&amp;C90&amp;"'"&amp;"!G41"),"")</f>
        <v>260</v>
      </c>
      <c r="D96" s="874" t="str" cm="1">
        <f t="array" aca="1" ref="D96" ca="1">IF(D89,INDIRECT("'"&amp;D90&amp;"'"&amp;"!G41"),"")</f>
        <v/>
      </c>
      <c r="E96" s="874" t="str" cm="1">
        <f t="array" aca="1" ref="E96" ca="1">IF(E89,INDIRECT("'"&amp;E90&amp;"'"&amp;"!G41"),"")</f>
        <v/>
      </c>
      <c r="F96" s="874" t="str" cm="1">
        <f t="array" aca="1" ref="F96" ca="1">IF(F89,INDIRECT("'"&amp;F90&amp;"'"&amp;"!G41"),"")</f>
        <v/>
      </c>
      <c r="G96" s="875" t="str" cm="1">
        <f t="array" aca="1" ref="G96" ca="1">IF(G89,INDIRECT("'"&amp;G90&amp;"'"&amp;"!G41"),"")</f>
        <v/>
      </c>
    </row>
    <row r="97" spans="2:7" ht="15.75">
      <c r="B97" s="873" t="str" cm="1">
        <f t="array" aca="1" ref="B97" ca="1">INDIRECT("'"&amp;B90&amp;"'"&amp;"!F42")</f>
        <v>width (mm)</v>
      </c>
      <c r="C97" s="874" cm="1">
        <f t="array" aca="1" ref="C97" ca="1">IF(C89,INDIRECT("'"&amp;C90&amp;"'"&amp;"!G42"),"")</f>
        <v>600</v>
      </c>
      <c r="D97" s="874" t="str" cm="1">
        <f t="array" aca="1" ref="D97" ca="1">IF(D89,INDIRECT("'"&amp;D90&amp;"'"&amp;"!G42"),"")</f>
        <v/>
      </c>
      <c r="E97" s="874" t="str" cm="1">
        <f t="array" aca="1" ref="E97" ca="1">IF(E89,INDIRECT("'"&amp;E90&amp;"'"&amp;"!G42"),"")</f>
        <v/>
      </c>
      <c r="F97" s="874" t="str" cm="1">
        <f t="array" aca="1" ref="F97" ca="1">IF(F89,INDIRECT("'"&amp;F90&amp;"'"&amp;"!G42"),"")</f>
        <v/>
      </c>
      <c r="G97" s="875" t="str" cm="1">
        <f t="array" aca="1" ref="G97" ca="1">IF(G89,INDIRECT("'"&amp;G90&amp;"'"&amp;"!G42"),"")</f>
        <v/>
      </c>
    </row>
    <row r="98" spans="2:7" ht="15.75">
      <c r="B98" s="873" t="str" cm="1">
        <f t="array" aca="1" ref="B98" ca="1">INDIRECT("'"&amp;B90&amp;"'"&amp;"!F43")</f>
        <v>----------</v>
      </c>
      <c r="C98" s="874" t="str" cm="1">
        <f t="array" aca="1" ref="C98" ca="1">IF(C89,INDIRECT("'"&amp;C90&amp;"'"&amp;"!G43"),"")</f>
        <v>----------</v>
      </c>
      <c r="D98" s="874" t="str" cm="1">
        <f t="array" aca="1" ref="D98" ca="1">IF(D89,INDIRECT("'"&amp;D90&amp;"'"&amp;"!G43"),"")</f>
        <v/>
      </c>
      <c r="E98" s="874" t="str" cm="1">
        <f t="array" aca="1" ref="E98" ca="1">IF(E89,INDIRECT("'"&amp;E90&amp;"'"&amp;"!G43"),"")</f>
        <v/>
      </c>
      <c r="F98" s="874" t="str" cm="1">
        <f t="array" aca="1" ref="F98" ca="1">IF(F89,INDIRECT("'"&amp;F90&amp;"'"&amp;"!G43"),"")</f>
        <v/>
      </c>
      <c r="G98" s="875" t="str" cm="1">
        <f t="array" aca="1" ref="G98" ca="1">IF(G89,INDIRECT("'"&amp;G90&amp;"'"&amp;"!G43"),"")</f>
        <v/>
      </c>
    </row>
    <row r="99" spans="2:7" ht="15.75">
      <c r="B99" s="873" t="str" cm="1">
        <f t="array" aca="1" ref="B99" ca="1">INDIRECT("'"&amp;B90&amp;"'"&amp;"!F44")</f>
        <v>----------</v>
      </c>
      <c r="C99" s="897" t="str" cm="1">
        <f t="array" aca="1" ref="C99" ca="1">IF(C89,INDIRECT("'"&amp;C90&amp;"'"&amp;"!G44"),"")</f>
        <v>----------</v>
      </c>
      <c r="D99" s="874" t="str" cm="1">
        <f t="array" aca="1" ref="D99" ca="1">IF(D89,INDIRECT("'"&amp;D90&amp;"'"&amp;"!G44"),"")</f>
        <v/>
      </c>
      <c r="E99" s="874" t="str" cm="1">
        <f t="array" aca="1" ref="E99" ca="1">IF(E89,INDIRECT("'"&amp;E90&amp;"'"&amp;"!G44"),"")</f>
        <v/>
      </c>
      <c r="F99" s="874" t="str" cm="1">
        <f t="array" aca="1" ref="F99" ca="1">IF(F89,INDIRECT("'"&amp;F90&amp;"'"&amp;"!G44"),"")</f>
        <v/>
      </c>
      <c r="G99" s="875" t="str" cm="1">
        <f t="array" aca="1" ref="G99" ca="1">IF(G89,INDIRECT("'"&amp;G90&amp;"'"&amp;"!G44"),"")</f>
        <v/>
      </c>
    </row>
    <row r="100" spans="2:7" ht="15.75">
      <c r="B100" s="873" t="str" cm="1">
        <f t="array" aca="1" ref="B100" ca="1">INDIRECT("'"&amp;B90&amp;"'"&amp;"!F45")</f>
        <v>----------</v>
      </c>
      <c r="C100" s="900" t="str" cm="1">
        <f t="array" aca="1" ref="C100" ca="1">IF(C89,INDIRECT("'"&amp;C90&amp;"'"&amp;"!G45"),"")</f>
        <v>----------</v>
      </c>
      <c r="D100" s="874" t="str" cm="1">
        <f t="array" aca="1" ref="D100" ca="1">IF(D89,INDIRECT("'"&amp;D90&amp;"'"&amp;"!G45"),"")</f>
        <v/>
      </c>
      <c r="E100" s="874" t="str" cm="1">
        <f t="array" aca="1" ref="E100" ca="1">IF(E89,INDIRECT("'"&amp;E90&amp;"'"&amp;"!G45"),"")</f>
        <v/>
      </c>
      <c r="F100" s="874" t="str" cm="1">
        <f t="array" aca="1" ref="F100" ca="1">IF(F89,INDIRECT("'"&amp;F90&amp;"'"&amp;"!G45"),"")</f>
        <v/>
      </c>
      <c r="G100" s="875" t="str" cm="1">
        <f t="array" aca="1" ref="G100" ca="1">IF(G89,INDIRECT("'"&amp;G90&amp;"'"&amp;"!G45"),"")</f>
        <v/>
      </c>
    </row>
    <row r="101" spans="2:7" ht="15.75">
      <c r="B101" s="873" t="str" cm="1">
        <f t="array" aca="1" ref="B101" ca="1">INDIRECT("'"&amp;B90&amp;"'"&amp;"!F46")</f>
        <v>----------</v>
      </c>
      <c r="C101" s="900" t="str" cm="1">
        <f t="array" aca="1" ref="C101" ca="1">IF(C89,INDIRECT("'"&amp;C90&amp;"'"&amp;"!G46"),"")</f>
        <v>----------</v>
      </c>
      <c r="D101" s="874" t="str" cm="1">
        <f t="array" aca="1" ref="D101" ca="1">IF(D89,INDIRECT("'"&amp;D90&amp;"'"&amp;"!G46"),"")</f>
        <v/>
      </c>
      <c r="E101" s="874" t="str" cm="1">
        <f t="array" aca="1" ref="E101" ca="1">IF(E89,INDIRECT("'"&amp;E90&amp;"'"&amp;"!G46"),"")</f>
        <v/>
      </c>
      <c r="F101" s="874" t="str" cm="1">
        <f t="array" aca="1" ref="F101" ca="1">IF(F89,INDIRECT("'"&amp;F90&amp;"'"&amp;"!G46"),"")</f>
        <v/>
      </c>
      <c r="G101" s="875" t="str" cm="1">
        <f t="array" aca="1" ref="G101" ca="1">IF(G89,INDIRECT("'"&amp;G90&amp;"'"&amp;"!G46"),"")</f>
        <v/>
      </c>
    </row>
    <row r="102" spans="2:7" ht="15.75">
      <c r="B102" s="873" t="str" cm="1">
        <f t="array" aca="1" ref="B102" ca="1">INDIRECT("'"&amp;B90&amp;"'"&amp;"!F47")</f>
        <v>----------</v>
      </c>
      <c r="C102" s="874" t="str" cm="1">
        <f t="array" aca="1" ref="C102" ca="1">IF(C89,INDIRECT("'"&amp;C90&amp;"'"&amp;"!G47"),"")</f>
        <v>----------</v>
      </c>
      <c r="D102" s="874" t="str" cm="1">
        <f t="array" aca="1" ref="D102" ca="1">IF(D89,INDIRECT("'"&amp;D90&amp;"'"&amp;"!G47"),"")</f>
        <v/>
      </c>
      <c r="E102" s="874" t="str" cm="1">
        <f t="array" aca="1" ref="E102" ca="1">IF(E89,INDIRECT("'"&amp;E90&amp;"'"&amp;"!G47"),"")</f>
        <v/>
      </c>
      <c r="F102" s="874" t="str" cm="1">
        <f t="array" aca="1" ref="F102" ca="1">IF(F89,INDIRECT("'"&amp;F90&amp;"'"&amp;"!G47"),"")</f>
        <v/>
      </c>
      <c r="G102" s="875" t="str" cm="1">
        <f t="array" aca="1" ref="G102" ca="1">IF(G89,INDIRECT("'"&amp;G90&amp;"'"&amp;"!G47"),"")</f>
        <v/>
      </c>
    </row>
    <row r="103" spans="2:7" ht="15.75">
      <c r="B103" s="873" t="str" cm="1">
        <f t="array" aca="1" ref="B103" ca="1">INDIRECT("'"&amp;B90&amp;"'"&amp;"!F48")</f>
        <v>----------</v>
      </c>
      <c r="C103" s="897" t="str" cm="1">
        <f t="array" aca="1" ref="C103" ca="1">IF(C89,INDIRECT("'"&amp;C90&amp;"'"&amp;"!G48"),"")</f>
        <v>----------</v>
      </c>
      <c r="D103" s="874" t="str" cm="1">
        <f t="array" aca="1" ref="D103" ca="1">IF(D89,INDIRECT("'"&amp;D90&amp;"'"&amp;"!G48"),"")</f>
        <v/>
      </c>
      <c r="E103" s="874" t="str" cm="1">
        <f t="array" aca="1" ref="E103" ca="1">IF(E89,INDIRECT("'"&amp;E90&amp;"'"&amp;"!G48"),"")</f>
        <v/>
      </c>
      <c r="F103" s="874" t="str" cm="1">
        <f t="array" aca="1" ref="F103" ca="1">IF(F89,INDIRECT("'"&amp;F90&amp;"'"&amp;"!G48"),"")</f>
        <v/>
      </c>
      <c r="G103" s="875" t="str" cm="1">
        <f t="array" aca="1" ref="G103" ca="1">IF(G89,INDIRECT("'"&amp;G90&amp;"'"&amp;"!G48"),"")</f>
        <v/>
      </c>
    </row>
    <row r="104" spans="2:7" ht="15.75">
      <c r="B104" s="873" t="str" cm="1">
        <f t="array" aca="1" ref="B104" ca="1">INDIRECT("'"&amp;B90&amp;"'"&amp;"!F49")</f>
        <v>----------</v>
      </c>
      <c r="C104" s="900" t="str" cm="1">
        <f t="array" aca="1" ref="C104" ca="1">IF(C89,INDIRECT("'"&amp;C90&amp;"'"&amp;"!G49"),"")</f>
        <v>----------</v>
      </c>
      <c r="D104" s="874" t="str" cm="1">
        <f t="array" aca="1" ref="D104" ca="1">IF(D89,INDIRECT("'"&amp;D90&amp;"'"&amp;"!G49"),"")</f>
        <v/>
      </c>
      <c r="E104" s="874" t="str" cm="1">
        <f t="array" aca="1" ref="E104" ca="1">IF(E89,INDIRECT("'"&amp;E90&amp;"'"&amp;"!G49"),"")</f>
        <v/>
      </c>
      <c r="F104" s="874" t="str" cm="1">
        <f t="array" aca="1" ref="F104" ca="1">IF(F89,INDIRECT("'"&amp;F90&amp;"'"&amp;"!G49"),"")</f>
        <v/>
      </c>
      <c r="G104" s="875" t="str" cm="1">
        <f t="array" aca="1" ref="G104" ca="1">IF(G89,INDIRECT("'"&amp;G90&amp;"'"&amp;"!G49"),"")</f>
        <v/>
      </c>
    </row>
    <row r="105" spans="2:7" ht="15.75">
      <c r="B105" s="873" t="str" cm="1">
        <f t="array" aca="1" ref="B105" ca="1">INDIRECT("'"&amp;B90&amp;"'"&amp;"!F50")</f>
        <v>----------</v>
      </c>
      <c r="C105" s="900" t="str" cm="1">
        <f t="array" aca="1" ref="C105" ca="1">IF(C89,INDIRECT("'"&amp;C90&amp;"'"&amp;"!G50"),"")</f>
        <v>----------</v>
      </c>
      <c r="D105" s="874" t="str" cm="1">
        <f t="array" aca="1" ref="D105" ca="1">IF(D89,INDIRECT("'"&amp;D90&amp;"'"&amp;"!G50"),"")</f>
        <v/>
      </c>
      <c r="E105" s="874" t="str" cm="1">
        <f t="array" aca="1" ref="E105" ca="1">IF(E89,INDIRECT("'"&amp;E90&amp;"'"&amp;"!G50"),"")</f>
        <v/>
      </c>
      <c r="F105" s="874" t="str" cm="1">
        <f t="array" aca="1" ref="F105" ca="1">IF(F89,INDIRECT("'"&amp;F90&amp;"'"&amp;"!G50"),"")</f>
        <v/>
      </c>
      <c r="G105" s="875" t="str" cm="1">
        <f t="array" aca="1" ref="G105" ca="1">IF(G89,INDIRECT("'"&amp;G90&amp;"'"&amp;"!G50"),"")</f>
        <v/>
      </c>
    </row>
    <row r="106" spans="2:7">
      <c r="B106" s="883" t="str" cm="1">
        <f t="array" aca="1" ref="B106" ca="1">INDIRECT("'"&amp;B90&amp;"'"&amp;"!F51")</f>
        <v>Width</v>
      </c>
      <c r="C106" s="899" cm="1">
        <f t="array" aca="1" ref="C106" ca="1">INDIRECT("'"&amp;C90&amp;"'"&amp;"!G51")</f>
        <v>600</v>
      </c>
      <c r="D106" s="888"/>
      <c r="E106" s="888"/>
      <c r="F106" s="888"/>
      <c r="G106" s="889"/>
    </row>
    <row r="107" spans="2:7">
      <c r="B107" s="883" t="str" cm="1">
        <f t="array" aca="1" ref="B107" ca="1">INDIRECT("'"&amp;B90&amp;"'"&amp;"!F52")</f>
        <v>R-value</v>
      </c>
      <c r="C107" s="887" cm="1">
        <f t="array" aca="1" ref="C107" ca="1">INDIRECT("'"&amp;C90&amp;"'"&amp;"!G52")</f>
        <v>3.9069938925797465</v>
      </c>
      <c r="D107" s="888"/>
      <c r="E107" s="888"/>
      <c r="F107" s="888"/>
      <c r="G107" s="889"/>
    </row>
    <row r="108" spans="2:7">
      <c r="B108" s="883" t="str" cm="1">
        <f t="array" aca="1" ref="B108" ca="1">INDIRECT("'"&amp;B90&amp;"'"&amp;"!F53")</f>
        <v>----------</v>
      </c>
      <c r="C108" s="887" t="str" cm="1">
        <f t="array" aca="1" ref="C108" ca="1">INDIRECT("'"&amp;C90&amp;"'"&amp;"!G53")</f>
        <v>----------</v>
      </c>
      <c r="D108" s="888"/>
      <c r="E108" s="888"/>
      <c r="F108" s="888"/>
      <c r="G108" s="889"/>
    </row>
    <row r="109" spans="2:7">
      <c r="B109" s="883" t="str" cm="1">
        <f t="array" aca="1" ref="B109" ca="1">INDIRECT("'"&amp;B90&amp;"'"&amp;"!F54")</f>
        <v>----------</v>
      </c>
      <c r="C109" s="899" t="str" cm="1">
        <f t="array" aca="1" ref="C109" ca="1">INDIRECT("'"&amp;C90&amp;"'"&amp;"!G54")</f>
        <v>----------</v>
      </c>
      <c r="D109" s="888"/>
      <c r="E109" s="888"/>
      <c r="F109" s="888"/>
      <c r="G109" s="889"/>
    </row>
    <row r="110" spans="2:7" ht="15.75">
      <c r="B110" s="359"/>
      <c r="C110" s="741"/>
      <c r="D110" s="741"/>
      <c r="E110" s="741"/>
      <c r="F110" s="741"/>
      <c r="G110" s="741"/>
    </row>
    <row r="111" spans="2:7" ht="15.75">
      <c r="B111" s="359"/>
      <c r="C111" s="741"/>
      <c r="D111" s="741"/>
      <c r="E111" s="741"/>
      <c r="F111" s="741"/>
      <c r="G111" s="741"/>
    </row>
    <row r="112" spans="2:7" ht="15.75">
      <c r="B112" s="359"/>
      <c r="C112" s="741"/>
      <c r="D112" s="741"/>
      <c r="E112" s="741"/>
      <c r="F112" s="741"/>
      <c r="G112" s="741"/>
    </row>
    <row r="113" spans="2:7" ht="15.75">
      <c r="B113" s="359"/>
      <c r="C113" s="741"/>
      <c r="D113" s="741"/>
      <c r="E113" s="741"/>
      <c r="F113" s="741"/>
      <c r="G113" s="741"/>
    </row>
    <row r="114" spans="2:7" ht="15.75">
      <c r="B114" s="359"/>
      <c r="C114" s="741"/>
      <c r="D114" s="741"/>
      <c r="E114" s="741"/>
      <c r="F114" s="741"/>
      <c r="G114" s="741"/>
    </row>
    <row r="115" spans="2:7" ht="15.75">
      <c r="B115" s="359"/>
      <c r="C115" s="741"/>
      <c r="D115" s="741"/>
      <c r="E115" s="741"/>
      <c r="F115" s="741"/>
      <c r="G115" s="741"/>
    </row>
    <row r="119" spans="2:7" ht="15.75">
      <c r="B119" s="359"/>
      <c r="C119" s="741"/>
      <c r="D119" s="741"/>
      <c r="E119" s="741"/>
      <c r="F119" s="741"/>
      <c r="G119" s="741"/>
    </row>
    <row r="120" spans="2:7" ht="15.75">
      <c r="B120" s="359"/>
      <c r="C120" s="741"/>
      <c r="D120" s="741"/>
      <c r="E120" s="741"/>
      <c r="F120" s="741"/>
      <c r="G120" s="741"/>
    </row>
    <row r="121" spans="2:7" ht="15.75">
      <c r="B121" s="359"/>
      <c r="C121" s="741"/>
      <c r="D121" s="741"/>
      <c r="E121" s="741"/>
      <c r="F121" s="741"/>
      <c r="G121" s="741"/>
    </row>
    <row r="122" spans="2:7" ht="15.75">
      <c r="B122" s="359"/>
      <c r="C122" s="741"/>
      <c r="D122" s="741"/>
      <c r="E122" s="741"/>
      <c r="F122" s="741"/>
      <c r="G122" s="741"/>
    </row>
  </sheetData>
  <sheetProtection algorithmName="SHA-512" hashValue="62lWvQjjUnCD6dDe0iFIJmDNeO24ZLCh8mDeKM8bFfvrgIhPnET7bYBMTFPQB5lbIgi/w0UalMysntYp8Oubqg==" saltValue="PLuDRqKf+mEZM0j5Kqm90w==" spinCount="100000" sheet="1" objects="1" scenarios="1"/>
  <mergeCells count="4">
    <mergeCell ref="A1:A2"/>
    <mergeCell ref="B3:B4"/>
    <mergeCell ref="C4:D4"/>
    <mergeCell ref="B2:C2"/>
  </mergeCells>
  <pageMargins left="0.25" right="0.25" top="0.75" bottom="0.75" header="0.3" footer="0.3"/>
  <pageSetup paperSize="9" scale="52"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5F03809-56CC-4ACD-AD88-6E3DFFDA7538}">
  <sheetPr codeName="Sheet6">
    <tabColor rgb="FFC0FFFF"/>
  </sheetPr>
  <dimension ref="A1:AF5079"/>
  <sheetViews>
    <sheetView showGridLines="0" showRowColHeaders="0" zoomScale="115" zoomScaleNormal="115" workbookViewId="0"/>
  </sheetViews>
  <sheetFormatPr defaultRowHeight="15"/>
  <cols>
    <col min="1" max="1" width="5.7109375" customWidth="1"/>
    <col min="2" max="2" width="6.28515625" customWidth="1"/>
    <col min="3" max="9" width="9.140625" customWidth="1"/>
    <col min="10" max="10" width="9.42578125" customWidth="1"/>
  </cols>
  <sheetData>
    <row r="1" spans="1:32" ht="26.25">
      <c r="A1" s="843"/>
      <c r="B1" s="847" t="s">
        <v>2090</v>
      </c>
      <c r="C1" s="846"/>
      <c r="D1" s="845"/>
      <c r="E1" s="845"/>
      <c r="F1" s="845"/>
      <c r="G1" s="845"/>
      <c r="H1" s="1014" t="e" vm="1">
        <v>#VALUE!</v>
      </c>
      <c r="I1" s="1014"/>
      <c r="J1" s="846"/>
      <c r="K1" s="846"/>
      <c r="L1" s="846"/>
      <c r="M1" s="846"/>
      <c r="N1" s="846"/>
      <c r="O1" s="846"/>
      <c r="P1" s="846"/>
      <c r="Q1" s="846"/>
      <c r="R1" s="846"/>
      <c r="S1" s="846"/>
      <c r="T1" s="846"/>
      <c r="U1" s="846"/>
      <c r="V1" s="846"/>
      <c r="W1" s="846"/>
      <c r="X1" s="1025" t="s">
        <v>2</v>
      </c>
      <c r="Y1" s="1025"/>
      <c r="Z1" s="1025"/>
      <c r="AA1" s="1025"/>
      <c r="AB1" s="905" t="s">
        <v>2261</v>
      </c>
      <c r="AC1" s="1041" t="s">
        <v>3</v>
      </c>
      <c r="AD1" s="1041"/>
      <c r="AE1" s="1092">
        <v>45988.700578703705</v>
      </c>
      <c r="AF1" s="1093"/>
    </row>
    <row r="2" spans="1:32" ht="26.25">
      <c r="A2" s="841"/>
      <c r="B2" s="759"/>
      <c r="C2" s="842"/>
      <c r="D2" s="759"/>
      <c r="E2" s="759"/>
      <c r="F2" s="759"/>
      <c r="G2" s="759"/>
      <c r="H2" s="759"/>
      <c r="I2" s="759"/>
      <c r="J2" s="759"/>
      <c r="K2" s="759"/>
      <c r="L2" s="759"/>
      <c r="M2" s="759"/>
      <c r="N2" s="759"/>
      <c r="O2" s="759"/>
      <c r="P2" s="760"/>
      <c r="Q2" s="759"/>
      <c r="R2" s="759"/>
      <c r="S2" s="759"/>
      <c r="T2" s="759"/>
      <c r="U2" s="759"/>
      <c r="V2" s="759"/>
      <c r="W2" s="759"/>
      <c r="X2" s="759"/>
      <c r="Y2" s="759"/>
      <c r="Z2" s="759"/>
      <c r="AA2" s="759"/>
      <c r="AB2" s="759"/>
      <c r="AC2" s="759"/>
      <c r="AD2" s="759"/>
      <c r="AE2" s="841"/>
      <c r="AF2" s="841"/>
    </row>
    <row r="3" spans="1:32" ht="21" customHeight="1">
      <c r="A3" s="841"/>
      <c r="B3" s="1264" t="s">
        <v>2091</v>
      </c>
      <c r="C3" s="1265"/>
      <c r="D3" s="1265"/>
      <c r="E3" s="1265"/>
      <c r="F3" s="1265"/>
      <c r="G3" s="1265"/>
      <c r="H3" s="1265"/>
      <c r="I3" s="1265"/>
      <c r="J3" s="1265"/>
      <c r="K3" s="1265"/>
      <c r="L3" s="1265"/>
      <c r="M3" s="1265"/>
      <c r="N3" s="1265"/>
      <c r="O3" s="759"/>
      <c r="P3" s="760"/>
      <c r="Q3" s="1263" t="s">
        <v>2092</v>
      </c>
      <c r="R3" s="1263"/>
      <c r="S3" s="1263"/>
      <c r="T3" s="1263"/>
      <c r="U3" s="1263"/>
      <c r="V3" s="1263"/>
      <c r="W3" s="1263"/>
      <c r="X3" s="1263"/>
      <c r="Y3" s="1263"/>
      <c r="Z3" s="1263"/>
      <c r="AA3" s="1263"/>
      <c r="AB3" s="1263"/>
      <c r="AC3" s="1263"/>
      <c r="AD3" s="1263"/>
      <c r="AE3" s="841"/>
      <c r="AF3" s="841"/>
    </row>
    <row r="4" spans="1:32" ht="38.25" customHeight="1">
      <c r="A4" s="841"/>
      <c r="B4" s="1266" t="s">
        <v>2093</v>
      </c>
      <c r="C4" s="1266"/>
      <c r="D4" s="1266"/>
      <c r="E4" s="1266"/>
      <c r="F4" s="1266"/>
      <c r="G4" s="1266"/>
      <c r="H4" s="1266"/>
      <c r="I4" s="1266"/>
      <c r="J4" s="1266"/>
      <c r="K4" s="1266"/>
      <c r="L4" s="1266"/>
      <c r="M4" s="1266"/>
      <c r="N4" s="1266"/>
      <c r="O4" s="759"/>
      <c r="P4" s="760"/>
      <c r="Q4" s="1263"/>
      <c r="R4" s="1263"/>
      <c r="S4" s="1263"/>
      <c r="T4" s="1263"/>
      <c r="U4" s="1263"/>
      <c r="V4" s="1263"/>
      <c r="W4" s="1263"/>
      <c r="X4" s="1263"/>
      <c r="Y4" s="1263"/>
      <c r="Z4" s="1263"/>
      <c r="AA4" s="1263"/>
      <c r="AB4" s="1263"/>
      <c r="AC4" s="1263"/>
      <c r="AD4" s="1263"/>
      <c r="AE4" s="841"/>
      <c r="AF4" s="841"/>
    </row>
    <row r="5" spans="1:32" ht="15.75">
      <c r="A5" s="841"/>
      <c r="B5" s="1263" t="s">
        <v>2094</v>
      </c>
      <c r="C5" s="1263"/>
      <c r="D5" s="1263"/>
      <c r="E5" s="1263"/>
      <c r="F5" s="1263"/>
      <c r="G5" s="1263"/>
      <c r="H5" s="1263"/>
      <c r="I5" s="1263"/>
      <c r="J5" s="1263"/>
      <c r="K5" s="1263"/>
      <c r="L5" s="1263"/>
      <c r="M5" s="1263"/>
      <c r="N5" s="1263"/>
      <c r="O5" s="759"/>
      <c r="P5" s="760"/>
      <c r="Q5" s="1263" t="s">
        <v>2095</v>
      </c>
      <c r="R5" s="1263"/>
      <c r="S5" s="1263"/>
      <c r="T5" s="1263"/>
      <c r="U5" s="1263"/>
      <c r="V5" s="1263"/>
      <c r="W5" s="1263"/>
      <c r="X5" s="1263"/>
      <c r="Y5" s="1263"/>
      <c r="Z5" s="1263"/>
      <c r="AA5" s="1263"/>
      <c r="AB5" s="1263"/>
      <c r="AC5" s="1263"/>
      <c r="AD5" s="1263"/>
      <c r="AE5" s="841"/>
      <c r="AF5" s="841"/>
    </row>
    <row r="6" spans="1:32" ht="15.75">
      <c r="A6" s="841"/>
      <c r="B6" s="1262" t="s">
        <v>2096</v>
      </c>
      <c r="C6" s="1263"/>
      <c r="D6" s="1263"/>
      <c r="E6" s="1263"/>
      <c r="F6" s="1263"/>
      <c r="G6" s="1263"/>
      <c r="H6" s="1263"/>
      <c r="I6" s="1263"/>
      <c r="J6" s="1263"/>
      <c r="K6" s="1263"/>
      <c r="L6" s="1263"/>
      <c r="M6" s="1263"/>
      <c r="N6" s="1263"/>
      <c r="O6" s="759"/>
      <c r="P6" s="760"/>
      <c r="Q6" s="1263"/>
      <c r="R6" s="1263"/>
      <c r="S6" s="1263"/>
      <c r="T6" s="1263"/>
      <c r="U6" s="1263"/>
      <c r="V6" s="1263"/>
      <c r="W6" s="1263"/>
      <c r="X6" s="1263"/>
      <c r="Y6" s="1263"/>
      <c r="Z6" s="1263"/>
      <c r="AA6" s="1263"/>
      <c r="AB6" s="1263"/>
      <c r="AC6" s="1263"/>
      <c r="AD6" s="1263"/>
      <c r="AE6" s="841"/>
      <c r="AF6" s="841"/>
    </row>
    <row r="7" spans="1:32" ht="45" customHeight="1">
      <c r="A7" s="848"/>
      <c r="B7" s="1263" t="s">
        <v>2097</v>
      </c>
      <c r="C7" s="1263"/>
      <c r="D7" s="1263"/>
      <c r="E7" s="1263"/>
      <c r="F7" s="1263"/>
      <c r="G7" s="1263"/>
      <c r="H7" s="1263"/>
      <c r="I7" s="1263"/>
      <c r="J7" s="1263"/>
      <c r="K7" s="1263"/>
      <c r="L7" s="1263"/>
      <c r="M7" s="1263"/>
      <c r="N7" s="1263"/>
      <c r="O7" s="759"/>
      <c r="P7" s="760"/>
      <c r="Q7" s="341"/>
      <c r="R7" s="341"/>
      <c r="S7" s="341"/>
      <c r="T7" s="341"/>
      <c r="U7" s="341"/>
      <c r="V7" s="341"/>
      <c r="W7" s="341"/>
      <c r="X7" s="341"/>
      <c r="Y7" s="341"/>
      <c r="Z7" s="341"/>
      <c r="AA7" s="341"/>
      <c r="AB7" s="341"/>
      <c r="AC7" s="341"/>
      <c r="AD7" s="341"/>
      <c r="AE7" s="841"/>
      <c r="AF7" s="841"/>
    </row>
    <row r="8" spans="1:32" ht="37.5" customHeight="1" thickBot="1">
      <c r="B8" s="761"/>
      <c r="C8" s="735"/>
      <c r="D8" s="1278" t="s">
        <v>2098</v>
      </c>
      <c r="E8" s="1278"/>
      <c r="F8" s="761"/>
      <c r="G8" s="778" t="s">
        <v>2099</v>
      </c>
      <c r="I8" s="1269" t="s">
        <v>2100</v>
      </c>
      <c r="J8" s="1269"/>
      <c r="L8" s="762" t="s">
        <v>2101</v>
      </c>
      <c r="M8" s="762"/>
      <c r="N8" s="1269" t="s">
        <v>2102</v>
      </c>
      <c r="O8" s="1269"/>
      <c r="X8" s="736"/>
      <c r="Y8" s="736"/>
      <c r="Z8" s="736"/>
      <c r="AA8" s="736"/>
      <c r="AB8" s="736"/>
      <c r="AC8" s="736"/>
      <c r="AD8" s="735"/>
    </row>
    <row r="9" spans="1:32" ht="22.5" customHeight="1" thickBot="1">
      <c r="A9" s="729"/>
      <c r="B9" s="733"/>
      <c r="C9" s="783"/>
      <c r="E9" s="784">
        <v>4.5100000000000001E-2</v>
      </c>
      <c r="F9" s="777" t="s">
        <v>2103</v>
      </c>
      <c r="G9" s="776">
        <f>_xlfn.CEILING.MATH($E$9,0.001)</f>
        <v>4.5999999999999999E-2</v>
      </c>
      <c r="I9" s="359"/>
      <c r="J9" s="780">
        <v>25</v>
      </c>
      <c r="K9" s="359"/>
      <c r="L9" s="780">
        <v>25</v>
      </c>
      <c r="M9" s="359"/>
      <c r="N9" s="779">
        <v>300</v>
      </c>
      <c r="O9" s="359"/>
      <c r="X9" s="728"/>
      <c r="Y9" s="728"/>
      <c r="Z9" s="728"/>
      <c r="AA9" s="728"/>
      <c r="AB9" s="728"/>
      <c r="AC9" s="728"/>
    </row>
    <row r="10" spans="1:32" ht="25.5" customHeight="1">
      <c r="A10" s="729"/>
      <c r="B10" s="781" t="s">
        <v>2104</v>
      </c>
      <c r="E10" s="734"/>
      <c r="F10" s="734"/>
      <c r="G10" s="734"/>
      <c r="H10" s="734"/>
      <c r="I10" s="735"/>
      <c r="J10" s="782" t="s">
        <v>2105</v>
      </c>
      <c r="K10" s="359"/>
      <c r="M10" s="359"/>
      <c r="N10" s="359"/>
      <c r="O10" s="359"/>
      <c r="P10" s="359"/>
      <c r="Q10" s="736"/>
      <c r="R10" s="728"/>
      <c r="T10" s="728"/>
      <c r="U10" s="728"/>
      <c r="V10" s="728"/>
      <c r="W10" s="728"/>
      <c r="X10" s="728"/>
      <c r="Y10" s="728"/>
      <c r="Z10" s="728"/>
      <c r="AA10" s="728"/>
      <c r="AB10" s="728"/>
      <c r="AC10" s="728"/>
    </row>
    <row r="11" spans="1:32" ht="21.75" customHeight="1">
      <c r="A11" s="729"/>
      <c r="B11" s="1279" t="s">
        <v>2106</v>
      </c>
      <c r="C11" s="1280"/>
      <c r="D11" s="1270" t="s">
        <v>2107</v>
      </c>
      <c r="E11" s="1270"/>
      <c r="F11" s="1270"/>
      <c r="G11" s="1270"/>
      <c r="H11" s="1270"/>
      <c r="I11" s="735"/>
      <c r="J11" s="1271" t="s">
        <v>2108</v>
      </c>
      <c r="K11" s="1272"/>
      <c r="L11" s="1277" t="s">
        <v>2109</v>
      </c>
      <c r="M11" s="1277"/>
      <c r="N11" s="1277"/>
      <c r="O11" s="1277"/>
      <c r="P11" s="1277"/>
      <c r="Q11" s="736"/>
      <c r="R11" s="728"/>
      <c r="S11" s="728"/>
      <c r="T11" s="728"/>
      <c r="U11" s="728"/>
      <c r="V11" s="728"/>
      <c r="W11" s="728"/>
      <c r="X11" s="728"/>
      <c r="Y11" s="728"/>
      <c r="Z11" s="728"/>
      <c r="AA11" s="728"/>
      <c r="AB11" s="728"/>
      <c r="AC11" s="728"/>
    </row>
    <row r="12" spans="1:32" ht="15.75" customHeight="1">
      <c r="A12" s="730"/>
      <c r="B12" s="1281"/>
      <c r="C12" s="1282"/>
      <c r="D12" s="737">
        <f>$G$9</f>
        <v>4.5999999999999999E-2</v>
      </c>
      <c r="E12" s="737">
        <f>D12+0.001</f>
        <v>4.7E-2</v>
      </c>
      <c r="F12" s="737">
        <f t="shared" ref="F12:H12" si="0">E12+0.001</f>
        <v>4.8000000000000001E-2</v>
      </c>
      <c r="G12" s="737">
        <f t="shared" si="0"/>
        <v>4.9000000000000002E-2</v>
      </c>
      <c r="H12" s="737">
        <f t="shared" si="0"/>
        <v>0.05</v>
      </c>
      <c r="I12" s="735"/>
      <c r="J12" s="1273"/>
      <c r="K12" s="1274"/>
      <c r="L12" s="738">
        <f>$G$9</f>
        <v>4.5999999999999999E-2</v>
      </c>
      <c r="M12" s="738">
        <f>L12+0.001</f>
        <v>4.7E-2</v>
      </c>
      <c r="N12" s="738">
        <f t="shared" ref="N12:P12" si="1">M12+0.001</f>
        <v>4.8000000000000001E-2</v>
      </c>
      <c r="O12" s="738">
        <f t="shared" si="1"/>
        <v>4.9000000000000002E-2</v>
      </c>
      <c r="P12" s="738">
        <f t="shared" si="1"/>
        <v>0.05</v>
      </c>
      <c r="Q12" s="736"/>
      <c r="AB12" s="728"/>
      <c r="AC12" s="728"/>
    </row>
    <row r="13" spans="1:32" ht="15.75" customHeight="1" thickBot="1">
      <c r="A13" s="730"/>
      <c r="B13" s="1283"/>
      <c r="C13" s="1284"/>
      <c r="D13" s="739"/>
      <c r="E13" s="739"/>
      <c r="F13" s="739"/>
      <c r="G13" s="739"/>
      <c r="H13" s="739"/>
      <c r="I13" s="735"/>
      <c r="J13" s="1275"/>
      <c r="K13" s="1276"/>
      <c r="L13" s="740">
        <f>(L$12-$L$12)/$L$12</f>
        <v>0</v>
      </c>
      <c r="M13" s="740">
        <f t="shared" ref="M13:P13" si="2">(M$12-$L$12)/$L$12</f>
        <v>2.1739130434782629E-2</v>
      </c>
      <c r="N13" s="740">
        <f t="shared" si="2"/>
        <v>4.3478260869565258E-2</v>
      </c>
      <c r="O13" s="740">
        <f t="shared" si="2"/>
        <v>6.521739130434788E-2</v>
      </c>
      <c r="P13" s="740">
        <f t="shared" si="2"/>
        <v>8.6956521739130516E-2</v>
      </c>
      <c r="Q13" s="741" t="s">
        <v>2110</v>
      </c>
      <c r="W13" s="2"/>
      <c r="X13" s="2"/>
      <c r="Y13" s="2"/>
      <c r="Z13" s="2"/>
      <c r="AA13" s="2"/>
      <c r="AB13" s="728"/>
      <c r="AC13" s="728"/>
    </row>
    <row r="14" spans="1:32" ht="15.75" customHeight="1">
      <c r="A14" s="730"/>
      <c r="B14" s="1267" t="s">
        <v>10</v>
      </c>
      <c r="C14" s="742">
        <f>VALUE($J$9)</f>
        <v>25</v>
      </c>
      <c r="D14" s="743">
        <f t="shared" ref="D14:H29" si="3">IF($C14="","",$C14/D$12/1000)</f>
        <v>0.5434782608695653</v>
      </c>
      <c r="E14" s="744">
        <f t="shared" si="3"/>
        <v>0.53191489361702127</v>
      </c>
      <c r="F14" s="744">
        <f t="shared" si="3"/>
        <v>0.52083333333333337</v>
      </c>
      <c r="G14" s="744">
        <f t="shared" si="3"/>
        <v>0.51020408163265296</v>
      </c>
      <c r="H14" s="745">
        <f t="shared" si="3"/>
        <v>0.5</v>
      </c>
      <c r="I14" s="735"/>
      <c r="J14" s="1268" t="s">
        <v>10</v>
      </c>
      <c r="K14" s="746">
        <f>VALUE($J$9)</f>
        <v>25</v>
      </c>
      <c r="L14" s="747">
        <f>IF($K14="","",IF(D14&gt;=1,IF(D14&gt;=10,FLOOR(D14,0.5),FLOOR(D14,0.05)),FLOOR(D14,0.01)))</f>
        <v>0.54</v>
      </c>
      <c r="M14" s="748">
        <f t="shared" ref="M14:P29" si="4">IF($K14="","",IF(E14&gt;=1,IF(E14&gt;=10,FLOOR(E14,0.5),FLOOR(E14,0.05)),FLOOR(E14,0.01)))</f>
        <v>0.53</v>
      </c>
      <c r="N14" s="748">
        <f t="shared" si="4"/>
        <v>0.52</v>
      </c>
      <c r="O14" s="748">
        <f t="shared" si="4"/>
        <v>0.51</v>
      </c>
      <c r="P14" s="749">
        <f t="shared" si="4"/>
        <v>0.5</v>
      </c>
      <c r="Q14" s="736"/>
      <c r="AB14" s="728"/>
      <c r="AC14" s="728"/>
    </row>
    <row r="15" spans="1:32" ht="15.75" customHeight="1">
      <c r="A15" s="730"/>
      <c r="B15" s="1267"/>
      <c r="C15" s="742">
        <f t="shared" ref="C15:C52" si="5">IF(C14="","",IF((VALUE(C14)+VALUE($L$9))&lt;=VALUE($N$9),VALUE(C14)+VALUE($L$9),""))</f>
        <v>50</v>
      </c>
      <c r="D15" s="743">
        <f t="shared" si="3"/>
        <v>1.0869565217391306</v>
      </c>
      <c r="E15" s="744">
        <f t="shared" si="3"/>
        <v>1.0638297872340425</v>
      </c>
      <c r="F15" s="744">
        <f t="shared" si="3"/>
        <v>1.0416666666666667</v>
      </c>
      <c r="G15" s="744">
        <f t="shared" si="3"/>
        <v>1.0204081632653059</v>
      </c>
      <c r="H15" s="745">
        <f t="shared" si="3"/>
        <v>1</v>
      </c>
      <c r="I15" s="735"/>
      <c r="J15" s="1268"/>
      <c r="K15" s="746">
        <f t="shared" ref="K15:K52" si="6">IF(K14="","",IF((VALUE(K14)+VALUE($L$9))&lt;=VALUE($N$9),VALUE(K14)+VALUE($L$9),""))</f>
        <v>50</v>
      </c>
      <c r="L15" s="750">
        <f t="shared" ref="L15:P52" si="7">IF($K15="","",IF(D15&gt;=1,IF(D15&gt;=10,FLOOR(D15,0.5),FLOOR(D15,0.05)),FLOOR(D15,0.01)))</f>
        <v>1.05</v>
      </c>
      <c r="M15" s="441">
        <f t="shared" si="4"/>
        <v>1.05</v>
      </c>
      <c r="N15" s="441">
        <f t="shared" si="4"/>
        <v>1</v>
      </c>
      <c r="O15" s="441">
        <f t="shared" si="4"/>
        <v>1</v>
      </c>
      <c r="P15" s="751">
        <f t="shared" si="4"/>
        <v>1</v>
      </c>
      <c r="Q15" s="736"/>
      <c r="R15" s="728"/>
      <c r="S15" s="728"/>
      <c r="T15" s="728"/>
      <c r="U15" s="728"/>
      <c r="V15" s="728"/>
      <c r="W15" s="728"/>
      <c r="X15" s="728"/>
      <c r="Y15" s="728"/>
      <c r="Z15" s="728"/>
      <c r="AA15" s="728"/>
      <c r="AB15" s="728"/>
      <c r="AC15" s="728"/>
    </row>
    <row r="16" spans="1:32" ht="15.75" customHeight="1">
      <c r="A16" s="730"/>
      <c r="B16" s="1267"/>
      <c r="C16" s="742">
        <f t="shared" si="5"/>
        <v>75</v>
      </c>
      <c r="D16" s="743">
        <f t="shared" si="3"/>
        <v>1.6304347826086958</v>
      </c>
      <c r="E16" s="744">
        <f t="shared" si="3"/>
        <v>1.5957446808510638</v>
      </c>
      <c r="F16" s="744">
        <f t="shared" si="3"/>
        <v>1.5625</v>
      </c>
      <c r="G16" s="744">
        <f t="shared" si="3"/>
        <v>1.5306122448979591</v>
      </c>
      <c r="H16" s="745">
        <f t="shared" si="3"/>
        <v>1.5</v>
      </c>
      <c r="I16" s="735"/>
      <c r="J16" s="1268"/>
      <c r="K16" s="746">
        <f t="shared" si="6"/>
        <v>75</v>
      </c>
      <c r="L16" s="750">
        <f t="shared" si="7"/>
        <v>1.6</v>
      </c>
      <c r="M16" s="441">
        <f t="shared" si="4"/>
        <v>1.55</v>
      </c>
      <c r="N16" s="441">
        <f t="shared" si="4"/>
        <v>1.55</v>
      </c>
      <c r="O16" s="441">
        <f t="shared" si="4"/>
        <v>1.5</v>
      </c>
      <c r="P16" s="751">
        <f t="shared" si="4"/>
        <v>1.5</v>
      </c>
      <c r="Q16" s="736"/>
      <c r="R16" s="728"/>
      <c r="S16" s="728"/>
      <c r="T16" s="728"/>
      <c r="U16" s="728"/>
      <c r="V16" s="728"/>
      <c r="W16" s="728"/>
      <c r="X16" s="728"/>
      <c r="Y16" s="728"/>
      <c r="Z16" s="728"/>
      <c r="AA16" s="728"/>
      <c r="AB16" s="728"/>
      <c r="AC16" s="728"/>
    </row>
    <row r="17" spans="1:31" ht="15.75" customHeight="1">
      <c r="A17" s="730"/>
      <c r="B17" s="1267"/>
      <c r="C17" s="742">
        <f t="shared" si="5"/>
        <v>100</v>
      </c>
      <c r="D17" s="743">
        <f t="shared" si="3"/>
        <v>2.1739130434782612</v>
      </c>
      <c r="E17" s="744">
        <f t="shared" si="3"/>
        <v>2.1276595744680851</v>
      </c>
      <c r="F17" s="744">
        <f t="shared" si="3"/>
        <v>2.0833333333333335</v>
      </c>
      <c r="G17" s="744">
        <f t="shared" si="3"/>
        <v>2.0408163265306118</v>
      </c>
      <c r="H17" s="745">
        <f t="shared" si="3"/>
        <v>2</v>
      </c>
      <c r="I17" s="735"/>
      <c r="J17" s="1268"/>
      <c r="K17" s="746">
        <f t="shared" si="6"/>
        <v>100</v>
      </c>
      <c r="L17" s="750">
        <f t="shared" si="7"/>
        <v>2.15</v>
      </c>
      <c r="M17" s="441">
        <f t="shared" si="4"/>
        <v>2.1</v>
      </c>
      <c r="N17" s="441">
        <f t="shared" si="4"/>
        <v>2.0500000000000003</v>
      </c>
      <c r="O17" s="441">
        <f t="shared" si="4"/>
        <v>2</v>
      </c>
      <c r="P17" s="751">
        <f t="shared" si="4"/>
        <v>2</v>
      </c>
      <c r="Q17" s="736"/>
      <c r="R17" s="728"/>
      <c r="S17" s="728"/>
      <c r="T17" s="728"/>
      <c r="U17" s="728"/>
      <c r="V17" s="728"/>
      <c r="W17" s="728"/>
      <c r="X17" s="728"/>
      <c r="Y17" s="728"/>
      <c r="Z17" s="728"/>
      <c r="AA17" s="728"/>
      <c r="AB17" s="728"/>
      <c r="AC17" s="728"/>
    </row>
    <row r="18" spans="1:31" ht="15.75" customHeight="1">
      <c r="A18" s="730"/>
      <c r="B18" s="1267"/>
      <c r="C18" s="742">
        <f t="shared" si="5"/>
        <v>125</v>
      </c>
      <c r="D18" s="743">
        <f t="shared" si="3"/>
        <v>2.7173913043478262</v>
      </c>
      <c r="E18" s="744">
        <f t="shared" si="3"/>
        <v>2.6595744680851063</v>
      </c>
      <c r="F18" s="744">
        <f t="shared" si="3"/>
        <v>2.6041666666666665</v>
      </c>
      <c r="G18" s="744">
        <f t="shared" si="3"/>
        <v>2.5510204081632653</v>
      </c>
      <c r="H18" s="745">
        <f t="shared" si="3"/>
        <v>2.5</v>
      </c>
      <c r="I18" s="735"/>
      <c r="J18" s="1268"/>
      <c r="K18" s="746">
        <f t="shared" si="6"/>
        <v>125</v>
      </c>
      <c r="L18" s="750">
        <f t="shared" si="7"/>
        <v>2.7</v>
      </c>
      <c r="M18" s="441">
        <f t="shared" si="4"/>
        <v>2.6500000000000004</v>
      </c>
      <c r="N18" s="441">
        <f t="shared" si="4"/>
        <v>2.6</v>
      </c>
      <c r="O18" s="441">
        <f t="shared" si="4"/>
        <v>2.5500000000000003</v>
      </c>
      <c r="P18" s="751">
        <f t="shared" si="4"/>
        <v>2.5</v>
      </c>
      <c r="Q18" s="736"/>
      <c r="R18" s="728"/>
      <c r="S18" s="728"/>
      <c r="T18" s="728"/>
      <c r="U18" s="728"/>
      <c r="V18" s="728"/>
      <c r="W18" s="728"/>
      <c r="X18" s="728"/>
      <c r="Y18" s="728"/>
      <c r="Z18" s="728"/>
      <c r="AA18" s="728"/>
      <c r="AB18" s="728"/>
      <c r="AC18" s="728"/>
    </row>
    <row r="19" spans="1:31" ht="15.75" customHeight="1">
      <c r="A19" s="730"/>
      <c r="B19" s="1267"/>
      <c r="C19" s="742">
        <f t="shared" si="5"/>
        <v>150</v>
      </c>
      <c r="D19" s="743">
        <f t="shared" si="3"/>
        <v>3.2608695652173916</v>
      </c>
      <c r="E19" s="744">
        <f t="shared" si="3"/>
        <v>3.1914893617021276</v>
      </c>
      <c r="F19" s="744">
        <f t="shared" si="3"/>
        <v>3.125</v>
      </c>
      <c r="G19" s="744">
        <f t="shared" si="3"/>
        <v>3.0612244897959182</v>
      </c>
      <c r="H19" s="745">
        <f t="shared" si="3"/>
        <v>3</v>
      </c>
      <c r="I19" s="735"/>
      <c r="J19" s="1268"/>
      <c r="K19" s="746">
        <f t="shared" si="6"/>
        <v>150</v>
      </c>
      <c r="L19" s="750">
        <f t="shared" si="7"/>
        <v>3.25</v>
      </c>
      <c r="M19" s="441">
        <f t="shared" si="4"/>
        <v>3.1500000000000004</v>
      </c>
      <c r="N19" s="441">
        <f t="shared" si="4"/>
        <v>3.1</v>
      </c>
      <c r="O19" s="441">
        <f t="shared" si="4"/>
        <v>3.0500000000000003</v>
      </c>
      <c r="P19" s="751">
        <f t="shared" si="4"/>
        <v>3</v>
      </c>
      <c r="Q19" s="736"/>
      <c r="R19" s="728"/>
      <c r="S19" s="728"/>
      <c r="T19" s="728"/>
      <c r="U19" s="728"/>
      <c r="V19" s="728"/>
      <c r="W19" s="728"/>
      <c r="X19" s="728"/>
      <c r="Y19" s="728"/>
      <c r="Z19" s="728"/>
      <c r="AA19" s="728"/>
      <c r="AB19" s="728"/>
      <c r="AC19" s="728"/>
    </row>
    <row r="20" spans="1:31" ht="15.75" customHeight="1">
      <c r="A20" s="730"/>
      <c r="B20" s="1267"/>
      <c r="C20" s="742">
        <f t="shared" si="5"/>
        <v>175</v>
      </c>
      <c r="D20" s="743">
        <f t="shared" si="3"/>
        <v>3.8043478260869565</v>
      </c>
      <c r="E20" s="744">
        <f t="shared" si="3"/>
        <v>3.7234042553191489</v>
      </c>
      <c r="F20" s="744">
        <f t="shared" si="3"/>
        <v>3.645833333333333</v>
      </c>
      <c r="G20" s="744">
        <f t="shared" si="3"/>
        <v>3.5714285714285712</v>
      </c>
      <c r="H20" s="745">
        <f t="shared" si="3"/>
        <v>3.5</v>
      </c>
      <c r="I20" s="735"/>
      <c r="J20" s="1268"/>
      <c r="K20" s="746">
        <f t="shared" si="6"/>
        <v>175</v>
      </c>
      <c r="L20" s="750">
        <f t="shared" si="7"/>
        <v>3.8000000000000003</v>
      </c>
      <c r="M20" s="441">
        <f t="shared" si="4"/>
        <v>3.7</v>
      </c>
      <c r="N20" s="441">
        <f t="shared" si="4"/>
        <v>3.6</v>
      </c>
      <c r="O20" s="441">
        <f t="shared" si="4"/>
        <v>3.5500000000000003</v>
      </c>
      <c r="P20" s="751">
        <f t="shared" si="4"/>
        <v>3.5</v>
      </c>
      <c r="Q20" s="736"/>
      <c r="R20" s="728"/>
      <c r="S20" s="728"/>
      <c r="T20" s="728"/>
      <c r="U20" s="728"/>
      <c r="V20" s="728"/>
      <c r="W20" s="728"/>
      <c r="X20" s="728"/>
      <c r="Y20" s="728"/>
      <c r="Z20" s="728"/>
      <c r="AA20" s="728"/>
      <c r="AB20" s="728"/>
      <c r="AC20" s="728"/>
    </row>
    <row r="21" spans="1:31" ht="15.75" customHeight="1">
      <c r="A21" s="731"/>
      <c r="B21" s="1267"/>
      <c r="C21" s="742">
        <f t="shared" si="5"/>
        <v>200</v>
      </c>
      <c r="D21" s="743">
        <f t="shared" si="3"/>
        <v>4.3478260869565224</v>
      </c>
      <c r="E21" s="744">
        <f t="shared" si="3"/>
        <v>4.2553191489361701</v>
      </c>
      <c r="F21" s="744">
        <f t="shared" si="3"/>
        <v>4.166666666666667</v>
      </c>
      <c r="G21" s="744">
        <f t="shared" si="3"/>
        <v>4.0816326530612237</v>
      </c>
      <c r="H21" s="745">
        <f t="shared" si="3"/>
        <v>4</v>
      </c>
      <c r="I21" s="735"/>
      <c r="J21" s="1268"/>
      <c r="K21" s="746">
        <f t="shared" si="6"/>
        <v>200</v>
      </c>
      <c r="L21" s="750">
        <f t="shared" si="7"/>
        <v>4.3</v>
      </c>
      <c r="M21" s="441">
        <f t="shared" si="4"/>
        <v>4.25</v>
      </c>
      <c r="N21" s="441">
        <f t="shared" si="4"/>
        <v>4.1500000000000004</v>
      </c>
      <c r="O21" s="441">
        <f t="shared" si="4"/>
        <v>4.05</v>
      </c>
      <c r="P21" s="751">
        <f t="shared" si="4"/>
        <v>4</v>
      </c>
      <c r="Q21" s="736"/>
      <c r="R21" s="728"/>
      <c r="S21" s="728"/>
      <c r="T21" s="728"/>
      <c r="U21" s="728"/>
      <c r="V21" s="728"/>
      <c r="W21" s="728"/>
      <c r="X21" s="728"/>
      <c r="Y21" s="728"/>
      <c r="Z21" s="728"/>
      <c r="AA21" s="728"/>
      <c r="AB21" s="728"/>
      <c r="AC21" s="728"/>
    </row>
    <row r="22" spans="1:31" ht="15.75" customHeight="1">
      <c r="A22" s="731"/>
      <c r="B22" s="1267"/>
      <c r="C22" s="742">
        <f t="shared" si="5"/>
        <v>225</v>
      </c>
      <c r="D22" s="743">
        <f t="shared" si="3"/>
        <v>4.8913043478260869</v>
      </c>
      <c r="E22" s="744">
        <f t="shared" si="3"/>
        <v>4.787234042553191</v>
      </c>
      <c r="F22" s="744">
        <f t="shared" si="3"/>
        <v>4.6875</v>
      </c>
      <c r="G22" s="744">
        <f t="shared" si="3"/>
        <v>4.591836734693878</v>
      </c>
      <c r="H22" s="745">
        <f t="shared" si="3"/>
        <v>4.5</v>
      </c>
      <c r="I22" s="735"/>
      <c r="J22" s="1268"/>
      <c r="K22" s="746">
        <f t="shared" si="6"/>
        <v>225</v>
      </c>
      <c r="L22" s="750">
        <f t="shared" si="7"/>
        <v>4.8500000000000005</v>
      </c>
      <c r="M22" s="441">
        <f t="shared" si="4"/>
        <v>4.75</v>
      </c>
      <c r="N22" s="441">
        <f t="shared" si="4"/>
        <v>4.6500000000000004</v>
      </c>
      <c r="O22" s="441">
        <f t="shared" si="4"/>
        <v>4.55</v>
      </c>
      <c r="P22" s="751">
        <f t="shared" si="4"/>
        <v>4.5</v>
      </c>
      <c r="Q22" s="735"/>
      <c r="AE22" s="12"/>
    </row>
    <row r="23" spans="1:31" ht="15.75" customHeight="1">
      <c r="A23" s="731"/>
      <c r="B23" s="1267"/>
      <c r="C23" s="742">
        <f t="shared" si="5"/>
        <v>250</v>
      </c>
      <c r="D23" s="743">
        <f t="shared" si="3"/>
        <v>5.4347826086956523</v>
      </c>
      <c r="E23" s="744">
        <f t="shared" si="3"/>
        <v>5.3191489361702127</v>
      </c>
      <c r="F23" s="744">
        <f t="shared" si="3"/>
        <v>5.208333333333333</v>
      </c>
      <c r="G23" s="744">
        <f t="shared" si="3"/>
        <v>5.1020408163265305</v>
      </c>
      <c r="H23" s="745">
        <f t="shared" si="3"/>
        <v>5</v>
      </c>
      <c r="I23" s="735"/>
      <c r="J23" s="1268"/>
      <c r="K23" s="746">
        <f t="shared" si="6"/>
        <v>250</v>
      </c>
      <c r="L23" s="750">
        <f t="shared" si="7"/>
        <v>5.4</v>
      </c>
      <c r="M23" s="441">
        <f t="shared" si="4"/>
        <v>5.3000000000000007</v>
      </c>
      <c r="N23" s="441">
        <f t="shared" si="4"/>
        <v>5.2</v>
      </c>
      <c r="O23" s="441">
        <f t="shared" si="4"/>
        <v>5.1000000000000005</v>
      </c>
      <c r="P23" s="751">
        <f t="shared" si="4"/>
        <v>5</v>
      </c>
      <c r="Q23" s="735"/>
      <c r="AE23" s="12"/>
    </row>
    <row r="24" spans="1:31" ht="15.75" customHeight="1">
      <c r="A24" s="731"/>
      <c r="B24" s="1267"/>
      <c r="C24" s="742">
        <f t="shared" si="5"/>
        <v>275</v>
      </c>
      <c r="D24" s="743">
        <f t="shared" si="3"/>
        <v>5.9782608695652177</v>
      </c>
      <c r="E24" s="744">
        <f t="shared" si="3"/>
        <v>5.8510638297872335</v>
      </c>
      <c r="F24" s="744">
        <f t="shared" si="3"/>
        <v>5.729166666666667</v>
      </c>
      <c r="G24" s="744">
        <f t="shared" si="3"/>
        <v>5.6122448979591839</v>
      </c>
      <c r="H24" s="745">
        <f t="shared" si="3"/>
        <v>5.5</v>
      </c>
      <c r="I24" s="735"/>
      <c r="J24" s="1268"/>
      <c r="K24" s="746">
        <f t="shared" si="6"/>
        <v>275</v>
      </c>
      <c r="L24" s="750">
        <f t="shared" si="7"/>
        <v>5.95</v>
      </c>
      <c r="M24" s="441">
        <f t="shared" si="4"/>
        <v>5.8500000000000005</v>
      </c>
      <c r="N24" s="441">
        <f t="shared" si="4"/>
        <v>5.7</v>
      </c>
      <c r="O24" s="441">
        <f t="shared" si="4"/>
        <v>5.6000000000000005</v>
      </c>
      <c r="P24" s="751">
        <f t="shared" si="4"/>
        <v>5.5</v>
      </c>
      <c r="Q24" s="735"/>
      <c r="AE24" s="12"/>
    </row>
    <row r="25" spans="1:31" ht="15.75" customHeight="1">
      <c r="A25" s="731"/>
      <c r="B25" s="1267"/>
      <c r="C25" s="742">
        <f t="shared" si="5"/>
        <v>300</v>
      </c>
      <c r="D25" s="743">
        <f t="shared" si="3"/>
        <v>6.5217391304347831</v>
      </c>
      <c r="E25" s="744">
        <f t="shared" si="3"/>
        <v>6.3829787234042552</v>
      </c>
      <c r="F25" s="744">
        <f t="shared" si="3"/>
        <v>6.25</v>
      </c>
      <c r="G25" s="744">
        <f t="shared" si="3"/>
        <v>6.1224489795918364</v>
      </c>
      <c r="H25" s="745">
        <f t="shared" si="3"/>
        <v>6</v>
      </c>
      <c r="I25" s="735"/>
      <c r="J25" s="1268"/>
      <c r="K25" s="746">
        <f t="shared" si="6"/>
        <v>300</v>
      </c>
      <c r="L25" s="750">
        <f t="shared" si="7"/>
        <v>6.5</v>
      </c>
      <c r="M25" s="441">
        <f t="shared" si="4"/>
        <v>6.3500000000000005</v>
      </c>
      <c r="N25" s="441">
        <f t="shared" si="4"/>
        <v>6.25</v>
      </c>
      <c r="O25" s="441">
        <f t="shared" si="4"/>
        <v>6.1000000000000005</v>
      </c>
      <c r="P25" s="751">
        <f t="shared" si="4"/>
        <v>6</v>
      </c>
      <c r="Q25" s="735"/>
      <c r="AE25" s="12"/>
    </row>
    <row r="26" spans="1:31" ht="15.75" customHeight="1">
      <c r="A26" s="167"/>
      <c r="B26" s="752"/>
      <c r="C26" s="746" t="str">
        <f t="shared" si="5"/>
        <v/>
      </c>
      <c r="D26" s="743" t="str">
        <f t="shared" si="3"/>
        <v/>
      </c>
      <c r="E26" s="744" t="str">
        <f t="shared" si="3"/>
        <v/>
      </c>
      <c r="F26" s="744" t="str">
        <f t="shared" si="3"/>
        <v/>
      </c>
      <c r="G26" s="744" t="str">
        <f t="shared" si="3"/>
        <v/>
      </c>
      <c r="H26" s="745" t="str">
        <f t="shared" si="3"/>
        <v/>
      </c>
      <c r="I26" s="735"/>
      <c r="J26" s="359"/>
      <c r="K26" s="746" t="str">
        <f t="shared" si="6"/>
        <v/>
      </c>
      <c r="L26" s="750" t="str">
        <f t="shared" si="7"/>
        <v/>
      </c>
      <c r="M26" s="441" t="str">
        <f t="shared" si="4"/>
        <v/>
      </c>
      <c r="N26" s="441" t="str">
        <f t="shared" si="4"/>
        <v/>
      </c>
      <c r="O26" s="441" t="str">
        <f t="shared" si="4"/>
        <v/>
      </c>
      <c r="P26" s="751" t="str">
        <f t="shared" si="4"/>
        <v/>
      </c>
      <c r="Q26" s="735"/>
      <c r="AE26" s="12"/>
    </row>
    <row r="27" spans="1:31" ht="15.75" customHeight="1">
      <c r="A27" s="167"/>
      <c r="B27" s="752"/>
      <c r="C27" s="746" t="str">
        <f t="shared" si="5"/>
        <v/>
      </c>
      <c r="D27" s="743" t="str">
        <f t="shared" si="3"/>
        <v/>
      </c>
      <c r="E27" s="744" t="str">
        <f t="shared" si="3"/>
        <v/>
      </c>
      <c r="F27" s="744" t="str">
        <f t="shared" si="3"/>
        <v/>
      </c>
      <c r="G27" s="744" t="str">
        <f t="shared" si="3"/>
        <v/>
      </c>
      <c r="H27" s="745" t="str">
        <f t="shared" si="3"/>
        <v/>
      </c>
      <c r="I27" s="735"/>
      <c r="J27" s="359"/>
      <c r="K27" s="746" t="str">
        <f t="shared" si="6"/>
        <v/>
      </c>
      <c r="L27" s="750" t="str">
        <f t="shared" si="7"/>
        <v/>
      </c>
      <c r="M27" s="441" t="str">
        <f t="shared" si="4"/>
        <v/>
      </c>
      <c r="N27" s="441" t="str">
        <f t="shared" si="4"/>
        <v/>
      </c>
      <c r="O27" s="441" t="str">
        <f t="shared" si="4"/>
        <v/>
      </c>
      <c r="P27" s="751" t="str">
        <f t="shared" si="4"/>
        <v/>
      </c>
      <c r="Q27" s="735"/>
      <c r="AE27" s="12"/>
    </row>
    <row r="28" spans="1:31" ht="15.75" customHeight="1">
      <c r="A28" s="167"/>
      <c r="B28" s="752"/>
      <c r="C28" s="746" t="str">
        <f t="shared" si="5"/>
        <v/>
      </c>
      <c r="D28" s="743" t="str">
        <f t="shared" si="3"/>
        <v/>
      </c>
      <c r="E28" s="744" t="str">
        <f t="shared" si="3"/>
        <v/>
      </c>
      <c r="F28" s="744" t="str">
        <f t="shared" si="3"/>
        <v/>
      </c>
      <c r="G28" s="744" t="str">
        <f t="shared" si="3"/>
        <v/>
      </c>
      <c r="H28" s="745" t="str">
        <f t="shared" si="3"/>
        <v/>
      </c>
      <c r="I28" s="735"/>
      <c r="J28" s="359"/>
      <c r="K28" s="746" t="str">
        <f t="shared" si="6"/>
        <v/>
      </c>
      <c r="L28" s="750" t="str">
        <f t="shared" si="7"/>
        <v/>
      </c>
      <c r="M28" s="441" t="str">
        <f t="shared" si="4"/>
        <v/>
      </c>
      <c r="N28" s="441" t="str">
        <f t="shared" si="4"/>
        <v/>
      </c>
      <c r="O28" s="441" t="str">
        <f t="shared" si="4"/>
        <v/>
      </c>
      <c r="P28" s="751" t="str">
        <f t="shared" si="4"/>
        <v/>
      </c>
      <c r="Q28" s="735"/>
      <c r="AE28" s="12"/>
    </row>
    <row r="29" spans="1:31" ht="15.75" customHeight="1">
      <c r="A29" s="167"/>
      <c r="B29" s="752"/>
      <c r="C29" s="746" t="str">
        <f t="shared" si="5"/>
        <v/>
      </c>
      <c r="D29" s="743" t="str">
        <f t="shared" si="3"/>
        <v/>
      </c>
      <c r="E29" s="744" t="str">
        <f t="shared" si="3"/>
        <v/>
      </c>
      <c r="F29" s="744" t="str">
        <f t="shared" si="3"/>
        <v/>
      </c>
      <c r="G29" s="744" t="str">
        <f t="shared" si="3"/>
        <v/>
      </c>
      <c r="H29" s="745" t="str">
        <f t="shared" si="3"/>
        <v/>
      </c>
      <c r="I29" s="735"/>
      <c r="J29" s="359"/>
      <c r="K29" s="746" t="str">
        <f t="shared" si="6"/>
        <v/>
      </c>
      <c r="L29" s="750" t="str">
        <f t="shared" si="7"/>
        <v/>
      </c>
      <c r="M29" s="441" t="str">
        <f t="shared" si="4"/>
        <v/>
      </c>
      <c r="N29" s="441" t="str">
        <f t="shared" si="4"/>
        <v/>
      </c>
      <c r="O29" s="441" t="str">
        <f t="shared" si="4"/>
        <v/>
      </c>
      <c r="P29" s="751" t="str">
        <f t="shared" si="4"/>
        <v/>
      </c>
      <c r="Q29" s="735"/>
      <c r="AE29" s="12"/>
    </row>
    <row r="30" spans="1:31" ht="15.75" customHeight="1">
      <c r="A30" s="167"/>
      <c r="B30" s="752"/>
      <c r="C30" s="746" t="str">
        <f t="shared" si="5"/>
        <v/>
      </c>
      <c r="D30" s="743" t="str">
        <f t="shared" ref="D30:H45" si="8">IF($C30="","",$C30/D$12/1000)</f>
        <v/>
      </c>
      <c r="E30" s="744" t="str">
        <f t="shared" si="8"/>
        <v/>
      </c>
      <c r="F30" s="744" t="str">
        <f t="shared" si="8"/>
        <v/>
      </c>
      <c r="G30" s="744" t="str">
        <f t="shared" si="8"/>
        <v/>
      </c>
      <c r="H30" s="745" t="str">
        <f t="shared" si="8"/>
        <v/>
      </c>
      <c r="I30" s="735"/>
      <c r="J30" s="359"/>
      <c r="K30" s="746" t="str">
        <f t="shared" si="6"/>
        <v/>
      </c>
      <c r="L30" s="750" t="str">
        <f t="shared" si="7"/>
        <v/>
      </c>
      <c r="M30" s="441" t="str">
        <f t="shared" si="7"/>
        <v/>
      </c>
      <c r="N30" s="441" t="str">
        <f t="shared" si="7"/>
        <v/>
      </c>
      <c r="O30" s="441" t="str">
        <f t="shared" si="7"/>
        <v/>
      </c>
      <c r="P30" s="751" t="str">
        <f t="shared" si="7"/>
        <v/>
      </c>
      <c r="Q30" s="735"/>
      <c r="AE30" s="12"/>
    </row>
    <row r="31" spans="1:31" ht="15.75" customHeight="1">
      <c r="A31" s="167"/>
      <c r="B31" s="752"/>
      <c r="C31" s="746" t="str">
        <f t="shared" si="5"/>
        <v/>
      </c>
      <c r="D31" s="743" t="str">
        <f t="shared" si="8"/>
        <v/>
      </c>
      <c r="E31" s="744" t="str">
        <f t="shared" si="8"/>
        <v/>
      </c>
      <c r="F31" s="744" t="str">
        <f t="shared" si="8"/>
        <v/>
      </c>
      <c r="G31" s="744" t="str">
        <f t="shared" si="8"/>
        <v/>
      </c>
      <c r="H31" s="745" t="str">
        <f t="shared" si="8"/>
        <v/>
      </c>
      <c r="I31" s="735"/>
      <c r="J31" s="359"/>
      <c r="K31" s="746" t="str">
        <f t="shared" si="6"/>
        <v/>
      </c>
      <c r="L31" s="750" t="str">
        <f t="shared" si="7"/>
        <v/>
      </c>
      <c r="M31" s="441" t="str">
        <f t="shared" si="7"/>
        <v/>
      </c>
      <c r="N31" s="441" t="str">
        <f t="shared" si="7"/>
        <v/>
      </c>
      <c r="O31" s="441" t="str">
        <f t="shared" si="7"/>
        <v/>
      </c>
      <c r="P31" s="751" t="str">
        <f t="shared" si="7"/>
        <v/>
      </c>
      <c r="Q31" s="735"/>
      <c r="AE31" s="12"/>
    </row>
    <row r="32" spans="1:31" ht="15.75">
      <c r="A32" s="167"/>
      <c r="B32" s="752"/>
      <c r="C32" s="746" t="str">
        <f t="shared" si="5"/>
        <v/>
      </c>
      <c r="D32" s="743" t="str">
        <f t="shared" si="8"/>
        <v/>
      </c>
      <c r="E32" s="744" t="str">
        <f t="shared" si="8"/>
        <v/>
      </c>
      <c r="F32" s="744" t="str">
        <f t="shared" si="8"/>
        <v/>
      </c>
      <c r="G32" s="744" t="str">
        <f t="shared" si="8"/>
        <v/>
      </c>
      <c r="H32" s="745" t="str">
        <f t="shared" si="8"/>
        <v/>
      </c>
      <c r="I32" s="735"/>
      <c r="J32" s="359"/>
      <c r="K32" s="746" t="str">
        <f t="shared" si="6"/>
        <v/>
      </c>
      <c r="L32" s="750" t="str">
        <f t="shared" si="7"/>
        <v/>
      </c>
      <c r="M32" s="441" t="str">
        <f t="shared" si="7"/>
        <v/>
      </c>
      <c r="N32" s="441" t="str">
        <f t="shared" si="7"/>
        <v/>
      </c>
      <c r="O32" s="441" t="str">
        <f t="shared" si="7"/>
        <v/>
      </c>
      <c r="P32" s="751" t="str">
        <f t="shared" si="7"/>
        <v/>
      </c>
      <c r="Q32" s="735"/>
      <c r="AE32" s="12"/>
    </row>
    <row r="33" spans="1:31" ht="15.75">
      <c r="A33" s="167"/>
      <c r="B33" s="752"/>
      <c r="C33" s="746" t="str">
        <f t="shared" si="5"/>
        <v/>
      </c>
      <c r="D33" s="743" t="str">
        <f t="shared" si="8"/>
        <v/>
      </c>
      <c r="E33" s="744" t="str">
        <f t="shared" si="8"/>
        <v/>
      </c>
      <c r="F33" s="744" t="str">
        <f t="shared" si="8"/>
        <v/>
      </c>
      <c r="G33" s="744" t="str">
        <f t="shared" si="8"/>
        <v/>
      </c>
      <c r="H33" s="745" t="str">
        <f t="shared" si="8"/>
        <v/>
      </c>
      <c r="I33" s="735"/>
      <c r="J33" s="359"/>
      <c r="K33" s="746" t="str">
        <f t="shared" si="6"/>
        <v/>
      </c>
      <c r="L33" s="750" t="str">
        <f t="shared" si="7"/>
        <v/>
      </c>
      <c r="M33" s="441" t="str">
        <f t="shared" si="7"/>
        <v/>
      </c>
      <c r="N33" s="441" t="str">
        <f t="shared" si="7"/>
        <v/>
      </c>
      <c r="O33" s="441" t="str">
        <f t="shared" si="7"/>
        <v/>
      </c>
      <c r="P33" s="751" t="str">
        <f t="shared" si="7"/>
        <v/>
      </c>
      <c r="Q33" s="735"/>
      <c r="AE33" s="12"/>
    </row>
    <row r="34" spans="1:31" ht="15.75">
      <c r="A34" s="167"/>
      <c r="B34" s="752"/>
      <c r="C34" s="746" t="str">
        <f t="shared" si="5"/>
        <v/>
      </c>
      <c r="D34" s="743" t="str">
        <f t="shared" si="8"/>
        <v/>
      </c>
      <c r="E34" s="744" t="str">
        <f t="shared" si="8"/>
        <v/>
      </c>
      <c r="F34" s="744" t="str">
        <f t="shared" si="8"/>
        <v/>
      </c>
      <c r="G34" s="744" t="str">
        <f t="shared" si="8"/>
        <v/>
      </c>
      <c r="H34" s="745" t="str">
        <f t="shared" si="8"/>
        <v/>
      </c>
      <c r="I34" s="735"/>
      <c r="J34" s="359"/>
      <c r="K34" s="746" t="str">
        <f t="shared" si="6"/>
        <v/>
      </c>
      <c r="L34" s="750" t="str">
        <f t="shared" si="7"/>
        <v/>
      </c>
      <c r="M34" s="441" t="str">
        <f t="shared" si="7"/>
        <v/>
      </c>
      <c r="N34" s="441" t="str">
        <f t="shared" si="7"/>
        <v/>
      </c>
      <c r="O34" s="441" t="str">
        <f t="shared" si="7"/>
        <v/>
      </c>
      <c r="P34" s="751" t="str">
        <f t="shared" si="7"/>
        <v/>
      </c>
      <c r="Q34" s="735"/>
      <c r="AE34" s="12"/>
    </row>
    <row r="35" spans="1:31" ht="15.75">
      <c r="A35" s="167"/>
      <c r="B35" s="752"/>
      <c r="C35" s="746" t="str">
        <f t="shared" si="5"/>
        <v/>
      </c>
      <c r="D35" s="743" t="str">
        <f t="shared" si="8"/>
        <v/>
      </c>
      <c r="E35" s="744" t="str">
        <f t="shared" si="8"/>
        <v/>
      </c>
      <c r="F35" s="744" t="str">
        <f t="shared" si="8"/>
        <v/>
      </c>
      <c r="G35" s="744" t="str">
        <f t="shared" si="8"/>
        <v/>
      </c>
      <c r="H35" s="745" t="str">
        <f t="shared" si="8"/>
        <v/>
      </c>
      <c r="I35" s="735"/>
      <c r="J35" s="359"/>
      <c r="K35" s="746" t="str">
        <f t="shared" si="6"/>
        <v/>
      </c>
      <c r="L35" s="750" t="str">
        <f t="shared" si="7"/>
        <v/>
      </c>
      <c r="M35" s="441" t="str">
        <f t="shared" si="7"/>
        <v/>
      </c>
      <c r="N35" s="441" t="str">
        <f t="shared" si="7"/>
        <v/>
      </c>
      <c r="O35" s="441" t="str">
        <f t="shared" si="7"/>
        <v/>
      </c>
      <c r="P35" s="751" t="str">
        <f t="shared" si="7"/>
        <v/>
      </c>
      <c r="Q35" s="735"/>
      <c r="AE35" s="12"/>
    </row>
    <row r="36" spans="1:31" ht="15.75">
      <c r="A36" s="167"/>
      <c r="B36" s="752"/>
      <c r="C36" s="746" t="str">
        <f t="shared" si="5"/>
        <v/>
      </c>
      <c r="D36" s="743" t="str">
        <f t="shared" si="8"/>
        <v/>
      </c>
      <c r="E36" s="744" t="str">
        <f t="shared" si="8"/>
        <v/>
      </c>
      <c r="F36" s="744" t="str">
        <f t="shared" si="8"/>
        <v/>
      </c>
      <c r="G36" s="744" t="str">
        <f t="shared" si="8"/>
        <v/>
      </c>
      <c r="H36" s="745" t="str">
        <f t="shared" si="8"/>
        <v/>
      </c>
      <c r="I36" s="735"/>
      <c r="J36" s="359"/>
      <c r="K36" s="746" t="str">
        <f t="shared" si="6"/>
        <v/>
      </c>
      <c r="L36" s="750" t="str">
        <f t="shared" si="7"/>
        <v/>
      </c>
      <c r="M36" s="441" t="str">
        <f t="shared" si="7"/>
        <v/>
      </c>
      <c r="N36" s="441" t="str">
        <f t="shared" si="7"/>
        <v/>
      </c>
      <c r="O36" s="441" t="str">
        <f t="shared" si="7"/>
        <v/>
      </c>
      <c r="P36" s="751" t="str">
        <f t="shared" si="7"/>
        <v/>
      </c>
      <c r="Q36" s="735"/>
      <c r="AE36" s="12"/>
    </row>
    <row r="37" spans="1:31" ht="15.75">
      <c r="A37" s="167"/>
      <c r="B37" s="752"/>
      <c r="C37" s="746" t="str">
        <f t="shared" si="5"/>
        <v/>
      </c>
      <c r="D37" s="743" t="str">
        <f t="shared" si="8"/>
        <v/>
      </c>
      <c r="E37" s="744" t="str">
        <f t="shared" si="8"/>
        <v/>
      </c>
      <c r="F37" s="744" t="str">
        <f t="shared" si="8"/>
        <v/>
      </c>
      <c r="G37" s="744" t="str">
        <f t="shared" si="8"/>
        <v/>
      </c>
      <c r="H37" s="745" t="str">
        <f t="shared" si="8"/>
        <v/>
      </c>
      <c r="I37" s="735"/>
      <c r="J37" s="359"/>
      <c r="K37" s="746" t="str">
        <f t="shared" si="6"/>
        <v/>
      </c>
      <c r="L37" s="750" t="str">
        <f t="shared" si="7"/>
        <v/>
      </c>
      <c r="M37" s="441" t="str">
        <f t="shared" si="7"/>
        <v/>
      </c>
      <c r="N37" s="441" t="str">
        <f t="shared" si="7"/>
        <v/>
      </c>
      <c r="O37" s="441" t="str">
        <f t="shared" si="7"/>
        <v/>
      </c>
      <c r="P37" s="751" t="str">
        <f t="shared" si="7"/>
        <v/>
      </c>
      <c r="Q37" s="735"/>
      <c r="AE37" s="12"/>
    </row>
    <row r="38" spans="1:31" ht="15.75">
      <c r="A38" s="167"/>
      <c r="B38" s="752"/>
      <c r="C38" s="746" t="str">
        <f t="shared" si="5"/>
        <v/>
      </c>
      <c r="D38" s="743" t="str">
        <f t="shared" si="8"/>
        <v/>
      </c>
      <c r="E38" s="744" t="str">
        <f t="shared" si="8"/>
        <v/>
      </c>
      <c r="F38" s="744" t="str">
        <f t="shared" si="8"/>
        <v/>
      </c>
      <c r="G38" s="744" t="str">
        <f t="shared" si="8"/>
        <v/>
      </c>
      <c r="H38" s="745" t="str">
        <f t="shared" si="8"/>
        <v/>
      </c>
      <c r="I38" s="735"/>
      <c r="J38" s="359"/>
      <c r="K38" s="746" t="str">
        <f t="shared" si="6"/>
        <v/>
      </c>
      <c r="L38" s="750" t="str">
        <f t="shared" si="7"/>
        <v/>
      </c>
      <c r="M38" s="441" t="str">
        <f t="shared" si="7"/>
        <v/>
      </c>
      <c r="N38" s="441" t="str">
        <f t="shared" si="7"/>
        <v/>
      </c>
      <c r="O38" s="441" t="str">
        <f t="shared" si="7"/>
        <v/>
      </c>
      <c r="P38" s="751" t="str">
        <f t="shared" si="7"/>
        <v/>
      </c>
      <c r="Q38" s="735"/>
      <c r="AE38" s="12"/>
    </row>
    <row r="39" spans="1:31" ht="15.75">
      <c r="A39" s="167"/>
      <c r="B39" s="752"/>
      <c r="C39" s="746" t="str">
        <f t="shared" si="5"/>
        <v/>
      </c>
      <c r="D39" s="743" t="str">
        <f t="shared" si="8"/>
        <v/>
      </c>
      <c r="E39" s="744" t="str">
        <f t="shared" si="8"/>
        <v/>
      </c>
      <c r="F39" s="744" t="str">
        <f t="shared" si="8"/>
        <v/>
      </c>
      <c r="G39" s="744" t="str">
        <f t="shared" si="8"/>
        <v/>
      </c>
      <c r="H39" s="745" t="str">
        <f t="shared" si="8"/>
        <v/>
      </c>
      <c r="I39" s="735"/>
      <c r="J39" s="359"/>
      <c r="K39" s="746" t="str">
        <f t="shared" si="6"/>
        <v/>
      </c>
      <c r="L39" s="750" t="str">
        <f t="shared" si="7"/>
        <v/>
      </c>
      <c r="M39" s="441" t="str">
        <f t="shared" si="7"/>
        <v/>
      </c>
      <c r="N39" s="441" t="str">
        <f t="shared" si="7"/>
        <v/>
      </c>
      <c r="O39" s="441" t="str">
        <f t="shared" si="7"/>
        <v/>
      </c>
      <c r="P39" s="751" t="str">
        <f t="shared" si="7"/>
        <v/>
      </c>
      <c r="Q39" s="735"/>
      <c r="AE39" s="12"/>
    </row>
    <row r="40" spans="1:31" ht="15.75">
      <c r="A40" s="167"/>
      <c r="B40" s="752"/>
      <c r="C40" s="746" t="str">
        <f t="shared" si="5"/>
        <v/>
      </c>
      <c r="D40" s="743" t="str">
        <f t="shared" si="8"/>
        <v/>
      </c>
      <c r="E40" s="744" t="str">
        <f t="shared" si="8"/>
        <v/>
      </c>
      <c r="F40" s="744" t="str">
        <f t="shared" si="8"/>
        <v/>
      </c>
      <c r="G40" s="744" t="str">
        <f t="shared" si="8"/>
        <v/>
      </c>
      <c r="H40" s="745" t="str">
        <f t="shared" si="8"/>
        <v/>
      </c>
      <c r="I40" s="735"/>
      <c r="J40" s="359"/>
      <c r="K40" s="746" t="str">
        <f t="shared" si="6"/>
        <v/>
      </c>
      <c r="L40" s="750" t="str">
        <f t="shared" si="7"/>
        <v/>
      </c>
      <c r="M40" s="441" t="str">
        <f t="shared" si="7"/>
        <v/>
      </c>
      <c r="N40" s="441" t="str">
        <f t="shared" si="7"/>
        <v/>
      </c>
      <c r="O40" s="441" t="str">
        <f t="shared" si="7"/>
        <v/>
      </c>
      <c r="P40" s="751" t="str">
        <f t="shared" si="7"/>
        <v/>
      </c>
      <c r="Q40" s="735"/>
      <c r="AE40" s="12"/>
    </row>
    <row r="41" spans="1:31" ht="15.75">
      <c r="A41" s="167"/>
      <c r="B41" s="752"/>
      <c r="C41" s="746" t="str">
        <f t="shared" si="5"/>
        <v/>
      </c>
      <c r="D41" s="743" t="str">
        <f t="shared" si="8"/>
        <v/>
      </c>
      <c r="E41" s="744" t="str">
        <f t="shared" si="8"/>
        <v/>
      </c>
      <c r="F41" s="744" t="str">
        <f t="shared" si="8"/>
        <v/>
      </c>
      <c r="G41" s="744" t="str">
        <f t="shared" si="8"/>
        <v/>
      </c>
      <c r="H41" s="745" t="str">
        <f t="shared" si="8"/>
        <v/>
      </c>
      <c r="I41" s="735"/>
      <c r="J41" s="359"/>
      <c r="K41" s="746" t="str">
        <f t="shared" si="6"/>
        <v/>
      </c>
      <c r="L41" s="750" t="str">
        <f t="shared" si="7"/>
        <v/>
      </c>
      <c r="M41" s="441" t="str">
        <f t="shared" si="7"/>
        <v/>
      </c>
      <c r="N41" s="441" t="str">
        <f t="shared" si="7"/>
        <v/>
      </c>
      <c r="O41" s="441" t="str">
        <f t="shared" si="7"/>
        <v/>
      </c>
      <c r="P41" s="751" t="str">
        <f t="shared" si="7"/>
        <v/>
      </c>
      <c r="Q41" s="735"/>
      <c r="AE41" s="12"/>
    </row>
    <row r="42" spans="1:31" ht="15.75">
      <c r="A42" s="167"/>
      <c r="B42" s="752"/>
      <c r="C42" s="746" t="str">
        <f t="shared" si="5"/>
        <v/>
      </c>
      <c r="D42" s="743" t="str">
        <f t="shared" si="8"/>
        <v/>
      </c>
      <c r="E42" s="744" t="str">
        <f t="shared" si="8"/>
        <v/>
      </c>
      <c r="F42" s="744" t="str">
        <f t="shared" si="8"/>
        <v/>
      </c>
      <c r="G42" s="744" t="str">
        <f t="shared" si="8"/>
        <v/>
      </c>
      <c r="H42" s="745" t="str">
        <f t="shared" si="8"/>
        <v/>
      </c>
      <c r="I42" s="735"/>
      <c r="J42" s="359"/>
      <c r="K42" s="746" t="str">
        <f t="shared" si="6"/>
        <v/>
      </c>
      <c r="L42" s="750" t="str">
        <f t="shared" si="7"/>
        <v/>
      </c>
      <c r="M42" s="441" t="str">
        <f t="shared" si="7"/>
        <v/>
      </c>
      <c r="N42" s="441" t="str">
        <f t="shared" si="7"/>
        <v/>
      </c>
      <c r="O42" s="441" t="str">
        <f t="shared" si="7"/>
        <v/>
      </c>
      <c r="P42" s="751" t="str">
        <f t="shared" si="7"/>
        <v/>
      </c>
      <c r="Q42" s="735"/>
      <c r="AE42" s="12"/>
    </row>
    <row r="43" spans="1:31" ht="15.75">
      <c r="A43" s="167"/>
      <c r="B43" s="752"/>
      <c r="C43" s="746" t="str">
        <f t="shared" si="5"/>
        <v/>
      </c>
      <c r="D43" s="743" t="str">
        <f t="shared" si="8"/>
        <v/>
      </c>
      <c r="E43" s="744" t="str">
        <f t="shared" si="8"/>
        <v/>
      </c>
      <c r="F43" s="744" t="str">
        <f t="shared" si="8"/>
        <v/>
      </c>
      <c r="G43" s="744" t="str">
        <f t="shared" si="8"/>
        <v/>
      </c>
      <c r="H43" s="745" t="str">
        <f t="shared" si="8"/>
        <v/>
      </c>
      <c r="I43" s="735"/>
      <c r="J43" s="359"/>
      <c r="K43" s="746" t="str">
        <f t="shared" si="6"/>
        <v/>
      </c>
      <c r="L43" s="750" t="str">
        <f t="shared" si="7"/>
        <v/>
      </c>
      <c r="M43" s="441" t="str">
        <f t="shared" si="7"/>
        <v/>
      </c>
      <c r="N43" s="441" t="str">
        <f t="shared" si="7"/>
        <v/>
      </c>
      <c r="O43" s="441" t="str">
        <f t="shared" si="7"/>
        <v/>
      </c>
      <c r="P43" s="751" t="str">
        <f t="shared" si="7"/>
        <v/>
      </c>
      <c r="Q43" s="735"/>
      <c r="AE43" s="12"/>
    </row>
    <row r="44" spans="1:31" ht="15.75">
      <c r="A44" s="167"/>
      <c r="B44" s="752"/>
      <c r="C44" s="746" t="str">
        <f t="shared" si="5"/>
        <v/>
      </c>
      <c r="D44" s="743" t="str">
        <f t="shared" si="8"/>
        <v/>
      </c>
      <c r="E44" s="744" t="str">
        <f t="shared" si="8"/>
        <v/>
      </c>
      <c r="F44" s="744" t="str">
        <f t="shared" si="8"/>
        <v/>
      </c>
      <c r="G44" s="744" t="str">
        <f t="shared" si="8"/>
        <v/>
      </c>
      <c r="H44" s="745" t="str">
        <f t="shared" si="8"/>
        <v/>
      </c>
      <c r="I44" s="735"/>
      <c r="J44" s="359"/>
      <c r="K44" s="746" t="str">
        <f t="shared" si="6"/>
        <v/>
      </c>
      <c r="L44" s="750" t="str">
        <f t="shared" si="7"/>
        <v/>
      </c>
      <c r="M44" s="441" t="str">
        <f t="shared" si="7"/>
        <v/>
      </c>
      <c r="N44" s="441" t="str">
        <f t="shared" si="7"/>
        <v/>
      </c>
      <c r="O44" s="441" t="str">
        <f t="shared" si="7"/>
        <v/>
      </c>
      <c r="P44" s="751" t="str">
        <f t="shared" si="7"/>
        <v/>
      </c>
      <c r="Q44" s="735"/>
      <c r="AE44" s="12"/>
    </row>
    <row r="45" spans="1:31" ht="15.75">
      <c r="A45" s="167"/>
      <c r="B45" s="752"/>
      <c r="C45" s="746" t="str">
        <f t="shared" si="5"/>
        <v/>
      </c>
      <c r="D45" s="743" t="str">
        <f t="shared" si="8"/>
        <v/>
      </c>
      <c r="E45" s="744" t="str">
        <f t="shared" si="8"/>
        <v/>
      </c>
      <c r="F45" s="744" t="str">
        <f t="shared" si="8"/>
        <v/>
      </c>
      <c r="G45" s="744" t="str">
        <f t="shared" si="8"/>
        <v/>
      </c>
      <c r="H45" s="745" t="str">
        <f t="shared" si="8"/>
        <v/>
      </c>
      <c r="I45" s="735"/>
      <c r="J45" s="359"/>
      <c r="K45" s="746" t="str">
        <f t="shared" si="6"/>
        <v/>
      </c>
      <c r="L45" s="750" t="str">
        <f t="shared" si="7"/>
        <v/>
      </c>
      <c r="M45" s="441" t="str">
        <f t="shared" si="7"/>
        <v/>
      </c>
      <c r="N45" s="441" t="str">
        <f t="shared" si="7"/>
        <v/>
      </c>
      <c r="O45" s="441" t="str">
        <f t="shared" si="7"/>
        <v/>
      </c>
      <c r="P45" s="751" t="str">
        <f t="shared" si="7"/>
        <v/>
      </c>
      <c r="Q45" s="735"/>
      <c r="AE45" s="12"/>
    </row>
    <row r="46" spans="1:31" ht="15.75">
      <c r="A46" s="167"/>
      <c r="B46" s="752"/>
      <c r="C46" s="746" t="str">
        <f t="shared" si="5"/>
        <v/>
      </c>
      <c r="D46" s="743" t="str">
        <f t="shared" ref="D46:H52" si="9">IF($C46="","",$C46/D$12/1000)</f>
        <v/>
      </c>
      <c r="E46" s="744" t="str">
        <f t="shared" si="9"/>
        <v/>
      </c>
      <c r="F46" s="744" t="str">
        <f t="shared" si="9"/>
        <v/>
      </c>
      <c r="G46" s="744" t="str">
        <f t="shared" si="9"/>
        <v/>
      </c>
      <c r="H46" s="745" t="str">
        <f t="shared" si="9"/>
        <v/>
      </c>
      <c r="I46" s="735"/>
      <c r="J46" s="359"/>
      <c r="K46" s="746" t="str">
        <f t="shared" si="6"/>
        <v/>
      </c>
      <c r="L46" s="750" t="str">
        <f t="shared" si="7"/>
        <v/>
      </c>
      <c r="M46" s="441" t="str">
        <f t="shared" si="7"/>
        <v/>
      </c>
      <c r="N46" s="441" t="str">
        <f t="shared" si="7"/>
        <v/>
      </c>
      <c r="O46" s="441" t="str">
        <f t="shared" si="7"/>
        <v/>
      </c>
      <c r="P46" s="751" t="str">
        <f t="shared" si="7"/>
        <v/>
      </c>
      <c r="Q46" s="735"/>
      <c r="AE46" s="12"/>
    </row>
    <row r="47" spans="1:31" ht="15.75">
      <c r="A47" s="167"/>
      <c r="B47" s="752"/>
      <c r="C47" s="746" t="str">
        <f t="shared" si="5"/>
        <v/>
      </c>
      <c r="D47" s="743" t="str">
        <f t="shared" si="9"/>
        <v/>
      </c>
      <c r="E47" s="744" t="str">
        <f t="shared" si="9"/>
        <v/>
      </c>
      <c r="F47" s="744" t="str">
        <f t="shared" si="9"/>
        <v/>
      </c>
      <c r="G47" s="744" t="str">
        <f t="shared" si="9"/>
        <v/>
      </c>
      <c r="H47" s="745" t="str">
        <f t="shared" si="9"/>
        <v/>
      </c>
      <c r="I47" s="735"/>
      <c r="J47" s="359"/>
      <c r="K47" s="746" t="str">
        <f t="shared" si="6"/>
        <v/>
      </c>
      <c r="L47" s="750" t="str">
        <f t="shared" si="7"/>
        <v/>
      </c>
      <c r="M47" s="441" t="str">
        <f t="shared" si="7"/>
        <v/>
      </c>
      <c r="N47" s="441" t="str">
        <f t="shared" si="7"/>
        <v/>
      </c>
      <c r="O47" s="441" t="str">
        <f t="shared" si="7"/>
        <v/>
      </c>
      <c r="P47" s="751" t="str">
        <f t="shared" si="7"/>
        <v/>
      </c>
      <c r="Q47" s="735"/>
      <c r="AE47" s="12"/>
    </row>
    <row r="48" spans="1:31" ht="15.75">
      <c r="A48" s="167"/>
      <c r="B48" s="752"/>
      <c r="C48" s="746" t="str">
        <f t="shared" si="5"/>
        <v/>
      </c>
      <c r="D48" s="743" t="str">
        <f t="shared" si="9"/>
        <v/>
      </c>
      <c r="E48" s="744" t="str">
        <f t="shared" si="9"/>
        <v/>
      </c>
      <c r="F48" s="744" t="str">
        <f t="shared" si="9"/>
        <v/>
      </c>
      <c r="G48" s="744" t="str">
        <f t="shared" si="9"/>
        <v/>
      </c>
      <c r="H48" s="745" t="str">
        <f t="shared" si="9"/>
        <v/>
      </c>
      <c r="I48" s="735"/>
      <c r="J48" s="359"/>
      <c r="K48" s="746" t="str">
        <f t="shared" si="6"/>
        <v/>
      </c>
      <c r="L48" s="750" t="str">
        <f t="shared" si="7"/>
        <v/>
      </c>
      <c r="M48" s="441" t="str">
        <f t="shared" si="7"/>
        <v/>
      </c>
      <c r="N48" s="441" t="str">
        <f t="shared" si="7"/>
        <v/>
      </c>
      <c r="O48" s="441" t="str">
        <f t="shared" si="7"/>
        <v/>
      </c>
      <c r="P48" s="751" t="str">
        <f t="shared" si="7"/>
        <v/>
      </c>
      <c r="Q48" s="735"/>
      <c r="AE48" s="12"/>
    </row>
    <row r="49" spans="1:32" ht="15.75">
      <c r="A49" s="167"/>
      <c r="B49" s="752"/>
      <c r="C49" s="746" t="str">
        <f t="shared" si="5"/>
        <v/>
      </c>
      <c r="D49" s="743" t="str">
        <f t="shared" si="9"/>
        <v/>
      </c>
      <c r="E49" s="744" t="str">
        <f t="shared" si="9"/>
        <v/>
      </c>
      <c r="F49" s="744" t="str">
        <f t="shared" si="9"/>
        <v/>
      </c>
      <c r="G49" s="744" t="str">
        <f t="shared" si="9"/>
        <v/>
      </c>
      <c r="H49" s="745" t="str">
        <f t="shared" si="9"/>
        <v/>
      </c>
      <c r="I49" s="735"/>
      <c r="J49" s="359"/>
      <c r="K49" s="746" t="str">
        <f t="shared" si="6"/>
        <v/>
      </c>
      <c r="L49" s="750" t="str">
        <f t="shared" si="7"/>
        <v/>
      </c>
      <c r="M49" s="441" t="str">
        <f t="shared" si="7"/>
        <v/>
      </c>
      <c r="N49" s="441" t="str">
        <f t="shared" si="7"/>
        <v/>
      </c>
      <c r="O49" s="441" t="str">
        <f t="shared" si="7"/>
        <v/>
      </c>
      <c r="P49" s="751" t="str">
        <f t="shared" si="7"/>
        <v/>
      </c>
      <c r="Q49" s="735"/>
      <c r="AE49" s="12"/>
    </row>
    <row r="50" spans="1:32" ht="15.75">
      <c r="A50" s="167"/>
      <c r="B50" s="752"/>
      <c r="C50" s="746" t="str">
        <f t="shared" si="5"/>
        <v/>
      </c>
      <c r="D50" s="743" t="str">
        <f t="shared" si="9"/>
        <v/>
      </c>
      <c r="E50" s="744" t="str">
        <f t="shared" si="9"/>
        <v/>
      </c>
      <c r="F50" s="744" t="str">
        <f t="shared" si="9"/>
        <v/>
      </c>
      <c r="G50" s="744" t="str">
        <f t="shared" si="9"/>
        <v/>
      </c>
      <c r="H50" s="745" t="str">
        <f t="shared" si="9"/>
        <v/>
      </c>
      <c r="I50" s="735"/>
      <c r="J50" s="359"/>
      <c r="K50" s="746" t="str">
        <f t="shared" si="6"/>
        <v/>
      </c>
      <c r="L50" s="750" t="str">
        <f t="shared" si="7"/>
        <v/>
      </c>
      <c r="M50" s="441" t="str">
        <f t="shared" si="7"/>
        <v/>
      </c>
      <c r="N50" s="441" t="str">
        <f t="shared" si="7"/>
        <v/>
      </c>
      <c r="O50" s="441" t="str">
        <f t="shared" si="7"/>
        <v/>
      </c>
      <c r="P50" s="751" t="str">
        <f t="shared" si="7"/>
        <v/>
      </c>
      <c r="Q50" s="735"/>
      <c r="AE50" s="12"/>
    </row>
    <row r="51" spans="1:32" ht="15.75">
      <c r="A51" s="167"/>
      <c r="B51" s="752"/>
      <c r="C51" s="746" t="str">
        <f t="shared" si="5"/>
        <v/>
      </c>
      <c r="D51" s="743" t="str">
        <f t="shared" si="9"/>
        <v/>
      </c>
      <c r="E51" s="744" t="str">
        <f t="shared" si="9"/>
        <v/>
      </c>
      <c r="F51" s="744" t="str">
        <f t="shared" si="9"/>
        <v/>
      </c>
      <c r="G51" s="744" t="str">
        <f t="shared" si="9"/>
        <v/>
      </c>
      <c r="H51" s="745" t="str">
        <f t="shared" si="9"/>
        <v/>
      </c>
      <c r="I51" s="735"/>
      <c r="J51" s="359"/>
      <c r="K51" s="746" t="str">
        <f t="shared" si="6"/>
        <v/>
      </c>
      <c r="L51" s="750" t="str">
        <f t="shared" si="7"/>
        <v/>
      </c>
      <c r="M51" s="441" t="str">
        <f t="shared" si="7"/>
        <v/>
      </c>
      <c r="N51" s="441" t="str">
        <f t="shared" si="7"/>
        <v/>
      </c>
      <c r="O51" s="441" t="str">
        <f t="shared" si="7"/>
        <v/>
      </c>
      <c r="P51" s="751" t="str">
        <f t="shared" si="7"/>
        <v/>
      </c>
      <c r="Q51" s="735"/>
      <c r="AE51" s="12"/>
    </row>
    <row r="52" spans="1:32" ht="16.5" thickBot="1">
      <c r="A52" s="167"/>
      <c r="B52" s="752"/>
      <c r="C52" s="746" t="str">
        <f t="shared" si="5"/>
        <v/>
      </c>
      <c r="D52" s="753" t="str">
        <f t="shared" si="9"/>
        <v/>
      </c>
      <c r="E52" s="754" t="str">
        <f t="shared" si="9"/>
        <v/>
      </c>
      <c r="F52" s="754" t="str">
        <f t="shared" si="9"/>
        <v/>
      </c>
      <c r="G52" s="754" t="str">
        <f t="shared" si="9"/>
        <v/>
      </c>
      <c r="H52" s="755" t="str">
        <f t="shared" si="9"/>
        <v/>
      </c>
      <c r="I52" s="735"/>
      <c r="J52" s="359"/>
      <c r="K52" s="746" t="str">
        <f t="shared" si="6"/>
        <v/>
      </c>
      <c r="L52" s="756" t="str">
        <f t="shared" si="7"/>
        <v/>
      </c>
      <c r="M52" s="757" t="str">
        <f t="shared" si="7"/>
        <v/>
      </c>
      <c r="N52" s="757" t="str">
        <f t="shared" si="7"/>
        <v/>
      </c>
      <c r="O52" s="757" t="str">
        <f t="shared" si="7"/>
        <v/>
      </c>
      <c r="P52" s="758" t="str">
        <f t="shared" si="7"/>
        <v/>
      </c>
      <c r="Q52" s="735"/>
      <c r="AE52" s="12"/>
      <c r="AF52" s="12"/>
    </row>
    <row r="53" spans="1:32" ht="15.75">
      <c r="A53" s="167"/>
      <c r="B53" s="167"/>
      <c r="C53" s="167"/>
      <c r="D53" s="167"/>
      <c r="E53" s="167"/>
      <c r="F53" s="167"/>
      <c r="G53" s="167"/>
      <c r="H53" s="167"/>
      <c r="K53" s="174"/>
      <c r="L53" s="604"/>
      <c r="M53" s="604"/>
      <c r="N53" s="604"/>
      <c r="O53" s="604"/>
      <c r="P53" s="604"/>
      <c r="AE53" s="12"/>
      <c r="AF53" s="12"/>
    </row>
    <row r="54" spans="1:32" ht="15.75">
      <c r="A54" s="167"/>
      <c r="B54" s="167"/>
      <c r="C54" s="167"/>
      <c r="D54" s="167"/>
      <c r="E54" s="167"/>
      <c r="F54" s="167"/>
      <c r="G54" s="167"/>
      <c r="H54" s="167"/>
      <c r="K54" s="174"/>
      <c r="L54" s="604"/>
      <c r="M54" s="604"/>
      <c r="N54" s="604"/>
      <c r="O54" s="604"/>
      <c r="P54" s="604"/>
      <c r="AE54" s="12"/>
      <c r="AF54" s="12"/>
    </row>
    <row r="55" spans="1:32" ht="15.75">
      <c r="A55" s="167"/>
      <c r="B55" s="167"/>
      <c r="C55" s="167"/>
      <c r="D55" s="167"/>
      <c r="E55" s="167"/>
      <c r="F55" s="167"/>
      <c r="G55" s="167"/>
      <c r="H55" s="167"/>
      <c r="K55" s="174"/>
      <c r="L55" s="604"/>
      <c r="M55" s="604"/>
      <c r="N55" s="604"/>
      <c r="O55" s="604"/>
      <c r="P55" s="604"/>
      <c r="AE55" s="12"/>
      <c r="AF55" s="12"/>
    </row>
    <row r="56" spans="1:32" ht="15.75">
      <c r="A56" s="167"/>
      <c r="B56" s="167"/>
      <c r="C56" s="167"/>
      <c r="D56" s="167"/>
      <c r="E56" s="167"/>
      <c r="F56" s="167"/>
      <c r="G56" s="167"/>
      <c r="H56" s="167"/>
      <c r="K56" s="174"/>
      <c r="L56" s="604"/>
      <c r="M56" s="604"/>
      <c r="N56" s="604"/>
      <c r="O56" s="604"/>
      <c r="P56" s="604"/>
      <c r="AE56" s="12"/>
      <c r="AF56" s="12"/>
    </row>
    <row r="57" spans="1:32" ht="15.75">
      <c r="A57" s="167"/>
      <c r="B57" s="167"/>
      <c r="C57" s="167"/>
      <c r="D57" s="167"/>
      <c r="E57" s="167"/>
      <c r="F57" s="167"/>
      <c r="G57" s="167"/>
      <c r="H57" s="167"/>
      <c r="K57" s="174"/>
      <c r="L57" s="604"/>
      <c r="M57" s="604"/>
      <c r="N57" s="604"/>
      <c r="O57" s="604"/>
      <c r="P57" s="604"/>
      <c r="AE57" s="12"/>
      <c r="AF57" s="12"/>
    </row>
    <row r="58" spans="1:32" ht="15.75">
      <c r="A58" s="167"/>
      <c r="B58" s="167"/>
      <c r="C58" s="167"/>
      <c r="D58" s="167"/>
      <c r="E58" s="167"/>
      <c r="F58" s="167"/>
      <c r="G58" s="167"/>
      <c r="H58" s="167"/>
      <c r="K58" s="174"/>
      <c r="L58" s="604"/>
      <c r="M58" s="604"/>
      <c r="N58" s="604"/>
      <c r="O58" s="604"/>
      <c r="P58" s="604"/>
      <c r="AE58" s="12"/>
      <c r="AF58" s="12"/>
    </row>
    <row r="59" spans="1:32" ht="15.75">
      <c r="A59" s="167"/>
      <c r="B59" s="167"/>
      <c r="C59" s="167"/>
      <c r="D59" s="167"/>
      <c r="E59" s="167"/>
      <c r="F59" s="167"/>
      <c r="G59" s="167"/>
      <c r="H59" s="167"/>
      <c r="K59" s="174"/>
      <c r="L59" s="604"/>
      <c r="M59" s="604"/>
      <c r="N59" s="604"/>
      <c r="O59" s="604"/>
      <c r="P59" s="604"/>
      <c r="AE59" s="12"/>
      <c r="AF59" s="12"/>
    </row>
    <row r="60" spans="1:32" ht="15.75">
      <c r="A60" s="167"/>
      <c r="B60" s="167"/>
      <c r="C60" s="167"/>
      <c r="D60" s="167"/>
      <c r="E60" s="167"/>
      <c r="F60" s="167"/>
      <c r="G60" s="167"/>
      <c r="H60" s="167"/>
      <c r="K60" s="174"/>
      <c r="L60" s="604"/>
      <c r="M60" s="604"/>
      <c r="N60" s="604"/>
      <c r="O60" s="604"/>
      <c r="P60" s="604"/>
      <c r="AE60" s="12"/>
      <c r="AF60" s="12"/>
    </row>
    <row r="61" spans="1:32" ht="15.75">
      <c r="A61" s="167"/>
      <c r="B61" s="167"/>
      <c r="C61" s="167"/>
      <c r="D61" s="167"/>
      <c r="E61" s="167"/>
      <c r="F61" s="167"/>
      <c r="G61" s="167"/>
      <c r="H61" s="167"/>
      <c r="K61" s="174"/>
      <c r="L61" s="604"/>
      <c r="M61" s="604"/>
      <c r="N61" s="604"/>
      <c r="O61" s="604"/>
      <c r="P61" s="604"/>
      <c r="AE61" s="12"/>
      <c r="AF61" s="12"/>
    </row>
    <row r="62" spans="1:32" ht="15.75">
      <c r="A62" s="167"/>
      <c r="B62" s="167"/>
      <c r="C62" s="167"/>
      <c r="D62" s="167"/>
      <c r="E62" s="167"/>
      <c r="F62" s="167"/>
      <c r="G62" s="167"/>
      <c r="H62" s="167"/>
      <c r="K62" s="174"/>
      <c r="L62" s="604"/>
      <c r="M62" s="604"/>
      <c r="N62" s="604"/>
      <c r="O62" s="604"/>
      <c r="P62" s="604"/>
      <c r="AE62" s="12"/>
      <c r="AF62" s="12"/>
    </row>
    <row r="63" spans="1:32" ht="15.75">
      <c r="A63" s="167"/>
      <c r="B63" s="167"/>
      <c r="C63" s="167"/>
      <c r="D63" s="167"/>
      <c r="E63" s="167"/>
      <c r="F63" s="167"/>
      <c r="G63" s="167"/>
      <c r="H63" s="167"/>
      <c r="K63" s="174"/>
      <c r="L63" s="604"/>
      <c r="M63" s="604"/>
      <c r="N63" s="604"/>
      <c r="O63" s="604"/>
      <c r="P63" s="604"/>
      <c r="AE63" s="12"/>
      <c r="AF63" s="12"/>
    </row>
    <row r="64" spans="1:32" ht="15.75">
      <c r="A64" s="167"/>
      <c r="B64" s="167"/>
      <c r="C64" s="167"/>
      <c r="D64" s="167"/>
      <c r="E64" s="167"/>
      <c r="F64" s="167"/>
      <c r="G64" s="167"/>
      <c r="H64" s="167"/>
      <c r="K64" s="174"/>
      <c r="L64" s="604"/>
      <c r="M64" s="604"/>
      <c r="N64" s="604"/>
      <c r="O64" s="604"/>
      <c r="P64" s="604"/>
      <c r="AE64" s="12"/>
      <c r="AF64" s="12"/>
    </row>
    <row r="65" spans="1:32" ht="15.75">
      <c r="A65" s="167"/>
      <c r="B65" s="167"/>
      <c r="C65" s="167"/>
      <c r="D65" s="167"/>
      <c r="E65" s="167"/>
      <c r="F65" s="167"/>
      <c r="G65" s="167"/>
      <c r="H65" s="167"/>
      <c r="K65" s="174"/>
      <c r="L65" s="604"/>
      <c r="M65" s="604"/>
      <c r="N65" s="604"/>
      <c r="O65" s="604"/>
      <c r="P65" s="604"/>
      <c r="AE65" s="12"/>
      <c r="AF65" s="12"/>
    </row>
    <row r="66" spans="1:32" ht="15.75">
      <c r="A66" s="167"/>
      <c r="B66" s="167"/>
      <c r="C66" s="167"/>
      <c r="D66" s="167"/>
      <c r="E66" s="167"/>
      <c r="F66" s="167"/>
      <c r="G66" s="167"/>
      <c r="H66" s="167"/>
      <c r="K66" s="174"/>
      <c r="L66" s="604"/>
      <c r="M66" s="604"/>
      <c r="N66" s="604"/>
      <c r="O66" s="604"/>
      <c r="P66" s="604"/>
      <c r="AE66" s="12"/>
      <c r="AF66" s="12"/>
    </row>
    <row r="67" spans="1:32" ht="15.75">
      <c r="A67" s="167"/>
      <c r="B67" s="167"/>
      <c r="C67" s="167"/>
      <c r="D67" s="167"/>
      <c r="E67" s="167"/>
      <c r="F67" s="167"/>
      <c r="G67" s="167"/>
      <c r="H67" s="167"/>
      <c r="K67" s="174"/>
      <c r="L67" s="604"/>
      <c r="M67" s="604"/>
      <c r="N67" s="604"/>
      <c r="O67" s="604"/>
      <c r="P67" s="604"/>
      <c r="AE67" s="12"/>
      <c r="AF67" s="12"/>
    </row>
    <row r="68" spans="1:32" ht="15.75">
      <c r="A68" s="167"/>
      <c r="B68" s="167"/>
      <c r="C68" s="167"/>
      <c r="D68" s="167"/>
      <c r="E68" s="167"/>
      <c r="F68" s="167"/>
      <c r="G68" s="167"/>
      <c r="H68" s="167"/>
      <c r="K68" s="174"/>
      <c r="L68" s="604"/>
      <c r="M68" s="604"/>
      <c r="N68" s="604"/>
      <c r="O68" s="604"/>
      <c r="P68" s="604"/>
      <c r="AE68" s="12"/>
      <c r="AF68" s="12"/>
    </row>
    <row r="69" spans="1:32" ht="15.75">
      <c r="A69" s="167"/>
      <c r="B69" s="167"/>
      <c r="C69" s="167"/>
      <c r="D69" s="167"/>
      <c r="E69" s="167"/>
      <c r="F69" s="167"/>
      <c r="G69" s="167"/>
      <c r="H69" s="167"/>
      <c r="K69" s="174"/>
      <c r="L69" s="604"/>
      <c r="M69" s="604"/>
      <c r="N69" s="604"/>
      <c r="O69" s="604"/>
      <c r="P69" s="604"/>
      <c r="AE69" s="12"/>
      <c r="AF69" s="12"/>
    </row>
    <row r="70" spans="1:32" ht="15.75">
      <c r="A70" s="167"/>
      <c r="B70" s="167"/>
      <c r="C70" s="167"/>
      <c r="D70" s="167"/>
      <c r="E70" s="167"/>
      <c r="F70" s="167"/>
      <c r="G70" s="167"/>
      <c r="H70" s="167"/>
      <c r="K70" s="174"/>
      <c r="L70" s="604"/>
      <c r="M70" s="604"/>
      <c r="N70" s="604"/>
      <c r="O70" s="604"/>
      <c r="P70" s="604"/>
      <c r="AE70" s="12"/>
      <c r="AF70" s="12"/>
    </row>
    <row r="71" spans="1:32" ht="15.75">
      <c r="A71" s="167"/>
      <c r="B71" s="167"/>
      <c r="C71" s="167"/>
      <c r="D71" s="167"/>
      <c r="E71" s="167"/>
      <c r="F71" s="167"/>
      <c r="G71" s="167"/>
      <c r="H71" s="167"/>
      <c r="K71" s="174"/>
      <c r="L71" s="604"/>
      <c r="M71" s="604"/>
      <c r="N71" s="604"/>
      <c r="O71" s="604"/>
      <c r="P71" s="604"/>
      <c r="AE71" s="12"/>
      <c r="AF71" s="12"/>
    </row>
    <row r="72" spans="1:32" ht="15.75">
      <c r="A72" s="167"/>
      <c r="B72" s="167"/>
      <c r="C72" s="167"/>
      <c r="D72" s="167"/>
      <c r="E72" s="167"/>
      <c r="F72" s="167"/>
      <c r="G72" s="167"/>
      <c r="H72" s="167"/>
      <c r="K72" s="174"/>
      <c r="L72" s="604"/>
      <c r="M72" s="604"/>
      <c r="N72" s="604"/>
      <c r="O72" s="604"/>
      <c r="P72" s="604"/>
      <c r="AE72" s="12"/>
      <c r="AF72" s="12"/>
    </row>
    <row r="73" spans="1:32" ht="15.75">
      <c r="A73" s="167"/>
      <c r="B73" s="167"/>
      <c r="C73" s="167"/>
      <c r="D73" s="167"/>
      <c r="E73" s="167"/>
      <c r="F73" s="167"/>
      <c r="G73" s="167"/>
      <c r="H73" s="167"/>
      <c r="K73" s="174"/>
      <c r="L73" s="604"/>
      <c r="M73" s="604"/>
      <c r="N73" s="604"/>
      <c r="O73" s="604"/>
      <c r="P73" s="604"/>
      <c r="AE73" s="12"/>
      <c r="AF73" s="12"/>
    </row>
    <row r="74" spans="1:32" ht="15.75">
      <c r="A74" s="167"/>
      <c r="B74" s="167"/>
      <c r="C74" s="167"/>
      <c r="D74" s="167"/>
      <c r="E74" s="167"/>
      <c r="F74" s="167"/>
      <c r="G74" s="167"/>
      <c r="H74" s="167"/>
      <c r="K74" s="174"/>
      <c r="L74" s="604"/>
      <c r="M74" s="604"/>
      <c r="N74" s="604"/>
      <c r="O74" s="604"/>
      <c r="P74" s="604"/>
      <c r="AE74" s="12"/>
      <c r="AF74" s="12"/>
    </row>
    <row r="75" spans="1:32">
      <c r="A75" s="167"/>
      <c r="B75" s="167"/>
      <c r="C75" s="167"/>
      <c r="D75" s="167"/>
      <c r="E75" s="167"/>
      <c r="F75" s="167"/>
      <c r="G75" s="167"/>
      <c r="H75" s="167"/>
      <c r="K75" s="174"/>
      <c r="L75" s="604"/>
      <c r="M75" s="604"/>
      <c r="N75" s="604"/>
      <c r="O75" s="604"/>
      <c r="P75" s="604"/>
    </row>
    <row r="76" spans="1:32">
      <c r="A76" s="167"/>
      <c r="B76" s="167"/>
      <c r="C76" s="167"/>
      <c r="D76" s="167"/>
      <c r="E76" s="167"/>
      <c r="F76" s="167"/>
      <c r="G76" s="167"/>
      <c r="H76" s="167"/>
      <c r="K76" s="174"/>
      <c r="L76" s="604"/>
      <c r="M76" s="604"/>
      <c r="N76" s="604"/>
      <c r="O76" s="604"/>
      <c r="P76" s="604"/>
    </row>
    <row r="77" spans="1:32">
      <c r="A77" s="167"/>
      <c r="B77" s="167"/>
      <c r="C77" s="167"/>
      <c r="D77" s="167"/>
      <c r="E77" s="167"/>
      <c r="F77" s="167"/>
      <c r="G77" s="167"/>
      <c r="H77" s="167"/>
      <c r="K77" s="174"/>
      <c r="L77" s="604"/>
      <c r="M77" s="604"/>
      <c r="N77" s="604"/>
      <c r="O77" s="604"/>
      <c r="P77" s="604"/>
    </row>
    <row r="78" spans="1:32">
      <c r="A78" s="167"/>
      <c r="B78" s="167"/>
      <c r="C78" s="167"/>
      <c r="D78" s="167"/>
      <c r="E78" s="167"/>
      <c r="F78" s="167"/>
      <c r="G78" s="167"/>
      <c r="H78" s="167"/>
      <c r="K78" s="174"/>
      <c r="L78" s="604"/>
      <c r="M78" s="604"/>
      <c r="N78" s="604"/>
      <c r="O78" s="604"/>
      <c r="P78" s="604"/>
    </row>
    <row r="79" spans="1:32">
      <c r="A79" s="167"/>
      <c r="B79" s="167"/>
      <c r="C79" s="167"/>
      <c r="D79" s="167"/>
      <c r="E79" s="167"/>
      <c r="F79" s="167"/>
      <c r="G79" s="167"/>
      <c r="H79" s="167"/>
      <c r="K79" s="174"/>
      <c r="L79" s="604"/>
      <c r="M79" s="604"/>
      <c r="N79" s="604"/>
      <c r="O79" s="604"/>
      <c r="P79" s="604"/>
    </row>
    <row r="80" spans="1:32">
      <c r="A80" s="167"/>
      <c r="B80" s="167"/>
      <c r="C80" s="167"/>
      <c r="D80" s="167"/>
      <c r="E80" s="167"/>
      <c r="F80" s="167"/>
      <c r="G80" s="167"/>
      <c r="H80" s="167"/>
      <c r="K80" s="174"/>
      <c r="L80" s="604"/>
      <c r="M80" s="604"/>
      <c r="N80" s="604"/>
      <c r="O80" s="604"/>
      <c r="P80" s="604"/>
    </row>
    <row r="81" spans="1:16">
      <c r="A81" s="167"/>
      <c r="B81" s="167"/>
      <c r="C81" s="167"/>
      <c r="D81" s="167"/>
      <c r="E81" s="167"/>
      <c r="F81" s="167"/>
      <c r="G81" s="167"/>
      <c r="H81" s="167"/>
      <c r="K81" s="174"/>
      <c r="L81" s="604"/>
      <c r="M81" s="604"/>
      <c r="N81" s="604"/>
      <c r="O81" s="604"/>
      <c r="P81" s="604"/>
    </row>
    <row r="82" spans="1:16">
      <c r="A82" s="167"/>
      <c r="B82" s="167"/>
      <c r="C82" s="167"/>
      <c r="D82" s="167"/>
      <c r="E82" s="167"/>
      <c r="F82" s="167"/>
      <c r="G82" s="167"/>
      <c r="H82" s="167"/>
      <c r="K82" s="174"/>
      <c r="L82" s="604"/>
      <c r="M82" s="604"/>
      <c r="N82" s="604"/>
      <c r="O82" s="604"/>
      <c r="P82" s="604"/>
    </row>
    <row r="83" spans="1:16">
      <c r="A83" s="167"/>
      <c r="B83" s="167"/>
      <c r="C83" s="167"/>
      <c r="D83" s="167"/>
      <c r="E83" s="167"/>
      <c r="F83" s="167"/>
      <c r="G83" s="167"/>
      <c r="H83" s="167"/>
      <c r="K83" s="174"/>
      <c r="L83" s="604"/>
      <c r="M83" s="604"/>
      <c r="N83" s="604"/>
      <c r="O83" s="604"/>
      <c r="P83" s="604"/>
    </row>
    <row r="84" spans="1:16">
      <c r="A84" s="167"/>
      <c r="B84" s="167"/>
      <c r="C84" s="167"/>
      <c r="D84" s="167"/>
      <c r="E84" s="167"/>
      <c r="F84" s="167"/>
      <c r="G84" s="167"/>
      <c r="H84" s="167"/>
      <c r="K84" s="174"/>
      <c r="L84" s="604"/>
      <c r="M84" s="604"/>
      <c r="N84" s="604"/>
      <c r="O84" s="604"/>
      <c r="P84" s="604"/>
    </row>
    <row r="85" spans="1:16">
      <c r="A85" s="167"/>
      <c r="B85" s="167"/>
      <c r="C85" s="167"/>
      <c r="D85" s="167"/>
      <c r="E85" s="167"/>
      <c r="F85" s="167"/>
      <c r="G85" s="167"/>
      <c r="H85" s="167"/>
      <c r="K85" s="174"/>
      <c r="L85" s="604"/>
      <c r="M85" s="604"/>
      <c r="N85" s="604"/>
      <c r="O85" s="604"/>
      <c r="P85" s="604"/>
    </row>
    <row r="86" spans="1:16">
      <c r="A86" s="167"/>
      <c r="B86" s="167"/>
      <c r="C86" s="167"/>
      <c r="D86" s="167"/>
      <c r="E86" s="167"/>
      <c r="F86" s="167"/>
      <c r="G86" s="167"/>
      <c r="H86" s="167"/>
      <c r="K86" s="174"/>
      <c r="L86" s="604"/>
      <c r="M86" s="604"/>
      <c r="N86" s="604"/>
      <c r="O86" s="604"/>
      <c r="P86" s="604"/>
    </row>
    <row r="87" spans="1:16">
      <c r="A87" s="167"/>
      <c r="B87" s="167"/>
      <c r="C87" s="167"/>
      <c r="D87" s="167"/>
      <c r="E87" s="167"/>
      <c r="F87" s="167"/>
      <c r="G87" s="167"/>
      <c r="H87" s="167"/>
      <c r="K87" s="174"/>
      <c r="L87" s="604"/>
      <c r="M87" s="604"/>
      <c r="N87" s="604"/>
      <c r="O87" s="604"/>
      <c r="P87" s="604"/>
    </row>
    <row r="88" spans="1:16">
      <c r="A88" s="167"/>
      <c r="B88" s="167"/>
      <c r="C88" s="167"/>
      <c r="D88" s="167"/>
      <c r="E88" s="167"/>
      <c r="F88" s="167"/>
      <c r="G88" s="167"/>
      <c r="H88" s="167"/>
      <c r="K88" s="174"/>
      <c r="L88" s="604"/>
      <c r="M88" s="604"/>
      <c r="N88" s="604"/>
      <c r="O88" s="604"/>
      <c r="P88" s="604"/>
    </row>
    <row r="89" spans="1:16">
      <c r="A89" s="167"/>
      <c r="B89" s="167"/>
      <c r="C89" s="167"/>
      <c r="D89" s="167"/>
      <c r="E89" s="167"/>
      <c r="F89" s="167"/>
      <c r="G89" s="167"/>
      <c r="H89" s="167"/>
      <c r="K89" s="174"/>
      <c r="L89" s="604"/>
      <c r="M89" s="604"/>
      <c r="N89" s="604"/>
      <c r="O89" s="604"/>
      <c r="P89" s="604"/>
    </row>
    <row r="90" spans="1:16">
      <c r="A90" s="167"/>
      <c r="B90" s="167"/>
      <c r="C90" s="167"/>
      <c r="D90" s="167"/>
      <c r="E90" s="167"/>
      <c r="F90" s="167"/>
      <c r="G90" s="167"/>
      <c r="H90" s="167"/>
      <c r="K90" s="174"/>
      <c r="L90" s="604"/>
      <c r="M90" s="604"/>
      <c r="N90" s="604"/>
      <c r="O90" s="604"/>
      <c r="P90" s="604"/>
    </row>
    <row r="91" spans="1:16">
      <c r="A91" s="167"/>
      <c r="B91" s="167"/>
      <c r="C91" s="167"/>
      <c r="D91" s="167"/>
      <c r="E91" s="167"/>
      <c r="F91" s="167"/>
      <c r="G91" s="167"/>
      <c r="H91" s="167"/>
      <c r="K91" s="174"/>
      <c r="L91" s="604"/>
      <c r="M91" s="604"/>
      <c r="N91" s="604"/>
      <c r="O91" s="604"/>
      <c r="P91" s="604"/>
    </row>
    <row r="92" spans="1:16">
      <c r="A92" s="167"/>
      <c r="B92" s="167"/>
      <c r="C92" s="167"/>
      <c r="D92" s="167"/>
      <c r="E92" s="167"/>
      <c r="F92" s="167"/>
      <c r="G92" s="167"/>
      <c r="H92" s="167"/>
      <c r="K92" s="174"/>
      <c r="L92" s="604"/>
      <c r="M92" s="604"/>
      <c r="N92" s="604"/>
      <c r="O92" s="604"/>
      <c r="P92" s="604"/>
    </row>
    <row r="93" spans="1:16">
      <c r="A93" s="167"/>
      <c r="B93" s="167"/>
      <c r="C93" s="167"/>
      <c r="D93" s="167"/>
      <c r="E93" s="167"/>
      <c r="F93" s="167"/>
      <c r="G93" s="167"/>
      <c r="H93" s="167"/>
      <c r="K93" s="174"/>
      <c r="L93" s="604"/>
      <c r="M93" s="604"/>
      <c r="N93" s="604"/>
      <c r="O93" s="604"/>
      <c r="P93" s="604"/>
    </row>
    <row r="94" spans="1:16">
      <c r="A94" s="167"/>
      <c r="B94" s="167"/>
      <c r="C94" s="167"/>
      <c r="D94" s="167"/>
      <c r="E94" s="167"/>
      <c r="F94" s="167"/>
      <c r="G94" s="167"/>
      <c r="H94" s="167"/>
      <c r="K94" s="174"/>
      <c r="L94" s="604"/>
      <c r="M94" s="604"/>
      <c r="N94" s="604"/>
      <c r="O94" s="604"/>
      <c r="P94" s="604"/>
    </row>
    <row r="95" spans="1:16">
      <c r="A95" s="167"/>
      <c r="B95" s="167"/>
      <c r="C95" s="167"/>
      <c r="D95" s="167"/>
      <c r="E95" s="167"/>
      <c r="F95" s="167"/>
      <c r="G95" s="167"/>
      <c r="H95" s="167"/>
      <c r="K95" s="174"/>
      <c r="L95" s="604"/>
      <c r="M95" s="604"/>
      <c r="N95" s="604"/>
      <c r="O95" s="604"/>
      <c r="P95" s="604"/>
    </row>
    <row r="96" spans="1:16">
      <c r="A96" s="167"/>
      <c r="B96" s="167"/>
      <c r="C96" s="167"/>
      <c r="D96" s="167"/>
      <c r="E96" s="167"/>
      <c r="F96" s="167"/>
      <c r="G96" s="167"/>
      <c r="H96" s="167"/>
      <c r="K96" s="174"/>
      <c r="L96" s="604"/>
      <c r="M96" s="604"/>
      <c r="N96" s="604"/>
      <c r="O96" s="604"/>
      <c r="P96" s="604"/>
    </row>
    <row r="97" spans="1:16">
      <c r="A97" s="167"/>
      <c r="B97" s="167"/>
      <c r="C97" s="167"/>
      <c r="D97" s="167"/>
      <c r="E97" s="167"/>
      <c r="F97" s="167"/>
      <c r="G97" s="167"/>
      <c r="H97" s="167"/>
      <c r="K97" s="174"/>
      <c r="L97" s="604"/>
      <c r="M97" s="604"/>
      <c r="N97" s="604"/>
      <c r="O97" s="604"/>
      <c r="P97" s="604"/>
    </row>
    <row r="98" spans="1:16">
      <c r="A98" s="167"/>
      <c r="B98" s="167"/>
      <c r="C98" s="167"/>
      <c r="D98" s="167"/>
      <c r="E98" s="167"/>
      <c r="F98" s="167"/>
      <c r="G98" s="167"/>
      <c r="H98" s="167"/>
      <c r="K98" s="174"/>
      <c r="L98" s="604"/>
      <c r="M98" s="604"/>
      <c r="N98" s="604"/>
      <c r="O98" s="604"/>
      <c r="P98" s="604"/>
    </row>
    <row r="99" spans="1:16">
      <c r="A99" s="167"/>
      <c r="B99" s="167"/>
      <c r="C99" s="167"/>
      <c r="D99" s="167"/>
      <c r="E99" s="167"/>
      <c r="F99" s="167"/>
      <c r="G99" s="167"/>
      <c r="H99" s="167"/>
      <c r="K99" s="174"/>
      <c r="L99" s="604"/>
      <c r="M99" s="604"/>
      <c r="N99" s="604"/>
      <c r="O99" s="604"/>
      <c r="P99" s="604"/>
    </row>
    <row r="100" spans="1:16">
      <c r="A100" s="167"/>
      <c r="B100" s="167"/>
      <c r="C100" s="167"/>
      <c r="D100" s="167"/>
      <c r="E100" s="167"/>
      <c r="F100" s="167"/>
      <c r="G100" s="167"/>
      <c r="H100" s="167"/>
      <c r="K100" s="174"/>
      <c r="L100" s="604"/>
      <c r="M100" s="604"/>
      <c r="N100" s="604"/>
      <c r="O100" s="604"/>
      <c r="P100" s="604"/>
    </row>
    <row r="101" spans="1:16">
      <c r="A101" s="167"/>
      <c r="B101" s="167"/>
      <c r="C101" s="167"/>
      <c r="D101" s="167"/>
      <c r="E101" s="167"/>
      <c r="F101" s="167"/>
      <c r="G101" s="167"/>
      <c r="H101" s="167"/>
      <c r="K101" s="174"/>
      <c r="L101" s="604"/>
      <c r="M101" s="604"/>
      <c r="N101" s="604"/>
      <c r="O101" s="604"/>
      <c r="P101" s="604"/>
    </row>
    <row r="102" spans="1:16">
      <c r="A102" s="167"/>
      <c r="B102" s="167"/>
      <c r="C102" s="167"/>
      <c r="D102" s="167"/>
      <c r="E102" s="167"/>
      <c r="F102" s="167"/>
      <c r="G102" s="167"/>
      <c r="H102" s="167"/>
      <c r="K102" s="174"/>
      <c r="L102" s="604"/>
      <c r="M102" s="604"/>
      <c r="N102" s="604"/>
      <c r="O102" s="604"/>
      <c r="P102" s="604"/>
    </row>
    <row r="103" spans="1:16">
      <c r="A103" s="167"/>
      <c r="B103" s="167"/>
      <c r="C103" s="167"/>
      <c r="D103" s="167"/>
      <c r="E103" s="167"/>
      <c r="F103" s="167"/>
      <c r="G103" s="167"/>
      <c r="H103" s="167"/>
      <c r="K103" s="174"/>
      <c r="L103" s="604"/>
      <c r="M103" s="604"/>
      <c r="N103" s="604"/>
      <c r="O103" s="604"/>
      <c r="P103" s="604"/>
    </row>
    <row r="104" spans="1:16">
      <c r="A104" s="167"/>
      <c r="B104" s="167"/>
      <c r="C104" s="167"/>
      <c r="D104" s="167"/>
      <c r="E104" s="167"/>
      <c r="F104" s="167"/>
      <c r="G104" s="167"/>
      <c r="H104" s="167"/>
      <c r="K104" s="174"/>
      <c r="L104" s="604"/>
      <c r="M104" s="604"/>
      <c r="N104" s="604"/>
      <c r="O104" s="604"/>
      <c r="P104" s="604"/>
    </row>
    <row r="105" spans="1:16">
      <c r="A105" s="167"/>
      <c r="B105" s="167"/>
      <c r="C105" s="167"/>
      <c r="D105" s="167"/>
      <c r="E105" s="167"/>
      <c r="F105" s="167"/>
      <c r="G105" s="167"/>
      <c r="H105" s="167"/>
      <c r="K105" s="174"/>
      <c r="L105" s="604"/>
      <c r="M105" s="604"/>
      <c r="N105" s="604"/>
      <c r="O105" s="604"/>
      <c r="P105" s="604"/>
    </row>
    <row r="106" spans="1:16">
      <c r="A106" s="167"/>
      <c r="B106" s="167"/>
      <c r="C106" s="167"/>
      <c r="D106" s="167"/>
      <c r="E106" s="167"/>
      <c r="F106" s="167"/>
      <c r="G106" s="167"/>
      <c r="H106" s="167"/>
      <c r="K106" s="174"/>
      <c r="L106" s="604"/>
      <c r="M106" s="604"/>
      <c r="N106" s="604"/>
      <c r="O106" s="604"/>
      <c r="P106" s="604"/>
    </row>
    <row r="107" spans="1:16">
      <c r="A107" s="167"/>
      <c r="B107" s="167"/>
      <c r="C107" s="167"/>
      <c r="D107" s="167"/>
      <c r="E107" s="167"/>
      <c r="F107" s="167"/>
      <c r="G107" s="167"/>
      <c r="H107" s="167"/>
      <c r="K107" s="174"/>
      <c r="L107" s="604"/>
      <c r="M107" s="604"/>
      <c r="N107" s="604"/>
      <c r="O107" s="604"/>
      <c r="P107" s="604"/>
    </row>
    <row r="108" spans="1:16">
      <c r="A108" s="167"/>
      <c r="B108" s="167"/>
      <c r="C108" s="167"/>
      <c r="D108" s="167"/>
      <c r="E108" s="167"/>
      <c r="F108" s="167"/>
      <c r="G108" s="167"/>
      <c r="H108" s="167"/>
      <c r="K108" s="174"/>
      <c r="L108" s="604"/>
      <c r="M108" s="604"/>
      <c r="N108" s="604"/>
      <c r="O108" s="604"/>
      <c r="P108" s="604"/>
    </row>
    <row r="109" spans="1:16">
      <c r="A109" s="167"/>
      <c r="B109" s="167"/>
      <c r="C109" s="167"/>
      <c r="D109" s="167"/>
      <c r="E109" s="167"/>
      <c r="F109" s="167"/>
      <c r="G109" s="167"/>
      <c r="H109" s="167"/>
      <c r="K109" s="174"/>
      <c r="L109" s="604"/>
      <c r="M109" s="604"/>
      <c r="N109" s="604"/>
      <c r="O109" s="604"/>
      <c r="P109" s="604"/>
    </row>
    <row r="110" spans="1:16">
      <c r="A110" s="167"/>
      <c r="B110" s="167"/>
      <c r="C110" s="167"/>
      <c r="D110" s="167"/>
      <c r="E110" s="167"/>
      <c r="F110" s="167"/>
      <c r="G110" s="167"/>
      <c r="H110" s="167"/>
      <c r="K110" s="174"/>
      <c r="L110" s="604"/>
      <c r="M110" s="604"/>
      <c r="N110" s="604"/>
      <c r="O110" s="604"/>
      <c r="P110" s="604"/>
    </row>
    <row r="111" spans="1:16">
      <c r="A111" s="167"/>
      <c r="B111" s="167"/>
      <c r="C111" s="167"/>
      <c r="D111" s="167"/>
      <c r="E111" s="167"/>
      <c r="F111" s="167"/>
      <c r="G111" s="167"/>
      <c r="H111" s="167"/>
      <c r="K111" s="174"/>
      <c r="L111" s="604"/>
      <c r="M111" s="604"/>
      <c r="N111" s="604"/>
      <c r="O111" s="604"/>
      <c r="P111" s="604"/>
    </row>
    <row r="112" spans="1:16">
      <c r="K112" s="174"/>
      <c r="L112" s="604"/>
      <c r="M112" s="604"/>
      <c r="N112" s="604"/>
      <c r="O112" s="604"/>
      <c r="P112" s="604"/>
    </row>
    <row r="113" spans="1:16">
      <c r="K113" s="174"/>
      <c r="L113" s="604"/>
      <c r="M113" s="604"/>
      <c r="N113" s="604"/>
      <c r="O113" s="604"/>
      <c r="P113" s="604"/>
    </row>
    <row r="114" spans="1:16">
      <c r="K114" s="174"/>
      <c r="L114" s="604"/>
      <c r="M114" s="604"/>
      <c r="N114" s="604"/>
      <c r="O114" s="604"/>
      <c r="P114" s="604"/>
    </row>
    <row r="115" spans="1:16">
      <c r="K115" s="174"/>
      <c r="L115" s="604"/>
      <c r="M115" s="604"/>
      <c r="N115" s="604"/>
      <c r="O115" s="604"/>
      <c r="P115" s="604"/>
    </row>
    <row r="116" spans="1:16">
      <c r="K116" s="174"/>
      <c r="L116" s="604"/>
      <c r="M116" s="604"/>
      <c r="N116" s="604"/>
      <c r="O116" s="604"/>
      <c r="P116" s="604"/>
    </row>
    <row r="117" spans="1:16">
      <c r="A117" s="167"/>
      <c r="B117" s="167"/>
      <c r="C117" s="167"/>
      <c r="D117" s="167"/>
      <c r="E117" s="167"/>
      <c r="F117" s="167"/>
      <c r="G117" s="167"/>
      <c r="H117" s="167"/>
      <c r="K117" s="174"/>
      <c r="L117" s="604"/>
      <c r="M117" s="604"/>
      <c r="N117" s="604"/>
      <c r="O117" s="604"/>
      <c r="P117" s="604"/>
    </row>
    <row r="118" spans="1:16">
      <c r="A118" s="167"/>
      <c r="B118" s="167"/>
      <c r="C118" s="167"/>
      <c r="D118" s="167"/>
      <c r="E118" s="167"/>
      <c r="F118" s="167"/>
      <c r="G118" s="167"/>
      <c r="H118" s="167"/>
      <c r="K118" s="174"/>
      <c r="L118" s="604"/>
      <c r="M118" s="604"/>
      <c r="N118" s="604"/>
      <c r="O118" s="604"/>
      <c r="P118" s="604"/>
    </row>
    <row r="119" spans="1:16">
      <c r="A119" s="167"/>
      <c r="B119" s="167"/>
      <c r="C119" s="167"/>
      <c r="D119" s="167"/>
      <c r="E119" s="167"/>
      <c r="F119" s="167"/>
      <c r="G119" s="167"/>
      <c r="H119" s="167"/>
      <c r="K119" s="174"/>
      <c r="L119" s="604"/>
      <c r="M119" s="604"/>
      <c r="N119" s="604"/>
      <c r="O119" s="604"/>
      <c r="P119" s="604"/>
    </row>
    <row r="120" spans="1:16">
      <c r="A120" s="167"/>
      <c r="B120" s="167"/>
      <c r="C120" s="167"/>
      <c r="D120" s="167"/>
      <c r="E120" s="167"/>
      <c r="F120" s="167"/>
      <c r="G120" s="167"/>
      <c r="H120" s="167"/>
      <c r="K120" s="174"/>
      <c r="L120" s="604"/>
      <c r="M120" s="604"/>
      <c r="N120" s="604"/>
      <c r="O120" s="604"/>
      <c r="P120" s="604"/>
    </row>
    <row r="121" spans="1:16">
      <c r="A121" s="167"/>
      <c r="B121" s="167"/>
      <c r="C121" s="167"/>
      <c r="D121" s="167"/>
      <c r="E121" s="167"/>
      <c r="F121" s="167"/>
      <c r="G121" s="167"/>
      <c r="H121" s="167"/>
      <c r="K121" s="174"/>
      <c r="L121" s="604"/>
      <c r="M121" s="604"/>
      <c r="N121" s="604"/>
      <c r="O121" s="604"/>
      <c r="P121" s="604"/>
    </row>
    <row r="122" spans="1:16">
      <c r="A122" s="167"/>
      <c r="B122" s="167"/>
      <c r="C122" s="167"/>
      <c r="D122" s="167"/>
      <c r="E122" s="167"/>
      <c r="F122" s="167"/>
      <c r="G122" s="167"/>
      <c r="H122" s="167"/>
      <c r="K122" s="174"/>
      <c r="L122" s="604"/>
      <c r="M122" s="604"/>
      <c r="N122" s="604"/>
      <c r="O122" s="604"/>
      <c r="P122" s="604"/>
    </row>
    <row r="123" spans="1:16">
      <c r="A123" s="167"/>
      <c r="B123" s="167"/>
      <c r="C123" s="167"/>
      <c r="D123" s="167"/>
      <c r="E123" s="167"/>
      <c r="F123" s="167"/>
      <c r="G123" s="167"/>
      <c r="H123" s="167"/>
      <c r="K123" s="174"/>
      <c r="L123" s="604"/>
      <c r="M123" s="604"/>
      <c r="N123" s="604"/>
      <c r="O123" s="604"/>
      <c r="P123" s="604"/>
    </row>
    <row r="124" spans="1:16">
      <c r="A124" s="167"/>
      <c r="B124" s="167"/>
      <c r="C124" s="167"/>
      <c r="D124" s="167"/>
      <c r="E124" s="167"/>
      <c r="F124" s="167"/>
      <c r="G124" s="167"/>
      <c r="H124" s="167"/>
      <c r="K124" s="174"/>
      <c r="L124" s="604"/>
      <c r="M124" s="604"/>
      <c r="N124" s="604"/>
      <c r="O124" s="604"/>
      <c r="P124" s="604"/>
    </row>
    <row r="125" spans="1:16">
      <c r="A125" s="167"/>
      <c r="B125" s="167"/>
      <c r="C125" s="167"/>
      <c r="D125" s="167"/>
      <c r="E125" s="167"/>
      <c r="F125" s="167"/>
      <c r="G125" s="167"/>
      <c r="H125" s="167"/>
      <c r="K125" s="174"/>
      <c r="L125" s="604"/>
      <c r="M125" s="604"/>
      <c r="N125" s="604"/>
      <c r="O125" s="604"/>
      <c r="P125" s="604"/>
    </row>
    <row r="126" spans="1:16">
      <c r="A126" s="167"/>
      <c r="B126" s="167"/>
      <c r="C126" s="167"/>
      <c r="D126" s="167"/>
      <c r="E126" s="167"/>
      <c r="F126" s="167"/>
      <c r="G126" s="167"/>
      <c r="H126" s="167"/>
      <c r="K126" s="174"/>
      <c r="L126" s="604"/>
      <c r="M126" s="604"/>
      <c r="N126" s="604"/>
      <c r="O126" s="604"/>
      <c r="P126" s="604"/>
    </row>
    <row r="127" spans="1:16">
      <c r="A127" s="167"/>
      <c r="B127" s="167"/>
      <c r="C127" s="167"/>
      <c r="D127" s="167"/>
      <c r="E127" s="167"/>
      <c r="F127" s="167"/>
      <c r="G127" s="167"/>
      <c r="H127" s="167"/>
      <c r="K127" s="174"/>
      <c r="L127" s="604"/>
      <c r="M127" s="604"/>
      <c r="N127" s="604"/>
      <c r="O127" s="604"/>
      <c r="P127" s="604"/>
    </row>
    <row r="128" spans="1:16">
      <c r="A128" s="167"/>
      <c r="B128" s="167"/>
      <c r="C128" s="167"/>
      <c r="D128" s="167"/>
      <c r="E128" s="167"/>
      <c r="F128" s="167"/>
      <c r="G128" s="167"/>
      <c r="H128" s="167"/>
      <c r="K128" s="174"/>
      <c r="L128" s="604"/>
      <c r="M128" s="604"/>
      <c r="N128" s="604"/>
      <c r="O128" s="604"/>
      <c r="P128" s="604"/>
    </row>
    <row r="129" spans="1:16">
      <c r="A129" s="167"/>
      <c r="B129" s="167"/>
      <c r="C129" s="167"/>
      <c r="D129" s="167"/>
      <c r="E129" s="167"/>
      <c r="F129" s="167"/>
      <c r="G129" s="167"/>
      <c r="H129" s="167"/>
      <c r="K129" s="174"/>
      <c r="L129" s="604"/>
      <c r="M129" s="604"/>
      <c r="N129" s="604"/>
      <c r="O129" s="604"/>
      <c r="P129" s="604"/>
    </row>
    <row r="130" spans="1:16">
      <c r="A130" s="167"/>
      <c r="B130" s="167"/>
      <c r="C130" s="167"/>
      <c r="D130" s="167"/>
      <c r="E130" s="167"/>
      <c r="F130" s="167"/>
      <c r="G130" s="167"/>
      <c r="H130" s="167"/>
      <c r="K130" s="174"/>
      <c r="L130" s="604"/>
      <c r="M130" s="604"/>
      <c r="N130" s="604"/>
      <c r="O130" s="604"/>
      <c r="P130" s="604"/>
    </row>
    <row r="131" spans="1:16">
      <c r="A131" s="167"/>
      <c r="B131" s="167"/>
      <c r="C131" s="167"/>
      <c r="D131" s="167"/>
      <c r="E131" s="167"/>
      <c r="F131" s="167"/>
      <c r="G131" s="167"/>
      <c r="H131" s="167"/>
      <c r="K131" s="174"/>
      <c r="L131" s="604"/>
      <c r="M131" s="604"/>
      <c r="N131" s="604"/>
      <c r="O131" s="604"/>
      <c r="P131" s="604"/>
    </row>
    <row r="132" spans="1:16">
      <c r="A132" s="167"/>
      <c r="B132" s="167"/>
      <c r="C132" s="167"/>
      <c r="D132" s="167"/>
      <c r="E132" s="167"/>
      <c r="F132" s="167"/>
      <c r="G132" s="167"/>
      <c r="H132" s="167"/>
      <c r="K132" s="174"/>
      <c r="L132" s="604"/>
      <c r="M132" s="604"/>
      <c r="N132" s="604"/>
      <c r="O132" s="604"/>
      <c r="P132" s="604"/>
    </row>
    <row r="133" spans="1:16">
      <c r="A133" s="167"/>
      <c r="B133" s="167"/>
      <c r="C133" s="167"/>
      <c r="D133" s="167"/>
      <c r="E133" s="167"/>
      <c r="F133" s="167"/>
      <c r="G133" s="167"/>
      <c r="H133" s="167"/>
      <c r="K133" s="174"/>
      <c r="L133" s="604"/>
      <c r="M133" s="604"/>
      <c r="N133" s="604"/>
      <c r="O133" s="604"/>
      <c r="P133" s="604"/>
    </row>
    <row r="134" spans="1:16">
      <c r="A134" s="167"/>
      <c r="B134" s="167"/>
      <c r="C134" s="167"/>
      <c r="D134" s="167"/>
      <c r="E134" s="167"/>
      <c r="F134" s="167"/>
      <c r="G134" s="167"/>
      <c r="H134" s="167"/>
      <c r="K134" s="174"/>
      <c r="L134" s="604"/>
      <c r="M134" s="604"/>
      <c r="N134" s="604"/>
      <c r="O134" s="604"/>
      <c r="P134" s="604"/>
    </row>
    <row r="135" spans="1:16">
      <c r="A135" s="167"/>
      <c r="B135" s="167"/>
      <c r="C135" s="167"/>
      <c r="D135" s="167"/>
      <c r="E135" s="167"/>
      <c r="F135" s="167"/>
      <c r="G135" s="167"/>
      <c r="H135" s="167"/>
      <c r="K135" s="174"/>
      <c r="L135" s="604"/>
      <c r="M135" s="604"/>
      <c r="N135" s="604"/>
      <c r="O135" s="604"/>
      <c r="P135" s="604"/>
    </row>
    <row r="136" spans="1:16">
      <c r="A136" s="167"/>
      <c r="B136" s="167"/>
      <c r="C136" s="167"/>
      <c r="D136" s="167"/>
      <c r="E136" s="167"/>
      <c r="F136" s="167"/>
      <c r="G136" s="167"/>
      <c r="H136" s="167"/>
      <c r="K136" s="174"/>
      <c r="L136" s="604"/>
      <c r="M136" s="604"/>
      <c r="N136" s="604"/>
      <c r="O136" s="604"/>
      <c r="P136" s="604"/>
    </row>
    <row r="137" spans="1:16">
      <c r="A137" s="167"/>
      <c r="B137" s="167"/>
      <c r="C137" s="167"/>
      <c r="D137" s="167"/>
      <c r="E137" s="167"/>
      <c r="F137" s="167"/>
      <c r="G137" s="167"/>
      <c r="H137" s="167"/>
      <c r="K137" s="174"/>
      <c r="L137" s="604"/>
      <c r="M137" s="604"/>
      <c r="N137" s="604"/>
      <c r="O137" s="604"/>
      <c r="P137" s="604"/>
    </row>
    <row r="138" spans="1:16">
      <c r="A138" s="167"/>
      <c r="B138" s="167"/>
      <c r="C138" s="167"/>
      <c r="D138" s="167"/>
      <c r="E138" s="167"/>
      <c r="F138" s="167"/>
      <c r="G138" s="167"/>
      <c r="H138" s="167"/>
      <c r="K138" s="174"/>
      <c r="L138" s="604"/>
      <c r="M138" s="604"/>
      <c r="N138" s="604"/>
      <c r="O138" s="604"/>
      <c r="P138" s="604"/>
    </row>
    <row r="139" spans="1:16">
      <c r="A139" s="167"/>
      <c r="B139" s="167"/>
      <c r="C139" s="167"/>
      <c r="D139" s="167"/>
      <c r="E139" s="167"/>
      <c r="F139" s="167"/>
      <c r="G139" s="167"/>
      <c r="H139" s="167"/>
      <c r="K139" s="174"/>
      <c r="L139" s="604"/>
      <c r="M139" s="604"/>
      <c r="N139" s="604"/>
      <c r="O139" s="604"/>
      <c r="P139" s="604"/>
    </row>
    <row r="140" spans="1:16">
      <c r="A140" s="167"/>
      <c r="B140" s="167"/>
      <c r="C140" s="167"/>
      <c r="D140" s="167"/>
      <c r="E140" s="167"/>
      <c r="F140" s="167"/>
      <c r="G140" s="167"/>
      <c r="H140" s="167"/>
      <c r="K140" s="174"/>
      <c r="L140" s="604"/>
      <c r="M140" s="604"/>
      <c r="N140" s="604"/>
      <c r="O140" s="604"/>
      <c r="P140" s="604"/>
    </row>
    <row r="141" spans="1:16">
      <c r="A141" s="167"/>
      <c r="B141" s="167"/>
      <c r="C141" s="167"/>
      <c r="D141" s="167"/>
      <c r="E141" s="167"/>
      <c r="F141" s="167"/>
      <c r="G141" s="167"/>
      <c r="H141" s="167"/>
      <c r="K141" s="174"/>
      <c r="L141" s="604"/>
      <c r="M141" s="604"/>
      <c r="N141" s="604"/>
      <c r="O141" s="604"/>
      <c r="P141" s="604"/>
    </row>
    <row r="142" spans="1:16">
      <c r="A142" s="167"/>
      <c r="B142" s="167"/>
      <c r="C142" s="167"/>
      <c r="D142" s="167"/>
      <c r="E142" s="167"/>
      <c r="F142" s="167"/>
      <c r="G142" s="167"/>
      <c r="H142" s="167"/>
      <c r="K142" s="174"/>
      <c r="L142" s="604"/>
      <c r="M142" s="604"/>
      <c r="N142" s="604"/>
      <c r="O142" s="604"/>
      <c r="P142" s="604"/>
    </row>
    <row r="143" spans="1:16">
      <c r="A143" s="167"/>
      <c r="B143" s="167"/>
      <c r="C143" s="167"/>
      <c r="D143" s="167"/>
      <c r="E143" s="167"/>
      <c r="F143" s="167"/>
      <c r="G143" s="167"/>
      <c r="H143" s="167"/>
      <c r="K143" s="174"/>
      <c r="L143" s="604"/>
      <c r="M143" s="604"/>
      <c r="N143" s="604"/>
      <c r="O143" s="604"/>
      <c r="P143" s="604"/>
    </row>
    <row r="144" spans="1:16">
      <c r="A144" s="167"/>
      <c r="B144" s="167"/>
      <c r="C144" s="167"/>
      <c r="D144" s="167"/>
      <c r="E144" s="167"/>
      <c r="F144" s="167"/>
      <c r="G144" s="167"/>
      <c r="H144" s="167"/>
      <c r="K144" s="174"/>
      <c r="L144" s="604"/>
      <c r="M144" s="604"/>
      <c r="N144" s="604"/>
      <c r="O144" s="604"/>
      <c r="P144" s="604"/>
    </row>
    <row r="145" spans="1:16">
      <c r="A145" s="167"/>
      <c r="B145" s="167"/>
      <c r="C145" s="167"/>
      <c r="D145" s="167"/>
      <c r="E145" s="167"/>
      <c r="F145" s="167"/>
      <c r="G145" s="167"/>
      <c r="H145" s="167"/>
      <c r="K145" s="174"/>
      <c r="L145" s="604"/>
      <c r="M145" s="604"/>
      <c r="N145" s="604"/>
      <c r="O145" s="604"/>
      <c r="P145" s="604"/>
    </row>
    <row r="146" spans="1:16">
      <c r="A146" s="167"/>
      <c r="B146" s="167"/>
      <c r="C146" s="167"/>
      <c r="D146" s="167"/>
      <c r="E146" s="167"/>
      <c r="F146" s="167"/>
      <c r="G146" s="167"/>
      <c r="H146" s="167"/>
      <c r="K146" s="174"/>
      <c r="L146" s="604"/>
      <c r="M146" s="604"/>
      <c r="N146" s="604"/>
      <c r="O146" s="604"/>
      <c r="P146" s="604"/>
    </row>
    <row r="147" spans="1:16">
      <c r="A147" s="167"/>
      <c r="B147" s="167"/>
      <c r="C147" s="167"/>
      <c r="D147" s="167"/>
      <c r="E147" s="167"/>
      <c r="F147" s="167"/>
      <c r="G147" s="167"/>
      <c r="H147" s="167"/>
      <c r="K147" s="174"/>
      <c r="L147" s="604"/>
      <c r="M147" s="604"/>
      <c r="N147" s="604"/>
      <c r="O147" s="604"/>
      <c r="P147" s="604"/>
    </row>
    <row r="148" spans="1:16">
      <c r="A148" s="167"/>
      <c r="B148" s="167"/>
      <c r="C148" s="167"/>
      <c r="D148" s="167"/>
      <c r="E148" s="167"/>
      <c r="F148" s="167"/>
      <c r="G148" s="167"/>
      <c r="H148" s="167"/>
      <c r="K148" s="174"/>
      <c r="L148" s="604"/>
      <c r="M148" s="604"/>
      <c r="N148" s="604"/>
      <c r="O148" s="604"/>
      <c r="P148" s="604"/>
    </row>
    <row r="149" spans="1:16">
      <c r="A149" s="167"/>
      <c r="B149" s="167"/>
      <c r="C149" s="167"/>
      <c r="D149" s="167"/>
      <c r="E149" s="167"/>
      <c r="F149" s="167"/>
      <c r="G149" s="167"/>
      <c r="H149" s="167"/>
      <c r="K149" s="174"/>
      <c r="L149" s="604"/>
      <c r="M149" s="604"/>
      <c r="N149" s="604"/>
      <c r="O149" s="604"/>
      <c r="P149" s="604"/>
    </row>
    <row r="150" spans="1:16">
      <c r="A150" s="167"/>
      <c r="B150" s="167"/>
      <c r="C150" s="167"/>
      <c r="D150" s="167"/>
      <c r="E150" s="167"/>
      <c r="F150" s="167"/>
      <c r="G150" s="167"/>
      <c r="H150" s="167"/>
      <c r="K150" s="174"/>
      <c r="L150" s="604"/>
      <c r="M150" s="604"/>
      <c r="N150" s="604"/>
      <c r="O150" s="604"/>
      <c r="P150" s="604"/>
    </row>
    <row r="151" spans="1:16">
      <c r="A151" s="167"/>
      <c r="B151" s="167"/>
      <c r="C151" s="167"/>
      <c r="D151" s="167"/>
      <c r="E151" s="167"/>
      <c r="F151" s="167"/>
      <c r="G151" s="167"/>
      <c r="H151" s="167"/>
      <c r="K151" s="174"/>
      <c r="L151" s="604"/>
      <c r="M151" s="604"/>
      <c r="N151" s="604"/>
      <c r="O151" s="604"/>
      <c r="P151" s="604"/>
    </row>
    <row r="152" spans="1:16">
      <c r="A152" s="167"/>
      <c r="B152" s="167"/>
      <c r="C152" s="167"/>
      <c r="D152" s="167"/>
      <c r="E152" s="167"/>
      <c r="F152" s="167"/>
      <c r="G152" s="167"/>
      <c r="H152" s="167"/>
      <c r="K152" s="174"/>
      <c r="L152" s="604"/>
      <c r="M152" s="604"/>
      <c r="N152" s="604"/>
      <c r="O152" s="604"/>
      <c r="P152" s="604"/>
    </row>
    <row r="153" spans="1:16">
      <c r="A153" s="167"/>
      <c r="B153" s="167"/>
      <c r="C153" s="167"/>
      <c r="D153" s="167"/>
      <c r="E153" s="167"/>
      <c r="F153" s="167"/>
      <c r="G153" s="167"/>
      <c r="H153" s="167"/>
      <c r="K153" s="174"/>
      <c r="L153" s="604"/>
      <c r="M153" s="604"/>
      <c r="N153" s="604"/>
      <c r="O153" s="604"/>
      <c r="P153" s="604"/>
    </row>
    <row r="154" spans="1:16">
      <c r="A154" s="167"/>
      <c r="B154" s="167"/>
      <c r="C154" s="167"/>
      <c r="D154" s="167"/>
      <c r="E154" s="167"/>
      <c r="F154" s="167"/>
      <c r="G154" s="167"/>
      <c r="H154" s="167"/>
      <c r="K154" s="174"/>
      <c r="L154" s="604"/>
      <c r="M154" s="604"/>
      <c r="N154" s="604"/>
      <c r="O154" s="604"/>
      <c r="P154" s="604"/>
    </row>
    <row r="155" spans="1:16">
      <c r="A155" s="167"/>
      <c r="B155" s="167"/>
      <c r="C155" s="167"/>
      <c r="D155" s="167"/>
      <c r="E155" s="167"/>
      <c r="F155" s="167"/>
      <c r="G155" s="167"/>
      <c r="H155" s="167"/>
      <c r="K155" s="174"/>
      <c r="L155" s="604"/>
      <c r="M155" s="604"/>
      <c r="N155" s="604"/>
      <c r="O155" s="604"/>
      <c r="P155" s="604"/>
    </row>
    <row r="156" spans="1:16">
      <c r="A156" s="167"/>
      <c r="B156" s="167"/>
      <c r="C156" s="167"/>
      <c r="D156" s="167"/>
      <c r="E156" s="167"/>
      <c r="F156" s="167"/>
      <c r="G156" s="167"/>
      <c r="H156" s="167"/>
      <c r="K156" s="174"/>
      <c r="L156" s="604"/>
      <c r="M156" s="604"/>
      <c r="N156" s="604"/>
      <c r="O156" s="604"/>
      <c r="P156" s="604"/>
    </row>
    <row r="157" spans="1:16">
      <c r="A157" s="167"/>
      <c r="B157" s="167"/>
      <c r="C157" s="167"/>
      <c r="D157" s="167"/>
      <c r="E157" s="167"/>
      <c r="F157" s="167"/>
      <c r="G157" s="167"/>
      <c r="H157" s="167"/>
      <c r="K157" s="174"/>
      <c r="L157" s="604"/>
      <c r="M157" s="604"/>
      <c r="N157" s="604"/>
      <c r="O157" s="604"/>
      <c r="P157" s="604"/>
    </row>
    <row r="158" spans="1:16">
      <c r="A158" s="167"/>
      <c r="B158" s="167"/>
      <c r="C158" s="167"/>
      <c r="D158" s="167"/>
      <c r="E158" s="167"/>
      <c r="F158" s="167"/>
      <c r="G158" s="167"/>
      <c r="H158" s="167"/>
      <c r="K158" s="174"/>
      <c r="L158" s="604"/>
      <c r="M158" s="604"/>
      <c r="N158" s="604"/>
      <c r="O158" s="604"/>
      <c r="P158" s="604"/>
    </row>
    <row r="159" spans="1:16">
      <c r="A159" s="167"/>
      <c r="B159" s="167"/>
      <c r="C159" s="167"/>
      <c r="D159" s="167"/>
      <c r="E159" s="167"/>
      <c r="F159" s="167"/>
      <c r="G159" s="167"/>
      <c r="H159" s="167"/>
      <c r="K159" s="174"/>
      <c r="L159" s="604"/>
      <c r="M159" s="604"/>
      <c r="N159" s="604"/>
      <c r="O159" s="604"/>
      <c r="P159" s="604"/>
    </row>
    <row r="160" spans="1:16">
      <c r="A160" s="167"/>
      <c r="B160" s="167"/>
      <c r="C160" s="167"/>
      <c r="D160" s="167"/>
      <c r="E160" s="167"/>
      <c r="F160" s="167"/>
      <c r="G160" s="167"/>
      <c r="H160" s="167"/>
      <c r="K160" s="174"/>
      <c r="L160" s="604"/>
      <c r="M160" s="604"/>
      <c r="N160" s="604"/>
      <c r="O160" s="604"/>
      <c r="P160" s="604"/>
    </row>
    <row r="161" spans="1:16">
      <c r="A161" s="167"/>
      <c r="B161" s="167"/>
      <c r="C161" s="167"/>
      <c r="D161" s="167"/>
      <c r="E161" s="167"/>
      <c r="F161" s="167"/>
      <c r="G161" s="167"/>
      <c r="H161" s="167"/>
      <c r="K161" s="174"/>
      <c r="L161" s="604"/>
      <c r="M161" s="604"/>
      <c r="N161" s="604"/>
      <c r="O161" s="604"/>
      <c r="P161" s="604"/>
    </row>
    <row r="162" spans="1:16">
      <c r="A162" s="167"/>
      <c r="B162" s="167"/>
      <c r="C162" s="167"/>
      <c r="D162" s="167"/>
      <c r="E162" s="167"/>
      <c r="F162" s="167"/>
      <c r="G162" s="167"/>
      <c r="H162" s="167"/>
      <c r="K162" s="174"/>
      <c r="L162" s="604"/>
      <c r="M162" s="604"/>
      <c r="N162" s="604"/>
      <c r="O162" s="604"/>
      <c r="P162" s="604"/>
    </row>
    <row r="163" spans="1:16">
      <c r="A163" s="167"/>
      <c r="B163" s="167"/>
      <c r="C163" s="167"/>
      <c r="D163" s="167"/>
      <c r="E163" s="167"/>
      <c r="F163" s="167"/>
      <c r="G163" s="167"/>
      <c r="H163" s="167"/>
      <c r="K163" s="174"/>
      <c r="L163" s="604"/>
      <c r="M163" s="604"/>
      <c r="N163" s="604"/>
      <c r="O163" s="604"/>
      <c r="P163" s="604"/>
    </row>
    <row r="164" spans="1:16">
      <c r="A164" s="167"/>
      <c r="B164" s="167"/>
      <c r="C164" s="167"/>
      <c r="D164" s="167"/>
      <c r="E164" s="167"/>
      <c r="F164" s="167"/>
      <c r="G164" s="167"/>
      <c r="H164" s="167"/>
      <c r="K164" s="174"/>
      <c r="L164" s="604"/>
      <c r="M164" s="604"/>
      <c r="N164" s="604"/>
      <c r="O164" s="604"/>
      <c r="P164" s="604"/>
    </row>
    <row r="165" spans="1:16">
      <c r="A165" s="167"/>
      <c r="B165" s="167"/>
      <c r="C165" s="167"/>
      <c r="D165" s="167"/>
      <c r="E165" s="167"/>
      <c r="F165" s="167"/>
      <c r="G165" s="167"/>
      <c r="H165" s="167"/>
      <c r="K165" s="174"/>
      <c r="L165" s="604"/>
      <c r="M165" s="604"/>
      <c r="N165" s="604"/>
      <c r="O165" s="604"/>
      <c r="P165" s="604"/>
    </row>
    <row r="166" spans="1:16">
      <c r="A166" s="167"/>
      <c r="B166" s="167"/>
      <c r="C166" s="167"/>
      <c r="D166" s="167"/>
      <c r="E166" s="167"/>
      <c r="F166" s="167"/>
      <c r="G166" s="167"/>
      <c r="H166" s="167"/>
      <c r="K166" s="174"/>
      <c r="L166" s="604"/>
      <c r="M166" s="604"/>
      <c r="N166" s="604"/>
      <c r="O166" s="604"/>
      <c r="P166" s="604"/>
    </row>
    <row r="167" spans="1:16">
      <c r="A167" s="167"/>
      <c r="B167" s="167"/>
      <c r="C167" s="167"/>
      <c r="D167" s="167"/>
      <c r="E167" s="167"/>
      <c r="F167" s="167"/>
      <c r="G167" s="167"/>
      <c r="H167" s="167"/>
      <c r="K167" s="174"/>
      <c r="L167" s="604"/>
      <c r="M167" s="604"/>
      <c r="N167" s="604"/>
      <c r="O167" s="604"/>
      <c r="P167" s="604"/>
    </row>
    <row r="168" spans="1:16">
      <c r="A168" s="167"/>
      <c r="B168" s="167"/>
      <c r="C168" s="167"/>
      <c r="D168" s="167"/>
      <c r="E168" s="167"/>
      <c r="F168" s="167"/>
      <c r="G168" s="167"/>
      <c r="H168" s="167"/>
      <c r="K168" s="174"/>
      <c r="L168" s="604"/>
      <c r="M168" s="604"/>
      <c r="N168" s="604"/>
      <c r="O168" s="604"/>
      <c r="P168" s="604"/>
    </row>
    <row r="169" spans="1:16">
      <c r="A169" s="167"/>
      <c r="B169" s="167"/>
      <c r="C169" s="167"/>
      <c r="D169" s="167"/>
      <c r="E169" s="167"/>
      <c r="F169" s="167"/>
      <c r="G169" s="167"/>
      <c r="H169" s="167"/>
      <c r="K169" s="174"/>
      <c r="L169" s="604"/>
      <c r="M169" s="604"/>
      <c r="N169" s="604"/>
      <c r="O169" s="604"/>
      <c r="P169" s="604"/>
    </row>
    <row r="170" spans="1:16">
      <c r="A170" s="167"/>
      <c r="B170" s="167"/>
      <c r="C170" s="167"/>
      <c r="D170" s="167"/>
      <c r="E170" s="167"/>
      <c r="F170" s="167"/>
      <c r="G170" s="167"/>
      <c r="H170" s="167"/>
      <c r="K170" s="174"/>
      <c r="L170" s="604"/>
      <c r="M170" s="604"/>
      <c r="N170" s="604"/>
      <c r="O170" s="604"/>
      <c r="P170" s="604"/>
    </row>
    <row r="171" spans="1:16">
      <c r="A171" s="167"/>
      <c r="B171" s="167"/>
      <c r="C171" s="167"/>
      <c r="D171" s="167"/>
      <c r="E171" s="167"/>
      <c r="F171" s="167"/>
      <c r="G171" s="167"/>
      <c r="H171" s="167"/>
      <c r="K171" s="174"/>
      <c r="L171" s="604"/>
      <c r="M171" s="604"/>
      <c r="N171" s="604"/>
      <c r="O171" s="604"/>
      <c r="P171" s="604"/>
    </row>
    <row r="172" spans="1:16">
      <c r="A172" s="167"/>
      <c r="B172" s="167"/>
      <c r="C172" s="167"/>
      <c r="D172" s="167"/>
      <c r="E172" s="167"/>
      <c r="F172" s="167"/>
      <c r="G172" s="167"/>
      <c r="H172" s="167"/>
      <c r="K172" s="174"/>
      <c r="L172" s="604"/>
      <c r="M172" s="604"/>
      <c r="N172" s="604"/>
      <c r="O172" s="604"/>
      <c r="P172" s="604"/>
    </row>
    <row r="173" spans="1:16">
      <c r="A173" s="167"/>
      <c r="B173" s="167"/>
      <c r="C173" s="167"/>
      <c r="D173" s="167"/>
      <c r="E173" s="167"/>
      <c r="F173" s="167"/>
      <c r="G173" s="167"/>
      <c r="H173" s="167"/>
      <c r="K173" s="174"/>
      <c r="L173" s="604"/>
      <c r="M173" s="604"/>
      <c r="N173" s="604"/>
      <c r="O173" s="604"/>
      <c r="P173" s="604"/>
    </row>
    <row r="174" spans="1:16">
      <c r="A174" s="167"/>
      <c r="B174" s="167"/>
      <c r="C174" s="167"/>
      <c r="D174" s="167"/>
      <c r="E174" s="167"/>
      <c r="F174" s="167"/>
      <c r="G174" s="167"/>
      <c r="H174" s="167"/>
      <c r="K174" s="174"/>
      <c r="L174" s="604"/>
      <c r="M174" s="604"/>
      <c r="N174" s="604"/>
      <c r="O174" s="604"/>
      <c r="P174" s="604"/>
    </row>
    <row r="175" spans="1:16">
      <c r="A175" s="167"/>
      <c r="B175" s="167"/>
      <c r="C175" s="167"/>
      <c r="D175" s="167"/>
      <c r="E175" s="167"/>
      <c r="F175" s="167"/>
      <c r="G175" s="167"/>
      <c r="H175" s="167"/>
      <c r="K175" s="174"/>
      <c r="L175" s="604"/>
      <c r="M175" s="604"/>
      <c r="N175" s="604"/>
      <c r="O175" s="604"/>
      <c r="P175" s="604"/>
    </row>
    <row r="176" spans="1:16">
      <c r="A176" s="167"/>
      <c r="B176" s="167"/>
      <c r="C176" s="167"/>
      <c r="D176" s="167"/>
      <c r="E176" s="167"/>
      <c r="F176" s="167"/>
      <c r="G176" s="167"/>
      <c r="H176" s="167"/>
      <c r="K176" s="174"/>
      <c r="L176" s="604"/>
      <c r="M176" s="604"/>
      <c r="N176" s="604"/>
      <c r="O176" s="604"/>
      <c r="P176" s="604"/>
    </row>
    <row r="177" spans="1:16">
      <c r="A177" s="167"/>
      <c r="B177" s="167"/>
      <c r="C177" s="167"/>
      <c r="D177" s="167"/>
      <c r="E177" s="167"/>
      <c r="F177" s="167"/>
      <c r="G177" s="167"/>
      <c r="H177" s="167"/>
      <c r="K177" s="174"/>
      <c r="L177" s="604"/>
      <c r="M177" s="604"/>
      <c r="N177" s="604"/>
      <c r="O177" s="604"/>
      <c r="P177" s="604"/>
    </row>
    <row r="178" spans="1:16">
      <c r="A178" s="167"/>
      <c r="B178" s="167"/>
      <c r="C178" s="167"/>
      <c r="D178" s="167"/>
      <c r="E178" s="167"/>
      <c r="F178" s="167"/>
      <c r="G178" s="167"/>
      <c r="H178" s="167"/>
      <c r="K178" s="174"/>
      <c r="L178" s="604"/>
      <c r="M178" s="604"/>
      <c r="N178" s="604"/>
      <c r="O178" s="604"/>
      <c r="P178" s="604"/>
    </row>
    <row r="179" spans="1:16">
      <c r="A179" s="167"/>
      <c r="B179" s="167"/>
      <c r="C179" s="167"/>
      <c r="D179" s="167"/>
      <c r="E179" s="167"/>
      <c r="F179" s="167"/>
      <c r="G179" s="167"/>
      <c r="H179" s="167"/>
      <c r="K179" s="174"/>
      <c r="L179" s="604"/>
      <c r="M179" s="604"/>
      <c r="N179" s="604"/>
      <c r="O179" s="604"/>
      <c r="P179" s="604"/>
    </row>
    <row r="180" spans="1:16">
      <c r="A180" s="167"/>
      <c r="B180" s="167"/>
      <c r="C180" s="167"/>
      <c r="D180" s="167"/>
      <c r="E180" s="167"/>
      <c r="F180" s="167"/>
      <c r="G180" s="167"/>
      <c r="H180" s="167"/>
      <c r="K180" s="174"/>
      <c r="L180" s="604"/>
      <c r="M180" s="604"/>
      <c r="N180" s="604"/>
      <c r="O180" s="604"/>
      <c r="P180" s="604"/>
    </row>
    <row r="181" spans="1:16">
      <c r="A181" s="167"/>
      <c r="B181" s="167"/>
      <c r="C181" s="167"/>
      <c r="D181" s="167"/>
      <c r="E181" s="167"/>
      <c r="F181" s="167"/>
      <c r="G181" s="167"/>
      <c r="H181" s="167"/>
      <c r="K181" s="174"/>
      <c r="L181" s="604"/>
      <c r="M181" s="604"/>
      <c r="N181" s="604"/>
      <c r="O181" s="604"/>
      <c r="P181" s="604"/>
    </row>
    <row r="182" spans="1:16">
      <c r="A182" s="167"/>
      <c r="B182" s="167"/>
      <c r="C182" s="167"/>
      <c r="D182" s="167"/>
      <c r="E182" s="167"/>
      <c r="F182" s="167"/>
      <c r="G182" s="167"/>
      <c r="H182" s="167"/>
      <c r="K182" s="174"/>
      <c r="L182" s="604"/>
      <c r="M182" s="604"/>
      <c r="N182" s="604"/>
      <c r="O182" s="604"/>
      <c r="P182" s="604"/>
    </row>
    <row r="183" spans="1:16">
      <c r="A183" s="167"/>
      <c r="B183" s="167"/>
      <c r="C183" s="167"/>
      <c r="D183" s="167"/>
      <c r="E183" s="167"/>
      <c r="F183" s="167"/>
      <c r="G183" s="167"/>
      <c r="H183" s="167"/>
      <c r="K183" s="174"/>
      <c r="L183" s="604"/>
      <c r="M183" s="604"/>
      <c r="N183" s="604"/>
      <c r="O183" s="604"/>
      <c r="P183" s="604"/>
    </row>
    <row r="184" spans="1:16">
      <c r="A184" s="167"/>
      <c r="B184" s="167"/>
      <c r="C184" s="167"/>
      <c r="D184" s="167"/>
      <c r="E184" s="167"/>
      <c r="F184" s="167"/>
      <c r="G184" s="167"/>
      <c r="H184" s="167"/>
      <c r="K184" s="174"/>
      <c r="L184" s="604"/>
      <c r="M184" s="604"/>
      <c r="N184" s="604"/>
      <c r="O184" s="604"/>
      <c r="P184" s="604"/>
    </row>
    <row r="185" spans="1:16">
      <c r="A185" s="167"/>
      <c r="B185" s="167"/>
      <c r="C185" s="167"/>
      <c r="D185" s="167"/>
      <c r="E185" s="167"/>
      <c r="F185" s="167"/>
      <c r="G185" s="167"/>
      <c r="H185" s="167"/>
      <c r="K185" s="174"/>
      <c r="L185" s="604"/>
      <c r="M185" s="604"/>
      <c r="N185" s="604"/>
      <c r="O185" s="604"/>
      <c r="P185" s="604"/>
    </row>
    <row r="186" spans="1:16">
      <c r="A186" s="167"/>
      <c r="B186" s="167"/>
      <c r="C186" s="167"/>
      <c r="D186" s="167"/>
      <c r="E186" s="167"/>
      <c r="F186" s="167"/>
      <c r="G186" s="167"/>
      <c r="H186" s="167"/>
      <c r="K186" s="174"/>
      <c r="L186" s="604"/>
      <c r="M186" s="604"/>
      <c r="N186" s="604"/>
      <c r="O186" s="604"/>
      <c r="P186" s="604"/>
    </row>
    <row r="187" spans="1:16">
      <c r="A187" s="167"/>
      <c r="B187" s="167"/>
      <c r="C187" s="167"/>
      <c r="D187" s="167"/>
      <c r="E187" s="167"/>
      <c r="F187" s="167"/>
      <c r="G187" s="167"/>
      <c r="H187" s="167"/>
      <c r="K187" s="174"/>
      <c r="L187" s="604"/>
      <c r="M187" s="604"/>
      <c r="N187" s="604"/>
      <c r="O187" s="604"/>
      <c r="P187" s="604"/>
    </row>
    <row r="188" spans="1:16">
      <c r="A188" s="167"/>
      <c r="B188" s="167"/>
      <c r="C188" s="167"/>
      <c r="D188" s="167"/>
      <c r="E188" s="167"/>
      <c r="F188" s="167"/>
      <c r="G188" s="167"/>
      <c r="H188" s="167"/>
      <c r="K188" s="174"/>
      <c r="L188" s="604"/>
      <c r="M188" s="604"/>
      <c r="N188" s="604"/>
      <c r="O188" s="604"/>
      <c r="P188" s="604"/>
    </row>
    <row r="189" spans="1:16">
      <c r="A189" s="167"/>
      <c r="B189" s="167"/>
      <c r="C189" s="167"/>
      <c r="D189" s="167"/>
      <c r="E189" s="167"/>
      <c r="F189" s="167"/>
      <c r="G189" s="167"/>
      <c r="H189" s="167"/>
      <c r="K189" s="174"/>
      <c r="L189" s="604"/>
      <c r="M189" s="604"/>
      <c r="N189" s="604"/>
      <c r="O189" s="604"/>
      <c r="P189" s="604"/>
    </row>
    <row r="190" spans="1:16">
      <c r="A190" s="167"/>
      <c r="B190" s="167"/>
      <c r="C190" s="167"/>
      <c r="D190" s="167"/>
      <c r="E190" s="167"/>
      <c r="F190" s="167"/>
      <c r="G190" s="167"/>
      <c r="H190" s="167"/>
      <c r="K190" s="174"/>
      <c r="L190" s="604"/>
      <c r="M190" s="604"/>
      <c r="N190" s="604"/>
      <c r="O190" s="604"/>
      <c r="P190" s="604"/>
    </row>
    <row r="191" spans="1:16">
      <c r="A191" s="167"/>
      <c r="B191" s="167"/>
      <c r="C191" s="167"/>
      <c r="D191" s="167"/>
      <c r="E191" s="167"/>
      <c r="F191" s="167"/>
      <c r="G191" s="167"/>
      <c r="H191" s="167"/>
      <c r="K191" s="174"/>
      <c r="L191" s="604"/>
      <c r="M191" s="604"/>
      <c r="N191" s="604"/>
      <c r="O191" s="604"/>
      <c r="P191" s="604"/>
    </row>
    <row r="192" spans="1:16">
      <c r="A192" s="167"/>
      <c r="B192" s="167"/>
      <c r="C192" s="167"/>
      <c r="D192" s="167"/>
      <c r="E192" s="167"/>
      <c r="F192" s="167"/>
      <c r="G192" s="167"/>
      <c r="H192" s="167"/>
      <c r="K192" s="174"/>
      <c r="L192" s="604"/>
      <c r="M192" s="604"/>
      <c r="N192" s="604"/>
      <c r="O192" s="604"/>
      <c r="P192" s="604"/>
    </row>
    <row r="193" spans="1:16">
      <c r="A193" s="167"/>
      <c r="B193" s="167"/>
      <c r="C193" s="167"/>
      <c r="D193" s="167"/>
      <c r="E193" s="167"/>
      <c r="F193" s="167"/>
      <c r="G193" s="167"/>
      <c r="H193" s="167"/>
      <c r="K193" s="174"/>
      <c r="L193" s="604"/>
      <c r="M193" s="604"/>
      <c r="N193" s="604"/>
      <c r="O193" s="604"/>
      <c r="P193" s="604"/>
    </row>
    <row r="194" spans="1:16">
      <c r="A194" s="167"/>
      <c r="B194" s="167"/>
      <c r="C194" s="167"/>
      <c r="D194" s="167"/>
      <c r="E194" s="167"/>
      <c r="F194" s="167"/>
      <c r="G194" s="167"/>
      <c r="H194" s="167"/>
      <c r="K194" s="174"/>
      <c r="L194" s="604"/>
      <c r="M194" s="604"/>
      <c r="N194" s="604"/>
      <c r="O194" s="604"/>
      <c r="P194" s="604"/>
    </row>
    <row r="195" spans="1:16">
      <c r="A195" s="167"/>
      <c r="B195" s="167"/>
      <c r="C195" s="167"/>
      <c r="D195" s="167"/>
      <c r="E195" s="167"/>
      <c r="F195" s="167"/>
      <c r="G195" s="167"/>
      <c r="H195" s="167"/>
      <c r="K195" s="174"/>
      <c r="L195" s="604"/>
      <c r="M195" s="604"/>
      <c r="N195" s="604"/>
      <c r="O195" s="604"/>
      <c r="P195" s="604"/>
    </row>
    <row r="196" spans="1:16">
      <c r="A196" s="167"/>
      <c r="B196" s="167"/>
      <c r="C196" s="167"/>
      <c r="D196" s="167"/>
      <c r="E196" s="167"/>
      <c r="F196" s="167"/>
      <c r="G196" s="167"/>
      <c r="H196" s="167"/>
      <c r="K196" s="174"/>
      <c r="L196" s="604"/>
      <c r="M196" s="604"/>
      <c r="N196" s="604"/>
      <c r="O196" s="604"/>
      <c r="P196" s="604"/>
    </row>
    <row r="197" spans="1:16">
      <c r="A197" s="167"/>
      <c r="B197" s="167"/>
      <c r="C197" s="167"/>
      <c r="D197" s="167"/>
      <c r="E197" s="167"/>
      <c r="F197" s="167"/>
      <c r="G197" s="167"/>
      <c r="H197" s="167"/>
      <c r="K197" s="174"/>
      <c r="L197" s="604"/>
      <c r="M197" s="604"/>
      <c r="N197" s="604"/>
      <c r="O197" s="604"/>
      <c r="P197" s="604"/>
    </row>
    <row r="198" spans="1:16">
      <c r="A198" s="167"/>
      <c r="B198" s="167"/>
      <c r="C198" s="167"/>
      <c r="D198" s="167"/>
      <c r="E198" s="167"/>
      <c r="F198" s="167"/>
      <c r="G198" s="167"/>
      <c r="H198" s="167"/>
      <c r="K198" s="174"/>
      <c r="L198" s="604"/>
      <c r="M198" s="604"/>
      <c r="N198" s="604"/>
      <c r="O198" s="604"/>
      <c r="P198" s="604"/>
    </row>
    <row r="199" spans="1:16">
      <c r="A199" s="167"/>
      <c r="B199" s="167"/>
      <c r="C199" s="167"/>
      <c r="D199" s="167"/>
      <c r="E199" s="167"/>
      <c r="F199" s="167"/>
      <c r="G199" s="167"/>
      <c r="H199" s="167"/>
      <c r="K199" s="174"/>
      <c r="L199" s="604"/>
      <c r="M199" s="604"/>
      <c r="N199" s="604"/>
      <c r="O199" s="604"/>
      <c r="P199" s="604"/>
    </row>
    <row r="200" spans="1:16">
      <c r="A200" s="167"/>
      <c r="B200" s="167"/>
      <c r="C200" s="167"/>
      <c r="D200" s="167"/>
      <c r="E200" s="167"/>
      <c r="F200" s="167"/>
      <c r="G200" s="167"/>
      <c r="H200" s="167"/>
      <c r="K200" s="174"/>
      <c r="L200" s="604"/>
      <c r="M200" s="604"/>
      <c r="N200" s="604"/>
      <c r="O200" s="604"/>
      <c r="P200" s="604"/>
    </row>
    <row r="201" spans="1:16">
      <c r="A201" s="167"/>
      <c r="B201" s="167"/>
      <c r="C201" s="167"/>
      <c r="D201" s="167"/>
      <c r="E201" s="167"/>
      <c r="F201" s="167"/>
      <c r="G201" s="167"/>
      <c r="H201" s="167"/>
      <c r="K201" s="174"/>
      <c r="L201" s="604"/>
      <c r="M201" s="604"/>
      <c r="N201" s="604"/>
      <c r="O201" s="604"/>
      <c r="P201" s="604"/>
    </row>
    <row r="202" spans="1:16">
      <c r="A202" s="167"/>
      <c r="B202" s="167"/>
      <c r="C202" s="167"/>
      <c r="D202" s="167"/>
      <c r="E202" s="167"/>
      <c r="F202" s="167"/>
      <c r="G202" s="167"/>
      <c r="H202" s="167"/>
      <c r="K202" s="174"/>
      <c r="L202" s="604"/>
      <c r="M202" s="604"/>
      <c r="N202" s="604"/>
      <c r="O202" s="604"/>
      <c r="P202" s="604"/>
    </row>
    <row r="203" spans="1:16">
      <c r="A203" s="167"/>
      <c r="B203" s="167"/>
      <c r="C203" s="167"/>
      <c r="D203" s="167"/>
      <c r="E203" s="167"/>
      <c r="F203" s="167"/>
      <c r="G203" s="167"/>
      <c r="H203" s="167"/>
      <c r="K203" s="174"/>
      <c r="L203" s="604"/>
      <c r="M203" s="604"/>
      <c r="N203" s="604"/>
      <c r="O203" s="604"/>
      <c r="P203" s="604"/>
    </row>
    <row r="204" spans="1:16">
      <c r="A204" s="167"/>
      <c r="B204" s="167"/>
      <c r="C204" s="167"/>
      <c r="D204" s="167"/>
      <c r="E204" s="167"/>
      <c r="F204" s="167"/>
      <c r="G204" s="167"/>
      <c r="H204" s="167"/>
      <c r="K204" s="174"/>
      <c r="L204" s="604"/>
      <c r="M204" s="604"/>
      <c r="N204" s="604"/>
      <c r="O204" s="604"/>
      <c r="P204" s="604"/>
    </row>
    <row r="205" spans="1:16">
      <c r="A205" s="167"/>
      <c r="B205" s="167"/>
      <c r="C205" s="167"/>
      <c r="D205" s="167"/>
      <c r="E205" s="167"/>
      <c r="F205" s="167"/>
      <c r="G205" s="167"/>
      <c r="H205" s="167"/>
      <c r="K205" s="174"/>
      <c r="L205" s="604"/>
      <c r="M205" s="604"/>
      <c r="N205" s="604"/>
      <c r="O205" s="604"/>
      <c r="P205" s="604"/>
    </row>
    <row r="206" spans="1:16">
      <c r="A206" s="167"/>
      <c r="B206" s="167"/>
      <c r="C206" s="167"/>
      <c r="D206" s="167"/>
      <c r="E206" s="167"/>
      <c r="F206" s="167"/>
      <c r="G206" s="167"/>
      <c r="H206" s="167"/>
      <c r="K206" s="174"/>
      <c r="L206" s="604"/>
      <c r="M206" s="604"/>
      <c r="N206" s="604"/>
      <c r="O206" s="604"/>
      <c r="P206" s="604"/>
    </row>
    <row r="207" spans="1:16">
      <c r="A207" s="167"/>
      <c r="B207" s="167"/>
      <c r="C207" s="167"/>
      <c r="D207" s="167"/>
      <c r="E207" s="167"/>
      <c r="F207" s="167"/>
      <c r="G207" s="167"/>
      <c r="H207" s="167"/>
      <c r="K207" s="174"/>
      <c r="L207" s="604"/>
      <c r="M207" s="604"/>
      <c r="N207" s="604"/>
      <c r="O207" s="604"/>
      <c r="P207" s="604"/>
    </row>
    <row r="208" spans="1:16">
      <c r="A208" s="167"/>
      <c r="B208" s="167"/>
      <c r="C208" s="167"/>
      <c r="D208" s="167"/>
      <c r="E208" s="167"/>
      <c r="F208" s="167"/>
      <c r="G208" s="167"/>
      <c r="H208" s="167"/>
      <c r="K208" s="174"/>
      <c r="L208" s="604"/>
      <c r="M208" s="604"/>
      <c r="N208" s="604"/>
      <c r="O208" s="604"/>
      <c r="P208" s="604"/>
    </row>
    <row r="209" spans="1:16">
      <c r="A209" s="167"/>
      <c r="B209" s="167"/>
      <c r="C209" s="167"/>
      <c r="D209" s="167"/>
      <c r="E209" s="167"/>
      <c r="F209" s="167"/>
      <c r="G209" s="167"/>
      <c r="H209" s="167"/>
      <c r="K209" s="174"/>
      <c r="L209" s="604"/>
      <c r="M209" s="604"/>
      <c r="N209" s="604"/>
      <c r="O209" s="604"/>
      <c r="P209" s="604"/>
    </row>
    <row r="210" spans="1:16">
      <c r="A210" s="167"/>
      <c r="B210" s="167"/>
      <c r="C210" s="167"/>
      <c r="D210" s="167"/>
      <c r="E210" s="167"/>
      <c r="F210" s="167"/>
      <c r="G210" s="167"/>
      <c r="H210" s="167"/>
      <c r="K210" s="174"/>
      <c r="L210" s="604"/>
      <c r="M210" s="604"/>
      <c r="N210" s="604"/>
      <c r="O210" s="604"/>
      <c r="P210" s="604"/>
    </row>
    <row r="211" spans="1:16">
      <c r="A211" s="167"/>
      <c r="B211" s="167"/>
      <c r="C211" s="167"/>
      <c r="D211" s="167"/>
      <c r="E211" s="167"/>
      <c r="F211" s="167"/>
      <c r="G211" s="167"/>
      <c r="H211" s="167"/>
      <c r="K211" s="174"/>
      <c r="L211" s="604"/>
      <c r="M211" s="604"/>
      <c r="N211" s="604"/>
      <c r="O211" s="604"/>
      <c r="P211" s="604"/>
    </row>
    <row r="212" spans="1:16">
      <c r="A212" s="167"/>
      <c r="B212" s="167"/>
      <c r="C212" s="167"/>
      <c r="D212" s="167"/>
      <c r="E212" s="167"/>
      <c r="F212" s="167"/>
      <c r="G212" s="167"/>
      <c r="H212" s="167"/>
      <c r="K212" s="174"/>
      <c r="L212" s="604"/>
      <c r="M212" s="604"/>
      <c r="N212" s="604"/>
      <c r="O212" s="604"/>
      <c r="P212" s="604"/>
    </row>
    <row r="213" spans="1:16">
      <c r="A213" s="167"/>
      <c r="B213" s="167"/>
      <c r="C213" s="167"/>
      <c r="D213" s="167"/>
      <c r="E213" s="167"/>
      <c r="F213" s="167"/>
      <c r="G213" s="167"/>
      <c r="H213" s="167"/>
      <c r="K213" s="174"/>
      <c r="L213" s="604"/>
      <c r="M213" s="604"/>
      <c r="N213" s="604"/>
      <c r="O213" s="604"/>
      <c r="P213" s="604"/>
    </row>
    <row r="214" spans="1:16">
      <c r="A214" s="167"/>
      <c r="B214" s="167"/>
      <c r="C214" s="167"/>
      <c r="D214" s="167"/>
      <c r="E214" s="167"/>
      <c r="F214" s="167"/>
      <c r="G214" s="167"/>
      <c r="H214" s="167"/>
      <c r="K214" s="174"/>
      <c r="L214" s="604"/>
      <c r="M214" s="604"/>
      <c r="N214" s="604"/>
      <c r="O214" s="604"/>
      <c r="P214" s="604"/>
    </row>
    <row r="215" spans="1:16">
      <c r="A215" s="167"/>
      <c r="B215" s="167"/>
      <c r="C215" s="167"/>
      <c r="D215" s="167"/>
      <c r="E215" s="167"/>
      <c r="F215" s="167"/>
      <c r="G215" s="167"/>
      <c r="H215" s="167"/>
      <c r="K215" s="174"/>
      <c r="L215" s="604"/>
      <c r="M215" s="604"/>
      <c r="N215" s="604"/>
      <c r="O215" s="604"/>
      <c r="P215" s="604"/>
    </row>
    <row r="216" spans="1:16">
      <c r="A216" s="167"/>
      <c r="B216" s="167"/>
      <c r="C216" s="167"/>
      <c r="D216" s="167"/>
      <c r="E216" s="167"/>
      <c r="F216" s="167"/>
      <c r="G216" s="167"/>
      <c r="H216" s="167"/>
      <c r="K216" s="174"/>
      <c r="L216" s="604"/>
      <c r="M216" s="604"/>
      <c r="N216" s="604"/>
      <c r="O216" s="604"/>
      <c r="P216" s="604"/>
    </row>
    <row r="217" spans="1:16">
      <c r="A217" s="167"/>
      <c r="B217" s="167"/>
      <c r="C217" s="167"/>
      <c r="D217" s="167"/>
      <c r="E217" s="167"/>
      <c r="F217" s="167"/>
      <c r="G217" s="167"/>
      <c r="H217" s="167"/>
      <c r="K217" s="174"/>
      <c r="L217" s="604"/>
      <c r="M217" s="604"/>
      <c r="N217" s="604"/>
      <c r="O217" s="604"/>
      <c r="P217" s="604"/>
    </row>
    <row r="218" spans="1:16">
      <c r="A218" s="167"/>
      <c r="B218" s="167"/>
      <c r="C218" s="167"/>
      <c r="D218" s="167"/>
      <c r="E218" s="167"/>
      <c r="F218" s="167"/>
      <c r="G218" s="167"/>
      <c r="H218" s="167"/>
      <c r="K218" s="174"/>
      <c r="L218" s="604"/>
      <c r="M218" s="604"/>
      <c r="N218" s="604"/>
      <c r="O218" s="604"/>
      <c r="P218" s="604"/>
    </row>
    <row r="219" spans="1:16">
      <c r="A219" s="167"/>
      <c r="B219" s="167"/>
      <c r="C219" s="167"/>
      <c r="D219" s="167"/>
      <c r="E219" s="167"/>
      <c r="F219" s="167"/>
      <c r="G219" s="167"/>
      <c r="H219" s="167"/>
      <c r="K219" s="174"/>
      <c r="L219" s="604"/>
      <c r="M219" s="604"/>
      <c r="N219" s="604"/>
      <c r="O219" s="604"/>
      <c r="P219" s="604"/>
    </row>
    <row r="220" spans="1:16">
      <c r="A220" s="167"/>
      <c r="B220" s="167"/>
      <c r="C220" s="167"/>
      <c r="D220" s="167"/>
      <c r="E220" s="167"/>
      <c r="F220" s="167"/>
      <c r="G220" s="167"/>
      <c r="H220" s="167"/>
      <c r="K220" s="174"/>
      <c r="L220" s="604"/>
      <c r="M220" s="604"/>
      <c r="N220" s="604"/>
      <c r="O220" s="604"/>
      <c r="P220" s="604"/>
    </row>
    <row r="221" spans="1:16">
      <c r="A221" s="167"/>
      <c r="B221" s="167"/>
      <c r="C221" s="167"/>
      <c r="D221" s="167"/>
      <c r="E221" s="167"/>
      <c r="F221" s="167"/>
      <c r="G221" s="167"/>
      <c r="H221" s="167"/>
      <c r="K221" s="174"/>
      <c r="L221" s="604"/>
      <c r="M221" s="604"/>
      <c r="N221" s="604"/>
      <c r="O221" s="604"/>
      <c r="P221" s="604"/>
    </row>
    <row r="222" spans="1:16">
      <c r="A222" s="167"/>
      <c r="B222" s="167"/>
      <c r="C222" s="167"/>
      <c r="D222" s="167"/>
      <c r="E222" s="167"/>
      <c r="F222" s="167"/>
      <c r="G222" s="167"/>
      <c r="H222" s="167"/>
      <c r="K222" s="174"/>
      <c r="L222" s="604"/>
      <c r="M222" s="604"/>
      <c r="N222" s="604"/>
      <c r="O222" s="604"/>
      <c r="P222" s="604"/>
    </row>
    <row r="223" spans="1:16">
      <c r="A223" s="167"/>
      <c r="B223" s="167"/>
      <c r="C223" s="167"/>
      <c r="D223" s="167"/>
      <c r="E223" s="167"/>
      <c r="F223" s="167"/>
      <c r="G223" s="167"/>
      <c r="H223" s="167"/>
      <c r="K223" s="174"/>
      <c r="L223" s="604"/>
      <c r="M223" s="604"/>
      <c r="N223" s="604"/>
      <c r="O223" s="604"/>
      <c r="P223" s="604"/>
    </row>
    <row r="224" spans="1:16">
      <c r="A224" s="167"/>
      <c r="B224" s="167"/>
      <c r="C224" s="167"/>
      <c r="D224" s="167"/>
      <c r="E224" s="167"/>
      <c r="F224" s="167"/>
      <c r="G224" s="167"/>
      <c r="H224" s="167"/>
      <c r="K224" s="174"/>
      <c r="L224" s="604"/>
      <c r="M224" s="604"/>
      <c r="N224" s="604"/>
      <c r="O224" s="604"/>
      <c r="P224" s="604"/>
    </row>
    <row r="225" spans="1:16">
      <c r="A225" s="167"/>
      <c r="B225" s="167"/>
      <c r="C225" s="167"/>
      <c r="D225" s="167"/>
      <c r="E225" s="167"/>
      <c r="F225" s="167"/>
      <c r="G225" s="167"/>
      <c r="H225" s="167"/>
      <c r="K225" s="174"/>
      <c r="L225" s="604"/>
      <c r="M225" s="604"/>
      <c r="N225" s="604"/>
      <c r="O225" s="604"/>
      <c r="P225" s="604"/>
    </row>
    <row r="226" spans="1:16">
      <c r="A226" s="167"/>
      <c r="B226" s="167"/>
      <c r="C226" s="167"/>
      <c r="D226" s="167"/>
      <c r="E226" s="167"/>
      <c r="F226" s="167"/>
      <c r="G226" s="167"/>
      <c r="H226" s="167"/>
      <c r="K226" s="174"/>
      <c r="L226" s="604"/>
      <c r="M226" s="604"/>
      <c r="N226" s="604"/>
      <c r="O226" s="604"/>
      <c r="P226" s="604"/>
    </row>
    <row r="227" spans="1:16">
      <c r="A227" s="167"/>
      <c r="B227" s="167"/>
      <c r="C227" s="167"/>
      <c r="D227" s="167"/>
      <c r="E227" s="167"/>
      <c r="F227" s="167"/>
      <c r="G227" s="167"/>
      <c r="H227" s="167"/>
      <c r="K227" s="174"/>
      <c r="L227" s="604"/>
      <c r="M227" s="604"/>
      <c r="N227" s="604"/>
      <c r="O227" s="604"/>
      <c r="P227" s="604"/>
    </row>
    <row r="228" spans="1:16">
      <c r="A228" s="167"/>
      <c r="B228" s="167"/>
      <c r="C228" s="167"/>
      <c r="D228" s="167"/>
      <c r="E228" s="167"/>
      <c r="F228" s="167"/>
      <c r="G228" s="167"/>
      <c r="H228" s="167"/>
      <c r="K228" s="174"/>
      <c r="L228" s="604"/>
      <c r="M228" s="604"/>
      <c r="N228" s="604"/>
      <c r="O228" s="604"/>
      <c r="P228" s="604"/>
    </row>
    <row r="229" spans="1:16">
      <c r="A229" s="167"/>
      <c r="B229" s="167"/>
      <c r="C229" s="167"/>
      <c r="D229" s="167"/>
      <c r="E229" s="167"/>
      <c r="F229" s="167"/>
      <c r="G229" s="167"/>
      <c r="H229" s="167"/>
      <c r="K229" s="174"/>
      <c r="L229" s="604"/>
      <c r="M229" s="604"/>
      <c r="N229" s="604"/>
      <c r="O229" s="604"/>
      <c r="P229" s="604"/>
    </row>
    <row r="230" spans="1:16">
      <c r="A230" s="167"/>
      <c r="B230" s="167"/>
      <c r="C230" s="167"/>
      <c r="D230" s="167"/>
      <c r="E230" s="167"/>
      <c r="F230" s="167"/>
      <c r="G230" s="167"/>
      <c r="H230" s="167"/>
      <c r="K230" s="174"/>
      <c r="L230" s="604"/>
      <c r="M230" s="604"/>
      <c r="N230" s="604"/>
      <c r="O230" s="604"/>
      <c r="P230" s="604"/>
    </row>
    <row r="231" spans="1:16">
      <c r="A231" s="167"/>
      <c r="B231" s="167"/>
      <c r="C231" s="167"/>
      <c r="D231" s="167"/>
      <c r="E231" s="167"/>
      <c r="F231" s="167"/>
      <c r="G231" s="167"/>
      <c r="H231" s="167"/>
      <c r="K231" s="174"/>
      <c r="L231" s="604"/>
      <c r="M231" s="604"/>
      <c r="N231" s="604"/>
      <c r="O231" s="604"/>
      <c r="P231" s="604"/>
    </row>
    <row r="232" spans="1:16">
      <c r="A232" s="167"/>
      <c r="B232" s="167"/>
      <c r="C232" s="167"/>
      <c r="D232" s="167"/>
      <c r="E232" s="167"/>
      <c r="F232" s="167"/>
      <c r="G232" s="167"/>
      <c r="H232" s="167"/>
      <c r="K232" s="174"/>
      <c r="L232" s="604"/>
      <c r="M232" s="604"/>
      <c r="N232" s="604"/>
      <c r="O232" s="604"/>
      <c r="P232" s="604"/>
    </row>
    <row r="233" spans="1:16">
      <c r="A233" s="167"/>
      <c r="B233" s="167"/>
      <c r="C233" s="167"/>
      <c r="D233" s="167"/>
      <c r="E233" s="167"/>
      <c r="F233" s="167"/>
      <c r="G233" s="167"/>
      <c r="H233" s="167"/>
      <c r="K233" s="174"/>
      <c r="L233" s="604"/>
      <c r="M233" s="604"/>
      <c r="N233" s="604"/>
      <c r="O233" s="604"/>
      <c r="P233" s="604"/>
    </row>
    <row r="234" spans="1:16">
      <c r="A234" s="167"/>
      <c r="B234" s="167"/>
      <c r="C234" s="167"/>
      <c r="D234" s="167"/>
      <c r="E234" s="167"/>
      <c r="F234" s="167"/>
      <c r="G234" s="167"/>
      <c r="H234" s="167"/>
      <c r="K234" s="174"/>
      <c r="L234" s="604"/>
      <c r="M234" s="604"/>
      <c r="N234" s="604"/>
      <c r="O234" s="604"/>
      <c r="P234" s="604"/>
    </row>
    <row r="235" spans="1:16">
      <c r="A235" s="167"/>
      <c r="B235" s="167"/>
      <c r="C235" s="167"/>
      <c r="D235" s="167"/>
      <c r="E235" s="167"/>
      <c r="F235" s="167"/>
      <c r="G235" s="167"/>
      <c r="H235" s="167"/>
      <c r="K235" s="174"/>
      <c r="L235" s="604"/>
      <c r="M235" s="604"/>
      <c r="N235" s="604"/>
      <c r="O235" s="604"/>
      <c r="P235" s="604"/>
    </row>
    <row r="236" spans="1:16">
      <c r="A236" s="167"/>
      <c r="B236" s="167"/>
      <c r="C236" s="167"/>
      <c r="D236" s="167"/>
      <c r="E236" s="167"/>
      <c r="F236" s="167"/>
      <c r="G236" s="167"/>
      <c r="H236" s="167"/>
      <c r="K236" s="174"/>
      <c r="L236" s="604"/>
      <c r="M236" s="604"/>
      <c r="N236" s="604"/>
      <c r="O236" s="604"/>
      <c r="P236" s="604"/>
    </row>
    <row r="237" spans="1:16">
      <c r="A237" s="167"/>
      <c r="B237" s="167"/>
      <c r="C237" s="167"/>
      <c r="D237" s="167"/>
      <c r="E237" s="167"/>
      <c r="F237" s="167"/>
      <c r="G237" s="167"/>
      <c r="H237" s="167"/>
      <c r="K237" s="174"/>
      <c r="L237" s="604"/>
      <c r="M237" s="604"/>
      <c r="N237" s="604"/>
      <c r="O237" s="604"/>
      <c r="P237" s="604"/>
    </row>
    <row r="238" spans="1:16">
      <c r="A238" s="167"/>
      <c r="B238" s="167"/>
      <c r="C238" s="167"/>
      <c r="D238" s="167"/>
      <c r="E238" s="167"/>
      <c r="F238" s="167"/>
      <c r="G238" s="167"/>
      <c r="H238" s="167"/>
      <c r="K238" s="174"/>
      <c r="L238" s="604"/>
      <c r="M238" s="604"/>
      <c r="N238" s="604"/>
      <c r="O238" s="604"/>
      <c r="P238" s="604"/>
    </row>
    <row r="239" spans="1:16">
      <c r="A239" s="167"/>
      <c r="B239" s="167"/>
      <c r="C239" s="167"/>
      <c r="D239" s="167"/>
      <c r="E239" s="167"/>
      <c r="F239" s="167"/>
      <c r="G239" s="167"/>
      <c r="H239" s="167"/>
      <c r="K239" s="174"/>
      <c r="L239" s="604"/>
      <c r="M239" s="604"/>
      <c r="N239" s="604"/>
      <c r="O239" s="604"/>
      <c r="P239" s="604"/>
    </row>
    <row r="240" spans="1:16">
      <c r="A240" s="167"/>
      <c r="B240" s="167"/>
      <c r="C240" s="167"/>
      <c r="D240" s="167"/>
      <c r="E240" s="167"/>
      <c r="F240" s="167"/>
      <c r="G240" s="167"/>
      <c r="H240" s="167"/>
      <c r="K240" s="174"/>
      <c r="L240" s="604"/>
      <c r="M240" s="604"/>
      <c r="N240" s="604"/>
      <c r="O240" s="604"/>
      <c r="P240" s="604"/>
    </row>
    <row r="241" spans="1:16">
      <c r="A241" s="167"/>
      <c r="B241" s="167"/>
      <c r="C241" s="167"/>
      <c r="D241" s="167"/>
      <c r="E241" s="167"/>
      <c r="F241" s="167"/>
      <c r="G241" s="167"/>
      <c r="H241" s="167"/>
      <c r="K241" s="174"/>
      <c r="L241" s="604"/>
      <c r="M241" s="604"/>
      <c r="N241" s="604"/>
      <c r="O241" s="604"/>
      <c r="P241" s="604"/>
    </row>
    <row r="242" spans="1:16">
      <c r="A242" s="167"/>
      <c r="B242" s="167"/>
      <c r="C242" s="167"/>
      <c r="D242" s="167"/>
      <c r="E242" s="167"/>
      <c r="F242" s="167"/>
      <c r="G242" s="167"/>
      <c r="H242" s="167"/>
      <c r="K242" s="174"/>
      <c r="L242" s="604"/>
      <c r="M242" s="604"/>
      <c r="N242" s="604"/>
      <c r="O242" s="604"/>
      <c r="P242" s="604"/>
    </row>
    <row r="243" spans="1:16">
      <c r="A243" s="167"/>
      <c r="B243" s="167"/>
      <c r="C243" s="167"/>
      <c r="D243" s="167"/>
      <c r="E243" s="167"/>
      <c r="F243" s="167"/>
      <c r="G243" s="167"/>
      <c r="H243" s="167"/>
      <c r="K243" s="174"/>
      <c r="L243" s="604"/>
      <c r="M243" s="604"/>
      <c r="N243" s="604"/>
      <c r="O243" s="604"/>
      <c r="P243" s="604"/>
    </row>
    <row r="244" spans="1:16">
      <c r="A244" s="167"/>
      <c r="B244" s="167"/>
      <c r="C244" s="167"/>
      <c r="D244" s="167"/>
      <c r="E244" s="167"/>
      <c r="F244" s="167"/>
      <c r="G244" s="167"/>
      <c r="H244" s="167"/>
      <c r="K244" s="174"/>
      <c r="L244" s="604"/>
      <c r="M244" s="604"/>
      <c r="N244" s="604"/>
      <c r="O244" s="604"/>
      <c r="P244" s="604"/>
    </row>
    <row r="245" spans="1:16">
      <c r="A245" s="167"/>
      <c r="B245" s="167"/>
      <c r="C245" s="167"/>
      <c r="D245" s="167"/>
      <c r="E245" s="167"/>
      <c r="F245" s="167"/>
      <c r="G245" s="167"/>
      <c r="H245" s="167"/>
      <c r="K245" s="174"/>
      <c r="L245" s="604"/>
      <c r="M245" s="604"/>
      <c r="N245" s="604"/>
      <c r="O245" s="604"/>
      <c r="P245" s="604"/>
    </row>
    <row r="246" spans="1:16">
      <c r="A246" s="167"/>
      <c r="B246" s="167"/>
      <c r="C246" s="167"/>
      <c r="D246" s="167"/>
      <c r="E246" s="167"/>
      <c r="F246" s="167"/>
      <c r="G246" s="167"/>
      <c r="H246" s="167"/>
      <c r="K246" s="174"/>
      <c r="L246" s="604"/>
      <c r="M246" s="604"/>
      <c r="N246" s="604"/>
      <c r="O246" s="604"/>
      <c r="P246" s="604"/>
    </row>
    <row r="247" spans="1:16">
      <c r="A247" s="167"/>
      <c r="B247" s="167"/>
      <c r="C247" s="167"/>
      <c r="D247" s="167"/>
      <c r="E247" s="167"/>
      <c r="F247" s="167"/>
      <c r="G247" s="167"/>
      <c r="H247" s="167"/>
      <c r="K247" s="174"/>
      <c r="L247" s="604"/>
      <c r="M247" s="604"/>
      <c r="N247" s="604"/>
      <c r="O247" s="604"/>
      <c r="P247" s="604"/>
    </row>
    <row r="248" spans="1:16">
      <c r="A248" s="167"/>
      <c r="B248" s="167"/>
      <c r="C248" s="167"/>
      <c r="D248" s="167"/>
      <c r="E248" s="167"/>
      <c r="F248" s="167"/>
      <c r="G248" s="167"/>
      <c r="H248" s="167"/>
      <c r="K248" s="174"/>
      <c r="L248" s="604"/>
      <c r="M248" s="604"/>
      <c r="N248" s="604"/>
      <c r="O248" s="604"/>
      <c r="P248" s="604"/>
    </row>
    <row r="249" spans="1:16">
      <c r="A249" s="167"/>
      <c r="B249" s="167"/>
      <c r="C249" s="167"/>
      <c r="D249" s="167"/>
      <c r="E249" s="167"/>
      <c r="F249" s="167"/>
      <c r="G249" s="167"/>
      <c r="H249" s="167"/>
      <c r="K249" s="174"/>
      <c r="L249" s="604"/>
      <c r="M249" s="604"/>
      <c r="N249" s="604"/>
      <c r="O249" s="604"/>
      <c r="P249" s="604"/>
    </row>
    <row r="250" spans="1:16">
      <c r="A250" s="167"/>
      <c r="B250" s="167"/>
      <c r="C250" s="167"/>
      <c r="D250" s="167"/>
      <c r="E250" s="167"/>
      <c r="F250" s="167"/>
      <c r="G250" s="167"/>
      <c r="H250" s="167"/>
      <c r="K250" s="174"/>
      <c r="L250" s="604"/>
      <c r="M250" s="604"/>
      <c r="N250" s="604"/>
      <c r="O250" s="604"/>
      <c r="P250" s="604"/>
    </row>
    <row r="251" spans="1:16">
      <c r="A251" s="167"/>
      <c r="B251" s="167"/>
      <c r="C251" s="167"/>
      <c r="D251" s="167"/>
      <c r="E251" s="167"/>
      <c r="F251" s="167"/>
      <c r="G251" s="167"/>
      <c r="H251" s="167"/>
      <c r="K251" s="174"/>
      <c r="L251" s="604"/>
      <c r="M251" s="604"/>
      <c r="N251" s="604"/>
      <c r="O251" s="604"/>
      <c r="P251" s="604"/>
    </row>
    <row r="252" spans="1:16">
      <c r="A252" s="167"/>
      <c r="B252" s="167"/>
      <c r="C252" s="167"/>
      <c r="D252" s="167"/>
      <c r="E252" s="167"/>
      <c r="F252" s="167"/>
      <c r="G252" s="167"/>
      <c r="H252" s="167"/>
      <c r="K252" s="174"/>
      <c r="L252" s="604"/>
      <c r="M252" s="604"/>
      <c r="N252" s="604"/>
      <c r="O252" s="604"/>
      <c r="P252" s="604"/>
    </row>
    <row r="253" spans="1:16">
      <c r="A253" s="167"/>
      <c r="B253" s="167"/>
      <c r="C253" s="167"/>
      <c r="D253" s="167"/>
      <c r="E253" s="167"/>
      <c r="F253" s="167"/>
      <c r="G253" s="167"/>
      <c r="H253" s="167"/>
      <c r="K253" s="174"/>
      <c r="L253" s="604"/>
      <c r="M253" s="604"/>
      <c r="N253" s="604"/>
      <c r="O253" s="604"/>
      <c r="P253" s="604"/>
    </row>
    <row r="254" spans="1:16">
      <c r="A254" s="167"/>
      <c r="B254" s="167"/>
      <c r="C254" s="167"/>
      <c r="D254" s="167"/>
      <c r="E254" s="167"/>
      <c r="F254" s="167"/>
      <c r="G254" s="167"/>
      <c r="H254" s="167"/>
      <c r="K254" s="174"/>
      <c r="L254" s="604"/>
      <c r="M254" s="604"/>
      <c r="N254" s="604"/>
      <c r="O254" s="604"/>
      <c r="P254" s="604"/>
    </row>
    <row r="255" spans="1:16">
      <c r="A255" s="167"/>
      <c r="B255" s="167"/>
      <c r="C255" s="167"/>
      <c r="D255" s="167"/>
      <c r="E255" s="167"/>
      <c r="F255" s="167"/>
      <c r="G255" s="167"/>
      <c r="H255" s="167"/>
      <c r="K255" s="174"/>
      <c r="L255" s="604"/>
      <c r="M255" s="604"/>
      <c r="N255" s="604"/>
      <c r="O255" s="604"/>
      <c r="P255" s="604"/>
    </row>
    <row r="256" spans="1:16">
      <c r="A256" s="167"/>
      <c r="B256" s="167"/>
      <c r="C256" s="167"/>
      <c r="D256" s="167"/>
      <c r="E256" s="167"/>
      <c r="F256" s="167"/>
      <c r="G256" s="167"/>
      <c r="H256" s="167"/>
      <c r="K256" s="174"/>
      <c r="L256" s="604"/>
      <c r="M256" s="604"/>
      <c r="N256" s="604"/>
      <c r="O256" s="604"/>
      <c r="P256" s="604"/>
    </row>
    <row r="257" spans="1:16">
      <c r="A257" s="167"/>
      <c r="B257" s="167"/>
      <c r="C257" s="167"/>
      <c r="D257" s="167"/>
      <c r="E257" s="167"/>
      <c r="F257" s="167"/>
      <c r="G257" s="167"/>
      <c r="H257" s="167"/>
      <c r="K257" s="174"/>
      <c r="L257" s="604"/>
      <c r="M257" s="604"/>
      <c r="N257" s="604"/>
      <c r="O257" s="604"/>
      <c r="P257" s="604"/>
    </row>
    <row r="258" spans="1:16">
      <c r="A258" s="167"/>
      <c r="B258" s="167"/>
      <c r="C258" s="167"/>
      <c r="D258" s="167"/>
      <c r="E258" s="167"/>
      <c r="F258" s="167"/>
      <c r="G258" s="167"/>
      <c r="H258" s="167"/>
      <c r="K258" s="174"/>
      <c r="L258" s="604"/>
      <c r="M258" s="604"/>
      <c r="N258" s="604"/>
      <c r="O258" s="604"/>
      <c r="P258" s="604"/>
    </row>
    <row r="259" spans="1:16">
      <c r="A259" s="167"/>
      <c r="B259" s="167"/>
      <c r="C259" s="167"/>
      <c r="D259" s="167"/>
      <c r="E259" s="167"/>
      <c r="F259" s="167"/>
      <c r="G259" s="167"/>
      <c r="H259" s="167"/>
      <c r="K259" s="174"/>
      <c r="L259" s="604"/>
      <c r="M259" s="604"/>
      <c r="N259" s="604"/>
      <c r="O259" s="604"/>
      <c r="P259" s="604"/>
    </row>
    <row r="260" spans="1:16">
      <c r="A260" s="167"/>
      <c r="B260" s="167"/>
      <c r="C260" s="167"/>
      <c r="D260" s="167"/>
      <c r="E260" s="167"/>
      <c r="F260" s="167"/>
      <c r="G260" s="167"/>
      <c r="H260" s="167"/>
      <c r="K260" s="174"/>
      <c r="L260" s="604"/>
      <c r="M260" s="604"/>
      <c r="N260" s="604"/>
      <c r="O260" s="604"/>
      <c r="P260" s="604"/>
    </row>
    <row r="261" spans="1:16">
      <c r="A261" s="167"/>
      <c r="B261" s="167"/>
      <c r="C261" s="167"/>
      <c r="D261" s="167"/>
      <c r="E261" s="167"/>
      <c r="F261" s="167"/>
      <c r="G261" s="167"/>
      <c r="H261" s="167"/>
      <c r="K261" s="174"/>
      <c r="L261" s="604"/>
      <c r="M261" s="604"/>
      <c r="N261" s="604"/>
      <c r="O261" s="604"/>
      <c r="P261" s="604"/>
    </row>
    <row r="262" spans="1:16">
      <c r="A262" s="167"/>
      <c r="B262" s="167"/>
      <c r="C262" s="167"/>
      <c r="D262" s="167"/>
      <c r="E262" s="167"/>
      <c r="F262" s="167"/>
      <c r="G262" s="167"/>
      <c r="H262" s="167"/>
      <c r="K262" s="174"/>
      <c r="L262" s="604"/>
      <c r="M262" s="604"/>
      <c r="N262" s="604"/>
      <c r="O262" s="604"/>
      <c r="P262" s="604"/>
    </row>
    <row r="263" spans="1:16">
      <c r="A263" s="167"/>
      <c r="B263" s="167"/>
      <c r="C263" s="167"/>
      <c r="D263" s="167"/>
      <c r="E263" s="167"/>
      <c r="F263" s="167"/>
      <c r="G263" s="167"/>
      <c r="H263" s="167"/>
      <c r="K263" s="174"/>
      <c r="L263" s="604"/>
      <c r="M263" s="604"/>
      <c r="N263" s="604"/>
      <c r="O263" s="604"/>
      <c r="P263" s="604"/>
    </row>
    <row r="264" spans="1:16">
      <c r="A264" s="167"/>
      <c r="B264" s="167"/>
      <c r="C264" s="167"/>
      <c r="D264" s="167"/>
      <c r="E264" s="167"/>
      <c r="F264" s="167"/>
      <c r="G264" s="167"/>
      <c r="H264" s="167"/>
      <c r="K264" s="174"/>
      <c r="L264" s="604"/>
      <c r="M264" s="604"/>
      <c r="N264" s="604"/>
      <c r="O264" s="604"/>
      <c r="P264" s="604"/>
    </row>
    <row r="265" spans="1:16">
      <c r="A265" s="167"/>
      <c r="B265" s="167"/>
      <c r="C265" s="167"/>
      <c r="D265" s="167"/>
      <c r="E265" s="167"/>
      <c r="F265" s="167"/>
      <c r="G265" s="167"/>
      <c r="H265" s="167"/>
      <c r="K265" s="174"/>
      <c r="L265" s="604"/>
      <c r="M265" s="604"/>
      <c r="N265" s="604"/>
      <c r="O265" s="604"/>
      <c r="P265" s="604"/>
    </row>
    <row r="266" spans="1:16">
      <c r="A266" s="167"/>
      <c r="B266" s="167"/>
      <c r="C266" s="167"/>
      <c r="D266" s="167"/>
      <c r="E266" s="167"/>
      <c r="F266" s="167"/>
      <c r="G266" s="167"/>
      <c r="H266" s="167"/>
      <c r="K266" s="174"/>
      <c r="L266" s="604"/>
      <c r="M266" s="604"/>
      <c r="N266" s="604"/>
      <c r="O266" s="604"/>
      <c r="P266" s="604"/>
    </row>
    <row r="267" spans="1:16">
      <c r="A267" s="167"/>
      <c r="B267" s="167"/>
      <c r="C267" s="167"/>
      <c r="D267" s="167"/>
      <c r="E267" s="167"/>
      <c r="F267" s="167"/>
      <c r="G267" s="167"/>
      <c r="H267" s="167"/>
      <c r="K267" s="174"/>
      <c r="L267" s="604"/>
      <c r="M267" s="604"/>
      <c r="N267" s="604"/>
      <c r="O267" s="604"/>
      <c r="P267" s="604"/>
    </row>
    <row r="268" spans="1:16">
      <c r="A268" s="167"/>
      <c r="B268" s="167"/>
      <c r="C268" s="167"/>
      <c r="D268" s="167"/>
      <c r="E268" s="167"/>
      <c r="F268" s="167"/>
      <c r="G268" s="167"/>
      <c r="H268" s="167"/>
      <c r="K268" s="174"/>
      <c r="L268" s="604"/>
      <c r="M268" s="604"/>
      <c r="N268" s="604"/>
      <c r="O268" s="604"/>
      <c r="P268" s="604"/>
    </row>
    <row r="269" spans="1:16">
      <c r="A269" s="167"/>
      <c r="B269" s="167"/>
      <c r="C269" s="167"/>
      <c r="D269" s="167"/>
      <c r="E269" s="167"/>
      <c r="F269" s="167"/>
      <c r="G269" s="167"/>
      <c r="H269" s="167"/>
      <c r="K269" s="174"/>
      <c r="L269" s="604"/>
      <c r="M269" s="604"/>
      <c r="N269" s="604"/>
      <c r="O269" s="604"/>
      <c r="P269" s="604"/>
    </row>
    <row r="270" spans="1:16">
      <c r="A270" s="167"/>
      <c r="B270" s="167"/>
      <c r="C270" s="167"/>
      <c r="D270" s="167"/>
      <c r="E270" s="167"/>
      <c r="F270" s="167"/>
      <c r="G270" s="167"/>
      <c r="H270" s="167"/>
      <c r="K270" s="174"/>
      <c r="L270" s="604"/>
      <c r="M270" s="604"/>
      <c r="N270" s="604"/>
      <c r="O270" s="604"/>
      <c r="P270" s="604"/>
    </row>
    <row r="271" spans="1:16">
      <c r="A271" s="167"/>
      <c r="B271" s="167"/>
      <c r="C271" s="167"/>
      <c r="D271" s="167"/>
      <c r="E271" s="167"/>
      <c r="F271" s="167"/>
      <c r="G271" s="167"/>
      <c r="H271" s="167"/>
      <c r="K271" s="174"/>
      <c r="L271" s="604"/>
      <c r="M271" s="604"/>
      <c r="N271" s="604"/>
      <c r="O271" s="604"/>
      <c r="P271" s="604"/>
    </row>
    <row r="272" spans="1:16">
      <c r="A272" s="167"/>
      <c r="B272" s="167"/>
      <c r="C272" s="167"/>
      <c r="D272" s="167"/>
      <c r="E272" s="167"/>
      <c r="F272" s="167"/>
      <c r="G272" s="167"/>
      <c r="H272" s="167"/>
      <c r="K272" s="174"/>
      <c r="L272" s="604"/>
      <c r="M272" s="604"/>
      <c r="N272" s="604"/>
      <c r="O272" s="604"/>
      <c r="P272" s="604"/>
    </row>
    <row r="273" spans="1:16">
      <c r="A273" s="167"/>
      <c r="B273" s="167"/>
      <c r="C273" s="167"/>
      <c r="D273" s="167"/>
      <c r="E273" s="167"/>
      <c r="F273" s="167"/>
      <c r="G273" s="167"/>
      <c r="H273" s="167"/>
      <c r="K273" s="174"/>
      <c r="L273" s="604"/>
      <c r="M273" s="604"/>
      <c r="N273" s="604"/>
      <c r="O273" s="604"/>
      <c r="P273" s="604"/>
    </row>
    <row r="274" spans="1:16">
      <c r="A274" s="167"/>
      <c r="B274" s="167"/>
      <c r="C274" s="167"/>
      <c r="D274" s="167"/>
      <c r="E274" s="167"/>
      <c r="F274" s="167"/>
      <c r="G274" s="167"/>
      <c r="H274" s="167"/>
      <c r="K274" s="174"/>
      <c r="L274" s="604"/>
      <c r="M274" s="604"/>
      <c r="N274" s="604"/>
      <c r="O274" s="604"/>
      <c r="P274" s="604"/>
    </row>
    <row r="275" spans="1:16">
      <c r="A275" s="167"/>
      <c r="B275" s="167"/>
      <c r="C275" s="167"/>
      <c r="D275" s="167"/>
      <c r="E275" s="167"/>
      <c r="F275" s="167"/>
      <c r="G275" s="167"/>
      <c r="H275" s="167"/>
      <c r="K275" s="174"/>
      <c r="L275" s="604"/>
      <c r="M275" s="604"/>
      <c r="N275" s="604"/>
      <c r="O275" s="604"/>
      <c r="P275" s="604"/>
    </row>
    <row r="276" spans="1:16">
      <c r="A276" s="167"/>
      <c r="B276" s="167"/>
      <c r="C276" s="167"/>
      <c r="D276" s="167"/>
      <c r="E276" s="167"/>
      <c r="F276" s="167"/>
      <c r="G276" s="167"/>
      <c r="H276" s="167"/>
      <c r="K276" s="174"/>
      <c r="L276" s="604"/>
      <c r="M276" s="604"/>
      <c r="N276" s="604"/>
      <c r="O276" s="604"/>
      <c r="P276" s="604"/>
    </row>
    <row r="277" spans="1:16">
      <c r="A277" s="167"/>
      <c r="B277" s="167"/>
      <c r="C277" s="167"/>
      <c r="D277" s="167"/>
      <c r="E277" s="167"/>
      <c r="F277" s="167"/>
      <c r="G277" s="167"/>
      <c r="H277" s="167"/>
      <c r="K277" s="174"/>
      <c r="L277" s="604"/>
      <c r="M277" s="604"/>
      <c r="N277" s="604"/>
      <c r="O277" s="604"/>
      <c r="P277" s="604"/>
    </row>
    <row r="278" spans="1:16">
      <c r="A278" s="167"/>
      <c r="B278" s="167"/>
      <c r="C278" s="167"/>
      <c r="D278" s="167"/>
      <c r="E278" s="167"/>
      <c r="F278" s="167"/>
      <c r="G278" s="167"/>
      <c r="H278" s="167"/>
      <c r="K278" s="174"/>
      <c r="L278" s="604"/>
      <c r="M278" s="604"/>
      <c r="N278" s="604"/>
      <c r="O278" s="604"/>
      <c r="P278" s="604"/>
    </row>
    <row r="279" spans="1:16">
      <c r="A279" s="167"/>
      <c r="B279" s="167"/>
      <c r="C279" s="167"/>
      <c r="D279" s="167"/>
      <c r="E279" s="167"/>
      <c r="F279" s="167"/>
      <c r="G279" s="167"/>
      <c r="H279" s="167"/>
      <c r="K279" s="174"/>
      <c r="L279" s="604"/>
      <c r="M279" s="604"/>
      <c r="N279" s="604"/>
      <c r="O279" s="604"/>
      <c r="P279" s="604"/>
    </row>
    <row r="280" spans="1:16">
      <c r="A280" s="167"/>
      <c r="B280" s="167"/>
      <c r="C280" s="167"/>
      <c r="D280" s="167"/>
      <c r="E280" s="167"/>
      <c r="F280" s="167"/>
      <c r="G280" s="167"/>
      <c r="H280" s="167"/>
      <c r="K280" s="174"/>
      <c r="L280" s="604"/>
      <c r="M280" s="604"/>
      <c r="N280" s="604"/>
      <c r="O280" s="604"/>
      <c r="P280" s="604"/>
    </row>
    <row r="281" spans="1:16">
      <c r="A281" s="167"/>
      <c r="B281" s="167"/>
      <c r="C281" s="167"/>
      <c r="D281" s="167"/>
      <c r="E281" s="167"/>
      <c r="F281" s="167"/>
      <c r="G281" s="167"/>
      <c r="H281" s="167"/>
      <c r="K281" s="174"/>
      <c r="L281" s="604"/>
      <c r="M281" s="604"/>
      <c r="N281" s="604"/>
      <c r="O281" s="604"/>
      <c r="P281" s="604"/>
    </row>
    <row r="282" spans="1:16">
      <c r="A282" s="167"/>
      <c r="B282" s="167"/>
      <c r="C282" s="167"/>
      <c r="D282" s="167"/>
      <c r="E282" s="167"/>
      <c r="F282" s="167"/>
      <c r="G282" s="167"/>
      <c r="H282" s="167"/>
      <c r="K282" s="174"/>
      <c r="L282" s="604"/>
      <c r="M282" s="604"/>
      <c r="N282" s="604"/>
      <c r="O282" s="604"/>
      <c r="P282" s="604"/>
    </row>
    <row r="283" spans="1:16">
      <c r="A283" s="167"/>
      <c r="B283" s="167"/>
      <c r="C283" s="167"/>
      <c r="D283" s="167"/>
      <c r="E283" s="167"/>
      <c r="F283" s="167"/>
      <c r="G283" s="167"/>
      <c r="H283" s="167"/>
      <c r="K283" s="174"/>
      <c r="L283" s="604"/>
      <c r="M283" s="604"/>
      <c r="N283" s="604"/>
      <c r="O283" s="604"/>
      <c r="P283" s="604"/>
    </row>
    <row r="284" spans="1:16">
      <c r="A284" s="167"/>
      <c r="B284" s="167"/>
      <c r="C284" s="167"/>
      <c r="D284" s="167"/>
      <c r="E284" s="167"/>
      <c r="F284" s="167"/>
      <c r="G284" s="167"/>
      <c r="H284" s="167"/>
      <c r="K284" s="174"/>
      <c r="L284" s="604"/>
      <c r="M284" s="604"/>
      <c r="N284" s="604"/>
      <c r="O284" s="604"/>
      <c r="P284" s="604"/>
    </row>
    <row r="285" spans="1:16">
      <c r="A285" s="167"/>
      <c r="B285" s="167"/>
      <c r="C285" s="167"/>
      <c r="D285" s="167"/>
      <c r="E285" s="167"/>
      <c r="F285" s="167"/>
      <c r="G285" s="167"/>
      <c r="H285" s="167"/>
      <c r="K285" s="174"/>
      <c r="L285" s="604"/>
      <c r="M285" s="604"/>
      <c r="N285" s="604"/>
      <c r="O285" s="604"/>
      <c r="P285" s="604"/>
    </row>
    <row r="286" spans="1:16">
      <c r="A286" s="167"/>
      <c r="B286" s="167"/>
      <c r="C286" s="167"/>
      <c r="D286" s="167"/>
      <c r="E286" s="167"/>
      <c r="F286" s="167"/>
      <c r="G286" s="167"/>
      <c r="H286" s="167"/>
      <c r="K286" s="174"/>
      <c r="L286" s="604"/>
      <c r="M286" s="604"/>
      <c r="N286" s="604"/>
      <c r="O286" s="604"/>
      <c r="P286" s="604"/>
    </row>
    <row r="287" spans="1:16">
      <c r="A287" s="167"/>
      <c r="B287" s="167"/>
      <c r="C287" s="167"/>
      <c r="D287" s="167"/>
      <c r="E287" s="167"/>
      <c r="F287" s="167"/>
      <c r="G287" s="167"/>
      <c r="H287" s="167"/>
      <c r="K287" s="174"/>
      <c r="L287" s="604"/>
      <c r="M287" s="604"/>
      <c r="N287" s="604"/>
      <c r="O287" s="604"/>
      <c r="P287" s="604"/>
    </row>
    <row r="288" spans="1:16">
      <c r="A288" s="167"/>
      <c r="B288" s="167"/>
      <c r="C288" s="167"/>
      <c r="D288" s="167"/>
      <c r="E288" s="167"/>
      <c r="F288" s="167"/>
      <c r="G288" s="167"/>
      <c r="H288" s="167"/>
      <c r="K288" s="174"/>
      <c r="L288" s="604"/>
      <c r="M288" s="604"/>
      <c r="N288" s="604"/>
      <c r="O288" s="604"/>
      <c r="P288" s="604"/>
    </row>
    <row r="289" spans="1:16">
      <c r="A289" s="167"/>
      <c r="B289" s="167"/>
      <c r="C289" s="167"/>
      <c r="D289" s="167"/>
      <c r="E289" s="167"/>
      <c r="F289" s="167"/>
      <c r="G289" s="167"/>
      <c r="H289" s="167"/>
      <c r="K289" s="174"/>
      <c r="L289" s="604"/>
      <c r="M289" s="604"/>
      <c r="N289" s="604"/>
      <c r="O289" s="604"/>
      <c r="P289" s="604"/>
    </row>
    <row r="290" spans="1:16">
      <c r="A290" s="167"/>
      <c r="B290" s="167"/>
      <c r="C290" s="167"/>
      <c r="D290" s="167"/>
      <c r="E290" s="167"/>
      <c r="F290" s="167"/>
      <c r="G290" s="167"/>
      <c r="H290" s="167"/>
      <c r="K290" s="174"/>
      <c r="L290" s="604"/>
      <c r="M290" s="604"/>
      <c r="N290" s="604"/>
      <c r="O290" s="604"/>
      <c r="P290" s="604"/>
    </row>
    <row r="291" spans="1:16">
      <c r="A291" s="167"/>
      <c r="B291" s="167"/>
      <c r="C291" s="167"/>
      <c r="D291" s="167"/>
      <c r="E291" s="167"/>
      <c r="F291" s="167"/>
      <c r="G291" s="167"/>
      <c r="H291" s="167"/>
      <c r="K291" s="174"/>
      <c r="L291" s="604"/>
      <c r="M291" s="604"/>
      <c r="N291" s="604"/>
      <c r="O291" s="604"/>
      <c r="P291" s="604"/>
    </row>
    <row r="292" spans="1:16">
      <c r="A292" s="167"/>
      <c r="B292" s="167"/>
      <c r="C292" s="167"/>
      <c r="D292" s="167"/>
      <c r="E292" s="167"/>
      <c r="F292" s="167"/>
      <c r="G292" s="167"/>
      <c r="H292" s="167"/>
      <c r="K292" s="174"/>
      <c r="L292" s="604"/>
      <c r="M292" s="604"/>
      <c r="N292" s="604"/>
      <c r="O292" s="604"/>
      <c r="P292" s="604"/>
    </row>
    <row r="293" spans="1:16">
      <c r="A293" s="167"/>
      <c r="B293" s="167"/>
      <c r="C293" s="167"/>
      <c r="D293" s="167"/>
      <c r="E293" s="167"/>
      <c r="F293" s="167"/>
      <c r="G293" s="167"/>
      <c r="H293" s="167"/>
      <c r="K293" s="174"/>
      <c r="L293" s="604"/>
      <c r="M293" s="604"/>
      <c r="N293" s="604"/>
      <c r="O293" s="604"/>
      <c r="P293" s="604"/>
    </row>
    <row r="294" spans="1:16">
      <c r="A294" s="167"/>
      <c r="B294" s="167"/>
      <c r="C294" s="167"/>
      <c r="D294" s="167"/>
      <c r="E294" s="167"/>
      <c r="F294" s="167"/>
      <c r="G294" s="167"/>
      <c r="H294" s="167"/>
      <c r="K294" s="174"/>
      <c r="L294" s="604"/>
      <c r="M294" s="604"/>
      <c r="N294" s="604"/>
      <c r="O294" s="604"/>
      <c r="P294" s="604"/>
    </row>
    <row r="295" spans="1:16">
      <c r="A295" s="167"/>
      <c r="B295" s="167"/>
      <c r="C295" s="167"/>
      <c r="D295" s="167"/>
      <c r="E295" s="167"/>
      <c r="F295" s="167"/>
      <c r="G295" s="167"/>
      <c r="H295" s="167"/>
      <c r="K295" s="174"/>
      <c r="L295" s="604"/>
      <c r="M295" s="604"/>
      <c r="N295" s="604"/>
      <c r="O295" s="604"/>
      <c r="P295" s="604"/>
    </row>
    <row r="296" spans="1:16">
      <c r="A296" s="167"/>
      <c r="B296" s="167"/>
      <c r="C296" s="167"/>
      <c r="D296" s="167"/>
      <c r="E296" s="167"/>
      <c r="F296" s="167"/>
      <c r="G296" s="167"/>
      <c r="H296" s="167"/>
      <c r="K296" s="174"/>
      <c r="L296" s="604"/>
      <c r="M296" s="604"/>
      <c r="N296" s="604"/>
      <c r="O296" s="604"/>
      <c r="P296" s="604"/>
    </row>
    <row r="297" spans="1:16">
      <c r="A297" s="167"/>
      <c r="B297" s="167"/>
      <c r="C297" s="167"/>
      <c r="D297" s="167"/>
      <c r="E297" s="167"/>
      <c r="F297" s="167"/>
      <c r="G297" s="167"/>
      <c r="H297" s="167"/>
      <c r="K297" s="174"/>
      <c r="L297" s="604"/>
      <c r="M297" s="604"/>
      <c r="N297" s="604"/>
      <c r="O297" s="604"/>
      <c r="P297" s="604"/>
    </row>
    <row r="298" spans="1:16">
      <c r="A298" s="167"/>
      <c r="B298" s="167"/>
      <c r="C298" s="167"/>
      <c r="D298" s="167"/>
      <c r="E298" s="167"/>
      <c r="F298" s="167"/>
      <c r="G298" s="167"/>
      <c r="H298" s="167"/>
      <c r="K298" s="174"/>
      <c r="L298" s="604"/>
      <c r="M298" s="604"/>
      <c r="N298" s="604"/>
      <c r="O298" s="604"/>
      <c r="P298" s="604"/>
    </row>
    <row r="299" spans="1:16">
      <c r="A299" s="167"/>
      <c r="B299" s="167"/>
      <c r="C299" s="167"/>
      <c r="D299" s="167"/>
      <c r="E299" s="167"/>
      <c r="F299" s="167"/>
      <c r="G299" s="167"/>
      <c r="H299" s="167"/>
      <c r="K299" s="174"/>
      <c r="L299" s="604"/>
      <c r="M299" s="604"/>
      <c r="N299" s="604"/>
      <c r="O299" s="604"/>
      <c r="P299" s="604"/>
    </row>
    <row r="300" spans="1:16">
      <c r="A300" s="167"/>
      <c r="B300" s="167"/>
      <c r="C300" s="167"/>
      <c r="D300" s="167"/>
      <c r="E300" s="167"/>
      <c r="F300" s="167"/>
      <c r="G300" s="167"/>
      <c r="H300" s="167"/>
      <c r="K300" s="174"/>
      <c r="L300" s="604"/>
      <c r="M300" s="604"/>
      <c r="N300" s="604"/>
      <c r="O300" s="604"/>
      <c r="P300" s="604"/>
    </row>
    <row r="301" spans="1:16">
      <c r="A301" s="167"/>
      <c r="B301" s="167"/>
      <c r="C301" s="167"/>
      <c r="D301" s="167"/>
      <c r="E301" s="167"/>
      <c r="F301" s="167"/>
      <c r="G301" s="167"/>
      <c r="H301" s="167"/>
      <c r="K301" s="174"/>
      <c r="L301" s="604"/>
      <c r="M301" s="604"/>
      <c r="N301" s="604"/>
      <c r="O301" s="604"/>
      <c r="P301" s="604"/>
    </row>
    <row r="302" spans="1:16">
      <c r="A302" s="167"/>
      <c r="B302" s="167"/>
      <c r="C302" s="167"/>
      <c r="D302" s="167"/>
      <c r="E302" s="167"/>
      <c r="F302" s="167"/>
      <c r="G302" s="167"/>
      <c r="H302" s="167"/>
      <c r="K302" s="174"/>
      <c r="L302" s="604"/>
      <c r="M302" s="604"/>
      <c r="N302" s="604"/>
      <c r="O302" s="604"/>
      <c r="P302" s="604"/>
    </row>
    <row r="303" spans="1:16">
      <c r="A303" s="167"/>
      <c r="B303" s="167"/>
      <c r="C303" s="167"/>
      <c r="D303" s="167"/>
      <c r="E303" s="167"/>
      <c r="F303" s="167"/>
      <c r="G303" s="167"/>
      <c r="H303" s="167"/>
      <c r="K303" s="174"/>
      <c r="L303" s="604"/>
      <c r="M303" s="604"/>
      <c r="N303" s="604"/>
      <c r="O303" s="604"/>
      <c r="P303" s="604"/>
    </row>
    <row r="304" spans="1:16">
      <c r="A304" s="167"/>
      <c r="B304" s="167"/>
      <c r="C304" s="167"/>
      <c r="D304" s="167"/>
      <c r="E304" s="167"/>
      <c r="F304" s="167"/>
      <c r="G304" s="167"/>
      <c r="H304" s="167"/>
      <c r="K304" s="174"/>
      <c r="L304" s="604"/>
      <c r="M304" s="604"/>
      <c r="N304" s="604"/>
      <c r="O304" s="604"/>
      <c r="P304" s="604"/>
    </row>
    <row r="305" spans="1:16">
      <c r="A305" s="167"/>
      <c r="B305" s="167"/>
      <c r="C305" s="167"/>
      <c r="D305" s="167"/>
      <c r="E305" s="167"/>
      <c r="F305" s="167"/>
      <c r="G305" s="167"/>
      <c r="H305" s="167"/>
      <c r="K305" s="174"/>
      <c r="L305" s="604"/>
      <c r="M305" s="604"/>
      <c r="N305" s="604"/>
      <c r="O305" s="604"/>
      <c r="P305" s="604"/>
    </row>
    <row r="306" spans="1:16">
      <c r="A306" s="167"/>
      <c r="B306" s="167"/>
      <c r="C306" s="167"/>
      <c r="D306" s="167"/>
      <c r="E306" s="167"/>
      <c r="F306" s="167"/>
      <c r="G306" s="167"/>
      <c r="H306" s="167"/>
      <c r="K306" s="174"/>
      <c r="L306" s="604"/>
      <c r="M306" s="604"/>
      <c r="N306" s="604"/>
      <c r="O306" s="604"/>
      <c r="P306" s="604"/>
    </row>
    <row r="307" spans="1:16">
      <c r="A307" s="167"/>
      <c r="B307" s="167"/>
      <c r="C307" s="167"/>
      <c r="D307" s="167"/>
      <c r="E307" s="167"/>
      <c r="F307" s="167"/>
      <c r="G307" s="167"/>
      <c r="H307" s="167"/>
      <c r="K307" s="174"/>
      <c r="L307" s="604"/>
      <c r="M307" s="604"/>
      <c r="N307" s="604"/>
      <c r="O307" s="604"/>
      <c r="P307" s="604"/>
    </row>
    <row r="308" spans="1:16">
      <c r="A308" s="167"/>
      <c r="B308" s="167"/>
      <c r="C308" s="167"/>
      <c r="D308" s="167"/>
      <c r="E308" s="167"/>
      <c r="F308" s="167"/>
      <c r="G308" s="167"/>
      <c r="H308" s="167"/>
      <c r="K308" s="174"/>
      <c r="L308" s="604"/>
      <c r="M308" s="604"/>
      <c r="N308" s="604"/>
      <c r="O308" s="604"/>
      <c r="P308" s="604"/>
    </row>
    <row r="309" spans="1:16">
      <c r="A309" s="167"/>
      <c r="B309" s="167"/>
      <c r="C309" s="167"/>
      <c r="D309" s="167"/>
      <c r="E309" s="167"/>
      <c r="F309" s="167"/>
      <c r="G309" s="167"/>
      <c r="H309" s="167"/>
      <c r="K309" s="174"/>
      <c r="L309" s="604"/>
      <c r="M309" s="604"/>
      <c r="N309" s="604"/>
      <c r="O309" s="604"/>
      <c r="P309" s="604"/>
    </row>
    <row r="310" spans="1:16">
      <c r="A310" s="167"/>
      <c r="B310" s="167"/>
      <c r="C310" s="167"/>
      <c r="D310" s="167"/>
      <c r="E310" s="167"/>
      <c r="F310" s="167"/>
      <c r="G310" s="167"/>
      <c r="H310" s="167"/>
      <c r="K310" s="174"/>
      <c r="L310" s="604"/>
      <c r="M310" s="604"/>
      <c r="N310" s="604"/>
      <c r="O310" s="604"/>
      <c r="P310" s="604"/>
    </row>
    <row r="311" spans="1:16">
      <c r="A311" s="167"/>
      <c r="B311" s="167"/>
      <c r="C311" s="167"/>
      <c r="D311" s="167"/>
      <c r="E311" s="167"/>
      <c r="F311" s="167"/>
      <c r="G311" s="167"/>
      <c r="H311" s="167"/>
      <c r="K311" s="174"/>
      <c r="L311" s="604"/>
      <c r="M311" s="604"/>
      <c r="N311" s="604"/>
      <c r="O311" s="604"/>
      <c r="P311" s="604"/>
    </row>
    <row r="312" spans="1:16">
      <c r="A312" s="167"/>
      <c r="B312" s="167"/>
      <c r="C312" s="167"/>
      <c r="D312" s="167"/>
      <c r="E312" s="167"/>
      <c r="F312" s="167"/>
      <c r="G312" s="167"/>
      <c r="H312" s="167"/>
      <c r="K312" s="174"/>
      <c r="L312" s="604"/>
      <c r="M312" s="604"/>
      <c r="N312" s="604"/>
      <c r="O312" s="604"/>
      <c r="P312" s="604"/>
    </row>
    <row r="313" spans="1:16">
      <c r="A313" s="167"/>
      <c r="B313" s="167"/>
      <c r="C313" s="167"/>
      <c r="D313" s="167"/>
      <c r="E313" s="167"/>
      <c r="F313" s="167"/>
      <c r="G313" s="167"/>
      <c r="H313" s="167"/>
      <c r="K313" s="174"/>
      <c r="L313" s="604"/>
      <c r="M313" s="604"/>
      <c r="N313" s="604"/>
      <c r="O313" s="604"/>
      <c r="P313" s="604"/>
    </row>
    <row r="314" spans="1:16">
      <c r="A314" s="167"/>
      <c r="B314" s="167"/>
      <c r="C314" s="167"/>
      <c r="D314" s="167"/>
      <c r="E314" s="167"/>
      <c r="F314" s="167"/>
      <c r="G314" s="167"/>
      <c r="H314" s="167"/>
      <c r="L314" s="604"/>
      <c r="M314" s="604"/>
      <c r="N314" s="604"/>
      <c r="O314" s="604"/>
      <c r="P314" s="604"/>
    </row>
    <row r="315" spans="1:16">
      <c r="A315" s="167"/>
      <c r="B315" s="167"/>
      <c r="C315" s="167"/>
      <c r="D315" s="167"/>
      <c r="E315" s="167"/>
      <c r="F315" s="167"/>
      <c r="G315" s="167"/>
      <c r="H315" s="167"/>
      <c r="L315" s="604"/>
      <c r="M315" s="604"/>
      <c r="N315" s="604"/>
      <c r="O315" s="604"/>
      <c r="P315" s="604"/>
    </row>
    <row r="316" spans="1:16">
      <c r="A316" s="167"/>
      <c r="B316" s="167"/>
      <c r="C316" s="167"/>
      <c r="D316" s="167"/>
      <c r="E316" s="167"/>
      <c r="F316" s="167"/>
      <c r="G316" s="167"/>
      <c r="H316" s="167"/>
      <c r="L316" s="604"/>
      <c r="M316" s="604"/>
      <c r="N316" s="604"/>
      <c r="O316" s="604"/>
      <c r="P316" s="604"/>
    </row>
    <row r="317" spans="1:16">
      <c r="A317" s="167"/>
      <c r="B317" s="167"/>
      <c r="C317" s="167"/>
      <c r="D317" s="167"/>
      <c r="E317" s="167"/>
      <c r="F317" s="167"/>
      <c r="G317" s="167"/>
      <c r="H317" s="167"/>
      <c r="L317" s="604"/>
      <c r="M317" s="604"/>
      <c r="N317" s="604"/>
      <c r="O317" s="604"/>
      <c r="P317" s="604"/>
    </row>
    <row r="318" spans="1:16">
      <c r="A318" s="167"/>
      <c r="B318" s="167"/>
      <c r="C318" s="167"/>
      <c r="D318" s="167"/>
      <c r="E318" s="167"/>
      <c r="F318" s="167"/>
      <c r="G318" s="167"/>
      <c r="H318" s="167"/>
      <c r="L318" s="604"/>
      <c r="M318" s="604"/>
      <c r="N318" s="604"/>
      <c r="O318" s="604"/>
      <c r="P318" s="604"/>
    </row>
    <row r="319" spans="1:16">
      <c r="A319" s="167"/>
      <c r="B319" s="167"/>
      <c r="C319" s="167"/>
      <c r="D319" s="167"/>
      <c r="E319" s="167"/>
      <c r="F319" s="167"/>
      <c r="G319" s="167"/>
      <c r="H319" s="167"/>
      <c r="L319" s="604"/>
      <c r="M319" s="604"/>
      <c r="N319" s="604"/>
      <c r="O319" s="604"/>
      <c r="P319" s="604"/>
    </row>
    <row r="320" spans="1:16">
      <c r="A320" s="167"/>
      <c r="B320" s="167"/>
      <c r="C320" s="167"/>
      <c r="D320" s="167"/>
      <c r="E320" s="167"/>
      <c r="F320" s="167"/>
      <c r="G320" s="167"/>
      <c r="H320" s="167"/>
      <c r="L320" s="604"/>
      <c r="M320" s="604"/>
      <c r="N320" s="604"/>
      <c r="O320" s="604"/>
      <c r="P320" s="604"/>
    </row>
    <row r="321" spans="1:16">
      <c r="A321" s="167"/>
      <c r="B321" s="167"/>
      <c r="C321" s="167"/>
      <c r="D321" s="167"/>
      <c r="E321" s="167"/>
      <c r="F321" s="167"/>
      <c r="G321" s="167"/>
      <c r="H321" s="167"/>
      <c r="L321" s="604"/>
      <c r="M321" s="604"/>
      <c r="N321" s="604"/>
      <c r="O321" s="604"/>
      <c r="P321" s="604"/>
    </row>
    <row r="322" spans="1:16">
      <c r="A322" s="167"/>
      <c r="B322" s="167"/>
      <c r="C322" s="167"/>
      <c r="D322" s="167"/>
      <c r="E322" s="167"/>
      <c r="F322" s="167"/>
      <c r="G322" s="167"/>
      <c r="H322" s="167"/>
      <c r="L322" s="604"/>
      <c r="M322" s="604"/>
      <c r="N322" s="604"/>
      <c r="O322" s="604"/>
      <c r="P322" s="604"/>
    </row>
    <row r="323" spans="1:16">
      <c r="A323" s="167"/>
      <c r="B323" s="167"/>
      <c r="C323" s="167"/>
      <c r="D323" s="167"/>
      <c r="E323" s="167"/>
      <c r="F323" s="167"/>
      <c r="G323" s="167"/>
      <c r="H323" s="167"/>
      <c r="L323" s="604"/>
      <c r="M323" s="604"/>
      <c r="N323" s="604"/>
      <c r="O323" s="604"/>
      <c r="P323" s="604"/>
    </row>
    <row r="324" spans="1:16">
      <c r="A324" s="167"/>
      <c r="B324" s="167"/>
      <c r="C324" s="167"/>
      <c r="D324" s="167"/>
      <c r="E324" s="167"/>
      <c r="F324" s="167"/>
      <c r="G324" s="167"/>
      <c r="H324" s="167"/>
      <c r="L324" s="604"/>
      <c r="M324" s="604"/>
      <c r="N324" s="604"/>
      <c r="O324" s="604"/>
      <c r="P324" s="604"/>
    </row>
    <row r="325" spans="1:16">
      <c r="A325" s="167"/>
      <c r="B325" s="167"/>
      <c r="C325" s="167"/>
      <c r="D325" s="167"/>
      <c r="E325" s="167"/>
      <c r="F325" s="167"/>
      <c r="G325" s="167"/>
      <c r="H325" s="167"/>
      <c r="L325" s="604"/>
      <c r="M325" s="604"/>
      <c r="N325" s="604"/>
      <c r="O325" s="604"/>
      <c r="P325" s="604"/>
    </row>
    <row r="326" spans="1:16">
      <c r="A326" s="167"/>
      <c r="B326" s="167"/>
      <c r="C326" s="167"/>
      <c r="D326" s="167"/>
      <c r="E326" s="167"/>
      <c r="F326" s="167"/>
      <c r="G326" s="167"/>
      <c r="H326" s="167"/>
      <c r="L326" s="604"/>
      <c r="M326" s="604"/>
      <c r="N326" s="604"/>
      <c r="O326" s="604"/>
      <c r="P326" s="604"/>
    </row>
    <row r="327" spans="1:16">
      <c r="A327" s="167"/>
      <c r="B327" s="167"/>
      <c r="C327" s="167"/>
      <c r="D327" s="167"/>
      <c r="E327" s="167"/>
      <c r="F327" s="167"/>
      <c r="G327" s="167"/>
      <c r="H327" s="167"/>
      <c r="L327" s="604"/>
      <c r="M327" s="604"/>
      <c r="N327" s="604"/>
      <c r="O327" s="604"/>
      <c r="P327" s="604"/>
    </row>
    <row r="328" spans="1:16">
      <c r="A328" s="167"/>
      <c r="B328" s="167"/>
      <c r="C328" s="167"/>
      <c r="D328" s="167"/>
      <c r="E328" s="167"/>
      <c r="F328" s="167"/>
      <c r="G328" s="167"/>
      <c r="H328" s="167"/>
      <c r="L328" s="604"/>
      <c r="M328" s="604"/>
      <c r="N328" s="604"/>
      <c r="O328" s="604"/>
      <c r="P328" s="604"/>
    </row>
    <row r="329" spans="1:16">
      <c r="A329" s="167"/>
      <c r="B329" s="167"/>
      <c r="C329" s="167"/>
      <c r="D329" s="167"/>
      <c r="E329" s="167"/>
      <c r="F329" s="167"/>
      <c r="G329" s="167"/>
      <c r="H329" s="167"/>
      <c r="L329" s="604"/>
      <c r="M329" s="604"/>
      <c r="N329" s="604"/>
      <c r="O329" s="604"/>
      <c r="P329" s="604"/>
    </row>
    <row r="330" spans="1:16">
      <c r="A330" s="167"/>
      <c r="B330" s="167"/>
      <c r="C330" s="167"/>
      <c r="D330" s="167"/>
      <c r="E330" s="167"/>
      <c r="F330" s="167"/>
      <c r="G330" s="167"/>
      <c r="H330" s="167"/>
      <c r="L330" s="604"/>
      <c r="M330" s="604"/>
      <c r="N330" s="604"/>
      <c r="O330" s="604"/>
      <c r="P330" s="604"/>
    </row>
    <row r="331" spans="1:16">
      <c r="A331" s="167"/>
      <c r="B331" s="167"/>
      <c r="C331" s="167"/>
      <c r="D331" s="167"/>
      <c r="E331" s="167"/>
      <c r="F331" s="167"/>
      <c r="G331" s="167"/>
      <c r="H331" s="167"/>
      <c r="L331" s="604"/>
      <c r="M331" s="604"/>
      <c r="N331" s="604"/>
      <c r="O331" s="604"/>
      <c r="P331" s="604"/>
    </row>
    <row r="332" spans="1:16">
      <c r="A332" s="167"/>
      <c r="B332" s="167"/>
      <c r="C332" s="167"/>
      <c r="D332" s="167"/>
      <c r="E332" s="167"/>
      <c r="F332" s="167"/>
      <c r="G332" s="167"/>
      <c r="H332" s="167"/>
      <c r="L332" s="604"/>
      <c r="M332" s="604"/>
      <c r="N332" s="604"/>
      <c r="O332" s="604"/>
      <c r="P332" s="604"/>
    </row>
    <row r="333" spans="1:16">
      <c r="A333" s="167"/>
      <c r="B333" s="167"/>
      <c r="C333" s="167"/>
      <c r="D333" s="167"/>
      <c r="E333" s="167"/>
      <c r="F333" s="167"/>
      <c r="G333" s="167"/>
      <c r="H333" s="167"/>
      <c r="L333" s="604"/>
      <c r="M333" s="604"/>
      <c r="N333" s="604"/>
      <c r="O333" s="604"/>
      <c r="P333" s="604"/>
    </row>
    <row r="334" spans="1:16">
      <c r="A334" s="167"/>
      <c r="B334" s="167"/>
      <c r="C334" s="167"/>
      <c r="D334" s="167"/>
      <c r="E334" s="167"/>
      <c r="F334" s="167"/>
      <c r="G334" s="167"/>
      <c r="H334" s="167"/>
      <c r="L334" s="604"/>
      <c r="M334" s="604"/>
      <c r="N334" s="604"/>
      <c r="O334" s="604"/>
      <c r="P334" s="604"/>
    </row>
    <row r="335" spans="1:16">
      <c r="A335" s="167"/>
      <c r="B335" s="167"/>
      <c r="C335" s="167"/>
      <c r="D335" s="167"/>
      <c r="E335" s="167"/>
      <c r="F335" s="167"/>
      <c r="G335" s="167"/>
      <c r="H335" s="167"/>
      <c r="L335" s="604"/>
      <c r="M335" s="604"/>
      <c r="N335" s="604"/>
      <c r="O335" s="604"/>
      <c r="P335" s="604"/>
    </row>
    <row r="336" spans="1:16">
      <c r="A336" s="167"/>
      <c r="B336" s="167"/>
      <c r="C336" s="167"/>
      <c r="D336" s="167"/>
      <c r="E336" s="167"/>
      <c r="F336" s="167"/>
      <c r="G336" s="167"/>
      <c r="H336" s="167"/>
      <c r="L336" s="604"/>
      <c r="M336" s="604"/>
      <c r="N336" s="604"/>
      <c r="O336" s="604"/>
      <c r="P336" s="604"/>
    </row>
    <row r="337" spans="1:16">
      <c r="A337" s="167"/>
      <c r="B337" s="167"/>
      <c r="C337" s="167"/>
      <c r="D337" s="167"/>
      <c r="E337" s="167"/>
      <c r="F337" s="167"/>
      <c r="G337" s="167"/>
      <c r="H337" s="167"/>
      <c r="L337" s="604"/>
      <c r="M337" s="604"/>
      <c r="N337" s="604"/>
      <c r="O337" s="604"/>
      <c r="P337" s="604"/>
    </row>
    <row r="338" spans="1:16">
      <c r="A338" s="167"/>
      <c r="B338" s="167"/>
      <c r="C338" s="167"/>
      <c r="D338" s="167"/>
      <c r="E338" s="167"/>
      <c r="F338" s="167"/>
      <c r="G338" s="167"/>
      <c r="H338" s="167"/>
      <c r="L338" s="604"/>
      <c r="M338" s="604"/>
      <c r="N338" s="604"/>
      <c r="O338" s="604"/>
      <c r="P338" s="604"/>
    </row>
    <row r="339" spans="1:16">
      <c r="A339" s="167"/>
      <c r="B339" s="167"/>
      <c r="C339" s="167"/>
      <c r="D339" s="167"/>
      <c r="E339" s="167"/>
      <c r="F339" s="167"/>
      <c r="G339" s="167"/>
      <c r="H339" s="167"/>
      <c r="L339" s="604"/>
      <c r="M339" s="604"/>
      <c r="N339" s="604"/>
      <c r="O339" s="604"/>
      <c r="P339" s="604"/>
    </row>
    <row r="340" spans="1:16">
      <c r="A340" s="167"/>
      <c r="B340" s="167"/>
      <c r="C340" s="167"/>
      <c r="D340" s="167"/>
      <c r="E340" s="167"/>
      <c r="F340" s="167"/>
      <c r="G340" s="167"/>
      <c r="H340" s="167"/>
      <c r="L340" s="604"/>
      <c r="M340" s="604"/>
      <c r="N340" s="604"/>
      <c r="O340" s="604"/>
      <c r="P340" s="604"/>
    </row>
    <row r="341" spans="1:16">
      <c r="A341" s="167"/>
      <c r="B341" s="167"/>
      <c r="C341" s="167"/>
      <c r="D341" s="167"/>
      <c r="E341" s="167"/>
      <c r="F341" s="167"/>
      <c r="G341" s="167"/>
      <c r="H341" s="167"/>
      <c r="L341" s="604"/>
      <c r="M341" s="604"/>
      <c r="N341" s="604"/>
      <c r="O341" s="604"/>
      <c r="P341" s="604"/>
    </row>
    <row r="342" spans="1:16">
      <c r="A342" s="167"/>
      <c r="B342" s="167"/>
      <c r="C342" s="167"/>
      <c r="D342" s="167"/>
      <c r="E342" s="167"/>
      <c r="F342" s="167"/>
      <c r="G342" s="167"/>
      <c r="H342" s="167"/>
      <c r="L342" s="604"/>
      <c r="M342" s="604"/>
      <c r="N342" s="604"/>
      <c r="O342" s="604"/>
      <c r="P342" s="604"/>
    </row>
    <row r="343" spans="1:16">
      <c r="A343" s="167"/>
      <c r="B343" s="167"/>
      <c r="C343" s="167"/>
      <c r="D343" s="167"/>
      <c r="E343" s="167"/>
      <c r="F343" s="167"/>
      <c r="G343" s="167"/>
      <c r="H343" s="167"/>
      <c r="L343" s="604"/>
      <c r="M343" s="604"/>
      <c r="N343" s="604"/>
      <c r="O343" s="604"/>
      <c r="P343" s="604"/>
    </row>
    <row r="344" spans="1:16">
      <c r="A344" s="167"/>
      <c r="B344" s="167"/>
      <c r="C344" s="167"/>
      <c r="D344" s="167"/>
      <c r="E344" s="167"/>
      <c r="F344" s="167"/>
      <c r="G344" s="167"/>
      <c r="H344" s="167"/>
      <c r="L344" s="604"/>
      <c r="M344" s="604"/>
      <c r="N344" s="604"/>
      <c r="O344" s="604"/>
      <c r="P344" s="604"/>
    </row>
    <row r="345" spans="1:16">
      <c r="A345" s="167"/>
      <c r="B345" s="167"/>
      <c r="C345" s="167"/>
      <c r="D345" s="167"/>
      <c r="E345" s="167"/>
      <c r="F345" s="167"/>
      <c r="G345" s="167"/>
      <c r="H345" s="167"/>
      <c r="L345" s="604"/>
      <c r="M345" s="604"/>
      <c r="N345" s="604"/>
      <c r="O345" s="604"/>
      <c r="P345" s="604"/>
    </row>
    <row r="346" spans="1:16">
      <c r="A346" s="167"/>
      <c r="B346" s="167"/>
      <c r="C346" s="167"/>
      <c r="D346" s="167"/>
      <c r="E346" s="167"/>
      <c r="F346" s="167"/>
      <c r="G346" s="167"/>
      <c r="H346" s="167"/>
      <c r="L346" s="604"/>
      <c r="M346" s="604"/>
      <c r="N346" s="604"/>
      <c r="O346" s="604"/>
      <c r="P346" s="604"/>
    </row>
    <row r="347" spans="1:16">
      <c r="A347" s="167"/>
      <c r="B347" s="167"/>
      <c r="C347" s="167"/>
      <c r="D347" s="167"/>
      <c r="E347" s="167"/>
      <c r="F347" s="167"/>
      <c r="G347" s="167"/>
      <c r="H347" s="167"/>
      <c r="L347" s="604"/>
      <c r="M347" s="604"/>
      <c r="N347" s="604"/>
      <c r="O347" s="604"/>
      <c r="P347" s="604"/>
    </row>
    <row r="348" spans="1:16">
      <c r="A348" s="167"/>
      <c r="B348" s="167"/>
      <c r="C348" s="167"/>
      <c r="D348" s="167"/>
      <c r="E348" s="167"/>
      <c r="F348" s="167"/>
      <c r="G348" s="167"/>
      <c r="H348" s="167"/>
      <c r="L348" s="604"/>
      <c r="M348" s="604"/>
      <c r="N348" s="604"/>
      <c r="O348" s="604"/>
      <c r="P348" s="604"/>
    </row>
    <row r="349" spans="1:16">
      <c r="A349" s="167"/>
      <c r="B349" s="167"/>
      <c r="C349" s="167"/>
      <c r="D349" s="167"/>
      <c r="E349" s="167"/>
      <c r="F349" s="167"/>
      <c r="G349" s="167"/>
      <c r="H349" s="167"/>
      <c r="L349" s="604"/>
      <c r="M349" s="604"/>
      <c r="N349" s="604"/>
      <c r="O349" s="604"/>
      <c r="P349" s="604"/>
    </row>
    <row r="350" spans="1:16">
      <c r="A350" s="167"/>
      <c r="B350" s="167"/>
      <c r="C350" s="167"/>
      <c r="D350" s="167"/>
      <c r="E350" s="167"/>
      <c r="F350" s="167"/>
      <c r="G350" s="167"/>
      <c r="H350" s="167"/>
      <c r="L350" s="604"/>
      <c r="M350" s="604"/>
      <c r="N350" s="604"/>
      <c r="O350" s="604"/>
      <c r="P350" s="604"/>
    </row>
    <row r="351" spans="1:16">
      <c r="A351" s="167"/>
      <c r="B351" s="167"/>
      <c r="C351" s="167"/>
      <c r="D351" s="167"/>
      <c r="E351" s="167"/>
      <c r="F351" s="167"/>
      <c r="G351" s="167"/>
      <c r="H351" s="167"/>
      <c r="L351" s="604"/>
      <c r="M351" s="604"/>
      <c r="N351" s="604"/>
      <c r="O351" s="604"/>
      <c r="P351" s="604"/>
    </row>
    <row r="352" spans="1:16">
      <c r="A352" s="167"/>
      <c r="B352" s="167"/>
      <c r="C352" s="167"/>
      <c r="D352" s="167"/>
      <c r="E352" s="167"/>
      <c r="F352" s="167"/>
      <c r="G352" s="167"/>
      <c r="H352" s="167"/>
      <c r="L352" s="604"/>
      <c r="M352" s="604"/>
      <c r="N352" s="604"/>
      <c r="O352" s="604"/>
      <c r="P352" s="604"/>
    </row>
    <row r="353" spans="1:16">
      <c r="A353" s="167"/>
      <c r="B353" s="167"/>
      <c r="C353" s="167"/>
      <c r="D353" s="167"/>
      <c r="E353" s="167"/>
      <c r="F353" s="167"/>
      <c r="G353" s="167"/>
      <c r="H353" s="167"/>
      <c r="L353" s="604"/>
      <c r="M353" s="604"/>
      <c r="N353" s="604"/>
      <c r="O353" s="604"/>
      <c r="P353" s="604"/>
    </row>
    <row r="354" spans="1:16">
      <c r="A354" s="167"/>
      <c r="B354" s="167"/>
      <c r="C354" s="167"/>
      <c r="D354" s="167"/>
      <c r="E354" s="167"/>
      <c r="F354" s="167"/>
      <c r="G354" s="167"/>
      <c r="H354" s="167"/>
      <c r="L354" s="604"/>
      <c r="M354" s="604"/>
      <c r="N354" s="604"/>
      <c r="O354" s="604"/>
      <c r="P354" s="604"/>
    </row>
    <row r="355" spans="1:16">
      <c r="A355" s="167"/>
      <c r="B355" s="167"/>
      <c r="C355" s="167"/>
      <c r="D355" s="167"/>
      <c r="E355" s="167"/>
      <c r="F355" s="167"/>
      <c r="G355" s="167"/>
      <c r="H355" s="167"/>
      <c r="L355" s="604"/>
      <c r="M355" s="604"/>
      <c r="N355" s="604"/>
      <c r="O355" s="604"/>
      <c r="P355" s="604"/>
    </row>
    <row r="356" spans="1:16">
      <c r="A356" s="167"/>
      <c r="B356" s="167"/>
      <c r="C356" s="167"/>
      <c r="D356" s="167"/>
      <c r="E356" s="167"/>
      <c r="F356" s="167"/>
      <c r="G356" s="167"/>
      <c r="H356" s="167"/>
      <c r="L356" s="604"/>
      <c r="M356" s="604"/>
      <c r="N356" s="604"/>
      <c r="O356" s="604"/>
      <c r="P356" s="604"/>
    </row>
    <row r="357" spans="1:16">
      <c r="A357" s="167"/>
      <c r="B357" s="167"/>
      <c r="C357" s="167"/>
      <c r="D357" s="167"/>
      <c r="E357" s="167"/>
      <c r="F357" s="167"/>
      <c r="G357" s="167"/>
      <c r="H357" s="167"/>
      <c r="L357" s="604"/>
      <c r="M357" s="604"/>
      <c r="N357" s="604"/>
      <c r="O357" s="604"/>
      <c r="P357" s="604"/>
    </row>
    <row r="358" spans="1:16">
      <c r="A358" s="167"/>
      <c r="B358" s="167"/>
      <c r="C358" s="167"/>
      <c r="D358" s="167"/>
      <c r="E358" s="167"/>
      <c r="F358" s="167"/>
      <c r="G358" s="167"/>
      <c r="H358" s="167"/>
      <c r="L358" s="604"/>
      <c r="M358" s="604"/>
      <c r="N358" s="604"/>
      <c r="O358" s="604"/>
      <c r="P358" s="604"/>
    </row>
    <row r="359" spans="1:16">
      <c r="A359" s="167"/>
      <c r="B359" s="167"/>
      <c r="C359" s="167"/>
      <c r="D359" s="167"/>
      <c r="E359" s="167"/>
      <c r="F359" s="167"/>
      <c r="G359" s="167"/>
      <c r="H359" s="167"/>
      <c r="L359" s="604"/>
      <c r="M359" s="604"/>
      <c r="N359" s="604"/>
      <c r="O359" s="604"/>
      <c r="P359" s="604"/>
    </row>
    <row r="360" spans="1:16">
      <c r="A360" s="167"/>
      <c r="B360" s="167"/>
      <c r="C360" s="167"/>
      <c r="D360" s="167"/>
      <c r="E360" s="167"/>
      <c r="F360" s="167"/>
      <c r="G360" s="167"/>
      <c r="H360" s="167"/>
      <c r="L360" s="604"/>
      <c r="M360" s="604"/>
      <c r="N360" s="604"/>
      <c r="O360" s="604"/>
      <c r="P360" s="604"/>
    </row>
    <row r="361" spans="1:16">
      <c r="A361" s="167"/>
      <c r="B361" s="167"/>
      <c r="C361" s="167"/>
      <c r="D361" s="167"/>
      <c r="E361" s="167"/>
      <c r="F361" s="167"/>
      <c r="G361" s="167"/>
      <c r="H361" s="167"/>
      <c r="L361" s="604"/>
      <c r="M361" s="604"/>
      <c r="N361" s="604"/>
      <c r="O361" s="604"/>
      <c r="P361" s="604"/>
    </row>
    <row r="362" spans="1:16">
      <c r="A362" s="167"/>
      <c r="B362" s="167"/>
      <c r="C362" s="167"/>
      <c r="D362" s="167"/>
      <c r="E362" s="167"/>
      <c r="F362" s="167"/>
      <c r="G362" s="167"/>
      <c r="H362" s="167"/>
      <c r="L362" s="604"/>
      <c r="M362" s="604"/>
      <c r="N362" s="604"/>
      <c r="O362" s="604"/>
      <c r="P362" s="604"/>
    </row>
    <row r="363" spans="1:16">
      <c r="A363" s="167"/>
      <c r="B363" s="167"/>
      <c r="C363" s="167"/>
      <c r="D363" s="167"/>
      <c r="E363" s="167"/>
      <c r="F363" s="167"/>
      <c r="G363" s="167"/>
      <c r="H363" s="167"/>
      <c r="L363" s="604"/>
      <c r="M363" s="604"/>
      <c r="N363" s="604"/>
      <c r="O363" s="604"/>
      <c r="P363" s="604"/>
    </row>
    <row r="364" spans="1:16">
      <c r="A364" s="167"/>
      <c r="B364" s="167"/>
      <c r="C364" s="167"/>
      <c r="D364" s="167"/>
      <c r="E364" s="167"/>
      <c r="F364" s="167"/>
      <c r="G364" s="167"/>
      <c r="H364" s="167"/>
      <c r="L364" s="604"/>
      <c r="M364" s="604"/>
      <c r="N364" s="604"/>
      <c r="O364" s="604"/>
      <c r="P364" s="604"/>
    </row>
    <row r="365" spans="1:16">
      <c r="A365" s="167"/>
      <c r="B365" s="167"/>
      <c r="C365" s="167"/>
      <c r="D365" s="167"/>
      <c r="E365" s="167"/>
      <c r="F365" s="167"/>
      <c r="G365" s="167"/>
      <c r="H365" s="167"/>
      <c r="L365" s="604"/>
      <c r="M365" s="604"/>
      <c r="N365" s="604"/>
      <c r="O365" s="604"/>
      <c r="P365" s="604"/>
    </row>
    <row r="366" spans="1:16">
      <c r="A366" s="167"/>
      <c r="B366" s="167"/>
      <c r="C366" s="167"/>
      <c r="D366" s="167"/>
      <c r="E366" s="167"/>
      <c r="F366" s="167"/>
      <c r="G366" s="167"/>
      <c r="H366" s="167"/>
      <c r="L366" s="604"/>
      <c r="M366" s="604"/>
      <c r="N366" s="604"/>
      <c r="O366" s="604"/>
      <c r="P366" s="604"/>
    </row>
    <row r="367" spans="1:16">
      <c r="A367" s="167"/>
      <c r="B367" s="167"/>
      <c r="C367" s="167"/>
      <c r="D367" s="167"/>
      <c r="E367" s="167"/>
      <c r="F367" s="167"/>
      <c r="G367" s="167"/>
      <c r="H367" s="167"/>
      <c r="L367" s="604"/>
      <c r="M367" s="604"/>
      <c r="N367" s="604"/>
      <c r="O367" s="604"/>
      <c r="P367" s="604"/>
    </row>
    <row r="368" spans="1:16">
      <c r="A368" s="167"/>
      <c r="B368" s="167"/>
      <c r="C368" s="167"/>
      <c r="D368" s="167"/>
      <c r="E368" s="167"/>
      <c r="F368" s="167"/>
      <c r="G368" s="167"/>
      <c r="H368" s="167"/>
      <c r="L368" s="604"/>
      <c r="M368" s="604"/>
      <c r="N368" s="604"/>
      <c r="O368" s="604"/>
      <c r="P368" s="604"/>
    </row>
    <row r="369" spans="1:16">
      <c r="A369" s="167"/>
      <c r="B369" s="167"/>
      <c r="C369" s="167"/>
      <c r="D369" s="167"/>
      <c r="E369" s="167"/>
      <c r="F369" s="167"/>
      <c r="G369" s="167"/>
      <c r="H369" s="167"/>
      <c r="L369" s="604"/>
      <c r="M369" s="604"/>
      <c r="N369" s="604"/>
      <c r="O369" s="604"/>
      <c r="P369" s="604"/>
    </row>
    <row r="370" spans="1:16">
      <c r="A370" s="167"/>
      <c r="B370" s="167"/>
      <c r="C370" s="167"/>
      <c r="D370" s="167"/>
      <c r="E370" s="167"/>
      <c r="F370" s="167"/>
      <c r="G370" s="167"/>
      <c r="H370" s="167"/>
      <c r="L370" s="604"/>
      <c r="M370" s="604"/>
      <c r="N370" s="604"/>
      <c r="O370" s="604"/>
      <c r="P370" s="604"/>
    </row>
    <row r="371" spans="1:16">
      <c r="A371" s="167"/>
      <c r="B371" s="167"/>
      <c r="C371" s="167"/>
      <c r="D371" s="167"/>
      <c r="E371" s="167"/>
      <c r="F371" s="167"/>
      <c r="G371" s="167"/>
      <c r="H371" s="167"/>
      <c r="L371" s="604"/>
      <c r="M371" s="604"/>
      <c r="N371" s="604"/>
      <c r="O371" s="604"/>
      <c r="P371" s="604"/>
    </row>
    <row r="372" spans="1:16">
      <c r="A372" s="167"/>
      <c r="B372" s="167"/>
      <c r="C372" s="167"/>
      <c r="D372" s="167"/>
      <c r="E372" s="167"/>
      <c r="F372" s="167"/>
      <c r="G372" s="167"/>
      <c r="H372" s="167"/>
      <c r="L372" s="604"/>
      <c r="M372" s="604"/>
      <c r="N372" s="604"/>
      <c r="O372" s="604"/>
      <c r="P372" s="604"/>
    </row>
    <row r="373" spans="1:16">
      <c r="A373" s="167"/>
      <c r="B373" s="167"/>
      <c r="C373" s="167"/>
      <c r="D373" s="167"/>
      <c r="E373" s="167"/>
      <c r="F373" s="167"/>
      <c r="G373" s="167"/>
      <c r="H373" s="167"/>
      <c r="L373" s="604"/>
      <c r="M373" s="604"/>
      <c r="N373" s="604"/>
      <c r="O373" s="604"/>
      <c r="P373" s="604"/>
    </row>
    <row r="374" spans="1:16">
      <c r="A374" s="167"/>
      <c r="B374" s="167"/>
      <c r="C374" s="167"/>
      <c r="D374" s="167"/>
      <c r="E374" s="167"/>
      <c r="F374" s="167"/>
      <c r="G374" s="167"/>
      <c r="H374" s="167"/>
      <c r="L374" s="604"/>
      <c r="M374" s="604"/>
      <c r="N374" s="604"/>
      <c r="O374" s="604"/>
      <c r="P374" s="604"/>
    </row>
    <row r="375" spans="1:16">
      <c r="A375" s="167"/>
      <c r="B375" s="167"/>
      <c r="C375" s="167"/>
      <c r="D375" s="167"/>
      <c r="E375" s="167"/>
      <c r="F375" s="167"/>
      <c r="G375" s="167"/>
      <c r="H375" s="167"/>
      <c r="L375" s="604"/>
      <c r="M375" s="604"/>
      <c r="N375" s="604"/>
      <c r="O375" s="604"/>
      <c r="P375" s="604"/>
    </row>
    <row r="376" spans="1:16">
      <c r="A376" s="167"/>
      <c r="B376" s="167"/>
      <c r="C376" s="167"/>
      <c r="D376" s="167"/>
      <c r="E376" s="167"/>
      <c r="F376" s="167"/>
      <c r="G376" s="167"/>
      <c r="H376" s="167"/>
      <c r="L376" s="604"/>
      <c r="M376" s="604"/>
      <c r="N376" s="604"/>
      <c r="O376" s="604"/>
      <c r="P376" s="604"/>
    </row>
    <row r="377" spans="1:16">
      <c r="A377" s="167"/>
      <c r="B377" s="167"/>
      <c r="C377" s="167"/>
      <c r="D377" s="167"/>
      <c r="E377" s="167"/>
      <c r="F377" s="167"/>
      <c r="G377" s="167"/>
      <c r="H377" s="167"/>
      <c r="L377" s="604"/>
      <c r="M377" s="604"/>
      <c r="N377" s="604"/>
      <c r="O377" s="604"/>
      <c r="P377" s="604"/>
    </row>
    <row r="378" spans="1:16">
      <c r="A378" s="167"/>
      <c r="B378" s="167"/>
      <c r="C378" s="167"/>
      <c r="D378" s="167"/>
      <c r="E378" s="167"/>
      <c r="F378" s="167"/>
      <c r="G378" s="167"/>
      <c r="H378" s="167"/>
      <c r="L378" s="604"/>
      <c r="M378" s="604"/>
      <c r="N378" s="604"/>
      <c r="O378" s="604"/>
      <c r="P378" s="604"/>
    </row>
    <row r="379" spans="1:16">
      <c r="A379" s="167"/>
      <c r="B379" s="167"/>
      <c r="C379" s="167"/>
      <c r="D379" s="167"/>
      <c r="E379" s="167"/>
      <c r="F379" s="167"/>
      <c r="G379" s="167"/>
      <c r="H379" s="167"/>
      <c r="L379" s="604"/>
      <c r="M379" s="604"/>
      <c r="N379" s="604"/>
      <c r="O379" s="604"/>
      <c r="P379" s="604"/>
    </row>
    <row r="380" spans="1:16">
      <c r="A380" s="167"/>
      <c r="B380" s="167"/>
      <c r="C380" s="167"/>
      <c r="D380" s="167"/>
      <c r="E380" s="167"/>
      <c r="F380" s="167"/>
      <c r="G380" s="167"/>
      <c r="H380" s="167"/>
      <c r="L380" s="604"/>
      <c r="M380" s="604"/>
      <c r="N380" s="604"/>
      <c r="O380" s="604"/>
      <c r="P380" s="604"/>
    </row>
    <row r="381" spans="1:16">
      <c r="A381" s="167"/>
      <c r="B381" s="167"/>
      <c r="C381" s="167"/>
      <c r="D381" s="167"/>
      <c r="E381" s="167"/>
      <c r="F381" s="167"/>
      <c r="G381" s="167"/>
      <c r="H381" s="167"/>
      <c r="L381" s="604"/>
      <c r="M381" s="604"/>
      <c r="N381" s="604"/>
      <c r="O381" s="604"/>
      <c r="P381" s="604"/>
    </row>
    <row r="382" spans="1:16">
      <c r="A382" s="167"/>
      <c r="B382" s="167"/>
      <c r="C382" s="167"/>
      <c r="D382" s="167"/>
      <c r="E382" s="167"/>
      <c r="F382" s="167"/>
      <c r="G382" s="167"/>
      <c r="H382" s="167"/>
      <c r="L382" s="604"/>
      <c r="M382" s="604"/>
      <c r="N382" s="604"/>
      <c r="O382" s="604"/>
      <c r="P382" s="604"/>
    </row>
    <row r="383" spans="1:16">
      <c r="A383" s="167"/>
      <c r="B383" s="167"/>
      <c r="C383" s="167"/>
      <c r="D383" s="167"/>
      <c r="E383" s="167"/>
      <c r="F383" s="167"/>
      <c r="G383" s="167"/>
      <c r="H383" s="167"/>
      <c r="L383" s="604"/>
      <c r="M383" s="604"/>
      <c r="N383" s="604"/>
      <c r="O383" s="604"/>
      <c r="P383" s="604"/>
    </row>
    <row r="384" spans="1:16">
      <c r="A384" s="167"/>
      <c r="B384" s="167"/>
      <c r="C384" s="167"/>
      <c r="D384" s="167"/>
      <c r="E384" s="167"/>
      <c r="F384" s="167"/>
      <c r="G384" s="167"/>
      <c r="H384" s="167"/>
      <c r="L384" s="604"/>
      <c r="M384" s="604"/>
      <c r="N384" s="604"/>
      <c r="O384" s="604"/>
      <c r="P384" s="604"/>
    </row>
    <row r="385" spans="1:16">
      <c r="A385" s="167"/>
      <c r="B385" s="167"/>
      <c r="C385" s="167"/>
      <c r="D385" s="167"/>
      <c r="E385" s="167"/>
      <c r="F385" s="167"/>
      <c r="G385" s="167"/>
      <c r="H385" s="167"/>
      <c r="L385" s="604"/>
      <c r="M385" s="604"/>
      <c r="N385" s="604"/>
      <c r="O385" s="604"/>
      <c r="P385" s="604"/>
    </row>
    <row r="386" spans="1:16">
      <c r="A386" s="167"/>
      <c r="B386" s="167"/>
      <c r="C386" s="167"/>
      <c r="D386" s="167"/>
      <c r="E386" s="167"/>
      <c r="F386" s="167"/>
      <c r="G386" s="167"/>
      <c r="H386" s="167"/>
      <c r="L386" s="604"/>
      <c r="M386" s="604"/>
      <c r="N386" s="604"/>
      <c r="O386" s="604"/>
      <c r="P386" s="604"/>
    </row>
    <row r="387" spans="1:16">
      <c r="A387" s="167"/>
      <c r="B387" s="167"/>
      <c r="C387" s="167"/>
      <c r="D387" s="167"/>
      <c r="E387" s="167"/>
      <c r="F387" s="167"/>
      <c r="G387" s="167"/>
      <c r="H387" s="167"/>
      <c r="L387" s="604"/>
      <c r="M387" s="604"/>
      <c r="N387" s="604"/>
      <c r="O387" s="604"/>
      <c r="P387" s="604"/>
    </row>
    <row r="388" spans="1:16">
      <c r="A388" s="167"/>
      <c r="B388" s="167"/>
      <c r="C388" s="167"/>
      <c r="D388" s="167"/>
      <c r="E388" s="167"/>
      <c r="F388" s="167"/>
      <c r="G388" s="167"/>
      <c r="H388" s="167"/>
      <c r="L388" s="604"/>
      <c r="M388" s="604"/>
      <c r="N388" s="604"/>
      <c r="O388" s="604"/>
      <c r="P388" s="604"/>
    </row>
    <row r="389" spans="1:16">
      <c r="A389" s="167"/>
      <c r="B389" s="167"/>
      <c r="C389" s="167"/>
      <c r="D389" s="167"/>
      <c r="E389" s="167"/>
      <c r="F389" s="167"/>
      <c r="G389" s="167"/>
      <c r="H389" s="167"/>
      <c r="L389" s="604"/>
      <c r="M389" s="604"/>
      <c r="N389" s="604"/>
      <c r="O389" s="604"/>
      <c r="P389" s="604"/>
    </row>
    <row r="390" spans="1:16">
      <c r="A390" s="167"/>
      <c r="B390" s="167"/>
      <c r="C390" s="167"/>
      <c r="D390" s="167"/>
      <c r="E390" s="167"/>
      <c r="F390" s="167"/>
      <c r="G390" s="167"/>
      <c r="H390" s="167"/>
      <c r="L390" s="604"/>
      <c r="M390" s="604"/>
      <c r="N390" s="604"/>
      <c r="O390" s="604"/>
      <c r="P390" s="604"/>
    </row>
    <row r="391" spans="1:16">
      <c r="A391" s="167"/>
      <c r="B391" s="167"/>
      <c r="C391" s="167"/>
      <c r="D391" s="167"/>
      <c r="E391" s="167"/>
      <c r="F391" s="167"/>
      <c r="G391" s="167"/>
      <c r="H391" s="167"/>
      <c r="L391" s="604"/>
      <c r="M391" s="604"/>
      <c r="N391" s="604"/>
      <c r="O391" s="604"/>
      <c r="P391" s="604"/>
    </row>
    <row r="392" spans="1:16">
      <c r="A392" s="167"/>
      <c r="B392" s="167"/>
      <c r="C392" s="167"/>
      <c r="D392" s="167"/>
      <c r="E392" s="167"/>
      <c r="F392" s="167"/>
      <c r="G392" s="167"/>
      <c r="H392" s="167"/>
      <c r="L392" s="604"/>
      <c r="M392" s="604"/>
      <c r="N392" s="604"/>
      <c r="O392" s="604"/>
      <c r="P392" s="604"/>
    </row>
    <row r="393" spans="1:16">
      <c r="A393" s="167"/>
      <c r="B393" s="167"/>
      <c r="C393" s="167"/>
      <c r="D393" s="167"/>
      <c r="E393" s="167"/>
      <c r="F393" s="167"/>
      <c r="G393" s="167"/>
      <c r="H393" s="167"/>
      <c r="L393" s="604"/>
      <c r="M393" s="604"/>
      <c r="N393" s="604"/>
      <c r="O393" s="604"/>
      <c r="P393" s="604"/>
    </row>
    <row r="394" spans="1:16">
      <c r="A394" s="167"/>
      <c r="B394" s="167"/>
      <c r="C394" s="167"/>
      <c r="D394" s="167"/>
      <c r="E394" s="167"/>
      <c r="F394" s="167"/>
      <c r="G394" s="167"/>
      <c r="H394" s="167"/>
      <c r="L394" s="604"/>
      <c r="M394" s="604"/>
      <c r="N394" s="604"/>
      <c r="O394" s="604"/>
      <c r="P394" s="604"/>
    </row>
    <row r="395" spans="1:16">
      <c r="A395" s="167"/>
      <c r="B395" s="167"/>
      <c r="C395" s="167"/>
      <c r="D395" s="167"/>
      <c r="E395" s="167"/>
      <c r="F395" s="167"/>
      <c r="G395" s="167"/>
      <c r="H395" s="167"/>
      <c r="L395" s="604"/>
      <c r="M395" s="604"/>
      <c r="N395" s="604"/>
      <c r="O395" s="604"/>
      <c r="P395" s="604"/>
    </row>
    <row r="396" spans="1:16">
      <c r="A396" s="167"/>
      <c r="B396" s="167"/>
      <c r="C396" s="167"/>
      <c r="D396" s="167"/>
      <c r="E396" s="167"/>
      <c r="F396" s="167"/>
      <c r="G396" s="167"/>
      <c r="H396" s="167"/>
      <c r="L396" s="604"/>
      <c r="M396" s="604"/>
      <c r="N396" s="604"/>
      <c r="O396" s="604"/>
      <c r="P396" s="604"/>
    </row>
    <row r="397" spans="1:16">
      <c r="A397" s="167"/>
      <c r="B397" s="167"/>
      <c r="C397" s="167"/>
      <c r="D397" s="167"/>
      <c r="E397" s="167"/>
      <c r="F397" s="167"/>
      <c r="G397" s="167"/>
      <c r="H397" s="167"/>
      <c r="L397" s="604"/>
      <c r="M397" s="604"/>
      <c r="N397" s="604"/>
      <c r="O397" s="604"/>
      <c r="P397" s="604"/>
    </row>
    <row r="398" spans="1:16">
      <c r="A398" s="167"/>
      <c r="B398" s="167"/>
      <c r="C398" s="167"/>
      <c r="D398" s="167"/>
      <c r="E398" s="167"/>
      <c r="F398" s="167"/>
      <c r="G398" s="167"/>
      <c r="H398" s="167"/>
      <c r="L398" s="604"/>
      <c r="M398" s="604"/>
      <c r="N398" s="604"/>
      <c r="O398" s="604"/>
      <c r="P398" s="604"/>
    </row>
    <row r="399" spans="1:16">
      <c r="A399" s="167"/>
      <c r="B399" s="167"/>
      <c r="C399" s="167"/>
      <c r="D399" s="167"/>
      <c r="E399" s="167"/>
      <c r="F399" s="167"/>
      <c r="G399" s="167"/>
      <c r="H399" s="167"/>
      <c r="L399" s="604"/>
      <c r="M399" s="604"/>
      <c r="N399" s="604"/>
      <c r="O399" s="604"/>
      <c r="P399" s="604"/>
    </row>
    <row r="400" spans="1:16">
      <c r="A400" s="167"/>
      <c r="B400" s="167"/>
      <c r="C400" s="167"/>
      <c r="D400" s="167"/>
      <c r="E400" s="167"/>
      <c r="F400" s="167"/>
      <c r="G400" s="167"/>
      <c r="H400" s="167"/>
      <c r="L400" s="604"/>
      <c r="M400" s="604"/>
      <c r="N400" s="604"/>
      <c r="O400" s="604"/>
      <c r="P400" s="604"/>
    </row>
    <row r="401" spans="1:16">
      <c r="A401" s="167"/>
      <c r="B401" s="167"/>
      <c r="C401" s="167"/>
      <c r="D401" s="167"/>
      <c r="E401" s="167"/>
      <c r="F401" s="167"/>
      <c r="G401" s="167"/>
      <c r="H401" s="167"/>
      <c r="L401" s="604"/>
      <c r="M401" s="604"/>
      <c r="N401" s="604"/>
      <c r="O401" s="604"/>
      <c r="P401" s="604"/>
    </row>
    <row r="402" spans="1:16">
      <c r="A402" s="167"/>
      <c r="B402" s="167"/>
      <c r="C402" s="167"/>
      <c r="D402" s="167"/>
      <c r="E402" s="167"/>
      <c r="F402" s="167"/>
      <c r="G402" s="167"/>
      <c r="H402" s="167"/>
      <c r="L402" s="604"/>
      <c r="M402" s="604"/>
      <c r="N402" s="604"/>
      <c r="O402" s="604"/>
      <c r="P402" s="604"/>
    </row>
    <row r="403" spans="1:16">
      <c r="A403" s="167"/>
      <c r="B403" s="167"/>
      <c r="C403" s="167"/>
      <c r="D403" s="167"/>
      <c r="E403" s="167"/>
      <c r="F403" s="167"/>
      <c r="G403" s="167"/>
      <c r="H403" s="167"/>
      <c r="L403" s="604"/>
      <c r="M403" s="604"/>
      <c r="N403" s="604"/>
      <c r="O403" s="604"/>
      <c r="P403" s="604"/>
    </row>
    <row r="404" spans="1:16">
      <c r="A404" s="167"/>
      <c r="B404" s="167"/>
      <c r="C404" s="167"/>
      <c r="D404" s="167"/>
      <c r="E404" s="167"/>
      <c r="F404" s="167"/>
      <c r="G404" s="167"/>
      <c r="H404" s="167"/>
      <c r="L404" s="604"/>
      <c r="M404" s="604"/>
      <c r="N404" s="604"/>
      <c r="O404" s="604"/>
      <c r="P404" s="604"/>
    </row>
    <row r="405" spans="1:16">
      <c r="A405" s="167"/>
      <c r="B405" s="167"/>
      <c r="C405" s="167"/>
      <c r="D405" s="167"/>
      <c r="E405" s="167"/>
      <c r="F405" s="167"/>
      <c r="G405" s="167"/>
      <c r="H405" s="167"/>
      <c r="L405" s="604"/>
      <c r="M405" s="604"/>
      <c r="N405" s="604"/>
      <c r="O405" s="604"/>
      <c r="P405" s="604"/>
    </row>
    <row r="406" spans="1:16">
      <c r="A406" s="167"/>
      <c r="B406" s="167"/>
      <c r="C406" s="167"/>
      <c r="D406" s="167"/>
      <c r="E406" s="167"/>
      <c r="F406" s="167"/>
      <c r="G406" s="167"/>
      <c r="H406" s="167"/>
      <c r="L406" s="604"/>
      <c r="M406" s="604"/>
      <c r="N406" s="604"/>
      <c r="O406" s="604"/>
      <c r="P406" s="604"/>
    </row>
    <row r="407" spans="1:16">
      <c r="A407" s="167"/>
      <c r="B407" s="167"/>
      <c r="C407" s="167"/>
      <c r="D407" s="167"/>
      <c r="E407" s="167"/>
      <c r="F407" s="167"/>
      <c r="G407" s="167"/>
      <c r="H407" s="167"/>
      <c r="L407" s="604"/>
      <c r="M407" s="604"/>
      <c r="N407" s="604"/>
      <c r="O407" s="604"/>
      <c r="P407" s="604"/>
    </row>
    <row r="408" spans="1:16">
      <c r="A408" s="167"/>
      <c r="B408" s="167"/>
      <c r="C408" s="167"/>
      <c r="D408" s="167"/>
      <c r="E408" s="167"/>
      <c r="F408" s="167"/>
      <c r="G408" s="167"/>
      <c r="H408" s="167"/>
      <c r="L408" s="604"/>
      <c r="M408" s="604"/>
      <c r="N408" s="604"/>
      <c r="O408" s="604"/>
      <c r="P408" s="604"/>
    </row>
    <row r="409" spans="1:16">
      <c r="A409" s="167"/>
      <c r="B409" s="167"/>
      <c r="C409" s="167"/>
      <c r="D409" s="167"/>
      <c r="E409" s="167"/>
      <c r="F409" s="167"/>
      <c r="G409" s="167"/>
      <c r="H409" s="167"/>
      <c r="L409" s="604"/>
      <c r="M409" s="604"/>
      <c r="N409" s="604"/>
      <c r="O409" s="604"/>
      <c r="P409" s="604"/>
    </row>
    <row r="410" spans="1:16">
      <c r="A410" s="167"/>
      <c r="B410" s="167"/>
      <c r="C410" s="167"/>
      <c r="D410" s="167"/>
      <c r="E410" s="167"/>
      <c r="F410" s="167"/>
      <c r="G410" s="167"/>
      <c r="H410" s="167"/>
      <c r="L410" s="604"/>
      <c r="M410" s="604"/>
      <c r="N410" s="604"/>
      <c r="O410" s="604"/>
      <c r="P410" s="604"/>
    </row>
    <row r="411" spans="1:16">
      <c r="A411" s="167"/>
      <c r="B411" s="167"/>
      <c r="C411" s="167"/>
      <c r="D411" s="167"/>
      <c r="E411" s="167"/>
      <c r="F411" s="167"/>
      <c r="G411" s="167"/>
      <c r="H411" s="167"/>
      <c r="L411" s="604"/>
      <c r="M411" s="604"/>
      <c r="N411" s="604"/>
      <c r="O411" s="604"/>
      <c r="P411" s="604"/>
    </row>
    <row r="412" spans="1:16">
      <c r="A412" s="167"/>
      <c r="B412" s="167"/>
      <c r="C412" s="167"/>
      <c r="D412" s="167"/>
      <c r="E412" s="167"/>
      <c r="F412" s="167"/>
      <c r="G412" s="167"/>
      <c r="H412" s="167"/>
      <c r="L412" s="604"/>
      <c r="M412" s="604"/>
      <c r="N412" s="604"/>
      <c r="O412" s="604"/>
      <c r="P412" s="604"/>
    </row>
    <row r="413" spans="1:16">
      <c r="A413" s="167"/>
      <c r="B413" s="167"/>
      <c r="C413" s="167"/>
      <c r="D413" s="167"/>
      <c r="E413" s="167"/>
      <c r="F413" s="167"/>
      <c r="G413" s="167"/>
      <c r="H413" s="167"/>
      <c r="L413" s="604"/>
      <c r="M413" s="604"/>
      <c r="N413" s="604"/>
      <c r="O413" s="604"/>
      <c r="P413" s="604"/>
    </row>
    <row r="414" spans="1:16">
      <c r="A414" s="167"/>
      <c r="B414" s="167"/>
      <c r="C414" s="167"/>
      <c r="D414" s="167"/>
      <c r="E414" s="167"/>
      <c r="F414" s="167"/>
      <c r="G414" s="167"/>
      <c r="H414" s="167"/>
      <c r="L414" s="604"/>
      <c r="M414" s="604"/>
      <c r="N414" s="604"/>
      <c r="O414" s="604"/>
      <c r="P414" s="604"/>
    </row>
    <row r="415" spans="1:16">
      <c r="A415" s="167"/>
      <c r="B415" s="167"/>
      <c r="C415" s="167"/>
      <c r="D415" s="167"/>
      <c r="E415" s="167"/>
      <c r="F415" s="167"/>
      <c r="G415" s="167"/>
      <c r="H415" s="167"/>
      <c r="L415" s="604"/>
      <c r="M415" s="604"/>
      <c r="N415" s="604"/>
      <c r="O415" s="604"/>
      <c r="P415" s="604"/>
    </row>
    <row r="416" spans="1:16">
      <c r="A416" s="167"/>
      <c r="B416" s="167"/>
      <c r="C416" s="167"/>
      <c r="D416" s="167"/>
      <c r="E416" s="167"/>
      <c r="F416" s="167"/>
      <c r="G416" s="167"/>
      <c r="H416" s="167"/>
      <c r="L416" s="604"/>
      <c r="M416" s="604"/>
      <c r="N416" s="604"/>
      <c r="O416" s="604"/>
      <c r="P416" s="604"/>
    </row>
    <row r="417" spans="1:16">
      <c r="A417" s="167"/>
      <c r="B417" s="167"/>
      <c r="C417" s="167"/>
      <c r="D417" s="167"/>
      <c r="E417" s="167"/>
      <c r="F417" s="167"/>
      <c r="G417" s="167"/>
      <c r="H417" s="167"/>
      <c r="L417" s="604"/>
      <c r="M417" s="604"/>
      <c r="N417" s="604"/>
      <c r="O417" s="604"/>
      <c r="P417" s="604"/>
    </row>
    <row r="418" spans="1:16">
      <c r="A418" s="167"/>
      <c r="B418" s="167"/>
      <c r="C418" s="167"/>
      <c r="D418" s="167"/>
      <c r="E418" s="167"/>
      <c r="F418" s="167"/>
      <c r="G418" s="167"/>
      <c r="H418" s="167"/>
      <c r="L418" s="604"/>
      <c r="M418" s="604"/>
      <c r="N418" s="604"/>
      <c r="O418" s="604"/>
      <c r="P418" s="604"/>
    </row>
    <row r="419" spans="1:16">
      <c r="A419" s="167"/>
      <c r="B419" s="167"/>
      <c r="C419" s="167"/>
      <c r="D419" s="167"/>
      <c r="E419" s="167"/>
      <c r="F419" s="167"/>
      <c r="G419" s="167"/>
      <c r="H419" s="167"/>
      <c r="L419" s="604"/>
      <c r="M419" s="604"/>
      <c r="N419" s="604"/>
      <c r="O419" s="604"/>
      <c r="P419" s="604"/>
    </row>
    <row r="420" spans="1:16">
      <c r="A420" s="167"/>
      <c r="B420" s="167"/>
      <c r="C420" s="167"/>
      <c r="D420" s="167"/>
      <c r="E420" s="167"/>
      <c r="F420" s="167"/>
      <c r="G420" s="167"/>
      <c r="H420" s="167"/>
      <c r="L420" s="604"/>
      <c r="M420" s="604"/>
      <c r="N420" s="604"/>
      <c r="O420" s="604"/>
      <c r="P420" s="604"/>
    </row>
    <row r="421" spans="1:16">
      <c r="A421" s="167"/>
      <c r="B421" s="167"/>
      <c r="C421" s="167"/>
      <c r="D421" s="167"/>
      <c r="E421" s="167"/>
      <c r="F421" s="167"/>
      <c r="G421" s="167"/>
      <c r="H421" s="167"/>
      <c r="L421" s="604"/>
      <c r="M421" s="604"/>
      <c r="N421" s="604"/>
      <c r="O421" s="604"/>
      <c r="P421" s="604"/>
    </row>
    <row r="422" spans="1:16">
      <c r="A422" s="167"/>
      <c r="B422" s="167"/>
      <c r="C422" s="167"/>
      <c r="D422" s="167"/>
      <c r="E422" s="167"/>
      <c r="F422" s="167"/>
      <c r="G422" s="167"/>
      <c r="H422" s="167"/>
      <c r="L422" s="604"/>
      <c r="M422" s="604"/>
      <c r="N422" s="604"/>
      <c r="O422" s="604"/>
      <c r="P422" s="604"/>
    </row>
    <row r="423" spans="1:16">
      <c r="A423" s="167"/>
      <c r="B423" s="167"/>
      <c r="C423" s="167"/>
      <c r="D423" s="167"/>
      <c r="E423" s="167"/>
      <c r="F423" s="167"/>
      <c r="G423" s="167"/>
      <c r="H423" s="167"/>
      <c r="L423" s="604"/>
      <c r="M423" s="604"/>
      <c r="N423" s="604"/>
      <c r="O423" s="604"/>
      <c r="P423" s="604"/>
    </row>
    <row r="424" spans="1:16">
      <c r="A424" s="167"/>
      <c r="B424" s="167"/>
      <c r="C424" s="167"/>
      <c r="D424" s="167"/>
      <c r="E424" s="167"/>
      <c r="F424" s="167"/>
      <c r="G424" s="167"/>
      <c r="H424" s="167"/>
      <c r="L424" s="604"/>
      <c r="M424" s="604"/>
      <c r="N424" s="604"/>
      <c r="O424" s="604"/>
      <c r="P424" s="604"/>
    </row>
    <row r="425" spans="1:16">
      <c r="A425" s="167"/>
      <c r="B425" s="167"/>
      <c r="C425" s="167"/>
      <c r="D425" s="167"/>
      <c r="E425" s="167"/>
      <c r="F425" s="167"/>
      <c r="G425" s="167"/>
      <c r="H425" s="167"/>
      <c r="L425" s="604"/>
      <c r="M425" s="604"/>
      <c r="N425" s="604"/>
      <c r="O425" s="604"/>
      <c r="P425" s="604"/>
    </row>
    <row r="426" spans="1:16">
      <c r="A426" s="167"/>
      <c r="B426" s="167"/>
      <c r="C426" s="167"/>
      <c r="D426" s="167"/>
      <c r="E426" s="167"/>
      <c r="F426" s="167"/>
      <c r="G426" s="167"/>
      <c r="H426" s="167"/>
      <c r="L426" s="604"/>
      <c r="M426" s="604"/>
      <c r="N426" s="604"/>
      <c r="O426" s="604"/>
      <c r="P426" s="604"/>
    </row>
    <row r="427" spans="1:16">
      <c r="A427" s="167"/>
      <c r="B427" s="167"/>
      <c r="C427" s="167"/>
      <c r="D427" s="167"/>
      <c r="E427" s="167"/>
      <c r="F427" s="167"/>
      <c r="G427" s="167"/>
      <c r="H427" s="167"/>
      <c r="L427" s="604"/>
      <c r="M427" s="604"/>
      <c r="N427" s="604"/>
      <c r="O427" s="604"/>
      <c r="P427" s="604"/>
    </row>
    <row r="428" spans="1:16">
      <c r="A428" s="167"/>
      <c r="B428" s="167"/>
      <c r="C428" s="167"/>
      <c r="D428" s="167"/>
      <c r="E428" s="167"/>
      <c r="F428" s="167"/>
      <c r="G428" s="167"/>
      <c r="H428" s="167"/>
      <c r="L428" s="604"/>
      <c r="M428" s="604"/>
      <c r="N428" s="604"/>
      <c r="O428" s="604"/>
      <c r="P428" s="604"/>
    </row>
    <row r="429" spans="1:16">
      <c r="A429" s="167"/>
      <c r="B429" s="167"/>
      <c r="C429" s="167"/>
      <c r="D429" s="167"/>
      <c r="E429" s="167"/>
      <c r="F429" s="167"/>
      <c r="G429" s="167"/>
      <c r="H429" s="167"/>
      <c r="L429" s="604"/>
      <c r="M429" s="604"/>
      <c r="N429" s="604"/>
      <c r="O429" s="604"/>
      <c r="P429" s="604"/>
    </row>
    <row r="430" spans="1:16">
      <c r="A430" s="167"/>
      <c r="B430" s="167"/>
      <c r="C430" s="167"/>
      <c r="D430" s="167"/>
      <c r="E430" s="167"/>
      <c r="F430" s="167"/>
      <c r="G430" s="167"/>
      <c r="H430" s="167"/>
      <c r="L430" s="604"/>
      <c r="M430" s="604"/>
      <c r="N430" s="604"/>
      <c r="O430" s="604"/>
      <c r="P430" s="604"/>
    </row>
    <row r="431" spans="1:16">
      <c r="A431" s="167"/>
      <c r="B431" s="167"/>
      <c r="C431" s="167"/>
      <c r="D431" s="167"/>
      <c r="E431" s="167"/>
      <c r="F431" s="167"/>
      <c r="G431" s="167"/>
      <c r="H431" s="167"/>
      <c r="L431" s="604"/>
      <c r="M431" s="604"/>
      <c r="N431" s="604"/>
      <c r="O431" s="604"/>
      <c r="P431" s="604"/>
    </row>
    <row r="432" spans="1:16">
      <c r="A432" s="167"/>
      <c r="B432" s="167"/>
      <c r="C432" s="167"/>
      <c r="D432" s="167"/>
      <c r="E432" s="167"/>
      <c r="F432" s="167"/>
      <c r="G432" s="167"/>
      <c r="H432" s="167"/>
      <c r="L432" s="604"/>
      <c r="M432" s="604"/>
      <c r="N432" s="604"/>
      <c r="O432" s="604"/>
      <c r="P432" s="604"/>
    </row>
    <row r="433" spans="1:16">
      <c r="A433" s="167"/>
      <c r="B433" s="167"/>
      <c r="C433" s="167"/>
      <c r="D433" s="167"/>
      <c r="E433" s="167"/>
      <c r="F433" s="167"/>
      <c r="G433" s="167"/>
      <c r="H433" s="167"/>
      <c r="L433" s="604"/>
      <c r="M433" s="604"/>
      <c r="N433" s="604"/>
      <c r="O433" s="604"/>
      <c r="P433" s="604"/>
    </row>
    <row r="434" spans="1:16">
      <c r="A434" s="167"/>
      <c r="B434" s="167"/>
      <c r="C434" s="167"/>
      <c r="D434" s="167"/>
      <c r="E434" s="167"/>
      <c r="F434" s="167"/>
      <c r="G434" s="167"/>
      <c r="H434" s="167"/>
      <c r="L434" s="604"/>
      <c r="M434" s="604"/>
      <c r="N434" s="604"/>
      <c r="O434" s="604"/>
      <c r="P434" s="604"/>
    </row>
    <row r="435" spans="1:16">
      <c r="A435" s="167"/>
      <c r="B435" s="167"/>
      <c r="C435" s="167"/>
      <c r="D435" s="167"/>
      <c r="E435" s="167"/>
      <c r="F435" s="167"/>
      <c r="G435" s="167"/>
      <c r="H435" s="167"/>
      <c r="L435" s="604"/>
      <c r="M435" s="604"/>
      <c r="N435" s="604"/>
      <c r="O435" s="604"/>
      <c r="P435" s="604"/>
    </row>
    <row r="436" spans="1:16">
      <c r="A436" s="167"/>
      <c r="B436" s="167"/>
      <c r="C436" s="167"/>
      <c r="D436" s="167"/>
      <c r="E436" s="167"/>
      <c r="F436" s="167"/>
      <c r="G436" s="167"/>
      <c r="H436" s="167"/>
      <c r="L436" s="604"/>
      <c r="M436" s="604"/>
      <c r="N436" s="604"/>
      <c r="O436" s="604"/>
      <c r="P436" s="604"/>
    </row>
    <row r="437" spans="1:16">
      <c r="A437" s="167"/>
      <c r="B437" s="167"/>
      <c r="C437" s="167"/>
      <c r="D437" s="167"/>
      <c r="E437" s="167"/>
      <c r="F437" s="167"/>
      <c r="G437" s="167"/>
      <c r="H437" s="167"/>
      <c r="L437" s="604"/>
      <c r="M437" s="604"/>
      <c r="N437" s="604"/>
      <c r="O437" s="604"/>
      <c r="P437" s="604"/>
    </row>
    <row r="438" spans="1:16">
      <c r="A438" s="167"/>
      <c r="B438" s="167"/>
      <c r="C438" s="167"/>
      <c r="D438" s="167"/>
      <c r="E438" s="167"/>
      <c r="F438" s="167"/>
      <c r="G438" s="167"/>
      <c r="H438" s="167"/>
      <c r="L438" s="604"/>
      <c r="M438" s="604"/>
      <c r="N438" s="604"/>
      <c r="O438" s="604"/>
      <c r="P438" s="604"/>
    </row>
    <row r="439" spans="1:16">
      <c r="A439" s="167"/>
      <c r="B439" s="167"/>
      <c r="C439" s="167"/>
      <c r="D439" s="167"/>
      <c r="E439" s="167"/>
      <c r="F439" s="167"/>
      <c r="G439" s="167"/>
      <c r="H439" s="167"/>
      <c r="L439" s="604"/>
      <c r="M439" s="604"/>
      <c r="N439" s="604"/>
      <c r="O439" s="604"/>
      <c r="P439" s="604"/>
    </row>
    <row r="440" spans="1:16">
      <c r="A440" s="167"/>
      <c r="B440" s="167"/>
      <c r="C440" s="167"/>
      <c r="D440" s="167"/>
      <c r="E440" s="167"/>
      <c r="F440" s="167"/>
      <c r="G440" s="167"/>
      <c r="H440" s="167"/>
      <c r="L440" s="604"/>
      <c r="M440" s="604"/>
      <c r="N440" s="604"/>
      <c r="O440" s="604"/>
      <c r="P440" s="604"/>
    </row>
    <row r="441" spans="1:16">
      <c r="A441" s="167"/>
      <c r="B441" s="167"/>
      <c r="C441" s="167"/>
      <c r="D441" s="167"/>
      <c r="E441" s="167"/>
      <c r="F441" s="167"/>
      <c r="G441" s="167"/>
      <c r="H441" s="167"/>
      <c r="L441" s="604"/>
      <c r="M441" s="604"/>
      <c r="N441" s="604"/>
      <c r="O441" s="604"/>
      <c r="P441" s="604"/>
    </row>
    <row r="442" spans="1:16">
      <c r="A442" s="167"/>
      <c r="B442" s="167"/>
      <c r="C442" s="167"/>
      <c r="D442" s="167"/>
      <c r="E442" s="167"/>
      <c r="F442" s="167"/>
      <c r="G442" s="167"/>
      <c r="H442" s="167"/>
      <c r="L442" s="604"/>
      <c r="M442" s="604"/>
      <c r="N442" s="604"/>
      <c r="O442" s="604"/>
      <c r="P442" s="604"/>
    </row>
    <row r="443" spans="1:16">
      <c r="A443" s="167"/>
      <c r="B443" s="167"/>
      <c r="C443" s="167"/>
      <c r="D443" s="167"/>
      <c r="E443" s="167"/>
      <c r="F443" s="167"/>
      <c r="G443" s="167"/>
      <c r="H443" s="167"/>
      <c r="L443" s="604"/>
      <c r="M443" s="604"/>
      <c r="N443" s="604"/>
      <c r="O443" s="604"/>
      <c r="P443" s="604"/>
    </row>
    <row r="444" spans="1:16">
      <c r="A444" s="167"/>
      <c r="B444" s="167"/>
      <c r="C444" s="167"/>
      <c r="D444" s="167"/>
      <c r="E444" s="167"/>
      <c r="F444" s="167"/>
      <c r="G444" s="167"/>
      <c r="H444" s="167"/>
      <c r="L444" s="604"/>
      <c r="M444" s="604"/>
      <c r="N444" s="604"/>
      <c r="O444" s="604"/>
      <c r="P444" s="604"/>
    </row>
    <row r="445" spans="1:16">
      <c r="A445" s="167"/>
      <c r="B445" s="167"/>
      <c r="C445" s="167"/>
      <c r="D445" s="167"/>
      <c r="E445" s="167"/>
      <c r="F445" s="167"/>
      <c r="G445" s="167"/>
      <c r="H445" s="167"/>
      <c r="L445" s="604"/>
      <c r="M445" s="604"/>
      <c r="N445" s="604"/>
      <c r="O445" s="604"/>
      <c r="P445" s="604"/>
    </row>
    <row r="446" spans="1:16">
      <c r="A446" s="167"/>
      <c r="B446" s="167"/>
      <c r="C446" s="167"/>
      <c r="D446" s="167"/>
      <c r="E446" s="167"/>
      <c r="F446" s="167"/>
      <c r="G446" s="167"/>
      <c r="H446" s="167"/>
      <c r="L446" s="604"/>
      <c r="M446" s="604"/>
      <c r="N446" s="604"/>
      <c r="O446" s="604"/>
      <c r="P446" s="604"/>
    </row>
    <row r="447" spans="1:16">
      <c r="A447" s="167"/>
      <c r="B447" s="167"/>
      <c r="C447" s="167"/>
      <c r="D447" s="167"/>
      <c r="E447" s="167"/>
      <c r="F447" s="167"/>
      <c r="G447" s="167"/>
      <c r="H447" s="167"/>
      <c r="L447" s="604"/>
      <c r="M447" s="604"/>
      <c r="N447" s="604"/>
      <c r="O447" s="604"/>
      <c r="P447" s="604"/>
    </row>
    <row r="448" spans="1:16">
      <c r="A448" s="167"/>
      <c r="B448" s="167"/>
      <c r="C448" s="167"/>
      <c r="D448" s="167"/>
      <c r="E448" s="167"/>
      <c r="F448" s="167"/>
      <c r="G448" s="167"/>
      <c r="H448" s="167"/>
      <c r="L448" s="604"/>
      <c r="M448" s="604"/>
      <c r="N448" s="604"/>
      <c r="O448" s="604"/>
      <c r="P448" s="604"/>
    </row>
    <row r="449" spans="1:16">
      <c r="A449" s="167"/>
      <c r="B449" s="167"/>
      <c r="C449" s="167"/>
      <c r="D449" s="167"/>
      <c r="E449" s="167"/>
      <c r="F449" s="167"/>
      <c r="G449" s="167"/>
      <c r="H449" s="167"/>
      <c r="L449" s="604"/>
      <c r="M449" s="604"/>
      <c r="N449" s="604"/>
      <c r="O449" s="604"/>
      <c r="P449" s="604"/>
    </row>
    <row r="450" spans="1:16">
      <c r="A450" s="167"/>
      <c r="B450" s="167"/>
      <c r="C450" s="167"/>
      <c r="D450" s="167"/>
      <c r="E450" s="167"/>
      <c r="F450" s="167"/>
      <c r="G450" s="167"/>
      <c r="H450" s="167"/>
      <c r="L450" s="604"/>
      <c r="M450" s="604"/>
      <c r="N450" s="604"/>
      <c r="O450" s="604"/>
      <c r="P450" s="604"/>
    </row>
    <row r="451" spans="1:16">
      <c r="A451" s="167"/>
      <c r="B451" s="167"/>
      <c r="C451" s="167"/>
      <c r="D451" s="167"/>
      <c r="E451" s="167"/>
      <c r="F451" s="167"/>
      <c r="G451" s="167"/>
      <c r="H451" s="167"/>
      <c r="L451" s="604"/>
      <c r="M451" s="604"/>
      <c r="N451" s="604"/>
      <c r="O451" s="604"/>
      <c r="P451" s="604"/>
    </row>
    <row r="452" spans="1:16">
      <c r="A452" s="167"/>
      <c r="B452" s="167"/>
      <c r="C452" s="167"/>
      <c r="D452" s="167"/>
      <c r="E452" s="167"/>
      <c r="F452" s="167"/>
      <c r="G452" s="167"/>
      <c r="H452" s="167"/>
      <c r="L452" s="604"/>
      <c r="M452" s="604"/>
      <c r="N452" s="604"/>
      <c r="O452" s="604"/>
      <c r="P452" s="604"/>
    </row>
    <row r="453" spans="1:16">
      <c r="A453" s="167"/>
      <c r="B453" s="167"/>
      <c r="C453" s="167"/>
      <c r="D453" s="167"/>
      <c r="E453" s="167"/>
      <c r="F453" s="167"/>
      <c r="G453" s="167"/>
      <c r="H453" s="167"/>
      <c r="L453" s="604"/>
      <c r="M453" s="604"/>
      <c r="N453" s="604"/>
      <c r="O453" s="604"/>
      <c r="P453" s="604"/>
    </row>
    <row r="454" spans="1:16">
      <c r="A454" s="167"/>
      <c r="B454" s="167"/>
      <c r="C454" s="167"/>
      <c r="D454" s="167"/>
      <c r="E454" s="167"/>
      <c r="F454" s="167"/>
      <c r="G454" s="167"/>
      <c r="H454" s="167"/>
      <c r="L454" s="604"/>
      <c r="M454" s="604"/>
      <c r="N454" s="604"/>
      <c r="O454" s="604"/>
      <c r="P454" s="604"/>
    </row>
    <row r="455" spans="1:16">
      <c r="A455" s="167"/>
      <c r="B455" s="167"/>
      <c r="C455" s="167"/>
      <c r="D455" s="167"/>
      <c r="E455" s="167"/>
      <c r="F455" s="167"/>
      <c r="G455" s="167"/>
      <c r="H455" s="167"/>
      <c r="L455" s="604"/>
      <c r="M455" s="604"/>
      <c r="N455" s="604"/>
      <c r="O455" s="604"/>
      <c r="P455" s="604"/>
    </row>
    <row r="456" spans="1:16">
      <c r="A456" s="167"/>
      <c r="B456" s="167"/>
      <c r="C456" s="167"/>
      <c r="D456" s="167"/>
      <c r="E456" s="167"/>
      <c r="F456" s="167"/>
      <c r="G456" s="167"/>
      <c r="H456" s="167"/>
      <c r="L456" s="604"/>
      <c r="M456" s="604"/>
      <c r="N456" s="604"/>
      <c r="O456" s="604"/>
      <c r="P456" s="604"/>
    </row>
    <row r="457" spans="1:16">
      <c r="A457" s="167"/>
      <c r="B457" s="167"/>
      <c r="C457" s="167"/>
      <c r="D457" s="167"/>
      <c r="E457" s="167"/>
      <c r="F457" s="167"/>
      <c r="G457" s="167"/>
      <c r="H457" s="167"/>
      <c r="L457" s="604"/>
      <c r="M457" s="604"/>
      <c r="N457" s="604"/>
      <c r="O457" s="604"/>
      <c r="P457" s="604"/>
    </row>
    <row r="458" spans="1:16">
      <c r="A458" s="167"/>
      <c r="B458" s="167"/>
      <c r="C458" s="167"/>
      <c r="D458" s="167"/>
      <c r="E458" s="167"/>
      <c r="F458" s="167"/>
      <c r="G458" s="167"/>
      <c r="H458" s="167"/>
      <c r="L458" s="604"/>
      <c r="M458" s="604"/>
      <c r="N458" s="604"/>
      <c r="O458" s="604"/>
      <c r="P458" s="604"/>
    </row>
    <row r="459" spans="1:16">
      <c r="A459" s="167"/>
      <c r="B459" s="167"/>
      <c r="C459" s="167"/>
      <c r="D459" s="167"/>
      <c r="E459" s="167"/>
      <c r="F459" s="167"/>
      <c r="G459" s="167"/>
      <c r="H459" s="167"/>
      <c r="L459" s="604"/>
      <c r="M459" s="604"/>
      <c r="N459" s="604"/>
      <c r="O459" s="604"/>
      <c r="P459" s="604"/>
    </row>
    <row r="460" spans="1:16">
      <c r="A460" s="167"/>
      <c r="B460" s="167"/>
      <c r="C460" s="167"/>
      <c r="D460" s="167"/>
      <c r="E460" s="167"/>
      <c r="F460" s="167"/>
      <c r="G460" s="167"/>
      <c r="H460" s="167"/>
      <c r="L460" s="604"/>
      <c r="M460" s="604"/>
      <c r="N460" s="604"/>
      <c r="O460" s="604"/>
      <c r="P460" s="604"/>
    </row>
    <row r="461" spans="1:16">
      <c r="A461" s="167"/>
      <c r="B461" s="167"/>
      <c r="C461" s="167"/>
      <c r="D461" s="167"/>
      <c r="E461" s="167"/>
      <c r="F461" s="167"/>
      <c r="G461" s="167"/>
      <c r="H461" s="167"/>
      <c r="L461" s="604"/>
      <c r="M461" s="604"/>
      <c r="N461" s="604"/>
      <c r="O461" s="604"/>
      <c r="P461" s="604"/>
    </row>
    <row r="462" spans="1:16">
      <c r="A462" s="167"/>
      <c r="B462" s="167"/>
      <c r="C462" s="167"/>
      <c r="D462" s="167"/>
      <c r="E462" s="167"/>
      <c r="F462" s="167"/>
      <c r="G462" s="167"/>
      <c r="H462" s="167"/>
      <c r="L462" s="604"/>
      <c r="M462" s="604"/>
      <c r="N462" s="604"/>
      <c r="O462" s="604"/>
      <c r="P462" s="604"/>
    </row>
    <row r="463" spans="1:16">
      <c r="A463" s="167"/>
      <c r="B463" s="167"/>
      <c r="C463" s="167"/>
      <c r="D463" s="167"/>
      <c r="E463" s="167"/>
      <c r="F463" s="167"/>
      <c r="G463" s="167"/>
      <c r="H463" s="167"/>
      <c r="L463" s="604"/>
      <c r="M463" s="604"/>
      <c r="N463" s="604"/>
      <c r="O463" s="604"/>
      <c r="P463" s="604"/>
    </row>
    <row r="464" spans="1:16">
      <c r="A464" s="167"/>
      <c r="B464" s="167"/>
      <c r="C464" s="167"/>
      <c r="D464" s="167"/>
      <c r="E464" s="167"/>
      <c r="F464" s="167"/>
      <c r="G464" s="167"/>
      <c r="H464" s="167"/>
      <c r="L464" s="604"/>
      <c r="M464" s="604"/>
      <c r="N464" s="604"/>
      <c r="O464" s="604"/>
      <c r="P464" s="604"/>
    </row>
    <row r="465" spans="1:16">
      <c r="A465" s="167"/>
      <c r="B465" s="167"/>
      <c r="C465" s="167"/>
      <c r="D465" s="167"/>
      <c r="E465" s="167"/>
      <c r="F465" s="167"/>
      <c r="G465" s="167"/>
      <c r="H465" s="167"/>
      <c r="L465" s="604"/>
      <c r="M465" s="604"/>
      <c r="N465" s="604"/>
      <c r="O465" s="604"/>
      <c r="P465" s="604"/>
    </row>
    <row r="466" spans="1:16">
      <c r="A466" s="167"/>
      <c r="B466" s="167"/>
      <c r="C466" s="167"/>
      <c r="D466" s="167"/>
      <c r="E466" s="167"/>
      <c r="F466" s="167"/>
      <c r="G466" s="167"/>
      <c r="H466" s="167"/>
      <c r="L466" s="604"/>
      <c r="M466" s="604"/>
      <c r="N466" s="604"/>
      <c r="O466" s="604"/>
      <c r="P466" s="604"/>
    </row>
    <row r="467" spans="1:16">
      <c r="A467" s="167"/>
      <c r="B467" s="167"/>
      <c r="C467" s="167"/>
      <c r="D467" s="167"/>
      <c r="E467" s="167"/>
      <c r="F467" s="167"/>
      <c r="G467" s="167"/>
      <c r="H467" s="167"/>
      <c r="L467" s="604"/>
      <c r="M467" s="604"/>
      <c r="N467" s="604"/>
      <c r="O467" s="604"/>
      <c r="P467" s="604"/>
    </row>
    <row r="468" spans="1:16">
      <c r="A468" s="167"/>
      <c r="B468" s="167"/>
      <c r="C468" s="167"/>
      <c r="D468" s="167"/>
      <c r="E468" s="167"/>
      <c r="F468" s="167"/>
      <c r="G468" s="167"/>
      <c r="H468" s="167"/>
      <c r="L468" s="604"/>
      <c r="M468" s="604"/>
      <c r="N468" s="604"/>
      <c r="O468" s="604"/>
      <c r="P468" s="604"/>
    </row>
    <row r="469" spans="1:16">
      <c r="A469" s="167"/>
      <c r="B469" s="167"/>
      <c r="C469" s="167"/>
      <c r="D469" s="167"/>
      <c r="E469" s="167"/>
      <c r="F469" s="167"/>
      <c r="G469" s="167"/>
      <c r="H469" s="167"/>
      <c r="L469" s="604"/>
      <c r="M469" s="604"/>
      <c r="N469" s="604"/>
      <c r="O469" s="604"/>
      <c r="P469" s="604"/>
    </row>
    <row r="470" spans="1:16">
      <c r="A470" s="167"/>
      <c r="B470" s="167"/>
      <c r="C470" s="167"/>
      <c r="D470" s="167"/>
      <c r="E470" s="167"/>
      <c r="F470" s="167"/>
      <c r="G470" s="167"/>
      <c r="H470" s="167"/>
      <c r="L470" s="604"/>
      <c r="M470" s="604"/>
      <c r="N470" s="604"/>
      <c r="O470" s="604"/>
      <c r="P470" s="604"/>
    </row>
    <row r="471" spans="1:16">
      <c r="A471" s="167"/>
      <c r="B471" s="167"/>
      <c r="C471" s="167"/>
      <c r="D471" s="167"/>
      <c r="E471" s="167"/>
      <c r="F471" s="167"/>
      <c r="G471" s="167"/>
      <c r="H471" s="167"/>
      <c r="L471" s="604"/>
      <c r="M471" s="604"/>
      <c r="N471" s="604"/>
      <c r="O471" s="604"/>
      <c r="P471" s="604"/>
    </row>
    <row r="472" spans="1:16">
      <c r="A472" s="167"/>
      <c r="B472" s="167"/>
      <c r="C472" s="167"/>
      <c r="D472" s="167"/>
      <c r="E472" s="167"/>
      <c r="F472" s="167"/>
      <c r="G472" s="167"/>
      <c r="H472" s="167"/>
      <c r="L472" s="604"/>
      <c r="M472" s="604"/>
      <c r="N472" s="604"/>
      <c r="O472" s="604"/>
      <c r="P472" s="604"/>
    </row>
    <row r="473" spans="1:16">
      <c r="A473" s="167"/>
      <c r="B473" s="167"/>
      <c r="C473" s="167"/>
      <c r="D473" s="167"/>
      <c r="E473" s="167"/>
      <c r="F473" s="167"/>
      <c r="G473" s="167"/>
      <c r="H473" s="167"/>
      <c r="L473" s="604"/>
      <c r="M473" s="604"/>
      <c r="N473" s="604"/>
      <c r="O473" s="604"/>
      <c r="P473" s="604"/>
    </row>
    <row r="474" spans="1:16">
      <c r="A474" s="167"/>
      <c r="B474" s="167"/>
      <c r="C474" s="167"/>
      <c r="D474" s="167"/>
      <c r="E474" s="167"/>
      <c r="F474" s="167"/>
      <c r="G474" s="167"/>
      <c r="H474" s="167"/>
      <c r="L474" s="604"/>
      <c r="M474" s="604"/>
      <c r="N474" s="604"/>
      <c r="O474" s="604"/>
      <c r="P474" s="604"/>
    </row>
    <row r="475" spans="1:16">
      <c r="A475" s="167"/>
      <c r="B475" s="167"/>
      <c r="C475" s="167"/>
      <c r="D475" s="167"/>
      <c r="E475" s="167"/>
      <c r="F475" s="167"/>
      <c r="G475" s="167"/>
      <c r="H475" s="167"/>
      <c r="L475" s="604"/>
      <c r="M475" s="604"/>
      <c r="N475" s="604"/>
      <c r="O475" s="604"/>
      <c r="P475" s="604"/>
    </row>
    <row r="476" spans="1:16">
      <c r="A476" s="167"/>
      <c r="B476" s="167"/>
      <c r="C476" s="167"/>
      <c r="D476" s="167"/>
      <c r="E476" s="167"/>
      <c r="F476" s="167"/>
      <c r="G476" s="167"/>
      <c r="H476" s="167"/>
      <c r="L476" s="604"/>
      <c r="M476" s="604"/>
      <c r="N476" s="604"/>
      <c r="O476" s="604"/>
      <c r="P476" s="604"/>
    </row>
    <row r="477" spans="1:16">
      <c r="A477" s="167"/>
      <c r="B477" s="167"/>
      <c r="C477" s="167"/>
      <c r="D477" s="167"/>
      <c r="E477" s="167"/>
      <c r="F477" s="167"/>
      <c r="G477" s="167"/>
      <c r="H477" s="167"/>
      <c r="L477" s="604"/>
      <c r="M477" s="604"/>
      <c r="N477" s="604"/>
      <c r="O477" s="604"/>
      <c r="P477" s="604"/>
    </row>
    <row r="478" spans="1:16">
      <c r="A478" s="167"/>
      <c r="B478" s="167"/>
      <c r="C478" s="167"/>
      <c r="D478" s="167"/>
      <c r="E478" s="167"/>
      <c r="F478" s="167"/>
      <c r="G478" s="167"/>
      <c r="H478" s="167"/>
      <c r="L478" s="604"/>
      <c r="M478" s="604"/>
      <c r="N478" s="604"/>
      <c r="O478" s="604"/>
      <c r="P478" s="604"/>
    </row>
    <row r="479" spans="1:16">
      <c r="A479" s="167"/>
      <c r="B479" s="167"/>
      <c r="C479" s="167"/>
      <c r="D479" s="167"/>
      <c r="E479" s="167"/>
      <c r="F479" s="167"/>
      <c r="G479" s="167"/>
      <c r="H479" s="167"/>
      <c r="L479" s="604"/>
      <c r="M479" s="604"/>
      <c r="N479" s="604"/>
      <c r="O479" s="604"/>
      <c r="P479" s="604"/>
    </row>
    <row r="480" spans="1:16">
      <c r="A480" s="167"/>
      <c r="B480" s="167"/>
      <c r="C480" s="167"/>
      <c r="D480" s="167"/>
      <c r="E480" s="167"/>
      <c r="F480" s="167"/>
      <c r="G480" s="167"/>
      <c r="H480" s="167"/>
      <c r="L480" s="604"/>
      <c r="M480" s="604"/>
      <c r="N480" s="604"/>
      <c r="O480" s="604"/>
      <c r="P480" s="604"/>
    </row>
    <row r="481" spans="1:16">
      <c r="A481" s="167"/>
      <c r="B481" s="167"/>
      <c r="C481" s="167"/>
      <c r="D481" s="167"/>
      <c r="E481" s="167"/>
      <c r="F481" s="167"/>
      <c r="G481" s="167"/>
      <c r="H481" s="167"/>
      <c r="L481" s="604"/>
      <c r="M481" s="604"/>
      <c r="N481" s="604"/>
      <c r="O481" s="604"/>
      <c r="P481" s="604"/>
    </row>
    <row r="482" spans="1:16">
      <c r="A482" s="167"/>
      <c r="B482" s="167"/>
      <c r="C482" s="167"/>
      <c r="D482" s="167"/>
      <c r="E482" s="167"/>
      <c r="F482" s="167"/>
      <c r="G482" s="167"/>
      <c r="H482" s="167"/>
      <c r="L482" s="604"/>
      <c r="M482" s="604"/>
      <c r="N482" s="604"/>
      <c r="O482" s="604"/>
      <c r="P482" s="604"/>
    </row>
    <row r="483" spans="1:16">
      <c r="A483" s="167"/>
      <c r="B483" s="167"/>
      <c r="C483" s="167"/>
      <c r="D483" s="167"/>
      <c r="E483" s="167"/>
      <c r="F483" s="167"/>
      <c r="G483" s="167"/>
      <c r="H483" s="167"/>
      <c r="L483" s="604"/>
      <c r="M483" s="604"/>
      <c r="N483" s="604"/>
      <c r="O483" s="604"/>
      <c r="P483" s="604"/>
    </row>
    <row r="484" spans="1:16">
      <c r="A484" s="167"/>
      <c r="B484" s="167"/>
      <c r="C484" s="167"/>
      <c r="D484" s="167"/>
      <c r="E484" s="167"/>
      <c r="F484" s="167"/>
      <c r="G484" s="167"/>
      <c r="H484" s="167"/>
      <c r="L484" s="604"/>
      <c r="M484" s="604"/>
      <c r="N484" s="604"/>
      <c r="O484" s="604"/>
      <c r="P484" s="604"/>
    </row>
    <row r="485" spans="1:16">
      <c r="A485" s="167"/>
      <c r="B485" s="167"/>
      <c r="C485" s="167"/>
      <c r="D485" s="167"/>
      <c r="E485" s="167"/>
      <c r="F485" s="167"/>
      <c r="G485" s="167"/>
      <c r="H485" s="167"/>
      <c r="L485" s="604"/>
      <c r="M485" s="604"/>
      <c r="N485" s="604"/>
      <c r="O485" s="604"/>
      <c r="P485" s="604"/>
    </row>
    <row r="486" spans="1:16">
      <c r="A486" s="167"/>
      <c r="B486" s="167"/>
      <c r="C486" s="167"/>
      <c r="D486" s="167"/>
      <c r="E486" s="167"/>
      <c r="F486" s="167"/>
      <c r="G486" s="167"/>
      <c r="H486" s="167"/>
      <c r="L486" s="604"/>
      <c r="M486" s="604"/>
      <c r="N486" s="604"/>
      <c r="O486" s="604"/>
      <c r="P486" s="604"/>
    </row>
    <row r="487" spans="1:16">
      <c r="A487" s="167"/>
      <c r="B487" s="167"/>
      <c r="C487" s="167"/>
      <c r="D487" s="167"/>
      <c r="E487" s="167"/>
      <c r="F487" s="167"/>
      <c r="G487" s="167"/>
      <c r="H487" s="167"/>
      <c r="L487" s="604"/>
      <c r="M487" s="604"/>
      <c r="N487" s="604"/>
      <c r="O487" s="604"/>
      <c r="P487" s="604"/>
    </row>
    <row r="488" spans="1:16">
      <c r="A488" s="167"/>
      <c r="B488" s="167"/>
      <c r="C488" s="167"/>
      <c r="D488" s="167"/>
      <c r="E488" s="167"/>
      <c r="F488" s="167"/>
      <c r="G488" s="167"/>
      <c r="H488" s="167"/>
      <c r="L488" s="604"/>
      <c r="M488" s="604"/>
      <c r="N488" s="604"/>
      <c r="O488" s="604"/>
      <c r="P488" s="604"/>
    </row>
    <row r="489" spans="1:16">
      <c r="A489" s="167"/>
      <c r="B489" s="167"/>
      <c r="C489" s="167"/>
      <c r="D489" s="167"/>
      <c r="E489" s="167"/>
      <c r="F489" s="167"/>
      <c r="G489" s="167"/>
      <c r="H489" s="167"/>
      <c r="L489" s="604"/>
      <c r="M489" s="604"/>
      <c r="N489" s="604"/>
      <c r="O489" s="604"/>
      <c r="P489" s="604"/>
    </row>
    <row r="490" spans="1:16">
      <c r="A490" s="167"/>
      <c r="B490" s="167"/>
      <c r="C490" s="167"/>
      <c r="D490" s="167"/>
      <c r="E490" s="167"/>
      <c r="F490" s="167"/>
      <c r="G490" s="167"/>
      <c r="H490" s="167"/>
      <c r="L490" s="604"/>
      <c r="M490" s="604"/>
      <c r="N490" s="604"/>
      <c r="O490" s="604"/>
      <c r="P490" s="604"/>
    </row>
    <row r="491" spans="1:16">
      <c r="A491" s="167"/>
      <c r="B491" s="167"/>
      <c r="C491" s="167"/>
      <c r="D491" s="167"/>
      <c r="E491" s="167"/>
      <c r="F491" s="167"/>
      <c r="G491" s="167"/>
      <c r="H491" s="167"/>
      <c r="L491" s="604"/>
      <c r="M491" s="604"/>
      <c r="N491" s="604"/>
      <c r="O491" s="604"/>
      <c r="P491" s="604"/>
    </row>
    <row r="492" spans="1:16">
      <c r="A492" s="167"/>
      <c r="B492" s="167"/>
      <c r="C492" s="167"/>
      <c r="D492" s="167"/>
      <c r="E492" s="167"/>
      <c r="F492" s="167"/>
      <c r="G492" s="167"/>
      <c r="H492" s="167"/>
      <c r="L492" s="604"/>
      <c r="M492" s="604"/>
      <c r="N492" s="604"/>
      <c r="O492" s="604"/>
      <c r="P492" s="604"/>
    </row>
    <row r="493" spans="1:16">
      <c r="A493" s="167"/>
      <c r="B493" s="167"/>
      <c r="C493" s="167"/>
      <c r="D493" s="167"/>
      <c r="E493" s="167"/>
      <c r="F493" s="167"/>
      <c r="G493" s="167"/>
      <c r="H493" s="167"/>
      <c r="L493" s="604"/>
      <c r="M493" s="604"/>
      <c r="N493" s="604"/>
      <c r="O493" s="604"/>
      <c r="P493" s="604"/>
    </row>
    <row r="494" spans="1:16">
      <c r="A494" s="167"/>
      <c r="B494" s="167"/>
      <c r="C494" s="167"/>
      <c r="D494" s="167"/>
      <c r="E494" s="167"/>
      <c r="F494" s="167"/>
      <c r="G494" s="167"/>
      <c r="H494" s="167"/>
      <c r="L494" s="604"/>
      <c r="M494" s="604"/>
      <c r="N494" s="604"/>
      <c r="O494" s="604"/>
      <c r="P494" s="604"/>
    </row>
    <row r="495" spans="1:16">
      <c r="A495" s="167"/>
      <c r="B495" s="167"/>
      <c r="C495" s="167"/>
      <c r="D495" s="167"/>
      <c r="E495" s="167"/>
      <c r="F495" s="167"/>
      <c r="G495" s="167"/>
      <c r="H495" s="167"/>
      <c r="L495" s="604"/>
      <c r="M495" s="604"/>
      <c r="N495" s="604"/>
      <c r="O495" s="604"/>
      <c r="P495" s="604"/>
    </row>
    <row r="496" spans="1:16">
      <c r="A496" s="167"/>
      <c r="B496" s="167"/>
      <c r="C496" s="167"/>
      <c r="D496" s="167"/>
      <c r="E496" s="167"/>
      <c r="F496" s="167"/>
      <c r="G496" s="167"/>
      <c r="H496" s="167"/>
      <c r="L496" s="604"/>
      <c r="M496" s="604"/>
      <c r="N496" s="604"/>
      <c r="O496" s="604"/>
      <c r="P496" s="604"/>
    </row>
    <row r="497" spans="1:16">
      <c r="A497" s="167"/>
      <c r="B497" s="167"/>
      <c r="C497" s="167"/>
      <c r="D497" s="167"/>
      <c r="E497" s="167"/>
      <c r="F497" s="167"/>
      <c r="G497" s="167"/>
      <c r="H497" s="167"/>
      <c r="L497" s="604"/>
      <c r="M497" s="604"/>
      <c r="N497" s="604"/>
      <c r="O497" s="604"/>
      <c r="P497" s="604"/>
    </row>
    <row r="498" spans="1:16">
      <c r="A498" s="167"/>
      <c r="B498" s="167"/>
      <c r="C498" s="167"/>
      <c r="D498" s="167"/>
      <c r="E498" s="167"/>
      <c r="F498" s="167"/>
      <c r="G498" s="167"/>
      <c r="H498" s="167"/>
      <c r="L498" s="604"/>
      <c r="M498" s="604"/>
      <c r="N498" s="604"/>
      <c r="O498" s="604"/>
      <c r="P498" s="604"/>
    </row>
    <row r="499" spans="1:16">
      <c r="A499" s="167"/>
      <c r="B499" s="167"/>
      <c r="C499" s="167"/>
      <c r="D499" s="167"/>
      <c r="E499" s="167"/>
      <c r="F499" s="167"/>
      <c r="G499" s="167"/>
      <c r="H499" s="167"/>
      <c r="L499" s="604"/>
      <c r="M499" s="604"/>
      <c r="N499" s="604"/>
      <c r="O499" s="604"/>
      <c r="P499" s="604"/>
    </row>
    <row r="500" spans="1:16">
      <c r="A500" s="167"/>
      <c r="B500" s="167"/>
      <c r="C500" s="167"/>
      <c r="D500" s="167"/>
      <c r="E500" s="167"/>
      <c r="F500" s="167"/>
      <c r="G500" s="167"/>
      <c r="H500" s="167"/>
      <c r="L500" s="604"/>
      <c r="M500" s="604"/>
      <c r="N500" s="604"/>
      <c r="O500" s="604"/>
      <c r="P500" s="604"/>
    </row>
    <row r="501" spans="1:16">
      <c r="A501" s="167"/>
      <c r="B501" s="167"/>
      <c r="C501" s="167"/>
      <c r="D501" s="167"/>
      <c r="E501" s="167"/>
      <c r="F501" s="167"/>
      <c r="G501" s="167"/>
      <c r="H501" s="167"/>
      <c r="L501" s="604"/>
      <c r="M501" s="604"/>
      <c r="N501" s="604"/>
      <c r="O501" s="604"/>
      <c r="P501" s="604"/>
    </row>
    <row r="502" spans="1:16">
      <c r="A502" s="167"/>
      <c r="B502" s="167"/>
      <c r="C502" s="167"/>
      <c r="D502" s="167"/>
      <c r="E502" s="167"/>
      <c r="F502" s="167"/>
      <c r="G502" s="167"/>
      <c r="H502" s="167"/>
      <c r="L502" s="604"/>
      <c r="M502" s="604"/>
      <c r="N502" s="604"/>
      <c r="O502" s="604"/>
      <c r="P502" s="604"/>
    </row>
    <row r="503" spans="1:16">
      <c r="A503" s="167"/>
      <c r="B503" s="167"/>
      <c r="C503" s="167"/>
      <c r="D503" s="167"/>
      <c r="E503" s="167"/>
      <c r="F503" s="167"/>
      <c r="G503" s="167"/>
      <c r="H503" s="167"/>
      <c r="L503" s="604"/>
      <c r="M503" s="604"/>
      <c r="N503" s="604"/>
      <c r="O503" s="604"/>
      <c r="P503" s="604"/>
    </row>
    <row r="504" spans="1:16">
      <c r="A504" s="167"/>
      <c r="B504" s="167"/>
      <c r="C504" s="167"/>
      <c r="D504" s="167"/>
      <c r="E504" s="167"/>
      <c r="F504" s="167"/>
      <c r="G504" s="167"/>
      <c r="H504" s="167"/>
      <c r="L504" s="604"/>
      <c r="M504" s="604"/>
      <c r="N504" s="604"/>
      <c r="O504" s="604"/>
      <c r="P504" s="604"/>
    </row>
    <row r="505" spans="1:16">
      <c r="A505" s="167"/>
      <c r="B505" s="167"/>
      <c r="C505" s="167"/>
      <c r="D505" s="167"/>
      <c r="E505" s="167"/>
      <c r="F505" s="167"/>
      <c r="G505" s="167"/>
      <c r="H505" s="167"/>
      <c r="L505" s="604"/>
      <c r="M505" s="604"/>
      <c r="N505" s="604"/>
      <c r="O505" s="604"/>
      <c r="P505" s="604"/>
    </row>
    <row r="506" spans="1:16">
      <c r="A506" s="167"/>
      <c r="B506" s="167"/>
      <c r="C506" s="167"/>
      <c r="D506" s="167"/>
      <c r="E506" s="167"/>
      <c r="F506" s="167"/>
      <c r="G506" s="167"/>
      <c r="H506" s="167"/>
      <c r="L506" s="604"/>
      <c r="M506" s="604"/>
      <c r="N506" s="604"/>
      <c r="O506" s="604"/>
      <c r="P506" s="604"/>
    </row>
    <row r="507" spans="1:16">
      <c r="A507" s="167"/>
      <c r="B507" s="167"/>
      <c r="C507" s="167"/>
      <c r="D507" s="167"/>
      <c r="E507" s="167"/>
      <c r="F507" s="167"/>
      <c r="G507" s="167"/>
      <c r="H507" s="167"/>
      <c r="L507" s="604"/>
      <c r="M507" s="604"/>
      <c r="N507" s="604"/>
      <c r="O507" s="604"/>
      <c r="P507" s="604"/>
    </row>
    <row r="508" spans="1:16">
      <c r="A508" s="167"/>
      <c r="B508" s="167"/>
      <c r="C508" s="167"/>
      <c r="D508" s="167"/>
      <c r="E508" s="167"/>
      <c r="F508" s="167"/>
      <c r="G508" s="167"/>
      <c r="H508" s="167"/>
      <c r="L508" s="604"/>
      <c r="M508" s="604"/>
      <c r="N508" s="604"/>
      <c r="O508" s="604"/>
      <c r="P508" s="604"/>
    </row>
    <row r="509" spans="1:16">
      <c r="A509" s="167"/>
      <c r="B509" s="167"/>
      <c r="C509" s="167"/>
      <c r="D509" s="167"/>
      <c r="E509" s="167"/>
      <c r="F509" s="167"/>
      <c r="G509" s="167"/>
      <c r="H509" s="167"/>
      <c r="L509" s="604"/>
      <c r="M509" s="604"/>
      <c r="N509" s="604"/>
      <c r="O509" s="604"/>
      <c r="P509" s="604"/>
    </row>
    <row r="510" spans="1:16">
      <c r="A510" s="167"/>
      <c r="B510" s="167"/>
      <c r="C510" s="167"/>
      <c r="D510" s="167"/>
      <c r="E510" s="167"/>
      <c r="F510" s="167"/>
      <c r="G510" s="167"/>
      <c r="H510" s="167"/>
      <c r="L510" s="604"/>
      <c r="M510" s="604"/>
      <c r="N510" s="604"/>
      <c r="O510" s="604"/>
      <c r="P510" s="604"/>
    </row>
    <row r="511" spans="1:16">
      <c r="A511" s="167"/>
      <c r="B511" s="167"/>
      <c r="C511" s="167"/>
      <c r="D511" s="167"/>
      <c r="E511" s="167"/>
      <c r="F511" s="167"/>
      <c r="G511" s="167"/>
      <c r="H511" s="167"/>
      <c r="L511" s="604"/>
      <c r="M511" s="604"/>
      <c r="N511" s="604"/>
      <c r="O511" s="604"/>
      <c r="P511" s="604"/>
    </row>
    <row r="512" spans="1:16">
      <c r="A512" s="167"/>
      <c r="B512" s="167"/>
      <c r="C512" s="167"/>
      <c r="D512" s="167"/>
      <c r="E512" s="167"/>
      <c r="F512" s="167"/>
      <c r="G512" s="167"/>
      <c r="H512" s="167"/>
      <c r="L512" s="604"/>
      <c r="M512" s="604"/>
      <c r="N512" s="604"/>
      <c r="O512" s="604"/>
      <c r="P512" s="604"/>
    </row>
    <row r="513" spans="1:16">
      <c r="A513" s="167"/>
      <c r="B513" s="167"/>
      <c r="C513" s="167"/>
      <c r="D513" s="167"/>
      <c r="E513" s="167"/>
      <c r="F513" s="167"/>
      <c r="G513" s="167"/>
      <c r="H513" s="167"/>
      <c r="L513" s="604"/>
      <c r="M513" s="604"/>
      <c r="N513" s="604"/>
      <c r="O513" s="604"/>
      <c r="P513" s="604"/>
    </row>
    <row r="514" spans="1:16">
      <c r="A514" s="167"/>
      <c r="B514" s="167"/>
      <c r="C514" s="167"/>
      <c r="D514" s="167"/>
      <c r="E514" s="167"/>
      <c r="F514" s="167"/>
      <c r="G514" s="167"/>
      <c r="H514" s="167"/>
    </row>
    <row r="515" spans="1:16">
      <c r="A515" s="167"/>
      <c r="B515" s="167"/>
      <c r="C515" s="167"/>
      <c r="D515" s="167"/>
      <c r="E515" s="167"/>
      <c r="F515" s="167"/>
      <c r="G515" s="167"/>
      <c r="H515" s="167"/>
    </row>
    <row r="516" spans="1:16">
      <c r="A516" s="167"/>
      <c r="B516" s="167"/>
      <c r="C516" s="167"/>
      <c r="D516" s="167"/>
      <c r="E516" s="167"/>
      <c r="F516" s="167"/>
      <c r="G516" s="167"/>
      <c r="H516" s="167"/>
    </row>
    <row r="517" spans="1:16">
      <c r="A517" s="167"/>
      <c r="B517" s="167"/>
      <c r="C517" s="167"/>
      <c r="D517" s="167"/>
      <c r="E517" s="167"/>
      <c r="F517" s="167"/>
      <c r="G517" s="167"/>
      <c r="H517" s="167"/>
    </row>
    <row r="518" spans="1:16">
      <c r="A518" s="167"/>
      <c r="B518" s="167"/>
      <c r="C518" s="167"/>
      <c r="D518" s="167"/>
      <c r="E518" s="167"/>
      <c r="F518" s="167"/>
      <c r="G518" s="167"/>
      <c r="H518" s="167"/>
    </row>
    <row r="519" spans="1:16">
      <c r="A519" s="167"/>
      <c r="B519" s="167"/>
      <c r="C519" s="167"/>
      <c r="D519" s="167"/>
      <c r="E519" s="167"/>
      <c r="F519" s="167"/>
      <c r="G519" s="167"/>
      <c r="H519" s="167"/>
    </row>
    <row r="520" spans="1:16">
      <c r="A520" s="167"/>
      <c r="B520" s="167"/>
      <c r="C520" s="167"/>
      <c r="D520" s="167"/>
      <c r="E520" s="167"/>
      <c r="F520" s="167"/>
      <c r="G520" s="167"/>
      <c r="H520" s="167"/>
    </row>
    <row r="521" spans="1:16">
      <c r="A521" s="167"/>
      <c r="B521" s="167"/>
      <c r="C521" s="167"/>
      <c r="D521" s="167"/>
      <c r="E521" s="167"/>
      <c r="F521" s="167"/>
      <c r="G521" s="167"/>
      <c r="H521" s="167"/>
    </row>
    <row r="522" spans="1:16">
      <c r="A522" s="167"/>
      <c r="B522" s="167"/>
      <c r="C522" s="167"/>
      <c r="D522" s="167"/>
      <c r="E522" s="167"/>
      <c r="F522" s="167"/>
      <c r="G522" s="167"/>
      <c r="H522" s="167"/>
    </row>
    <row r="523" spans="1:16">
      <c r="A523" s="167"/>
      <c r="B523" s="167"/>
      <c r="C523" s="167"/>
      <c r="D523" s="167"/>
      <c r="E523" s="167"/>
      <c r="F523" s="167"/>
      <c r="G523" s="167"/>
      <c r="H523" s="167"/>
    </row>
    <row r="524" spans="1:16">
      <c r="A524" s="167"/>
      <c r="B524" s="167"/>
      <c r="C524" s="167"/>
      <c r="D524" s="167"/>
      <c r="E524" s="167"/>
      <c r="F524" s="167"/>
      <c r="G524" s="167"/>
      <c r="H524" s="167"/>
    </row>
    <row r="525" spans="1:16">
      <c r="A525" s="167"/>
      <c r="B525" s="167"/>
      <c r="C525" s="167"/>
      <c r="D525" s="167"/>
      <c r="E525" s="167"/>
      <c r="F525" s="167"/>
      <c r="G525" s="167"/>
      <c r="H525" s="167"/>
    </row>
    <row r="526" spans="1:16">
      <c r="A526" s="167"/>
      <c r="B526" s="167"/>
      <c r="C526" s="167"/>
      <c r="D526" s="167"/>
      <c r="E526" s="167"/>
      <c r="F526" s="167"/>
      <c r="G526" s="167"/>
      <c r="H526" s="167"/>
    </row>
    <row r="527" spans="1:16">
      <c r="A527" s="167"/>
      <c r="B527" s="167"/>
      <c r="C527" s="167"/>
      <c r="D527" s="167"/>
      <c r="E527" s="167"/>
      <c r="F527" s="167"/>
      <c r="G527" s="167"/>
      <c r="H527" s="167"/>
    </row>
    <row r="528" spans="1:16">
      <c r="A528" s="167"/>
      <c r="B528" s="167"/>
      <c r="C528" s="167"/>
      <c r="D528" s="167"/>
      <c r="E528" s="167"/>
      <c r="F528" s="167"/>
      <c r="G528" s="167"/>
      <c r="H528" s="167"/>
    </row>
    <row r="529" spans="1:8">
      <c r="A529" s="167"/>
      <c r="B529" s="167"/>
      <c r="C529" s="167"/>
      <c r="D529" s="167"/>
      <c r="E529" s="167"/>
      <c r="F529" s="167"/>
      <c r="G529" s="167"/>
      <c r="H529" s="167"/>
    </row>
    <row r="530" spans="1:8">
      <c r="A530" s="167"/>
      <c r="B530" s="167"/>
      <c r="C530" s="167"/>
      <c r="D530" s="167"/>
      <c r="E530" s="167"/>
      <c r="F530" s="167"/>
      <c r="G530" s="167"/>
      <c r="H530" s="167"/>
    </row>
    <row r="531" spans="1:8">
      <c r="A531" s="167"/>
      <c r="B531" s="167"/>
      <c r="C531" s="167"/>
      <c r="D531" s="167"/>
      <c r="E531" s="167"/>
      <c r="F531" s="167"/>
      <c r="G531" s="167"/>
      <c r="H531" s="167"/>
    </row>
    <row r="532" spans="1:8">
      <c r="A532" s="167"/>
      <c r="B532" s="167"/>
      <c r="C532" s="167"/>
      <c r="D532" s="167"/>
      <c r="E532" s="167"/>
      <c r="F532" s="167"/>
      <c r="G532" s="167"/>
      <c r="H532" s="167"/>
    </row>
    <row r="533" spans="1:8">
      <c r="A533" s="167"/>
      <c r="B533" s="167"/>
      <c r="C533" s="167"/>
      <c r="D533" s="167"/>
      <c r="E533" s="167"/>
      <c r="F533" s="167"/>
      <c r="G533" s="167"/>
      <c r="H533" s="167"/>
    </row>
    <row r="534" spans="1:8">
      <c r="A534" s="167"/>
      <c r="B534" s="167"/>
      <c r="C534" s="167"/>
      <c r="D534" s="167"/>
      <c r="E534" s="167"/>
      <c r="F534" s="167"/>
      <c r="G534" s="167"/>
      <c r="H534" s="167"/>
    </row>
    <row r="535" spans="1:8">
      <c r="A535" s="167"/>
      <c r="B535" s="167"/>
      <c r="C535" s="167"/>
      <c r="D535" s="167"/>
      <c r="E535" s="167"/>
      <c r="F535" s="167"/>
      <c r="G535" s="167"/>
      <c r="H535" s="167"/>
    </row>
    <row r="536" spans="1:8">
      <c r="A536" s="167"/>
      <c r="B536" s="167"/>
      <c r="C536" s="167"/>
      <c r="D536" s="167"/>
      <c r="E536" s="167"/>
      <c r="F536" s="167"/>
      <c r="G536" s="167"/>
      <c r="H536" s="167"/>
    </row>
    <row r="537" spans="1:8">
      <c r="A537" s="167"/>
      <c r="B537" s="167"/>
      <c r="C537" s="167"/>
      <c r="D537" s="167"/>
      <c r="E537" s="167"/>
      <c r="F537" s="167"/>
      <c r="G537" s="167"/>
      <c r="H537" s="167"/>
    </row>
    <row r="538" spans="1:8">
      <c r="A538" s="167"/>
      <c r="B538" s="167"/>
      <c r="C538" s="167"/>
      <c r="D538" s="167"/>
      <c r="E538" s="167"/>
      <c r="F538" s="167"/>
      <c r="G538" s="167"/>
      <c r="H538" s="167"/>
    </row>
    <row r="539" spans="1:8">
      <c r="A539" s="167"/>
      <c r="B539" s="167"/>
      <c r="C539" s="167"/>
      <c r="D539" s="167"/>
      <c r="E539" s="167"/>
      <c r="F539" s="167"/>
      <c r="G539" s="167"/>
      <c r="H539" s="167"/>
    </row>
    <row r="540" spans="1:8">
      <c r="A540" s="167"/>
      <c r="B540" s="167"/>
      <c r="C540" s="167"/>
      <c r="D540" s="167"/>
      <c r="E540" s="167"/>
      <c r="F540" s="167"/>
      <c r="G540" s="167"/>
      <c r="H540" s="167"/>
    </row>
    <row r="541" spans="1:8">
      <c r="A541" s="167"/>
      <c r="B541" s="167"/>
      <c r="C541" s="167"/>
      <c r="D541" s="167"/>
      <c r="E541" s="167"/>
      <c r="F541" s="167"/>
      <c r="G541" s="167"/>
      <c r="H541" s="167"/>
    </row>
    <row r="542" spans="1:8">
      <c r="A542" s="167"/>
      <c r="B542" s="167"/>
      <c r="C542" s="167"/>
      <c r="D542" s="167"/>
      <c r="E542" s="167"/>
      <c r="F542" s="167"/>
      <c r="G542" s="167"/>
      <c r="H542" s="167"/>
    </row>
    <row r="543" spans="1:8">
      <c r="A543" s="167"/>
      <c r="B543" s="167"/>
      <c r="C543" s="167"/>
      <c r="D543" s="167"/>
      <c r="E543" s="167"/>
      <c r="F543" s="167"/>
      <c r="G543" s="167"/>
      <c r="H543" s="167"/>
    </row>
    <row r="544" spans="1:8">
      <c r="A544" s="167"/>
      <c r="B544" s="167"/>
      <c r="C544" s="167"/>
      <c r="D544" s="167"/>
      <c r="E544" s="167"/>
      <c r="F544" s="167"/>
      <c r="G544" s="167"/>
      <c r="H544" s="167"/>
    </row>
    <row r="545" spans="1:8">
      <c r="A545" s="167"/>
      <c r="B545" s="167"/>
      <c r="C545" s="167"/>
      <c r="D545" s="167"/>
      <c r="E545" s="167"/>
      <c r="F545" s="167"/>
      <c r="G545" s="167"/>
      <c r="H545" s="167"/>
    </row>
    <row r="546" spans="1:8">
      <c r="A546" s="167"/>
      <c r="B546" s="167"/>
      <c r="C546" s="167"/>
      <c r="D546" s="167"/>
      <c r="E546" s="167"/>
      <c r="F546" s="167"/>
      <c r="G546" s="167"/>
      <c r="H546" s="167"/>
    </row>
    <row r="547" spans="1:8">
      <c r="A547" s="167"/>
      <c r="B547" s="167"/>
      <c r="C547" s="167"/>
      <c r="D547" s="167"/>
      <c r="E547" s="167"/>
      <c r="F547" s="167"/>
      <c r="G547" s="167"/>
      <c r="H547" s="167"/>
    </row>
    <row r="548" spans="1:8">
      <c r="A548" s="167"/>
      <c r="B548" s="167"/>
      <c r="C548" s="167"/>
      <c r="D548" s="167"/>
      <c r="E548" s="167"/>
      <c r="F548" s="167"/>
      <c r="G548" s="167"/>
      <c r="H548" s="167"/>
    </row>
    <row r="549" spans="1:8">
      <c r="A549" s="167"/>
      <c r="B549" s="167"/>
      <c r="C549" s="167"/>
      <c r="D549" s="167"/>
      <c r="E549" s="167"/>
      <c r="F549" s="167"/>
      <c r="G549" s="167"/>
      <c r="H549" s="167"/>
    </row>
    <row r="550" spans="1:8">
      <c r="A550" s="167"/>
      <c r="B550" s="167"/>
      <c r="C550" s="167"/>
      <c r="D550" s="167"/>
      <c r="E550" s="167"/>
      <c r="F550" s="167"/>
      <c r="G550" s="167"/>
      <c r="H550" s="167"/>
    </row>
    <row r="551" spans="1:8">
      <c r="A551" s="167"/>
      <c r="B551" s="167"/>
      <c r="C551" s="167"/>
      <c r="D551" s="167"/>
      <c r="E551" s="167"/>
      <c r="F551" s="167"/>
      <c r="G551" s="167"/>
      <c r="H551" s="167"/>
    </row>
    <row r="552" spans="1:8">
      <c r="A552" s="167"/>
      <c r="B552" s="167"/>
      <c r="C552" s="167"/>
      <c r="D552" s="167"/>
      <c r="E552" s="167"/>
      <c r="F552" s="167"/>
      <c r="G552" s="167"/>
      <c r="H552" s="167"/>
    </row>
    <row r="553" spans="1:8">
      <c r="A553" s="167"/>
      <c r="B553" s="167"/>
      <c r="C553" s="167"/>
      <c r="D553" s="167"/>
      <c r="E553" s="167"/>
      <c r="F553" s="167"/>
      <c r="G553" s="167"/>
      <c r="H553" s="167"/>
    </row>
    <row r="554" spans="1:8">
      <c r="A554" s="167"/>
      <c r="B554" s="167"/>
      <c r="C554" s="167"/>
      <c r="D554" s="167"/>
      <c r="E554" s="167"/>
      <c r="F554" s="167"/>
      <c r="G554" s="167"/>
      <c r="H554" s="167"/>
    </row>
    <row r="555" spans="1:8">
      <c r="A555" s="167"/>
      <c r="B555" s="167"/>
      <c r="C555" s="167"/>
      <c r="D555" s="167"/>
      <c r="E555" s="167"/>
      <c r="F555" s="167"/>
      <c r="G555" s="167"/>
      <c r="H555" s="167"/>
    </row>
    <row r="556" spans="1:8">
      <c r="A556" s="167"/>
      <c r="B556" s="167"/>
      <c r="C556" s="167"/>
      <c r="D556" s="167"/>
      <c r="E556" s="167"/>
      <c r="F556" s="167"/>
      <c r="G556" s="167"/>
      <c r="H556" s="167"/>
    </row>
    <row r="557" spans="1:8">
      <c r="A557" s="167"/>
      <c r="B557" s="167"/>
      <c r="C557" s="167"/>
      <c r="D557" s="167"/>
      <c r="E557" s="167"/>
      <c r="F557" s="167"/>
      <c r="G557" s="167"/>
      <c r="H557" s="167"/>
    </row>
    <row r="558" spans="1:8">
      <c r="A558" s="167"/>
      <c r="B558" s="167"/>
      <c r="C558" s="167"/>
      <c r="D558" s="167"/>
      <c r="E558" s="167"/>
      <c r="F558" s="167"/>
      <c r="G558" s="167"/>
      <c r="H558" s="167"/>
    </row>
    <row r="559" spans="1:8">
      <c r="A559" s="167"/>
      <c r="B559" s="167"/>
      <c r="C559" s="167"/>
      <c r="D559" s="167"/>
      <c r="E559" s="167"/>
      <c r="F559" s="167"/>
      <c r="G559" s="167"/>
      <c r="H559" s="167"/>
    </row>
    <row r="560" spans="1:8">
      <c r="A560" s="167"/>
      <c r="B560" s="167"/>
      <c r="C560" s="167"/>
      <c r="D560" s="167"/>
      <c r="E560" s="167"/>
      <c r="F560" s="167"/>
      <c r="G560" s="167"/>
      <c r="H560" s="167"/>
    </row>
    <row r="561" spans="1:8">
      <c r="A561" s="167"/>
      <c r="B561" s="167"/>
      <c r="C561" s="167"/>
      <c r="D561" s="167"/>
      <c r="E561" s="167"/>
      <c r="F561" s="167"/>
      <c r="G561" s="167"/>
      <c r="H561" s="167"/>
    </row>
    <row r="562" spans="1:8">
      <c r="A562" s="167"/>
      <c r="B562" s="167"/>
      <c r="C562" s="167"/>
      <c r="D562" s="167"/>
      <c r="E562" s="167"/>
      <c r="F562" s="167"/>
      <c r="G562" s="167"/>
      <c r="H562" s="167"/>
    </row>
    <row r="563" spans="1:8">
      <c r="A563" s="167"/>
      <c r="B563" s="167"/>
      <c r="C563" s="167"/>
      <c r="D563" s="167"/>
      <c r="E563" s="167"/>
      <c r="F563" s="167"/>
      <c r="G563" s="167"/>
      <c r="H563" s="167"/>
    </row>
    <row r="564" spans="1:8">
      <c r="A564" s="167"/>
      <c r="B564" s="167"/>
      <c r="C564" s="167"/>
      <c r="D564" s="167"/>
      <c r="E564" s="167"/>
      <c r="F564" s="167"/>
      <c r="G564" s="167"/>
      <c r="H564" s="167"/>
    </row>
    <row r="565" spans="1:8">
      <c r="A565" s="167"/>
      <c r="B565" s="167"/>
      <c r="C565" s="167"/>
      <c r="D565" s="167"/>
      <c r="E565" s="167"/>
      <c r="F565" s="167"/>
      <c r="G565" s="167"/>
      <c r="H565" s="167"/>
    </row>
    <row r="566" spans="1:8">
      <c r="A566" s="167"/>
      <c r="B566" s="167"/>
      <c r="C566" s="167"/>
      <c r="D566" s="167"/>
      <c r="E566" s="167"/>
      <c r="F566" s="167"/>
      <c r="G566" s="167"/>
      <c r="H566" s="167"/>
    </row>
    <row r="567" spans="1:8">
      <c r="A567" s="167"/>
      <c r="B567" s="167"/>
      <c r="C567" s="167"/>
      <c r="D567" s="167"/>
      <c r="E567" s="167"/>
      <c r="F567" s="167"/>
      <c r="G567" s="167"/>
      <c r="H567" s="167"/>
    </row>
    <row r="568" spans="1:8">
      <c r="A568" s="167"/>
      <c r="B568" s="167"/>
      <c r="C568" s="167"/>
      <c r="D568" s="167"/>
      <c r="E568" s="167"/>
      <c r="F568" s="167"/>
      <c r="G568" s="167"/>
      <c r="H568" s="167"/>
    </row>
    <row r="569" spans="1:8">
      <c r="A569" s="167"/>
      <c r="B569" s="167"/>
      <c r="C569" s="167"/>
      <c r="D569" s="167"/>
      <c r="E569" s="167"/>
      <c r="F569" s="167"/>
      <c r="G569" s="167"/>
      <c r="H569" s="167"/>
    </row>
    <row r="570" spans="1:8">
      <c r="A570" s="167"/>
      <c r="B570" s="167"/>
      <c r="C570" s="167"/>
      <c r="D570" s="167"/>
      <c r="E570" s="167"/>
      <c r="F570" s="167"/>
      <c r="G570" s="167"/>
      <c r="H570" s="167"/>
    </row>
    <row r="571" spans="1:8">
      <c r="A571" s="167"/>
      <c r="B571" s="167"/>
      <c r="C571" s="167"/>
      <c r="D571" s="167"/>
      <c r="E571" s="167"/>
      <c r="F571" s="167"/>
      <c r="G571" s="167"/>
      <c r="H571" s="167"/>
    </row>
    <row r="572" spans="1:8">
      <c r="A572" s="167"/>
      <c r="B572" s="167"/>
      <c r="C572" s="167"/>
      <c r="D572" s="167"/>
      <c r="E572" s="167"/>
      <c r="F572" s="167"/>
      <c r="G572" s="167"/>
      <c r="H572" s="167"/>
    </row>
    <row r="573" spans="1:8">
      <c r="A573" s="167"/>
      <c r="B573" s="167"/>
      <c r="C573" s="167"/>
      <c r="D573" s="167"/>
      <c r="E573" s="167"/>
      <c r="F573" s="167"/>
      <c r="G573" s="167"/>
      <c r="H573" s="167"/>
    </row>
    <row r="574" spans="1:8">
      <c r="A574" s="167"/>
      <c r="B574" s="167"/>
      <c r="C574" s="167"/>
      <c r="D574" s="167"/>
      <c r="E574" s="167"/>
      <c r="F574" s="167"/>
      <c r="G574" s="167"/>
      <c r="H574" s="167"/>
    </row>
    <row r="575" spans="1:8">
      <c r="A575" s="167"/>
      <c r="B575" s="167"/>
      <c r="C575" s="167"/>
      <c r="D575" s="167"/>
      <c r="E575" s="167"/>
      <c r="F575" s="167"/>
      <c r="G575" s="167"/>
      <c r="H575" s="167"/>
    </row>
    <row r="576" spans="1:8">
      <c r="A576" s="167"/>
      <c r="B576" s="167"/>
      <c r="C576" s="167"/>
      <c r="D576" s="167"/>
      <c r="E576" s="167"/>
      <c r="F576" s="167"/>
      <c r="G576" s="167"/>
      <c r="H576" s="167"/>
    </row>
    <row r="577" spans="1:8">
      <c r="A577" s="167"/>
      <c r="B577" s="167"/>
      <c r="C577" s="167"/>
      <c r="D577" s="167"/>
      <c r="E577" s="167"/>
      <c r="F577" s="167"/>
      <c r="G577" s="167"/>
      <c r="H577" s="167"/>
    </row>
    <row r="578" spans="1:8">
      <c r="A578" s="167"/>
      <c r="B578" s="167"/>
      <c r="C578" s="167"/>
      <c r="D578" s="167"/>
      <c r="E578" s="167"/>
      <c r="F578" s="167"/>
      <c r="G578" s="167"/>
      <c r="H578" s="167"/>
    </row>
    <row r="579" spans="1:8">
      <c r="A579" s="167"/>
      <c r="B579" s="167"/>
      <c r="C579" s="167"/>
      <c r="D579" s="167"/>
      <c r="E579" s="167"/>
      <c r="F579" s="167"/>
      <c r="G579" s="167"/>
      <c r="H579" s="167"/>
    </row>
    <row r="580" spans="1:8">
      <c r="A580" s="167"/>
      <c r="B580" s="167"/>
      <c r="C580" s="167"/>
      <c r="D580" s="167"/>
      <c r="E580" s="167"/>
      <c r="F580" s="167"/>
      <c r="G580" s="167"/>
      <c r="H580" s="167"/>
    </row>
    <row r="581" spans="1:8">
      <c r="A581" s="167"/>
      <c r="B581" s="167"/>
      <c r="C581" s="167"/>
      <c r="D581" s="167"/>
      <c r="E581" s="167"/>
      <c r="F581" s="167"/>
      <c r="G581" s="167"/>
      <c r="H581" s="167"/>
    </row>
    <row r="582" spans="1:8">
      <c r="A582" s="167"/>
      <c r="B582" s="167"/>
      <c r="C582" s="167"/>
      <c r="D582" s="167"/>
      <c r="E582" s="167"/>
      <c r="F582" s="167"/>
      <c r="G582" s="167"/>
      <c r="H582" s="167"/>
    </row>
    <row r="583" spans="1:8">
      <c r="A583" s="167"/>
      <c r="B583" s="167"/>
      <c r="C583" s="167"/>
      <c r="D583" s="167"/>
      <c r="E583" s="167"/>
      <c r="F583" s="167"/>
      <c r="G583" s="167"/>
      <c r="H583" s="167"/>
    </row>
    <row r="584" spans="1:8">
      <c r="A584" s="167"/>
      <c r="B584" s="167"/>
      <c r="C584" s="167"/>
      <c r="D584" s="167"/>
      <c r="E584" s="167"/>
      <c r="F584" s="167"/>
      <c r="G584" s="167"/>
      <c r="H584" s="167"/>
    </row>
    <row r="585" spans="1:8">
      <c r="A585" s="167"/>
      <c r="B585" s="167"/>
      <c r="C585" s="167"/>
      <c r="D585" s="167"/>
      <c r="E585" s="167"/>
      <c r="F585" s="167"/>
      <c r="G585" s="167"/>
      <c r="H585" s="167"/>
    </row>
    <row r="586" spans="1:8">
      <c r="A586" s="167"/>
      <c r="B586" s="167"/>
      <c r="C586" s="167"/>
      <c r="D586" s="167"/>
      <c r="E586" s="167"/>
      <c r="F586" s="167"/>
      <c r="G586" s="167"/>
      <c r="H586" s="167"/>
    </row>
    <row r="587" spans="1:8">
      <c r="A587" s="167"/>
      <c r="B587" s="167"/>
      <c r="C587" s="167"/>
      <c r="D587" s="167"/>
      <c r="E587" s="167"/>
      <c r="F587" s="167"/>
      <c r="G587" s="167"/>
      <c r="H587" s="167"/>
    </row>
    <row r="588" spans="1:8">
      <c r="A588" s="167"/>
      <c r="B588" s="167"/>
      <c r="C588" s="167"/>
      <c r="D588" s="167"/>
      <c r="E588" s="167"/>
      <c r="F588" s="167"/>
      <c r="G588" s="167"/>
      <c r="H588" s="167"/>
    </row>
    <row r="589" spans="1:8">
      <c r="A589" s="167"/>
      <c r="B589" s="167"/>
      <c r="C589" s="167"/>
      <c r="D589" s="167"/>
      <c r="E589" s="167"/>
      <c r="F589" s="167"/>
      <c r="G589" s="167"/>
      <c r="H589" s="167"/>
    </row>
    <row r="590" spans="1:8">
      <c r="A590" s="167"/>
      <c r="B590" s="167"/>
      <c r="C590" s="167"/>
      <c r="D590" s="167"/>
      <c r="E590" s="167"/>
      <c r="F590" s="167"/>
      <c r="G590" s="167"/>
      <c r="H590" s="167"/>
    </row>
    <row r="591" spans="1:8">
      <c r="A591" s="167"/>
      <c r="B591" s="167"/>
      <c r="C591" s="167"/>
      <c r="D591" s="167"/>
      <c r="E591" s="167"/>
      <c r="F591" s="167"/>
      <c r="G591" s="167"/>
      <c r="H591" s="167"/>
    </row>
    <row r="592" spans="1:8">
      <c r="A592" s="167"/>
      <c r="B592" s="167"/>
      <c r="C592" s="167"/>
      <c r="D592" s="167"/>
      <c r="E592" s="167"/>
      <c r="F592" s="167"/>
      <c r="G592" s="167"/>
      <c r="H592" s="167"/>
    </row>
    <row r="593" spans="1:8">
      <c r="A593" s="167"/>
      <c r="B593" s="167"/>
      <c r="C593" s="167"/>
      <c r="D593" s="167"/>
      <c r="E593" s="167"/>
      <c r="F593" s="167"/>
      <c r="G593" s="167"/>
      <c r="H593" s="167"/>
    </row>
    <row r="594" spans="1:8">
      <c r="A594" s="167"/>
      <c r="B594" s="167"/>
      <c r="C594" s="167"/>
      <c r="D594" s="167"/>
      <c r="E594" s="167"/>
      <c r="F594" s="167"/>
      <c r="G594" s="167"/>
      <c r="H594" s="167"/>
    </row>
    <row r="595" spans="1:8">
      <c r="A595" s="167"/>
      <c r="B595" s="167"/>
      <c r="C595" s="167"/>
      <c r="D595" s="167"/>
      <c r="E595" s="167"/>
      <c r="F595" s="167"/>
      <c r="G595" s="167"/>
      <c r="H595" s="167"/>
    </row>
    <row r="596" spans="1:8">
      <c r="A596" s="167"/>
      <c r="B596" s="167"/>
      <c r="C596" s="167"/>
      <c r="D596" s="167"/>
      <c r="E596" s="167"/>
      <c r="F596" s="167"/>
      <c r="G596" s="167"/>
      <c r="H596" s="167"/>
    </row>
    <row r="597" spans="1:8">
      <c r="A597" s="167"/>
      <c r="B597" s="167"/>
      <c r="C597" s="167"/>
      <c r="D597" s="167"/>
      <c r="E597" s="167"/>
      <c r="F597" s="167"/>
      <c r="G597" s="167"/>
      <c r="H597" s="167"/>
    </row>
    <row r="598" spans="1:8">
      <c r="A598" s="167"/>
      <c r="B598" s="167"/>
      <c r="C598" s="167"/>
      <c r="D598" s="167"/>
      <c r="E598" s="167"/>
      <c r="F598" s="167"/>
      <c r="G598" s="167"/>
      <c r="H598" s="167"/>
    </row>
    <row r="599" spans="1:8">
      <c r="A599" s="167"/>
      <c r="B599" s="167"/>
      <c r="C599" s="167"/>
      <c r="D599" s="167"/>
      <c r="E599" s="167"/>
      <c r="F599" s="167"/>
      <c r="G599" s="167"/>
      <c r="H599" s="167"/>
    </row>
    <row r="600" spans="1:8">
      <c r="A600" s="167"/>
      <c r="B600" s="167"/>
      <c r="C600" s="167"/>
      <c r="D600" s="167"/>
      <c r="E600" s="167"/>
      <c r="F600" s="167"/>
      <c r="G600" s="167"/>
      <c r="H600" s="167"/>
    </row>
    <row r="601" spans="1:8">
      <c r="A601" s="167"/>
      <c r="B601" s="167"/>
      <c r="C601" s="167"/>
      <c r="D601" s="167"/>
      <c r="E601" s="167"/>
      <c r="F601" s="167"/>
      <c r="G601" s="167"/>
      <c r="H601" s="167"/>
    </row>
    <row r="602" spans="1:8">
      <c r="A602" s="167"/>
      <c r="B602" s="167"/>
      <c r="C602" s="167"/>
      <c r="D602" s="167"/>
      <c r="E602" s="167"/>
      <c r="F602" s="167"/>
      <c r="G602" s="167"/>
      <c r="H602" s="167"/>
    </row>
    <row r="603" spans="1:8">
      <c r="A603" s="167"/>
      <c r="B603" s="167"/>
      <c r="C603" s="167"/>
      <c r="D603" s="167"/>
      <c r="E603" s="167"/>
      <c r="F603" s="167"/>
      <c r="G603" s="167"/>
      <c r="H603" s="167"/>
    </row>
    <row r="604" spans="1:8">
      <c r="A604" s="167"/>
      <c r="B604" s="167"/>
      <c r="C604" s="167"/>
      <c r="D604" s="167"/>
      <c r="E604" s="167"/>
      <c r="F604" s="167"/>
      <c r="G604" s="167"/>
      <c r="H604" s="167"/>
    </row>
    <row r="605" spans="1:8">
      <c r="A605" s="167"/>
      <c r="B605" s="167"/>
      <c r="C605" s="167"/>
      <c r="D605" s="167"/>
      <c r="E605" s="167"/>
      <c r="F605" s="167"/>
      <c r="G605" s="167"/>
      <c r="H605" s="167"/>
    </row>
    <row r="606" spans="1:8">
      <c r="A606" s="167"/>
      <c r="B606" s="167"/>
      <c r="C606" s="167"/>
      <c r="D606" s="167"/>
      <c r="E606" s="167"/>
      <c r="F606" s="167"/>
      <c r="G606" s="167"/>
      <c r="H606" s="167"/>
    </row>
    <row r="607" spans="1:8">
      <c r="A607" s="167"/>
      <c r="B607" s="167"/>
      <c r="C607" s="167"/>
      <c r="D607" s="167"/>
      <c r="E607" s="167"/>
      <c r="F607" s="167"/>
      <c r="G607" s="167"/>
      <c r="H607" s="167"/>
    </row>
    <row r="608" spans="1:8">
      <c r="A608" s="167"/>
      <c r="B608" s="167"/>
      <c r="C608" s="167"/>
      <c r="D608" s="167"/>
      <c r="E608" s="167"/>
      <c r="F608" s="167"/>
      <c r="G608" s="167"/>
      <c r="H608" s="167"/>
    </row>
    <row r="609" spans="1:8">
      <c r="A609" s="167"/>
      <c r="B609" s="167"/>
      <c r="C609" s="167"/>
      <c r="D609" s="167"/>
      <c r="E609" s="167"/>
      <c r="F609" s="167"/>
      <c r="G609" s="167"/>
      <c r="H609" s="167"/>
    </row>
    <row r="610" spans="1:8">
      <c r="A610" s="167"/>
      <c r="B610" s="167"/>
      <c r="C610" s="167"/>
      <c r="D610" s="167"/>
      <c r="E610" s="167"/>
      <c r="F610" s="167"/>
      <c r="G610" s="167"/>
      <c r="H610" s="167"/>
    </row>
    <row r="611" spans="1:8">
      <c r="A611" s="167"/>
      <c r="B611" s="167"/>
      <c r="C611" s="167"/>
      <c r="D611" s="167"/>
      <c r="E611" s="167"/>
      <c r="F611" s="167"/>
      <c r="G611" s="167"/>
      <c r="H611" s="167"/>
    </row>
    <row r="612" spans="1:8">
      <c r="A612" s="167"/>
      <c r="B612" s="167"/>
      <c r="C612" s="167"/>
      <c r="D612" s="167"/>
      <c r="E612" s="167"/>
      <c r="F612" s="167"/>
      <c r="G612" s="167"/>
      <c r="H612" s="167"/>
    </row>
    <row r="613" spans="1:8">
      <c r="A613" s="167"/>
      <c r="B613" s="167"/>
      <c r="C613" s="167"/>
      <c r="D613" s="167"/>
      <c r="E613" s="167"/>
      <c r="F613" s="167"/>
      <c r="G613" s="167"/>
      <c r="H613" s="167"/>
    </row>
    <row r="614" spans="1:8">
      <c r="A614" s="167"/>
      <c r="B614" s="167"/>
      <c r="C614" s="167"/>
      <c r="D614" s="167"/>
      <c r="E614" s="167"/>
      <c r="F614" s="167"/>
      <c r="G614" s="167"/>
      <c r="H614" s="167"/>
    </row>
    <row r="615" spans="1:8">
      <c r="A615" s="167"/>
      <c r="B615" s="167"/>
      <c r="C615" s="167"/>
      <c r="D615" s="167"/>
      <c r="E615" s="167"/>
      <c r="F615" s="167"/>
      <c r="G615" s="167"/>
      <c r="H615" s="167"/>
    </row>
    <row r="616" spans="1:8">
      <c r="A616" s="167"/>
      <c r="B616" s="167"/>
      <c r="C616" s="167"/>
      <c r="D616" s="167"/>
      <c r="E616" s="167"/>
      <c r="F616" s="167"/>
      <c r="G616" s="167"/>
      <c r="H616" s="167"/>
    </row>
    <row r="617" spans="1:8">
      <c r="A617" s="167"/>
      <c r="B617" s="167"/>
      <c r="C617" s="167"/>
      <c r="D617" s="167"/>
      <c r="E617" s="167"/>
      <c r="F617" s="167"/>
      <c r="G617" s="167"/>
      <c r="H617" s="167"/>
    </row>
    <row r="618" spans="1:8">
      <c r="A618" s="167"/>
      <c r="B618" s="167"/>
      <c r="C618" s="167"/>
      <c r="D618" s="167"/>
      <c r="E618" s="167"/>
      <c r="F618" s="167"/>
      <c r="G618" s="167"/>
      <c r="H618" s="167"/>
    </row>
    <row r="619" spans="1:8">
      <c r="A619" s="167"/>
      <c r="B619" s="167"/>
      <c r="C619" s="167"/>
      <c r="D619" s="167"/>
      <c r="E619" s="167"/>
      <c r="F619" s="167"/>
      <c r="G619" s="167"/>
      <c r="H619" s="167"/>
    </row>
    <row r="620" spans="1:8">
      <c r="A620" s="167"/>
      <c r="B620" s="167"/>
      <c r="C620" s="167"/>
      <c r="D620" s="167"/>
      <c r="E620" s="167"/>
      <c r="F620" s="167"/>
      <c r="G620" s="167"/>
      <c r="H620" s="167"/>
    </row>
    <row r="621" spans="1:8">
      <c r="A621" s="167"/>
      <c r="B621" s="167"/>
      <c r="C621" s="167"/>
      <c r="D621" s="167"/>
      <c r="E621" s="167"/>
      <c r="F621" s="167"/>
      <c r="G621" s="167"/>
      <c r="H621" s="167"/>
    </row>
    <row r="622" spans="1:8">
      <c r="A622" s="167"/>
      <c r="B622" s="167"/>
      <c r="C622" s="167"/>
      <c r="D622" s="167"/>
      <c r="E622" s="167"/>
      <c r="F622" s="167"/>
      <c r="G622" s="167"/>
      <c r="H622" s="167"/>
    </row>
    <row r="623" spans="1:8">
      <c r="A623" s="167"/>
      <c r="B623" s="167"/>
      <c r="C623" s="167"/>
      <c r="D623" s="167"/>
      <c r="E623" s="167"/>
      <c r="F623" s="167"/>
      <c r="G623" s="167"/>
      <c r="H623" s="167"/>
    </row>
    <row r="624" spans="1:8">
      <c r="A624" s="167"/>
      <c r="B624" s="167"/>
      <c r="C624" s="167"/>
      <c r="D624" s="167"/>
      <c r="E624" s="167"/>
      <c r="F624" s="167"/>
      <c r="G624" s="167"/>
      <c r="H624" s="167"/>
    </row>
    <row r="625" spans="1:8">
      <c r="A625" s="167"/>
      <c r="B625" s="167"/>
      <c r="C625" s="167"/>
      <c r="D625" s="167"/>
      <c r="E625" s="167"/>
      <c r="F625" s="167"/>
      <c r="G625" s="167"/>
      <c r="H625" s="167"/>
    </row>
    <row r="626" spans="1:8">
      <c r="A626" s="167"/>
      <c r="B626" s="167"/>
      <c r="C626" s="167"/>
      <c r="D626" s="167"/>
      <c r="E626" s="167"/>
      <c r="F626" s="167"/>
      <c r="G626" s="167"/>
      <c r="H626" s="167"/>
    </row>
    <row r="627" spans="1:8">
      <c r="A627" s="167"/>
      <c r="B627" s="167"/>
      <c r="C627" s="167"/>
      <c r="D627" s="167"/>
      <c r="E627" s="167"/>
      <c r="F627" s="167"/>
      <c r="G627" s="167"/>
      <c r="H627" s="167"/>
    </row>
    <row r="628" spans="1:8">
      <c r="A628" s="167"/>
      <c r="B628" s="167"/>
      <c r="C628" s="167"/>
      <c r="D628" s="167"/>
      <c r="E628" s="167"/>
      <c r="F628" s="167"/>
      <c r="G628" s="167"/>
      <c r="H628" s="167"/>
    </row>
    <row r="629" spans="1:8">
      <c r="A629" s="167"/>
      <c r="B629" s="167"/>
      <c r="C629" s="167"/>
      <c r="D629" s="167"/>
      <c r="E629" s="167"/>
      <c r="F629" s="167"/>
      <c r="G629" s="167"/>
      <c r="H629" s="167"/>
    </row>
    <row r="630" spans="1:8">
      <c r="A630" s="167"/>
      <c r="B630" s="167"/>
      <c r="C630" s="167"/>
      <c r="D630" s="167"/>
      <c r="E630" s="167"/>
      <c r="F630" s="167"/>
      <c r="G630" s="167"/>
      <c r="H630" s="167"/>
    </row>
    <row r="631" spans="1:8">
      <c r="A631" s="167"/>
      <c r="B631" s="167"/>
      <c r="C631" s="167"/>
      <c r="D631" s="167"/>
      <c r="E631" s="167"/>
      <c r="F631" s="167"/>
      <c r="G631" s="167"/>
      <c r="H631" s="167"/>
    </row>
    <row r="632" spans="1:8">
      <c r="A632" s="167"/>
      <c r="B632" s="167"/>
      <c r="C632" s="167"/>
      <c r="D632" s="167"/>
      <c r="E632" s="167"/>
      <c r="F632" s="167"/>
      <c r="G632" s="167"/>
      <c r="H632" s="167"/>
    </row>
    <row r="633" spans="1:8">
      <c r="A633" s="167"/>
      <c r="B633" s="167"/>
      <c r="C633" s="167"/>
      <c r="D633" s="167"/>
      <c r="E633" s="167"/>
      <c r="F633" s="167"/>
      <c r="G633" s="167"/>
      <c r="H633" s="167"/>
    </row>
    <row r="634" spans="1:8">
      <c r="A634" s="167"/>
      <c r="B634" s="167"/>
      <c r="C634" s="167"/>
      <c r="D634" s="167"/>
      <c r="E634" s="167"/>
      <c r="F634" s="167"/>
      <c r="G634" s="167"/>
      <c r="H634" s="167"/>
    </row>
    <row r="635" spans="1:8">
      <c r="A635" s="167"/>
      <c r="B635" s="167"/>
      <c r="C635" s="167"/>
      <c r="D635" s="167"/>
      <c r="E635" s="167"/>
      <c r="F635" s="167"/>
      <c r="G635" s="167"/>
      <c r="H635" s="167"/>
    </row>
    <row r="636" spans="1:8">
      <c r="A636" s="167"/>
      <c r="B636" s="167"/>
      <c r="C636" s="167"/>
      <c r="D636" s="167"/>
      <c r="E636" s="167"/>
      <c r="F636" s="167"/>
      <c r="G636" s="167"/>
      <c r="H636" s="167"/>
    </row>
    <row r="637" spans="1:8">
      <c r="A637" s="167"/>
      <c r="B637" s="167"/>
      <c r="C637" s="167"/>
      <c r="D637" s="167"/>
      <c r="E637" s="167"/>
      <c r="F637" s="167"/>
      <c r="G637" s="167"/>
      <c r="H637" s="167"/>
    </row>
    <row r="638" spans="1:8">
      <c r="A638" s="167"/>
      <c r="B638" s="167"/>
      <c r="C638" s="167"/>
      <c r="D638" s="167"/>
      <c r="E638" s="167"/>
      <c r="F638" s="167"/>
      <c r="G638" s="167"/>
      <c r="H638" s="167"/>
    </row>
    <row r="639" spans="1:8">
      <c r="A639" s="167"/>
      <c r="B639" s="167"/>
      <c r="C639" s="167"/>
      <c r="D639" s="167"/>
      <c r="E639" s="167"/>
      <c r="F639" s="167"/>
      <c r="G639" s="167"/>
      <c r="H639" s="167"/>
    </row>
    <row r="640" spans="1:8">
      <c r="A640" s="167"/>
      <c r="B640" s="167"/>
      <c r="C640" s="167"/>
      <c r="D640" s="167"/>
      <c r="E640" s="167"/>
      <c r="F640" s="167"/>
      <c r="G640" s="167"/>
      <c r="H640" s="167"/>
    </row>
    <row r="641" spans="1:8">
      <c r="A641" s="167"/>
      <c r="B641" s="167"/>
      <c r="C641" s="167"/>
      <c r="D641" s="167"/>
      <c r="E641" s="167"/>
      <c r="F641" s="167"/>
      <c r="G641" s="167"/>
      <c r="H641" s="167"/>
    </row>
    <row r="642" spans="1:8">
      <c r="A642" s="167"/>
      <c r="B642" s="167"/>
      <c r="C642" s="167"/>
      <c r="D642" s="167"/>
      <c r="E642" s="167"/>
      <c r="F642" s="167"/>
      <c r="G642" s="167"/>
      <c r="H642" s="167"/>
    </row>
    <row r="643" spans="1:8">
      <c r="A643" s="167"/>
      <c r="B643" s="167"/>
      <c r="C643" s="167"/>
      <c r="D643" s="167"/>
      <c r="E643" s="167"/>
      <c r="F643" s="167"/>
      <c r="G643" s="167"/>
      <c r="H643" s="167"/>
    </row>
    <row r="644" spans="1:8">
      <c r="A644" s="167"/>
      <c r="B644" s="167"/>
      <c r="C644" s="167"/>
      <c r="D644" s="167"/>
      <c r="E644" s="167"/>
      <c r="F644" s="167"/>
      <c r="G644" s="167"/>
      <c r="H644" s="167"/>
    </row>
    <row r="645" spans="1:8">
      <c r="A645" s="167"/>
      <c r="B645" s="167"/>
      <c r="C645" s="167"/>
      <c r="D645" s="167"/>
      <c r="E645" s="167"/>
      <c r="F645" s="167"/>
      <c r="G645" s="167"/>
      <c r="H645" s="167"/>
    </row>
    <row r="646" spans="1:8">
      <c r="A646" s="167"/>
      <c r="B646" s="167"/>
      <c r="C646" s="167"/>
      <c r="D646" s="167"/>
      <c r="E646" s="167"/>
      <c r="F646" s="167"/>
      <c r="G646" s="167"/>
      <c r="H646" s="167"/>
    </row>
    <row r="647" spans="1:8">
      <c r="A647" s="167"/>
      <c r="B647" s="167"/>
      <c r="C647" s="167"/>
      <c r="D647" s="167"/>
      <c r="E647" s="167"/>
      <c r="F647" s="167"/>
      <c r="G647" s="167"/>
      <c r="H647" s="167"/>
    </row>
    <row r="648" spans="1:8">
      <c r="A648" s="167"/>
      <c r="B648" s="167"/>
      <c r="C648" s="167"/>
      <c r="D648" s="167"/>
      <c r="E648" s="167"/>
      <c r="F648" s="167"/>
      <c r="G648" s="167"/>
      <c r="H648" s="167"/>
    </row>
    <row r="649" spans="1:8">
      <c r="A649" s="167"/>
      <c r="B649" s="167"/>
      <c r="C649" s="167"/>
      <c r="D649" s="167"/>
      <c r="E649" s="167"/>
      <c r="F649" s="167"/>
      <c r="G649" s="167"/>
      <c r="H649" s="167"/>
    </row>
    <row r="650" spans="1:8">
      <c r="A650" s="167"/>
      <c r="B650" s="167"/>
      <c r="C650" s="167"/>
      <c r="D650" s="167"/>
      <c r="E650" s="167"/>
      <c r="F650" s="167"/>
      <c r="G650" s="167"/>
      <c r="H650" s="167"/>
    </row>
    <row r="651" spans="1:8">
      <c r="A651" s="167"/>
      <c r="B651" s="167"/>
      <c r="C651" s="167"/>
      <c r="D651" s="167"/>
      <c r="E651" s="167"/>
      <c r="F651" s="167"/>
      <c r="G651" s="167"/>
      <c r="H651" s="167"/>
    </row>
    <row r="652" spans="1:8">
      <c r="A652" s="167"/>
      <c r="B652" s="167"/>
      <c r="C652" s="167"/>
      <c r="D652" s="167"/>
      <c r="E652" s="167"/>
      <c r="F652" s="167"/>
      <c r="G652" s="167"/>
      <c r="H652" s="167"/>
    </row>
    <row r="653" spans="1:8">
      <c r="A653" s="167"/>
      <c r="B653" s="167"/>
      <c r="C653" s="167"/>
      <c r="D653" s="167"/>
      <c r="E653" s="167"/>
      <c r="F653" s="167"/>
      <c r="G653" s="167"/>
      <c r="H653" s="167"/>
    </row>
    <row r="654" spans="1:8">
      <c r="A654" s="167"/>
      <c r="B654" s="167"/>
      <c r="C654" s="167"/>
      <c r="D654" s="167"/>
      <c r="E654" s="167"/>
      <c r="F654" s="167"/>
      <c r="G654" s="167"/>
      <c r="H654" s="167"/>
    </row>
    <row r="655" spans="1:8">
      <c r="A655" s="167"/>
      <c r="B655" s="167"/>
      <c r="C655" s="167"/>
      <c r="D655" s="167"/>
      <c r="E655" s="167"/>
      <c r="F655" s="167"/>
      <c r="G655" s="167"/>
      <c r="H655" s="167"/>
    </row>
    <row r="656" spans="1:8">
      <c r="A656" s="167"/>
      <c r="B656" s="167"/>
      <c r="C656" s="167"/>
      <c r="D656" s="167"/>
      <c r="E656" s="167"/>
      <c r="F656" s="167"/>
      <c r="G656" s="167"/>
      <c r="H656" s="167"/>
    </row>
    <row r="657" spans="1:8">
      <c r="A657" s="167"/>
      <c r="B657" s="167"/>
      <c r="C657" s="167"/>
      <c r="D657" s="167"/>
      <c r="E657" s="167"/>
      <c r="F657" s="167"/>
      <c r="G657" s="167"/>
      <c r="H657" s="167"/>
    </row>
    <row r="658" spans="1:8">
      <c r="A658" s="167"/>
      <c r="B658" s="167"/>
      <c r="C658" s="167"/>
      <c r="D658" s="167"/>
      <c r="E658" s="167"/>
      <c r="F658" s="167"/>
      <c r="G658" s="167"/>
      <c r="H658" s="167"/>
    </row>
    <row r="659" spans="1:8">
      <c r="A659" s="167"/>
      <c r="B659" s="167"/>
      <c r="C659" s="167"/>
      <c r="D659" s="167"/>
      <c r="E659" s="167"/>
      <c r="F659" s="167"/>
      <c r="G659" s="167"/>
      <c r="H659" s="167"/>
    </row>
    <row r="660" spans="1:8">
      <c r="A660" s="167"/>
      <c r="B660" s="167"/>
      <c r="C660" s="167"/>
      <c r="D660" s="167"/>
      <c r="E660" s="167"/>
      <c r="F660" s="167"/>
      <c r="G660" s="167"/>
      <c r="H660" s="167"/>
    </row>
    <row r="661" spans="1:8">
      <c r="A661" s="167"/>
      <c r="B661" s="167"/>
      <c r="C661" s="167"/>
      <c r="D661" s="167"/>
      <c r="E661" s="167"/>
      <c r="F661" s="167"/>
      <c r="G661" s="167"/>
      <c r="H661" s="167"/>
    </row>
    <row r="662" spans="1:8">
      <c r="A662" s="167"/>
      <c r="B662" s="167"/>
      <c r="C662" s="167"/>
      <c r="D662" s="167"/>
      <c r="E662" s="167"/>
      <c r="F662" s="167"/>
      <c r="G662" s="167"/>
      <c r="H662" s="167"/>
    </row>
    <row r="663" spans="1:8">
      <c r="A663" s="167"/>
      <c r="B663" s="167"/>
      <c r="C663" s="167"/>
      <c r="D663" s="167"/>
      <c r="E663" s="167"/>
      <c r="F663" s="167"/>
      <c r="G663" s="167"/>
      <c r="H663" s="167"/>
    </row>
    <row r="664" spans="1:8">
      <c r="A664" s="167"/>
      <c r="B664" s="167"/>
      <c r="C664" s="167"/>
      <c r="D664" s="167"/>
      <c r="E664" s="167"/>
      <c r="F664" s="167"/>
      <c r="G664" s="167"/>
      <c r="H664" s="167"/>
    </row>
    <row r="665" spans="1:8">
      <c r="A665" s="167"/>
      <c r="B665" s="167"/>
      <c r="C665" s="167"/>
      <c r="D665" s="167"/>
      <c r="E665" s="167"/>
      <c r="F665" s="167"/>
      <c r="G665" s="167"/>
      <c r="H665" s="167"/>
    </row>
    <row r="666" spans="1:8">
      <c r="A666" s="167"/>
      <c r="B666" s="167"/>
      <c r="C666" s="167"/>
      <c r="D666" s="167"/>
      <c r="E666" s="167"/>
      <c r="F666" s="167"/>
      <c r="G666" s="167"/>
      <c r="H666" s="167"/>
    </row>
    <row r="667" spans="1:8">
      <c r="A667" s="167"/>
      <c r="B667" s="167"/>
      <c r="C667" s="167"/>
      <c r="D667" s="167"/>
      <c r="E667" s="167"/>
      <c r="F667" s="167"/>
      <c r="G667" s="167"/>
      <c r="H667" s="167"/>
    </row>
    <row r="668" spans="1:8">
      <c r="A668" s="167"/>
      <c r="B668" s="167"/>
      <c r="C668" s="167"/>
      <c r="D668" s="167"/>
      <c r="E668" s="167"/>
      <c r="F668" s="167"/>
      <c r="G668" s="167"/>
      <c r="H668" s="167"/>
    </row>
    <row r="669" spans="1:8">
      <c r="A669" s="167"/>
      <c r="B669" s="167"/>
      <c r="C669" s="167"/>
      <c r="D669" s="167"/>
      <c r="E669" s="167"/>
      <c r="F669" s="167"/>
      <c r="G669" s="167"/>
      <c r="H669" s="167"/>
    </row>
    <row r="670" spans="1:8">
      <c r="A670" s="167"/>
      <c r="B670" s="167"/>
      <c r="C670" s="167"/>
      <c r="D670" s="167"/>
      <c r="E670" s="167"/>
      <c r="F670" s="167"/>
      <c r="G670" s="167"/>
      <c r="H670" s="167"/>
    </row>
    <row r="671" spans="1:8">
      <c r="A671" s="167"/>
      <c r="B671" s="167"/>
      <c r="C671" s="167"/>
      <c r="D671" s="167"/>
      <c r="E671" s="167"/>
      <c r="F671" s="167"/>
      <c r="G671" s="167"/>
      <c r="H671" s="167"/>
    </row>
    <row r="672" spans="1:8">
      <c r="A672" s="167"/>
      <c r="B672" s="167"/>
      <c r="C672" s="167"/>
      <c r="D672" s="167"/>
      <c r="E672" s="167"/>
      <c r="F672" s="167"/>
      <c r="G672" s="167"/>
      <c r="H672" s="167"/>
    </row>
    <row r="673" spans="1:8">
      <c r="A673" s="167"/>
      <c r="B673" s="167"/>
      <c r="C673" s="167"/>
      <c r="D673" s="167"/>
      <c r="E673" s="167"/>
      <c r="F673" s="167"/>
      <c r="G673" s="167"/>
      <c r="H673" s="167"/>
    </row>
    <row r="674" spans="1:8">
      <c r="A674" s="167"/>
      <c r="B674" s="167"/>
      <c r="C674" s="167"/>
      <c r="D674" s="167"/>
      <c r="E674" s="167"/>
      <c r="F674" s="167"/>
      <c r="G674" s="167"/>
      <c r="H674" s="167"/>
    </row>
    <row r="675" spans="1:8">
      <c r="A675" s="167"/>
      <c r="B675" s="167"/>
      <c r="C675" s="167"/>
      <c r="D675" s="167"/>
      <c r="E675" s="167"/>
      <c r="F675" s="167"/>
      <c r="G675" s="167"/>
      <c r="H675" s="167"/>
    </row>
    <row r="676" spans="1:8">
      <c r="A676" s="167"/>
      <c r="B676" s="167"/>
      <c r="C676" s="167"/>
      <c r="D676" s="167"/>
      <c r="E676" s="167"/>
      <c r="F676" s="167"/>
      <c r="G676" s="167"/>
      <c r="H676" s="167"/>
    </row>
    <row r="677" spans="1:8">
      <c r="A677" s="167"/>
      <c r="B677" s="167"/>
      <c r="C677" s="167"/>
      <c r="D677" s="167"/>
      <c r="E677" s="167"/>
      <c r="F677" s="167"/>
      <c r="G677" s="167"/>
      <c r="H677" s="167"/>
    </row>
    <row r="678" spans="1:8">
      <c r="A678" s="167"/>
      <c r="B678" s="167"/>
      <c r="C678" s="167"/>
      <c r="D678" s="167"/>
      <c r="E678" s="167"/>
      <c r="F678" s="167"/>
      <c r="G678" s="167"/>
      <c r="H678" s="167"/>
    </row>
    <row r="679" spans="1:8">
      <c r="A679" s="167"/>
      <c r="B679" s="167"/>
      <c r="C679" s="167"/>
      <c r="D679" s="167"/>
      <c r="E679" s="167"/>
      <c r="F679" s="167"/>
      <c r="G679" s="167"/>
      <c r="H679" s="167"/>
    </row>
    <row r="680" spans="1:8">
      <c r="A680" s="167"/>
      <c r="B680" s="167"/>
      <c r="C680" s="167"/>
      <c r="D680" s="167"/>
      <c r="E680" s="167"/>
      <c r="F680" s="167"/>
      <c r="G680" s="167"/>
      <c r="H680" s="167"/>
    </row>
    <row r="681" spans="1:8">
      <c r="A681" s="167"/>
      <c r="B681" s="167"/>
      <c r="C681" s="167"/>
      <c r="D681" s="167"/>
      <c r="E681" s="167"/>
      <c r="F681" s="167"/>
      <c r="G681" s="167"/>
      <c r="H681" s="167"/>
    </row>
    <row r="682" spans="1:8">
      <c r="A682" s="167"/>
      <c r="B682" s="167"/>
      <c r="C682" s="167"/>
      <c r="D682" s="167"/>
      <c r="E682" s="167"/>
      <c r="F682" s="167"/>
      <c r="G682" s="167"/>
      <c r="H682" s="167"/>
    </row>
    <row r="683" spans="1:8">
      <c r="A683" s="167"/>
      <c r="B683" s="167"/>
      <c r="C683" s="167"/>
      <c r="D683" s="167"/>
      <c r="E683" s="167"/>
      <c r="F683" s="167"/>
      <c r="G683" s="167"/>
      <c r="H683" s="167"/>
    </row>
    <row r="684" spans="1:8">
      <c r="A684" s="167"/>
      <c r="B684" s="167"/>
      <c r="C684" s="167"/>
      <c r="D684" s="167"/>
      <c r="E684" s="167"/>
      <c r="F684" s="167"/>
      <c r="G684" s="167"/>
      <c r="H684" s="167"/>
    </row>
    <row r="685" spans="1:8">
      <c r="A685" s="167"/>
      <c r="B685" s="167"/>
      <c r="C685" s="167"/>
      <c r="D685" s="167"/>
      <c r="E685" s="167"/>
      <c r="F685" s="167"/>
      <c r="G685" s="167"/>
      <c r="H685" s="167"/>
    </row>
    <row r="686" spans="1:8">
      <c r="A686" s="167"/>
      <c r="B686" s="167"/>
      <c r="C686" s="167"/>
      <c r="D686" s="167"/>
      <c r="E686" s="167"/>
      <c r="F686" s="167"/>
      <c r="G686" s="167"/>
      <c r="H686" s="167"/>
    </row>
    <row r="687" spans="1:8">
      <c r="A687" s="167"/>
      <c r="B687" s="167"/>
      <c r="C687" s="167"/>
      <c r="D687" s="167"/>
      <c r="E687" s="167"/>
      <c r="F687" s="167"/>
      <c r="G687" s="167"/>
      <c r="H687" s="167"/>
    </row>
    <row r="688" spans="1:8">
      <c r="A688" s="167"/>
      <c r="B688" s="167"/>
      <c r="C688" s="167"/>
      <c r="D688" s="167"/>
      <c r="E688" s="167"/>
      <c r="F688" s="167"/>
      <c r="G688" s="167"/>
      <c r="H688" s="167"/>
    </row>
    <row r="689" spans="1:8">
      <c r="A689" s="167"/>
      <c r="B689" s="167"/>
      <c r="C689" s="167"/>
      <c r="D689" s="167"/>
      <c r="E689" s="167"/>
      <c r="F689" s="167"/>
      <c r="G689" s="167"/>
      <c r="H689" s="167"/>
    </row>
    <row r="690" spans="1:8">
      <c r="A690" s="167"/>
      <c r="B690" s="167"/>
      <c r="C690" s="167"/>
      <c r="D690" s="167"/>
      <c r="E690" s="167"/>
      <c r="F690" s="167"/>
      <c r="G690" s="167"/>
      <c r="H690" s="167"/>
    </row>
    <row r="691" spans="1:8">
      <c r="A691" s="167"/>
      <c r="B691" s="167"/>
      <c r="C691" s="167"/>
      <c r="D691" s="167"/>
      <c r="E691" s="167"/>
      <c r="F691" s="167"/>
      <c r="G691" s="167"/>
      <c r="H691" s="167"/>
    </row>
    <row r="692" spans="1:8">
      <c r="A692" s="167"/>
      <c r="B692" s="167"/>
      <c r="C692" s="167"/>
      <c r="D692" s="167"/>
      <c r="E692" s="167"/>
      <c r="F692" s="167"/>
      <c r="G692" s="167"/>
      <c r="H692" s="167"/>
    </row>
    <row r="693" spans="1:8">
      <c r="A693" s="167"/>
      <c r="B693" s="167"/>
      <c r="C693" s="167"/>
      <c r="D693" s="167"/>
      <c r="E693" s="167"/>
      <c r="F693" s="167"/>
      <c r="G693" s="167"/>
      <c r="H693" s="167"/>
    </row>
    <row r="694" spans="1:8">
      <c r="A694" s="167"/>
      <c r="B694" s="167"/>
      <c r="C694" s="167"/>
      <c r="D694" s="167"/>
      <c r="E694" s="167"/>
      <c r="F694" s="167"/>
      <c r="G694" s="167"/>
      <c r="H694" s="167"/>
    </row>
    <row r="695" spans="1:8">
      <c r="A695" s="167"/>
      <c r="B695" s="167"/>
      <c r="C695" s="167"/>
      <c r="D695" s="167"/>
      <c r="E695" s="167"/>
      <c r="F695" s="167"/>
      <c r="G695" s="167"/>
      <c r="H695" s="167"/>
    </row>
    <row r="696" spans="1:8">
      <c r="A696" s="167"/>
      <c r="B696" s="167"/>
      <c r="C696" s="167"/>
      <c r="D696" s="167"/>
      <c r="E696" s="167"/>
      <c r="F696" s="167"/>
      <c r="G696" s="167"/>
      <c r="H696" s="167"/>
    </row>
    <row r="697" spans="1:8">
      <c r="A697" s="167"/>
      <c r="B697" s="167"/>
      <c r="C697" s="167"/>
      <c r="D697" s="167"/>
      <c r="E697" s="167"/>
      <c r="F697" s="167"/>
      <c r="G697" s="167"/>
      <c r="H697" s="167"/>
    </row>
    <row r="698" spans="1:8">
      <c r="A698" s="167"/>
      <c r="B698" s="167"/>
      <c r="C698" s="167"/>
      <c r="D698" s="167"/>
      <c r="E698" s="167"/>
      <c r="F698" s="167"/>
      <c r="G698" s="167"/>
      <c r="H698" s="167"/>
    </row>
    <row r="699" spans="1:8">
      <c r="A699" s="167"/>
      <c r="B699" s="167"/>
      <c r="C699" s="167"/>
      <c r="D699" s="167"/>
      <c r="E699" s="167"/>
      <c r="F699" s="167"/>
      <c r="G699" s="167"/>
      <c r="H699" s="167"/>
    </row>
    <row r="700" spans="1:8">
      <c r="A700" s="167"/>
      <c r="B700" s="167"/>
      <c r="C700" s="167"/>
      <c r="D700" s="167"/>
      <c r="E700" s="167"/>
      <c r="F700" s="167"/>
      <c r="G700" s="167"/>
      <c r="H700" s="167"/>
    </row>
    <row r="701" spans="1:8">
      <c r="A701" s="167"/>
      <c r="B701" s="167"/>
      <c r="C701" s="167"/>
      <c r="D701" s="167"/>
      <c r="E701" s="167"/>
      <c r="F701" s="167"/>
      <c r="G701" s="167"/>
      <c r="H701" s="167"/>
    </row>
    <row r="702" spans="1:8">
      <c r="A702" s="167"/>
      <c r="B702" s="167"/>
      <c r="C702" s="167"/>
      <c r="D702" s="167"/>
      <c r="E702" s="167"/>
      <c r="F702" s="167"/>
      <c r="G702" s="167"/>
      <c r="H702" s="167"/>
    </row>
    <row r="703" spans="1:8">
      <c r="A703" s="167"/>
      <c r="B703" s="167"/>
      <c r="C703" s="167"/>
      <c r="D703" s="167"/>
      <c r="E703" s="167"/>
      <c r="F703" s="167"/>
      <c r="G703" s="167"/>
      <c r="H703" s="167"/>
    </row>
    <row r="704" spans="1:8">
      <c r="A704" s="167"/>
      <c r="B704" s="167"/>
      <c r="C704" s="167"/>
      <c r="D704" s="167"/>
      <c r="E704" s="167"/>
      <c r="F704" s="167"/>
      <c r="G704" s="167"/>
      <c r="H704" s="167"/>
    </row>
    <row r="705" spans="1:8">
      <c r="A705" s="167"/>
      <c r="B705" s="167"/>
      <c r="C705" s="167"/>
      <c r="D705" s="167"/>
      <c r="E705" s="167"/>
      <c r="F705" s="167"/>
      <c r="G705" s="167"/>
      <c r="H705" s="167"/>
    </row>
    <row r="706" spans="1:8">
      <c r="A706" s="167"/>
      <c r="B706" s="167"/>
      <c r="C706" s="167"/>
      <c r="D706" s="167"/>
      <c r="E706" s="167"/>
      <c r="F706" s="167"/>
      <c r="G706" s="167"/>
      <c r="H706" s="167"/>
    </row>
    <row r="707" spans="1:8">
      <c r="A707" s="167"/>
      <c r="B707" s="167"/>
      <c r="C707" s="167"/>
      <c r="D707" s="167"/>
      <c r="E707" s="167"/>
      <c r="F707" s="167"/>
      <c r="G707" s="167"/>
      <c r="H707" s="167"/>
    </row>
    <row r="708" spans="1:8">
      <c r="A708" s="167"/>
      <c r="B708" s="167"/>
      <c r="C708" s="167"/>
      <c r="D708" s="167"/>
      <c r="E708" s="167"/>
      <c r="F708" s="167"/>
      <c r="G708" s="167"/>
      <c r="H708" s="167"/>
    </row>
    <row r="709" spans="1:8">
      <c r="A709" s="167"/>
      <c r="B709" s="167"/>
      <c r="C709" s="167"/>
      <c r="D709" s="167"/>
      <c r="E709" s="167"/>
      <c r="F709" s="167"/>
      <c r="G709" s="167"/>
      <c r="H709" s="167"/>
    </row>
    <row r="710" spans="1:8">
      <c r="A710" s="167"/>
      <c r="B710" s="167"/>
      <c r="C710" s="167"/>
      <c r="D710" s="167"/>
      <c r="E710" s="167"/>
      <c r="F710" s="167"/>
      <c r="G710" s="167"/>
      <c r="H710" s="167"/>
    </row>
    <row r="711" spans="1:8">
      <c r="A711" s="167"/>
      <c r="B711" s="167"/>
      <c r="C711" s="167"/>
      <c r="D711" s="167"/>
      <c r="E711" s="167"/>
      <c r="F711" s="167"/>
      <c r="G711" s="167"/>
      <c r="H711" s="167"/>
    </row>
    <row r="712" spans="1:8">
      <c r="A712" s="167"/>
      <c r="B712" s="167"/>
      <c r="C712" s="167"/>
      <c r="D712" s="167"/>
      <c r="E712" s="167"/>
      <c r="F712" s="167"/>
      <c r="G712" s="167"/>
      <c r="H712" s="167"/>
    </row>
    <row r="713" spans="1:8">
      <c r="A713" s="167"/>
      <c r="B713" s="167"/>
      <c r="C713" s="167"/>
      <c r="D713" s="167"/>
      <c r="E713" s="167"/>
      <c r="F713" s="167"/>
      <c r="G713" s="167"/>
      <c r="H713" s="167"/>
    </row>
    <row r="714" spans="1:8">
      <c r="A714" s="167"/>
      <c r="B714" s="167"/>
      <c r="C714" s="167"/>
      <c r="D714" s="167"/>
      <c r="E714" s="167"/>
      <c r="F714" s="167"/>
      <c r="G714" s="167"/>
      <c r="H714" s="167"/>
    </row>
    <row r="715" spans="1:8">
      <c r="A715" s="167"/>
      <c r="B715" s="167"/>
      <c r="C715" s="167"/>
      <c r="D715" s="167"/>
      <c r="E715" s="167"/>
      <c r="F715" s="167"/>
      <c r="G715" s="167"/>
      <c r="H715" s="167"/>
    </row>
    <row r="716" spans="1:8">
      <c r="A716" s="167"/>
      <c r="B716" s="167"/>
      <c r="C716" s="167"/>
      <c r="D716" s="167"/>
      <c r="E716" s="167"/>
      <c r="F716" s="167"/>
      <c r="G716" s="167"/>
      <c r="H716" s="167"/>
    </row>
    <row r="717" spans="1:8">
      <c r="A717" s="167"/>
      <c r="B717" s="167"/>
      <c r="C717" s="167"/>
      <c r="D717" s="167"/>
      <c r="E717" s="167"/>
      <c r="F717" s="167"/>
      <c r="G717" s="167"/>
      <c r="H717" s="167"/>
    </row>
    <row r="718" spans="1:8">
      <c r="A718" s="167"/>
      <c r="B718" s="167"/>
      <c r="C718" s="167"/>
      <c r="D718" s="167"/>
      <c r="E718" s="167"/>
      <c r="F718" s="167"/>
      <c r="G718" s="167"/>
      <c r="H718" s="167"/>
    </row>
    <row r="719" spans="1:8">
      <c r="A719" s="167"/>
      <c r="B719" s="167"/>
      <c r="C719" s="167"/>
      <c r="D719" s="167"/>
      <c r="E719" s="167"/>
      <c r="F719" s="167"/>
      <c r="G719" s="167"/>
      <c r="H719" s="167"/>
    </row>
    <row r="720" spans="1:8">
      <c r="A720" s="167"/>
      <c r="B720" s="167"/>
      <c r="C720" s="167"/>
      <c r="D720" s="167"/>
      <c r="E720" s="167"/>
      <c r="F720" s="167"/>
      <c r="G720" s="167"/>
      <c r="H720" s="167"/>
    </row>
    <row r="721" spans="1:8">
      <c r="A721" s="167"/>
      <c r="B721" s="167"/>
      <c r="C721" s="167"/>
      <c r="D721" s="167"/>
      <c r="E721" s="167"/>
      <c r="F721" s="167"/>
      <c r="G721" s="167"/>
      <c r="H721" s="167"/>
    </row>
    <row r="722" spans="1:8">
      <c r="A722" s="167"/>
      <c r="B722" s="167"/>
      <c r="C722" s="167"/>
      <c r="D722" s="167"/>
      <c r="E722" s="167"/>
      <c r="F722" s="167"/>
      <c r="G722" s="167"/>
      <c r="H722" s="167"/>
    </row>
    <row r="723" spans="1:8">
      <c r="A723" s="167"/>
      <c r="B723" s="167"/>
      <c r="C723" s="167"/>
      <c r="D723" s="167"/>
      <c r="E723" s="167"/>
      <c r="F723" s="167"/>
      <c r="G723" s="167"/>
      <c r="H723" s="167"/>
    </row>
    <row r="724" spans="1:8">
      <c r="A724" s="167"/>
      <c r="B724" s="167"/>
      <c r="C724" s="167"/>
      <c r="D724" s="167"/>
      <c r="E724" s="167"/>
      <c r="F724" s="167"/>
      <c r="G724" s="167"/>
      <c r="H724" s="167"/>
    </row>
    <row r="725" spans="1:8">
      <c r="A725" s="167"/>
      <c r="B725" s="167"/>
      <c r="C725" s="167"/>
      <c r="D725" s="167"/>
      <c r="E725" s="167"/>
      <c r="F725" s="167"/>
      <c r="G725" s="167"/>
      <c r="H725" s="167"/>
    </row>
    <row r="726" spans="1:8">
      <c r="A726" s="167"/>
      <c r="B726" s="167"/>
      <c r="C726" s="167"/>
      <c r="D726" s="167"/>
      <c r="E726" s="167"/>
      <c r="F726" s="167"/>
      <c r="G726" s="167"/>
      <c r="H726" s="167"/>
    </row>
    <row r="727" spans="1:8">
      <c r="A727" s="167"/>
      <c r="B727" s="167"/>
      <c r="C727" s="167"/>
      <c r="D727" s="167"/>
      <c r="E727" s="167"/>
      <c r="F727" s="167"/>
      <c r="G727" s="167"/>
      <c r="H727" s="167"/>
    </row>
    <row r="728" spans="1:8">
      <c r="A728" s="167"/>
      <c r="B728" s="167"/>
      <c r="C728" s="167"/>
      <c r="D728" s="167"/>
      <c r="E728" s="167"/>
      <c r="F728" s="167"/>
      <c r="G728" s="167"/>
      <c r="H728" s="167"/>
    </row>
    <row r="729" spans="1:8">
      <c r="A729" s="167"/>
      <c r="B729" s="167"/>
      <c r="C729" s="167"/>
      <c r="D729" s="167"/>
      <c r="E729" s="167"/>
      <c r="F729" s="167"/>
      <c r="G729" s="167"/>
      <c r="H729" s="167"/>
    </row>
    <row r="730" spans="1:8">
      <c r="A730" s="167"/>
      <c r="B730" s="167"/>
      <c r="C730" s="167"/>
      <c r="D730" s="167"/>
      <c r="E730" s="167"/>
      <c r="F730" s="167"/>
      <c r="G730" s="167"/>
      <c r="H730" s="167"/>
    </row>
    <row r="731" spans="1:8">
      <c r="A731" s="167"/>
      <c r="B731" s="167"/>
      <c r="C731" s="167"/>
      <c r="D731" s="167"/>
      <c r="E731" s="167"/>
      <c r="F731" s="167"/>
      <c r="G731" s="167"/>
      <c r="H731" s="167"/>
    </row>
    <row r="732" spans="1:8">
      <c r="A732" s="167"/>
      <c r="B732" s="167"/>
      <c r="C732" s="167"/>
      <c r="D732" s="167"/>
      <c r="E732" s="167"/>
      <c r="F732" s="167"/>
      <c r="G732" s="167"/>
      <c r="H732" s="167"/>
    </row>
    <row r="733" spans="1:8">
      <c r="A733" s="167"/>
      <c r="B733" s="167"/>
      <c r="C733" s="167"/>
      <c r="D733" s="167"/>
      <c r="E733" s="167"/>
      <c r="F733" s="167"/>
      <c r="G733" s="167"/>
      <c r="H733" s="167"/>
    </row>
    <row r="734" spans="1:8">
      <c r="A734" s="167"/>
      <c r="B734" s="167"/>
      <c r="C734" s="167"/>
      <c r="D734" s="167"/>
      <c r="E734" s="167"/>
      <c r="F734" s="167"/>
      <c r="G734" s="167"/>
      <c r="H734" s="167"/>
    </row>
    <row r="735" spans="1:8">
      <c r="A735" s="167"/>
      <c r="B735" s="167"/>
      <c r="C735" s="167"/>
      <c r="D735" s="167"/>
      <c r="E735" s="167"/>
      <c r="F735" s="167"/>
      <c r="G735" s="167"/>
      <c r="H735" s="167"/>
    </row>
    <row r="736" spans="1:8">
      <c r="A736" s="167"/>
      <c r="B736" s="167"/>
      <c r="C736" s="167"/>
      <c r="D736" s="167"/>
      <c r="E736" s="167"/>
      <c r="F736" s="167"/>
      <c r="G736" s="167"/>
      <c r="H736" s="167"/>
    </row>
    <row r="737" spans="1:8">
      <c r="A737" s="167"/>
      <c r="B737" s="167"/>
      <c r="C737" s="167"/>
      <c r="D737" s="167"/>
      <c r="E737" s="167"/>
      <c r="F737" s="167"/>
      <c r="G737" s="167"/>
      <c r="H737" s="167"/>
    </row>
    <row r="738" spans="1:8">
      <c r="A738" s="167"/>
      <c r="B738" s="167"/>
      <c r="C738" s="167"/>
      <c r="D738" s="167"/>
      <c r="E738" s="167"/>
      <c r="F738" s="167"/>
      <c r="G738" s="167"/>
      <c r="H738" s="167"/>
    </row>
    <row r="739" spans="1:8">
      <c r="A739" s="167"/>
      <c r="B739" s="167"/>
      <c r="C739" s="167"/>
      <c r="D739" s="167"/>
      <c r="E739" s="167"/>
      <c r="F739" s="167"/>
      <c r="G739" s="167"/>
      <c r="H739" s="167"/>
    </row>
    <row r="740" spans="1:8">
      <c r="A740" s="167"/>
      <c r="B740" s="167"/>
      <c r="C740" s="167"/>
      <c r="D740" s="167"/>
      <c r="E740" s="167"/>
      <c r="F740" s="167"/>
      <c r="G740" s="167"/>
      <c r="H740" s="167"/>
    </row>
    <row r="741" spans="1:8">
      <c r="A741" s="167"/>
      <c r="B741" s="167"/>
      <c r="C741" s="167"/>
      <c r="D741" s="167"/>
      <c r="E741" s="167"/>
      <c r="F741" s="167"/>
      <c r="G741" s="167"/>
      <c r="H741" s="167"/>
    </row>
    <row r="742" spans="1:8">
      <c r="A742" s="167"/>
      <c r="B742" s="167"/>
      <c r="C742" s="167"/>
      <c r="D742" s="167"/>
      <c r="E742" s="167"/>
      <c r="F742" s="167"/>
      <c r="G742" s="167"/>
      <c r="H742" s="167"/>
    </row>
    <row r="743" spans="1:8">
      <c r="A743" s="167"/>
      <c r="B743" s="167"/>
      <c r="C743" s="167"/>
      <c r="D743" s="167"/>
      <c r="E743" s="167"/>
      <c r="F743" s="167"/>
      <c r="G743" s="167"/>
      <c r="H743" s="167"/>
    </row>
    <row r="744" spans="1:8">
      <c r="A744" s="167"/>
      <c r="B744" s="167"/>
      <c r="C744" s="167"/>
      <c r="D744" s="167"/>
      <c r="E744" s="167"/>
      <c r="F744" s="167"/>
      <c r="G744" s="167"/>
      <c r="H744" s="167"/>
    </row>
    <row r="745" spans="1:8">
      <c r="A745" s="167"/>
      <c r="B745" s="167"/>
      <c r="C745" s="167"/>
      <c r="D745" s="167"/>
      <c r="E745" s="167"/>
      <c r="F745" s="167"/>
      <c r="G745" s="167"/>
      <c r="H745" s="167"/>
    </row>
    <row r="746" spans="1:8">
      <c r="A746" s="167"/>
      <c r="B746" s="167"/>
      <c r="C746" s="167"/>
      <c r="D746" s="167"/>
      <c r="E746" s="167"/>
      <c r="F746" s="167"/>
      <c r="G746" s="167"/>
      <c r="H746" s="167"/>
    </row>
    <row r="747" spans="1:8">
      <c r="A747" s="167"/>
      <c r="B747" s="167"/>
      <c r="C747" s="167"/>
      <c r="D747" s="167"/>
      <c r="E747" s="167"/>
      <c r="F747" s="167"/>
      <c r="G747" s="167"/>
      <c r="H747" s="167"/>
    </row>
    <row r="748" spans="1:8">
      <c r="A748" s="167"/>
      <c r="B748" s="167"/>
      <c r="C748" s="167"/>
      <c r="D748" s="167"/>
      <c r="E748" s="167"/>
      <c r="F748" s="167"/>
      <c r="G748" s="167"/>
      <c r="H748" s="167"/>
    </row>
    <row r="749" spans="1:8">
      <c r="A749" s="167"/>
      <c r="B749" s="167"/>
      <c r="C749" s="167"/>
      <c r="D749" s="167"/>
      <c r="E749" s="167"/>
      <c r="F749" s="167"/>
      <c r="G749" s="167"/>
      <c r="H749" s="167"/>
    </row>
    <row r="750" spans="1:8">
      <c r="A750" s="167"/>
      <c r="B750" s="167"/>
      <c r="C750" s="167"/>
      <c r="D750" s="167"/>
      <c r="E750" s="167"/>
      <c r="F750" s="167"/>
      <c r="G750" s="167"/>
      <c r="H750" s="167"/>
    </row>
    <row r="751" spans="1:8">
      <c r="A751" s="167"/>
      <c r="B751" s="167"/>
      <c r="C751" s="167"/>
      <c r="D751" s="167"/>
      <c r="E751" s="167"/>
      <c r="F751" s="167"/>
      <c r="G751" s="167"/>
      <c r="H751" s="167"/>
    </row>
    <row r="752" spans="1:8">
      <c r="A752" s="167"/>
      <c r="B752" s="167"/>
      <c r="C752" s="167"/>
      <c r="D752" s="167"/>
      <c r="E752" s="167"/>
      <c r="F752" s="167"/>
      <c r="G752" s="167"/>
      <c r="H752" s="167"/>
    </row>
    <row r="753" spans="1:8">
      <c r="A753" s="167"/>
      <c r="B753" s="167"/>
      <c r="C753" s="167"/>
      <c r="D753" s="167"/>
      <c r="E753" s="167"/>
      <c r="F753" s="167"/>
      <c r="G753" s="167"/>
      <c r="H753" s="167"/>
    </row>
    <row r="754" spans="1:8">
      <c r="A754" s="167"/>
      <c r="B754" s="167"/>
      <c r="C754" s="167"/>
      <c r="D754" s="167"/>
      <c r="E754" s="167"/>
      <c r="F754" s="167"/>
      <c r="G754" s="167"/>
      <c r="H754" s="167"/>
    </row>
    <row r="755" spans="1:8">
      <c r="A755" s="167"/>
      <c r="B755" s="167"/>
      <c r="C755" s="167"/>
      <c r="D755" s="167"/>
      <c r="E755" s="167"/>
      <c r="F755" s="167"/>
      <c r="G755" s="167"/>
      <c r="H755" s="167"/>
    </row>
    <row r="756" spans="1:8">
      <c r="A756" s="167"/>
      <c r="B756" s="167"/>
      <c r="C756" s="167"/>
      <c r="D756" s="167"/>
      <c r="E756" s="167"/>
      <c r="F756" s="167"/>
      <c r="G756" s="167"/>
      <c r="H756" s="167"/>
    </row>
    <row r="757" spans="1:8">
      <c r="A757" s="167"/>
      <c r="B757" s="167"/>
      <c r="C757" s="167"/>
      <c r="D757" s="167"/>
      <c r="E757" s="167"/>
      <c r="F757" s="167"/>
      <c r="G757" s="167"/>
      <c r="H757" s="167"/>
    </row>
    <row r="758" spans="1:8">
      <c r="A758" s="167"/>
      <c r="B758" s="167"/>
      <c r="C758" s="167"/>
      <c r="D758" s="167"/>
      <c r="E758" s="167"/>
      <c r="F758" s="167"/>
      <c r="G758" s="167"/>
      <c r="H758" s="167"/>
    </row>
    <row r="759" spans="1:8">
      <c r="A759" s="167"/>
      <c r="B759" s="167"/>
      <c r="C759" s="167"/>
      <c r="D759" s="167"/>
      <c r="E759" s="167"/>
      <c r="F759" s="167"/>
      <c r="G759" s="167"/>
      <c r="H759" s="167"/>
    </row>
    <row r="760" spans="1:8">
      <c r="A760" s="167"/>
      <c r="B760" s="167"/>
      <c r="C760" s="167"/>
      <c r="D760" s="167"/>
      <c r="E760" s="167"/>
      <c r="F760" s="167"/>
      <c r="G760" s="167"/>
      <c r="H760" s="167"/>
    </row>
    <row r="761" spans="1:8">
      <c r="A761" s="167"/>
      <c r="B761" s="167"/>
      <c r="C761" s="167"/>
      <c r="D761" s="167"/>
      <c r="E761" s="167"/>
      <c r="F761" s="167"/>
      <c r="G761" s="167"/>
      <c r="H761" s="167"/>
    </row>
    <row r="762" spans="1:8">
      <c r="A762" s="167"/>
      <c r="B762" s="167"/>
      <c r="C762" s="167"/>
      <c r="D762" s="167"/>
      <c r="E762" s="167"/>
      <c r="F762" s="167"/>
      <c r="G762" s="167"/>
      <c r="H762" s="167"/>
    </row>
    <row r="763" spans="1:8">
      <c r="A763" s="167"/>
      <c r="B763" s="167"/>
      <c r="C763" s="167"/>
      <c r="D763" s="167"/>
      <c r="E763" s="167"/>
      <c r="F763" s="167"/>
      <c r="G763" s="167"/>
      <c r="H763" s="167"/>
    </row>
    <row r="764" spans="1:8">
      <c r="A764" s="167"/>
      <c r="B764" s="167"/>
      <c r="C764" s="167"/>
      <c r="D764" s="167"/>
      <c r="E764" s="167"/>
      <c r="F764" s="167"/>
      <c r="G764" s="167"/>
      <c r="H764" s="167"/>
    </row>
    <row r="765" spans="1:8">
      <c r="A765" s="167"/>
      <c r="B765" s="167"/>
      <c r="C765" s="167"/>
      <c r="D765" s="167"/>
      <c r="E765" s="167"/>
      <c r="F765" s="167"/>
      <c r="G765" s="167"/>
      <c r="H765" s="167"/>
    </row>
    <row r="766" spans="1:8">
      <c r="A766" s="167"/>
      <c r="B766" s="167"/>
      <c r="C766" s="167"/>
      <c r="D766" s="167"/>
      <c r="E766" s="167"/>
      <c r="F766" s="167"/>
      <c r="G766" s="167"/>
      <c r="H766" s="167"/>
    </row>
    <row r="767" spans="1:8">
      <c r="A767" s="167"/>
      <c r="B767" s="167"/>
      <c r="C767" s="167"/>
      <c r="D767" s="167"/>
      <c r="E767" s="167"/>
      <c r="F767" s="167"/>
      <c r="G767" s="167"/>
      <c r="H767" s="167"/>
    </row>
    <row r="768" spans="1:8">
      <c r="A768" s="167"/>
      <c r="B768" s="167"/>
      <c r="C768" s="167"/>
      <c r="D768" s="167"/>
      <c r="E768" s="167"/>
      <c r="F768" s="167"/>
      <c r="G768" s="167"/>
      <c r="H768" s="167"/>
    </row>
    <row r="769" spans="1:8">
      <c r="A769" s="167"/>
      <c r="B769" s="167"/>
      <c r="C769" s="167"/>
      <c r="D769" s="167"/>
      <c r="E769" s="167"/>
      <c r="F769" s="167"/>
      <c r="G769" s="167"/>
      <c r="H769" s="167"/>
    </row>
    <row r="770" spans="1:8">
      <c r="A770" s="167"/>
      <c r="B770" s="167"/>
      <c r="C770" s="167"/>
      <c r="D770" s="167"/>
      <c r="E770" s="167"/>
      <c r="F770" s="167"/>
      <c r="G770" s="167"/>
      <c r="H770" s="167"/>
    </row>
    <row r="771" spans="1:8">
      <c r="A771" s="167"/>
      <c r="B771" s="167"/>
      <c r="C771" s="167"/>
      <c r="D771" s="167"/>
      <c r="E771" s="167"/>
      <c r="F771" s="167"/>
      <c r="G771" s="167"/>
      <c r="H771" s="167"/>
    </row>
    <row r="772" spans="1:8">
      <c r="A772" s="167"/>
      <c r="B772" s="167"/>
      <c r="C772" s="167"/>
      <c r="D772" s="167"/>
      <c r="E772" s="167"/>
      <c r="F772" s="167"/>
      <c r="G772" s="167"/>
      <c r="H772" s="167"/>
    </row>
    <row r="773" spans="1:8">
      <c r="A773" s="167"/>
      <c r="B773" s="167"/>
      <c r="C773" s="167"/>
      <c r="D773" s="167"/>
      <c r="E773" s="167"/>
      <c r="F773" s="167"/>
      <c r="G773" s="167"/>
      <c r="H773" s="167"/>
    </row>
    <row r="774" spans="1:8">
      <c r="A774" s="167"/>
      <c r="B774" s="167"/>
      <c r="C774" s="167"/>
      <c r="D774" s="167"/>
      <c r="E774" s="167"/>
      <c r="F774" s="167"/>
      <c r="G774" s="167"/>
      <c r="H774" s="167"/>
    </row>
    <row r="775" spans="1:8">
      <c r="A775" s="167"/>
      <c r="B775" s="167"/>
      <c r="C775" s="167"/>
      <c r="D775" s="167"/>
      <c r="E775" s="167"/>
      <c r="F775" s="167"/>
      <c r="G775" s="167"/>
      <c r="H775" s="167"/>
    </row>
    <row r="776" spans="1:8">
      <c r="A776" s="167"/>
      <c r="B776" s="167"/>
      <c r="C776" s="167"/>
      <c r="D776" s="167"/>
      <c r="E776" s="167"/>
      <c r="F776" s="167"/>
      <c r="G776" s="167"/>
      <c r="H776" s="167"/>
    </row>
    <row r="777" spans="1:8">
      <c r="A777" s="167"/>
      <c r="B777" s="167"/>
      <c r="C777" s="167"/>
      <c r="D777" s="167"/>
      <c r="E777" s="167"/>
      <c r="F777" s="167"/>
      <c r="G777" s="167"/>
      <c r="H777" s="167"/>
    </row>
    <row r="778" spans="1:8">
      <c r="A778" s="167"/>
      <c r="B778" s="167"/>
      <c r="C778" s="167"/>
      <c r="D778" s="167"/>
      <c r="E778" s="167"/>
      <c r="F778" s="167"/>
      <c r="G778" s="167"/>
      <c r="H778" s="167"/>
    </row>
    <row r="779" spans="1:8">
      <c r="A779" s="167"/>
      <c r="B779" s="167"/>
      <c r="C779" s="167"/>
      <c r="D779" s="167"/>
      <c r="E779" s="167"/>
      <c r="F779" s="167"/>
      <c r="G779" s="167"/>
      <c r="H779" s="167"/>
    </row>
    <row r="780" spans="1:8">
      <c r="A780" s="167"/>
      <c r="B780" s="167"/>
      <c r="C780" s="167"/>
      <c r="D780" s="167"/>
      <c r="E780" s="167"/>
      <c r="F780" s="167"/>
      <c r="G780" s="167"/>
      <c r="H780" s="167"/>
    </row>
    <row r="781" spans="1:8">
      <c r="A781" s="167"/>
      <c r="B781" s="167"/>
      <c r="C781" s="167"/>
      <c r="D781" s="167"/>
      <c r="E781" s="167"/>
      <c r="F781" s="167"/>
      <c r="G781" s="167"/>
      <c r="H781" s="167"/>
    </row>
    <row r="782" spans="1:8">
      <c r="A782" s="167"/>
      <c r="B782" s="167"/>
      <c r="C782" s="167"/>
      <c r="D782" s="167"/>
      <c r="E782" s="167"/>
      <c r="F782" s="167"/>
      <c r="G782" s="167"/>
      <c r="H782" s="167"/>
    </row>
    <row r="783" spans="1:8">
      <c r="A783" s="167"/>
      <c r="B783" s="167"/>
      <c r="C783" s="167"/>
      <c r="D783" s="167"/>
      <c r="E783" s="167"/>
      <c r="F783" s="167"/>
      <c r="G783" s="167"/>
      <c r="H783" s="167"/>
    </row>
    <row r="784" spans="1:8">
      <c r="A784" s="167"/>
      <c r="B784" s="167"/>
      <c r="C784" s="167"/>
      <c r="D784" s="167"/>
      <c r="E784" s="167"/>
      <c r="F784" s="167"/>
      <c r="G784" s="167"/>
      <c r="H784" s="167"/>
    </row>
    <row r="785" spans="1:8">
      <c r="A785" s="167"/>
      <c r="B785" s="167"/>
      <c r="C785" s="167"/>
      <c r="D785" s="167"/>
      <c r="E785" s="167"/>
      <c r="F785" s="167"/>
      <c r="G785" s="167"/>
      <c r="H785" s="167"/>
    </row>
    <row r="786" spans="1:8">
      <c r="A786" s="167"/>
      <c r="B786" s="167"/>
      <c r="C786" s="167"/>
      <c r="D786" s="167"/>
      <c r="E786" s="167"/>
      <c r="F786" s="167"/>
      <c r="G786" s="167"/>
      <c r="H786" s="167"/>
    </row>
    <row r="787" spans="1:8">
      <c r="A787" s="167"/>
      <c r="B787" s="167"/>
      <c r="C787" s="167"/>
      <c r="D787" s="167"/>
      <c r="E787" s="167"/>
      <c r="F787" s="167"/>
      <c r="G787" s="167"/>
      <c r="H787" s="167"/>
    </row>
    <row r="788" spans="1:8">
      <c r="A788" s="167"/>
      <c r="B788" s="167"/>
      <c r="C788" s="167"/>
      <c r="D788" s="167"/>
      <c r="E788" s="167"/>
      <c r="F788" s="167"/>
      <c r="G788" s="167"/>
      <c r="H788" s="167"/>
    </row>
    <row r="789" spans="1:8">
      <c r="A789" s="167"/>
      <c r="B789" s="167"/>
      <c r="C789" s="167"/>
      <c r="D789" s="167"/>
      <c r="E789" s="167"/>
      <c r="F789" s="167"/>
      <c r="G789" s="167"/>
      <c r="H789" s="167"/>
    </row>
    <row r="790" spans="1:8">
      <c r="A790" s="167"/>
      <c r="B790" s="167"/>
      <c r="C790" s="167"/>
      <c r="D790" s="167"/>
      <c r="E790" s="167"/>
      <c r="F790" s="167"/>
      <c r="G790" s="167"/>
      <c r="H790" s="167"/>
    </row>
    <row r="791" spans="1:8">
      <c r="A791" s="167"/>
      <c r="B791" s="167"/>
      <c r="C791" s="167"/>
      <c r="D791" s="167"/>
      <c r="E791" s="167"/>
      <c r="F791" s="167"/>
      <c r="G791" s="167"/>
      <c r="H791" s="167"/>
    </row>
    <row r="792" spans="1:8">
      <c r="A792" s="167"/>
      <c r="B792" s="167"/>
      <c r="C792" s="167"/>
      <c r="D792" s="167"/>
      <c r="E792" s="167"/>
      <c r="F792" s="167"/>
      <c r="G792" s="167"/>
      <c r="H792" s="167"/>
    </row>
    <row r="793" spans="1:8">
      <c r="A793" s="167"/>
      <c r="B793" s="167"/>
      <c r="C793" s="167"/>
      <c r="D793" s="167"/>
      <c r="E793" s="167"/>
      <c r="F793" s="167"/>
      <c r="G793" s="167"/>
      <c r="H793" s="167"/>
    </row>
    <row r="794" spans="1:8">
      <c r="A794" s="167"/>
      <c r="B794" s="167"/>
      <c r="C794" s="167"/>
      <c r="D794" s="167"/>
      <c r="E794" s="167"/>
      <c r="F794" s="167"/>
      <c r="G794" s="167"/>
      <c r="H794" s="167"/>
    </row>
    <row r="795" spans="1:8">
      <c r="A795" s="167"/>
      <c r="B795" s="167"/>
      <c r="C795" s="167"/>
      <c r="D795" s="167"/>
      <c r="E795" s="167"/>
      <c r="F795" s="167"/>
      <c r="G795" s="167"/>
      <c r="H795" s="167"/>
    </row>
    <row r="796" spans="1:8">
      <c r="A796" s="167"/>
      <c r="B796" s="167"/>
      <c r="C796" s="167"/>
      <c r="D796" s="167"/>
      <c r="E796" s="167"/>
      <c r="F796" s="167"/>
      <c r="G796" s="167"/>
      <c r="H796" s="167"/>
    </row>
    <row r="797" spans="1:8">
      <c r="A797" s="167"/>
      <c r="B797" s="167"/>
      <c r="C797" s="167"/>
      <c r="D797" s="167"/>
      <c r="E797" s="167"/>
      <c r="F797" s="167"/>
      <c r="G797" s="167"/>
      <c r="H797" s="167"/>
    </row>
    <row r="798" spans="1:8">
      <c r="A798" s="167"/>
      <c r="B798" s="167"/>
      <c r="C798" s="167"/>
      <c r="D798" s="167"/>
      <c r="E798" s="167"/>
      <c r="F798" s="167"/>
      <c r="G798" s="167"/>
      <c r="H798" s="167"/>
    </row>
    <row r="799" spans="1:8">
      <c r="A799" s="167"/>
      <c r="B799" s="167"/>
      <c r="C799" s="167"/>
      <c r="D799" s="167"/>
      <c r="E799" s="167"/>
      <c r="F799" s="167"/>
      <c r="G799" s="167"/>
      <c r="H799" s="167"/>
    </row>
    <row r="800" spans="1:8">
      <c r="A800" s="167"/>
      <c r="B800" s="167"/>
      <c r="C800" s="167"/>
      <c r="D800" s="167"/>
      <c r="E800" s="167"/>
      <c r="F800" s="167"/>
      <c r="G800" s="167"/>
      <c r="H800" s="167"/>
    </row>
    <row r="801" spans="1:8">
      <c r="A801" s="167"/>
      <c r="B801" s="167"/>
      <c r="C801" s="167"/>
      <c r="D801" s="167"/>
      <c r="E801" s="167"/>
      <c r="F801" s="167"/>
      <c r="G801" s="167"/>
      <c r="H801" s="167"/>
    </row>
    <row r="802" spans="1:8">
      <c r="A802" s="167"/>
      <c r="B802" s="167"/>
      <c r="C802" s="167"/>
      <c r="D802" s="167"/>
      <c r="E802" s="167"/>
      <c r="F802" s="167"/>
      <c r="G802" s="167"/>
      <c r="H802" s="167"/>
    </row>
    <row r="803" spans="1:8">
      <c r="A803" s="167"/>
      <c r="B803" s="167"/>
      <c r="C803" s="167"/>
      <c r="D803" s="167"/>
      <c r="E803" s="167"/>
      <c r="F803" s="167"/>
      <c r="G803" s="167"/>
      <c r="H803" s="167"/>
    </row>
    <row r="804" spans="1:8">
      <c r="A804" s="167"/>
      <c r="B804" s="167"/>
      <c r="C804" s="167"/>
      <c r="D804" s="167"/>
      <c r="E804" s="167"/>
      <c r="F804" s="167"/>
      <c r="G804" s="167"/>
      <c r="H804" s="167"/>
    </row>
    <row r="805" spans="1:8">
      <c r="A805" s="167"/>
      <c r="B805" s="167"/>
      <c r="C805" s="167"/>
      <c r="D805" s="167"/>
      <c r="E805" s="167"/>
      <c r="F805" s="167"/>
      <c r="G805" s="167"/>
      <c r="H805" s="167"/>
    </row>
    <row r="806" spans="1:8">
      <c r="A806" s="167"/>
      <c r="B806" s="167"/>
      <c r="C806" s="167"/>
      <c r="D806" s="167"/>
      <c r="E806" s="167"/>
      <c r="F806" s="167"/>
      <c r="G806" s="167"/>
      <c r="H806" s="167"/>
    </row>
    <row r="807" spans="1:8">
      <c r="A807" s="167"/>
      <c r="B807" s="167"/>
      <c r="C807" s="167"/>
      <c r="D807" s="167"/>
      <c r="E807" s="167"/>
      <c r="F807" s="167"/>
      <c r="G807" s="167"/>
      <c r="H807" s="167"/>
    </row>
    <row r="808" spans="1:8">
      <c r="A808" s="167"/>
      <c r="B808" s="167"/>
      <c r="C808" s="167"/>
      <c r="D808" s="167"/>
      <c r="E808" s="167"/>
      <c r="F808" s="167"/>
      <c r="G808" s="167"/>
      <c r="H808" s="167"/>
    </row>
    <row r="809" spans="1:8">
      <c r="A809" s="167"/>
      <c r="B809" s="167"/>
      <c r="C809" s="167"/>
      <c r="D809" s="167"/>
      <c r="E809" s="167"/>
      <c r="F809" s="167"/>
      <c r="G809" s="167"/>
      <c r="H809" s="167"/>
    </row>
    <row r="810" spans="1:8">
      <c r="A810" s="167"/>
      <c r="B810" s="167"/>
      <c r="C810" s="167"/>
      <c r="D810" s="167"/>
      <c r="E810" s="167"/>
      <c r="F810" s="167"/>
      <c r="G810" s="167"/>
      <c r="H810" s="167"/>
    </row>
    <row r="811" spans="1:8">
      <c r="A811" s="167"/>
      <c r="B811" s="167"/>
      <c r="C811" s="167"/>
      <c r="D811" s="167"/>
      <c r="E811" s="167"/>
      <c r="F811" s="167"/>
      <c r="G811" s="167"/>
      <c r="H811" s="167"/>
    </row>
    <row r="812" spans="1:8">
      <c r="A812" s="167"/>
      <c r="B812" s="167"/>
      <c r="C812" s="167"/>
      <c r="D812" s="167"/>
      <c r="E812" s="167"/>
      <c r="F812" s="167"/>
      <c r="G812" s="167"/>
      <c r="H812" s="167"/>
    </row>
    <row r="813" spans="1:8">
      <c r="A813" s="167"/>
      <c r="B813" s="167"/>
      <c r="C813" s="167"/>
      <c r="D813" s="167"/>
      <c r="E813" s="167"/>
      <c r="F813" s="167"/>
      <c r="G813" s="167"/>
      <c r="H813" s="167"/>
    </row>
    <row r="814" spans="1:8">
      <c r="A814" s="167"/>
      <c r="B814" s="167"/>
      <c r="C814" s="167"/>
      <c r="D814" s="167"/>
      <c r="E814" s="167"/>
      <c r="F814" s="167"/>
      <c r="G814" s="167"/>
      <c r="H814" s="167"/>
    </row>
    <row r="815" spans="1:8">
      <c r="A815" s="167"/>
      <c r="B815" s="167"/>
      <c r="C815" s="167"/>
      <c r="D815" s="167"/>
      <c r="E815" s="167"/>
      <c r="F815" s="167"/>
      <c r="G815" s="167"/>
      <c r="H815" s="167"/>
    </row>
    <row r="816" spans="1:8">
      <c r="A816" s="167"/>
      <c r="B816" s="167"/>
      <c r="C816" s="167"/>
      <c r="D816" s="167"/>
      <c r="E816" s="167"/>
      <c r="F816" s="167"/>
      <c r="G816" s="167"/>
      <c r="H816" s="167"/>
    </row>
    <row r="817" spans="1:8">
      <c r="A817" s="167"/>
      <c r="B817" s="167"/>
      <c r="C817" s="167"/>
      <c r="D817" s="167"/>
      <c r="E817" s="167"/>
      <c r="F817" s="167"/>
      <c r="G817" s="167"/>
      <c r="H817" s="167"/>
    </row>
    <row r="818" spans="1:8">
      <c r="A818" s="167"/>
      <c r="B818" s="167"/>
      <c r="C818" s="167"/>
      <c r="D818" s="167"/>
      <c r="E818" s="167"/>
      <c r="F818" s="167"/>
      <c r="G818" s="167"/>
      <c r="H818" s="167"/>
    </row>
    <row r="819" spans="1:8">
      <c r="A819" s="167"/>
      <c r="B819" s="167"/>
      <c r="C819" s="167"/>
      <c r="D819" s="167"/>
      <c r="E819" s="167"/>
      <c r="F819" s="167"/>
      <c r="G819" s="167"/>
      <c r="H819" s="167"/>
    </row>
    <row r="820" spans="1:8">
      <c r="A820" s="167"/>
      <c r="B820" s="167"/>
      <c r="C820" s="167"/>
      <c r="D820" s="167"/>
      <c r="E820" s="167"/>
      <c r="F820" s="167"/>
      <c r="G820" s="167"/>
      <c r="H820" s="167"/>
    </row>
    <row r="821" spans="1:8">
      <c r="A821" s="167"/>
      <c r="B821" s="167"/>
      <c r="C821" s="167"/>
      <c r="D821" s="167"/>
      <c r="E821" s="167"/>
      <c r="F821" s="167"/>
      <c r="G821" s="167"/>
      <c r="H821" s="167"/>
    </row>
    <row r="822" spans="1:8">
      <c r="A822" s="167"/>
      <c r="B822" s="167"/>
      <c r="C822" s="167"/>
      <c r="D822" s="167"/>
      <c r="E822" s="167"/>
      <c r="F822" s="167"/>
      <c r="G822" s="167"/>
      <c r="H822" s="167"/>
    </row>
    <row r="823" spans="1:8">
      <c r="A823" s="167"/>
      <c r="B823" s="167"/>
      <c r="C823" s="167"/>
      <c r="D823" s="167"/>
      <c r="E823" s="167"/>
      <c r="F823" s="167"/>
      <c r="G823" s="167"/>
      <c r="H823" s="167"/>
    </row>
    <row r="824" spans="1:8">
      <c r="A824" s="167"/>
      <c r="B824" s="167"/>
      <c r="C824" s="167"/>
      <c r="D824" s="167"/>
      <c r="E824" s="167"/>
      <c r="F824" s="167"/>
      <c r="G824" s="167"/>
      <c r="H824" s="167"/>
    </row>
    <row r="825" spans="1:8">
      <c r="A825" s="167"/>
      <c r="B825" s="167"/>
      <c r="C825" s="167"/>
      <c r="D825" s="167"/>
      <c r="E825" s="167"/>
      <c r="F825" s="167"/>
      <c r="G825" s="167"/>
      <c r="H825" s="167"/>
    </row>
    <row r="826" spans="1:8">
      <c r="A826" s="167"/>
      <c r="B826" s="167"/>
      <c r="C826" s="167"/>
      <c r="D826" s="167"/>
      <c r="E826" s="167"/>
      <c r="F826" s="167"/>
      <c r="G826" s="167"/>
      <c r="H826" s="167"/>
    </row>
    <row r="827" spans="1:8">
      <c r="A827" s="167"/>
      <c r="B827" s="167"/>
      <c r="C827" s="167"/>
      <c r="D827" s="167"/>
      <c r="E827" s="167"/>
      <c r="F827" s="167"/>
      <c r="G827" s="167"/>
      <c r="H827" s="167"/>
    </row>
    <row r="828" spans="1:8">
      <c r="A828" s="167"/>
      <c r="B828" s="167"/>
      <c r="C828" s="167"/>
      <c r="D828" s="167"/>
      <c r="E828" s="167"/>
      <c r="F828" s="167"/>
      <c r="G828" s="167"/>
      <c r="H828" s="167"/>
    </row>
    <row r="829" spans="1:8">
      <c r="A829" s="167"/>
      <c r="B829" s="167"/>
      <c r="C829" s="167"/>
      <c r="D829" s="167"/>
      <c r="E829" s="167"/>
      <c r="F829" s="167"/>
      <c r="G829" s="167"/>
      <c r="H829" s="167"/>
    </row>
    <row r="830" spans="1:8">
      <c r="A830" s="167"/>
      <c r="B830" s="167"/>
      <c r="C830" s="167"/>
      <c r="D830" s="167"/>
      <c r="E830" s="167"/>
      <c r="F830" s="167"/>
      <c r="G830" s="167"/>
      <c r="H830" s="167"/>
    </row>
    <row r="831" spans="1:8">
      <c r="A831" s="167"/>
      <c r="B831" s="167"/>
      <c r="C831" s="167"/>
      <c r="D831" s="167"/>
      <c r="E831" s="167"/>
      <c r="F831" s="167"/>
      <c r="G831" s="167"/>
      <c r="H831" s="167"/>
    </row>
    <row r="832" spans="1:8">
      <c r="A832" s="167"/>
      <c r="B832" s="167"/>
      <c r="C832" s="167"/>
      <c r="D832" s="167"/>
      <c r="E832" s="167"/>
      <c r="F832" s="167"/>
      <c r="G832" s="167"/>
      <c r="H832" s="167"/>
    </row>
    <row r="833" spans="1:8">
      <c r="A833" s="167"/>
      <c r="B833" s="167"/>
      <c r="C833" s="167"/>
      <c r="D833" s="167"/>
      <c r="E833" s="167"/>
      <c r="F833" s="167"/>
      <c r="G833" s="167"/>
      <c r="H833" s="167"/>
    </row>
    <row r="834" spans="1:8">
      <c r="A834" s="167"/>
      <c r="B834" s="167"/>
      <c r="C834" s="167"/>
      <c r="D834" s="167"/>
      <c r="E834" s="167"/>
      <c r="F834" s="167"/>
      <c r="G834" s="167"/>
      <c r="H834" s="167"/>
    </row>
    <row r="835" spans="1:8">
      <c r="A835" s="167"/>
      <c r="B835" s="167"/>
      <c r="C835" s="167"/>
      <c r="D835" s="167"/>
      <c r="E835" s="167"/>
      <c r="F835" s="167"/>
      <c r="G835" s="167"/>
      <c r="H835" s="167"/>
    </row>
    <row r="836" spans="1:8">
      <c r="A836" s="167"/>
      <c r="B836" s="167"/>
      <c r="C836" s="167"/>
      <c r="D836" s="167"/>
      <c r="E836" s="167"/>
      <c r="F836" s="167"/>
      <c r="G836" s="167"/>
      <c r="H836" s="167"/>
    </row>
    <row r="837" spans="1:8">
      <c r="A837" s="167"/>
      <c r="B837" s="167"/>
      <c r="C837" s="167"/>
      <c r="D837" s="167"/>
      <c r="E837" s="167"/>
      <c r="F837" s="167"/>
      <c r="G837" s="167"/>
      <c r="H837" s="167"/>
    </row>
    <row r="838" spans="1:8">
      <c r="A838" s="167"/>
      <c r="B838" s="167"/>
      <c r="C838" s="167"/>
      <c r="D838" s="167"/>
      <c r="E838" s="167"/>
      <c r="F838" s="167"/>
      <c r="G838" s="167"/>
      <c r="H838" s="167"/>
    </row>
    <row r="839" spans="1:8">
      <c r="A839" s="167"/>
      <c r="B839" s="167"/>
      <c r="C839" s="167"/>
      <c r="D839" s="167"/>
      <c r="E839" s="167"/>
      <c r="F839" s="167"/>
      <c r="G839" s="167"/>
      <c r="H839" s="167"/>
    </row>
    <row r="840" spans="1:8">
      <c r="A840" s="167"/>
      <c r="B840" s="167"/>
      <c r="C840" s="167"/>
      <c r="D840" s="167"/>
      <c r="E840" s="167"/>
      <c r="F840" s="167"/>
      <c r="G840" s="167"/>
      <c r="H840" s="167"/>
    </row>
    <row r="841" spans="1:8">
      <c r="A841" s="167"/>
      <c r="B841" s="167"/>
      <c r="C841" s="167"/>
      <c r="D841" s="167"/>
      <c r="E841" s="167"/>
      <c r="F841" s="167"/>
      <c r="G841" s="167"/>
      <c r="H841" s="167"/>
    </row>
    <row r="842" spans="1:8">
      <c r="A842" s="167"/>
      <c r="B842" s="167"/>
      <c r="C842" s="167"/>
      <c r="D842" s="167"/>
      <c r="E842" s="167"/>
      <c r="F842" s="167"/>
      <c r="G842" s="167"/>
      <c r="H842" s="167"/>
    </row>
    <row r="843" spans="1:8">
      <c r="A843" s="167"/>
      <c r="B843" s="167"/>
      <c r="C843" s="167"/>
      <c r="D843" s="167"/>
      <c r="E843" s="167"/>
      <c r="F843" s="167"/>
      <c r="G843" s="167"/>
      <c r="H843" s="167"/>
    </row>
    <row r="844" spans="1:8">
      <c r="A844" s="167"/>
      <c r="B844" s="167"/>
      <c r="C844" s="167"/>
      <c r="D844" s="167"/>
      <c r="E844" s="167"/>
      <c r="F844" s="167"/>
      <c r="G844" s="167"/>
      <c r="H844" s="167"/>
    </row>
    <row r="845" spans="1:8">
      <c r="A845" s="167"/>
      <c r="B845" s="167"/>
      <c r="C845" s="167"/>
      <c r="D845" s="167"/>
      <c r="E845" s="167"/>
      <c r="F845" s="167"/>
      <c r="G845" s="167"/>
      <c r="H845" s="167"/>
    </row>
    <row r="846" spans="1:8">
      <c r="A846" s="167"/>
      <c r="B846" s="167"/>
      <c r="C846" s="167"/>
      <c r="D846" s="167"/>
      <c r="E846" s="167"/>
      <c r="F846" s="167"/>
      <c r="G846" s="167"/>
      <c r="H846" s="167"/>
    </row>
    <row r="847" spans="1:8">
      <c r="A847" s="167"/>
      <c r="B847" s="167"/>
      <c r="C847" s="167"/>
      <c r="D847" s="167"/>
      <c r="E847" s="167"/>
      <c r="F847" s="167"/>
      <c r="G847" s="167"/>
      <c r="H847" s="167"/>
    </row>
    <row r="848" spans="1:8">
      <c r="A848" s="167"/>
      <c r="B848" s="167"/>
      <c r="C848" s="167"/>
      <c r="D848" s="167"/>
      <c r="E848" s="167"/>
      <c r="F848" s="167"/>
      <c r="G848" s="167"/>
      <c r="H848" s="167"/>
    </row>
    <row r="849" spans="1:8">
      <c r="A849" s="167"/>
      <c r="B849" s="167"/>
      <c r="C849" s="167"/>
      <c r="D849" s="167"/>
      <c r="E849" s="167"/>
      <c r="F849" s="167"/>
      <c r="G849" s="167"/>
      <c r="H849" s="167"/>
    </row>
    <row r="850" spans="1:8">
      <c r="A850" s="167"/>
      <c r="B850" s="167"/>
      <c r="C850" s="167"/>
      <c r="D850" s="167"/>
      <c r="E850" s="167"/>
      <c r="F850" s="167"/>
      <c r="G850" s="167"/>
      <c r="H850" s="167"/>
    </row>
    <row r="851" spans="1:8">
      <c r="A851" s="167"/>
      <c r="B851" s="167"/>
      <c r="C851" s="167"/>
      <c r="D851" s="167"/>
      <c r="E851" s="167"/>
      <c r="F851" s="167"/>
      <c r="G851" s="167"/>
      <c r="H851" s="167"/>
    </row>
    <row r="852" spans="1:8">
      <c r="A852" s="167"/>
      <c r="B852" s="167"/>
      <c r="C852" s="167"/>
      <c r="D852" s="167"/>
      <c r="E852" s="167"/>
      <c r="F852" s="167"/>
      <c r="G852" s="167"/>
      <c r="H852" s="167"/>
    </row>
    <row r="853" spans="1:8">
      <c r="A853" s="167"/>
      <c r="B853" s="167"/>
      <c r="C853" s="167"/>
      <c r="D853" s="167"/>
      <c r="E853" s="167"/>
      <c r="F853" s="167"/>
      <c r="G853" s="167"/>
      <c r="H853" s="167"/>
    </row>
    <row r="854" spans="1:8">
      <c r="A854" s="167"/>
      <c r="B854" s="167"/>
      <c r="C854" s="167"/>
      <c r="D854" s="167"/>
      <c r="E854" s="167"/>
      <c r="F854" s="167"/>
      <c r="G854" s="167"/>
      <c r="H854" s="167"/>
    </row>
    <row r="855" spans="1:8">
      <c r="A855" s="167"/>
      <c r="B855" s="167"/>
      <c r="C855" s="167"/>
      <c r="D855" s="167"/>
      <c r="E855" s="167"/>
      <c r="F855" s="167"/>
      <c r="G855" s="167"/>
      <c r="H855" s="167"/>
    </row>
    <row r="856" spans="1:8">
      <c r="A856" s="167"/>
      <c r="B856" s="167"/>
      <c r="C856" s="167"/>
      <c r="D856" s="167"/>
      <c r="E856" s="167"/>
      <c r="F856" s="167"/>
      <c r="G856" s="167"/>
      <c r="H856" s="167"/>
    </row>
    <row r="857" spans="1:8">
      <c r="A857" s="167"/>
      <c r="B857" s="167"/>
      <c r="C857" s="167"/>
      <c r="D857" s="167"/>
      <c r="E857" s="167"/>
      <c r="F857" s="167"/>
      <c r="G857" s="167"/>
      <c r="H857" s="167"/>
    </row>
    <row r="858" spans="1:8">
      <c r="A858" s="167"/>
      <c r="B858" s="167"/>
      <c r="C858" s="167"/>
      <c r="D858" s="167"/>
      <c r="E858" s="167"/>
      <c r="F858" s="167"/>
      <c r="G858" s="167"/>
      <c r="H858" s="167"/>
    </row>
    <row r="859" spans="1:8">
      <c r="A859" s="167"/>
      <c r="B859" s="167"/>
      <c r="C859" s="167"/>
      <c r="D859" s="167"/>
      <c r="E859" s="167"/>
      <c r="F859" s="167"/>
      <c r="G859" s="167"/>
      <c r="H859" s="167"/>
    </row>
    <row r="860" spans="1:8">
      <c r="A860" s="167"/>
      <c r="B860" s="167"/>
      <c r="C860" s="167"/>
      <c r="D860" s="167"/>
      <c r="E860" s="167"/>
      <c r="F860" s="167"/>
      <c r="G860" s="167"/>
      <c r="H860" s="167"/>
    </row>
    <row r="861" spans="1:8">
      <c r="A861" s="167"/>
      <c r="B861" s="167"/>
      <c r="C861" s="167"/>
      <c r="D861" s="167"/>
      <c r="E861" s="167"/>
      <c r="F861" s="167"/>
      <c r="G861" s="167"/>
      <c r="H861" s="167"/>
    </row>
    <row r="862" spans="1:8">
      <c r="A862" s="167"/>
      <c r="B862" s="167"/>
      <c r="C862" s="167"/>
      <c r="D862" s="167"/>
      <c r="E862" s="167"/>
      <c r="F862" s="167"/>
      <c r="G862" s="167"/>
      <c r="H862" s="167"/>
    </row>
    <row r="863" spans="1:8">
      <c r="A863" s="167"/>
      <c r="B863" s="167"/>
      <c r="C863" s="167"/>
      <c r="D863" s="167"/>
      <c r="E863" s="167"/>
      <c r="F863" s="167"/>
      <c r="G863" s="167"/>
      <c r="H863" s="167"/>
    </row>
    <row r="864" spans="1:8">
      <c r="A864" s="167"/>
      <c r="B864" s="167"/>
      <c r="C864" s="167"/>
      <c r="D864" s="167"/>
      <c r="E864" s="167"/>
      <c r="F864" s="167"/>
      <c r="G864" s="167"/>
      <c r="H864" s="167"/>
    </row>
    <row r="865" spans="1:8">
      <c r="A865" s="167"/>
      <c r="B865" s="167"/>
      <c r="C865" s="167"/>
      <c r="D865" s="167"/>
      <c r="E865" s="167"/>
      <c r="F865" s="167"/>
      <c r="G865" s="167"/>
      <c r="H865" s="167"/>
    </row>
    <row r="866" spans="1:8">
      <c r="A866" s="167"/>
      <c r="B866" s="167"/>
      <c r="C866" s="167"/>
      <c r="D866" s="167"/>
      <c r="E866" s="167"/>
      <c r="F866" s="167"/>
      <c r="G866" s="167"/>
      <c r="H866" s="167"/>
    </row>
    <row r="867" spans="1:8">
      <c r="A867" s="167"/>
      <c r="B867" s="167"/>
      <c r="C867" s="167"/>
      <c r="D867" s="167"/>
      <c r="E867" s="167"/>
      <c r="F867" s="167"/>
      <c r="G867" s="167"/>
      <c r="H867" s="167"/>
    </row>
    <row r="868" spans="1:8">
      <c r="A868" s="167"/>
      <c r="B868" s="167"/>
      <c r="C868" s="167"/>
      <c r="D868" s="167"/>
      <c r="E868" s="167"/>
      <c r="F868" s="167"/>
      <c r="G868" s="167"/>
      <c r="H868" s="167"/>
    </row>
    <row r="869" spans="1:8">
      <c r="A869" s="167"/>
      <c r="B869" s="167"/>
      <c r="C869" s="167"/>
      <c r="D869" s="167"/>
      <c r="E869" s="167"/>
      <c r="F869" s="167"/>
      <c r="G869" s="167"/>
      <c r="H869" s="167"/>
    </row>
    <row r="870" spans="1:8">
      <c r="A870" s="167"/>
      <c r="B870" s="167"/>
      <c r="C870" s="167"/>
      <c r="D870" s="167"/>
      <c r="E870" s="167"/>
      <c r="F870" s="167"/>
      <c r="G870" s="167"/>
      <c r="H870" s="167"/>
    </row>
    <row r="871" spans="1:8">
      <c r="A871" s="167"/>
      <c r="B871" s="167"/>
      <c r="C871" s="167"/>
      <c r="D871" s="167"/>
      <c r="E871" s="167"/>
      <c r="F871" s="167"/>
      <c r="G871" s="167"/>
      <c r="H871" s="167"/>
    </row>
    <row r="872" spans="1:8">
      <c r="A872" s="167"/>
      <c r="B872" s="167"/>
      <c r="C872" s="167"/>
      <c r="D872" s="167"/>
      <c r="E872" s="167"/>
      <c r="F872" s="167"/>
      <c r="G872" s="167"/>
      <c r="H872" s="167"/>
    </row>
    <row r="873" spans="1:8">
      <c r="A873" s="167"/>
      <c r="B873" s="167"/>
      <c r="C873" s="167"/>
      <c r="D873" s="167"/>
      <c r="E873" s="167"/>
      <c r="F873" s="167"/>
      <c r="G873" s="167"/>
      <c r="H873" s="167"/>
    </row>
    <row r="874" spans="1:8">
      <c r="A874" s="167"/>
      <c r="B874" s="167"/>
      <c r="C874" s="167"/>
      <c r="D874" s="167"/>
      <c r="E874" s="167"/>
      <c r="F874" s="167"/>
      <c r="G874" s="167"/>
      <c r="H874" s="167"/>
    </row>
    <row r="875" spans="1:8">
      <c r="A875" s="167"/>
      <c r="B875" s="167"/>
      <c r="C875" s="167"/>
      <c r="D875" s="167"/>
      <c r="E875" s="167"/>
      <c r="F875" s="167"/>
      <c r="G875" s="167"/>
      <c r="H875" s="167"/>
    </row>
    <row r="876" spans="1:8">
      <c r="A876" s="167"/>
      <c r="B876" s="167"/>
      <c r="C876" s="167"/>
      <c r="D876" s="167"/>
      <c r="E876" s="167"/>
      <c r="F876" s="167"/>
      <c r="G876" s="167"/>
      <c r="H876" s="167"/>
    </row>
    <row r="877" spans="1:8">
      <c r="A877" s="167"/>
      <c r="B877" s="167"/>
      <c r="C877" s="167"/>
      <c r="D877" s="167"/>
      <c r="E877" s="167"/>
      <c r="F877" s="167"/>
      <c r="G877" s="167"/>
      <c r="H877" s="167"/>
    </row>
    <row r="878" spans="1:8">
      <c r="A878" s="167"/>
      <c r="B878" s="167"/>
      <c r="C878" s="167"/>
      <c r="D878" s="167"/>
      <c r="E878" s="167"/>
      <c r="F878" s="167"/>
      <c r="G878" s="167"/>
      <c r="H878" s="167"/>
    </row>
    <row r="879" spans="1:8">
      <c r="A879" s="167"/>
      <c r="B879" s="167"/>
      <c r="C879" s="167"/>
      <c r="D879" s="167"/>
      <c r="E879" s="167"/>
      <c r="F879" s="167"/>
      <c r="G879" s="167"/>
      <c r="H879" s="167"/>
    </row>
    <row r="880" spans="1:8">
      <c r="A880" s="167"/>
      <c r="B880" s="167"/>
      <c r="C880" s="167"/>
      <c r="D880" s="167"/>
      <c r="E880" s="167"/>
      <c r="F880" s="167"/>
      <c r="G880" s="167"/>
      <c r="H880" s="167"/>
    </row>
    <row r="881" spans="1:8">
      <c r="A881" s="167"/>
      <c r="B881" s="167"/>
      <c r="C881" s="167"/>
      <c r="D881" s="167"/>
      <c r="E881" s="167"/>
      <c r="F881" s="167"/>
      <c r="G881" s="167"/>
      <c r="H881" s="167"/>
    </row>
    <row r="882" spans="1:8">
      <c r="A882" s="167"/>
      <c r="B882" s="167"/>
      <c r="C882" s="167"/>
      <c r="D882" s="167"/>
      <c r="E882" s="167"/>
      <c r="F882" s="167"/>
      <c r="G882" s="167"/>
      <c r="H882" s="167"/>
    </row>
    <row r="883" spans="1:8">
      <c r="A883" s="167"/>
      <c r="B883" s="167"/>
      <c r="C883" s="167"/>
      <c r="D883" s="167"/>
      <c r="E883" s="167"/>
      <c r="F883" s="167"/>
      <c r="G883" s="167"/>
      <c r="H883" s="167"/>
    </row>
    <row r="884" spans="1:8">
      <c r="A884" s="167"/>
      <c r="B884" s="167"/>
      <c r="C884" s="167"/>
      <c r="D884" s="167"/>
      <c r="E884" s="167"/>
      <c r="F884" s="167"/>
      <c r="G884" s="167"/>
      <c r="H884" s="167"/>
    </row>
    <row r="885" spans="1:8">
      <c r="A885" s="167"/>
      <c r="B885" s="167"/>
      <c r="C885" s="167"/>
      <c r="D885" s="167"/>
      <c r="E885" s="167"/>
      <c r="F885" s="167"/>
      <c r="G885" s="167"/>
      <c r="H885" s="167"/>
    </row>
    <row r="886" spans="1:8">
      <c r="A886" s="167"/>
      <c r="B886" s="167"/>
      <c r="C886" s="167"/>
      <c r="D886" s="167"/>
      <c r="E886" s="167"/>
      <c r="F886" s="167"/>
      <c r="G886" s="167"/>
      <c r="H886" s="167"/>
    </row>
    <row r="887" spans="1:8">
      <c r="A887" s="167"/>
      <c r="B887" s="167"/>
      <c r="C887" s="167"/>
      <c r="D887" s="167"/>
      <c r="E887" s="167"/>
      <c r="F887" s="167"/>
      <c r="G887" s="167"/>
      <c r="H887" s="167"/>
    </row>
    <row r="888" spans="1:8">
      <c r="A888" s="167"/>
      <c r="B888" s="167"/>
      <c r="C888" s="167"/>
      <c r="D888" s="167"/>
      <c r="E888" s="167"/>
      <c r="F888" s="167"/>
      <c r="G888" s="167"/>
      <c r="H888" s="167"/>
    </row>
    <row r="889" spans="1:8">
      <c r="A889" s="167"/>
      <c r="B889" s="167"/>
      <c r="C889" s="167"/>
      <c r="D889" s="167"/>
      <c r="E889" s="167"/>
      <c r="F889" s="167"/>
      <c r="G889" s="167"/>
      <c r="H889" s="167"/>
    </row>
    <row r="890" spans="1:8">
      <c r="A890" s="167"/>
      <c r="B890" s="167"/>
      <c r="C890" s="167"/>
      <c r="D890" s="167"/>
      <c r="E890" s="167"/>
      <c r="F890" s="167"/>
      <c r="G890" s="167"/>
      <c r="H890" s="167"/>
    </row>
    <row r="891" spans="1:8">
      <c r="A891" s="167"/>
      <c r="B891" s="167"/>
      <c r="C891" s="167"/>
      <c r="D891" s="167"/>
      <c r="E891" s="167"/>
      <c r="F891" s="167"/>
      <c r="G891" s="167"/>
      <c r="H891" s="167"/>
    </row>
    <row r="892" spans="1:8">
      <c r="A892" s="167"/>
      <c r="B892" s="167"/>
      <c r="C892" s="167"/>
      <c r="D892" s="167"/>
      <c r="E892" s="167"/>
      <c r="F892" s="167"/>
      <c r="G892" s="167"/>
      <c r="H892" s="167"/>
    </row>
    <row r="893" spans="1:8">
      <c r="A893" s="167"/>
      <c r="B893" s="167"/>
      <c r="C893" s="167"/>
      <c r="D893" s="167"/>
      <c r="E893" s="167"/>
      <c r="F893" s="167"/>
      <c r="G893" s="167"/>
      <c r="H893" s="167"/>
    </row>
    <row r="894" spans="1:8">
      <c r="A894" s="167"/>
      <c r="B894" s="167"/>
      <c r="C894" s="167"/>
      <c r="D894" s="167"/>
      <c r="E894" s="167"/>
      <c r="F894" s="167"/>
      <c r="G894" s="167"/>
      <c r="H894" s="167"/>
    </row>
    <row r="895" spans="1:8">
      <c r="A895" s="167"/>
      <c r="B895" s="167"/>
      <c r="C895" s="167"/>
      <c r="D895" s="167"/>
      <c r="E895" s="167"/>
      <c r="F895" s="167"/>
      <c r="G895" s="167"/>
      <c r="H895" s="167"/>
    </row>
    <row r="896" spans="1:8">
      <c r="A896" s="167"/>
      <c r="B896" s="167"/>
      <c r="C896" s="167"/>
      <c r="D896" s="167"/>
      <c r="E896" s="167"/>
      <c r="F896" s="167"/>
      <c r="G896" s="167"/>
      <c r="H896" s="167"/>
    </row>
    <row r="897" spans="1:8">
      <c r="A897" s="167"/>
      <c r="B897" s="167"/>
      <c r="C897" s="167"/>
      <c r="D897" s="167"/>
      <c r="E897" s="167"/>
      <c r="F897" s="167"/>
      <c r="G897" s="167"/>
      <c r="H897" s="167"/>
    </row>
    <row r="898" spans="1:8">
      <c r="A898" s="167"/>
      <c r="B898" s="167"/>
      <c r="C898" s="167"/>
      <c r="D898" s="167"/>
      <c r="E898" s="167"/>
      <c r="F898" s="167"/>
      <c r="G898" s="167"/>
      <c r="H898" s="167"/>
    </row>
    <row r="899" spans="1:8">
      <c r="A899" s="167"/>
      <c r="B899" s="167"/>
      <c r="C899" s="167"/>
      <c r="D899" s="167"/>
      <c r="E899" s="167"/>
      <c r="F899" s="167"/>
      <c r="G899" s="167"/>
      <c r="H899" s="167"/>
    </row>
    <row r="900" spans="1:8">
      <c r="A900" s="167"/>
      <c r="B900" s="167"/>
      <c r="C900" s="167"/>
      <c r="D900" s="167"/>
      <c r="E900" s="167"/>
      <c r="F900" s="167"/>
      <c r="G900" s="167"/>
      <c r="H900" s="167"/>
    </row>
    <row r="901" spans="1:8">
      <c r="A901" s="167"/>
      <c r="B901" s="167"/>
      <c r="C901" s="167"/>
      <c r="D901" s="167"/>
      <c r="E901" s="167"/>
      <c r="F901" s="167"/>
      <c r="G901" s="167"/>
      <c r="H901" s="167"/>
    </row>
    <row r="902" spans="1:8">
      <c r="A902" s="167"/>
      <c r="B902" s="167"/>
      <c r="C902" s="167"/>
      <c r="D902" s="167"/>
      <c r="E902" s="167"/>
      <c r="F902" s="167"/>
      <c r="G902" s="167"/>
      <c r="H902" s="167"/>
    </row>
    <row r="903" spans="1:8">
      <c r="A903" s="167"/>
      <c r="B903" s="167"/>
      <c r="C903" s="167"/>
      <c r="D903" s="167"/>
      <c r="E903" s="167"/>
      <c r="F903" s="167"/>
      <c r="G903" s="167"/>
      <c r="H903" s="167"/>
    </row>
    <row r="904" spans="1:8">
      <c r="A904" s="167"/>
      <c r="B904" s="167"/>
      <c r="C904" s="167"/>
      <c r="D904" s="167"/>
      <c r="E904" s="167"/>
      <c r="F904" s="167"/>
      <c r="G904" s="167"/>
      <c r="H904" s="167"/>
    </row>
    <row r="905" spans="1:8">
      <c r="A905" s="167"/>
      <c r="B905" s="167"/>
      <c r="C905" s="167"/>
      <c r="D905" s="167"/>
      <c r="E905" s="167"/>
      <c r="F905" s="167"/>
      <c r="G905" s="167"/>
      <c r="H905" s="167"/>
    </row>
    <row r="906" spans="1:8">
      <c r="A906" s="167"/>
      <c r="B906" s="167"/>
      <c r="C906" s="167"/>
      <c r="D906" s="167"/>
      <c r="E906" s="167"/>
      <c r="F906" s="167"/>
      <c r="G906" s="167"/>
      <c r="H906" s="167"/>
    </row>
    <row r="907" spans="1:8">
      <c r="A907" s="167"/>
      <c r="B907" s="167"/>
      <c r="C907" s="167"/>
      <c r="D907" s="167"/>
      <c r="E907" s="167"/>
      <c r="F907" s="167"/>
      <c r="G907" s="167"/>
      <c r="H907" s="167"/>
    </row>
    <row r="908" spans="1:8">
      <c r="A908" s="167"/>
      <c r="B908" s="167"/>
      <c r="C908" s="167"/>
      <c r="D908" s="167"/>
      <c r="E908" s="167"/>
      <c r="F908" s="167"/>
      <c r="G908" s="167"/>
      <c r="H908" s="167"/>
    </row>
    <row r="909" spans="1:8">
      <c r="A909" s="167"/>
      <c r="B909" s="167"/>
      <c r="C909" s="167"/>
      <c r="D909" s="167"/>
      <c r="E909" s="167"/>
      <c r="F909" s="167"/>
      <c r="G909" s="167"/>
      <c r="H909" s="167"/>
    </row>
    <row r="910" spans="1:8">
      <c r="A910" s="167"/>
      <c r="B910" s="167"/>
      <c r="C910" s="167"/>
      <c r="D910" s="167"/>
      <c r="E910" s="167"/>
      <c r="F910" s="167"/>
      <c r="G910" s="167"/>
      <c r="H910" s="167"/>
    </row>
    <row r="911" spans="1:8">
      <c r="A911" s="167"/>
      <c r="B911" s="167"/>
      <c r="C911" s="167"/>
      <c r="D911" s="167"/>
      <c r="E911" s="167"/>
      <c r="F911" s="167"/>
      <c r="G911" s="167"/>
      <c r="H911" s="167"/>
    </row>
    <row r="912" spans="1:8">
      <c r="A912" s="167"/>
      <c r="B912" s="167"/>
      <c r="C912" s="167"/>
      <c r="D912" s="167"/>
      <c r="E912" s="167"/>
      <c r="F912" s="167"/>
      <c r="G912" s="167"/>
      <c r="H912" s="167"/>
    </row>
    <row r="913" spans="1:8">
      <c r="A913" s="167"/>
      <c r="B913" s="167"/>
      <c r="C913" s="167"/>
      <c r="D913" s="167"/>
      <c r="E913" s="167"/>
      <c r="F913" s="167"/>
      <c r="G913" s="167"/>
      <c r="H913" s="167"/>
    </row>
    <row r="914" spans="1:8">
      <c r="A914" s="167"/>
      <c r="B914" s="167"/>
      <c r="C914" s="167"/>
      <c r="D914" s="167"/>
      <c r="E914" s="167"/>
      <c r="F914" s="167"/>
      <c r="G914" s="167"/>
      <c r="H914" s="167"/>
    </row>
    <row r="915" spans="1:8">
      <c r="A915" s="167"/>
      <c r="B915" s="167"/>
      <c r="C915" s="167"/>
      <c r="D915" s="167"/>
      <c r="E915" s="167"/>
      <c r="F915" s="167"/>
      <c r="G915" s="167"/>
      <c r="H915" s="167"/>
    </row>
    <row r="916" spans="1:8">
      <c r="A916" s="167"/>
      <c r="B916" s="167"/>
      <c r="C916" s="167"/>
      <c r="D916" s="167"/>
      <c r="E916" s="167"/>
      <c r="F916" s="167"/>
      <c r="G916" s="167"/>
      <c r="H916" s="167"/>
    </row>
    <row r="917" spans="1:8">
      <c r="A917" s="167"/>
      <c r="B917" s="167"/>
      <c r="C917" s="167"/>
      <c r="D917" s="167"/>
      <c r="E917" s="167"/>
      <c r="F917" s="167"/>
      <c r="G917" s="167"/>
      <c r="H917" s="167"/>
    </row>
    <row r="918" spans="1:8">
      <c r="A918" s="167"/>
      <c r="B918" s="167"/>
      <c r="C918" s="167"/>
      <c r="D918" s="167"/>
      <c r="E918" s="167"/>
      <c r="F918" s="167"/>
      <c r="G918" s="167"/>
      <c r="H918" s="167"/>
    </row>
    <row r="919" spans="1:8">
      <c r="A919" s="167"/>
      <c r="B919" s="167"/>
      <c r="C919" s="167"/>
      <c r="D919" s="167"/>
      <c r="E919" s="167"/>
      <c r="F919" s="167"/>
      <c r="G919" s="167"/>
      <c r="H919" s="167"/>
    </row>
    <row r="920" spans="1:8">
      <c r="A920" s="167"/>
      <c r="B920" s="167"/>
      <c r="C920" s="167"/>
      <c r="D920" s="167"/>
      <c r="E920" s="167"/>
      <c r="F920" s="167"/>
      <c r="G920" s="167"/>
      <c r="H920" s="167"/>
    </row>
    <row r="921" spans="1:8">
      <c r="A921" s="167"/>
      <c r="B921" s="167"/>
      <c r="C921" s="167"/>
      <c r="D921" s="167"/>
      <c r="E921" s="167"/>
      <c r="F921" s="167"/>
      <c r="G921" s="167"/>
      <c r="H921" s="167"/>
    </row>
    <row r="922" spans="1:8">
      <c r="A922" s="167"/>
      <c r="B922" s="167"/>
      <c r="C922" s="167"/>
      <c r="D922" s="167"/>
      <c r="E922" s="167"/>
      <c r="F922" s="167"/>
      <c r="G922" s="167"/>
      <c r="H922" s="167"/>
    </row>
    <row r="923" spans="1:8">
      <c r="A923" s="167"/>
      <c r="B923" s="167"/>
      <c r="C923" s="167"/>
      <c r="D923" s="167"/>
      <c r="E923" s="167"/>
      <c r="F923" s="167"/>
      <c r="G923" s="167"/>
      <c r="H923" s="167"/>
    </row>
    <row r="924" spans="1:8">
      <c r="A924" s="167"/>
      <c r="B924" s="167"/>
      <c r="C924" s="167"/>
      <c r="D924" s="167"/>
      <c r="E924" s="167"/>
      <c r="F924" s="167"/>
      <c r="G924" s="167"/>
      <c r="H924" s="167"/>
    </row>
    <row r="925" spans="1:8">
      <c r="A925" s="167"/>
      <c r="B925" s="167"/>
      <c r="C925" s="167"/>
      <c r="D925" s="167"/>
      <c r="E925" s="167"/>
      <c r="F925" s="167"/>
      <c r="G925" s="167"/>
      <c r="H925" s="167"/>
    </row>
    <row r="926" spans="1:8">
      <c r="A926" s="167"/>
      <c r="B926" s="167"/>
      <c r="C926" s="167"/>
      <c r="D926" s="167"/>
      <c r="E926" s="167"/>
      <c r="F926" s="167"/>
      <c r="G926" s="167"/>
      <c r="H926" s="167"/>
    </row>
    <row r="927" spans="1:8">
      <c r="A927" s="167"/>
      <c r="B927" s="167"/>
      <c r="C927" s="167"/>
      <c r="D927" s="167"/>
      <c r="E927" s="167"/>
      <c r="F927" s="167"/>
      <c r="G927" s="167"/>
      <c r="H927" s="167"/>
    </row>
    <row r="928" spans="1:8">
      <c r="A928" s="167"/>
      <c r="B928" s="167"/>
      <c r="C928" s="167"/>
      <c r="D928" s="167"/>
      <c r="E928" s="167"/>
      <c r="F928" s="167"/>
      <c r="G928" s="167"/>
      <c r="H928" s="167"/>
    </row>
    <row r="929" spans="1:8">
      <c r="A929" s="167"/>
      <c r="B929" s="167"/>
      <c r="C929" s="167"/>
      <c r="D929" s="167"/>
      <c r="E929" s="167"/>
      <c r="F929" s="167"/>
      <c r="G929" s="167"/>
      <c r="H929" s="167"/>
    </row>
    <row r="930" spans="1:8">
      <c r="A930" s="167"/>
      <c r="B930" s="167"/>
      <c r="C930" s="167"/>
      <c r="D930" s="167"/>
      <c r="E930" s="167"/>
      <c r="F930" s="167"/>
      <c r="G930" s="167"/>
      <c r="H930" s="167"/>
    </row>
    <row r="931" spans="1:8">
      <c r="A931" s="167"/>
      <c r="B931" s="167"/>
      <c r="C931" s="167"/>
      <c r="D931" s="167"/>
      <c r="E931" s="167"/>
      <c r="F931" s="167"/>
      <c r="G931" s="167"/>
      <c r="H931" s="167"/>
    </row>
    <row r="932" spans="1:8">
      <c r="A932" s="167"/>
      <c r="B932" s="167"/>
      <c r="C932" s="167"/>
      <c r="D932" s="167"/>
      <c r="E932" s="167"/>
      <c r="F932" s="167"/>
      <c r="G932" s="167"/>
      <c r="H932" s="167"/>
    </row>
    <row r="933" spans="1:8">
      <c r="A933" s="167"/>
      <c r="B933" s="167"/>
      <c r="C933" s="167"/>
      <c r="D933" s="167"/>
      <c r="E933" s="167"/>
      <c r="F933" s="167"/>
      <c r="G933" s="167"/>
      <c r="H933" s="167"/>
    </row>
    <row r="934" spans="1:8">
      <c r="A934" s="167"/>
      <c r="B934" s="167"/>
      <c r="C934" s="167"/>
      <c r="D934" s="167"/>
      <c r="E934" s="167"/>
      <c r="F934" s="167"/>
      <c r="G934" s="167"/>
      <c r="H934" s="167"/>
    </row>
    <row r="935" spans="1:8">
      <c r="A935" s="167"/>
      <c r="B935" s="167"/>
      <c r="C935" s="167"/>
      <c r="D935" s="167"/>
      <c r="E935" s="167"/>
      <c r="F935" s="167"/>
      <c r="G935" s="167"/>
      <c r="H935" s="167"/>
    </row>
    <row r="936" spans="1:8">
      <c r="A936" s="167"/>
      <c r="B936" s="167"/>
      <c r="C936" s="167"/>
      <c r="D936" s="167"/>
      <c r="E936" s="167"/>
      <c r="F936" s="167"/>
      <c r="G936" s="167"/>
      <c r="H936" s="167"/>
    </row>
    <row r="937" spans="1:8">
      <c r="A937" s="167"/>
      <c r="B937" s="167"/>
      <c r="C937" s="167"/>
      <c r="D937" s="167"/>
      <c r="E937" s="167"/>
      <c r="F937" s="167"/>
      <c r="G937" s="167"/>
      <c r="H937" s="167"/>
    </row>
    <row r="938" spans="1:8">
      <c r="A938" s="167"/>
      <c r="B938" s="167"/>
      <c r="C938" s="167"/>
      <c r="D938" s="167"/>
      <c r="E938" s="167"/>
      <c r="F938" s="167"/>
      <c r="G938" s="167"/>
      <c r="H938" s="167"/>
    </row>
    <row r="939" spans="1:8">
      <c r="A939" s="167"/>
      <c r="B939" s="167"/>
      <c r="C939" s="167"/>
      <c r="D939" s="167"/>
      <c r="E939" s="167"/>
      <c r="F939" s="167"/>
      <c r="G939" s="167"/>
      <c r="H939" s="167"/>
    </row>
    <row r="940" spans="1:8">
      <c r="A940" s="167"/>
      <c r="B940" s="167"/>
      <c r="C940" s="167"/>
      <c r="D940" s="167"/>
      <c r="E940" s="167"/>
      <c r="F940" s="167"/>
      <c r="G940" s="167"/>
      <c r="H940" s="167"/>
    </row>
    <row r="941" spans="1:8">
      <c r="A941" s="167"/>
      <c r="B941" s="167"/>
      <c r="C941" s="167"/>
      <c r="D941" s="167"/>
      <c r="E941" s="167"/>
      <c r="F941" s="167"/>
      <c r="G941" s="167"/>
      <c r="H941" s="167"/>
    </row>
    <row r="942" spans="1:8">
      <c r="A942" s="167"/>
      <c r="B942" s="167"/>
      <c r="C942" s="167"/>
      <c r="D942" s="167"/>
      <c r="E942" s="167"/>
      <c r="F942" s="167"/>
      <c r="G942" s="167"/>
      <c r="H942" s="167"/>
    </row>
    <row r="943" spans="1:8">
      <c r="A943" s="167"/>
      <c r="B943" s="167"/>
      <c r="C943" s="167"/>
      <c r="D943" s="167"/>
      <c r="E943" s="167"/>
      <c r="F943" s="167"/>
      <c r="G943" s="167"/>
      <c r="H943" s="167"/>
    </row>
    <row r="944" spans="1:8">
      <c r="A944" s="167"/>
      <c r="B944" s="167"/>
      <c r="C944" s="167"/>
      <c r="D944" s="167"/>
      <c r="E944" s="167"/>
      <c r="F944" s="167"/>
      <c r="G944" s="167"/>
      <c r="H944" s="167"/>
    </row>
    <row r="945" spans="1:8">
      <c r="A945" s="167"/>
      <c r="B945" s="167"/>
      <c r="C945" s="167"/>
      <c r="D945" s="167"/>
      <c r="E945" s="167"/>
      <c r="F945" s="167"/>
      <c r="G945" s="167"/>
      <c r="H945" s="167"/>
    </row>
    <row r="946" spans="1:8">
      <c r="A946" s="167"/>
      <c r="B946" s="167"/>
      <c r="C946" s="167"/>
      <c r="D946" s="167"/>
      <c r="E946" s="167"/>
      <c r="F946" s="167"/>
      <c r="G946" s="167"/>
      <c r="H946" s="167"/>
    </row>
    <row r="947" spans="1:8">
      <c r="A947" s="167"/>
      <c r="B947" s="167"/>
      <c r="C947" s="167"/>
      <c r="D947" s="167"/>
      <c r="E947" s="167"/>
      <c r="F947" s="167"/>
      <c r="G947" s="167"/>
      <c r="H947" s="167"/>
    </row>
    <row r="948" spans="1:8">
      <c r="A948" s="167"/>
      <c r="B948" s="167"/>
      <c r="C948" s="167"/>
      <c r="D948" s="167"/>
      <c r="E948" s="167"/>
      <c r="F948" s="167"/>
      <c r="G948" s="167"/>
      <c r="H948" s="167"/>
    </row>
    <row r="949" spans="1:8">
      <c r="A949" s="167"/>
      <c r="B949" s="167"/>
      <c r="C949" s="167"/>
      <c r="D949" s="167"/>
      <c r="E949" s="167"/>
      <c r="F949" s="167"/>
      <c r="G949" s="167"/>
      <c r="H949" s="167"/>
    </row>
    <row r="950" spans="1:8">
      <c r="A950" s="167"/>
      <c r="B950" s="167"/>
      <c r="C950" s="167"/>
      <c r="D950" s="167"/>
      <c r="E950" s="167"/>
      <c r="F950" s="167"/>
      <c r="G950" s="167"/>
      <c r="H950" s="167"/>
    </row>
    <row r="951" spans="1:8">
      <c r="A951" s="167"/>
      <c r="B951" s="167"/>
      <c r="C951" s="167"/>
      <c r="D951" s="167"/>
      <c r="E951" s="167"/>
      <c r="F951" s="167"/>
      <c r="G951" s="167"/>
      <c r="H951" s="167"/>
    </row>
    <row r="952" spans="1:8">
      <c r="A952" s="167"/>
      <c r="B952" s="167"/>
      <c r="C952" s="167"/>
      <c r="D952" s="167"/>
      <c r="E952" s="167"/>
      <c r="F952" s="167"/>
      <c r="G952" s="167"/>
      <c r="H952" s="167"/>
    </row>
    <row r="953" spans="1:8">
      <c r="A953" s="167"/>
      <c r="B953" s="167"/>
      <c r="C953" s="167"/>
      <c r="D953" s="167"/>
      <c r="E953" s="167"/>
      <c r="F953" s="167"/>
      <c r="G953" s="167"/>
      <c r="H953" s="167"/>
    </row>
    <row r="954" spans="1:8">
      <c r="A954" s="167"/>
      <c r="B954" s="167"/>
      <c r="C954" s="167"/>
      <c r="D954" s="167"/>
      <c r="E954" s="167"/>
      <c r="F954" s="167"/>
      <c r="G954" s="167"/>
      <c r="H954" s="167"/>
    </row>
    <row r="955" spans="1:8">
      <c r="A955" s="167"/>
      <c r="B955" s="167"/>
      <c r="C955" s="167"/>
      <c r="D955" s="167"/>
      <c r="E955" s="167"/>
      <c r="F955" s="167"/>
      <c r="G955" s="167"/>
      <c r="H955" s="167"/>
    </row>
    <row r="956" spans="1:8">
      <c r="A956" s="167"/>
      <c r="B956" s="167"/>
      <c r="C956" s="167"/>
      <c r="D956" s="167"/>
      <c r="E956" s="167"/>
      <c r="F956" s="167"/>
      <c r="G956" s="167"/>
      <c r="H956" s="167"/>
    </row>
    <row r="957" spans="1:8">
      <c r="A957" s="167"/>
      <c r="B957" s="167"/>
      <c r="C957" s="167"/>
      <c r="D957" s="167"/>
      <c r="E957" s="167"/>
      <c r="F957" s="167"/>
      <c r="G957" s="167"/>
      <c r="H957" s="167"/>
    </row>
    <row r="958" spans="1:8">
      <c r="A958" s="167"/>
      <c r="B958" s="167"/>
      <c r="C958" s="167"/>
      <c r="D958" s="167"/>
      <c r="E958" s="167"/>
      <c r="F958" s="167"/>
      <c r="G958" s="167"/>
      <c r="H958" s="167"/>
    </row>
    <row r="959" spans="1:8">
      <c r="A959" s="167"/>
      <c r="B959" s="167"/>
      <c r="C959" s="167"/>
      <c r="D959" s="167"/>
      <c r="E959" s="167"/>
      <c r="F959" s="167"/>
      <c r="G959" s="167"/>
      <c r="H959" s="167"/>
    </row>
    <row r="960" spans="1:8">
      <c r="A960" s="167"/>
      <c r="B960" s="167"/>
      <c r="C960" s="167"/>
      <c r="D960" s="167"/>
      <c r="E960" s="167"/>
      <c r="F960" s="167"/>
      <c r="G960" s="167"/>
      <c r="H960" s="167"/>
    </row>
    <row r="961" spans="1:8">
      <c r="A961" s="167"/>
      <c r="B961" s="167"/>
      <c r="C961" s="167"/>
      <c r="D961" s="167"/>
      <c r="E961" s="167"/>
      <c r="F961" s="167"/>
      <c r="G961" s="167"/>
      <c r="H961" s="167"/>
    </row>
    <row r="962" spans="1:8">
      <c r="A962" s="167"/>
      <c r="B962" s="167"/>
      <c r="C962" s="167"/>
      <c r="D962" s="167"/>
      <c r="E962" s="167"/>
      <c r="F962" s="167"/>
      <c r="G962" s="167"/>
      <c r="H962" s="167"/>
    </row>
    <row r="963" spans="1:8">
      <c r="A963" s="167"/>
      <c r="B963" s="167"/>
      <c r="C963" s="167"/>
      <c r="D963" s="167"/>
      <c r="E963" s="167"/>
      <c r="F963" s="167"/>
      <c r="G963" s="167"/>
      <c r="H963" s="167"/>
    </row>
    <row r="964" spans="1:8">
      <c r="A964" s="167"/>
      <c r="B964" s="167"/>
      <c r="C964" s="167"/>
      <c r="D964" s="167"/>
      <c r="E964" s="167"/>
      <c r="F964" s="167"/>
      <c r="G964" s="167"/>
      <c r="H964" s="167"/>
    </row>
    <row r="965" spans="1:8">
      <c r="A965" s="167"/>
      <c r="B965" s="167"/>
      <c r="C965" s="167"/>
      <c r="D965" s="167"/>
      <c r="E965" s="167"/>
      <c r="F965" s="167"/>
      <c r="G965" s="167"/>
      <c r="H965" s="167"/>
    </row>
    <row r="966" spans="1:8">
      <c r="A966" s="167"/>
      <c r="B966" s="167"/>
      <c r="C966" s="167"/>
      <c r="D966" s="167"/>
      <c r="E966" s="167"/>
      <c r="F966" s="167"/>
      <c r="G966" s="167"/>
      <c r="H966" s="167"/>
    </row>
    <row r="967" spans="1:8">
      <c r="A967" s="167"/>
      <c r="B967" s="167"/>
      <c r="C967" s="167"/>
      <c r="D967" s="167"/>
      <c r="E967" s="167"/>
      <c r="F967" s="167"/>
      <c r="G967" s="167"/>
      <c r="H967" s="167"/>
    </row>
    <row r="968" spans="1:8">
      <c r="A968" s="167"/>
      <c r="B968" s="167"/>
      <c r="C968" s="167"/>
      <c r="D968" s="167"/>
      <c r="E968" s="167"/>
      <c r="F968" s="167"/>
      <c r="G968" s="167"/>
      <c r="H968" s="167"/>
    </row>
    <row r="969" spans="1:8">
      <c r="A969" s="167"/>
      <c r="B969" s="167"/>
      <c r="C969" s="167"/>
      <c r="D969" s="167"/>
      <c r="E969" s="167"/>
      <c r="F969" s="167"/>
      <c r="G969" s="167"/>
      <c r="H969" s="167"/>
    </row>
    <row r="970" spans="1:8">
      <c r="A970" s="167"/>
      <c r="B970" s="167"/>
      <c r="C970" s="167"/>
      <c r="D970" s="167"/>
      <c r="E970" s="167"/>
      <c r="F970" s="167"/>
      <c r="G970" s="167"/>
      <c r="H970" s="167"/>
    </row>
    <row r="971" spans="1:8">
      <c r="A971" s="167"/>
      <c r="B971" s="167"/>
      <c r="C971" s="167"/>
      <c r="D971" s="167"/>
      <c r="E971" s="167"/>
      <c r="F971" s="167"/>
      <c r="G971" s="167"/>
      <c r="H971" s="167"/>
    </row>
    <row r="972" spans="1:8">
      <c r="A972" s="167"/>
      <c r="B972" s="167"/>
      <c r="C972" s="167"/>
      <c r="D972" s="167"/>
      <c r="E972" s="167"/>
      <c r="F972" s="167"/>
      <c r="G972" s="167"/>
      <c r="H972" s="167"/>
    </row>
    <row r="973" spans="1:8">
      <c r="A973" s="167"/>
      <c r="B973" s="167"/>
      <c r="C973" s="167"/>
      <c r="D973" s="167"/>
      <c r="E973" s="167"/>
      <c r="F973" s="167"/>
      <c r="G973" s="167"/>
      <c r="H973" s="167"/>
    </row>
    <row r="974" spans="1:8">
      <c r="A974" s="167"/>
      <c r="B974" s="167"/>
      <c r="C974" s="167"/>
      <c r="D974" s="167"/>
      <c r="E974" s="167"/>
      <c r="F974" s="167"/>
      <c r="G974" s="167"/>
      <c r="H974" s="167"/>
    </row>
    <row r="975" spans="1:8">
      <c r="A975" s="167"/>
      <c r="B975" s="167"/>
      <c r="C975" s="167"/>
      <c r="D975" s="167"/>
      <c r="E975" s="167"/>
      <c r="F975" s="167"/>
      <c r="G975" s="167"/>
      <c r="H975" s="167"/>
    </row>
    <row r="976" spans="1:8">
      <c r="A976" s="167"/>
      <c r="B976" s="167"/>
      <c r="C976" s="167"/>
      <c r="D976" s="167"/>
      <c r="E976" s="167"/>
      <c r="F976" s="167"/>
      <c r="G976" s="167"/>
      <c r="H976" s="167"/>
    </row>
    <row r="977" spans="1:8">
      <c r="A977" s="167"/>
      <c r="B977" s="167"/>
      <c r="C977" s="167"/>
      <c r="D977" s="167"/>
      <c r="E977" s="167"/>
      <c r="F977" s="167"/>
      <c r="G977" s="167"/>
      <c r="H977" s="167"/>
    </row>
    <row r="978" spans="1:8">
      <c r="A978" s="167"/>
      <c r="B978" s="167"/>
      <c r="C978" s="167"/>
      <c r="D978" s="167"/>
      <c r="E978" s="167"/>
      <c r="F978" s="167"/>
      <c r="G978" s="167"/>
      <c r="H978" s="167"/>
    </row>
    <row r="979" spans="1:8">
      <c r="A979" s="167"/>
      <c r="B979" s="167"/>
      <c r="C979" s="167"/>
      <c r="D979" s="167"/>
      <c r="E979" s="167"/>
      <c r="F979" s="167"/>
      <c r="G979" s="167"/>
      <c r="H979" s="167"/>
    </row>
    <row r="980" spans="1:8">
      <c r="A980" s="167"/>
      <c r="B980" s="167"/>
      <c r="C980" s="167"/>
      <c r="D980" s="167"/>
      <c r="E980" s="167"/>
      <c r="F980" s="167"/>
      <c r="G980" s="167"/>
      <c r="H980" s="167"/>
    </row>
    <row r="981" spans="1:8">
      <c r="A981" s="167"/>
      <c r="B981" s="167"/>
      <c r="C981" s="167"/>
      <c r="D981" s="167"/>
      <c r="E981" s="167"/>
      <c r="F981" s="167"/>
      <c r="G981" s="167"/>
      <c r="H981" s="167"/>
    </row>
    <row r="982" spans="1:8">
      <c r="A982" s="167"/>
      <c r="B982" s="167"/>
      <c r="C982" s="167"/>
      <c r="D982" s="167"/>
      <c r="E982" s="167"/>
      <c r="F982" s="167"/>
      <c r="G982" s="167"/>
      <c r="H982" s="167"/>
    </row>
    <row r="983" spans="1:8">
      <c r="A983" s="167"/>
      <c r="B983" s="167"/>
      <c r="C983" s="167"/>
      <c r="D983" s="167"/>
      <c r="E983" s="167"/>
      <c r="F983" s="167"/>
      <c r="G983" s="167"/>
      <c r="H983" s="167"/>
    </row>
    <row r="984" spans="1:8">
      <c r="A984" s="167"/>
      <c r="B984" s="167"/>
      <c r="C984" s="167"/>
      <c r="D984" s="167"/>
      <c r="E984" s="167"/>
      <c r="F984" s="167"/>
      <c r="G984" s="167"/>
      <c r="H984" s="167"/>
    </row>
    <row r="985" spans="1:8">
      <c r="A985" s="167"/>
      <c r="B985" s="167"/>
      <c r="C985" s="167"/>
      <c r="D985" s="167"/>
      <c r="E985" s="167"/>
      <c r="F985" s="167"/>
      <c r="G985" s="167"/>
      <c r="H985" s="167"/>
    </row>
    <row r="986" spans="1:8">
      <c r="A986" s="167"/>
      <c r="B986" s="167"/>
      <c r="C986" s="167"/>
      <c r="D986" s="167"/>
      <c r="E986" s="167"/>
      <c r="F986" s="167"/>
      <c r="G986" s="167"/>
      <c r="H986" s="167"/>
    </row>
    <row r="987" spans="1:8">
      <c r="A987" s="167"/>
      <c r="B987" s="167"/>
      <c r="C987" s="167"/>
      <c r="D987" s="167"/>
      <c r="E987" s="167"/>
      <c r="F987" s="167"/>
      <c r="G987" s="167"/>
      <c r="H987" s="167"/>
    </row>
    <row r="988" spans="1:8">
      <c r="A988" s="167"/>
      <c r="B988" s="167"/>
      <c r="C988" s="167"/>
      <c r="D988" s="167"/>
      <c r="E988" s="167"/>
      <c r="F988" s="167"/>
      <c r="G988" s="167"/>
      <c r="H988" s="167"/>
    </row>
    <row r="989" spans="1:8">
      <c r="A989" s="167"/>
      <c r="B989" s="167"/>
      <c r="C989" s="167"/>
      <c r="D989" s="167"/>
      <c r="E989" s="167"/>
      <c r="F989" s="167"/>
      <c r="G989" s="167"/>
      <c r="H989" s="167"/>
    </row>
    <row r="990" spans="1:8">
      <c r="A990" s="167"/>
      <c r="B990" s="167"/>
      <c r="C990" s="167"/>
      <c r="D990" s="167"/>
      <c r="E990" s="167"/>
      <c r="F990" s="167"/>
      <c r="G990" s="167"/>
      <c r="H990" s="167"/>
    </row>
    <row r="991" spans="1:8">
      <c r="A991" s="167"/>
      <c r="B991" s="167"/>
      <c r="C991" s="167"/>
      <c r="D991" s="167"/>
      <c r="E991" s="167"/>
      <c r="F991" s="167"/>
      <c r="G991" s="167"/>
      <c r="H991" s="167"/>
    </row>
    <row r="992" spans="1:8">
      <c r="A992" s="167"/>
      <c r="B992" s="167"/>
      <c r="C992" s="167"/>
      <c r="D992" s="167"/>
      <c r="E992" s="167"/>
      <c r="F992" s="167"/>
      <c r="G992" s="167"/>
      <c r="H992" s="167"/>
    </row>
    <row r="993" spans="1:8">
      <c r="A993" s="167"/>
      <c r="B993" s="167"/>
      <c r="C993" s="167"/>
      <c r="D993" s="167"/>
      <c r="E993" s="167"/>
      <c r="F993" s="167"/>
      <c r="G993" s="167"/>
      <c r="H993" s="167"/>
    </row>
    <row r="994" spans="1:8">
      <c r="A994" s="167"/>
      <c r="B994" s="167"/>
      <c r="C994" s="167"/>
      <c r="D994" s="167"/>
      <c r="E994" s="167"/>
      <c r="F994" s="167"/>
      <c r="G994" s="167"/>
      <c r="H994" s="167"/>
    </row>
    <row r="995" spans="1:8">
      <c r="A995" s="167"/>
      <c r="B995" s="167"/>
      <c r="C995" s="167"/>
      <c r="D995" s="167"/>
      <c r="E995" s="167"/>
      <c r="F995" s="167"/>
      <c r="G995" s="167"/>
      <c r="H995" s="167"/>
    </row>
    <row r="996" spans="1:8">
      <c r="A996" s="167"/>
      <c r="B996" s="167"/>
      <c r="C996" s="167"/>
      <c r="D996" s="167"/>
      <c r="E996" s="167"/>
      <c r="F996" s="167"/>
      <c r="G996" s="167"/>
      <c r="H996" s="167"/>
    </row>
    <row r="997" spans="1:8">
      <c r="A997" s="167"/>
      <c r="B997" s="167"/>
      <c r="C997" s="167"/>
      <c r="D997" s="167"/>
      <c r="E997" s="167"/>
      <c r="F997" s="167"/>
      <c r="G997" s="167"/>
      <c r="H997" s="167"/>
    </row>
    <row r="998" spans="1:8">
      <c r="A998" s="167"/>
      <c r="B998" s="167"/>
      <c r="C998" s="167"/>
      <c r="D998" s="167"/>
      <c r="E998" s="167"/>
      <c r="F998" s="167"/>
      <c r="G998" s="167"/>
      <c r="H998" s="167"/>
    </row>
    <row r="999" spans="1:8">
      <c r="A999" s="167"/>
      <c r="B999" s="167"/>
      <c r="C999" s="167"/>
      <c r="D999" s="167"/>
      <c r="E999" s="167"/>
      <c r="F999" s="167"/>
      <c r="G999" s="167"/>
      <c r="H999" s="167"/>
    </row>
    <row r="1000" spans="1:8">
      <c r="A1000" s="167"/>
      <c r="B1000" s="167"/>
      <c r="C1000" s="167"/>
      <c r="D1000" s="167"/>
      <c r="E1000" s="167"/>
      <c r="F1000" s="167"/>
      <c r="G1000" s="167"/>
      <c r="H1000" s="167"/>
    </row>
    <row r="1001" spans="1:8">
      <c r="A1001" s="167"/>
      <c r="B1001" s="167"/>
      <c r="C1001" s="167"/>
      <c r="D1001" s="167"/>
      <c r="E1001" s="167"/>
      <c r="F1001" s="167"/>
      <c r="G1001" s="167"/>
      <c r="H1001" s="167"/>
    </row>
    <row r="1002" spans="1:8">
      <c r="A1002" s="167"/>
      <c r="B1002" s="167"/>
      <c r="C1002" s="167"/>
      <c r="D1002" s="167"/>
      <c r="E1002" s="167"/>
      <c r="F1002" s="167"/>
      <c r="G1002" s="167"/>
      <c r="H1002" s="167"/>
    </row>
    <row r="1003" spans="1:8">
      <c r="A1003" s="167"/>
      <c r="B1003" s="167"/>
      <c r="C1003" s="167"/>
      <c r="D1003" s="167"/>
      <c r="E1003" s="167"/>
      <c r="F1003" s="167"/>
      <c r="G1003" s="167"/>
      <c r="H1003" s="167"/>
    </row>
    <row r="1004" spans="1:8">
      <c r="A1004" s="167"/>
      <c r="B1004" s="167"/>
      <c r="C1004" s="167"/>
      <c r="D1004" s="167"/>
      <c r="E1004" s="167"/>
      <c r="F1004" s="167"/>
      <c r="G1004" s="167"/>
      <c r="H1004" s="167"/>
    </row>
    <row r="1005" spans="1:8">
      <c r="A1005" s="167"/>
      <c r="B1005" s="167"/>
      <c r="C1005" s="167"/>
      <c r="D1005" s="167"/>
      <c r="E1005" s="167"/>
      <c r="F1005" s="167"/>
      <c r="G1005" s="167"/>
      <c r="H1005" s="167"/>
    </row>
    <row r="1006" spans="1:8">
      <c r="A1006" s="167"/>
      <c r="B1006" s="167"/>
      <c r="C1006" s="167"/>
      <c r="D1006" s="167"/>
      <c r="E1006" s="167"/>
      <c r="F1006" s="167"/>
      <c r="G1006" s="167"/>
      <c r="H1006" s="167"/>
    </row>
    <row r="1007" spans="1:8">
      <c r="A1007" s="167"/>
      <c r="B1007" s="167"/>
      <c r="C1007" s="167"/>
      <c r="D1007" s="167"/>
      <c r="E1007" s="167"/>
      <c r="F1007" s="167"/>
      <c r="G1007" s="167"/>
      <c r="H1007" s="167"/>
    </row>
    <row r="1008" spans="1:8">
      <c r="A1008" s="167"/>
      <c r="B1008" s="167"/>
      <c r="C1008" s="167"/>
      <c r="D1008" s="167"/>
      <c r="E1008" s="167"/>
      <c r="F1008" s="167"/>
      <c r="G1008" s="167"/>
      <c r="H1008" s="167"/>
    </row>
    <row r="1009" spans="1:8">
      <c r="A1009" s="167"/>
      <c r="B1009" s="167"/>
      <c r="C1009" s="167"/>
      <c r="D1009" s="167"/>
      <c r="E1009" s="167"/>
      <c r="F1009" s="167"/>
      <c r="G1009" s="167"/>
      <c r="H1009" s="167"/>
    </row>
    <row r="1010" spans="1:8">
      <c r="A1010" s="167"/>
      <c r="B1010" s="167"/>
      <c r="C1010" s="167"/>
      <c r="D1010" s="167"/>
      <c r="E1010" s="167"/>
      <c r="F1010" s="167"/>
      <c r="G1010" s="167"/>
      <c r="H1010" s="167"/>
    </row>
    <row r="1011" spans="1:8">
      <c r="A1011" s="167"/>
      <c r="B1011" s="167"/>
      <c r="C1011" s="167"/>
      <c r="D1011" s="167"/>
      <c r="E1011" s="167"/>
      <c r="F1011" s="167"/>
      <c r="G1011" s="167"/>
      <c r="H1011" s="167"/>
    </row>
    <row r="1012" spans="1:8">
      <c r="A1012" s="167"/>
      <c r="B1012" s="167"/>
      <c r="C1012" s="167"/>
      <c r="D1012" s="167"/>
      <c r="E1012" s="167"/>
      <c r="F1012" s="167"/>
      <c r="G1012" s="167"/>
      <c r="H1012" s="167"/>
    </row>
    <row r="1013" spans="1:8">
      <c r="A1013" s="167"/>
      <c r="B1013" s="167"/>
      <c r="C1013" s="167"/>
      <c r="D1013" s="167"/>
      <c r="E1013" s="167"/>
      <c r="F1013" s="167"/>
      <c r="G1013" s="167"/>
      <c r="H1013" s="167"/>
    </row>
    <row r="1014" spans="1:8">
      <c r="A1014" s="167"/>
      <c r="B1014" s="167"/>
      <c r="C1014" s="167"/>
      <c r="D1014" s="167"/>
      <c r="E1014" s="167"/>
      <c r="F1014" s="167"/>
      <c r="G1014" s="167"/>
      <c r="H1014" s="167"/>
    </row>
    <row r="1015" spans="1:8">
      <c r="A1015" s="167"/>
      <c r="B1015" s="167"/>
      <c r="C1015" s="167"/>
      <c r="D1015" s="167"/>
      <c r="E1015" s="167"/>
      <c r="F1015" s="167"/>
      <c r="G1015" s="167"/>
      <c r="H1015" s="167"/>
    </row>
    <row r="1016" spans="1:8">
      <c r="A1016" s="167"/>
      <c r="B1016" s="167"/>
      <c r="C1016" s="167"/>
      <c r="D1016" s="167"/>
      <c r="E1016" s="167"/>
      <c r="F1016" s="167"/>
      <c r="G1016" s="167"/>
      <c r="H1016" s="167"/>
    </row>
    <row r="1017" spans="1:8">
      <c r="A1017" s="167"/>
      <c r="B1017" s="167"/>
      <c r="C1017" s="167"/>
      <c r="D1017" s="167"/>
      <c r="E1017" s="167"/>
      <c r="F1017" s="167"/>
      <c r="G1017" s="167"/>
      <c r="H1017" s="167"/>
    </row>
    <row r="1018" spans="1:8">
      <c r="A1018" s="167"/>
      <c r="B1018" s="167"/>
      <c r="C1018" s="167"/>
      <c r="D1018" s="167"/>
      <c r="E1018" s="167"/>
      <c r="F1018" s="167"/>
      <c r="G1018" s="167"/>
      <c r="H1018" s="167"/>
    </row>
    <row r="1019" spans="1:8">
      <c r="A1019" s="167"/>
      <c r="B1019" s="167"/>
      <c r="C1019" s="167"/>
      <c r="D1019" s="167"/>
      <c r="E1019" s="167"/>
      <c r="F1019" s="167"/>
      <c r="G1019" s="167"/>
      <c r="H1019" s="167"/>
    </row>
    <row r="1020" spans="1:8">
      <c r="A1020" s="167"/>
      <c r="B1020" s="167"/>
      <c r="C1020" s="167"/>
      <c r="D1020" s="167"/>
      <c r="E1020" s="167"/>
      <c r="F1020" s="167"/>
      <c r="G1020" s="167"/>
      <c r="H1020" s="167"/>
    </row>
    <row r="1021" spans="1:8">
      <c r="A1021" s="167"/>
      <c r="B1021" s="167"/>
      <c r="C1021" s="167"/>
      <c r="D1021" s="167"/>
      <c r="E1021" s="167"/>
      <c r="F1021" s="167"/>
      <c r="G1021" s="167"/>
      <c r="H1021" s="167"/>
    </row>
    <row r="1022" spans="1:8">
      <c r="A1022" s="167"/>
      <c r="B1022" s="167"/>
      <c r="C1022" s="167"/>
      <c r="D1022" s="167"/>
      <c r="E1022" s="167"/>
      <c r="F1022" s="167"/>
      <c r="G1022" s="167"/>
      <c r="H1022" s="167"/>
    </row>
    <row r="1023" spans="1:8">
      <c r="A1023" s="167"/>
      <c r="B1023" s="167"/>
      <c r="C1023" s="167"/>
      <c r="D1023" s="167"/>
      <c r="E1023" s="167"/>
      <c r="F1023" s="167"/>
      <c r="G1023" s="167"/>
      <c r="H1023" s="167"/>
    </row>
    <row r="1024" spans="1:8">
      <c r="A1024" s="167"/>
      <c r="B1024" s="167"/>
      <c r="C1024" s="167"/>
      <c r="D1024" s="167"/>
      <c r="E1024" s="167"/>
      <c r="F1024" s="167"/>
      <c r="G1024" s="167"/>
      <c r="H1024" s="167"/>
    </row>
    <row r="1025" spans="1:8">
      <c r="A1025" s="167"/>
      <c r="B1025" s="167"/>
      <c r="C1025" s="167"/>
      <c r="D1025" s="167"/>
      <c r="E1025" s="167"/>
      <c r="F1025" s="167"/>
      <c r="G1025" s="167"/>
      <c r="H1025" s="167"/>
    </row>
    <row r="1026" spans="1:8">
      <c r="A1026" s="167"/>
      <c r="B1026" s="167"/>
      <c r="C1026" s="167"/>
      <c r="D1026" s="167"/>
      <c r="E1026" s="167"/>
      <c r="F1026" s="167"/>
      <c r="G1026" s="167"/>
      <c r="H1026" s="167"/>
    </row>
    <row r="1027" spans="1:8">
      <c r="A1027" s="167"/>
      <c r="B1027" s="167"/>
      <c r="C1027" s="167"/>
      <c r="D1027" s="167"/>
      <c r="E1027" s="167"/>
      <c r="F1027" s="167"/>
      <c r="G1027" s="167"/>
      <c r="H1027" s="167"/>
    </row>
    <row r="1028" spans="1:8">
      <c r="A1028" s="167"/>
      <c r="B1028" s="167"/>
      <c r="C1028" s="167"/>
      <c r="D1028" s="167"/>
      <c r="E1028" s="167"/>
      <c r="F1028" s="167"/>
      <c r="G1028" s="167"/>
      <c r="H1028" s="167"/>
    </row>
    <row r="1029" spans="1:8">
      <c r="A1029" s="167"/>
      <c r="B1029" s="167"/>
      <c r="C1029" s="167"/>
      <c r="D1029" s="167"/>
      <c r="E1029" s="167"/>
      <c r="F1029" s="167"/>
      <c r="G1029" s="167"/>
      <c r="H1029" s="167"/>
    </row>
    <row r="1030" spans="1:8">
      <c r="A1030" s="167"/>
      <c r="B1030" s="167"/>
      <c r="C1030" s="167"/>
      <c r="D1030" s="167"/>
      <c r="E1030" s="167"/>
      <c r="F1030" s="167"/>
      <c r="G1030" s="167"/>
      <c r="H1030" s="167"/>
    </row>
    <row r="1031" spans="1:8">
      <c r="A1031" s="167"/>
      <c r="B1031" s="167"/>
      <c r="C1031" s="167"/>
      <c r="D1031" s="167"/>
      <c r="E1031" s="167"/>
      <c r="F1031" s="167"/>
      <c r="G1031" s="167"/>
      <c r="H1031" s="167"/>
    </row>
    <row r="1032" spans="1:8">
      <c r="A1032" s="167"/>
      <c r="B1032" s="167"/>
      <c r="C1032" s="167"/>
      <c r="D1032" s="167"/>
      <c r="E1032" s="167"/>
      <c r="F1032" s="167"/>
      <c r="G1032" s="167"/>
      <c r="H1032" s="167"/>
    </row>
    <row r="1033" spans="1:8">
      <c r="A1033" s="167"/>
      <c r="B1033" s="167"/>
      <c r="C1033" s="167"/>
      <c r="D1033" s="167"/>
      <c r="E1033" s="167"/>
      <c r="F1033" s="167"/>
      <c r="G1033" s="167"/>
      <c r="H1033" s="167"/>
    </row>
    <row r="1034" spans="1:8">
      <c r="A1034" s="167"/>
      <c r="B1034" s="167"/>
      <c r="C1034" s="167"/>
      <c r="D1034" s="167"/>
      <c r="E1034" s="167"/>
      <c r="F1034" s="167"/>
      <c r="G1034" s="167"/>
      <c r="H1034" s="167"/>
    </row>
    <row r="1035" spans="1:8">
      <c r="A1035" s="167"/>
      <c r="B1035" s="167"/>
      <c r="C1035" s="167"/>
      <c r="D1035" s="167"/>
      <c r="E1035" s="167"/>
      <c r="F1035" s="167"/>
      <c r="G1035" s="167"/>
      <c r="H1035" s="167"/>
    </row>
    <row r="1036" spans="1:8">
      <c r="A1036" s="167"/>
      <c r="B1036" s="167"/>
      <c r="C1036" s="167"/>
      <c r="D1036" s="167"/>
      <c r="E1036" s="167"/>
      <c r="F1036" s="167"/>
      <c r="G1036" s="167"/>
      <c r="H1036" s="167"/>
    </row>
    <row r="1037" spans="1:8">
      <c r="A1037" s="167"/>
      <c r="B1037" s="167"/>
      <c r="C1037" s="167"/>
      <c r="D1037" s="167"/>
      <c r="E1037" s="167"/>
      <c r="F1037" s="167"/>
      <c r="G1037" s="167"/>
      <c r="H1037" s="167"/>
    </row>
    <row r="1038" spans="1:8">
      <c r="A1038" s="167"/>
      <c r="B1038" s="167"/>
      <c r="C1038" s="167"/>
      <c r="D1038" s="167"/>
      <c r="E1038" s="167"/>
      <c r="F1038" s="167"/>
      <c r="G1038" s="167"/>
      <c r="H1038" s="167"/>
    </row>
    <row r="1039" spans="1:8">
      <c r="A1039" s="167"/>
      <c r="B1039" s="167"/>
      <c r="C1039" s="167"/>
      <c r="D1039" s="167"/>
      <c r="E1039" s="167"/>
      <c r="F1039" s="167"/>
      <c r="G1039" s="167"/>
      <c r="H1039" s="167"/>
    </row>
    <row r="1040" spans="1:8">
      <c r="A1040" s="167"/>
      <c r="B1040" s="167"/>
      <c r="C1040" s="167"/>
      <c r="D1040" s="167"/>
      <c r="E1040" s="167"/>
      <c r="F1040" s="167"/>
      <c r="G1040" s="167"/>
      <c r="H1040" s="167"/>
    </row>
    <row r="1041" spans="1:8">
      <c r="A1041" s="167"/>
      <c r="B1041" s="167"/>
      <c r="C1041" s="167"/>
      <c r="D1041" s="167"/>
      <c r="E1041" s="167"/>
      <c r="F1041" s="167"/>
      <c r="G1041" s="167"/>
      <c r="H1041" s="167"/>
    </row>
    <row r="1042" spans="1:8">
      <c r="A1042" s="167"/>
      <c r="B1042" s="167"/>
      <c r="C1042" s="167"/>
      <c r="D1042" s="167"/>
      <c r="E1042" s="167"/>
      <c r="F1042" s="167"/>
      <c r="G1042" s="167"/>
      <c r="H1042" s="167"/>
    </row>
    <row r="1043" spans="1:8">
      <c r="A1043" s="167"/>
      <c r="B1043" s="167"/>
      <c r="C1043" s="167"/>
      <c r="D1043" s="167"/>
      <c r="E1043" s="167"/>
      <c r="F1043" s="167"/>
      <c r="G1043" s="167"/>
      <c r="H1043" s="167"/>
    </row>
    <row r="1044" spans="1:8">
      <c r="A1044" s="167"/>
      <c r="B1044" s="167"/>
      <c r="C1044" s="167"/>
      <c r="D1044" s="167"/>
      <c r="E1044" s="167"/>
      <c r="F1044" s="167"/>
      <c r="G1044" s="167"/>
      <c r="H1044" s="167"/>
    </row>
    <row r="1045" spans="1:8">
      <c r="A1045" s="167"/>
      <c r="B1045" s="167"/>
      <c r="C1045" s="167"/>
      <c r="D1045" s="167"/>
      <c r="E1045" s="167"/>
      <c r="F1045" s="167"/>
      <c r="G1045" s="167"/>
      <c r="H1045" s="167"/>
    </row>
    <row r="1046" spans="1:8">
      <c r="A1046" s="167"/>
      <c r="B1046" s="167"/>
      <c r="C1046" s="167"/>
      <c r="D1046" s="167"/>
      <c r="E1046" s="167"/>
      <c r="F1046" s="167"/>
      <c r="G1046" s="167"/>
      <c r="H1046" s="167"/>
    </row>
    <row r="1047" spans="1:8">
      <c r="A1047" s="167"/>
      <c r="B1047" s="167"/>
      <c r="C1047" s="167"/>
      <c r="D1047" s="167"/>
      <c r="E1047" s="167"/>
      <c r="F1047" s="167"/>
      <c r="G1047" s="167"/>
      <c r="H1047" s="167"/>
    </row>
    <row r="1048" spans="1:8">
      <c r="A1048" s="167"/>
      <c r="B1048" s="167"/>
      <c r="C1048" s="167"/>
      <c r="D1048" s="167"/>
      <c r="E1048" s="167"/>
      <c r="F1048" s="167"/>
      <c r="G1048" s="167"/>
      <c r="H1048" s="167"/>
    </row>
    <row r="1049" spans="1:8">
      <c r="A1049" s="167"/>
      <c r="B1049" s="167"/>
      <c r="C1049" s="167"/>
      <c r="D1049" s="167"/>
      <c r="E1049" s="167"/>
      <c r="F1049" s="167"/>
      <c r="G1049" s="167"/>
      <c r="H1049" s="167"/>
    </row>
    <row r="1050" spans="1:8">
      <c r="A1050" s="167"/>
      <c r="B1050" s="167"/>
      <c r="C1050" s="167"/>
      <c r="D1050" s="167"/>
      <c r="E1050" s="167"/>
      <c r="F1050" s="167"/>
      <c r="G1050" s="167"/>
      <c r="H1050" s="167"/>
    </row>
    <row r="1051" spans="1:8">
      <c r="A1051" s="167"/>
      <c r="B1051" s="167"/>
      <c r="C1051" s="167"/>
      <c r="D1051" s="167"/>
      <c r="E1051" s="167"/>
      <c r="F1051" s="167"/>
      <c r="G1051" s="167"/>
      <c r="H1051" s="167"/>
    </row>
    <row r="1052" spans="1:8">
      <c r="A1052" s="167"/>
      <c r="B1052" s="167"/>
      <c r="C1052" s="167"/>
      <c r="D1052" s="167"/>
      <c r="E1052" s="167"/>
      <c r="F1052" s="167"/>
      <c r="G1052" s="167"/>
      <c r="H1052" s="167"/>
    </row>
    <row r="1053" spans="1:8">
      <c r="A1053" s="167"/>
      <c r="B1053" s="167"/>
      <c r="C1053" s="167"/>
      <c r="D1053" s="167"/>
      <c r="E1053" s="167"/>
      <c r="F1053" s="167"/>
      <c r="G1053" s="167"/>
      <c r="H1053" s="167"/>
    </row>
    <row r="1054" spans="1:8">
      <c r="A1054" s="167"/>
      <c r="B1054" s="167"/>
      <c r="C1054" s="167"/>
      <c r="D1054" s="167"/>
      <c r="E1054" s="167"/>
      <c r="F1054" s="167"/>
      <c r="G1054" s="167"/>
      <c r="H1054" s="167"/>
    </row>
    <row r="1055" spans="1:8">
      <c r="A1055" s="167"/>
      <c r="B1055" s="167"/>
      <c r="C1055" s="167"/>
      <c r="D1055" s="167"/>
      <c r="E1055" s="167"/>
      <c r="F1055" s="167"/>
      <c r="G1055" s="167"/>
      <c r="H1055" s="167"/>
    </row>
    <row r="1056" spans="1:8">
      <c r="A1056" s="167"/>
      <c r="B1056" s="167"/>
      <c r="C1056" s="167"/>
      <c r="D1056" s="167"/>
      <c r="E1056" s="167"/>
      <c r="F1056" s="167"/>
      <c r="G1056" s="167"/>
      <c r="H1056" s="167"/>
    </row>
    <row r="1057" spans="1:8">
      <c r="A1057" s="167"/>
      <c r="B1057" s="167"/>
      <c r="C1057" s="167"/>
      <c r="D1057" s="167"/>
      <c r="E1057" s="167"/>
      <c r="F1057" s="167"/>
      <c r="G1057" s="167"/>
      <c r="H1057" s="167"/>
    </row>
    <row r="1058" spans="1:8">
      <c r="A1058" s="167"/>
      <c r="B1058" s="167"/>
      <c r="C1058" s="167"/>
      <c r="D1058" s="167"/>
      <c r="E1058" s="167"/>
      <c r="F1058" s="167"/>
      <c r="G1058" s="167"/>
      <c r="H1058" s="167"/>
    </row>
    <row r="1059" spans="1:8">
      <c r="A1059" s="167"/>
      <c r="B1059" s="167"/>
      <c r="C1059" s="167"/>
      <c r="D1059" s="167"/>
      <c r="E1059" s="167"/>
      <c r="F1059" s="167"/>
      <c r="G1059" s="167"/>
      <c r="H1059" s="167"/>
    </row>
    <row r="1060" spans="1:8">
      <c r="A1060" s="167"/>
      <c r="B1060" s="167"/>
      <c r="C1060" s="167"/>
      <c r="D1060" s="167"/>
      <c r="E1060" s="167"/>
      <c r="F1060" s="167"/>
      <c r="G1060" s="167"/>
      <c r="H1060" s="167"/>
    </row>
    <row r="1061" spans="1:8">
      <c r="A1061" s="167"/>
      <c r="B1061" s="167"/>
      <c r="C1061" s="167"/>
      <c r="D1061" s="167"/>
      <c r="E1061" s="167"/>
      <c r="F1061" s="167"/>
      <c r="G1061" s="167"/>
      <c r="H1061" s="167"/>
    </row>
    <row r="1062" spans="1:8">
      <c r="A1062" s="167"/>
      <c r="B1062" s="167"/>
      <c r="C1062" s="167"/>
      <c r="D1062" s="167"/>
      <c r="E1062" s="167"/>
      <c r="F1062" s="167"/>
      <c r="G1062" s="167"/>
      <c r="H1062" s="167"/>
    </row>
    <row r="1063" spans="1:8">
      <c r="A1063" s="167"/>
      <c r="B1063" s="167"/>
      <c r="C1063" s="167"/>
      <c r="D1063" s="167"/>
      <c r="E1063" s="167"/>
      <c r="F1063" s="167"/>
      <c r="G1063" s="167"/>
      <c r="H1063" s="167"/>
    </row>
    <row r="1064" spans="1:8">
      <c r="A1064" s="167"/>
      <c r="B1064" s="167"/>
      <c r="C1064" s="167"/>
      <c r="D1064" s="167"/>
      <c r="E1064" s="167"/>
      <c r="F1064" s="167"/>
      <c r="G1064" s="167"/>
      <c r="H1064" s="167"/>
    </row>
    <row r="1065" spans="1:8">
      <c r="A1065" s="167"/>
      <c r="B1065" s="167"/>
      <c r="C1065" s="167"/>
      <c r="D1065" s="167"/>
      <c r="E1065" s="167"/>
      <c r="F1065" s="167"/>
      <c r="G1065" s="167"/>
      <c r="H1065" s="167"/>
    </row>
    <row r="1066" spans="1:8">
      <c r="A1066" s="167"/>
      <c r="B1066" s="167"/>
      <c r="C1066" s="167"/>
      <c r="D1066" s="167"/>
      <c r="E1066" s="167"/>
      <c r="F1066" s="167"/>
      <c r="G1066" s="167"/>
      <c r="H1066" s="167"/>
    </row>
    <row r="1067" spans="1:8">
      <c r="A1067" s="167"/>
      <c r="B1067" s="167"/>
      <c r="C1067" s="167"/>
      <c r="D1067" s="167"/>
      <c r="E1067" s="167"/>
      <c r="F1067" s="167"/>
      <c r="G1067" s="167"/>
      <c r="H1067" s="167"/>
    </row>
    <row r="1068" spans="1:8">
      <c r="A1068" s="167"/>
      <c r="B1068" s="167"/>
      <c r="C1068" s="167"/>
      <c r="D1068" s="167"/>
      <c r="E1068" s="167"/>
      <c r="F1068" s="167"/>
      <c r="G1068" s="167"/>
      <c r="H1068" s="167"/>
    </row>
    <row r="1069" spans="1:8">
      <c r="A1069" s="167"/>
      <c r="B1069" s="167"/>
      <c r="C1069" s="167"/>
      <c r="D1069" s="167"/>
      <c r="E1069" s="167"/>
      <c r="F1069" s="167"/>
      <c r="G1069" s="167"/>
      <c r="H1069" s="167"/>
    </row>
    <row r="1070" spans="1:8">
      <c r="A1070" s="167"/>
      <c r="B1070" s="167"/>
      <c r="C1070" s="167"/>
      <c r="D1070" s="167"/>
      <c r="E1070" s="167"/>
      <c r="F1070" s="167"/>
      <c r="G1070" s="167"/>
      <c r="H1070" s="167"/>
    </row>
    <row r="1071" spans="1:8">
      <c r="A1071" s="167"/>
      <c r="B1071" s="167"/>
      <c r="C1071" s="167"/>
      <c r="D1071" s="167"/>
      <c r="E1071" s="167"/>
      <c r="F1071" s="167"/>
      <c r="G1071" s="167"/>
      <c r="H1071" s="167"/>
    </row>
    <row r="1072" spans="1:8">
      <c r="A1072" s="167"/>
      <c r="B1072" s="167"/>
      <c r="C1072" s="167"/>
      <c r="D1072" s="167"/>
      <c r="E1072" s="167"/>
      <c r="F1072" s="167"/>
      <c r="G1072" s="167"/>
      <c r="H1072" s="167"/>
    </row>
    <row r="1073" spans="1:8">
      <c r="A1073" s="167"/>
      <c r="B1073" s="167"/>
      <c r="C1073" s="167"/>
      <c r="D1073" s="167"/>
      <c r="E1073" s="167"/>
      <c r="F1073" s="167"/>
      <c r="G1073" s="167"/>
      <c r="H1073" s="167"/>
    </row>
    <row r="1074" spans="1:8">
      <c r="A1074" s="167"/>
      <c r="B1074" s="167"/>
      <c r="C1074" s="167"/>
      <c r="D1074" s="167"/>
      <c r="E1074" s="167"/>
      <c r="F1074" s="167"/>
      <c r="G1074" s="167"/>
      <c r="H1074" s="167"/>
    </row>
    <row r="1075" spans="1:8">
      <c r="A1075" s="167"/>
      <c r="B1075" s="167"/>
      <c r="C1075" s="167"/>
      <c r="D1075" s="167"/>
      <c r="E1075" s="167"/>
      <c r="F1075" s="167"/>
      <c r="G1075" s="167"/>
      <c r="H1075" s="167"/>
    </row>
    <row r="1076" spans="1:8">
      <c r="A1076" s="167"/>
      <c r="B1076" s="167"/>
      <c r="C1076" s="167"/>
      <c r="D1076" s="167"/>
      <c r="E1076" s="167"/>
      <c r="F1076" s="167"/>
      <c r="G1076" s="167"/>
      <c r="H1076" s="167"/>
    </row>
    <row r="1077" spans="1:8">
      <c r="A1077" s="167"/>
      <c r="B1077" s="167"/>
      <c r="C1077" s="167"/>
      <c r="D1077" s="167"/>
      <c r="E1077" s="167"/>
      <c r="F1077" s="167"/>
      <c r="G1077" s="167"/>
      <c r="H1077" s="167"/>
    </row>
    <row r="1078" spans="1:8">
      <c r="A1078" s="167"/>
      <c r="B1078" s="167"/>
      <c r="C1078" s="167"/>
      <c r="D1078" s="167"/>
      <c r="E1078" s="167"/>
      <c r="F1078" s="167"/>
      <c r="G1078" s="167"/>
      <c r="H1078" s="167"/>
    </row>
    <row r="1079" spans="1:8">
      <c r="A1079" s="167"/>
      <c r="B1079" s="167"/>
      <c r="C1079" s="167"/>
      <c r="D1079" s="167"/>
      <c r="E1079" s="167"/>
      <c r="F1079" s="167"/>
      <c r="G1079" s="167"/>
      <c r="H1079" s="167"/>
    </row>
    <row r="1080" spans="1:8">
      <c r="A1080" s="167"/>
      <c r="B1080" s="167"/>
      <c r="C1080" s="167"/>
      <c r="D1080" s="167"/>
      <c r="E1080" s="167"/>
      <c r="F1080" s="167"/>
      <c r="G1080" s="167"/>
      <c r="H1080" s="167"/>
    </row>
    <row r="1081" spans="1:8">
      <c r="A1081" s="167"/>
      <c r="B1081" s="167"/>
      <c r="C1081" s="167"/>
      <c r="D1081" s="167"/>
      <c r="E1081" s="167"/>
      <c r="F1081" s="167"/>
      <c r="G1081" s="167"/>
      <c r="H1081" s="167"/>
    </row>
    <row r="1082" spans="1:8">
      <c r="A1082" s="167"/>
      <c r="B1082" s="167"/>
      <c r="C1082" s="167"/>
      <c r="D1082" s="167"/>
      <c r="E1082" s="167"/>
      <c r="F1082" s="167"/>
      <c r="G1082" s="167"/>
      <c r="H1082" s="167"/>
    </row>
    <row r="1083" spans="1:8">
      <c r="A1083" s="167"/>
      <c r="B1083" s="167"/>
      <c r="C1083" s="167"/>
      <c r="D1083" s="167"/>
      <c r="E1083" s="167"/>
      <c r="F1083" s="167"/>
      <c r="G1083" s="167"/>
      <c r="H1083" s="167"/>
    </row>
    <row r="1084" spans="1:8">
      <c r="A1084" s="167"/>
      <c r="B1084" s="167"/>
      <c r="C1084" s="167"/>
      <c r="D1084" s="167"/>
      <c r="E1084" s="167"/>
      <c r="F1084" s="167"/>
      <c r="G1084" s="167"/>
      <c r="H1084" s="167"/>
    </row>
    <row r="1085" spans="1:8">
      <c r="A1085" s="167"/>
      <c r="B1085" s="167"/>
      <c r="C1085" s="167"/>
      <c r="D1085" s="167"/>
      <c r="E1085" s="167"/>
      <c r="F1085" s="167"/>
      <c r="G1085" s="167"/>
      <c r="H1085" s="167"/>
    </row>
    <row r="1086" spans="1:8">
      <c r="A1086" s="167"/>
      <c r="B1086" s="167"/>
      <c r="C1086" s="167"/>
      <c r="D1086" s="167"/>
      <c r="E1086" s="167"/>
      <c r="F1086" s="167"/>
      <c r="G1086" s="167"/>
      <c r="H1086" s="167"/>
    </row>
    <row r="1087" spans="1:8">
      <c r="A1087" s="167"/>
      <c r="B1087" s="167"/>
      <c r="C1087" s="167"/>
      <c r="D1087" s="167"/>
      <c r="E1087" s="167"/>
      <c r="F1087" s="167"/>
      <c r="G1087" s="167"/>
      <c r="H1087" s="167"/>
    </row>
    <row r="1088" spans="1:8">
      <c r="A1088" s="167"/>
      <c r="B1088" s="167"/>
      <c r="C1088" s="167"/>
      <c r="D1088" s="167"/>
      <c r="E1088" s="167"/>
      <c r="F1088" s="167"/>
      <c r="G1088" s="167"/>
      <c r="H1088" s="167"/>
    </row>
    <row r="1089" spans="1:8">
      <c r="A1089" s="167"/>
      <c r="B1089" s="167"/>
      <c r="C1089" s="167"/>
      <c r="D1089" s="167"/>
      <c r="E1089" s="167"/>
      <c r="F1089" s="167"/>
      <c r="G1089" s="167"/>
      <c r="H1089" s="167"/>
    </row>
    <row r="1090" spans="1:8">
      <c r="A1090" s="167"/>
      <c r="B1090" s="167"/>
      <c r="C1090" s="167"/>
      <c r="D1090" s="167"/>
      <c r="E1090" s="167"/>
      <c r="F1090" s="167"/>
      <c r="G1090" s="167"/>
      <c r="H1090" s="167"/>
    </row>
    <row r="1091" spans="1:8">
      <c r="A1091" s="167"/>
      <c r="B1091" s="167"/>
      <c r="C1091" s="167"/>
      <c r="D1091" s="167"/>
      <c r="E1091" s="167"/>
      <c r="F1091" s="167"/>
      <c r="G1091" s="167"/>
      <c r="H1091" s="167"/>
    </row>
    <row r="1092" spans="1:8">
      <c r="A1092" s="167"/>
      <c r="B1092" s="167"/>
      <c r="C1092" s="167"/>
      <c r="D1092" s="167"/>
      <c r="E1092" s="167"/>
      <c r="F1092" s="167"/>
      <c r="G1092" s="167"/>
      <c r="H1092" s="167"/>
    </row>
    <row r="1093" spans="1:8">
      <c r="A1093" s="167"/>
      <c r="B1093" s="167"/>
      <c r="C1093" s="167"/>
      <c r="D1093" s="167"/>
      <c r="E1093" s="167"/>
      <c r="F1093" s="167"/>
      <c r="G1093" s="167"/>
      <c r="H1093" s="167"/>
    </row>
    <row r="1094" spans="1:8">
      <c r="A1094" s="167"/>
      <c r="B1094" s="167"/>
      <c r="C1094" s="167"/>
      <c r="D1094" s="167"/>
      <c r="E1094" s="167"/>
      <c r="F1094" s="167"/>
      <c r="G1094" s="167"/>
      <c r="H1094" s="167"/>
    </row>
    <row r="1095" spans="1:8">
      <c r="A1095" s="167"/>
      <c r="B1095" s="167"/>
      <c r="C1095" s="167"/>
      <c r="D1095" s="167"/>
      <c r="E1095" s="167"/>
      <c r="F1095" s="167"/>
      <c r="G1095" s="167"/>
      <c r="H1095" s="167"/>
    </row>
    <row r="1096" spans="1:8">
      <c r="A1096" s="167"/>
      <c r="B1096" s="167"/>
      <c r="C1096" s="167"/>
      <c r="D1096" s="167"/>
      <c r="E1096" s="167"/>
      <c r="F1096" s="167"/>
      <c r="G1096" s="167"/>
      <c r="H1096" s="167"/>
    </row>
    <row r="1097" spans="1:8">
      <c r="A1097" s="167"/>
      <c r="B1097" s="167"/>
      <c r="C1097" s="167"/>
      <c r="D1097" s="167"/>
      <c r="E1097" s="167"/>
      <c r="F1097" s="167"/>
      <c r="G1097" s="167"/>
      <c r="H1097" s="167"/>
    </row>
    <row r="1098" spans="1:8">
      <c r="A1098" s="167"/>
      <c r="B1098" s="167"/>
      <c r="C1098" s="167"/>
      <c r="D1098" s="167"/>
      <c r="E1098" s="167"/>
      <c r="F1098" s="167"/>
      <c r="G1098" s="167"/>
      <c r="H1098" s="167"/>
    </row>
    <row r="1099" spans="1:8">
      <c r="A1099" s="167"/>
      <c r="B1099" s="167"/>
      <c r="C1099" s="167"/>
      <c r="D1099" s="167"/>
      <c r="E1099" s="167"/>
      <c r="F1099" s="167"/>
      <c r="G1099" s="167"/>
      <c r="H1099" s="167"/>
    </row>
    <row r="1100" spans="1:8">
      <c r="A1100" s="167"/>
      <c r="B1100" s="167"/>
      <c r="C1100" s="167"/>
      <c r="D1100" s="167"/>
      <c r="E1100" s="167"/>
      <c r="F1100" s="167"/>
      <c r="G1100" s="167"/>
      <c r="H1100" s="167"/>
    </row>
    <row r="1101" spans="1:8">
      <c r="A1101" s="167"/>
      <c r="B1101" s="167"/>
      <c r="C1101" s="167"/>
      <c r="D1101" s="167"/>
      <c r="E1101" s="167"/>
      <c r="F1101" s="167"/>
      <c r="G1101" s="167"/>
      <c r="H1101" s="167"/>
    </row>
    <row r="1102" spans="1:8">
      <c r="A1102" s="167"/>
      <c r="B1102" s="167"/>
      <c r="C1102" s="167"/>
      <c r="D1102" s="167"/>
      <c r="E1102" s="167"/>
      <c r="F1102" s="167"/>
      <c r="G1102" s="167"/>
      <c r="H1102" s="167"/>
    </row>
    <row r="1103" spans="1:8">
      <c r="A1103" s="167"/>
      <c r="B1103" s="167"/>
      <c r="C1103" s="167"/>
      <c r="D1103" s="167"/>
      <c r="E1103" s="167"/>
      <c r="F1103" s="167"/>
      <c r="G1103" s="167"/>
      <c r="H1103" s="167"/>
    </row>
    <row r="1104" spans="1:8">
      <c r="A1104" s="167"/>
      <c r="B1104" s="167"/>
      <c r="C1104" s="167"/>
      <c r="D1104" s="167"/>
      <c r="E1104" s="167"/>
      <c r="F1104" s="167"/>
      <c r="G1104" s="167"/>
      <c r="H1104" s="167"/>
    </row>
    <row r="1105" spans="1:8">
      <c r="A1105" s="167"/>
      <c r="B1105" s="167"/>
      <c r="C1105" s="167"/>
      <c r="D1105" s="167"/>
      <c r="E1105" s="167"/>
      <c r="F1105" s="167"/>
      <c r="G1105" s="167"/>
      <c r="H1105" s="167"/>
    </row>
    <row r="1106" spans="1:8">
      <c r="A1106" s="167"/>
      <c r="B1106" s="167"/>
      <c r="C1106" s="167"/>
      <c r="D1106" s="167"/>
      <c r="E1106" s="167"/>
      <c r="F1106" s="167"/>
      <c r="G1106" s="167"/>
      <c r="H1106" s="167"/>
    </row>
    <row r="1107" spans="1:8">
      <c r="A1107" s="167"/>
      <c r="B1107" s="167"/>
      <c r="C1107" s="167"/>
      <c r="D1107" s="167"/>
      <c r="E1107" s="167"/>
      <c r="F1107" s="167"/>
      <c r="G1107" s="167"/>
      <c r="H1107" s="167"/>
    </row>
    <row r="1108" spans="1:8">
      <c r="A1108" s="167"/>
      <c r="B1108" s="167"/>
      <c r="C1108" s="167"/>
      <c r="D1108" s="167"/>
      <c r="E1108" s="167"/>
      <c r="F1108" s="167"/>
      <c r="G1108" s="167"/>
      <c r="H1108" s="167"/>
    </row>
    <row r="1109" spans="1:8">
      <c r="A1109" s="167"/>
      <c r="B1109" s="167"/>
      <c r="C1109" s="167"/>
      <c r="D1109" s="167"/>
      <c r="E1109" s="167"/>
      <c r="F1109" s="167"/>
      <c r="G1109" s="167"/>
      <c r="H1109" s="167"/>
    </row>
    <row r="1110" spans="1:8">
      <c r="A1110" s="167"/>
      <c r="B1110" s="167"/>
      <c r="C1110" s="167"/>
      <c r="D1110" s="167"/>
      <c r="E1110" s="167"/>
      <c r="F1110" s="167"/>
      <c r="G1110" s="167"/>
      <c r="H1110" s="167"/>
    </row>
    <row r="1111" spans="1:8">
      <c r="A1111" s="167"/>
      <c r="B1111" s="167"/>
      <c r="C1111" s="167"/>
      <c r="D1111" s="167"/>
      <c r="E1111" s="167"/>
      <c r="F1111" s="167"/>
      <c r="G1111" s="167"/>
      <c r="H1111" s="167"/>
    </row>
    <row r="1112" spans="1:8">
      <c r="A1112" s="167"/>
      <c r="B1112" s="167"/>
      <c r="C1112" s="167"/>
      <c r="D1112" s="167"/>
      <c r="E1112" s="167"/>
      <c r="F1112" s="167"/>
      <c r="G1112" s="167"/>
      <c r="H1112" s="167"/>
    </row>
    <row r="1113" spans="1:8">
      <c r="A1113" s="167"/>
      <c r="B1113" s="167"/>
      <c r="C1113" s="167"/>
      <c r="D1113" s="167"/>
      <c r="E1113" s="167"/>
      <c r="F1113" s="167"/>
      <c r="G1113" s="167"/>
      <c r="H1113" s="167"/>
    </row>
    <row r="1114" spans="1:8">
      <c r="A1114" s="167"/>
      <c r="B1114" s="167"/>
      <c r="C1114" s="167"/>
      <c r="D1114" s="167"/>
      <c r="E1114" s="167"/>
      <c r="F1114" s="167"/>
      <c r="G1114" s="167"/>
      <c r="H1114" s="167"/>
    </row>
    <row r="1115" spans="1:8">
      <c r="A1115" s="167"/>
      <c r="B1115" s="167"/>
      <c r="C1115" s="167"/>
      <c r="D1115" s="167"/>
      <c r="E1115" s="167"/>
      <c r="F1115" s="167"/>
      <c r="G1115" s="167"/>
      <c r="H1115" s="167"/>
    </row>
    <row r="1116" spans="1:8">
      <c r="A1116" s="167"/>
      <c r="B1116" s="167"/>
      <c r="C1116" s="167"/>
      <c r="D1116" s="167"/>
      <c r="E1116" s="167"/>
      <c r="F1116" s="167"/>
      <c r="G1116" s="167"/>
      <c r="H1116" s="167"/>
    </row>
    <row r="1117" spans="1:8">
      <c r="A1117" s="167"/>
      <c r="B1117" s="167"/>
      <c r="C1117" s="167"/>
      <c r="D1117" s="167"/>
      <c r="E1117" s="167"/>
      <c r="F1117" s="167"/>
      <c r="G1117" s="167"/>
      <c r="H1117" s="167"/>
    </row>
    <row r="1118" spans="1:8">
      <c r="A1118" s="167"/>
      <c r="B1118" s="167"/>
      <c r="C1118" s="167"/>
      <c r="D1118" s="167"/>
      <c r="E1118" s="167"/>
      <c r="F1118" s="167"/>
      <c r="G1118" s="167"/>
      <c r="H1118" s="167"/>
    </row>
    <row r="1119" spans="1:8">
      <c r="A1119" s="167"/>
      <c r="B1119" s="167"/>
      <c r="C1119" s="167"/>
      <c r="D1119" s="167"/>
      <c r="E1119" s="167"/>
      <c r="F1119" s="167"/>
      <c r="G1119" s="167"/>
      <c r="H1119" s="167"/>
    </row>
    <row r="1120" spans="1:8">
      <c r="A1120" s="167"/>
      <c r="B1120" s="167"/>
      <c r="C1120" s="167"/>
      <c r="D1120" s="167"/>
      <c r="E1120" s="167"/>
      <c r="F1120" s="167"/>
      <c r="G1120" s="167"/>
      <c r="H1120" s="167"/>
    </row>
    <row r="1121" spans="1:8">
      <c r="A1121" s="167"/>
      <c r="B1121" s="167"/>
      <c r="C1121" s="167"/>
      <c r="D1121" s="167"/>
      <c r="E1121" s="167"/>
      <c r="F1121" s="167"/>
      <c r="G1121" s="167"/>
      <c r="H1121" s="167"/>
    </row>
    <row r="1122" spans="1:8">
      <c r="A1122" s="167"/>
      <c r="B1122" s="167"/>
      <c r="C1122" s="167"/>
      <c r="D1122" s="167"/>
      <c r="E1122" s="167"/>
      <c r="F1122" s="167"/>
      <c r="G1122" s="167"/>
      <c r="H1122" s="167"/>
    </row>
    <row r="1123" spans="1:8">
      <c r="A1123" s="167"/>
      <c r="B1123" s="167"/>
      <c r="C1123" s="167"/>
      <c r="D1123" s="167"/>
      <c r="E1123" s="167"/>
      <c r="F1123" s="167"/>
      <c r="G1123" s="167"/>
      <c r="H1123" s="167"/>
    </row>
    <row r="1124" spans="1:8">
      <c r="A1124" s="167"/>
      <c r="B1124" s="167"/>
      <c r="C1124" s="167"/>
      <c r="D1124" s="167"/>
      <c r="E1124" s="167"/>
      <c r="F1124" s="167"/>
      <c r="G1124" s="167"/>
      <c r="H1124" s="167"/>
    </row>
    <row r="1125" spans="1:8">
      <c r="A1125" s="167"/>
      <c r="B1125" s="167"/>
      <c r="C1125" s="167"/>
      <c r="D1125" s="167"/>
      <c r="E1125" s="167"/>
      <c r="F1125" s="167"/>
      <c r="G1125" s="167"/>
      <c r="H1125" s="167"/>
    </row>
    <row r="1126" spans="1:8">
      <c r="A1126" s="167"/>
      <c r="B1126" s="167"/>
      <c r="C1126" s="167"/>
      <c r="D1126" s="167"/>
      <c r="E1126" s="167"/>
      <c r="F1126" s="167"/>
      <c r="G1126" s="167"/>
      <c r="H1126" s="167"/>
    </row>
    <row r="1127" spans="1:8">
      <c r="A1127" s="167"/>
      <c r="B1127" s="167"/>
      <c r="C1127" s="167"/>
      <c r="D1127" s="167"/>
      <c r="E1127" s="167"/>
      <c r="F1127" s="167"/>
      <c r="G1127" s="167"/>
      <c r="H1127" s="167"/>
    </row>
    <row r="1128" spans="1:8">
      <c r="A1128" s="167"/>
      <c r="B1128" s="167"/>
      <c r="C1128" s="167"/>
      <c r="D1128" s="167"/>
      <c r="E1128" s="167"/>
      <c r="F1128" s="167"/>
      <c r="G1128" s="167"/>
      <c r="H1128" s="167"/>
    </row>
    <row r="1129" spans="1:8">
      <c r="A1129" s="167"/>
      <c r="B1129" s="167"/>
      <c r="C1129" s="167"/>
      <c r="D1129" s="167"/>
      <c r="E1129" s="167"/>
      <c r="F1129" s="167"/>
      <c r="G1129" s="167"/>
      <c r="H1129" s="167"/>
    </row>
    <row r="1130" spans="1:8">
      <c r="A1130" s="167"/>
      <c r="B1130" s="167"/>
      <c r="C1130" s="167"/>
      <c r="D1130" s="167"/>
      <c r="E1130" s="167"/>
      <c r="F1130" s="167"/>
      <c r="G1130" s="167"/>
      <c r="H1130" s="167"/>
    </row>
    <row r="1131" spans="1:8">
      <c r="A1131" s="167"/>
      <c r="B1131" s="167"/>
      <c r="C1131" s="167"/>
      <c r="D1131" s="167"/>
      <c r="E1131" s="167"/>
      <c r="F1131" s="167"/>
      <c r="G1131" s="167"/>
      <c r="H1131" s="167"/>
    </row>
    <row r="1132" spans="1:8">
      <c r="A1132" s="167"/>
      <c r="B1132" s="167"/>
      <c r="C1132" s="167"/>
      <c r="D1132" s="167"/>
      <c r="E1132" s="167"/>
      <c r="F1132" s="167"/>
      <c r="G1132" s="167"/>
      <c r="H1132" s="167"/>
    </row>
    <row r="1133" spans="1:8">
      <c r="A1133" s="167"/>
      <c r="B1133" s="167"/>
      <c r="C1133" s="167"/>
      <c r="D1133" s="167"/>
      <c r="E1133" s="167"/>
      <c r="F1133" s="167"/>
      <c r="G1133" s="167"/>
      <c r="H1133" s="167"/>
    </row>
    <row r="1134" spans="1:8">
      <c r="A1134" s="167"/>
      <c r="B1134" s="167"/>
      <c r="C1134" s="167"/>
      <c r="D1134" s="167"/>
      <c r="E1134" s="167"/>
      <c r="F1134" s="167"/>
      <c r="G1134" s="167"/>
      <c r="H1134" s="167"/>
    </row>
    <row r="1135" spans="1:8">
      <c r="A1135" s="167"/>
      <c r="B1135" s="167"/>
      <c r="C1135" s="167"/>
      <c r="D1135" s="167"/>
      <c r="E1135" s="167"/>
      <c r="F1135" s="167"/>
      <c r="G1135" s="167"/>
      <c r="H1135" s="167"/>
    </row>
    <row r="1136" spans="1:8">
      <c r="A1136" s="167"/>
      <c r="B1136" s="167"/>
      <c r="C1136" s="167"/>
      <c r="D1136" s="167"/>
      <c r="E1136" s="167"/>
      <c r="F1136" s="167"/>
      <c r="G1136" s="167"/>
      <c r="H1136" s="167"/>
    </row>
    <row r="1137" spans="1:8">
      <c r="A1137" s="167"/>
      <c r="B1137" s="167"/>
      <c r="C1137" s="167"/>
      <c r="D1137" s="167"/>
      <c r="E1137" s="167"/>
      <c r="F1137" s="167"/>
      <c r="G1137" s="167"/>
      <c r="H1137" s="167"/>
    </row>
    <row r="1138" spans="1:8">
      <c r="A1138" s="167"/>
      <c r="B1138" s="167"/>
      <c r="C1138" s="167"/>
      <c r="D1138" s="167"/>
      <c r="E1138" s="167"/>
      <c r="F1138" s="167"/>
      <c r="G1138" s="167"/>
      <c r="H1138" s="167"/>
    </row>
    <row r="1139" spans="1:8">
      <c r="A1139" s="167"/>
      <c r="B1139" s="167"/>
      <c r="C1139" s="167"/>
      <c r="D1139" s="167"/>
      <c r="E1139" s="167"/>
      <c r="F1139" s="167"/>
      <c r="G1139" s="167"/>
      <c r="H1139" s="167"/>
    </row>
    <row r="1140" spans="1:8">
      <c r="A1140" s="167"/>
      <c r="B1140" s="167"/>
      <c r="C1140" s="167"/>
      <c r="D1140" s="167"/>
      <c r="E1140" s="167"/>
      <c r="F1140" s="167"/>
      <c r="G1140" s="167"/>
      <c r="H1140" s="167"/>
    </row>
    <row r="1141" spans="1:8">
      <c r="A1141" s="167"/>
      <c r="B1141" s="167"/>
      <c r="C1141" s="167"/>
      <c r="D1141" s="167"/>
      <c r="E1141" s="167"/>
      <c r="F1141" s="167"/>
      <c r="G1141" s="167"/>
      <c r="H1141" s="167"/>
    </row>
    <row r="1142" spans="1:8">
      <c r="A1142" s="167"/>
      <c r="B1142" s="167"/>
      <c r="C1142" s="167"/>
      <c r="D1142" s="167"/>
      <c r="E1142" s="167"/>
      <c r="F1142" s="167"/>
      <c r="G1142" s="167"/>
      <c r="H1142" s="167"/>
    </row>
    <row r="1143" spans="1:8">
      <c r="A1143" s="167"/>
      <c r="B1143" s="167"/>
      <c r="C1143" s="167"/>
      <c r="D1143" s="167"/>
      <c r="E1143" s="167"/>
      <c r="F1143" s="167"/>
      <c r="G1143" s="167"/>
      <c r="H1143" s="167"/>
    </row>
    <row r="1144" spans="1:8">
      <c r="A1144" s="167"/>
      <c r="B1144" s="167"/>
      <c r="C1144" s="167"/>
      <c r="D1144" s="167"/>
      <c r="E1144" s="167"/>
      <c r="F1144" s="167"/>
      <c r="G1144" s="167"/>
      <c r="H1144" s="167"/>
    </row>
    <row r="1145" spans="1:8">
      <c r="A1145" s="167"/>
      <c r="B1145" s="167"/>
      <c r="C1145" s="167"/>
      <c r="D1145" s="167"/>
      <c r="E1145" s="167"/>
      <c r="F1145" s="167"/>
      <c r="G1145" s="167"/>
      <c r="H1145" s="167"/>
    </row>
    <row r="1146" spans="1:8">
      <c r="A1146" s="167"/>
      <c r="B1146" s="167"/>
      <c r="C1146" s="167"/>
      <c r="D1146" s="167"/>
      <c r="E1146" s="167"/>
      <c r="F1146" s="167"/>
      <c r="G1146" s="167"/>
      <c r="H1146" s="167"/>
    </row>
    <row r="1147" spans="1:8">
      <c r="A1147" s="167"/>
      <c r="B1147" s="167"/>
      <c r="C1147" s="167"/>
      <c r="D1147" s="167"/>
      <c r="E1147" s="167"/>
      <c r="F1147" s="167"/>
      <c r="G1147" s="167"/>
      <c r="H1147" s="167"/>
    </row>
    <row r="1148" spans="1:8">
      <c r="A1148" s="167"/>
      <c r="B1148" s="167"/>
      <c r="C1148" s="167"/>
      <c r="D1148" s="167"/>
      <c r="E1148" s="167"/>
      <c r="F1148" s="167"/>
      <c r="G1148" s="167"/>
      <c r="H1148" s="167"/>
    </row>
    <row r="1149" spans="1:8">
      <c r="A1149" s="167"/>
      <c r="B1149" s="167"/>
      <c r="C1149" s="167"/>
      <c r="D1149" s="167"/>
      <c r="E1149" s="167"/>
      <c r="F1149" s="167"/>
      <c r="G1149" s="167"/>
      <c r="H1149" s="167"/>
    </row>
    <row r="1150" spans="1:8">
      <c r="A1150" s="167"/>
      <c r="B1150" s="167"/>
      <c r="C1150" s="167"/>
      <c r="D1150" s="167"/>
      <c r="E1150" s="167"/>
      <c r="F1150" s="167"/>
      <c r="G1150" s="167"/>
      <c r="H1150" s="167"/>
    </row>
    <row r="1151" spans="1:8">
      <c r="A1151" s="167"/>
      <c r="B1151" s="167"/>
      <c r="C1151" s="167"/>
      <c r="D1151" s="167"/>
      <c r="E1151" s="167"/>
      <c r="F1151" s="167"/>
      <c r="G1151" s="167"/>
      <c r="H1151" s="167"/>
    </row>
    <row r="1152" spans="1:8">
      <c r="A1152" s="167"/>
      <c r="B1152" s="167"/>
      <c r="C1152" s="167"/>
      <c r="D1152" s="167"/>
      <c r="E1152" s="167"/>
      <c r="F1152" s="167"/>
      <c r="G1152" s="167"/>
      <c r="H1152" s="167"/>
    </row>
    <row r="1153" spans="1:8">
      <c r="A1153" s="167"/>
      <c r="B1153" s="167"/>
      <c r="C1153" s="167"/>
      <c r="D1153" s="167"/>
      <c r="E1153" s="167"/>
      <c r="F1153" s="167"/>
      <c r="G1153" s="167"/>
      <c r="H1153" s="167"/>
    </row>
    <row r="1154" spans="1:8">
      <c r="A1154" s="167"/>
      <c r="B1154" s="167"/>
      <c r="C1154" s="167"/>
      <c r="D1154" s="167"/>
      <c r="E1154" s="167"/>
      <c r="F1154" s="167"/>
      <c r="G1154" s="167"/>
      <c r="H1154" s="167"/>
    </row>
    <row r="1155" spans="1:8">
      <c r="A1155" s="167"/>
      <c r="B1155" s="167"/>
      <c r="C1155" s="167"/>
      <c r="D1155" s="167"/>
      <c r="E1155" s="167"/>
      <c r="F1155" s="167"/>
      <c r="G1155" s="167"/>
      <c r="H1155" s="167"/>
    </row>
    <row r="1156" spans="1:8">
      <c r="A1156" s="167"/>
      <c r="B1156" s="167"/>
      <c r="C1156" s="167"/>
      <c r="D1156" s="167"/>
      <c r="E1156" s="167"/>
      <c r="F1156" s="167"/>
      <c r="G1156" s="167"/>
      <c r="H1156" s="167"/>
    </row>
    <row r="1157" spans="1:8">
      <c r="A1157" s="167"/>
      <c r="B1157" s="167"/>
      <c r="C1157" s="167"/>
      <c r="D1157" s="167"/>
      <c r="E1157" s="167"/>
      <c r="F1157" s="167"/>
      <c r="G1157" s="167"/>
      <c r="H1157" s="167"/>
    </row>
    <row r="1158" spans="1:8">
      <c r="A1158" s="167"/>
      <c r="B1158" s="167"/>
      <c r="C1158" s="167"/>
      <c r="D1158" s="167"/>
      <c r="E1158" s="167"/>
      <c r="F1158" s="167"/>
      <c r="G1158" s="167"/>
      <c r="H1158" s="167"/>
    </row>
    <row r="1159" spans="1:8">
      <c r="A1159" s="167"/>
      <c r="B1159" s="167"/>
      <c r="C1159" s="167"/>
      <c r="D1159" s="167"/>
      <c r="E1159" s="167"/>
      <c r="F1159" s="167"/>
      <c r="G1159" s="167"/>
      <c r="H1159" s="167"/>
    </row>
    <row r="1160" spans="1:8">
      <c r="A1160" s="167"/>
      <c r="B1160" s="167"/>
      <c r="C1160" s="167"/>
      <c r="D1160" s="167"/>
      <c r="E1160" s="167"/>
      <c r="F1160" s="167"/>
      <c r="G1160" s="167"/>
      <c r="H1160" s="167"/>
    </row>
    <row r="1161" spans="1:8">
      <c r="A1161" s="167"/>
      <c r="B1161" s="167"/>
      <c r="C1161" s="167"/>
      <c r="D1161" s="167"/>
      <c r="E1161" s="167"/>
      <c r="F1161" s="167"/>
      <c r="G1161" s="167"/>
      <c r="H1161" s="167"/>
    </row>
    <row r="1162" spans="1:8">
      <c r="A1162" s="167"/>
      <c r="B1162" s="167"/>
      <c r="C1162" s="167"/>
      <c r="D1162" s="167"/>
      <c r="E1162" s="167"/>
      <c r="F1162" s="167"/>
      <c r="G1162" s="167"/>
      <c r="H1162" s="167"/>
    </row>
    <row r="1163" spans="1:8">
      <c r="A1163" s="167"/>
      <c r="B1163" s="167"/>
      <c r="C1163" s="167"/>
      <c r="D1163" s="167"/>
      <c r="E1163" s="167"/>
      <c r="F1163" s="167"/>
      <c r="G1163" s="167"/>
      <c r="H1163" s="167"/>
    </row>
    <row r="1164" spans="1:8">
      <c r="A1164" s="167"/>
      <c r="B1164" s="167"/>
      <c r="C1164" s="167"/>
      <c r="D1164" s="167"/>
      <c r="E1164" s="167"/>
      <c r="F1164" s="167"/>
      <c r="G1164" s="167"/>
      <c r="H1164" s="167"/>
    </row>
    <row r="1165" spans="1:8">
      <c r="A1165" s="167"/>
      <c r="B1165" s="167"/>
      <c r="C1165" s="167"/>
      <c r="D1165" s="167"/>
      <c r="E1165" s="167"/>
      <c r="F1165" s="167"/>
      <c r="G1165" s="167"/>
      <c r="H1165" s="167"/>
    </row>
    <row r="1166" spans="1:8">
      <c r="A1166" s="167"/>
      <c r="B1166" s="167"/>
      <c r="C1166" s="167"/>
      <c r="D1166" s="167"/>
      <c r="E1166" s="167"/>
      <c r="F1166" s="167"/>
      <c r="G1166" s="167"/>
      <c r="H1166" s="167"/>
    </row>
    <row r="1167" spans="1:8">
      <c r="A1167" s="167"/>
      <c r="B1167" s="167"/>
      <c r="C1167" s="167"/>
      <c r="D1167" s="167"/>
      <c r="E1167" s="167"/>
      <c r="F1167" s="167"/>
      <c r="G1167" s="167"/>
      <c r="H1167" s="167"/>
    </row>
    <row r="1168" spans="1:8">
      <c r="A1168" s="167"/>
      <c r="B1168" s="167"/>
      <c r="C1168" s="167"/>
      <c r="D1168" s="167"/>
      <c r="E1168" s="167"/>
      <c r="F1168" s="167"/>
      <c r="G1168" s="167"/>
      <c r="H1168" s="167"/>
    </row>
    <row r="1169" spans="1:8">
      <c r="A1169" s="167"/>
      <c r="B1169" s="167"/>
      <c r="C1169" s="167"/>
      <c r="D1169" s="167"/>
      <c r="E1169" s="167"/>
      <c r="F1169" s="167"/>
      <c r="G1169" s="167"/>
      <c r="H1169" s="167"/>
    </row>
    <row r="1170" spans="1:8">
      <c r="A1170" s="167"/>
      <c r="B1170" s="167"/>
      <c r="C1170" s="167"/>
      <c r="D1170" s="167"/>
      <c r="E1170" s="167"/>
      <c r="F1170" s="167"/>
      <c r="G1170" s="167"/>
      <c r="H1170" s="167"/>
    </row>
    <row r="1171" spans="1:8">
      <c r="A1171" s="167"/>
      <c r="B1171" s="167"/>
      <c r="C1171" s="167"/>
      <c r="D1171" s="167"/>
      <c r="E1171" s="167"/>
      <c r="F1171" s="167"/>
      <c r="G1171" s="167"/>
      <c r="H1171" s="167"/>
    </row>
    <row r="1172" spans="1:8">
      <c r="A1172" s="167"/>
      <c r="B1172" s="167"/>
      <c r="C1172" s="167"/>
      <c r="D1172" s="167"/>
      <c r="E1172" s="167"/>
      <c r="F1172" s="167"/>
      <c r="G1172" s="167"/>
      <c r="H1172" s="167"/>
    </row>
    <row r="1173" spans="1:8">
      <c r="A1173" s="167"/>
      <c r="B1173" s="167"/>
      <c r="C1173" s="167"/>
      <c r="D1173" s="167"/>
      <c r="E1173" s="167"/>
      <c r="F1173" s="167"/>
      <c r="G1173" s="167"/>
      <c r="H1173" s="167"/>
    </row>
    <row r="1174" spans="1:8">
      <c r="A1174" s="167"/>
      <c r="B1174" s="167"/>
      <c r="C1174" s="167"/>
      <c r="D1174" s="167"/>
      <c r="E1174" s="167"/>
      <c r="F1174" s="167"/>
      <c r="G1174" s="167"/>
      <c r="H1174" s="167"/>
    </row>
    <row r="1175" spans="1:8">
      <c r="A1175" s="167"/>
      <c r="B1175" s="167"/>
      <c r="C1175" s="167"/>
      <c r="D1175" s="167"/>
      <c r="E1175" s="167"/>
      <c r="F1175" s="167"/>
      <c r="G1175" s="167"/>
      <c r="H1175" s="167"/>
    </row>
    <row r="1176" spans="1:8">
      <c r="A1176" s="167"/>
      <c r="B1176" s="167"/>
      <c r="C1176" s="167"/>
      <c r="D1176" s="167"/>
      <c r="E1176" s="167"/>
      <c r="F1176" s="167"/>
      <c r="G1176" s="167"/>
      <c r="H1176" s="167"/>
    </row>
    <row r="1177" spans="1:8">
      <c r="A1177" s="167"/>
      <c r="B1177" s="167"/>
      <c r="C1177" s="167"/>
      <c r="D1177" s="167"/>
      <c r="E1177" s="167"/>
      <c r="F1177" s="167"/>
      <c r="G1177" s="167"/>
      <c r="H1177" s="167"/>
    </row>
    <row r="1178" spans="1:8">
      <c r="A1178" s="167"/>
      <c r="B1178" s="167"/>
      <c r="C1178" s="167"/>
      <c r="D1178" s="167"/>
      <c r="E1178" s="167"/>
      <c r="F1178" s="167"/>
      <c r="G1178" s="167"/>
      <c r="H1178" s="167"/>
    </row>
    <row r="1179" spans="1:8">
      <c r="A1179" s="167"/>
      <c r="B1179" s="167"/>
      <c r="C1179" s="167"/>
      <c r="D1179" s="167"/>
      <c r="E1179" s="167"/>
      <c r="F1179" s="167"/>
      <c r="G1179" s="167"/>
      <c r="H1179" s="167"/>
    </row>
    <row r="1180" spans="1:8">
      <c r="A1180" s="167"/>
      <c r="B1180" s="167"/>
      <c r="C1180" s="167"/>
      <c r="D1180" s="167"/>
      <c r="E1180" s="167"/>
      <c r="F1180" s="167"/>
      <c r="G1180" s="167"/>
      <c r="H1180" s="167"/>
    </row>
    <row r="1181" spans="1:8">
      <c r="A1181" s="167"/>
      <c r="B1181" s="167"/>
      <c r="C1181" s="167"/>
      <c r="D1181" s="167"/>
      <c r="E1181" s="167"/>
      <c r="F1181" s="167"/>
      <c r="G1181" s="167"/>
      <c r="H1181" s="167"/>
    </row>
    <row r="1182" spans="1:8">
      <c r="A1182" s="167"/>
      <c r="B1182" s="167"/>
      <c r="C1182" s="167"/>
      <c r="D1182" s="167"/>
      <c r="E1182" s="167"/>
      <c r="F1182" s="167"/>
      <c r="G1182" s="167"/>
      <c r="H1182" s="167"/>
    </row>
    <row r="1183" spans="1:8">
      <c r="A1183" s="167"/>
      <c r="B1183" s="167"/>
      <c r="C1183" s="167"/>
      <c r="D1183" s="167"/>
      <c r="E1183" s="167"/>
      <c r="F1183" s="167"/>
      <c r="G1183" s="167"/>
      <c r="H1183" s="167"/>
    </row>
    <row r="1184" spans="1:8">
      <c r="A1184" s="167"/>
      <c r="B1184" s="167"/>
      <c r="C1184" s="167"/>
      <c r="D1184" s="167"/>
      <c r="E1184" s="167"/>
      <c r="F1184" s="167"/>
      <c r="G1184" s="167"/>
      <c r="H1184" s="167"/>
    </row>
    <row r="1185" spans="1:8">
      <c r="A1185" s="167"/>
      <c r="B1185" s="167"/>
      <c r="C1185" s="167"/>
      <c r="D1185" s="167"/>
      <c r="E1185" s="167"/>
      <c r="F1185" s="167"/>
      <c r="G1185" s="167"/>
      <c r="H1185" s="167"/>
    </row>
    <row r="1186" spans="1:8">
      <c r="A1186" s="167"/>
      <c r="B1186" s="167"/>
      <c r="C1186" s="167"/>
      <c r="D1186" s="167"/>
      <c r="E1186" s="167"/>
      <c r="F1186" s="167"/>
      <c r="G1186" s="167"/>
      <c r="H1186" s="167"/>
    </row>
    <row r="1187" spans="1:8">
      <c r="A1187" s="167"/>
      <c r="B1187" s="167"/>
      <c r="C1187" s="167"/>
      <c r="D1187" s="167"/>
      <c r="E1187" s="167"/>
      <c r="F1187" s="167"/>
      <c r="G1187" s="167"/>
      <c r="H1187" s="167"/>
    </row>
    <row r="1188" spans="1:8">
      <c r="A1188" s="167"/>
      <c r="B1188" s="167"/>
      <c r="C1188" s="167"/>
      <c r="D1188" s="167"/>
      <c r="E1188" s="167"/>
      <c r="F1188" s="167"/>
      <c r="G1188" s="167"/>
      <c r="H1188" s="167"/>
    </row>
    <row r="1189" spans="1:8">
      <c r="A1189" s="167"/>
      <c r="B1189" s="167"/>
      <c r="C1189" s="167"/>
      <c r="D1189" s="167"/>
      <c r="E1189" s="167"/>
      <c r="F1189" s="167"/>
      <c r="G1189" s="167"/>
      <c r="H1189" s="167"/>
    </row>
    <row r="1190" spans="1:8">
      <c r="A1190" s="167"/>
      <c r="B1190" s="167"/>
      <c r="C1190" s="167"/>
      <c r="D1190" s="167"/>
      <c r="E1190" s="167"/>
      <c r="F1190" s="167"/>
      <c r="G1190" s="167"/>
      <c r="H1190" s="167"/>
    </row>
    <row r="1191" spans="1:8">
      <c r="A1191" s="167"/>
      <c r="B1191" s="167"/>
      <c r="C1191" s="167"/>
      <c r="D1191" s="167"/>
      <c r="E1191" s="167"/>
      <c r="F1191" s="167"/>
      <c r="G1191" s="167"/>
      <c r="H1191" s="167"/>
    </row>
    <row r="1192" spans="1:8">
      <c r="A1192" s="167"/>
      <c r="B1192" s="167"/>
      <c r="C1192" s="167"/>
      <c r="D1192" s="167"/>
      <c r="E1192" s="167"/>
      <c r="F1192" s="167"/>
      <c r="G1192" s="167"/>
      <c r="H1192" s="167"/>
    </row>
    <row r="1193" spans="1:8">
      <c r="A1193" s="167"/>
      <c r="B1193" s="167"/>
      <c r="C1193" s="167"/>
      <c r="D1193" s="167"/>
      <c r="E1193" s="167"/>
      <c r="F1193" s="167"/>
      <c r="G1193" s="167"/>
      <c r="H1193" s="167"/>
    </row>
    <row r="1194" spans="1:8">
      <c r="A1194" s="167"/>
      <c r="B1194" s="167"/>
      <c r="C1194" s="167"/>
      <c r="D1194" s="167"/>
      <c r="E1194" s="167"/>
      <c r="F1194" s="167"/>
      <c r="G1194" s="167"/>
      <c r="H1194" s="167"/>
    </row>
    <row r="1195" spans="1:8">
      <c r="A1195" s="167"/>
      <c r="B1195" s="167"/>
      <c r="C1195" s="167"/>
      <c r="D1195" s="167"/>
      <c r="E1195" s="167"/>
      <c r="F1195" s="167"/>
      <c r="G1195" s="167"/>
      <c r="H1195" s="167"/>
    </row>
    <row r="1196" spans="1:8">
      <c r="A1196" s="167"/>
      <c r="B1196" s="167"/>
      <c r="C1196" s="167"/>
      <c r="D1196" s="167"/>
      <c r="E1196" s="167"/>
      <c r="F1196" s="167"/>
      <c r="G1196" s="167"/>
      <c r="H1196" s="167"/>
    </row>
    <row r="1197" spans="1:8">
      <c r="A1197" s="167"/>
      <c r="B1197" s="167"/>
      <c r="C1197" s="167"/>
      <c r="D1197" s="167"/>
      <c r="E1197" s="167"/>
      <c r="F1197" s="167"/>
      <c r="G1197" s="167"/>
      <c r="H1197" s="167"/>
    </row>
    <row r="1198" spans="1:8">
      <c r="A1198" s="167"/>
      <c r="B1198" s="167"/>
      <c r="C1198" s="167"/>
      <c r="D1198" s="167"/>
      <c r="E1198" s="167"/>
      <c r="F1198" s="167"/>
      <c r="G1198" s="167"/>
      <c r="H1198" s="167"/>
    </row>
    <row r="1199" spans="1:8">
      <c r="A1199" s="167"/>
      <c r="B1199" s="167"/>
      <c r="C1199" s="167"/>
      <c r="D1199" s="167"/>
      <c r="E1199" s="167"/>
      <c r="F1199" s="167"/>
      <c r="G1199" s="167"/>
      <c r="H1199" s="167"/>
    </row>
    <row r="1200" spans="1:8">
      <c r="A1200" s="167"/>
      <c r="B1200" s="167"/>
      <c r="C1200" s="167"/>
      <c r="D1200" s="167"/>
      <c r="E1200" s="167"/>
      <c r="F1200" s="167"/>
      <c r="G1200" s="167"/>
      <c r="H1200" s="167"/>
    </row>
    <row r="1201" spans="1:8">
      <c r="A1201" s="167"/>
      <c r="B1201" s="167"/>
      <c r="C1201" s="167"/>
      <c r="D1201" s="167"/>
      <c r="E1201" s="167"/>
      <c r="F1201" s="167"/>
      <c r="G1201" s="167"/>
      <c r="H1201" s="167"/>
    </row>
    <row r="1202" spans="1:8">
      <c r="A1202" s="167"/>
      <c r="B1202" s="167"/>
      <c r="C1202" s="167"/>
      <c r="D1202" s="167"/>
      <c r="E1202" s="167"/>
      <c r="F1202" s="167"/>
      <c r="G1202" s="167"/>
      <c r="H1202" s="167"/>
    </row>
    <row r="1203" spans="1:8">
      <c r="A1203" s="167"/>
      <c r="B1203" s="167"/>
      <c r="C1203" s="167"/>
      <c r="D1203" s="167"/>
      <c r="E1203" s="167"/>
      <c r="F1203" s="167"/>
      <c r="G1203" s="167"/>
      <c r="H1203" s="167"/>
    </row>
    <row r="1204" spans="1:8">
      <c r="A1204" s="167"/>
      <c r="B1204" s="167"/>
      <c r="C1204" s="167"/>
      <c r="D1204" s="167"/>
      <c r="E1204" s="167"/>
      <c r="F1204" s="167"/>
      <c r="G1204" s="167"/>
      <c r="H1204" s="167"/>
    </row>
    <row r="1205" spans="1:8">
      <c r="A1205" s="167"/>
      <c r="B1205" s="167"/>
      <c r="C1205" s="167"/>
      <c r="D1205" s="167"/>
      <c r="E1205" s="167"/>
      <c r="F1205" s="167"/>
      <c r="G1205" s="167"/>
      <c r="H1205" s="167"/>
    </row>
    <row r="1206" spans="1:8">
      <c r="A1206" s="167"/>
      <c r="B1206" s="167"/>
      <c r="C1206" s="167"/>
      <c r="D1206" s="167"/>
      <c r="E1206" s="167"/>
      <c r="F1206" s="167"/>
      <c r="G1206" s="167"/>
      <c r="H1206" s="167"/>
    </row>
    <row r="1207" spans="1:8">
      <c r="A1207" s="167"/>
      <c r="B1207" s="167"/>
      <c r="C1207" s="167"/>
      <c r="D1207" s="167"/>
      <c r="E1207" s="167"/>
      <c r="F1207" s="167"/>
      <c r="G1207" s="167"/>
      <c r="H1207" s="167"/>
    </row>
    <row r="1208" spans="1:8">
      <c r="A1208" s="167"/>
      <c r="B1208" s="167"/>
      <c r="C1208" s="167"/>
      <c r="D1208" s="167"/>
      <c r="E1208" s="167"/>
      <c r="F1208" s="167"/>
      <c r="G1208" s="167"/>
      <c r="H1208" s="167"/>
    </row>
    <row r="1209" spans="1:8">
      <c r="A1209" s="167"/>
      <c r="B1209" s="167"/>
      <c r="C1209" s="167"/>
      <c r="D1209" s="167"/>
      <c r="E1209" s="167"/>
      <c r="F1209" s="167"/>
      <c r="G1209" s="167"/>
      <c r="H1209" s="167"/>
    </row>
    <row r="1210" spans="1:8">
      <c r="A1210" s="167"/>
      <c r="B1210" s="167"/>
      <c r="C1210" s="167"/>
      <c r="D1210" s="167"/>
      <c r="E1210" s="167"/>
      <c r="F1210" s="167"/>
      <c r="G1210" s="167"/>
      <c r="H1210" s="167"/>
    </row>
    <row r="1211" spans="1:8">
      <c r="A1211" s="167"/>
      <c r="B1211" s="167"/>
      <c r="C1211" s="167"/>
      <c r="D1211" s="167"/>
      <c r="E1211" s="167"/>
      <c r="F1211" s="167"/>
      <c r="G1211" s="167"/>
      <c r="H1211" s="167"/>
    </row>
    <row r="1212" spans="1:8">
      <c r="A1212" s="167"/>
      <c r="B1212" s="167"/>
      <c r="C1212" s="167"/>
      <c r="D1212" s="167"/>
      <c r="E1212" s="167"/>
      <c r="F1212" s="167"/>
      <c r="G1212" s="167"/>
      <c r="H1212" s="167"/>
    </row>
    <row r="1213" spans="1:8">
      <c r="A1213" s="167"/>
      <c r="B1213" s="167"/>
      <c r="C1213" s="167"/>
      <c r="D1213" s="167"/>
      <c r="E1213" s="167"/>
      <c r="F1213" s="167"/>
      <c r="G1213" s="167"/>
      <c r="H1213" s="167"/>
    </row>
    <row r="1214" spans="1:8">
      <c r="A1214" s="167"/>
      <c r="B1214" s="167"/>
      <c r="C1214" s="167"/>
      <c r="D1214" s="167"/>
      <c r="E1214" s="167"/>
      <c r="F1214" s="167"/>
      <c r="G1214" s="167"/>
      <c r="H1214" s="167"/>
    </row>
    <row r="1215" spans="1:8">
      <c r="A1215" s="167"/>
      <c r="B1215" s="167"/>
      <c r="C1215" s="167"/>
      <c r="D1215" s="167"/>
      <c r="E1215" s="167"/>
      <c r="F1215" s="167"/>
      <c r="G1215" s="167"/>
      <c r="H1215" s="167"/>
    </row>
    <row r="1216" spans="1:8">
      <c r="A1216" s="167"/>
      <c r="B1216" s="167"/>
      <c r="C1216" s="167"/>
      <c r="D1216" s="167"/>
      <c r="E1216" s="167"/>
      <c r="F1216" s="167"/>
      <c r="G1216" s="167"/>
      <c r="H1216" s="167"/>
    </row>
    <row r="1217" spans="1:8">
      <c r="A1217" s="167"/>
      <c r="B1217" s="167"/>
      <c r="C1217" s="167"/>
      <c r="D1217" s="167"/>
      <c r="E1217" s="167"/>
      <c r="F1217" s="167"/>
      <c r="G1217" s="167"/>
      <c r="H1217" s="167"/>
    </row>
    <row r="1218" spans="1:8">
      <c r="A1218" s="167"/>
      <c r="B1218" s="167"/>
      <c r="C1218" s="167"/>
      <c r="D1218" s="167"/>
      <c r="E1218" s="167"/>
      <c r="F1218" s="167"/>
      <c r="G1218" s="167"/>
      <c r="H1218" s="167"/>
    </row>
    <row r="1219" spans="1:8">
      <c r="A1219" s="167"/>
      <c r="B1219" s="167"/>
      <c r="C1219" s="167"/>
      <c r="D1219" s="167"/>
      <c r="E1219" s="167"/>
      <c r="F1219" s="167"/>
      <c r="G1219" s="167"/>
      <c r="H1219" s="167"/>
    </row>
    <row r="1220" spans="1:8">
      <c r="A1220" s="167"/>
      <c r="B1220" s="167"/>
      <c r="C1220" s="167"/>
      <c r="D1220" s="167"/>
      <c r="E1220" s="167"/>
      <c r="F1220" s="167"/>
      <c r="G1220" s="167"/>
      <c r="H1220" s="167"/>
    </row>
    <row r="1221" spans="1:8">
      <c r="A1221" s="167"/>
      <c r="B1221" s="167"/>
      <c r="C1221" s="167"/>
      <c r="D1221" s="167"/>
      <c r="E1221" s="167"/>
      <c r="F1221" s="167"/>
      <c r="G1221" s="167"/>
      <c r="H1221" s="167"/>
    </row>
    <row r="1222" spans="1:8">
      <c r="A1222" s="167"/>
      <c r="B1222" s="167"/>
      <c r="C1222" s="167"/>
      <c r="D1222" s="167"/>
      <c r="E1222" s="167"/>
      <c r="F1222" s="167"/>
      <c r="G1222" s="167"/>
      <c r="H1222" s="167"/>
    </row>
    <row r="1223" spans="1:8">
      <c r="A1223" s="167"/>
      <c r="B1223" s="167"/>
      <c r="C1223" s="167"/>
      <c r="D1223" s="167"/>
      <c r="E1223" s="167"/>
      <c r="F1223" s="167"/>
      <c r="G1223" s="167"/>
      <c r="H1223" s="167"/>
    </row>
    <row r="1224" spans="1:8">
      <c r="A1224" s="167"/>
      <c r="B1224" s="167"/>
      <c r="C1224" s="167"/>
      <c r="D1224" s="167"/>
      <c r="E1224" s="167"/>
      <c r="F1224" s="167"/>
      <c r="G1224" s="167"/>
      <c r="H1224" s="167"/>
    </row>
    <row r="1225" spans="1:8">
      <c r="A1225" s="167"/>
      <c r="B1225" s="167"/>
      <c r="C1225" s="167"/>
      <c r="D1225" s="167"/>
      <c r="E1225" s="167"/>
      <c r="F1225" s="167"/>
      <c r="G1225" s="167"/>
      <c r="H1225" s="167"/>
    </row>
    <row r="1226" spans="1:8">
      <c r="A1226" s="167"/>
      <c r="B1226" s="167"/>
      <c r="C1226" s="167"/>
      <c r="D1226" s="167"/>
      <c r="E1226" s="167"/>
      <c r="F1226" s="167"/>
      <c r="G1226" s="167"/>
      <c r="H1226" s="167"/>
    </row>
    <row r="1227" spans="1:8">
      <c r="A1227" s="167"/>
      <c r="B1227" s="167"/>
      <c r="C1227" s="167"/>
      <c r="D1227" s="167"/>
      <c r="E1227" s="167"/>
      <c r="F1227" s="167"/>
      <c r="G1227" s="167"/>
      <c r="H1227" s="167"/>
    </row>
    <row r="1228" spans="1:8">
      <c r="A1228" s="167"/>
      <c r="B1228" s="167"/>
      <c r="C1228" s="167"/>
      <c r="D1228" s="167"/>
      <c r="E1228" s="167"/>
      <c r="F1228" s="167"/>
      <c r="G1228" s="167"/>
      <c r="H1228" s="167"/>
    </row>
    <row r="1229" spans="1:8">
      <c r="A1229" s="167"/>
      <c r="B1229" s="167"/>
      <c r="C1229" s="167"/>
      <c r="D1229" s="167"/>
      <c r="E1229" s="167"/>
      <c r="F1229" s="167"/>
      <c r="G1229" s="167"/>
      <c r="H1229" s="167"/>
    </row>
    <row r="1230" spans="1:8">
      <c r="A1230" s="167"/>
      <c r="B1230" s="167"/>
      <c r="C1230" s="167"/>
      <c r="D1230" s="167"/>
      <c r="E1230" s="167"/>
      <c r="F1230" s="167"/>
      <c r="G1230" s="167"/>
      <c r="H1230" s="167"/>
    </row>
    <row r="1231" spans="1:8">
      <c r="A1231" s="167"/>
      <c r="B1231" s="167"/>
      <c r="C1231" s="167"/>
      <c r="D1231" s="167"/>
      <c r="E1231" s="167"/>
      <c r="F1231" s="167"/>
      <c r="G1231" s="167"/>
      <c r="H1231" s="167"/>
    </row>
    <row r="1232" spans="1:8">
      <c r="A1232" s="167"/>
      <c r="B1232" s="167"/>
      <c r="C1232" s="167"/>
      <c r="D1232" s="167"/>
      <c r="E1232" s="167"/>
      <c r="F1232" s="167"/>
      <c r="G1232" s="167"/>
      <c r="H1232" s="167"/>
    </row>
    <row r="1233" spans="1:8">
      <c r="A1233" s="167"/>
      <c r="B1233" s="167"/>
      <c r="C1233" s="167"/>
      <c r="D1233" s="167"/>
      <c r="E1233" s="167"/>
      <c r="F1233" s="167"/>
      <c r="G1233" s="167"/>
      <c r="H1233" s="167"/>
    </row>
    <row r="1234" spans="1:8">
      <c r="A1234" s="167"/>
      <c r="B1234" s="167"/>
      <c r="C1234" s="167"/>
      <c r="D1234" s="167"/>
      <c r="E1234" s="167"/>
      <c r="F1234" s="167"/>
      <c r="G1234" s="167"/>
      <c r="H1234" s="167"/>
    </row>
    <row r="1235" spans="1:8">
      <c r="A1235" s="167"/>
      <c r="B1235" s="167"/>
      <c r="C1235" s="167"/>
      <c r="D1235" s="167"/>
      <c r="E1235" s="167"/>
      <c r="F1235" s="167"/>
      <c r="G1235" s="167"/>
      <c r="H1235" s="167"/>
    </row>
    <row r="1236" spans="1:8">
      <c r="A1236" s="167"/>
      <c r="B1236" s="167"/>
      <c r="C1236" s="167"/>
      <c r="D1236" s="167"/>
      <c r="E1236" s="167"/>
      <c r="F1236" s="167"/>
      <c r="G1236" s="167"/>
      <c r="H1236" s="167"/>
    </row>
    <row r="1237" spans="1:8">
      <c r="A1237" s="167"/>
      <c r="B1237" s="167"/>
      <c r="C1237" s="167"/>
      <c r="D1237" s="167"/>
      <c r="E1237" s="167"/>
      <c r="F1237" s="167"/>
      <c r="G1237" s="167"/>
      <c r="H1237" s="167"/>
    </row>
    <row r="1238" spans="1:8">
      <c r="A1238" s="167"/>
      <c r="B1238" s="167"/>
      <c r="C1238" s="167"/>
      <c r="D1238" s="167"/>
      <c r="E1238" s="167"/>
      <c r="F1238" s="167"/>
      <c r="G1238" s="167"/>
      <c r="H1238" s="167"/>
    </row>
    <row r="1239" spans="1:8">
      <c r="A1239" s="167"/>
      <c r="B1239" s="167"/>
      <c r="C1239" s="167"/>
      <c r="D1239" s="167"/>
      <c r="E1239" s="167"/>
      <c r="F1239" s="167"/>
      <c r="G1239" s="167"/>
      <c r="H1239" s="167"/>
    </row>
    <row r="1240" spans="1:8">
      <c r="A1240" s="167"/>
      <c r="B1240" s="167"/>
      <c r="C1240" s="167"/>
      <c r="D1240" s="167"/>
      <c r="E1240" s="167"/>
      <c r="F1240" s="167"/>
      <c r="G1240" s="167"/>
      <c r="H1240" s="167"/>
    </row>
    <row r="1241" spans="1:8">
      <c r="A1241" s="167"/>
      <c r="B1241" s="167"/>
      <c r="C1241" s="167"/>
      <c r="D1241" s="167"/>
      <c r="E1241" s="167"/>
      <c r="F1241" s="167"/>
      <c r="G1241" s="167"/>
      <c r="H1241" s="167"/>
    </row>
    <row r="1242" spans="1:8">
      <c r="A1242" s="167"/>
      <c r="B1242" s="167"/>
      <c r="C1242" s="167"/>
      <c r="D1242" s="167"/>
      <c r="E1242" s="167"/>
      <c r="F1242" s="167"/>
      <c r="G1242" s="167"/>
      <c r="H1242" s="167"/>
    </row>
    <row r="1243" spans="1:8">
      <c r="A1243" s="167"/>
      <c r="B1243" s="167"/>
      <c r="C1243" s="167"/>
      <c r="D1243" s="167"/>
      <c r="E1243" s="167"/>
      <c r="F1243" s="167"/>
      <c r="G1243" s="167"/>
      <c r="H1243" s="167"/>
    </row>
    <row r="1244" spans="1:8">
      <c r="A1244" s="167"/>
      <c r="B1244" s="167"/>
      <c r="C1244" s="167"/>
      <c r="D1244" s="167"/>
      <c r="E1244" s="167"/>
      <c r="F1244" s="167"/>
      <c r="G1244" s="167"/>
      <c r="H1244" s="167"/>
    </row>
    <row r="1245" spans="1:8">
      <c r="A1245" s="167"/>
      <c r="B1245" s="167"/>
      <c r="C1245" s="167"/>
      <c r="D1245" s="167"/>
      <c r="E1245" s="167"/>
      <c r="F1245" s="167"/>
      <c r="G1245" s="167"/>
      <c r="H1245" s="167"/>
    </row>
    <row r="1246" spans="1:8">
      <c r="A1246" s="167"/>
      <c r="B1246" s="167"/>
      <c r="C1246" s="167"/>
      <c r="D1246" s="167"/>
      <c r="E1246" s="167"/>
      <c r="F1246" s="167"/>
      <c r="G1246" s="167"/>
      <c r="H1246" s="167"/>
    </row>
    <row r="1247" spans="1:8">
      <c r="A1247" s="167"/>
      <c r="B1247" s="167"/>
      <c r="C1247" s="167"/>
      <c r="D1247" s="167"/>
      <c r="E1247" s="167"/>
      <c r="F1247" s="167"/>
      <c r="G1247" s="167"/>
      <c r="H1247" s="167"/>
    </row>
    <row r="1248" spans="1:8">
      <c r="A1248" s="167"/>
      <c r="B1248" s="167"/>
      <c r="C1248" s="167"/>
      <c r="D1248" s="167"/>
      <c r="E1248" s="167"/>
      <c r="F1248" s="167"/>
      <c r="G1248" s="167"/>
      <c r="H1248" s="167"/>
    </row>
    <row r="1249" spans="1:8">
      <c r="A1249" s="167"/>
      <c r="B1249" s="167"/>
      <c r="C1249" s="167"/>
      <c r="D1249" s="167"/>
      <c r="E1249" s="167"/>
      <c r="F1249" s="167"/>
      <c r="G1249" s="167"/>
      <c r="H1249" s="167"/>
    </row>
    <row r="1250" spans="1:8">
      <c r="A1250" s="167"/>
      <c r="B1250" s="167"/>
      <c r="C1250" s="167"/>
      <c r="D1250" s="167"/>
      <c r="E1250" s="167"/>
      <c r="F1250" s="167"/>
      <c r="G1250" s="167"/>
      <c r="H1250" s="167"/>
    </row>
    <row r="1251" spans="1:8">
      <c r="A1251" s="167"/>
      <c r="B1251" s="167"/>
      <c r="C1251" s="167"/>
      <c r="D1251" s="167"/>
      <c r="E1251" s="167"/>
      <c r="F1251" s="167"/>
      <c r="G1251" s="167"/>
      <c r="H1251" s="167"/>
    </row>
    <row r="1252" spans="1:8">
      <c r="A1252" s="167"/>
      <c r="B1252" s="167"/>
      <c r="C1252" s="167"/>
      <c r="D1252" s="167"/>
      <c r="E1252" s="167"/>
      <c r="F1252" s="167"/>
      <c r="G1252" s="167"/>
      <c r="H1252" s="167"/>
    </row>
    <row r="1253" spans="1:8">
      <c r="A1253" s="167"/>
      <c r="B1253" s="167"/>
      <c r="C1253" s="167"/>
      <c r="D1253" s="167"/>
      <c r="E1253" s="167"/>
      <c r="F1253" s="167"/>
      <c r="G1253" s="167"/>
      <c r="H1253" s="167"/>
    </row>
    <row r="1254" spans="1:8">
      <c r="A1254" s="167"/>
      <c r="B1254" s="167"/>
      <c r="C1254" s="167"/>
      <c r="D1254" s="167"/>
      <c r="E1254" s="167"/>
      <c r="F1254" s="167"/>
      <c r="G1254" s="167"/>
      <c r="H1254" s="167"/>
    </row>
    <row r="1255" spans="1:8">
      <c r="A1255" s="167"/>
      <c r="B1255" s="167"/>
      <c r="C1255" s="167"/>
      <c r="D1255" s="167"/>
      <c r="E1255" s="167"/>
      <c r="F1255" s="167"/>
      <c r="G1255" s="167"/>
      <c r="H1255" s="167"/>
    </row>
    <row r="1256" spans="1:8">
      <c r="A1256" s="167"/>
      <c r="B1256" s="167"/>
      <c r="C1256" s="167"/>
      <c r="D1256" s="167"/>
      <c r="E1256" s="167"/>
      <c r="F1256" s="167"/>
      <c r="G1256" s="167"/>
      <c r="H1256" s="167"/>
    </row>
    <row r="1257" spans="1:8">
      <c r="A1257" s="167"/>
      <c r="B1257" s="167"/>
      <c r="C1257" s="167"/>
      <c r="D1257" s="167"/>
      <c r="E1257" s="167"/>
      <c r="F1257" s="167"/>
      <c r="G1257" s="167"/>
      <c r="H1257" s="167"/>
    </row>
    <row r="1258" spans="1:8">
      <c r="A1258" s="167"/>
      <c r="B1258" s="167"/>
      <c r="C1258" s="167"/>
      <c r="D1258" s="167"/>
      <c r="E1258" s="167"/>
      <c r="F1258" s="167"/>
      <c r="G1258" s="167"/>
      <c r="H1258" s="167"/>
    </row>
    <row r="1259" spans="1:8">
      <c r="A1259" s="167"/>
      <c r="B1259" s="167"/>
      <c r="C1259" s="167"/>
      <c r="D1259" s="167"/>
      <c r="E1259" s="167"/>
      <c r="F1259" s="167"/>
      <c r="G1259" s="167"/>
      <c r="H1259" s="167"/>
    </row>
    <row r="1260" spans="1:8">
      <c r="A1260" s="167"/>
      <c r="B1260" s="167"/>
      <c r="C1260" s="167"/>
      <c r="D1260" s="167"/>
      <c r="E1260" s="167"/>
      <c r="F1260" s="167"/>
      <c r="G1260" s="167"/>
      <c r="H1260" s="167"/>
    </row>
    <row r="1261" spans="1:8">
      <c r="A1261" s="167"/>
      <c r="B1261" s="167"/>
      <c r="C1261" s="167"/>
      <c r="D1261" s="167"/>
      <c r="E1261" s="167"/>
      <c r="F1261" s="167"/>
      <c r="G1261" s="167"/>
      <c r="H1261" s="167"/>
    </row>
    <row r="1262" spans="1:8">
      <c r="A1262" s="167"/>
      <c r="B1262" s="167"/>
      <c r="C1262" s="167"/>
      <c r="D1262" s="167"/>
      <c r="E1262" s="167"/>
      <c r="F1262" s="167"/>
      <c r="G1262" s="167"/>
      <c r="H1262" s="167"/>
    </row>
    <row r="1263" spans="1:8">
      <c r="A1263" s="167"/>
      <c r="B1263" s="167"/>
      <c r="C1263" s="167"/>
      <c r="D1263" s="167"/>
      <c r="E1263" s="167"/>
      <c r="F1263" s="167"/>
      <c r="G1263" s="167"/>
      <c r="H1263" s="167"/>
    </row>
    <row r="1264" spans="1:8">
      <c r="A1264" s="167"/>
      <c r="B1264" s="167"/>
      <c r="C1264" s="167"/>
      <c r="D1264" s="167"/>
      <c r="E1264" s="167"/>
      <c r="F1264" s="167"/>
      <c r="G1264" s="167"/>
      <c r="H1264" s="167"/>
    </row>
    <row r="1265" spans="1:8">
      <c r="A1265" s="167"/>
      <c r="B1265" s="167"/>
      <c r="C1265" s="167"/>
      <c r="D1265" s="167"/>
      <c r="E1265" s="167"/>
      <c r="F1265" s="167"/>
      <c r="G1265" s="167"/>
      <c r="H1265" s="167"/>
    </row>
    <row r="1266" spans="1:8">
      <c r="A1266" s="167"/>
      <c r="B1266" s="167"/>
      <c r="C1266" s="167"/>
      <c r="D1266" s="167"/>
      <c r="E1266" s="167"/>
      <c r="F1266" s="167"/>
      <c r="G1266" s="167"/>
      <c r="H1266" s="167"/>
    </row>
    <row r="1267" spans="1:8">
      <c r="A1267" s="167"/>
      <c r="B1267" s="167"/>
      <c r="C1267" s="167"/>
      <c r="D1267" s="167"/>
      <c r="E1267" s="167"/>
      <c r="F1267" s="167"/>
      <c r="G1267" s="167"/>
      <c r="H1267" s="167"/>
    </row>
    <row r="1268" spans="1:8">
      <c r="A1268" s="167"/>
      <c r="B1268" s="167"/>
      <c r="C1268" s="167"/>
      <c r="D1268" s="167"/>
      <c r="E1268" s="167"/>
      <c r="F1268" s="167"/>
      <c r="G1268" s="167"/>
      <c r="H1268" s="167"/>
    </row>
    <row r="1269" spans="1:8">
      <c r="A1269" s="167"/>
      <c r="B1269" s="167"/>
      <c r="C1269" s="167"/>
      <c r="D1269" s="167"/>
      <c r="E1269" s="167"/>
      <c r="F1269" s="167"/>
      <c r="G1269" s="167"/>
      <c r="H1269" s="167"/>
    </row>
    <row r="1270" spans="1:8">
      <c r="A1270" s="167"/>
      <c r="B1270" s="167"/>
      <c r="C1270" s="167"/>
      <c r="D1270" s="167"/>
      <c r="E1270" s="167"/>
      <c r="F1270" s="167"/>
      <c r="G1270" s="167"/>
      <c r="H1270" s="167"/>
    </row>
    <row r="1271" spans="1:8">
      <c r="A1271" s="167"/>
      <c r="B1271" s="167"/>
      <c r="C1271" s="167"/>
      <c r="D1271" s="167"/>
      <c r="E1271" s="167"/>
      <c r="F1271" s="167"/>
      <c r="G1271" s="167"/>
      <c r="H1271" s="167"/>
    </row>
    <row r="1272" spans="1:8">
      <c r="A1272" s="167"/>
      <c r="B1272" s="167"/>
      <c r="C1272" s="167"/>
      <c r="D1272" s="167"/>
      <c r="E1272" s="167"/>
      <c r="F1272" s="167"/>
      <c r="G1272" s="167"/>
      <c r="H1272" s="167"/>
    </row>
    <row r="1273" spans="1:8">
      <c r="A1273" s="167"/>
      <c r="B1273" s="167"/>
      <c r="C1273" s="167"/>
      <c r="D1273" s="167"/>
      <c r="E1273" s="167"/>
      <c r="F1273" s="167"/>
      <c r="G1273" s="167"/>
      <c r="H1273" s="167"/>
    </row>
    <row r="1274" spans="1:8">
      <c r="A1274" s="167"/>
      <c r="B1274" s="167"/>
      <c r="C1274" s="167"/>
      <c r="D1274" s="167"/>
      <c r="E1274" s="167"/>
      <c r="F1274" s="167"/>
      <c r="G1274" s="167"/>
      <c r="H1274" s="167"/>
    </row>
    <row r="1275" spans="1:8">
      <c r="A1275" s="167"/>
      <c r="B1275" s="167"/>
      <c r="C1275" s="167"/>
      <c r="D1275" s="167"/>
      <c r="E1275" s="167"/>
      <c r="F1275" s="167"/>
      <c r="G1275" s="167"/>
      <c r="H1275" s="167"/>
    </row>
    <row r="1276" spans="1:8">
      <c r="A1276" s="167"/>
      <c r="B1276" s="167"/>
      <c r="C1276" s="167"/>
      <c r="D1276" s="167"/>
      <c r="E1276" s="167"/>
      <c r="F1276" s="167"/>
      <c r="G1276" s="167"/>
      <c r="H1276" s="167"/>
    </row>
    <row r="1277" spans="1:8">
      <c r="A1277" s="167"/>
      <c r="B1277" s="167"/>
      <c r="C1277" s="167"/>
      <c r="D1277" s="167"/>
      <c r="E1277" s="167"/>
      <c r="F1277" s="167"/>
      <c r="G1277" s="167"/>
      <c r="H1277" s="167"/>
    </row>
    <row r="1278" spans="1:8">
      <c r="A1278" s="167"/>
      <c r="B1278" s="167"/>
      <c r="C1278" s="167"/>
      <c r="D1278" s="167"/>
      <c r="E1278" s="167"/>
      <c r="F1278" s="167"/>
      <c r="G1278" s="167"/>
      <c r="H1278" s="167"/>
    </row>
    <row r="1279" spans="1:8">
      <c r="A1279" s="167"/>
      <c r="B1279" s="167"/>
      <c r="C1279" s="167"/>
      <c r="D1279" s="167"/>
      <c r="E1279" s="167"/>
      <c r="F1279" s="167"/>
      <c r="G1279" s="167"/>
      <c r="H1279" s="167"/>
    </row>
    <row r="1280" spans="1:8">
      <c r="A1280" s="167"/>
      <c r="B1280" s="167"/>
      <c r="C1280" s="167"/>
      <c r="D1280" s="167"/>
      <c r="E1280" s="167"/>
      <c r="F1280" s="167"/>
      <c r="G1280" s="167"/>
      <c r="H1280" s="167"/>
    </row>
    <row r="1281" spans="1:8">
      <c r="A1281" s="167"/>
      <c r="B1281" s="167"/>
      <c r="C1281" s="167"/>
      <c r="D1281" s="167"/>
      <c r="E1281" s="167"/>
      <c r="F1281" s="167"/>
      <c r="G1281" s="167"/>
      <c r="H1281" s="167"/>
    </row>
    <row r="1282" spans="1:8">
      <c r="A1282" s="167"/>
      <c r="B1282" s="167"/>
      <c r="C1282" s="167"/>
      <c r="D1282" s="167"/>
      <c r="E1282" s="167"/>
      <c r="F1282" s="167"/>
      <c r="G1282" s="167"/>
      <c r="H1282" s="167"/>
    </row>
    <row r="1283" spans="1:8">
      <c r="A1283" s="167"/>
      <c r="B1283" s="167"/>
      <c r="C1283" s="167"/>
      <c r="D1283" s="167"/>
      <c r="E1283" s="167"/>
      <c r="F1283" s="167"/>
      <c r="G1283" s="167"/>
      <c r="H1283" s="167"/>
    </row>
    <row r="1284" spans="1:8">
      <c r="A1284" s="167"/>
      <c r="B1284" s="167"/>
      <c r="C1284" s="167"/>
      <c r="D1284" s="167"/>
      <c r="E1284" s="167"/>
      <c r="F1284" s="167"/>
      <c r="G1284" s="167"/>
      <c r="H1284" s="167"/>
    </row>
    <row r="1285" spans="1:8">
      <c r="A1285" s="167"/>
      <c r="B1285" s="167"/>
      <c r="C1285" s="167"/>
      <c r="D1285" s="167"/>
      <c r="E1285" s="167"/>
      <c r="F1285" s="167"/>
      <c r="G1285" s="167"/>
      <c r="H1285" s="167"/>
    </row>
    <row r="1286" spans="1:8">
      <c r="A1286" s="167"/>
      <c r="B1286" s="167"/>
      <c r="C1286" s="167"/>
      <c r="D1286" s="167"/>
      <c r="E1286" s="167"/>
      <c r="F1286" s="167"/>
      <c r="G1286" s="167"/>
      <c r="H1286" s="167"/>
    </row>
    <row r="1287" spans="1:8">
      <c r="A1287" s="167"/>
      <c r="B1287" s="167"/>
      <c r="C1287" s="167"/>
      <c r="D1287" s="167"/>
      <c r="E1287" s="167"/>
      <c r="F1287" s="167"/>
      <c r="G1287" s="167"/>
      <c r="H1287" s="167"/>
    </row>
    <row r="1288" spans="1:8">
      <c r="A1288" s="167"/>
      <c r="B1288" s="167"/>
      <c r="C1288" s="167"/>
      <c r="D1288" s="167"/>
      <c r="E1288" s="167"/>
      <c r="F1288" s="167"/>
      <c r="G1288" s="167"/>
      <c r="H1288" s="167"/>
    </row>
    <row r="1289" spans="1:8">
      <c r="A1289" s="167"/>
      <c r="B1289" s="167"/>
      <c r="C1289" s="167"/>
      <c r="D1289" s="167"/>
      <c r="E1289" s="167"/>
      <c r="F1289" s="167"/>
      <c r="G1289" s="167"/>
      <c r="H1289" s="167"/>
    </row>
    <row r="1290" spans="1:8">
      <c r="A1290" s="167"/>
      <c r="B1290" s="167"/>
      <c r="C1290" s="167"/>
      <c r="D1290" s="167"/>
      <c r="E1290" s="167"/>
      <c r="F1290" s="167"/>
      <c r="G1290" s="167"/>
      <c r="H1290" s="167"/>
    </row>
    <row r="1291" spans="1:8">
      <c r="A1291" s="167"/>
      <c r="B1291" s="167"/>
      <c r="C1291" s="167"/>
      <c r="D1291" s="167"/>
      <c r="E1291" s="167"/>
      <c r="F1291" s="167"/>
      <c r="G1291" s="167"/>
      <c r="H1291" s="167"/>
    </row>
    <row r="1292" spans="1:8">
      <c r="A1292" s="167"/>
      <c r="B1292" s="167"/>
      <c r="C1292" s="167"/>
      <c r="D1292" s="167"/>
      <c r="E1292" s="167"/>
      <c r="F1292" s="167"/>
      <c r="G1292" s="167"/>
      <c r="H1292" s="167"/>
    </row>
    <row r="1293" spans="1:8">
      <c r="A1293" s="167"/>
      <c r="B1293" s="167"/>
      <c r="C1293" s="167"/>
      <c r="D1293" s="167"/>
      <c r="E1293" s="167"/>
      <c r="F1293" s="167"/>
      <c r="G1293" s="167"/>
      <c r="H1293" s="167"/>
    </row>
    <row r="1294" spans="1:8">
      <c r="A1294" s="167"/>
      <c r="B1294" s="167"/>
      <c r="C1294" s="167"/>
      <c r="D1294" s="167"/>
      <c r="E1294" s="167"/>
      <c r="F1294" s="167"/>
      <c r="G1294" s="167"/>
      <c r="H1294" s="167"/>
    </row>
    <row r="1295" spans="1:8">
      <c r="A1295" s="167"/>
      <c r="B1295" s="167"/>
      <c r="C1295" s="167"/>
      <c r="D1295" s="167"/>
      <c r="E1295" s="167"/>
      <c r="F1295" s="167"/>
      <c r="G1295" s="167"/>
      <c r="H1295" s="167"/>
    </row>
    <row r="1296" spans="1:8">
      <c r="A1296" s="167"/>
      <c r="B1296" s="167"/>
      <c r="C1296" s="167"/>
      <c r="D1296" s="167"/>
      <c r="E1296" s="167"/>
      <c r="F1296" s="167"/>
      <c r="G1296" s="167"/>
      <c r="H1296" s="167"/>
    </row>
    <row r="1297" spans="1:8">
      <c r="A1297" s="167"/>
      <c r="B1297" s="167"/>
      <c r="C1297" s="167"/>
      <c r="D1297" s="167"/>
      <c r="E1297" s="167"/>
      <c r="F1297" s="167"/>
      <c r="G1297" s="167"/>
      <c r="H1297" s="167"/>
    </row>
    <row r="1298" spans="1:8">
      <c r="A1298" s="167"/>
      <c r="B1298" s="167"/>
      <c r="C1298" s="167"/>
      <c r="D1298" s="167"/>
      <c r="E1298" s="167"/>
      <c r="F1298" s="167"/>
      <c r="G1298" s="167"/>
      <c r="H1298" s="167"/>
    </row>
    <row r="1299" spans="1:8">
      <c r="A1299" s="167"/>
      <c r="B1299" s="167"/>
      <c r="C1299" s="167"/>
      <c r="D1299" s="167"/>
      <c r="E1299" s="167"/>
      <c r="F1299" s="167"/>
      <c r="G1299" s="167"/>
      <c r="H1299" s="167"/>
    </row>
    <row r="1300" spans="1:8">
      <c r="A1300" s="167"/>
      <c r="B1300" s="167"/>
      <c r="C1300" s="167"/>
      <c r="D1300" s="167"/>
      <c r="E1300" s="167"/>
      <c r="F1300" s="167"/>
      <c r="G1300" s="167"/>
      <c r="H1300" s="167"/>
    </row>
    <row r="1301" spans="1:8">
      <c r="A1301" s="167"/>
      <c r="B1301" s="167"/>
      <c r="C1301" s="167"/>
      <c r="D1301" s="167"/>
      <c r="E1301" s="167"/>
      <c r="F1301" s="167"/>
      <c r="G1301" s="167"/>
      <c r="H1301" s="167"/>
    </row>
    <row r="1302" spans="1:8">
      <c r="A1302" s="167"/>
      <c r="B1302" s="167"/>
      <c r="C1302" s="167"/>
      <c r="D1302" s="167"/>
      <c r="E1302" s="167"/>
      <c r="F1302" s="167"/>
      <c r="G1302" s="167"/>
      <c r="H1302" s="167"/>
    </row>
    <row r="1303" spans="1:8">
      <c r="A1303" s="167"/>
      <c r="B1303" s="167"/>
      <c r="C1303" s="167"/>
      <c r="D1303" s="167"/>
      <c r="E1303" s="167"/>
      <c r="F1303" s="167"/>
      <c r="G1303" s="167"/>
      <c r="H1303" s="167"/>
    </row>
    <row r="1304" spans="1:8">
      <c r="A1304" s="167"/>
      <c r="B1304" s="167"/>
      <c r="C1304" s="167"/>
      <c r="D1304" s="167"/>
      <c r="E1304" s="167"/>
      <c r="F1304" s="167"/>
      <c r="G1304" s="167"/>
      <c r="H1304" s="167"/>
    </row>
    <row r="1305" spans="1:8">
      <c r="A1305" s="167"/>
      <c r="B1305" s="167"/>
      <c r="C1305" s="167"/>
      <c r="D1305" s="167"/>
      <c r="E1305" s="167"/>
      <c r="F1305" s="167"/>
      <c r="G1305" s="167"/>
      <c r="H1305" s="167"/>
    </row>
    <row r="1306" spans="1:8">
      <c r="A1306" s="167"/>
      <c r="B1306" s="167"/>
      <c r="C1306" s="167"/>
      <c r="D1306" s="167"/>
      <c r="E1306" s="167"/>
      <c r="F1306" s="167"/>
      <c r="G1306" s="167"/>
      <c r="H1306" s="167"/>
    </row>
    <row r="1307" spans="1:8">
      <c r="A1307" s="167"/>
      <c r="B1307" s="167"/>
      <c r="C1307" s="167"/>
      <c r="D1307" s="167"/>
      <c r="E1307" s="167"/>
      <c r="F1307" s="167"/>
      <c r="G1307" s="167"/>
      <c r="H1307" s="167"/>
    </row>
    <row r="1308" spans="1:8">
      <c r="A1308" s="167"/>
      <c r="B1308" s="167"/>
      <c r="C1308" s="167"/>
      <c r="D1308" s="167"/>
      <c r="E1308" s="167"/>
      <c r="F1308" s="167"/>
      <c r="G1308" s="167"/>
      <c r="H1308" s="167"/>
    </row>
    <row r="1309" spans="1:8">
      <c r="A1309" s="167"/>
      <c r="B1309" s="167"/>
      <c r="C1309" s="167"/>
      <c r="D1309" s="167"/>
      <c r="E1309" s="167"/>
      <c r="F1309" s="167"/>
      <c r="G1309" s="167"/>
      <c r="H1309" s="167"/>
    </row>
    <row r="1310" spans="1:8">
      <c r="A1310" s="167"/>
      <c r="B1310" s="167"/>
      <c r="C1310" s="167"/>
      <c r="D1310" s="167"/>
      <c r="E1310" s="167"/>
      <c r="F1310" s="167"/>
      <c r="G1310" s="167"/>
      <c r="H1310" s="167"/>
    </row>
    <row r="1311" spans="1:8">
      <c r="A1311" s="167"/>
      <c r="B1311" s="167"/>
      <c r="C1311" s="167"/>
      <c r="D1311" s="167"/>
      <c r="E1311" s="167"/>
      <c r="F1311" s="167"/>
      <c r="G1311" s="167"/>
      <c r="H1311" s="167"/>
    </row>
    <row r="1312" spans="1:8">
      <c r="A1312" s="167"/>
      <c r="B1312" s="167"/>
      <c r="C1312" s="167"/>
      <c r="D1312" s="167"/>
      <c r="E1312" s="167"/>
      <c r="F1312" s="167"/>
      <c r="G1312" s="167"/>
      <c r="H1312" s="167"/>
    </row>
    <row r="1313" spans="1:8">
      <c r="A1313" s="167"/>
      <c r="B1313" s="167"/>
      <c r="C1313" s="167"/>
      <c r="D1313" s="167"/>
      <c r="E1313" s="167"/>
      <c r="F1313" s="167"/>
      <c r="G1313" s="167"/>
      <c r="H1313" s="167"/>
    </row>
    <row r="1314" spans="1:8">
      <c r="A1314" s="167"/>
      <c r="B1314" s="167"/>
      <c r="C1314" s="167"/>
      <c r="D1314" s="167"/>
      <c r="E1314" s="167"/>
      <c r="F1314" s="167"/>
      <c r="G1314" s="167"/>
      <c r="H1314" s="167"/>
    </row>
    <row r="1315" spans="1:8">
      <c r="A1315" s="167"/>
      <c r="B1315" s="167"/>
      <c r="C1315" s="167"/>
      <c r="D1315" s="167"/>
      <c r="E1315" s="167"/>
      <c r="F1315" s="167"/>
      <c r="G1315" s="167"/>
      <c r="H1315" s="167"/>
    </row>
    <row r="1316" spans="1:8">
      <c r="A1316" s="167"/>
      <c r="B1316" s="167"/>
      <c r="C1316" s="167"/>
      <c r="D1316" s="167"/>
      <c r="E1316" s="167"/>
      <c r="F1316" s="167"/>
      <c r="G1316" s="167"/>
      <c r="H1316" s="167"/>
    </row>
    <row r="1317" spans="1:8">
      <c r="A1317" s="167"/>
      <c r="B1317" s="167"/>
      <c r="C1317" s="167"/>
      <c r="D1317" s="167"/>
      <c r="E1317" s="167"/>
      <c r="F1317" s="167"/>
      <c r="G1317" s="167"/>
      <c r="H1317" s="167"/>
    </row>
    <row r="1318" spans="1:8">
      <c r="A1318" s="167"/>
      <c r="B1318" s="167"/>
      <c r="C1318" s="167"/>
      <c r="D1318" s="167"/>
      <c r="E1318" s="167"/>
      <c r="F1318" s="167"/>
      <c r="G1318" s="167"/>
      <c r="H1318" s="167"/>
    </row>
    <row r="1319" spans="1:8">
      <c r="A1319" s="167"/>
      <c r="B1319" s="167"/>
      <c r="C1319" s="167"/>
      <c r="D1319" s="167"/>
      <c r="E1319" s="167"/>
      <c r="F1319" s="167"/>
      <c r="G1319" s="167"/>
      <c r="H1319" s="167"/>
    </row>
    <row r="1320" spans="1:8">
      <c r="A1320" s="167"/>
      <c r="B1320" s="167"/>
      <c r="C1320" s="167"/>
      <c r="D1320" s="167"/>
      <c r="E1320" s="167"/>
      <c r="F1320" s="167"/>
      <c r="G1320" s="167"/>
      <c r="H1320" s="167"/>
    </row>
    <row r="1321" spans="1:8">
      <c r="A1321" s="167"/>
      <c r="B1321" s="167"/>
      <c r="C1321" s="167"/>
      <c r="D1321" s="167"/>
      <c r="E1321" s="167"/>
      <c r="F1321" s="167"/>
      <c r="G1321" s="167"/>
      <c r="H1321" s="167"/>
    </row>
    <row r="1322" spans="1:8">
      <c r="A1322" s="167"/>
      <c r="B1322" s="167"/>
      <c r="C1322" s="167"/>
      <c r="D1322" s="167"/>
      <c r="E1322" s="167"/>
      <c r="F1322" s="167"/>
      <c r="G1322" s="167"/>
      <c r="H1322" s="167"/>
    </row>
    <row r="1323" spans="1:8">
      <c r="A1323" s="167"/>
      <c r="B1323" s="167"/>
      <c r="C1323" s="167"/>
      <c r="D1323" s="167"/>
      <c r="E1323" s="167"/>
      <c r="F1323" s="167"/>
      <c r="G1323" s="167"/>
      <c r="H1323" s="167"/>
    </row>
    <row r="1324" spans="1:8">
      <c r="A1324" s="167"/>
      <c r="B1324" s="167"/>
      <c r="C1324" s="167"/>
      <c r="D1324" s="167"/>
      <c r="E1324" s="167"/>
      <c r="F1324" s="167"/>
      <c r="G1324" s="167"/>
      <c r="H1324" s="167"/>
    </row>
    <row r="1325" spans="1:8">
      <c r="A1325" s="167"/>
      <c r="B1325" s="167"/>
      <c r="C1325" s="167"/>
      <c r="D1325" s="167"/>
      <c r="E1325" s="167"/>
      <c r="F1325" s="167"/>
      <c r="G1325" s="167"/>
      <c r="H1325" s="167"/>
    </row>
    <row r="1326" spans="1:8">
      <c r="A1326" s="167"/>
      <c r="B1326" s="167"/>
      <c r="C1326" s="167"/>
      <c r="D1326" s="167"/>
      <c r="E1326" s="167"/>
      <c r="F1326" s="167"/>
      <c r="G1326" s="167"/>
      <c r="H1326" s="167"/>
    </row>
    <row r="1327" spans="1:8">
      <c r="A1327" s="167"/>
      <c r="B1327" s="167"/>
      <c r="C1327" s="167"/>
      <c r="D1327" s="167"/>
      <c r="E1327" s="167"/>
      <c r="F1327" s="167"/>
      <c r="G1327" s="167"/>
      <c r="H1327" s="167"/>
    </row>
    <row r="1328" spans="1:8">
      <c r="A1328" s="167"/>
      <c r="B1328" s="167"/>
      <c r="C1328" s="167"/>
      <c r="D1328" s="167"/>
      <c r="E1328" s="167"/>
      <c r="F1328" s="167"/>
      <c r="G1328" s="167"/>
      <c r="H1328" s="167"/>
    </row>
    <row r="1329" spans="1:8">
      <c r="A1329" s="167"/>
      <c r="B1329" s="167"/>
      <c r="C1329" s="167"/>
      <c r="D1329" s="167"/>
      <c r="E1329" s="167"/>
      <c r="F1329" s="167"/>
      <c r="G1329" s="167"/>
      <c r="H1329" s="167"/>
    </row>
    <row r="1330" spans="1:8">
      <c r="A1330" s="167"/>
      <c r="B1330" s="167"/>
      <c r="C1330" s="167"/>
      <c r="D1330" s="167"/>
      <c r="E1330" s="167"/>
      <c r="F1330" s="167"/>
      <c r="G1330" s="167"/>
      <c r="H1330" s="167"/>
    </row>
    <row r="1331" spans="1:8">
      <c r="A1331" s="167"/>
      <c r="B1331" s="167"/>
      <c r="C1331" s="167"/>
      <c r="D1331" s="167"/>
      <c r="E1331" s="167"/>
      <c r="F1331" s="167"/>
      <c r="G1331" s="167"/>
      <c r="H1331" s="167"/>
    </row>
    <row r="1332" spans="1:8">
      <c r="A1332" s="167"/>
      <c r="B1332" s="167"/>
      <c r="C1332" s="167"/>
      <c r="D1332" s="167"/>
      <c r="E1332" s="167"/>
      <c r="F1332" s="167"/>
      <c r="G1332" s="167"/>
      <c r="H1332" s="167"/>
    </row>
    <row r="1333" spans="1:8">
      <c r="A1333" s="167"/>
      <c r="B1333" s="167"/>
      <c r="C1333" s="167"/>
      <c r="D1333" s="167"/>
      <c r="E1333" s="167"/>
      <c r="F1333" s="167"/>
      <c r="G1333" s="167"/>
      <c r="H1333" s="167"/>
    </row>
    <row r="1334" spans="1:8">
      <c r="A1334" s="167"/>
      <c r="B1334" s="167"/>
      <c r="C1334" s="167"/>
      <c r="D1334" s="167"/>
      <c r="E1334" s="167"/>
      <c r="F1334" s="167"/>
      <c r="G1334" s="167"/>
      <c r="H1334" s="167"/>
    </row>
    <row r="1335" spans="1:8">
      <c r="A1335" s="167"/>
      <c r="B1335" s="167"/>
      <c r="C1335" s="167"/>
      <c r="D1335" s="167"/>
      <c r="E1335" s="167"/>
      <c r="F1335" s="167"/>
      <c r="G1335" s="167"/>
      <c r="H1335" s="167"/>
    </row>
    <row r="1336" spans="1:8">
      <c r="A1336" s="167"/>
      <c r="B1336" s="167"/>
      <c r="C1336" s="167"/>
      <c r="D1336" s="167"/>
      <c r="E1336" s="167"/>
      <c r="F1336" s="167"/>
      <c r="G1336" s="167"/>
      <c r="H1336" s="167"/>
    </row>
    <row r="1337" spans="1:8">
      <c r="A1337" s="167"/>
      <c r="B1337" s="167"/>
      <c r="C1337" s="167"/>
      <c r="D1337" s="167"/>
      <c r="E1337" s="167"/>
      <c r="F1337" s="167"/>
      <c r="G1337" s="167"/>
      <c r="H1337" s="167"/>
    </row>
    <row r="1338" spans="1:8">
      <c r="A1338" s="167"/>
      <c r="B1338" s="167"/>
      <c r="C1338" s="167"/>
      <c r="D1338" s="167"/>
      <c r="E1338" s="167"/>
      <c r="F1338" s="167"/>
      <c r="G1338" s="167"/>
      <c r="H1338" s="167"/>
    </row>
    <row r="1339" spans="1:8">
      <c r="A1339" s="167"/>
      <c r="B1339" s="167"/>
      <c r="C1339" s="167"/>
      <c r="D1339" s="167"/>
      <c r="E1339" s="167"/>
      <c r="F1339" s="167"/>
      <c r="G1339" s="167"/>
      <c r="H1339" s="167"/>
    </row>
    <row r="1340" spans="1:8">
      <c r="A1340" s="167"/>
      <c r="B1340" s="167"/>
      <c r="C1340" s="167"/>
      <c r="D1340" s="167"/>
      <c r="E1340" s="167"/>
      <c r="F1340" s="167"/>
      <c r="G1340" s="167"/>
      <c r="H1340" s="167"/>
    </row>
    <row r="1341" spans="1:8">
      <c r="A1341" s="167"/>
      <c r="B1341" s="167"/>
      <c r="C1341" s="167"/>
      <c r="D1341" s="167"/>
      <c r="E1341" s="167"/>
      <c r="F1341" s="167"/>
      <c r="G1341" s="167"/>
      <c r="H1341" s="167"/>
    </row>
    <row r="1342" spans="1:8">
      <c r="A1342" s="167"/>
      <c r="B1342" s="167"/>
      <c r="C1342" s="167"/>
      <c r="D1342" s="167"/>
      <c r="E1342" s="167"/>
      <c r="F1342" s="167"/>
      <c r="G1342" s="167"/>
      <c r="H1342" s="167"/>
    </row>
    <row r="1343" spans="1:8">
      <c r="A1343" s="167"/>
      <c r="B1343" s="167"/>
      <c r="C1343" s="167"/>
      <c r="D1343" s="167"/>
      <c r="E1343" s="167"/>
      <c r="F1343" s="167"/>
      <c r="G1343" s="167"/>
      <c r="H1343" s="167"/>
    </row>
    <row r="1344" spans="1:8">
      <c r="A1344" s="167"/>
      <c r="B1344" s="167"/>
      <c r="C1344" s="167"/>
      <c r="D1344" s="167"/>
      <c r="E1344" s="167"/>
      <c r="F1344" s="167"/>
      <c r="G1344" s="167"/>
      <c r="H1344" s="167"/>
    </row>
    <row r="1345" spans="1:8">
      <c r="A1345" s="167"/>
      <c r="B1345" s="167"/>
      <c r="C1345" s="167"/>
      <c r="D1345" s="167"/>
      <c r="E1345" s="167"/>
      <c r="F1345" s="167"/>
      <c r="G1345" s="167"/>
      <c r="H1345" s="167"/>
    </row>
    <row r="1346" spans="1:8">
      <c r="A1346" s="167"/>
      <c r="B1346" s="167"/>
      <c r="C1346" s="167"/>
      <c r="D1346" s="167"/>
      <c r="E1346" s="167"/>
      <c r="F1346" s="167"/>
      <c r="G1346" s="167"/>
      <c r="H1346" s="167"/>
    </row>
    <row r="1347" spans="1:8">
      <c r="A1347" s="167"/>
      <c r="B1347" s="167"/>
      <c r="C1347" s="167"/>
      <c r="D1347" s="167"/>
      <c r="E1347" s="167"/>
      <c r="F1347" s="167"/>
      <c r="G1347" s="167"/>
      <c r="H1347" s="167"/>
    </row>
    <row r="1348" spans="1:8">
      <c r="A1348" s="167"/>
      <c r="B1348" s="167"/>
      <c r="C1348" s="167"/>
      <c r="D1348" s="167"/>
      <c r="E1348" s="167"/>
      <c r="F1348" s="167"/>
      <c r="G1348" s="167"/>
      <c r="H1348" s="167"/>
    </row>
    <row r="1349" spans="1:8">
      <c r="A1349" s="167"/>
      <c r="B1349" s="167"/>
      <c r="C1349" s="167"/>
      <c r="D1349" s="167"/>
      <c r="E1349" s="167"/>
      <c r="F1349" s="167"/>
      <c r="G1349" s="167"/>
      <c r="H1349" s="167"/>
    </row>
    <row r="1350" spans="1:8">
      <c r="A1350" s="167"/>
      <c r="B1350" s="167"/>
      <c r="C1350" s="167"/>
      <c r="D1350" s="167"/>
      <c r="E1350" s="167"/>
      <c r="F1350" s="167"/>
      <c r="G1350" s="167"/>
      <c r="H1350" s="167"/>
    </row>
    <row r="1351" spans="1:8">
      <c r="A1351" s="167"/>
      <c r="B1351" s="167"/>
      <c r="C1351" s="167"/>
      <c r="D1351" s="167"/>
      <c r="E1351" s="167"/>
      <c r="F1351" s="167"/>
      <c r="G1351" s="167"/>
      <c r="H1351" s="167"/>
    </row>
    <row r="1352" spans="1:8">
      <c r="A1352" s="167"/>
      <c r="B1352" s="167"/>
      <c r="C1352" s="167"/>
      <c r="D1352" s="167"/>
      <c r="E1352" s="167"/>
      <c r="F1352" s="167"/>
      <c r="G1352" s="167"/>
      <c r="H1352" s="167"/>
    </row>
    <row r="1353" spans="1:8">
      <c r="A1353" s="167"/>
      <c r="B1353" s="167"/>
      <c r="C1353" s="167"/>
      <c r="D1353" s="167"/>
      <c r="E1353" s="167"/>
      <c r="F1353" s="167"/>
      <c r="G1353" s="167"/>
      <c r="H1353" s="167"/>
    </row>
    <row r="1354" spans="1:8">
      <c r="A1354" s="167"/>
      <c r="B1354" s="167"/>
      <c r="C1354" s="167"/>
      <c r="D1354" s="167"/>
      <c r="E1354" s="167"/>
      <c r="F1354" s="167"/>
      <c r="G1354" s="167"/>
      <c r="H1354" s="167"/>
    </row>
    <row r="1355" spans="1:8">
      <c r="A1355" s="167"/>
      <c r="B1355" s="167"/>
      <c r="C1355" s="167"/>
      <c r="D1355" s="167"/>
      <c r="E1355" s="167"/>
      <c r="F1355" s="167"/>
      <c r="G1355" s="167"/>
      <c r="H1355" s="167"/>
    </row>
    <row r="1356" spans="1:8">
      <c r="A1356" s="167"/>
      <c r="B1356" s="167"/>
      <c r="C1356" s="167"/>
      <c r="D1356" s="167"/>
      <c r="E1356" s="167"/>
      <c r="F1356" s="167"/>
      <c r="G1356" s="167"/>
      <c r="H1356" s="167"/>
    </row>
    <row r="1357" spans="1:8">
      <c r="A1357" s="167"/>
      <c r="B1357" s="167"/>
      <c r="C1357" s="167"/>
      <c r="D1357" s="167"/>
      <c r="E1357" s="167"/>
      <c r="F1357" s="167"/>
      <c r="G1357" s="167"/>
      <c r="H1357" s="167"/>
    </row>
    <row r="1358" spans="1:8">
      <c r="A1358" s="167"/>
      <c r="B1358" s="167"/>
      <c r="C1358" s="167"/>
      <c r="D1358" s="167"/>
      <c r="E1358" s="167"/>
      <c r="F1358" s="167"/>
      <c r="G1358" s="167"/>
      <c r="H1358" s="167"/>
    </row>
    <row r="1359" spans="1:8">
      <c r="A1359" s="167"/>
      <c r="B1359" s="167"/>
      <c r="C1359" s="167"/>
      <c r="D1359" s="167"/>
      <c r="E1359" s="167"/>
      <c r="F1359" s="167"/>
      <c r="G1359" s="167"/>
      <c r="H1359" s="167"/>
    </row>
    <row r="1360" spans="1:8">
      <c r="A1360" s="167"/>
      <c r="B1360" s="167"/>
      <c r="C1360" s="167"/>
      <c r="D1360" s="167"/>
      <c r="E1360" s="167"/>
      <c r="F1360" s="167"/>
      <c r="G1360" s="167"/>
      <c r="H1360" s="167"/>
    </row>
    <row r="1361" spans="1:8">
      <c r="A1361" s="167"/>
      <c r="B1361" s="167"/>
      <c r="C1361" s="167"/>
      <c r="D1361" s="167"/>
      <c r="E1361" s="167"/>
      <c r="F1361" s="167"/>
      <c r="G1361" s="167"/>
      <c r="H1361" s="167"/>
    </row>
    <row r="1362" spans="1:8">
      <c r="A1362" s="167"/>
      <c r="B1362" s="167"/>
      <c r="C1362" s="167"/>
      <c r="D1362" s="167"/>
      <c r="E1362" s="167"/>
      <c r="F1362" s="167"/>
      <c r="G1362" s="167"/>
      <c r="H1362" s="167"/>
    </row>
    <row r="1363" spans="1:8">
      <c r="A1363" s="167"/>
      <c r="B1363" s="167"/>
      <c r="C1363" s="167"/>
      <c r="D1363" s="167"/>
      <c r="E1363" s="167"/>
      <c r="F1363" s="167"/>
      <c r="G1363" s="167"/>
      <c r="H1363" s="167"/>
    </row>
    <row r="1364" spans="1:8">
      <c r="A1364" s="167"/>
      <c r="B1364" s="167"/>
      <c r="C1364" s="167"/>
      <c r="D1364" s="167"/>
      <c r="E1364" s="167"/>
      <c r="F1364" s="167"/>
      <c r="G1364" s="167"/>
      <c r="H1364" s="167"/>
    </row>
    <row r="1365" spans="1:8">
      <c r="A1365" s="167"/>
      <c r="B1365" s="167"/>
      <c r="C1365" s="167"/>
      <c r="D1365" s="167"/>
      <c r="E1365" s="167"/>
      <c r="F1365" s="167"/>
      <c r="G1365" s="167"/>
      <c r="H1365" s="167"/>
    </row>
    <row r="1366" spans="1:8">
      <c r="A1366" s="167"/>
      <c r="B1366" s="167"/>
      <c r="C1366" s="167"/>
      <c r="D1366" s="167"/>
      <c r="E1366" s="167"/>
      <c r="F1366" s="167"/>
      <c r="G1366" s="167"/>
      <c r="H1366" s="167"/>
    </row>
    <row r="1367" spans="1:8">
      <c r="A1367" s="167"/>
      <c r="B1367" s="167"/>
      <c r="C1367" s="167"/>
      <c r="D1367" s="167"/>
      <c r="E1367" s="167"/>
      <c r="F1367" s="167"/>
      <c r="G1367" s="167"/>
      <c r="H1367" s="167"/>
    </row>
    <row r="1368" spans="1:8">
      <c r="A1368" s="167"/>
      <c r="B1368" s="167"/>
      <c r="C1368" s="167"/>
      <c r="D1368" s="167"/>
      <c r="E1368" s="167"/>
      <c r="F1368" s="167"/>
      <c r="G1368" s="167"/>
      <c r="H1368" s="167"/>
    </row>
    <row r="1369" spans="1:8">
      <c r="A1369" s="167"/>
      <c r="B1369" s="167"/>
      <c r="C1369" s="167"/>
      <c r="D1369" s="167"/>
      <c r="E1369" s="167"/>
      <c r="F1369" s="167"/>
      <c r="G1369" s="167"/>
      <c r="H1369" s="167"/>
    </row>
    <row r="1370" spans="1:8">
      <c r="A1370" s="167"/>
      <c r="B1370" s="167"/>
      <c r="C1370" s="167"/>
      <c r="D1370" s="167"/>
      <c r="E1370" s="167"/>
      <c r="F1370" s="167"/>
      <c r="G1370" s="167"/>
      <c r="H1370" s="167"/>
    </row>
    <row r="1371" spans="1:8">
      <c r="A1371" s="167"/>
      <c r="B1371" s="167"/>
      <c r="C1371" s="167"/>
      <c r="D1371" s="167"/>
      <c r="E1371" s="167"/>
      <c r="F1371" s="167"/>
      <c r="G1371" s="167"/>
      <c r="H1371" s="167"/>
    </row>
    <row r="1372" spans="1:8">
      <c r="A1372" s="167"/>
      <c r="B1372" s="167"/>
      <c r="C1372" s="167"/>
      <c r="D1372" s="167"/>
      <c r="E1372" s="167"/>
      <c r="F1372" s="167"/>
      <c r="G1372" s="167"/>
      <c r="H1372" s="167"/>
    </row>
    <row r="1373" spans="1:8">
      <c r="A1373" s="167"/>
      <c r="B1373" s="167"/>
      <c r="C1373" s="167"/>
      <c r="D1373" s="167"/>
      <c r="E1373" s="167"/>
      <c r="F1373" s="167"/>
      <c r="G1373" s="167"/>
      <c r="H1373" s="167"/>
    </row>
    <row r="1374" spans="1:8">
      <c r="A1374" s="167"/>
      <c r="B1374" s="167"/>
      <c r="C1374" s="167"/>
      <c r="D1374" s="167"/>
      <c r="E1374" s="167"/>
      <c r="F1374" s="167"/>
      <c r="G1374" s="167"/>
      <c r="H1374" s="167"/>
    </row>
    <row r="1375" spans="1:8">
      <c r="A1375" s="167"/>
      <c r="B1375" s="167"/>
      <c r="C1375" s="167"/>
      <c r="D1375" s="167"/>
      <c r="E1375" s="167"/>
      <c r="F1375" s="167"/>
      <c r="G1375" s="167"/>
      <c r="H1375" s="167"/>
    </row>
    <row r="1376" spans="1:8">
      <c r="A1376" s="167"/>
      <c r="B1376" s="167"/>
      <c r="C1376" s="167"/>
      <c r="D1376" s="167"/>
      <c r="E1376" s="167"/>
      <c r="F1376" s="167"/>
      <c r="G1376" s="167"/>
      <c r="H1376" s="167"/>
    </row>
    <row r="1377" spans="1:8">
      <c r="A1377" s="167"/>
      <c r="B1377" s="167"/>
      <c r="C1377" s="167"/>
      <c r="D1377" s="167"/>
      <c r="E1377" s="167"/>
      <c r="F1377" s="167"/>
      <c r="G1377" s="167"/>
      <c r="H1377" s="167"/>
    </row>
    <row r="1378" spans="1:8">
      <c r="A1378" s="167"/>
      <c r="B1378" s="167"/>
      <c r="C1378" s="167"/>
      <c r="D1378" s="167"/>
      <c r="E1378" s="167"/>
      <c r="F1378" s="167"/>
      <c r="G1378" s="167"/>
      <c r="H1378" s="167"/>
    </row>
    <row r="1379" spans="1:8">
      <c r="A1379" s="167"/>
      <c r="B1379" s="167"/>
      <c r="C1379" s="167"/>
      <c r="D1379" s="167"/>
      <c r="E1379" s="167"/>
      <c r="F1379" s="167"/>
      <c r="G1379" s="167"/>
      <c r="H1379" s="167"/>
    </row>
    <row r="1380" spans="1:8">
      <c r="A1380" s="167"/>
      <c r="B1380" s="167"/>
      <c r="C1380" s="167"/>
      <c r="D1380" s="167"/>
      <c r="E1380" s="167"/>
      <c r="F1380" s="167"/>
      <c r="G1380" s="167"/>
      <c r="H1380" s="167"/>
    </row>
    <row r="1381" spans="1:8">
      <c r="A1381" s="167"/>
      <c r="B1381" s="167"/>
      <c r="C1381" s="167"/>
      <c r="D1381" s="167"/>
      <c r="E1381" s="167"/>
      <c r="F1381" s="167"/>
      <c r="G1381" s="167"/>
      <c r="H1381" s="167"/>
    </row>
    <row r="1382" spans="1:8">
      <c r="A1382" s="167"/>
      <c r="B1382" s="167"/>
      <c r="C1382" s="167"/>
      <c r="D1382" s="167"/>
      <c r="E1382" s="167"/>
      <c r="F1382" s="167"/>
      <c r="G1382" s="167"/>
      <c r="H1382" s="167"/>
    </row>
    <row r="1383" spans="1:8">
      <c r="A1383" s="167"/>
      <c r="B1383" s="167"/>
      <c r="C1383" s="167"/>
      <c r="D1383" s="167"/>
      <c r="E1383" s="167"/>
      <c r="F1383" s="167"/>
      <c r="G1383" s="167"/>
      <c r="H1383" s="167"/>
    </row>
    <row r="1384" spans="1:8">
      <c r="A1384" s="167"/>
      <c r="B1384" s="167"/>
      <c r="C1384" s="167"/>
      <c r="D1384" s="167"/>
      <c r="E1384" s="167"/>
      <c r="F1384" s="167"/>
      <c r="G1384" s="167"/>
      <c r="H1384" s="167"/>
    </row>
    <row r="1385" spans="1:8">
      <c r="A1385" s="167"/>
      <c r="B1385" s="167"/>
      <c r="C1385" s="167"/>
      <c r="D1385" s="167"/>
      <c r="E1385" s="167"/>
      <c r="F1385" s="167"/>
      <c r="G1385" s="167"/>
      <c r="H1385" s="167"/>
    </row>
    <row r="1386" spans="1:8">
      <c r="A1386" s="167"/>
      <c r="B1386" s="167"/>
      <c r="C1386" s="167"/>
      <c r="D1386" s="167"/>
      <c r="E1386" s="167"/>
      <c r="F1386" s="167"/>
      <c r="G1386" s="167"/>
      <c r="H1386" s="167"/>
    </row>
    <row r="1387" spans="1:8">
      <c r="A1387" s="167"/>
      <c r="B1387" s="167"/>
      <c r="C1387" s="167"/>
      <c r="D1387" s="167"/>
      <c r="E1387" s="167"/>
      <c r="F1387" s="167"/>
      <c r="G1387" s="167"/>
      <c r="H1387" s="167"/>
    </row>
    <row r="1388" spans="1:8">
      <c r="A1388" s="167"/>
      <c r="B1388" s="167"/>
      <c r="C1388" s="167"/>
      <c r="D1388" s="167"/>
      <c r="E1388" s="167"/>
      <c r="F1388" s="167"/>
      <c r="G1388" s="167"/>
      <c r="H1388" s="167"/>
    </row>
    <row r="1389" spans="1:8">
      <c r="A1389" s="167"/>
      <c r="B1389" s="167"/>
      <c r="C1389" s="167"/>
      <c r="D1389" s="167"/>
      <c r="E1389" s="167"/>
      <c r="F1389" s="167"/>
      <c r="G1389" s="167"/>
      <c r="H1389" s="167"/>
    </row>
    <row r="1390" spans="1:8">
      <c r="A1390" s="167"/>
      <c r="B1390" s="167"/>
      <c r="C1390" s="167"/>
      <c r="D1390" s="167"/>
      <c r="E1390" s="167"/>
      <c r="F1390" s="167"/>
      <c r="G1390" s="167"/>
      <c r="H1390" s="167"/>
    </row>
    <row r="1391" spans="1:8">
      <c r="A1391" s="167"/>
      <c r="B1391" s="167"/>
      <c r="C1391" s="167"/>
      <c r="D1391" s="167"/>
      <c r="E1391" s="167"/>
      <c r="F1391" s="167"/>
      <c r="G1391" s="167"/>
      <c r="H1391" s="167"/>
    </row>
    <row r="1392" spans="1:8">
      <c r="A1392" s="167"/>
      <c r="B1392" s="167"/>
      <c r="C1392" s="167"/>
      <c r="D1392" s="167"/>
      <c r="E1392" s="167"/>
      <c r="F1392" s="167"/>
      <c r="G1392" s="167"/>
      <c r="H1392" s="167"/>
    </row>
    <row r="1393" spans="1:8">
      <c r="A1393" s="167"/>
      <c r="B1393" s="167"/>
      <c r="C1393" s="167"/>
      <c r="D1393" s="167"/>
      <c r="E1393" s="167"/>
      <c r="F1393" s="167"/>
      <c r="G1393" s="167"/>
      <c r="H1393" s="167"/>
    </row>
    <row r="1394" spans="1:8">
      <c r="A1394" s="167"/>
      <c r="B1394" s="167"/>
      <c r="C1394" s="167"/>
      <c r="D1394" s="167"/>
      <c r="E1394" s="167"/>
      <c r="F1394" s="167"/>
      <c r="G1394" s="167"/>
      <c r="H1394" s="167"/>
    </row>
    <row r="1395" spans="1:8">
      <c r="A1395" s="167"/>
      <c r="B1395" s="167"/>
      <c r="C1395" s="167"/>
      <c r="D1395" s="167"/>
      <c r="E1395" s="167"/>
      <c r="F1395" s="167"/>
      <c r="G1395" s="167"/>
      <c r="H1395" s="167"/>
    </row>
    <row r="1396" spans="1:8">
      <c r="A1396" s="167"/>
      <c r="B1396" s="167"/>
      <c r="C1396" s="167"/>
      <c r="D1396" s="167"/>
      <c r="E1396" s="167"/>
      <c r="F1396" s="167"/>
      <c r="G1396" s="167"/>
      <c r="H1396" s="167"/>
    </row>
    <row r="1397" spans="1:8">
      <c r="A1397" s="167"/>
      <c r="B1397" s="167"/>
      <c r="C1397" s="167"/>
      <c r="D1397" s="167"/>
      <c r="E1397" s="167"/>
      <c r="F1397" s="167"/>
      <c r="G1397" s="167"/>
      <c r="H1397" s="167"/>
    </row>
    <row r="1398" spans="1:8">
      <c r="A1398" s="167"/>
      <c r="B1398" s="167"/>
      <c r="C1398" s="167"/>
      <c r="D1398" s="167"/>
      <c r="E1398" s="167"/>
      <c r="F1398" s="167"/>
      <c r="G1398" s="167"/>
      <c r="H1398" s="167"/>
    </row>
    <row r="1399" spans="1:8">
      <c r="A1399" s="167"/>
      <c r="B1399" s="167"/>
      <c r="C1399" s="167"/>
      <c r="D1399" s="167"/>
      <c r="E1399" s="167"/>
      <c r="F1399" s="167"/>
      <c r="G1399" s="167"/>
      <c r="H1399" s="167"/>
    </row>
    <row r="1400" spans="1:8">
      <c r="A1400" s="167"/>
      <c r="B1400" s="167"/>
      <c r="C1400" s="167"/>
      <c r="D1400" s="167"/>
      <c r="E1400" s="167"/>
      <c r="F1400" s="167"/>
      <c r="G1400" s="167"/>
      <c r="H1400" s="167"/>
    </row>
    <row r="1401" spans="1:8">
      <c r="A1401" s="167"/>
      <c r="B1401" s="167"/>
      <c r="C1401" s="167"/>
      <c r="D1401" s="167"/>
      <c r="E1401" s="167"/>
      <c r="F1401" s="167"/>
      <c r="G1401" s="167"/>
      <c r="H1401" s="167"/>
    </row>
    <row r="1402" spans="1:8">
      <c r="A1402" s="167"/>
      <c r="B1402" s="167"/>
      <c r="C1402" s="167"/>
      <c r="D1402" s="167"/>
      <c r="E1402" s="167"/>
      <c r="F1402" s="167"/>
      <c r="G1402" s="167"/>
      <c r="H1402" s="167"/>
    </row>
    <row r="1403" spans="1:8">
      <c r="A1403" s="167"/>
      <c r="B1403" s="167"/>
      <c r="C1403" s="167"/>
      <c r="D1403" s="167"/>
      <c r="E1403" s="167"/>
      <c r="F1403" s="167"/>
      <c r="G1403" s="167"/>
      <c r="H1403" s="167"/>
    </row>
    <row r="1404" spans="1:8">
      <c r="A1404" s="167"/>
      <c r="B1404" s="167"/>
      <c r="C1404" s="167"/>
      <c r="D1404" s="167"/>
      <c r="E1404" s="167"/>
      <c r="F1404" s="167"/>
      <c r="G1404" s="167"/>
      <c r="H1404" s="167"/>
    </row>
    <row r="1405" spans="1:8">
      <c r="A1405" s="167"/>
      <c r="B1405" s="167"/>
      <c r="C1405" s="167"/>
      <c r="D1405" s="167"/>
      <c r="E1405" s="167"/>
      <c r="F1405" s="167"/>
      <c r="G1405" s="167"/>
      <c r="H1405" s="167"/>
    </row>
    <row r="1406" spans="1:8">
      <c r="A1406" s="167"/>
      <c r="B1406" s="167"/>
      <c r="C1406" s="167"/>
      <c r="D1406" s="167"/>
      <c r="E1406" s="167"/>
      <c r="F1406" s="167"/>
      <c r="G1406" s="167"/>
      <c r="H1406" s="167"/>
    </row>
    <row r="1407" spans="1:8">
      <c r="A1407" s="167"/>
      <c r="B1407" s="167"/>
      <c r="C1407" s="167"/>
      <c r="D1407" s="167"/>
      <c r="E1407" s="167"/>
      <c r="F1407" s="167"/>
      <c r="G1407" s="167"/>
      <c r="H1407" s="167"/>
    </row>
    <row r="1408" spans="1:8">
      <c r="A1408" s="167"/>
      <c r="B1408" s="167"/>
      <c r="C1408" s="167"/>
      <c r="D1408" s="167"/>
      <c r="E1408" s="167"/>
      <c r="F1408" s="167"/>
      <c r="G1408" s="167"/>
      <c r="H1408" s="167"/>
    </row>
    <row r="1409" spans="1:8">
      <c r="A1409" s="167"/>
      <c r="B1409" s="167"/>
      <c r="C1409" s="167"/>
      <c r="D1409" s="167"/>
      <c r="E1409" s="167"/>
      <c r="F1409" s="167"/>
      <c r="G1409" s="167"/>
      <c r="H1409" s="167"/>
    </row>
    <row r="1410" spans="1:8">
      <c r="A1410" s="167"/>
      <c r="B1410" s="167"/>
      <c r="C1410" s="167"/>
      <c r="D1410" s="167"/>
      <c r="E1410" s="167"/>
      <c r="F1410" s="167"/>
      <c r="G1410" s="167"/>
      <c r="H1410" s="167"/>
    </row>
    <row r="1411" spans="1:8">
      <c r="A1411" s="167"/>
      <c r="B1411" s="167"/>
      <c r="C1411" s="167"/>
      <c r="D1411" s="167"/>
      <c r="E1411" s="167"/>
      <c r="F1411" s="167"/>
      <c r="G1411" s="167"/>
      <c r="H1411" s="167"/>
    </row>
    <row r="1412" spans="1:8">
      <c r="A1412" s="167"/>
      <c r="B1412" s="167"/>
      <c r="C1412" s="167"/>
      <c r="D1412" s="167"/>
      <c r="E1412" s="167"/>
      <c r="F1412" s="167"/>
      <c r="G1412" s="167"/>
      <c r="H1412" s="167"/>
    </row>
    <row r="1413" spans="1:8">
      <c r="A1413" s="167"/>
      <c r="B1413" s="167"/>
      <c r="C1413" s="167"/>
      <c r="D1413" s="167"/>
      <c r="E1413" s="167"/>
      <c r="F1413" s="167"/>
      <c r="G1413" s="167"/>
      <c r="H1413" s="167"/>
    </row>
    <row r="1414" spans="1:8">
      <c r="A1414" s="167"/>
      <c r="B1414" s="167"/>
      <c r="C1414" s="167"/>
      <c r="D1414" s="167"/>
      <c r="E1414" s="167"/>
      <c r="F1414" s="167"/>
      <c r="G1414" s="167"/>
      <c r="H1414" s="167"/>
    </row>
    <row r="1415" spans="1:8">
      <c r="A1415" s="167"/>
      <c r="B1415" s="167"/>
      <c r="C1415" s="167"/>
      <c r="D1415" s="167"/>
      <c r="E1415" s="167"/>
      <c r="F1415" s="167"/>
      <c r="G1415" s="167"/>
      <c r="H1415" s="167"/>
    </row>
    <row r="1416" spans="1:8">
      <c r="A1416" s="167"/>
      <c r="B1416" s="167"/>
      <c r="C1416" s="167"/>
      <c r="D1416" s="167"/>
      <c r="E1416" s="167"/>
      <c r="F1416" s="167"/>
      <c r="G1416" s="167"/>
      <c r="H1416" s="167"/>
    </row>
    <row r="1417" spans="1:8">
      <c r="A1417" s="167"/>
      <c r="B1417" s="167"/>
      <c r="C1417" s="167"/>
      <c r="D1417" s="167"/>
      <c r="E1417" s="167"/>
      <c r="F1417" s="167"/>
      <c r="G1417" s="167"/>
      <c r="H1417" s="167"/>
    </row>
    <row r="1418" spans="1:8">
      <c r="A1418" s="167"/>
      <c r="B1418" s="167"/>
      <c r="C1418" s="167"/>
      <c r="D1418" s="167"/>
      <c r="E1418" s="167"/>
      <c r="F1418" s="167"/>
      <c r="G1418" s="167"/>
      <c r="H1418" s="167"/>
    </row>
    <row r="1419" spans="1:8">
      <c r="A1419" s="167"/>
      <c r="B1419" s="167"/>
      <c r="C1419" s="167"/>
      <c r="D1419" s="167"/>
      <c r="E1419" s="167"/>
      <c r="F1419" s="167"/>
      <c r="G1419" s="167"/>
      <c r="H1419" s="167"/>
    </row>
    <row r="1420" spans="1:8">
      <c r="A1420" s="167"/>
      <c r="B1420" s="167"/>
      <c r="C1420" s="167"/>
      <c r="D1420" s="167"/>
      <c r="E1420" s="167"/>
      <c r="F1420" s="167"/>
      <c r="G1420" s="167"/>
      <c r="H1420" s="167"/>
    </row>
    <row r="1421" spans="1:8">
      <c r="A1421" s="167"/>
      <c r="B1421" s="167"/>
      <c r="C1421" s="167"/>
      <c r="D1421" s="167"/>
      <c r="E1421" s="167"/>
      <c r="F1421" s="167"/>
      <c r="G1421" s="167"/>
      <c r="H1421" s="167"/>
    </row>
    <row r="1422" spans="1:8">
      <c r="A1422" s="167"/>
      <c r="B1422" s="167"/>
      <c r="C1422" s="167"/>
      <c r="D1422" s="167"/>
      <c r="E1422" s="167"/>
      <c r="F1422" s="167"/>
      <c r="G1422" s="167"/>
      <c r="H1422" s="167"/>
    </row>
    <row r="1423" spans="1:8">
      <c r="A1423" s="167"/>
      <c r="B1423" s="167"/>
      <c r="C1423" s="167"/>
      <c r="D1423" s="167"/>
      <c r="E1423" s="167"/>
      <c r="F1423" s="167"/>
      <c r="G1423" s="167"/>
      <c r="H1423" s="167"/>
    </row>
    <row r="1424" spans="1:8">
      <c r="A1424" s="167"/>
      <c r="B1424" s="167"/>
      <c r="C1424" s="167"/>
      <c r="D1424" s="167"/>
      <c r="E1424" s="167"/>
      <c r="F1424" s="167"/>
      <c r="G1424" s="167"/>
      <c r="H1424" s="167"/>
    </row>
    <row r="1425" spans="1:8">
      <c r="A1425" s="167"/>
      <c r="B1425" s="167"/>
      <c r="C1425" s="167"/>
      <c r="D1425" s="167"/>
      <c r="E1425" s="167"/>
      <c r="F1425" s="167"/>
      <c r="G1425" s="167"/>
      <c r="H1425" s="167"/>
    </row>
    <row r="1426" spans="1:8">
      <c r="A1426" s="167"/>
      <c r="B1426" s="167"/>
      <c r="C1426" s="167"/>
      <c r="D1426" s="167"/>
      <c r="E1426" s="167"/>
      <c r="F1426" s="167"/>
      <c r="G1426" s="167"/>
      <c r="H1426" s="167"/>
    </row>
    <row r="1427" spans="1:8">
      <c r="A1427" s="167"/>
      <c r="B1427" s="167"/>
      <c r="C1427" s="167"/>
      <c r="D1427" s="167"/>
      <c r="E1427" s="167"/>
      <c r="F1427" s="167"/>
      <c r="G1427" s="167"/>
      <c r="H1427" s="167"/>
    </row>
    <row r="1428" spans="1:8">
      <c r="A1428" s="167"/>
      <c r="B1428" s="167"/>
      <c r="C1428" s="167"/>
      <c r="D1428" s="167"/>
      <c r="E1428" s="167"/>
      <c r="F1428" s="167"/>
      <c r="G1428" s="167"/>
      <c r="H1428" s="167"/>
    </row>
    <row r="1429" spans="1:8">
      <c r="A1429" s="167"/>
      <c r="B1429" s="167"/>
      <c r="C1429" s="167"/>
      <c r="D1429" s="167"/>
      <c r="E1429" s="167"/>
      <c r="F1429" s="167"/>
      <c r="G1429" s="167"/>
      <c r="H1429" s="167"/>
    </row>
    <row r="1430" spans="1:8">
      <c r="A1430" s="167"/>
      <c r="B1430" s="167"/>
      <c r="C1430" s="167"/>
      <c r="D1430" s="167"/>
      <c r="E1430" s="167"/>
      <c r="F1430" s="167"/>
      <c r="G1430" s="167"/>
      <c r="H1430" s="167"/>
    </row>
    <row r="1431" spans="1:8">
      <c r="A1431" s="167"/>
      <c r="B1431" s="167"/>
      <c r="C1431" s="167"/>
      <c r="D1431" s="167"/>
      <c r="E1431" s="167"/>
      <c r="F1431" s="167"/>
      <c r="G1431" s="167"/>
      <c r="H1431" s="167"/>
    </row>
    <row r="1432" spans="1:8">
      <c r="A1432" s="167"/>
      <c r="B1432" s="167"/>
      <c r="C1432" s="167"/>
      <c r="D1432" s="167"/>
      <c r="E1432" s="167"/>
      <c r="F1432" s="167"/>
      <c r="G1432" s="167"/>
      <c r="H1432" s="167"/>
    </row>
    <row r="1433" spans="1:8">
      <c r="A1433" s="167"/>
      <c r="B1433" s="167"/>
      <c r="C1433" s="167"/>
      <c r="D1433" s="167"/>
      <c r="E1433" s="167"/>
      <c r="F1433" s="167"/>
      <c r="G1433" s="167"/>
      <c r="H1433" s="167"/>
    </row>
    <row r="1434" spans="1:8">
      <c r="A1434" s="167"/>
      <c r="B1434" s="167"/>
      <c r="C1434" s="167"/>
      <c r="D1434" s="167"/>
      <c r="E1434" s="167"/>
      <c r="F1434" s="167"/>
      <c r="G1434" s="167"/>
      <c r="H1434" s="167"/>
    </row>
    <row r="1435" spans="1:8">
      <c r="A1435" s="167"/>
      <c r="B1435" s="167"/>
      <c r="C1435" s="167"/>
      <c r="D1435" s="167"/>
      <c r="E1435" s="167"/>
      <c r="F1435" s="167"/>
      <c r="G1435" s="167"/>
      <c r="H1435" s="167"/>
    </row>
    <row r="1436" spans="1:8">
      <c r="A1436" s="167"/>
      <c r="B1436" s="167"/>
      <c r="C1436" s="167"/>
      <c r="D1436" s="167"/>
      <c r="E1436" s="167"/>
      <c r="F1436" s="167"/>
      <c r="G1436" s="167"/>
      <c r="H1436" s="167"/>
    </row>
    <row r="1437" spans="1:8">
      <c r="A1437" s="167"/>
      <c r="B1437" s="167"/>
      <c r="C1437" s="167"/>
      <c r="D1437" s="167"/>
      <c r="E1437" s="167"/>
      <c r="F1437" s="167"/>
      <c r="G1437" s="167"/>
      <c r="H1437" s="167"/>
    </row>
    <row r="1438" spans="1:8">
      <c r="A1438" s="167"/>
      <c r="B1438" s="167"/>
      <c r="C1438" s="167"/>
      <c r="D1438" s="167"/>
      <c r="E1438" s="167"/>
      <c r="F1438" s="167"/>
      <c r="G1438" s="167"/>
      <c r="H1438" s="167"/>
    </row>
    <row r="1439" spans="1:8">
      <c r="A1439" s="167"/>
      <c r="B1439" s="167"/>
      <c r="C1439" s="167"/>
      <c r="D1439" s="167"/>
      <c r="E1439" s="167"/>
      <c r="F1439" s="167"/>
      <c r="G1439" s="167"/>
      <c r="H1439" s="167"/>
    </row>
    <row r="1440" spans="1:8">
      <c r="A1440" s="167"/>
      <c r="B1440" s="167"/>
      <c r="C1440" s="167"/>
      <c r="D1440" s="167"/>
      <c r="E1440" s="167"/>
      <c r="F1440" s="167"/>
      <c r="G1440" s="167"/>
      <c r="H1440" s="167"/>
    </row>
    <row r="1441" spans="1:8">
      <c r="A1441" s="167"/>
      <c r="B1441" s="167"/>
      <c r="C1441" s="167"/>
      <c r="D1441" s="167"/>
      <c r="E1441" s="167"/>
      <c r="F1441" s="167"/>
      <c r="G1441" s="167"/>
      <c r="H1441" s="167"/>
    </row>
    <row r="1442" spans="1:8">
      <c r="A1442" s="167"/>
      <c r="B1442" s="167"/>
      <c r="C1442" s="167"/>
      <c r="D1442" s="167"/>
      <c r="E1442" s="167"/>
      <c r="F1442" s="167"/>
      <c r="G1442" s="167"/>
      <c r="H1442" s="167"/>
    </row>
    <row r="1443" spans="1:8">
      <c r="A1443" s="167"/>
      <c r="B1443" s="167"/>
      <c r="C1443" s="167"/>
      <c r="D1443" s="167"/>
      <c r="E1443" s="167"/>
      <c r="F1443" s="167"/>
      <c r="G1443" s="167"/>
      <c r="H1443" s="167"/>
    </row>
    <row r="1444" spans="1:8">
      <c r="A1444" s="167"/>
      <c r="B1444" s="167"/>
      <c r="C1444" s="167"/>
      <c r="D1444" s="167"/>
      <c r="E1444" s="167"/>
      <c r="F1444" s="167"/>
      <c r="G1444" s="167"/>
      <c r="H1444" s="167"/>
    </row>
    <row r="1445" spans="1:8">
      <c r="A1445" s="167"/>
      <c r="B1445" s="167"/>
      <c r="C1445" s="167"/>
      <c r="D1445" s="167"/>
      <c r="E1445" s="167"/>
      <c r="F1445" s="167"/>
      <c r="G1445" s="167"/>
      <c r="H1445" s="167"/>
    </row>
    <row r="1446" spans="1:8">
      <c r="A1446" s="167"/>
      <c r="B1446" s="167"/>
      <c r="C1446" s="167"/>
      <c r="D1446" s="167"/>
      <c r="E1446" s="167"/>
      <c r="F1446" s="167"/>
      <c r="G1446" s="167"/>
      <c r="H1446" s="167"/>
    </row>
    <row r="1447" spans="1:8">
      <c r="A1447" s="167"/>
      <c r="B1447" s="167"/>
      <c r="C1447" s="167"/>
      <c r="D1447" s="167"/>
      <c r="E1447" s="167"/>
      <c r="F1447" s="167"/>
      <c r="G1447" s="167"/>
      <c r="H1447" s="167"/>
    </row>
    <row r="1448" spans="1:8">
      <c r="A1448" s="167"/>
      <c r="B1448" s="167"/>
      <c r="C1448" s="167"/>
      <c r="D1448" s="167"/>
      <c r="E1448" s="167"/>
      <c r="F1448" s="167"/>
      <c r="G1448" s="167"/>
      <c r="H1448" s="167"/>
    </row>
    <row r="1449" spans="1:8">
      <c r="A1449" s="167"/>
      <c r="B1449" s="167"/>
      <c r="C1449" s="167"/>
      <c r="D1449" s="167"/>
      <c r="E1449" s="167"/>
      <c r="F1449" s="167"/>
      <c r="G1449" s="167"/>
      <c r="H1449" s="167"/>
    </row>
    <row r="1450" spans="1:8">
      <c r="A1450" s="167"/>
      <c r="B1450" s="167"/>
      <c r="C1450" s="167"/>
      <c r="D1450" s="167"/>
      <c r="E1450" s="167"/>
      <c r="F1450" s="167"/>
      <c r="G1450" s="167"/>
      <c r="H1450" s="167"/>
    </row>
    <row r="1451" spans="1:8">
      <c r="A1451" s="167"/>
      <c r="B1451" s="167"/>
      <c r="C1451" s="167"/>
      <c r="D1451" s="167"/>
      <c r="E1451" s="167"/>
      <c r="F1451" s="167"/>
      <c r="G1451" s="167"/>
      <c r="H1451" s="167"/>
    </row>
    <row r="1452" spans="1:8">
      <c r="A1452" s="167"/>
      <c r="B1452" s="167"/>
      <c r="C1452" s="167"/>
      <c r="D1452" s="167"/>
      <c r="E1452" s="167"/>
      <c r="F1452" s="167"/>
      <c r="G1452" s="167"/>
      <c r="H1452" s="167"/>
    </row>
    <row r="1453" spans="1:8">
      <c r="A1453" s="167"/>
      <c r="B1453" s="167"/>
      <c r="C1453" s="167"/>
      <c r="D1453" s="167"/>
      <c r="E1453" s="167"/>
      <c r="F1453" s="167"/>
      <c r="G1453" s="167"/>
      <c r="H1453" s="167"/>
    </row>
    <row r="1454" spans="1:8">
      <c r="A1454" s="167"/>
      <c r="B1454" s="167"/>
      <c r="C1454" s="167"/>
      <c r="D1454" s="167"/>
      <c r="E1454" s="167"/>
      <c r="F1454" s="167"/>
      <c r="G1454" s="167"/>
      <c r="H1454" s="167"/>
    </row>
    <row r="1455" spans="1:8">
      <c r="A1455" s="167"/>
      <c r="B1455" s="167"/>
      <c r="C1455" s="167"/>
      <c r="D1455" s="167"/>
      <c r="E1455" s="167"/>
      <c r="F1455" s="167"/>
      <c r="G1455" s="167"/>
      <c r="H1455" s="167"/>
    </row>
    <row r="1456" spans="1:8">
      <c r="A1456" s="167"/>
      <c r="B1456" s="167"/>
      <c r="C1456" s="167"/>
      <c r="D1456" s="167"/>
      <c r="E1456" s="167"/>
      <c r="F1456" s="167"/>
      <c r="G1456" s="167"/>
      <c r="H1456" s="167"/>
    </row>
    <row r="1457" spans="1:8">
      <c r="A1457" s="167"/>
      <c r="B1457" s="167"/>
      <c r="C1457" s="167"/>
      <c r="D1457" s="167"/>
      <c r="E1457" s="167"/>
      <c r="F1457" s="167"/>
      <c r="G1457" s="167"/>
      <c r="H1457" s="167"/>
    </row>
    <row r="1458" spans="1:8">
      <c r="A1458" s="167"/>
      <c r="B1458" s="167"/>
      <c r="C1458" s="167"/>
      <c r="D1458" s="167"/>
      <c r="E1458" s="167"/>
      <c r="F1458" s="167"/>
      <c r="G1458" s="167"/>
      <c r="H1458" s="167"/>
    </row>
    <row r="1459" spans="1:8">
      <c r="A1459" s="167"/>
      <c r="B1459" s="167"/>
      <c r="C1459" s="167"/>
      <c r="D1459" s="167"/>
      <c r="E1459" s="167"/>
      <c r="F1459" s="167"/>
      <c r="G1459" s="167"/>
      <c r="H1459" s="167"/>
    </row>
    <row r="1460" spans="1:8">
      <c r="A1460" s="167"/>
      <c r="B1460" s="167"/>
      <c r="C1460" s="167"/>
      <c r="D1460" s="167"/>
      <c r="E1460" s="167"/>
      <c r="F1460" s="167"/>
      <c r="G1460" s="167"/>
      <c r="H1460" s="167"/>
    </row>
    <row r="1461" spans="1:8">
      <c r="A1461" s="167"/>
      <c r="B1461" s="167"/>
      <c r="C1461" s="167"/>
      <c r="D1461" s="167"/>
      <c r="E1461" s="167"/>
      <c r="F1461" s="167"/>
      <c r="G1461" s="167"/>
      <c r="H1461" s="167"/>
    </row>
    <row r="1462" spans="1:8">
      <c r="A1462" s="167"/>
      <c r="B1462" s="167"/>
      <c r="C1462" s="167"/>
      <c r="D1462" s="167"/>
      <c r="E1462" s="167"/>
      <c r="F1462" s="167"/>
      <c r="G1462" s="167"/>
      <c r="H1462" s="167"/>
    </row>
    <row r="1463" spans="1:8">
      <c r="A1463" s="167"/>
      <c r="B1463" s="167"/>
      <c r="C1463" s="167"/>
      <c r="D1463" s="167"/>
      <c r="E1463" s="167"/>
      <c r="F1463" s="167"/>
      <c r="G1463" s="167"/>
      <c r="H1463" s="167"/>
    </row>
    <row r="1464" spans="1:8">
      <c r="A1464" s="167"/>
      <c r="B1464" s="167"/>
      <c r="C1464" s="167"/>
      <c r="D1464" s="167"/>
      <c r="E1464" s="167"/>
      <c r="F1464" s="167"/>
      <c r="G1464" s="167"/>
      <c r="H1464" s="167"/>
    </row>
    <row r="1465" spans="1:8">
      <c r="A1465" s="167"/>
      <c r="B1465" s="167"/>
      <c r="C1465" s="167"/>
      <c r="D1465" s="167"/>
      <c r="E1465" s="167"/>
      <c r="F1465" s="167"/>
      <c r="G1465" s="167"/>
      <c r="H1465" s="167"/>
    </row>
    <row r="1466" spans="1:8">
      <c r="A1466" s="167"/>
      <c r="B1466" s="167"/>
      <c r="C1466" s="167"/>
      <c r="D1466" s="167"/>
      <c r="E1466" s="167"/>
      <c r="F1466" s="167"/>
      <c r="G1466" s="167"/>
      <c r="H1466" s="167"/>
    </row>
    <row r="1467" spans="1:8">
      <c r="A1467" s="167"/>
      <c r="B1467" s="167"/>
      <c r="C1467" s="167"/>
      <c r="D1467" s="167"/>
      <c r="E1467" s="167"/>
      <c r="F1467" s="167"/>
      <c r="G1467" s="167"/>
      <c r="H1467" s="167"/>
    </row>
    <row r="1468" spans="1:8">
      <c r="A1468" s="167"/>
      <c r="B1468" s="167"/>
      <c r="C1468" s="167"/>
      <c r="D1468" s="167"/>
      <c r="E1468" s="167"/>
      <c r="F1468" s="167"/>
      <c r="G1468" s="167"/>
      <c r="H1468" s="167"/>
    </row>
    <row r="1469" spans="1:8">
      <c r="A1469" s="167"/>
      <c r="B1469" s="167"/>
      <c r="C1469" s="167"/>
      <c r="D1469" s="167"/>
      <c r="E1469" s="167"/>
      <c r="F1469" s="167"/>
      <c r="G1469" s="167"/>
      <c r="H1469" s="167"/>
    </row>
    <row r="1470" spans="1:8">
      <c r="A1470" s="167"/>
      <c r="B1470" s="167"/>
      <c r="C1470" s="167"/>
      <c r="D1470" s="167"/>
      <c r="E1470" s="167"/>
      <c r="F1470" s="167"/>
      <c r="G1470" s="167"/>
      <c r="H1470" s="167"/>
    </row>
    <row r="1471" spans="1:8">
      <c r="A1471" s="167"/>
      <c r="B1471" s="167"/>
      <c r="C1471" s="167"/>
      <c r="D1471" s="167"/>
      <c r="E1471" s="167"/>
      <c r="F1471" s="167"/>
      <c r="G1471" s="167"/>
      <c r="H1471" s="167"/>
    </row>
    <row r="1472" spans="1:8">
      <c r="A1472" s="167"/>
      <c r="B1472" s="167"/>
      <c r="C1472" s="167"/>
      <c r="D1472" s="167"/>
      <c r="E1472" s="167"/>
      <c r="F1472" s="167"/>
      <c r="G1472" s="167"/>
      <c r="H1472" s="167"/>
    </row>
    <row r="1473" spans="1:8">
      <c r="A1473" s="167"/>
      <c r="B1473" s="167"/>
      <c r="C1473" s="167"/>
      <c r="D1473" s="167"/>
      <c r="E1473" s="167"/>
      <c r="F1473" s="167"/>
      <c r="G1473" s="167"/>
      <c r="H1473" s="167"/>
    </row>
    <row r="1474" spans="1:8">
      <c r="A1474" s="167"/>
      <c r="B1474" s="167"/>
      <c r="C1474" s="167"/>
      <c r="D1474" s="167"/>
      <c r="E1474" s="167"/>
      <c r="F1474" s="167"/>
      <c r="G1474" s="167"/>
      <c r="H1474" s="167"/>
    </row>
    <row r="1475" spans="1:8">
      <c r="A1475" s="167"/>
      <c r="B1475" s="167"/>
      <c r="C1475" s="167"/>
      <c r="D1475" s="167"/>
      <c r="E1475" s="167"/>
      <c r="F1475" s="167"/>
      <c r="G1475" s="167"/>
      <c r="H1475" s="167"/>
    </row>
    <row r="1476" spans="1:8">
      <c r="A1476" s="167"/>
      <c r="B1476" s="167"/>
      <c r="C1476" s="167"/>
      <c r="D1476" s="167"/>
      <c r="E1476" s="167"/>
      <c r="F1476" s="167"/>
      <c r="G1476" s="167"/>
      <c r="H1476" s="167"/>
    </row>
    <row r="1477" spans="1:8">
      <c r="A1477" s="167"/>
      <c r="B1477" s="167"/>
      <c r="C1477" s="167"/>
      <c r="D1477" s="167"/>
      <c r="E1477" s="167"/>
      <c r="F1477" s="167"/>
      <c r="G1477" s="167"/>
      <c r="H1477" s="167"/>
    </row>
    <row r="1478" spans="1:8">
      <c r="A1478" s="167"/>
      <c r="B1478" s="167"/>
      <c r="C1478" s="167"/>
      <c r="D1478" s="167"/>
      <c r="E1478" s="167"/>
      <c r="F1478" s="167"/>
      <c r="G1478" s="167"/>
      <c r="H1478" s="167"/>
    </row>
    <row r="1479" spans="1:8">
      <c r="A1479" s="167"/>
      <c r="B1479" s="167"/>
      <c r="C1479" s="167"/>
      <c r="D1479" s="167"/>
      <c r="E1479" s="167"/>
      <c r="F1479" s="167"/>
      <c r="G1479" s="167"/>
      <c r="H1479" s="167"/>
    </row>
    <row r="1480" spans="1:8">
      <c r="A1480" s="167"/>
      <c r="B1480" s="167"/>
      <c r="C1480" s="167"/>
      <c r="D1480" s="167"/>
      <c r="E1480" s="167"/>
      <c r="F1480" s="167"/>
      <c r="G1480" s="167"/>
      <c r="H1480" s="167"/>
    </row>
    <row r="1481" spans="1:8">
      <c r="A1481" s="167"/>
      <c r="B1481" s="167"/>
      <c r="C1481" s="167"/>
      <c r="D1481" s="167"/>
      <c r="E1481" s="167"/>
      <c r="F1481" s="167"/>
      <c r="G1481" s="167"/>
      <c r="H1481" s="167"/>
    </row>
    <row r="1482" spans="1:8">
      <c r="A1482" s="167"/>
      <c r="B1482" s="167"/>
      <c r="C1482" s="167"/>
      <c r="D1482" s="167"/>
      <c r="E1482" s="167"/>
      <c r="F1482" s="167"/>
      <c r="G1482" s="167"/>
      <c r="H1482" s="167"/>
    </row>
    <row r="1483" spans="1:8">
      <c r="A1483" s="167"/>
      <c r="B1483" s="167"/>
      <c r="C1483" s="167"/>
      <c r="D1483" s="167"/>
      <c r="E1483" s="167"/>
      <c r="F1483" s="167"/>
      <c r="G1483" s="167"/>
      <c r="H1483" s="167"/>
    </row>
    <row r="1484" spans="1:8">
      <c r="A1484" s="167"/>
      <c r="B1484" s="167"/>
      <c r="C1484" s="167"/>
      <c r="D1484" s="167"/>
      <c r="E1484" s="167"/>
      <c r="F1484" s="167"/>
      <c r="G1484" s="167"/>
      <c r="H1484" s="167"/>
    </row>
    <row r="1485" spans="1:8">
      <c r="A1485" s="167"/>
      <c r="B1485" s="167"/>
      <c r="C1485" s="167"/>
      <c r="D1485" s="167"/>
      <c r="E1485" s="167"/>
      <c r="F1485" s="167"/>
      <c r="G1485" s="167"/>
      <c r="H1485" s="167"/>
    </row>
    <row r="1486" spans="1:8">
      <c r="A1486" s="167"/>
      <c r="B1486" s="167"/>
      <c r="C1486" s="167"/>
      <c r="D1486" s="167"/>
      <c r="E1486" s="167"/>
      <c r="F1486" s="167"/>
      <c r="G1486" s="167"/>
      <c r="H1486" s="167"/>
    </row>
    <row r="1487" spans="1:8">
      <c r="A1487" s="167"/>
      <c r="B1487" s="167"/>
      <c r="C1487" s="167"/>
      <c r="D1487" s="167"/>
      <c r="E1487" s="167"/>
      <c r="F1487" s="167"/>
      <c r="G1487" s="167"/>
      <c r="H1487" s="167"/>
    </row>
    <row r="1488" spans="1:8">
      <c r="A1488" s="167"/>
      <c r="B1488" s="167"/>
      <c r="C1488" s="167"/>
      <c r="D1488" s="167"/>
      <c r="E1488" s="167"/>
      <c r="F1488" s="167"/>
      <c r="G1488" s="167"/>
      <c r="H1488" s="167"/>
    </row>
    <row r="1489" spans="1:8">
      <c r="A1489" s="167"/>
      <c r="B1489" s="167"/>
      <c r="C1489" s="167"/>
      <c r="D1489" s="167"/>
      <c r="E1489" s="167"/>
      <c r="F1489" s="167"/>
      <c r="G1489" s="167"/>
      <c r="H1489" s="167"/>
    </row>
    <row r="1490" spans="1:8">
      <c r="A1490" s="167"/>
      <c r="B1490" s="167"/>
      <c r="C1490" s="167"/>
      <c r="D1490" s="167"/>
      <c r="E1490" s="167"/>
      <c r="F1490" s="167"/>
      <c r="G1490" s="167"/>
      <c r="H1490" s="167"/>
    </row>
    <row r="1491" spans="1:8">
      <c r="A1491" s="167"/>
      <c r="B1491" s="167"/>
      <c r="C1491" s="167"/>
      <c r="D1491" s="167"/>
      <c r="E1491" s="167"/>
      <c r="F1491" s="167"/>
      <c r="G1491" s="167"/>
      <c r="H1491" s="167"/>
    </row>
    <row r="1492" spans="1:8">
      <c r="A1492" s="167"/>
      <c r="B1492" s="167"/>
      <c r="C1492" s="167"/>
      <c r="D1492" s="167"/>
      <c r="E1492" s="167"/>
      <c r="F1492" s="167"/>
      <c r="G1492" s="167"/>
      <c r="H1492" s="167"/>
    </row>
    <row r="1493" spans="1:8">
      <c r="A1493" s="167"/>
      <c r="B1493" s="167"/>
      <c r="C1493" s="167"/>
      <c r="D1493" s="167"/>
      <c r="E1493" s="167"/>
      <c r="F1493" s="167"/>
      <c r="G1493" s="167"/>
      <c r="H1493" s="167"/>
    </row>
    <row r="1494" spans="1:8">
      <c r="A1494" s="167"/>
      <c r="B1494" s="167"/>
      <c r="C1494" s="167"/>
      <c r="D1494" s="167"/>
      <c r="E1494" s="167"/>
      <c r="F1494" s="167"/>
      <c r="G1494" s="167"/>
      <c r="H1494" s="167"/>
    </row>
    <row r="1495" spans="1:8">
      <c r="A1495" s="167"/>
      <c r="B1495" s="167"/>
      <c r="C1495" s="167"/>
      <c r="D1495" s="167"/>
      <c r="E1495" s="167"/>
      <c r="F1495" s="167"/>
      <c r="G1495" s="167"/>
      <c r="H1495" s="167"/>
    </row>
    <row r="1496" spans="1:8">
      <c r="A1496" s="167"/>
      <c r="B1496" s="167"/>
      <c r="C1496" s="167"/>
      <c r="D1496" s="167"/>
      <c r="E1496" s="167"/>
      <c r="F1496" s="167"/>
      <c r="G1496" s="167"/>
      <c r="H1496" s="167"/>
    </row>
    <row r="1497" spans="1:8">
      <c r="A1497" s="167"/>
      <c r="B1497" s="167"/>
      <c r="C1497" s="167"/>
      <c r="D1497" s="167"/>
      <c r="E1497" s="167"/>
      <c r="F1497" s="167"/>
      <c r="G1497" s="167"/>
      <c r="H1497" s="167"/>
    </row>
    <row r="1498" spans="1:8">
      <c r="A1498" s="167"/>
      <c r="B1498" s="167"/>
      <c r="C1498" s="167"/>
      <c r="D1498" s="167"/>
      <c r="E1498" s="167"/>
      <c r="F1498" s="167"/>
      <c r="G1498" s="167"/>
      <c r="H1498" s="167"/>
    </row>
    <row r="1499" spans="1:8">
      <c r="A1499" s="167"/>
      <c r="B1499" s="167"/>
      <c r="C1499" s="167"/>
      <c r="D1499" s="167"/>
      <c r="E1499" s="167"/>
      <c r="F1499" s="167"/>
      <c r="G1499" s="167"/>
      <c r="H1499" s="167"/>
    </row>
    <row r="1500" spans="1:8">
      <c r="A1500" s="167"/>
      <c r="B1500" s="167"/>
      <c r="C1500" s="167"/>
      <c r="D1500" s="167"/>
      <c r="E1500" s="167"/>
      <c r="F1500" s="167"/>
      <c r="G1500" s="167"/>
      <c r="H1500" s="167"/>
    </row>
    <row r="1501" spans="1:8">
      <c r="A1501" s="167"/>
      <c r="B1501" s="167"/>
      <c r="C1501" s="167"/>
      <c r="D1501" s="167"/>
      <c r="E1501" s="167"/>
      <c r="F1501" s="167"/>
      <c r="G1501" s="167"/>
      <c r="H1501" s="167"/>
    </row>
    <row r="1502" spans="1:8">
      <c r="A1502" s="167"/>
      <c r="B1502" s="167"/>
      <c r="C1502" s="167"/>
      <c r="D1502" s="167"/>
      <c r="E1502" s="167"/>
      <c r="F1502" s="167"/>
      <c r="G1502" s="167"/>
      <c r="H1502" s="167"/>
    </row>
    <row r="1503" spans="1:8">
      <c r="A1503" s="167"/>
      <c r="B1503" s="167"/>
      <c r="C1503" s="167"/>
      <c r="D1503" s="167"/>
      <c r="E1503" s="167"/>
      <c r="F1503" s="167"/>
      <c r="G1503" s="167"/>
      <c r="H1503" s="167"/>
    </row>
    <row r="1504" spans="1:8">
      <c r="A1504" s="167"/>
      <c r="B1504" s="167"/>
      <c r="C1504" s="167"/>
      <c r="D1504" s="167"/>
      <c r="E1504" s="167"/>
      <c r="F1504" s="167"/>
      <c r="G1504" s="167"/>
      <c r="H1504" s="167"/>
    </row>
    <row r="1505" spans="1:8">
      <c r="A1505" s="167"/>
      <c r="B1505" s="167"/>
      <c r="C1505" s="167"/>
      <c r="D1505" s="167"/>
      <c r="E1505" s="167"/>
      <c r="F1505" s="167"/>
      <c r="G1505" s="167"/>
      <c r="H1505" s="167"/>
    </row>
    <row r="1506" spans="1:8">
      <c r="A1506" s="167"/>
      <c r="B1506" s="167"/>
      <c r="C1506" s="167"/>
      <c r="D1506" s="167"/>
      <c r="E1506" s="167"/>
      <c r="F1506" s="167"/>
      <c r="G1506" s="167"/>
      <c r="H1506" s="167"/>
    </row>
    <row r="1507" spans="1:8">
      <c r="A1507" s="167"/>
      <c r="B1507" s="167"/>
      <c r="C1507" s="167"/>
      <c r="D1507" s="167"/>
      <c r="E1507" s="167"/>
      <c r="F1507" s="167"/>
      <c r="G1507" s="167"/>
      <c r="H1507" s="167"/>
    </row>
    <row r="1508" spans="1:8">
      <c r="A1508" s="167"/>
      <c r="B1508" s="167"/>
      <c r="C1508" s="167"/>
      <c r="D1508" s="167"/>
      <c r="E1508" s="167"/>
      <c r="F1508" s="167"/>
      <c r="G1508" s="167"/>
      <c r="H1508" s="167"/>
    </row>
    <row r="1509" spans="1:8">
      <c r="A1509" s="167"/>
      <c r="B1509" s="167"/>
      <c r="C1509" s="167"/>
      <c r="D1509" s="167"/>
      <c r="E1509" s="167"/>
      <c r="F1509" s="167"/>
      <c r="G1509" s="167"/>
      <c r="H1509" s="167"/>
    </row>
    <row r="1510" spans="1:8">
      <c r="A1510" s="167"/>
      <c r="B1510" s="167"/>
      <c r="C1510" s="167"/>
      <c r="D1510" s="167"/>
      <c r="E1510" s="167"/>
      <c r="F1510" s="167"/>
      <c r="G1510" s="167"/>
      <c r="H1510" s="167"/>
    </row>
    <row r="1511" spans="1:8">
      <c r="A1511" s="167"/>
      <c r="B1511" s="167"/>
      <c r="C1511" s="167"/>
      <c r="D1511" s="167"/>
      <c r="E1511" s="167"/>
      <c r="F1511" s="167"/>
      <c r="G1511" s="167"/>
      <c r="H1511" s="167"/>
    </row>
    <row r="1512" spans="1:8">
      <c r="A1512" s="167"/>
      <c r="B1512" s="167"/>
      <c r="C1512" s="167"/>
      <c r="D1512" s="167"/>
      <c r="E1512" s="167"/>
      <c r="F1512" s="167"/>
      <c r="G1512" s="167"/>
      <c r="H1512" s="167"/>
    </row>
    <row r="1513" spans="1:8">
      <c r="A1513" s="167"/>
      <c r="B1513" s="167"/>
      <c r="C1513" s="167"/>
      <c r="D1513" s="167"/>
      <c r="E1513" s="167"/>
      <c r="F1513" s="167"/>
      <c r="G1513" s="167"/>
      <c r="H1513" s="167"/>
    </row>
    <row r="1514" spans="1:8">
      <c r="A1514" s="167"/>
      <c r="B1514" s="167"/>
      <c r="C1514" s="167"/>
      <c r="D1514" s="167"/>
      <c r="E1514" s="167"/>
      <c r="F1514" s="167"/>
      <c r="G1514" s="167"/>
      <c r="H1514" s="167"/>
    </row>
    <row r="1515" spans="1:8">
      <c r="A1515" s="167"/>
      <c r="B1515" s="167"/>
      <c r="C1515" s="167"/>
      <c r="D1515" s="167"/>
      <c r="E1515" s="167"/>
      <c r="F1515" s="167"/>
      <c r="G1515" s="167"/>
      <c r="H1515" s="167"/>
    </row>
    <row r="1516" spans="1:8">
      <c r="A1516" s="167"/>
      <c r="B1516" s="167"/>
      <c r="C1516" s="167"/>
      <c r="D1516" s="167"/>
      <c r="E1516" s="167"/>
      <c r="F1516" s="167"/>
      <c r="G1516" s="167"/>
      <c r="H1516" s="167"/>
    </row>
    <row r="1517" spans="1:8">
      <c r="A1517" s="167"/>
      <c r="B1517" s="167"/>
      <c r="C1517" s="167"/>
      <c r="D1517" s="167"/>
      <c r="E1517" s="167"/>
      <c r="F1517" s="167"/>
      <c r="G1517" s="167"/>
      <c r="H1517" s="167"/>
    </row>
    <row r="1518" spans="1:8">
      <c r="A1518" s="167"/>
      <c r="B1518" s="167"/>
      <c r="C1518" s="167"/>
      <c r="D1518" s="167"/>
      <c r="E1518" s="167"/>
      <c r="F1518" s="167"/>
      <c r="G1518" s="167"/>
      <c r="H1518" s="167"/>
    </row>
    <row r="1519" spans="1:8">
      <c r="A1519" s="167"/>
      <c r="B1519" s="167"/>
      <c r="C1519" s="167"/>
      <c r="D1519" s="167"/>
      <c r="E1519" s="167"/>
      <c r="F1519" s="167"/>
      <c r="G1519" s="167"/>
      <c r="H1519" s="167"/>
    </row>
    <row r="1520" spans="1:8">
      <c r="A1520" s="167"/>
      <c r="B1520" s="167"/>
      <c r="C1520" s="167"/>
      <c r="D1520" s="167"/>
      <c r="E1520" s="167"/>
      <c r="F1520" s="167"/>
      <c r="G1520" s="167"/>
      <c r="H1520" s="167"/>
    </row>
    <row r="1521" spans="1:8">
      <c r="A1521" s="167"/>
      <c r="B1521" s="167"/>
      <c r="C1521" s="167"/>
      <c r="D1521" s="167"/>
      <c r="E1521" s="167"/>
      <c r="F1521" s="167"/>
      <c r="G1521" s="167"/>
      <c r="H1521" s="167"/>
    </row>
    <row r="1522" spans="1:8">
      <c r="A1522" s="167"/>
      <c r="B1522" s="167"/>
      <c r="C1522" s="167"/>
      <c r="D1522" s="167"/>
      <c r="E1522" s="167"/>
      <c r="F1522" s="167"/>
      <c r="G1522" s="167"/>
      <c r="H1522" s="167"/>
    </row>
    <row r="1523" spans="1:8">
      <c r="A1523" s="167"/>
      <c r="B1523" s="167"/>
      <c r="C1523" s="167"/>
      <c r="D1523" s="167"/>
      <c r="E1523" s="167"/>
      <c r="F1523" s="167"/>
      <c r="G1523" s="167"/>
      <c r="H1523" s="167"/>
    </row>
    <row r="1524" spans="1:8">
      <c r="A1524" s="167"/>
      <c r="B1524" s="167"/>
      <c r="C1524" s="167"/>
      <c r="D1524" s="167"/>
      <c r="E1524" s="167"/>
      <c r="F1524" s="167"/>
      <c r="G1524" s="167"/>
      <c r="H1524" s="167"/>
    </row>
    <row r="1525" spans="1:8">
      <c r="A1525" s="167"/>
      <c r="B1525" s="167"/>
      <c r="C1525" s="167"/>
      <c r="D1525" s="167"/>
      <c r="E1525" s="167"/>
      <c r="F1525" s="167"/>
      <c r="G1525" s="167"/>
      <c r="H1525" s="167"/>
    </row>
    <row r="1526" spans="1:8">
      <c r="A1526" s="167"/>
      <c r="B1526" s="167"/>
      <c r="C1526" s="167"/>
      <c r="D1526" s="167"/>
      <c r="E1526" s="167"/>
      <c r="F1526" s="167"/>
      <c r="G1526" s="167"/>
      <c r="H1526" s="167"/>
    </row>
    <row r="1527" spans="1:8">
      <c r="A1527" s="167"/>
      <c r="B1527" s="167"/>
      <c r="C1527" s="167"/>
      <c r="D1527" s="167"/>
      <c r="E1527" s="167"/>
      <c r="F1527" s="167"/>
      <c r="G1527" s="167"/>
      <c r="H1527" s="167"/>
    </row>
    <row r="1528" spans="1:8">
      <c r="A1528" s="167"/>
      <c r="B1528" s="167"/>
      <c r="C1528" s="167"/>
      <c r="D1528" s="167"/>
      <c r="E1528" s="167"/>
      <c r="F1528" s="167"/>
      <c r="G1528" s="167"/>
      <c r="H1528" s="167"/>
    </row>
    <row r="1529" spans="1:8">
      <c r="A1529" s="167"/>
      <c r="B1529" s="167"/>
      <c r="C1529" s="167"/>
      <c r="D1529" s="167"/>
      <c r="E1529" s="167"/>
      <c r="F1529" s="167"/>
      <c r="G1529" s="167"/>
      <c r="H1529" s="167"/>
    </row>
    <row r="1530" spans="1:8">
      <c r="A1530" s="167"/>
      <c r="B1530" s="167"/>
      <c r="C1530" s="167"/>
      <c r="D1530" s="167"/>
      <c r="E1530" s="167"/>
      <c r="F1530" s="167"/>
      <c r="G1530" s="167"/>
      <c r="H1530" s="167"/>
    </row>
    <row r="1531" spans="1:8">
      <c r="A1531" s="167"/>
      <c r="B1531" s="167"/>
      <c r="C1531" s="167"/>
      <c r="D1531" s="167"/>
      <c r="E1531" s="167"/>
      <c r="F1531" s="167"/>
      <c r="G1531" s="167"/>
      <c r="H1531" s="167"/>
    </row>
    <row r="1532" spans="1:8">
      <c r="A1532" s="167"/>
      <c r="B1532" s="167"/>
      <c r="C1532" s="167"/>
      <c r="D1532" s="167"/>
      <c r="E1532" s="167"/>
      <c r="F1532" s="167"/>
      <c r="G1532" s="167"/>
      <c r="H1532" s="167"/>
    </row>
    <row r="1533" spans="1:8">
      <c r="A1533" s="167"/>
      <c r="B1533" s="167"/>
      <c r="C1533" s="167"/>
      <c r="D1533" s="167"/>
      <c r="E1533" s="167"/>
      <c r="F1533" s="167"/>
      <c r="G1533" s="167"/>
      <c r="H1533" s="167"/>
    </row>
    <row r="1534" spans="1:8">
      <c r="A1534" s="167"/>
      <c r="B1534" s="167"/>
      <c r="C1534" s="167"/>
      <c r="D1534" s="167"/>
      <c r="E1534" s="167"/>
      <c r="F1534" s="167"/>
      <c r="G1534" s="167"/>
      <c r="H1534" s="167"/>
    </row>
    <row r="1535" spans="1:8">
      <c r="A1535" s="167"/>
      <c r="B1535" s="167"/>
      <c r="C1535" s="167"/>
      <c r="D1535" s="167"/>
      <c r="E1535" s="167"/>
      <c r="F1535" s="167"/>
      <c r="G1535" s="167"/>
      <c r="H1535" s="167"/>
    </row>
    <row r="1536" spans="1:8">
      <c r="A1536" s="167"/>
      <c r="B1536" s="167"/>
      <c r="C1536" s="167"/>
      <c r="D1536" s="167"/>
      <c r="E1536" s="167"/>
      <c r="F1536" s="167"/>
      <c r="G1536" s="167"/>
      <c r="H1536" s="167"/>
    </row>
    <row r="1537" spans="1:8">
      <c r="A1537" s="167"/>
      <c r="B1537" s="167"/>
      <c r="C1537" s="167"/>
      <c r="D1537" s="167"/>
      <c r="E1537" s="167"/>
      <c r="F1537" s="167"/>
      <c r="G1537" s="167"/>
      <c r="H1537" s="167"/>
    </row>
    <row r="1538" spans="1:8">
      <c r="A1538" s="167"/>
      <c r="B1538" s="167"/>
      <c r="C1538" s="167"/>
      <c r="D1538" s="167"/>
      <c r="E1538" s="167"/>
      <c r="F1538" s="167"/>
      <c r="G1538" s="167"/>
      <c r="H1538" s="167"/>
    </row>
    <row r="1539" spans="1:8">
      <c r="A1539" s="167"/>
      <c r="B1539" s="167"/>
      <c r="C1539" s="167"/>
      <c r="D1539" s="167"/>
      <c r="E1539" s="167"/>
      <c r="F1539" s="167"/>
      <c r="G1539" s="167"/>
      <c r="H1539" s="167"/>
    </row>
    <row r="1540" spans="1:8">
      <c r="A1540" s="167"/>
      <c r="B1540" s="167"/>
      <c r="C1540" s="167"/>
      <c r="D1540" s="167"/>
      <c r="E1540" s="167"/>
      <c r="F1540" s="167"/>
      <c r="G1540" s="167"/>
      <c r="H1540" s="167"/>
    </row>
    <row r="1541" spans="1:8">
      <c r="A1541" s="167"/>
      <c r="B1541" s="167"/>
      <c r="C1541" s="167"/>
      <c r="D1541" s="167"/>
      <c r="E1541" s="167"/>
      <c r="F1541" s="167"/>
      <c r="G1541" s="167"/>
      <c r="H1541" s="167"/>
    </row>
    <row r="1542" spans="1:8">
      <c r="A1542" s="167"/>
      <c r="B1542" s="167"/>
      <c r="C1542" s="167"/>
      <c r="D1542" s="167"/>
      <c r="E1542" s="167"/>
      <c r="F1542" s="167"/>
      <c r="G1542" s="167"/>
      <c r="H1542" s="167"/>
    </row>
    <row r="1543" spans="1:8">
      <c r="A1543" s="167"/>
      <c r="B1543" s="167"/>
      <c r="C1543" s="167"/>
      <c r="D1543" s="167"/>
      <c r="E1543" s="167"/>
      <c r="F1543" s="167"/>
      <c r="G1543" s="167"/>
      <c r="H1543" s="167"/>
    </row>
    <row r="1544" spans="1:8">
      <c r="A1544" s="167"/>
      <c r="B1544" s="167"/>
      <c r="C1544" s="167"/>
      <c r="D1544" s="167"/>
      <c r="E1544" s="167"/>
      <c r="F1544" s="167"/>
      <c r="G1544" s="167"/>
      <c r="H1544" s="167"/>
    </row>
    <row r="1545" spans="1:8">
      <c r="A1545" s="167"/>
      <c r="B1545" s="167"/>
      <c r="C1545" s="167"/>
      <c r="D1545" s="167"/>
      <c r="E1545" s="167"/>
      <c r="F1545" s="167"/>
      <c r="G1545" s="167"/>
      <c r="H1545" s="167"/>
    </row>
    <row r="1546" spans="1:8">
      <c r="A1546" s="167"/>
      <c r="B1546" s="167"/>
      <c r="C1546" s="167"/>
      <c r="D1546" s="167"/>
      <c r="E1546" s="167"/>
      <c r="F1546" s="167"/>
      <c r="G1546" s="167"/>
      <c r="H1546" s="167"/>
    </row>
    <row r="1547" spans="1:8">
      <c r="A1547" s="167"/>
      <c r="B1547" s="167"/>
      <c r="C1547" s="167"/>
      <c r="D1547" s="167"/>
      <c r="E1547" s="167"/>
      <c r="F1547" s="167"/>
      <c r="G1547" s="167"/>
      <c r="H1547" s="167"/>
    </row>
    <row r="1548" spans="1:8">
      <c r="A1548" s="167"/>
      <c r="B1548" s="167"/>
      <c r="C1548" s="167"/>
      <c r="D1548" s="167"/>
      <c r="E1548" s="167"/>
      <c r="F1548" s="167"/>
      <c r="G1548" s="167"/>
      <c r="H1548" s="167"/>
    </row>
    <row r="1549" spans="1:8">
      <c r="A1549" s="167"/>
      <c r="B1549" s="167"/>
      <c r="C1549" s="167"/>
      <c r="D1549" s="167"/>
      <c r="E1549" s="167"/>
      <c r="F1549" s="167"/>
      <c r="G1549" s="167"/>
      <c r="H1549" s="167"/>
    </row>
    <row r="1550" spans="1:8">
      <c r="A1550" s="167"/>
      <c r="B1550" s="167"/>
      <c r="C1550" s="167"/>
      <c r="D1550" s="167"/>
      <c r="E1550" s="167"/>
      <c r="F1550" s="167"/>
      <c r="G1550" s="167"/>
      <c r="H1550" s="167"/>
    </row>
    <row r="1551" spans="1:8">
      <c r="A1551" s="167"/>
      <c r="B1551" s="167"/>
      <c r="C1551" s="167"/>
      <c r="D1551" s="167"/>
      <c r="E1551" s="167"/>
      <c r="F1551" s="167"/>
      <c r="G1551" s="167"/>
      <c r="H1551" s="167"/>
    </row>
    <row r="1552" spans="1:8">
      <c r="A1552" s="167"/>
      <c r="B1552" s="167"/>
      <c r="C1552" s="167"/>
      <c r="D1552" s="167"/>
      <c r="E1552" s="167"/>
      <c r="F1552" s="167"/>
      <c r="G1552" s="167"/>
      <c r="H1552" s="167"/>
    </row>
    <row r="1553" spans="1:8">
      <c r="A1553" s="167"/>
      <c r="B1553" s="167"/>
      <c r="C1553" s="167"/>
      <c r="D1553" s="167"/>
      <c r="E1553" s="167"/>
      <c r="F1553" s="167"/>
      <c r="G1553" s="167"/>
      <c r="H1553" s="167"/>
    </row>
    <row r="1554" spans="1:8">
      <c r="A1554" s="167"/>
      <c r="B1554" s="167"/>
      <c r="C1554" s="167"/>
      <c r="D1554" s="167"/>
      <c r="E1554" s="167"/>
      <c r="F1554" s="167"/>
      <c r="G1554" s="167"/>
      <c r="H1554" s="167"/>
    </row>
    <row r="1555" spans="1:8">
      <c r="A1555" s="167"/>
      <c r="B1555" s="167"/>
      <c r="C1555" s="167"/>
      <c r="D1555" s="167"/>
      <c r="E1555" s="167"/>
      <c r="F1555" s="167"/>
      <c r="G1555" s="167"/>
      <c r="H1555" s="167"/>
    </row>
    <row r="1556" spans="1:8">
      <c r="A1556" s="167"/>
      <c r="B1556" s="167"/>
      <c r="C1556" s="167"/>
      <c r="D1556" s="167"/>
      <c r="E1556" s="167"/>
      <c r="F1556" s="167"/>
      <c r="G1556" s="167"/>
      <c r="H1556" s="167"/>
    </row>
    <row r="1557" spans="1:8">
      <c r="A1557" s="167"/>
      <c r="B1557" s="167"/>
      <c r="C1557" s="167"/>
      <c r="D1557" s="167"/>
      <c r="E1557" s="167"/>
      <c r="F1557" s="167"/>
      <c r="G1557" s="167"/>
      <c r="H1557" s="167"/>
    </row>
    <row r="1558" spans="1:8">
      <c r="A1558" s="167"/>
      <c r="B1558" s="167"/>
      <c r="C1558" s="167"/>
      <c r="D1558" s="167"/>
      <c r="E1558" s="167"/>
      <c r="F1558" s="167"/>
      <c r="G1558" s="167"/>
      <c r="H1558" s="167"/>
    </row>
    <row r="1559" spans="1:8">
      <c r="A1559" s="167"/>
      <c r="B1559" s="167"/>
      <c r="C1559" s="167"/>
      <c r="D1559" s="167"/>
      <c r="E1559" s="167"/>
      <c r="F1559" s="167"/>
      <c r="G1559" s="167"/>
      <c r="H1559" s="167"/>
    </row>
    <row r="1560" spans="1:8">
      <c r="A1560" s="167"/>
      <c r="B1560" s="167"/>
      <c r="C1560" s="167"/>
      <c r="D1560" s="167"/>
      <c r="E1560" s="167"/>
      <c r="F1560" s="167"/>
      <c r="G1560" s="167"/>
      <c r="H1560" s="167"/>
    </row>
    <row r="1561" spans="1:8">
      <c r="A1561" s="167"/>
      <c r="B1561" s="167"/>
      <c r="C1561" s="167"/>
      <c r="D1561" s="167"/>
      <c r="E1561" s="167"/>
      <c r="F1561" s="167"/>
      <c r="G1561" s="167"/>
      <c r="H1561" s="167"/>
    </row>
    <row r="1562" spans="1:8">
      <c r="A1562" s="167"/>
      <c r="B1562" s="167"/>
      <c r="C1562" s="167"/>
      <c r="D1562" s="167"/>
      <c r="E1562" s="167"/>
      <c r="F1562" s="167"/>
      <c r="G1562" s="167"/>
      <c r="H1562" s="167"/>
    </row>
    <row r="1563" spans="1:8">
      <c r="A1563" s="167"/>
      <c r="B1563" s="167"/>
      <c r="C1563" s="167"/>
      <c r="D1563" s="167"/>
      <c r="E1563" s="167"/>
      <c r="F1563" s="167"/>
      <c r="G1563" s="167"/>
      <c r="H1563" s="167"/>
    </row>
    <row r="1564" spans="1:8">
      <c r="A1564" s="167"/>
      <c r="B1564" s="167"/>
      <c r="C1564" s="167"/>
      <c r="D1564" s="167"/>
      <c r="E1564" s="167"/>
      <c r="F1564" s="167"/>
      <c r="G1564" s="167"/>
      <c r="H1564" s="167"/>
    </row>
    <row r="1565" spans="1:8">
      <c r="A1565" s="167"/>
      <c r="B1565" s="167"/>
      <c r="C1565" s="167"/>
      <c r="D1565" s="167"/>
      <c r="E1565" s="167"/>
      <c r="F1565" s="167"/>
      <c r="G1565" s="167"/>
      <c r="H1565" s="167"/>
    </row>
    <row r="1566" spans="1:8">
      <c r="A1566" s="167"/>
      <c r="B1566" s="167"/>
      <c r="C1566" s="167"/>
      <c r="D1566" s="167"/>
      <c r="E1566" s="167"/>
      <c r="F1566" s="167"/>
      <c r="G1566" s="167"/>
      <c r="H1566" s="167"/>
    </row>
    <row r="1567" spans="1:8">
      <c r="A1567" s="167"/>
      <c r="B1567" s="167"/>
      <c r="C1567" s="167"/>
      <c r="D1567" s="167"/>
      <c r="E1567" s="167"/>
      <c r="F1567" s="167"/>
      <c r="G1567" s="167"/>
      <c r="H1567" s="167"/>
    </row>
    <row r="1568" spans="1:8">
      <c r="A1568" s="167"/>
      <c r="B1568" s="167"/>
      <c r="C1568" s="167"/>
      <c r="D1568" s="167"/>
      <c r="E1568" s="167"/>
      <c r="F1568" s="167"/>
      <c r="G1568" s="167"/>
      <c r="H1568" s="167"/>
    </row>
    <row r="1569" spans="1:8">
      <c r="A1569" s="167"/>
      <c r="B1569" s="167"/>
      <c r="C1569" s="167"/>
      <c r="D1569" s="167"/>
      <c r="E1569" s="167"/>
      <c r="F1569" s="167"/>
      <c r="G1569" s="167"/>
      <c r="H1569" s="167"/>
    </row>
    <row r="1570" spans="1:8">
      <c r="A1570" s="167"/>
      <c r="B1570" s="167"/>
      <c r="C1570" s="167"/>
      <c r="D1570" s="167"/>
      <c r="E1570" s="167"/>
      <c r="F1570" s="167"/>
      <c r="G1570" s="167"/>
      <c r="H1570" s="167"/>
    </row>
    <row r="1571" spans="1:8">
      <c r="A1571" s="167"/>
      <c r="B1571" s="167"/>
      <c r="C1571" s="167"/>
      <c r="D1571" s="167"/>
      <c r="E1571" s="167"/>
      <c r="F1571" s="167"/>
      <c r="G1571" s="167"/>
      <c r="H1571" s="167"/>
    </row>
    <row r="1572" spans="1:8">
      <c r="A1572" s="167"/>
      <c r="B1572" s="167"/>
      <c r="C1572" s="167"/>
      <c r="D1572" s="167"/>
      <c r="E1572" s="167"/>
      <c r="F1572" s="167"/>
      <c r="G1572" s="167"/>
      <c r="H1572" s="167"/>
    </row>
    <row r="1573" spans="1:8">
      <c r="A1573" s="167"/>
      <c r="B1573" s="167"/>
      <c r="C1573" s="167"/>
      <c r="D1573" s="167"/>
      <c r="E1573" s="167"/>
      <c r="F1573" s="167"/>
      <c r="G1573" s="167"/>
      <c r="H1573" s="167"/>
    </row>
    <row r="1574" spans="1:8">
      <c r="A1574" s="167"/>
      <c r="B1574" s="167"/>
      <c r="C1574" s="167"/>
      <c r="D1574" s="167"/>
      <c r="E1574" s="167"/>
      <c r="F1574" s="167"/>
      <c r="G1574" s="167"/>
      <c r="H1574" s="167"/>
    </row>
    <row r="1575" spans="1:8">
      <c r="A1575" s="167"/>
      <c r="B1575" s="167"/>
      <c r="C1575" s="167"/>
      <c r="D1575" s="167"/>
      <c r="E1575" s="167"/>
      <c r="F1575" s="167"/>
      <c r="G1575" s="167"/>
      <c r="H1575" s="167"/>
    </row>
    <row r="1576" spans="1:8">
      <c r="A1576" s="167"/>
      <c r="B1576" s="167"/>
      <c r="C1576" s="167"/>
      <c r="D1576" s="167"/>
      <c r="E1576" s="167"/>
      <c r="F1576" s="167"/>
      <c r="G1576" s="167"/>
      <c r="H1576" s="167"/>
    </row>
    <row r="1577" spans="1:8">
      <c r="A1577" s="167"/>
      <c r="B1577" s="167"/>
      <c r="C1577" s="167"/>
      <c r="D1577" s="167"/>
      <c r="E1577" s="167"/>
      <c r="F1577" s="167"/>
      <c r="G1577" s="167"/>
      <c r="H1577" s="167"/>
    </row>
    <row r="1578" spans="1:8">
      <c r="A1578" s="167"/>
      <c r="B1578" s="167"/>
      <c r="C1578" s="167"/>
      <c r="D1578" s="167"/>
      <c r="E1578" s="167"/>
      <c r="F1578" s="167"/>
      <c r="G1578" s="167"/>
      <c r="H1578" s="167"/>
    </row>
    <row r="1579" spans="1:8">
      <c r="A1579" s="167"/>
      <c r="B1579" s="167"/>
      <c r="C1579" s="167"/>
      <c r="D1579" s="167"/>
      <c r="E1579" s="167"/>
      <c r="F1579" s="167"/>
      <c r="G1579" s="167"/>
      <c r="H1579" s="167"/>
    </row>
    <row r="1580" spans="1:8">
      <c r="A1580" s="167"/>
      <c r="B1580" s="167"/>
      <c r="C1580" s="167"/>
      <c r="D1580" s="167"/>
      <c r="E1580" s="167"/>
      <c r="F1580" s="167"/>
      <c r="G1580" s="167"/>
      <c r="H1580" s="167"/>
    </row>
    <row r="1581" spans="1:8">
      <c r="A1581" s="167"/>
      <c r="B1581" s="167"/>
      <c r="C1581" s="167"/>
      <c r="D1581" s="167"/>
      <c r="E1581" s="167"/>
      <c r="F1581" s="167"/>
      <c r="G1581" s="167"/>
      <c r="H1581" s="167"/>
    </row>
    <row r="1582" spans="1:8">
      <c r="A1582" s="167"/>
      <c r="B1582" s="167"/>
      <c r="C1582" s="167"/>
      <c r="D1582" s="167"/>
      <c r="E1582" s="167"/>
      <c r="F1582" s="167"/>
      <c r="G1582" s="167"/>
      <c r="H1582" s="167"/>
    </row>
    <row r="1583" spans="1:8">
      <c r="A1583" s="167"/>
      <c r="B1583" s="167"/>
      <c r="C1583" s="167"/>
      <c r="D1583" s="167"/>
      <c r="E1583" s="167"/>
      <c r="F1583" s="167"/>
      <c r="G1583" s="167"/>
      <c r="H1583" s="167"/>
    </row>
    <row r="1584" spans="1:8">
      <c r="A1584" s="167"/>
      <c r="B1584" s="167"/>
      <c r="C1584" s="167"/>
      <c r="D1584" s="167"/>
      <c r="E1584" s="167"/>
      <c r="F1584" s="167"/>
      <c r="G1584" s="167"/>
      <c r="H1584" s="167"/>
    </row>
    <row r="1585" spans="1:8">
      <c r="A1585" s="167"/>
      <c r="B1585" s="167"/>
      <c r="C1585" s="167"/>
      <c r="D1585" s="167"/>
      <c r="E1585" s="167"/>
      <c r="F1585" s="167"/>
      <c r="G1585" s="167"/>
      <c r="H1585" s="167"/>
    </row>
    <row r="1586" spans="1:8">
      <c r="A1586" s="167"/>
      <c r="B1586" s="167"/>
      <c r="C1586" s="167"/>
      <c r="D1586" s="167"/>
      <c r="E1586" s="167"/>
      <c r="F1586" s="167"/>
      <c r="G1586" s="167"/>
      <c r="H1586" s="167"/>
    </row>
    <row r="1587" spans="1:8">
      <c r="A1587" s="167"/>
      <c r="B1587" s="167"/>
      <c r="C1587" s="167"/>
      <c r="D1587" s="167"/>
      <c r="E1587" s="167"/>
      <c r="F1587" s="167"/>
      <c r="G1587" s="167"/>
      <c r="H1587" s="167"/>
    </row>
    <row r="1588" spans="1:8">
      <c r="A1588" s="167"/>
      <c r="B1588" s="167"/>
      <c r="C1588" s="167"/>
      <c r="D1588" s="167"/>
      <c r="E1588" s="167"/>
      <c r="F1588" s="167"/>
      <c r="G1588" s="167"/>
      <c r="H1588" s="167"/>
    </row>
    <row r="1589" spans="1:8">
      <c r="A1589" s="167"/>
      <c r="B1589" s="167"/>
      <c r="C1589" s="167"/>
      <c r="D1589" s="167"/>
      <c r="E1589" s="167"/>
      <c r="F1589" s="167"/>
      <c r="G1589" s="167"/>
      <c r="H1589" s="167"/>
    </row>
    <row r="1590" spans="1:8">
      <c r="A1590" s="167"/>
      <c r="B1590" s="167"/>
      <c r="C1590" s="167"/>
      <c r="D1590" s="167"/>
      <c r="E1590" s="167"/>
      <c r="F1590" s="167"/>
      <c r="G1590" s="167"/>
      <c r="H1590" s="167"/>
    </row>
    <row r="1591" spans="1:8">
      <c r="A1591" s="167"/>
      <c r="B1591" s="167"/>
      <c r="C1591" s="167"/>
      <c r="D1591" s="167"/>
      <c r="E1591" s="167"/>
      <c r="F1591" s="167"/>
      <c r="G1591" s="167"/>
      <c r="H1591" s="167"/>
    </row>
    <row r="1592" spans="1:8">
      <c r="A1592" s="167"/>
      <c r="B1592" s="167"/>
      <c r="C1592" s="167"/>
      <c r="D1592" s="167"/>
      <c r="E1592" s="167"/>
      <c r="F1592" s="167"/>
      <c r="G1592" s="167"/>
      <c r="H1592" s="167"/>
    </row>
    <row r="1593" spans="1:8">
      <c r="A1593" s="167"/>
      <c r="B1593" s="167"/>
      <c r="C1593" s="167"/>
      <c r="D1593" s="167"/>
      <c r="E1593" s="167"/>
      <c r="F1593" s="167"/>
      <c r="G1593" s="167"/>
      <c r="H1593" s="167"/>
    </row>
    <row r="1594" spans="1:8">
      <c r="A1594" s="167"/>
      <c r="B1594" s="167"/>
      <c r="C1594" s="167"/>
      <c r="D1594" s="167"/>
      <c r="E1594" s="167"/>
      <c r="F1594" s="167"/>
      <c r="G1594" s="167"/>
      <c r="H1594" s="167"/>
    </row>
    <row r="1595" spans="1:8">
      <c r="A1595" s="167"/>
      <c r="B1595" s="167"/>
      <c r="C1595" s="167"/>
      <c r="D1595" s="167"/>
      <c r="E1595" s="167"/>
      <c r="F1595" s="167"/>
      <c r="G1595" s="167"/>
      <c r="H1595" s="167"/>
    </row>
    <row r="1596" spans="1:8">
      <c r="A1596" s="167"/>
      <c r="B1596" s="167"/>
      <c r="C1596" s="167"/>
      <c r="D1596" s="167"/>
      <c r="E1596" s="167"/>
      <c r="F1596" s="167"/>
      <c r="G1596" s="167"/>
      <c r="H1596" s="167"/>
    </row>
    <row r="1597" spans="1:8">
      <c r="A1597" s="167"/>
      <c r="B1597" s="167"/>
      <c r="C1597" s="167"/>
      <c r="D1597" s="167"/>
      <c r="E1597" s="167"/>
      <c r="F1597" s="167"/>
      <c r="G1597" s="167"/>
      <c r="H1597" s="167"/>
    </row>
    <row r="1598" spans="1:8">
      <c r="A1598" s="167"/>
      <c r="B1598" s="167"/>
      <c r="C1598" s="167"/>
      <c r="D1598" s="167"/>
      <c r="E1598" s="167"/>
      <c r="F1598" s="167"/>
      <c r="G1598" s="167"/>
      <c r="H1598" s="167"/>
    </row>
    <row r="1599" spans="1:8">
      <c r="A1599" s="167"/>
      <c r="B1599" s="167"/>
      <c r="C1599" s="167"/>
      <c r="D1599" s="167"/>
      <c r="E1599" s="167"/>
      <c r="F1599" s="167"/>
      <c r="G1599" s="167"/>
      <c r="H1599" s="167"/>
    </row>
    <row r="1600" spans="1:8">
      <c r="A1600" s="167"/>
      <c r="B1600" s="167"/>
      <c r="C1600" s="167"/>
      <c r="D1600" s="167"/>
      <c r="E1600" s="167"/>
      <c r="F1600" s="167"/>
      <c r="G1600" s="167"/>
      <c r="H1600" s="167"/>
    </row>
    <row r="1601" spans="1:8">
      <c r="A1601" s="167"/>
      <c r="B1601" s="167"/>
      <c r="C1601" s="167"/>
      <c r="D1601" s="167"/>
      <c r="E1601" s="167"/>
      <c r="F1601" s="167"/>
      <c r="G1601" s="167"/>
      <c r="H1601" s="167"/>
    </row>
    <row r="1602" spans="1:8">
      <c r="A1602" s="167"/>
      <c r="B1602" s="167"/>
      <c r="C1602" s="167"/>
      <c r="D1602" s="167"/>
      <c r="E1602" s="167"/>
      <c r="F1602" s="167"/>
      <c r="G1602" s="167"/>
      <c r="H1602" s="167"/>
    </row>
    <row r="1603" spans="1:8">
      <c r="A1603" s="167"/>
      <c r="B1603" s="167"/>
      <c r="C1603" s="167"/>
      <c r="D1603" s="167"/>
      <c r="E1603" s="167"/>
      <c r="F1603" s="167"/>
      <c r="G1603" s="167"/>
      <c r="H1603" s="167"/>
    </row>
    <row r="1604" spans="1:8">
      <c r="A1604" s="167"/>
      <c r="B1604" s="167"/>
      <c r="C1604" s="167"/>
      <c r="D1604" s="167"/>
      <c r="E1604" s="167"/>
      <c r="F1604" s="167"/>
      <c r="G1604" s="167"/>
      <c r="H1604" s="167"/>
    </row>
    <row r="1605" spans="1:8">
      <c r="A1605" s="167"/>
      <c r="B1605" s="167"/>
      <c r="C1605" s="167"/>
      <c r="D1605" s="167"/>
      <c r="E1605" s="167"/>
      <c r="F1605" s="167"/>
      <c r="G1605" s="167"/>
      <c r="H1605" s="167"/>
    </row>
    <row r="1606" spans="1:8">
      <c r="A1606" s="167"/>
      <c r="B1606" s="167"/>
      <c r="C1606" s="167"/>
      <c r="D1606" s="167"/>
      <c r="E1606" s="167"/>
      <c r="F1606" s="167"/>
      <c r="G1606" s="167"/>
      <c r="H1606" s="167"/>
    </row>
    <row r="1607" spans="1:8">
      <c r="A1607" s="167"/>
      <c r="B1607" s="167"/>
      <c r="C1607" s="167"/>
      <c r="D1607" s="167"/>
      <c r="E1607" s="167"/>
      <c r="F1607" s="167"/>
      <c r="G1607" s="167"/>
      <c r="H1607" s="167"/>
    </row>
    <row r="1608" spans="1:8">
      <c r="A1608" s="167"/>
      <c r="B1608" s="167"/>
      <c r="C1608" s="167"/>
      <c r="D1608" s="167"/>
      <c r="E1608" s="167"/>
      <c r="F1608" s="167"/>
      <c r="G1608" s="167"/>
      <c r="H1608" s="167"/>
    </row>
    <row r="1609" spans="1:8">
      <c r="A1609" s="167"/>
      <c r="B1609" s="167"/>
      <c r="C1609" s="167"/>
      <c r="D1609" s="167"/>
      <c r="E1609" s="167"/>
      <c r="F1609" s="167"/>
      <c r="G1609" s="167"/>
      <c r="H1609" s="167"/>
    </row>
    <row r="1610" spans="1:8">
      <c r="A1610" s="167"/>
      <c r="B1610" s="167"/>
      <c r="C1610" s="167"/>
      <c r="D1610" s="167"/>
      <c r="E1610" s="167"/>
      <c r="F1610" s="167"/>
      <c r="G1610" s="167"/>
      <c r="H1610" s="167"/>
    </row>
    <row r="1611" spans="1:8">
      <c r="A1611" s="167"/>
      <c r="B1611" s="167"/>
      <c r="C1611" s="167"/>
      <c r="D1611" s="167"/>
      <c r="E1611" s="167"/>
      <c r="F1611" s="167"/>
      <c r="G1611" s="167"/>
      <c r="H1611" s="167"/>
    </row>
    <row r="1612" spans="1:8">
      <c r="A1612" s="167"/>
      <c r="B1612" s="167"/>
      <c r="C1612" s="167"/>
      <c r="D1612" s="167"/>
      <c r="E1612" s="167"/>
      <c r="F1612" s="167"/>
      <c r="G1612" s="167"/>
      <c r="H1612" s="167"/>
    </row>
    <row r="1613" spans="1:8">
      <c r="A1613" s="167"/>
      <c r="B1613" s="167"/>
      <c r="C1613" s="167"/>
      <c r="D1613" s="167"/>
      <c r="E1613" s="167"/>
      <c r="F1613" s="167"/>
      <c r="G1613" s="167"/>
      <c r="H1613" s="167"/>
    </row>
    <row r="1614" spans="1:8">
      <c r="A1614" s="167"/>
      <c r="B1614" s="167"/>
      <c r="C1614" s="167"/>
      <c r="D1614" s="167"/>
      <c r="E1614" s="167"/>
      <c r="F1614" s="167"/>
      <c r="G1614" s="167"/>
      <c r="H1614" s="167"/>
    </row>
    <row r="1615" spans="1:8">
      <c r="A1615" s="167"/>
      <c r="B1615" s="167"/>
      <c r="C1615" s="167"/>
      <c r="D1615" s="167"/>
      <c r="E1615" s="167"/>
      <c r="F1615" s="167"/>
      <c r="G1615" s="167"/>
      <c r="H1615" s="167"/>
    </row>
    <row r="1616" spans="1:8">
      <c r="A1616" s="167"/>
      <c r="B1616" s="167"/>
      <c r="C1616" s="167"/>
      <c r="D1616" s="167"/>
      <c r="E1616" s="167"/>
      <c r="F1616" s="167"/>
      <c r="G1616" s="167"/>
      <c r="H1616" s="167"/>
    </row>
    <row r="1617" spans="1:8">
      <c r="A1617" s="167"/>
      <c r="B1617" s="167"/>
      <c r="C1617" s="167"/>
      <c r="D1617" s="167"/>
      <c r="E1617" s="167"/>
      <c r="F1617" s="167"/>
      <c r="G1617" s="167"/>
      <c r="H1617" s="167"/>
    </row>
    <row r="1618" spans="1:8">
      <c r="A1618" s="167"/>
      <c r="B1618" s="167"/>
      <c r="C1618" s="167"/>
      <c r="D1618" s="167"/>
      <c r="E1618" s="167"/>
      <c r="F1618" s="167"/>
      <c r="G1618" s="167"/>
      <c r="H1618" s="167"/>
    </row>
    <row r="1619" spans="1:8">
      <c r="A1619" s="167"/>
      <c r="B1619" s="167"/>
      <c r="C1619" s="167"/>
      <c r="D1619" s="167"/>
      <c r="E1619" s="167"/>
      <c r="F1619" s="167"/>
      <c r="G1619" s="167"/>
      <c r="H1619" s="167"/>
    </row>
    <row r="1620" spans="1:8">
      <c r="A1620" s="167"/>
      <c r="B1620" s="167"/>
      <c r="C1620" s="167"/>
      <c r="D1620" s="167"/>
      <c r="E1620" s="167"/>
      <c r="F1620" s="167"/>
      <c r="G1620" s="167"/>
      <c r="H1620" s="167"/>
    </row>
    <row r="1621" spans="1:8">
      <c r="A1621" s="167"/>
      <c r="B1621" s="167"/>
      <c r="C1621" s="167"/>
      <c r="D1621" s="167"/>
      <c r="E1621" s="167"/>
      <c r="F1621" s="167"/>
      <c r="G1621" s="167"/>
      <c r="H1621" s="167"/>
    </row>
    <row r="1622" spans="1:8">
      <c r="A1622" s="167"/>
      <c r="B1622" s="167"/>
      <c r="C1622" s="167"/>
      <c r="D1622" s="167"/>
      <c r="E1622" s="167"/>
      <c r="F1622" s="167"/>
      <c r="G1622" s="167"/>
      <c r="H1622" s="167"/>
    </row>
    <row r="1623" spans="1:8">
      <c r="A1623" s="167"/>
      <c r="B1623" s="167"/>
      <c r="C1623" s="167"/>
      <c r="D1623" s="167"/>
      <c r="E1623" s="167"/>
      <c r="F1623" s="167"/>
      <c r="G1623" s="167"/>
      <c r="H1623" s="167"/>
    </row>
    <row r="1624" spans="1:8">
      <c r="A1624" s="167"/>
      <c r="B1624" s="167"/>
      <c r="C1624" s="167"/>
      <c r="D1624" s="167"/>
      <c r="E1624" s="167"/>
      <c r="F1624" s="167"/>
      <c r="G1624" s="167"/>
      <c r="H1624" s="167"/>
    </row>
    <row r="1625" spans="1:8">
      <c r="A1625" s="167"/>
      <c r="B1625" s="167"/>
      <c r="C1625" s="167"/>
      <c r="D1625" s="167"/>
      <c r="E1625" s="167"/>
      <c r="F1625" s="167"/>
      <c r="G1625" s="167"/>
      <c r="H1625" s="167"/>
    </row>
    <row r="1626" spans="1:8">
      <c r="A1626" s="167"/>
      <c r="B1626" s="167"/>
      <c r="C1626" s="167"/>
      <c r="D1626" s="167"/>
      <c r="E1626" s="167"/>
      <c r="F1626" s="167"/>
      <c r="G1626" s="167"/>
      <c r="H1626" s="167"/>
    </row>
    <row r="1627" spans="1:8">
      <c r="A1627" s="167"/>
      <c r="B1627" s="167"/>
      <c r="C1627" s="167"/>
      <c r="D1627" s="167"/>
      <c r="E1627" s="167"/>
      <c r="F1627" s="167"/>
      <c r="G1627" s="167"/>
      <c r="H1627" s="167"/>
    </row>
    <row r="1628" spans="1:8">
      <c r="A1628" s="167"/>
      <c r="B1628" s="167"/>
      <c r="C1628" s="167"/>
      <c r="D1628" s="167"/>
      <c r="E1628" s="167"/>
      <c r="F1628" s="167"/>
      <c r="G1628" s="167"/>
      <c r="H1628" s="167"/>
    </row>
    <row r="1629" spans="1:8">
      <c r="A1629" s="167"/>
      <c r="B1629" s="167"/>
      <c r="C1629" s="167"/>
      <c r="D1629" s="167"/>
      <c r="E1629" s="167"/>
      <c r="F1629" s="167"/>
      <c r="G1629" s="167"/>
      <c r="H1629" s="167"/>
    </row>
    <row r="1630" spans="1:8">
      <c r="A1630" s="167"/>
      <c r="B1630" s="167"/>
      <c r="C1630" s="167"/>
      <c r="D1630" s="167"/>
      <c r="E1630" s="167"/>
      <c r="F1630" s="167"/>
      <c r="G1630" s="167"/>
      <c r="H1630" s="167"/>
    </row>
    <row r="1631" spans="1:8">
      <c r="A1631" s="167"/>
      <c r="B1631" s="167"/>
      <c r="C1631" s="167"/>
      <c r="D1631" s="167"/>
      <c r="E1631" s="167"/>
      <c r="F1631" s="167"/>
      <c r="G1631" s="167"/>
      <c r="H1631" s="167"/>
    </row>
    <row r="1632" spans="1:8">
      <c r="A1632" s="167"/>
      <c r="B1632" s="167"/>
      <c r="C1632" s="167"/>
      <c r="D1632" s="167"/>
      <c r="E1632" s="167"/>
      <c r="F1632" s="167"/>
      <c r="G1632" s="167"/>
      <c r="H1632" s="167"/>
    </row>
    <row r="1633" spans="1:8">
      <c r="A1633" s="167"/>
      <c r="B1633" s="167"/>
      <c r="C1633" s="167"/>
      <c r="D1633" s="167"/>
      <c r="E1633" s="167"/>
      <c r="F1633" s="167"/>
      <c r="G1633" s="167"/>
      <c r="H1633" s="167"/>
    </row>
    <row r="1634" spans="1:8">
      <c r="A1634" s="167"/>
      <c r="B1634" s="167"/>
      <c r="C1634" s="167"/>
      <c r="D1634" s="167"/>
      <c r="E1634" s="167"/>
      <c r="F1634" s="167"/>
      <c r="G1634" s="167"/>
      <c r="H1634" s="167"/>
    </row>
    <row r="1635" spans="1:8">
      <c r="A1635" s="167"/>
      <c r="B1635" s="167"/>
      <c r="C1635" s="167"/>
      <c r="D1635" s="167"/>
      <c r="E1635" s="167"/>
      <c r="F1635" s="167"/>
      <c r="G1635" s="167"/>
      <c r="H1635" s="167"/>
    </row>
    <row r="1636" spans="1:8">
      <c r="A1636" s="167"/>
      <c r="B1636" s="167"/>
      <c r="C1636" s="167"/>
      <c r="D1636" s="167"/>
      <c r="E1636" s="167"/>
      <c r="F1636" s="167"/>
      <c r="G1636" s="167"/>
      <c r="H1636" s="167"/>
    </row>
    <row r="1637" spans="1:8">
      <c r="A1637" s="167"/>
      <c r="B1637" s="167"/>
      <c r="C1637" s="167"/>
      <c r="D1637" s="167"/>
      <c r="E1637" s="167"/>
      <c r="F1637" s="167"/>
      <c r="G1637" s="167"/>
      <c r="H1637" s="167"/>
    </row>
    <row r="1638" spans="1:8">
      <c r="A1638" s="167"/>
      <c r="B1638" s="167"/>
      <c r="C1638" s="167"/>
      <c r="D1638" s="167"/>
      <c r="E1638" s="167"/>
      <c r="F1638" s="167"/>
      <c r="G1638" s="167"/>
      <c r="H1638" s="167"/>
    </row>
    <row r="1639" spans="1:8">
      <c r="A1639" s="167"/>
      <c r="B1639" s="167"/>
      <c r="C1639" s="167"/>
      <c r="D1639" s="167"/>
      <c r="E1639" s="167"/>
      <c r="F1639" s="167"/>
      <c r="G1639" s="167"/>
      <c r="H1639" s="167"/>
    </row>
    <row r="1640" spans="1:8">
      <c r="A1640" s="167"/>
      <c r="B1640" s="167"/>
      <c r="C1640" s="167"/>
      <c r="D1640" s="167"/>
      <c r="E1640" s="167"/>
      <c r="F1640" s="167"/>
      <c r="G1640" s="167"/>
      <c r="H1640" s="167"/>
    </row>
    <row r="1641" spans="1:8">
      <c r="A1641" s="167"/>
      <c r="B1641" s="167"/>
      <c r="C1641" s="167"/>
      <c r="D1641" s="167"/>
      <c r="E1641" s="167"/>
      <c r="F1641" s="167"/>
      <c r="G1641" s="167"/>
      <c r="H1641" s="167"/>
    </row>
    <row r="1642" spans="1:8">
      <c r="A1642" s="167"/>
      <c r="B1642" s="167"/>
      <c r="C1642" s="167"/>
      <c r="D1642" s="167"/>
      <c r="E1642" s="167"/>
      <c r="F1642" s="167"/>
      <c r="G1642" s="167"/>
      <c r="H1642" s="167"/>
    </row>
    <row r="1643" spans="1:8">
      <c r="A1643" s="167"/>
      <c r="B1643" s="167"/>
      <c r="C1643" s="167"/>
      <c r="D1643" s="167"/>
      <c r="E1643" s="167"/>
      <c r="F1643" s="167"/>
      <c r="G1643" s="167"/>
      <c r="H1643" s="167"/>
    </row>
    <row r="1644" spans="1:8">
      <c r="A1644" s="167"/>
      <c r="B1644" s="167"/>
      <c r="C1644" s="167"/>
      <c r="D1644" s="167"/>
      <c r="E1644" s="167"/>
      <c r="F1644" s="167"/>
      <c r="G1644" s="167"/>
      <c r="H1644" s="167"/>
    </row>
    <row r="1645" spans="1:8">
      <c r="A1645" s="167"/>
      <c r="B1645" s="167"/>
      <c r="C1645" s="167"/>
      <c r="D1645" s="167"/>
      <c r="E1645" s="167"/>
      <c r="F1645" s="167"/>
      <c r="G1645" s="167"/>
      <c r="H1645" s="167"/>
    </row>
    <row r="1646" spans="1:8">
      <c r="A1646" s="167"/>
      <c r="B1646" s="167"/>
      <c r="C1646" s="167"/>
      <c r="D1646" s="167"/>
      <c r="E1646" s="167"/>
      <c r="F1646" s="167"/>
      <c r="G1646" s="167"/>
      <c r="H1646" s="167"/>
    </row>
    <row r="1647" spans="1:8">
      <c r="A1647" s="167"/>
      <c r="B1647" s="167"/>
      <c r="C1647" s="167"/>
      <c r="D1647" s="167"/>
      <c r="E1647" s="167"/>
      <c r="F1647" s="167"/>
      <c r="G1647" s="167"/>
      <c r="H1647" s="167"/>
    </row>
    <row r="1648" spans="1:8">
      <c r="A1648" s="167"/>
      <c r="B1648" s="167"/>
      <c r="C1648" s="167"/>
      <c r="D1648" s="167"/>
      <c r="E1648" s="167"/>
      <c r="F1648" s="167"/>
      <c r="G1648" s="167"/>
      <c r="H1648" s="167"/>
    </row>
    <row r="1649" spans="1:8">
      <c r="A1649" s="167"/>
      <c r="B1649" s="167"/>
      <c r="C1649" s="167"/>
      <c r="D1649" s="167"/>
      <c r="E1649" s="167"/>
      <c r="F1649" s="167"/>
      <c r="G1649" s="167"/>
      <c r="H1649" s="167"/>
    </row>
    <row r="1650" spans="1:8">
      <c r="A1650" s="167"/>
      <c r="B1650" s="167"/>
      <c r="C1650" s="167"/>
      <c r="D1650" s="167"/>
      <c r="E1650" s="167"/>
      <c r="F1650" s="167"/>
      <c r="G1650" s="167"/>
      <c r="H1650" s="167"/>
    </row>
    <row r="1651" spans="1:8">
      <c r="A1651" s="167"/>
      <c r="B1651" s="167"/>
      <c r="C1651" s="167"/>
      <c r="D1651" s="167"/>
      <c r="E1651" s="167"/>
      <c r="F1651" s="167"/>
      <c r="G1651" s="167"/>
      <c r="H1651" s="167"/>
    </row>
    <row r="1652" spans="1:8">
      <c r="A1652" s="167"/>
      <c r="B1652" s="167"/>
      <c r="C1652" s="167"/>
      <c r="D1652" s="167"/>
      <c r="E1652" s="167"/>
      <c r="F1652" s="167"/>
      <c r="G1652" s="167"/>
      <c r="H1652" s="167"/>
    </row>
    <row r="1653" spans="1:8">
      <c r="A1653" s="167"/>
      <c r="B1653" s="167"/>
      <c r="C1653" s="167"/>
      <c r="D1653" s="167"/>
      <c r="E1653" s="167"/>
      <c r="F1653" s="167"/>
      <c r="G1653" s="167"/>
      <c r="H1653" s="167"/>
    </row>
    <row r="1654" spans="1:8">
      <c r="A1654" s="167"/>
      <c r="B1654" s="167"/>
      <c r="C1654" s="167"/>
      <c r="D1654" s="167"/>
      <c r="E1654" s="167"/>
      <c r="F1654" s="167"/>
      <c r="G1654" s="167"/>
      <c r="H1654" s="167"/>
    </row>
    <row r="1655" spans="1:8">
      <c r="A1655" s="167"/>
      <c r="B1655" s="167"/>
      <c r="C1655" s="167"/>
      <c r="D1655" s="167"/>
      <c r="E1655" s="167"/>
      <c r="F1655" s="167"/>
      <c r="G1655" s="167"/>
      <c r="H1655" s="167"/>
    </row>
    <row r="1656" spans="1:8">
      <c r="A1656" s="167"/>
      <c r="B1656" s="167"/>
      <c r="C1656" s="167"/>
      <c r="D1656" s="167"/>
      <c r="E1656" s="167"/>
      <c r="F1656" s="167"/>
      <c r="G1656" s="167"/>
      <c r="H1656" s="167"/>
    </row>
    <row r="1657" spans="1:8">
      <c r="A1657" s="167"/>
      <c r="B1657" s="167"/>
      <c r="C1657" s="167"/>
      <c r="D1657" s="167"/>
      <c r="E1657" s="167"/>
      <c r="F1657" s="167"/>
      <c r="G1657" s="167"/>
      <c r="H1657" s="167"/>
    </row>
    <row r="1658" spans="1:8">
      <c r="A1658" s="167"/>
      <c r="B1658" s="167"/>
      <c r="C1658" s="167"/>
      <c r="D1658" s="167"/>
      <c r="E1658" s="167"/>
      <c r="F1658" s="167"/>
      <c r="G1658" s="167"/>
      <c r="H1658" s="167"/>
    </row>
    <row r="1659" spans="1:8">
      <c r="A1659" s="167"/>
      <c r="B1659" s="167"/>
      <c r="C1659" s="167"/>
      <c r="D1659" s="167"/>
      <c r="E1659" s="167"/>
      <c r="F1659" s="167"/>
      <c r="G1659" s="167"/>
      <c r="H1659" s="167"/>
    </row>
    <row r="1660" spans="1:8">
      <c r="A1660" s="167"/>
      <c r="B1660" s="167"/>
      <c r="C1660" s="167"/>
      <c r="D1660" s="167"/>
      <c r="E1660" s="167"/>
      <c r="F1660" s="167"/>
      <c r="G1660" s="167"/>
      <c r="H1660" s="167"/>
    </row>
    <row r="1661" spans="1:8">
      <c r="A1661" s="167"/>
      <c r="B1661" s="167"/>
      <c r="C1661" s="167"/>
      <c r="D1661" s="167"/>
      <c r="E1661" s="167"/>
      <c r="F1661" s="167"/>
      <c r="G1661" s="167"/>
      <c r="H1661" s="167"/>
    </row>
    <row r="1662" spans="1:8">
      <c r="A1662" s="167"/>
      <c r="B1662" s="167"/>
      <c r="C1662" s="167"/>
      <c r="D1662" s="167"/>
      <c r="E1662" s="167"/>
      <c r="F1662" s="167"/>
      <c r="G1662" s="167"/>
      <c r="H1662" s="167"/>
    </row>
    <row r="1663" spans="1:8">
      <c r="A1663" s="167"/>
      <c r="B1663" s="167"/>
      <c r="C1663" s="167"/>
      <c r="D1663" s="167"/>
      <c r="E1663" s="167"/>
      <c r="F1663" s="167"/>
      <c r="G1663" s="167"/>
      <c r="H1663" s="167"/>
    </row>
    <row r="1664" spans="1:8">
      <c r="A1664" s="167"/>
      <c r="B1664" s="167"/>
      <c r="C1664" s="167"/>
      <c r="D1664" s="167"/>
      <c r="E1664" s="167"/>
      <c r="F1664" s="167"/>
      <c r="G1664" s="167"/>
      <c r="H1664" s="167"/>
    </row>
    <row r="1665" spans="1:8">
      <c r="A1665" s="167"/>
      <c r="B1665" s="167"/>
      <c r="C1665" s="167"/>
      <c r="D1665" s="167"/>
      <c r="E1665" s="167"/>
      <c r="F1665" s="167"/>
      <c r="G1665" s="167"/>
      <c r="H1665" s="167"/>
    </row>
    <row r="1666" spans="1:8">
      <c r="A1666" s="167"/>
      <c r="B1666" s="167"/>
      <c r="C1666" s="167"/>
      <c r="D1666" s="167"/>
      <c r="E1666" s="167"/>
      <c r="F1666" s="167"/>
      <c r="G1666" s="167"/>
      <c r="H1666" s="167"/>
    </row>
    <row r="1667" spans="1:8">
      <c r="A1667" s="167"/>
      <c r="B1667" s="167"/>
      <c r="C1667" s="167"/>
      <c r="D1667" s="167"/>
      <c r="E1667" s="167"/>
      <c r="F1667" s="167"/>
      <c r="G1667" s="167"/>
      <c r="H1667" s="167"/>
    </row>
    <row r="1668" spans="1:8">
      <c r="A1668" s="167"/>
      <c r="B1668" s="167"/>
      <c r="C1668" s="167"/>
      <c r="D1668" s="167"/>
      <c r="E1668" s="167"/>
      <c r="F1668" s="167"/>
      <c r="G1668" s="167"/>
      <c r="H1668" s="167"/>
    </row>
    <row r="1669" spans="1:8">
      <c r="A1669" s="167"/>
      <c r="B1669" s="167"/>
      <c r="C1669" s="167"/>
      <c r="D1669" s="167"/>
      <c r="E1669" s="167"/>
      <c r="F1669" s="167"/>
      <c r="G1669" s="167"/>
      <c r="H1669" s="167"/>
    </row>
    <row r="1670" spans="1:8">
      <c r="A1670" s="167"/>
      <c r="B1670" s="167"/>
      <c r="C1670" s="167"/>
      <c r="D1670" s="167"/>
      <c r="E1670" s="167"/>
      <c r="F1670" s="167"/>
      <c r="G1670" s="167"/>
      <c r="H1670" s="167"/>
    </row>
    <row r="1671" spans="1:8">
      <c r="A1671" s="167"/>
      <c r="B1671" s="167"/>
      <c r="C1671" s="167"/>
      <c r="D1671" s="167"/>
      <c r="E1671" s="167"/>
      <c r="F1671" s="167"/>
      <c r="G1671" s="167"/>
      <c r="H1671" s="167"/>
    </row>
    <row r="1672" spans="1:8">
      <c r="A1672" s="167"/>
      <c r="B1672" s="167"/>
      <c r="C1672" s="167"/>
      <c r="D1672" s="167"/>
      <c r="E1672" s="167"/>
      <c r="F1672" s="167"/>
      <c r="G1672" s="167"/>
      <c r="H1672" s="167"/>
    </row>
    <row r="1673" spans="1:8">
      <c r="A1673" s="167"/>
      <c r="B1673" s="167"/>
      <c r="C1673" s="167"/>
      <c r="D1673" s="167"/>
      <c r="E1673" s="167"/>
      <c r="F1673" s="167"/>
      <c r="G1673" s="167"/>
      <c r="H1673" s="167"/>
    </row>
    <row r="1674" spans="1:8">
      <c r="A1674" s="167"/>
      <c r="B1674" s="167"/>
      <c r="C1674" s="167"/>
      <c r="D1674" s="167"/>
      <c r="E1674" s="167"/>
      <c r="F1674" s="167"/>
      <c r="G1674" s="167"/>
      <c r="H1674" s="167"/>
    </row>
    <row r="1675" spans="1:8">
      <c r="A1675" s="167"/>
      <c r="B1675" s="167"/>
      <c r="C1675" s="167"/>
      <c r="D1675" s="167"/>
      <c r="E1675" s="167"/>
      <c r="F1675" s="167"/>
      <c r="G1675" s="167"/>
      <c r="H1675" s="167"/>
    </row>
    <row r="1676" spans="1:8">
      <c r="A1676" s="167"/>
      <c r="B1676" s="167"/>
      <c r="C1676" s="167"/>
      <c r="D1676" s="167"/>
      <c r="E1676" s="167"/>
      <c r="F1676" s="167"/>
      <c r="G1676" s="167"/>
      <c r="H1676" s="167"/>
    </row>
    <row r="1677" spans="1:8">
      <c r="A1677" s="167"/>
      <c r="B1677" s="167"/>
      <c r="C1677" s="167"/>
      <c r="D1677" s="167"/>
      <c r="E1677" s="167"/>
      <c r="F1677" s="167"/>
      <c r="G1677" s="167"/>
      <c r="H1677" s="167"/>
    </row>
    <row r="1678" spans="1:8">
      <c r="A1678" s="167"/>
      <c r="B1678" s="167"/>
      <c r="C1678" s="167"/>
      <c r="D1678" s="167"/>
      <c r="E1678" s="167"/>
      <c r="F1678" s="167"/>
      <c r="G1678" s="167"/>
      <c r="H1678" s="167"/>
    </row>
    <row r="1679" spans="1:8">
      <c r="A1679" s="167"/>
      <c r="B1679" s="167"/>
      <c r="C1679" s="167"/>
      <c r="D1679" s="167"/>
      <c r="E1679" s="167"/>
      <c r="F1679" s="167"/>
      <c r="G1679" s="167"/>
      <c r="H1679" s="167"/>
    </row>
    <row r="1680" spans="1:8">
      <c r="A1680" s="167"/>
      <c r="B1680" s="167"/>
      <c r="C1680" s="167"/>
      <c r="D1680" s="167"/>
      <c r="E1680" s="167"/>
      <c r="F1680" s="167"/>
      <c r="G1680" s="167"/>
      <c r="H1680" s="167"/>
    </row>
    <row r="1681" spans="1:8">
      <c r="A1681" s="167"/>
      <c r="B1681" s="167"/>
      <c r="C1681" s="167"/>
      <c r="D1681" s="167"/>
      <c r="E1681" s="167"/>
      <c r="F1681" s="167"/>
      <c r="G1681" s="167"/>
      <c r="H1681" s="167"/>
    </row>
    <row r="1682" spans="1:8">
      <c r="A1682" s="167"/>
      <c r="B1682" s="167"/>
      <c r="C1682" s="167"/>
      <c r="D1682" s="167"/>
      <c r="E1682" s="167"/>
      <c r="F1682" s="167"/>
      <c r="G1682" s="167"/>
      <c r="H1682" s="167"/>
    </row>
    <row r="1683" spans="1:8">
      <c r="A1683" s="167"/>
      <c r="B1683" s="167"/>
      <c r="C1683" s="167"/>
      <c r="D1683" s="167"/>
      <c r="E1683" s="167"/>
      <c r="F1683" s="167"/>
      <c r="G1683" s="167"/>
      <c r="H1683" s="167"/>
    </row>
    <row r="1684" spans="1:8">
      <c r="A1684" s="167"/>
      <c r="B1684" s="167"/>
      <c r="C1684" s="167"/>
      <c r="D1684" s="167"/>
      <c r="E1684" s="167"/>
      <c r="F1684" s="167"/>
      <c r="G1684" s="167"/>
      <c r="H1684" s="167"/>
    </row>
    <row r="1685" spans="1:8">
      <c r="A1685" s="167"/>
      <c r="B1685" s="167"/>
      <c r="C1685" s="167"/>
      <c r="D1685" s="167"/>
      <c r="E1685" s="167"/>
      <c r="F1685" s="167"/>
      <c r="G1685" s="167"/>
      <c r="H1685" s="167"/>
    </row>
    <row r="1686" spans="1:8">
      <c r="A1686" s="167"/>
      <c r="B1686" s="167"/>
      <c r="C1686" s="167"/>
      <c r="D1686" s="167"/>
      <c r="E1686" s="167"/>
      <c r="F1686" s="167"/>
      <c r="G1686" s="167"/>
      <c r="H1686" s="167"/>
    </row>
    <row r="1687" spans="1:8">
      <c r="A1687" s="167"/>
      <c r="B1687" s="167"/>
      <c r="C1687" s="167"/>
      <c r="D1687" s="167"/>
      <c r="E1687" s="167"/>
      <c r="F1687" s="167"/>
      <c r="G1687" s="167"/>
      <c r="H1687" s="167"/>
    </row>
    <row r="1688" spans="1:8">
      <c r="A1688" s="167"/>
      <c r="B1688" s="167"/>
      <c r="C1688" s="167"/>
      <c r="D1688" s="167"/>
      <c r="E1688" s="167"/>
      <c r="F1688" s="167"/>
      <c r="G1688" s="167"/>
      <c r="H1688" s="167"/>
    </row>
    <row r="1689" spans="1:8">
      <c r="A1689" s="167"/>
      <c r="B1689" s="167"/>
      <c r="C1689" s="167"/>
      <c r="D1689" s="167"/>
      <c r="E1689" s="167"/>
      <c r="F1689" s="167"/>
      <c r="G1689" s="167"/>
      <c r="H1689" s="167"/>
    </row>
    <row r="1690" spans="1:8">
      <c r="A1690" s="167"/>
      <c r="B1690" s="167"/>
      <c r="C1690" s="167"/>
      <c r="D1690" s="167"/>
      <c r="E1690" s="167"/>
      <c r="F1690" s="167"/>
      <c r="G1690" s="167"/>
      <c r="H1690" s="167"/>
    </row>
    <row r="1691" spans="1:8">
      <c r="A1691" s="167"/>
      <c r="B1691" s="167"/>
      <c r="C1691" s="167"/>
      <c r="D1691" s="167"/>
      <c r="E1691" s="167"/>
      <c r="F1691" s="167"/>
      <c r="G1691" s="167"/>
      <c r="H1691" s="167"/>
    </row>
    <row r="1692" spans="1:8">
      <c r="A1692" s="167"/>
      <c r="B1692" s="167"/>
      <c r="C1692" s="167"/>
      <c r="D1692" s="167"/>
      <c r="E1692" s="167"/>
      <c r="F1692" s="167"/>
      <c r="G1692" s="167"/>
      <c r="H1692" s="167"/>
    </row>
    <row r="1693" spans="1:8">
      <c r="A1693" s="167"/>
      <c r="B1693" s="167"/>
      <c r="C1693" s="167"/>
      <c r="D1693" s="167"/>
      <c r="E1693" s="167"/>
      <c r="F1693" s="167"/>
      <c r="G1693" s="167"/>
      <c r="H1693" s="167"/>
    </row>
    <row r="1694" spans="1:8">
      <c r="A1694" s="167"/>
      <c r="B1694" s="167"/>
      <c r="C1694" s="167"/>
      <c r="D1694" s="167"/>
      <c r="E1694" s="167"/>
      <c r="F1694" s="167"/>
      <c r="G1694" s="167"/>
      <c r="H1694" s="167"/>
    </row>
    <row r="1695" spans="1:8">
      <c r="A1695" s="167"/>
      <c r="B1695" s="167"/>
      <c r="C1695" s="167"/>
      <c r="D1695" s="167"/>
      <c r="E1695" s="167"/>
      <c r="F1695" s="167"/>
      <c r="G1695" s="167"/>
      <c r="H1695" s="167"/>
    </row>
    <row r="1696" spans="1:8">
      <c r="A1696" s="167"/>
      <c r="B1696" s="167"/>
      <c r="C1696" s="167"/>
      <c r="D1696" s="167"/>
      <c r="E1696" s="167"/>
      <c r="F1696" s="167"/>
      <c r="G1696" s="167"/>
      <c r="H1696" s="167"/>
    </row>
    <row r="1697" spans="1:8">
      <c r="A1697" s="167"/>
      <c r="B1697" s="167"/>
      <c r="C1697" s="167"/>
      <c r="D1697" s="167"/>
      <c r="E1697" s="167"/>
      <c r="F1697" s="167"/>
      <c r="G1697" s="167"/>
      <c r="H1697" s="167"/>
    </row>
    <row r="1698" spans="1:8">
      <c r="A1698" s="167"/>
      <c r="B1698" s="167"/>
      <c r="C1698" s="167"/>
      <c r="D1698" s="167"/>
      <c r="E1698" s="167"/>
      <c r="F1698" s="167"/>
      <c r="G1698" s="167"/>
      <c r="H1698" s="167"/>
    </row>
    <row r="1699" spans="1:8">
      <c r="A1699" s="167"/>
      <c r="B1699" s="167"/>
      <c r="C1699" s="167"/>
      <c r="D1699" s="167"/>
      <c r="E1699" s="167"/>
      <c r="F1699" s="167"/>
      <c r="G1699" s="167"/>
      <c r="H1699" s="167"/>
    </row>
    <row r="1700" spans="1:8">
      <c r="A1700" s="167"/>
      <c r="B1700" s="167"/>
      <c r="C1700" s="167"/>
      <c r="D1700" s="167"/>
      <c r="E1700" s="167"/>
      <c r="F1700" s="167"/>
      <c r="G1700" s="167"/>
      <c r="H1700" s="167"/>
    </row>
    <row r="1701" spans="1:8">
      <c r="A1701" s="167"/>
      <c r="B1701" s="167"/>
      <c r="C1701" s="167"/>
      <c r="D1701" s="167"/>
      <c r="E1701" s="167"/>
      <c r="F1701" s="167"/>
      <c r="G1701" s="167"/>
      <c r="H1701" s="167"/>
    </row>
    <row r="1702" spans="1:8">
      <c r="A1702" s="167"/>
      <c r="B1702" s="167"/>
      <c r="C1702" s="167"/>
      <c r="D1702" s="167"/>
      <c r="E1702" s="167"/>
      <c r="F1702" s="167"/>
      <c r="G1702" s="167"/>
      <c r="H1702" s="167"/>
    </row>
    <row r="1703" spans="1:8">
      <c r="A1703" s="167"/>
      <c r="B1703" s="167"/>
      <c r="C1703" s="167"/>
      <c r="D1703" s="167"/>
      <c r="E1703" s="167"/>
      <c r="F1703" s="167"/>
      <c r="G1703" s="167"/>
      <c r="H1703" s="167"/>
    </row>
    <row r="1704" spans="1:8">
      <c r="A1704" s="167"/>
      <c r="B1704" s="167"/>
      <c r="C1704" s="167"/>
      <c r="D1704" s="167"/>
      <c r="E1704" s="167"/>
      <c r="F1704" s="167"/>
      <c r="G1704" s="167"/>
      <c r="H1704" s="167"/>
    </row>
    <row r="1705" spans="1:8">
      <c r="A1705" s="167"/>
      <c r="B1705" s="167"/>
      <c r="C1705" s="167"/>
      <c r="D1705" s="167"/>
      <c r="E1705" s="167"/>
      <c r="F1705" s="167"/>
      <c r="G1705" s="167"/>
      <c r="H1705" s="167"/>
    </row>
    <row r="1706" spans="1:8">
      <c r="A1706" s="167"/>
      <c r="B1706" s="167"/>
      <c r="C1706" s="167"/>
      <c r="D1706" s="167"/>
      <c r="E1706" s="167"/>
      <c r="F1706" s="167"/>
      <c r="G1706" s="167"/>
      <c r="H1706" s="167"/>
    </row>
    <row r="1707" spans="1:8">
      <c r="A1707" s="167"/>
      <c r="B1707" s="167"/>
      <c r="C1707" s="167"/>
      <c r="D1707" s="167"/>
      <c r="E1707" s="167"/>
      <c r="F1707" s="167"/>
      <c r="G1707" s="167"/>
      <c r="H1707" s="167"/>
    </row>
    <row r="1708" spans="1:8">
      <c r="A1708" s="167"/>
      <c r="B1708" s="167"/>
      <c r="C1708" s="167"/>
      <c r="D1708" s="167"/>
      <c r="E1708" s="167"/>
      <c r="F1708" s="167"/>
      <c r="G1708" s="167"/>
      <c r="H1708" s="167"/>
    </row>
    <row r="1709" spans="1:8">
      <c r="A1709" s="167"/>
      <c r="B1709" s="167"/>
      <c r="C1709" s="167"/>
      <c r="D1709" s="167"/>
      <c r="E1709" s="167"/>
      <c r="F1709" s="167"/>
      <c r="G1709" s="167"/>
      <c r="H1709" s="167"/>
    </row>
    <row r="1710" spans="1:8">
      <c r="A1710" s="167"/>
      <c r="B1710" s="167"/>
      <c r="C1710" s="167"/>
      <c r="D1710" s="167"/>
      <c r="E1710" s="167"/>
      <c r="F1710" s="167"/>
      <c r="G1710" s="167"/>
      <c r="H1710" s="167"/>
    </row>
    <row r="1711" spans="1:8">
      <c r="A1711" s="167"/>
      <c r="B1711" s="167"/>
      <c r="C1711" s="167"/>
      <c r="D1711" s="167"/>
      <c r="E1711" s="167"/>
      <c r="F1711" s="167"/>
      <c r="G1711" s="167"/>
      <c r="H1711" s="167"/>
    </row>
    <row r="1712" spans="1:8">
      <c r="A1712" s="167"/>
      <c r="B1712" s="167"/>
      <c r="C1712" s="167"/>
      <c r="D1712" s="167"/>
      <c r="E1712" s="167"/>
      <c r="F1712" s="167"/>
      <c r="G1712" s="167"/>
      <c r="H1712" s="167"/>
    </row>
    <row r="1713" spans="1:8">
      <c r="A1713" s="167"/>
      <c r="B1713" s="167"/>
      <c r="C1713" s="167"/>
      <c r="D1713" s="167"/>
      <c r="E1713" s="167"/>
      <c r="F1713" s="167"/>
      <c r="G1713" s="167"/>
      <c r="H1713" s="167"/>
    </row>
    <row r="1714" spans="1:8">
      <c r="A1714" s="167"/>
      <c r="B1714" s="167"/>
      <c r="C1714" s="167"/>
      <c r="D1714" s="167"/>
      <c r="E1714" s="167"/>
      <c r="F1714" s="167"/>
      <c r="G1714" s="167"/>
      <c r="H1714" s="167"/>
    </row>
    <row r="1715" spans="1:8">
      <c r="A1715" s="167"/>
      <c r="B1715" s="167"/>
      <c r="C1715" s="167"/>
      <c r="D1715" s="167"/>
      <c r="E1715" s="167"/>
      <c r="F1715" s="167"/>
      <c r="G1715" s="167"/>
      <c r="H1715" s="167"/>
    </row>
    <row r="1716" spans="1:8">
      <c r="A1716" s="167"/>
      <c r="B1716" s="167"/>
      <c r="C1716" s="167"/>
      <c r="D1716" s="167"/>
      <c r="E1716" s="167"/>
      <c r="F1716" s="167"/>
      <c r="G1716" s="167"/>
      <c r="H1716" s="167"/>
    </row>
    <row r="1717" spans="1:8">
      <c r="A1717" s="167"/>
      <c r="B1717" s="167"/>
      <c r="C1717" s="167"/>
      <c r="D1717" s="167"/>
      <c r="E1717" s="167"/>
      <c r="F1717" s="167"/>
      <c r="G1717" s="167"/>
      <c r="H1717" s="167"/>
    </row>
    <row r="1718" spans="1:8">
      <c r="A1718" s="167"/>
      <c r="B1718" s="167"/>
      <c r="C1718" s="167"/>
      <c r="D1718" s="167"/>
      <c r="E1718" s="167"/>
      <c r="F1718" s="167"/>
      <c r="G1718" s="167"/>
      <c r="H1718" s="167"/>
    </row>
    <row r="1719" spans="1:8">
      <c r="A1719" s="167"/>
      <c r="B1719" s="167"/>
      <c r="C1719" s="167"/>
      <c r="D1719" s="167"/>
      <c r="E1719" s="167"/>
      <c r="F1719" s="167"/>
      <c r="G1719" s="167"/>
      <c r="H1719" s="167"/>
    </row>
    <row r="1720" spans="1:8">
      <c r="A1720" s="167"/>
      <c r="B1720" s="167"/>
      <c r="C1720" s="167"/>
      <c r="D1720" s="167"/>
      <c r="E1720" s="167"/>
      <c r="F1720" s="167"/>
      <c r="G1720" s="167"/>
      <c r="H1720" s="167"/>
    </row>
    <row r="1721" spans="1:8">
      <c r="A1721" s="167"/>
      <c r="B1721" s="167"/>
      <c r="C1721" s="167"/>
      <c r="D1721" s="167"/>
      <c r="E1721" s="167"/>
      <c r="F1721" s="167"/>
      <c r="G1721" s="167"/>
      <c r="H1721" s="167"/>
    </row>
    <row r="1722" spans="1:8">
      <c r="A1722" s="167"/>
      <c r="B1722" s="167"/>
      <c r="C1722" s="167"/>
      <c r="D1722" s="167"/>
      <c r="E1722" s="167"/>
      <c r="F1722" s="167"/>
      <c r="G1722" s="167"/>
      <c r="H1722" s="167"/>
    </row>
    <row r="1723" spans="1:8">
      <c r="A1723" s="167"/>
      <c r="B1723" s="167"/>
      <c r="C1723" s="167"/>
      <c r="D1723" s="167"/>
      <c r="E1723" s="167"/>
      <c r="F1723" s="167"/>
      <c r="G1723" s="167"/>
      <c r="H1723" s="167"/>
    </row>
    <row r="1724" spans="1:8">
      <c r="A1724" s="167"/>
      <c r="B1724" s="167"/>
      <c r="C1724" s="167"/>
      <c r="D1724" s="167"/>
      <c r="E1724" s="167"/>
      <c r="F1724" s="167"/>
      <c r="G1724" s="167"/>
      <c r="H1724" s="167"/>
    </row>
    <row r="1725" spans="1:8">
      <c r="A1725" s="167"/>
      <c r="B1725" s="167"/>
      <c r="C1725" s="167"/>
      <c r="D1725" s="167"/>
      <c r="E1725" s="167"/>
      <c r="F1725" s="167"/>
      <c r="G1725" s="167"/>
      <c r="H1725" s="167"/>
    </row>
    <row r="1726" spans="1:8">
      <c r="A1726" s="167"/>
      <c r="B1726" s="167"/>
      <c r="C1726" s="167"/>
      <c r="D1726" s="167"/>
      <c r="E1726" s="167"/>
      <c r="F1726" s="167"/>
      <c r="G1726" s="167"/>
      <c r="H1726" s="167"/>
    </row>
    <row r="1727" spans="1:8">
      <c r="A1727" s="167"/>
      <c r="B1727" s="167"/>
      <c r="C1727" s="167"/>
      <c r="D1727" s="167"/>
      <c r="E1727" s="167"/>
      <c r="F1727" s="167"/>
      <c r="G1727" s="167"/>
      <c r="H1727" s="167"/>
    </row>
    <row r="1728" spans="1:8">
      <c r="A1728" s="167"/>
      <c r="B1728" s="167"/>
      <c r="C1728" s="167"/>
      <c r="D1728" s="167"/>
      <c r="E1728" s="167"/>
      <c r="F1728" s="167"/>
      <c r="G1728" s="167"/>
      <c r="H1728" s="167"/>
    </row>
    <row r="1729" spans="1:8">
      <c r="A1729" s="167"/>
      <c r="B1729" s="167"/>
      <c r="C1729" s="167"/>
      <c r="D1729" s="167"/>
      <c r="E1729" s="167"/>
      <c r="F1729" s="167"/>
      <c r="G1729" s="167"/>
      <c r="H1729" s="167"/>
    </row>
    <row r="1730" spans="1:8">
      <c r="A1730" s="167"/>
      <c r="B1730" s="167"/>
      <c r="C1730" s="167"/>
      <c r="D1730" s="167"/>
      <c r="E1730" s="167"/>
      <c r="F1730" s="167"/>
      <c r="G1730" s="167"/>
      <c r="H1730" s="167"/>
    </row>
    <row r="1731" spans="1:8">
      <c r="A1731" s="167"/>
      <c r="B1731" s="167"/>
      <c r="C1731" s="167"/>
      <c r="D1731" s="167"/>
      <c r="E1731" s="167"/>
      <c r="F1731" s="167"/>
      <c r="G1731" s="167"/>
      <c r="H1731" s="167"/>
    </row>
    <row r="1732" spans="1:8">
      <c r="A1732" s="167"/>
      <c r="B1732" s="167"/>
      <c r="C1732" s="167"/>
      <c r="D1732" s="167"/>
      <c r="E1732" s="167"/>
      <c r="F1732" s="167"/>
      <c r="G1732" s="167"/>
      <c r="H1732" s="167"/>
    </row>
    <row r="1733" spans="1:8">
      <c r="A1733" s="167"/>
      <c r="B1733" s="167"/>
      <c r="C1733" s="167"/>
      <c r="D1733" s="167"/>
      <c r="E1733" s="167"/>
      <c r="F1733" s="167"/>
      <c r="G1733" s="167"/>
      <c r="H1733" s="167"/>
    </row>
    <row r="1734" spans="1:8">
      <c r="A1734" s="167"/>
      <c r="B1734" s="167"/>
      <c r="C1734" s="167"/>
      <c r="D1734" s="167"/>
      <c r="E1734" s="167"/>
      <c r="F1734" s="167"/>
      <c r="G1734" s="167"/>
      <c r="H1734" s="167"/>
    </row>
    <row r="1735" spans="1:8">
      <c r="A1735" s="167"/>
      <c r="B1735" s="167"/>
      <c r="C1735" s="167"/>
      <c r="D1735" s="167"/>
      <c r="E1735" s="167"/>
      <c r="F1735" s="167"/>
      <c r="G1735" s="167"/>
      <c r="H1735" s="167"/>
    </row>
    <row r="1736" spans="1:8">
      <c r="A1736" s="167"/>
      <c r="B1736" s="167"/>
      <c r="C1736" s="167"/>
      <c r="D1736" s="167"/>
      <c r="E1736" s="167"/>
      <c r="F1736" s="167"/>
      <c r="G1736" s="167"/>
      <c r="H1736" s="167"/>
    </row>
    <row r="1737" spans="1:8">
      <c r="A1737" s="167"/>
      <c r="B1737" s="167"/>
      <c r="C1737" s="167"/>
      <c r="D1737" s="167"/>
      <c r="E1737" s="167"/>
      <c r="F1737" s="167"/>
      <c r="G1737" s="167"/>
      <c r="H1737" s="167"/>
    </row>
    <row r="1738" spans="1:8">
      <c r="A1738" s="167"/>
      <c r="B1738" s="167"/>
      <c r="C1738" s="167"/>
      <c r="D1738" s="167"/>
      <c r="E1738" s="167"/>
      <c r="F1738" s="167"/>
      <c r="G1738" s="167"/>
      <c r="H1738" s="167"/>
    </row>
    <row r="1739" spans="1:8">
      <c r="A1739" s="167"/>
      <c r="B1739" s="167"/>
      <c r="C1739" s="167"/>
      <c r="D1739" s="167"/>
      <c r="E1739" s="167"/>
      <c r="F1739" s="167"/>
      <c r="G1739" s="167"/>
      <c r="H1739" s="167"/>
    </row>
    <row r="1740" spans="1:8">
      <c r="A1740" s="167"/>
      <c r="B1740" s="167"/>
      <c r="C1740" s="167"/>
      <c r="D1740" s="167"/>
      <c r="E1740" s="167"/>
      <c r="F1740" s="167"/>
      <c r="G1740" s="167"/>
      <c r="H1740" s="167"/>
    </row>
    <row r="1741" spans="1:8">
      <c r="A1741" s="167"/>
      <c r="B1741" s="167"/>
      <c r="C1741" s="167"/>
      <c r="D1741" s="167"/>
      <c r="E1741" s="167"/>
      <c r="F1741" s="167"/>
      <c r="G1741" s="167"/>
      <c r="H1741" s="167"/>
    </row>
    <row r="1742" spans="1:8">
      <c r="A1742" s="167"/>
      <c r="B1742" s="167"/>
      <c r="C1742" s="167"/>
      <c r="D1742" s="167"/>
      <c r="E1742" s="167"/>
      <c r="F1742" s="167"/>
      <c r="G1742" s="167"/>
      <c r="H1742" s="167"/>
    </row>
    <row r="1743" spans="1:8">
      <c r="A1743" s="167"/>
      <c r="B1743" s="167"/>
      <c r="C1743" s="167"/>
      <c r="D1743" s="167"/>
      <c r="E1743" s="167"/>
      <c r="F1743" s="167"/>
      <c r="G1743" s="167"/>
      <c r="H1743" s="167"/>
    </row>
    <row r="1744" spans="1:8">
      <c r="A1744" s="167"/>
      <c r="B1744" s="167"/>
      <c r="C1744" s="167"/>
      <c r="D1744" s="167"/>
      <c r="E1744" s="167"/>
      <c r="F1744" s="167"/>
      <c r="G1744" s="167"/>
      <c r="H1744" s="167"/>
    </row>
    <row r="1745" spans="1:8">
      <c r="A1745" s="167"/>
      <c r="B1745" s="167"/>
      <c r="C1745" s="167"/>
      <c r="D1745" s="167"/>
      <c r="E1745" s="167"/>
      <c r="F1745" s="167"/>
      <c r="G1745" s="167"/>
      <c r="H1745" s="167"/>
    </row>
    <row r="1746" spans="1:8">
      <c r="A1746" s="167"/>
      <c r="B1746" s="167"/>
      <c r="C1746" s="167"/>
      <c r="D1746" s="167"/>
      <c r="E1746" s="167"/>
      <c r="F1746" s="167"/>
      <c r="G1746" s="167"/>
      <c r="H1746" s="167"/>
    </row>
    <row r="1747" spans="1:8">
      <c r="A1747" s="167"/>
      <c r="B1747" s="167"/>
      <c r="C1747" s="167"/>
      <c r="D1747" s="167"/>
      <c r="E1747" s="167"/>
      <c r="F1747" s="167"/>
      <c r="G1747" s="167"/>
      <c r="H1747" s="167"/>
    </row>
    <row r="1748" spans="1:8">
      <c r="A1748" s="167"/>
      <c r="B1748" s="167"/>
      <c r="C1748" s="167"/>
      <c r="D1748" s="167"/>
      <c r="E1748" s="167"/>
      <c r="F1748" s="167"/>
      <c r="G1748" s="167"/>
      <c r="H1748" s="167"/>
    </row>
    <row r="1749" spans="1:8">
      <c r="A1749" s="167"/>
      <c r="B1749" s="167"/>
      <c r="C1749" s="167"/>
      <c r="D1749" s="167"/>
      <c r="E1749" s="167"/>
      <c r="F1749" s="167"/>
      <c r="G1749" s="167"/>
      <c r="H1749" s="167"/>
    </row>
    <row r="1750" spans="1:8">
      <c r="A1750" s="167"/>
      <c r="B1750" s="167"/>
      <c r="C1750" s="167"/>
      <c r="D1750" s="167"/>
      <c r="E1750" s="167"/>
      <c r="F1750" s="167"/>
      <c r="G1750" s="167"/>
      <c r="H1750" s="167"/>
    </row>
    <row r="1751" spans="1:8">
      <c r="A1751" s="167"/>
      <c r="B1751" s="167"/>
      <c r="C1751" s="167"/>
      <c r="D1751" s="167"/>
      <c r="E1751" s="167"/>
      <c r="F1751" s="167"/>
      <c r="G1751" s="167"/>
      <c r="H1751" s="167"/>
    </row>
    <row r="1752" spans="1:8">
      <c r="A1752" s="167"/>
      <c r="B1752" s="167"/>
      <c r="C1752" s="167"/>
      <c r="D1752" s="167"/>
      <c r="E1752" s="167"/>
      <c r="F1752" s="167"/>
      <c r="G1752" s="167"/>
      <c r="H1752" s="167"/>
    </row>
    <row r="1753" spans="1:8">
      <c r="A1753" s="167"/>
      <c r="B1753" s="167"/>
      <c r="C1753" s="167"/>
      <c r="D1753" s="167"/>
      <c r="E1753" s="167"/>
      <c r="F1753" s="167"/>
      <c r="G1753" s="167"/>
      <c r="H1753" s="167"/>
    </row>
    <row r="1754" spans="1:8">
      <c r="A1754" s="167"/>
      <c r="B1754" s="167"/>
      <c r="C1754" s="167"/>
      <c r="D1754" s="167"/>
      <c r="E1754" s="167"/>
      <c r="F1754" s="167"/>
      <c r="G1754" s="167"/>
      <c r="H1754" s="167"/>
    </row>
    <row r="1755" spans="1:8">
      <c r="A1755" s="167"/>
      <c r="B1755" s="167"/>
      <c r="C1755" s="167"/>
      <c r="D1755" s="167"/>
      <c r="E1755" s="167"/>
      <c r="F1755" s="167"/>
      <c r="G1755" s="167"/>
      <c r="H1755" s="167"/>
    </row>
    <row r="1756" spans="1:8">
      <c r="A1756" s="167"/>
      <c r="B1756" s="167"/>
      <c r="C1756" s="167"/>
      <c r="D1756" s="167"/>
      <c r="E1756" s="167"/>
      <c r="F1756" s="167"/>
      <c r="G1756" s="167"/>
      <c r="H1756" s="167"/>
    </row>
    <row r="1757" spans="1:8">
      <c r="A1757" s="167"/>
      <c r="B1757" s="167"/>
      <c r="C1757" s="167"/>
      <c r="D1757" s="167"/>
      <c r="E1757" s="167"/>
      <c r="F1757" s="167"/>
      <c r="G1757" s="167"/>
      <c r="H1757" s="167"/>
    </row>
    <row r="1758" spans="1:8">
      <c r="A1758" s="167"/>
      <c r="B1758" s="167"/>
      <c r="C1758" s="167"/>
      <c r="D1758" s="167"/>
      <c r="E1758" s="167"/>
      <c r="F1758" s="167"/>
      <c r="G1758" s="167"/>
      <c r="H1758" s="167"/>
    </row>
    <row r="1759" spans="1:8">
      <c r="A1759" s="167"/>
      <c r="B1759" s="167"/>
      <c r="C1759" s="167"/>
      <c r="D1759" s="167"/>
      <c r="E1759" s="167"/>
      <c r="F1759" s="167"/>
      <c r="G1759" s="167"/>
      <c r="H1759" s="167"/>
    </row>
    <row r="1760" spans="1:8">
      <c r="A1760" s="167"/>
      <c r="B1760" s="167"/>
      <c r="C1760" s="167"/>
      <c r="D1760" s="167"/>
      <c r="E1760" s="167"/>
      <c r="F1760" s="167"/>
      <c r="G1760" s="167"/>
      <c r="H1760" s="167"/>
    </row>
    <row r="1761" spans="1:8">
      <c r="A1761" s="167"/>
      <c r="B1761" s="167"/>
      <c r="C1761" s="167"/>
      <c r="D1761" s="167"/>
      <c r="E1761" s="167"/>
      <c r="F1761" s="167"/>
      <c r="G1761" s="167"/>
      <c r="H1761" s="167"/>
    </row>
    <row r="1762" spans="1:8">
      <c r="A1762" s="167"/>
      <c r="B1762" s="167"/>
      <c r="C1762" s="167"/>
      <c r="D1762" s="167"/>
      <c r="E1762" s="167"/>
      <c r="F1762" s="167"/>
      <c r="G1762" s="167"/>
      <c r="H1762" s="167"/>
    </row>
    <row r="1763" spans="1:8">
      <c r="A1763" s="167"/>
      <c r="B1763" s="167"/>
      <c r="C1763" s="167"/>
      <c r="D1763" s="167"/>
      <c r="E1763" s="167"/>
      <c r="F1763" s="167"/>
      <c r="G1763" s="167"/>
      <c r="H1763" s="167"/>
    </row>
    <row r="1764" spans="1:8">
      <c r="A1764" s="167"/>
      <c r="B1764" s="167"/>
      <c r="C1764" s="167"/>
      <c r="D1764" s="167"/>
      <c r="E1764" s="167"/>
      <c r="F1764" s="167"/>
      <c r="G1764" s="167"/>
      <c r="H1764" s="167"/>
    </row>
    <row r="1765" spans="1:8">
      <c r="A1765" s="167"/>
      <c r="B1765" s="167"/>
      <c r="C1765" s="167"/>
      <c r="D1765" s="167"/>
      <c r="E1765" s="167"/>
      <c r="F1765" s="167"/>
      <c r="G1765" s="167"/>
      <c r="H1765" s="167"/>
    </row>
    <row r="1766" spans="1:8">
      <c r="A1766" s="167"/>
      <c r="B1766" s="167"/>
      <c r="C1766" s="167"/>
      <c r="D1766" s="167"/>
      <c r="E1766" s="167"/>
      <c r="F1766" s="167"/>
      <c r="G1766" s="167"/>
      <c r="H1766" s="167"/>
    </row>
    <row r="1767" spans="1:8">
      <c r="A1767" s="167"/>
      <c r="B1767" s="167"/>
      <c r="C1767" s="167"/>
      <c r="D1767" s="167"/>
      <c r="E1767" s="167"/>
      <c r="F1767" s="167"/>
      <c r="G1767" s="167"/>
      <c r="H1767" s="167"/>
    </row>
    <row r="1768" spans="1:8">
      <c r="A1768" s="167"/>
      <c r="B1768" s="167"/>
      <c r="C1768" s="167"/>
      <c r="D1768" s="167"/>
      <c r="E1768" s="167"/>
      <c r="F1768" s="167"/>
      <c r="G1768" s="167"/>
      <c r="H1768" s="167"/>
    </row>
    <row r="1769" spans="1:8">
      <c r="A1769" s="167"/>
      <c r="B1769" s="167"/>
      <c r="C1769" s="167"/>
      <c r="D1769" s="167"/>
      <c r="E1769" s="167"/>
      <c r="F1769" s="167"/>
      <c r="G1769" s="167"/>
      <c r="H1769" s="167"/>
    </row>
    <row r="1770" spans="1:8">
      <c r="A1770" s="167"/>
      <c r="B1770" s="167"/>
      <c r="C1770" s="167"/>
      <c r="D1770" s="167"/>
      <c r="E1770" s="167"/>
      <c r="F1770" s="167"/>
      <c r="G1770" s="167"/>
      <c r="H1770" s="167"/>
    </row>
    <row r="1771" spans="1:8">
      <c r="A1771" s="167"/>
      <c r="B1771" s="167"/>
      <c r="C1771" s="167"/>
      <c r="D1771" s="167"/>
      <c r="E1771" s="167"/>
      <c r="F1771" s="167"/>
      <c r="G1771" s="167"/>
      <c r="H1771" s="167"/>
    </row>
    <row r="1772" spans="1:8">
      <c r="A1772" s="167"/>
      <c r="B1772" s="167"/>
      <c r="C1772" s="167"/>
      <c r="D1772" s="167"/>
      <c r="E1772" s="167"/>
      <c r="F1772" s="167"/>
      <c r="G1772" s="167"/>
      <c r="H1772" s="167"/>
    </row>
    <row r="1773" spans="1:8">
      <c r="A1773" s="167"/>
      <c r="B1773" s="167"/>
      <c r="C1773" s="167"/>
      <c r="D1773" s="167"/>
      <c r="E1773" s="167"/>
      <c r="F1773" s="167"/>
      <c r="G1773" s="167"/>
      <c r="H1773" s="167"/>
    </row>
    <row r="1774" spans="1:8">
      <c r="A1774" s="167"/>
      <c r="B1774" s="167"/>
      <c r="C1774" s="167"/>
      <c r="D1774" s="167"/>
      <c r="E1774" s="167"/>
      <c r="F1774" s="167"/>
      <c r="G1774" s="167"/>
      <c r="H1774" s="167"/>
    </row>
    <row r="1775" spans="1:8">
      <c r="A1775" s="167"/>
      <c r="B1775" s="167"/>
      <c r="C1775" s="167"/>
      <c r="D1775" s="167"/>
      <c r="E1775" s="167"/>
      <c r="F1775" s="167"/>
      <c r="G1775" s="167"/>
      <c r="H1775" s="167"/>
    </row>
    <row r="1776" spans="1:8">
      <c r="A1776" s="167"/>
      <c r="B1776" s="167"/>
      <c r="C1776" s="167"/>
      <c r="D1776" s="167"/>
      <c r="E1776" s="167"/>
      <c r="F1776" s="167"/>
      <c r="G1776" s="167"/>
      <c r="H1776" s="167"/>
    </row>
    <row r="1777" spans="1:8">
      <c r="A1777" s="167"/>
      <c r="B1777" s="167"/>
      <c r="C1777" s="167"/>
      <c r="D1777" s="167"/>
      <c r="E1777" s="167"/>
      <c r="F1777" s="167"/>
      <c r="G1777" s="167"/>
      <c r="H1777" s="167"/>
    </row>
    <row r="1778" spans="1:8">
      <c r="A1778" s="167"/>
      <c r="B1778" s="167"/>
      <c r="C1778" s="167"/>
      <c r="D1778" s="167"/>
      <c r="E1778" s="167"/>
      <c r="F1778" s="167"/>
      <c r="G1778" s="167"/>
      <c r="H1778" s="167"/>
    </row>
    <row r="1779" spans="1:8">
      <c r="A1779" s="167"/>
      <c r="B1779" s="167"/>
      <c r="C1779" s="167"/>
      <c r="D1779" s="167"/>
      <c r="E1779" s="167"/>
      <c r="F1779" s="167"/>
      <c r="G1779" s="167"/>
      <c r="H1779" s="167"/>
    </row>
    <row r="1780" spans="1:8">
      <c r="A1780" s="167"/>
      <c r="B1780" s="167"/>
      <c r="C1780" s="167"/>
      <c r="D1780" s="167"/>
      <c r="E1780" s="167"/>
      <c r="F1780" s="167"/>
      <c r="G1780" s="167"/>
      <c r="H1780" s="167"/>
    </row>
    <row r="1781" spans="1:8">
      <c r="A1781" s="167"/>
      <c r="B1781" s="167"/>
      <c r="C1781" s="167"/>
      <c r="D1781" s="167"/>
      <c r="E1781" s="167"/>
      <c r="F1781" s="167"/>
      <c r="G1781" s="167"/>
      <c r="H1781" s="167"/>
    </row>
    <row r="1782" spans="1:8">
      <c r="A1782" s="167"/>
      <c r="B1782" s="167"/>
      <c r="C1782" s="167"/>
      <c r="D1782" s="167"/>
      <c r="E1782" s="167"/>
      <c r="F1782" s="167"/>
      <c r="G1782" s="167"/>
      <c r="H1782" s="167"/>
    </row>
    <row r="1783" spans="1:8">
      <c r="A1783" s="167"/>
      <c r="B1783" s="167"/>
      <c r="C1783" s="167"/>
      <c r="D1783" s="167"/>
      <c r="E1783" s="167"/>
      <c r="F1783" s="167"/>
      <c r="G1783" s="167"/>
      <c r="H1783" s="167"/>
    </row>
    <row r="1784" spans="1:8">
      <c r="A1784" s="167"/>
      <c r="B1784" s="167"/>
      <c r="C1784" s="167"/>
      <c r="D1784" s="167"/>
      <c r="E1784" s="167"/>
      <c r="F1784" s="167"/>
      <c r="G1784" s="167"/>
      <c r="H1784" s="167"/>
    </row>
    <row r="1785" spans="1:8">
      <c r="A1785" s="167"/>
      <c r="B1785" s="167"/>
      <c r="C1785" s="167"/>
      <c r="D1785" s="167"/>
      <c r="E1785" s="167"/>
      <c r="F1785" s="167"/>
      <c r="G1785" s="167"/>
      <c r="H1785" s="167"/>
    </row>
    <row r="1786" spans="1:8">
      <c r="A1786" s="167"/>
      <c r="B1786" s="167"/>
      <c r="C1786" s="167"/>
      <c r="D1786" s="167"/>
      <c r="E1786" s="167"/>
      <c r="F1786" s="167"/>
      <c r="G1786" s="167"/>
      <c r="H1786" s="167"/>
    </row>
    <row r="1787" spans="1:8">
      <c r="A1787" s="167"/>
      <c r="B1787" s="167"/>
      <c r="C1787" s="167"/>
      <c r="D1787" s="167"/>
      <c r="E1787" s="167"/>
      <c r="F1787" s="167"/>
      <c r="G1787" s="167"/>
      <c r="H1787" s="167"/>
    </row>
    <row r="1788" spans="1:8">
      <c r="A1788" s="167"/>
      <c r="B1788" s="167"/>
      <c r="C1788" s="167"/>
      <c r="D1788" s="167"/>
      <c r="E1788" s="167"/>
      <c r="F1788" s="167"/>
      <c r="G1788" s="167"/>
      <c r="H1788" s="167"/>
    </row>
    <row r="1789" spans="1:8">
      <c r="A1789" s="167"/>
      <c r="B1789" s="167"/>
      <c r="C1789" s="167"/>
      <c r="D1789" s="167"/>
      <c r="E1789" s="167"/>
      <c r="F1789" s="167"/>
      <c r="G1789" s="167"/>
      <c r="H1789" s="167"/>
    </row>
    <row r="1790" spans="1:8">
      <c r="A1790" s="167"/>
      <c r="B1790" s="167"/>
      <c r="C1790" s="167"/>
      <c r="D1790" s="167"/>
      <c r="E1790" s="167"/>
      <c r="F1790" s="167"/>
      <c r="G1790" s="167"/>
      <c r="H1790" s="167"/>
    </row>
    <row r="1791" spans="1:8">
      <c r="A1791" s="167"/>
      <c r="B1791" s="167"/>
      <c r="C1791" s="167"/>
      <c r="D1791" s="167"/>
      <c r="E1791" s="167"/>
      <c r="F1791" s="167"/>
      <c r="G1791" s="167"/>
      <c r="H1791" s="167"/>
    </row>
    <row r="1792" spans="1:8">
      <c r="A1792" s="167"/>
      <c r="B1792" s="167"/>
      <c r="C1792" s="167"/>
      <c r="D1792" s="167"/>
      <c r="E1792" s="167"/>
      <c r="F1792" s="167"/>
      <c r="G1792" s="167"/>
      <c r="H1792" s="167"/>
    </row>
    <row r="1793" spans="1:8">
      <c r="A1793" s="167"/>
      <c r="B1793" s="167"/>
      <c r="C1793" s="167"/>
      <c r="D1793" s="167"/>
      <c r="E1793" s="167"/>
      <c r="F1793" s="167"/>
      <c r="G1793" s="167"/>
      <c r="H1793" s="167"/>
    </row>
    <row r="1794" spans="1:8">
      <c r="A1794" s="167"/>
      <c r="B1794" s="167"/>
      <c r="C1794" s="167"/>
      <c r="D1794" s="167"/>
      <c r="E1794" s="167"/>
      <c r="F1794" s="167"/>
      <c r="G1794" s="167"/>
      <c r="H1794" s="167"/>
    </row>
    <row r="1795" spans="1:8">
      <c r="A1795" s="167"/>
      <c r="B1795" s="167"/>
      <c r="C1795" s="167"/>
      <c r="D1795" s="167"/>
      <c r="E1795" s="167"/>
      <c r="F1795" s="167"/>
      <c r="G1795" s="167"/>
      <c r="H1795" s="167"/>
    </row>
    <row r="1796" spans="1:8">
      <c r="A1796" s="167"/>
      <c r="B1796" s="167"/>
      <c r="C1796" s="167"/>
      <c r="D1796" s="167"/>
      <c r="E1796" s="167"/>
      <c r="F1796" s="167"/>
      <c r="G1796" s="167"/>
      <c r="H1796" s="167"/>
    </row>
    <row r="1797" spans="1:8">
      <c r="A1797" s="167"/>
      <c r="B1797" s="167"/>
      <c r="C1797" s="167"/>
      <c r="D1797" s="167"/>
      <c r="E1797" s="167"/>
      <c r="F1797" s="167"/>
      <c r="G1797" s="167"/>
      <c r="H1797" s="167"/>
    </row>
    <row r="1798" spans="1:8">
      <c r="A1798" s="167"/>
      <c r="B1798" s="167"/>
      <c r="C1798" s="167"/>
      <c r="D1798" s="167"/>
      <c r="E1798" s="167"/>
      <c r="F1798" s="167"/>
      <c r="G1798" s="167"/>
      <c r="H1798" s="167"/>
    </row>
    <row r="1799" spans="1:8">
      <c r="A1799" s="167"/>
      <c r="B1799" s="167"/>
      <c r="C1799" s="167"/>
      <c r="D1799" s="167"/>
      <c r="E1799" s="167"/>
      <c r="F1799" s="167"/>
      <c r="G1799" s="167"/>
      <c r="H1799" s="167"/>
    </row>
    <row r="1800" spans="1:8">
      <c r="A1800" s="167"/>
      <c r="B1800" s="167"/>
      <c r="C1800" s="167"/>
      <c r="D1800" s="167"/>
      <c r="E1800" s="167"/>
      <c r="F1800" s="167"/>
      <c r="G1800" s="167"/>
      <c r="H1800" s="167"/>
    </row>
    <row r="1801" spans="1:8">
      <c r="A1801" s="167"/>
      <c r="B1801" s="167"/>
      <c r="C1801" s="167"/>
      <c r="D1801" s="167"/>
      <c r="E1801" s="167"/>
      <c r="F1801" s="167"/>
      <c r="G1801" s="167"/>
      <c r="H1801" s="167"/>
    </row>
    <row r="1802" spans="1:8">
      <c r="A1802" s="167"/>
      <c r="B1802" s="167"/>
      <c r="C1802" s="167"/>
      <c r="D1802" s="167"/>
      <c r="E1802" s="167"/>
      <c r="F1802" s="167"/>
      <c r="G1802" s="167"/>
      <c r="H1802" s="167"/>
    </row>
    <row r="1803" spans="1:8">
      <c r="A1803" s="167"/>
      <c r="B1803" s="167"/>
      <c r="C1803" s="167"/>
      <c r="D1803" s="167"/>
      <c r="E1803" s="167"/>
      <c r="F1803" s="167"/>
      <c r="G1803" s="167"/>
      <c r="H1803" s="167"/>
    </row>
    <row r="1804" spans="1:8">
      <c r="A1804" s="167"/>
      <c r="B1804" s="167"/>
      <c r="C1804" s="167"/>
      <c r="D1804" s="167"/>
      <c r="E1804" s="167"/>
      <c r="F1804" s="167"/>
      <c r="G1804" s="167"/>
      <c r="H1804" s="167"/>
    </row>
    <row r="1805" spans="1:8">
      <c r="A1805" s="167"/>
      <c r="B1805" s="167"/>
      <c r="C1805" s="167"/>
      <c r="D1805" s="167"/>
      <c r="E1805" s="167"/>
      <c r="F1805" s="167"/>
      <c r="G1805" s="167"/>
      <c r="H1805" s="167"/>
    </row>
    <row r="1806" spans="1:8">
      <c r="A1806" s="167"/>
      <c r="B1806" s="167"/>
      <c r="C1806" s="167"/>
      <c r="D1806" s="167"/>
      <c r="E1806" s="167"/>
      <c r="F1806" s="167"/>
      <c r="G1806" s="167"/>
      <c r="H1806" s="167"/>
    </row>
    <row r="1807" spans="1:8">
      <c r="A1807" s="167"/>
      <c r="B1807" s="167"/>
      <c r="C1807" s="167"/>
      <c r="D1807" s="167"/>
      <c r="E1807" s="167"/>
      <c r="F1807" s="167"/>
      <c r="G1807" s="167"/>
      <c r="H1807" s="167"/>
    </row>
    <row r="1808" spans="1:8">
      <c r="A1808" s="167"/>
      <c r="B1808" s="167"/>
      <c r="C1808" s="167"/>
      <c r="D1808" s="167"/>
      <c r="E1808" s="167"/>
      <c r="F1808" s="167"/>
      <c r="G1808" s="167"/>
      <c r="H1808" s="167"/>
    </row>
    <row r="1809" spans="1:8">
      <c r="A1809" s="167"/>
      <c r="B1809" s="167"/>
      <c r="C1809" s="167"/>
      <c r="D1809" s="167"/>
      <c r="E1809" s="167"/>
      <c r="F1809" s="167"/>
      <c r="G1809" s="167"/>
      <c r="H1809" s="167"/>
    </row>
    <row r="1810" spans="1:8">
      <c r="A1810" s="167"/>
      <c r="B1810" s="167"/>
      <c r="C1810" s="167"/>
      <c r="D1810" s="167"/>
      <c r="E1810" s="167"/>
      <c r="F1810" s="167"/>
      <c r="G1810" s="167"/>
      <c r="H1810" s="167"/>
    </row>
    <row r="1811" spans="1:8">
      <c r="A1811" s="167"/>
      <c r="B1811" s="167"/>
      <c r="C1811" s="167"/>
      <c r="D1811" s="167"/>
      <c r="E1811" s="167"/>
      <c r="F1811" s="167"/>
      <c r="G1811" s="167"/>
      <c r="H1811" s="167"/>
    </row>
    <row r="1812" spans="1:8">
      <c r="A1812" s="167"/>
      <c r="B1812" s="167"/>
      <c r="C1812" s="167"/>
      <c r="D1812" s="167"/>
      <c r="E1812" s="167"/>
      <c r="F1812" s="167"/>
      <c r="G1812" s="167"/>
      <c r="H1812" s="167"/>
    </row>
    <row r="1813" spans="1:8">
      <c r="A1813" s="167"/>
      <c r="B1813" s="167"/>
      <c r="C1813" s="167"/>
      <c r="D1813" s="167"/>
      <c r="E1813" s="167"/>
      <c r="F1813" s="167"/>
      <c r="G1813" s="167"/>
      <c r="H1813" s="167"/>
    </row>
    <row r="1814" spans="1:8">
      <c r="A1814" s="167"/>
      <c r="B1814" s="167"/>
      <c r="C1814" s="167"/>
      <c r="D1814" s="167"/>
      <c r="E1814" s="167"/>
      <c r="F1814" s="167"/>
      <c r="G1814" s="167"/>
      <c r="H1814" s="167"/>
    </row>
    <row r="1815" spans="1:8">
      <c r="A1815" s="167"/>
      <c r="B1815" s="167"/>
      <c r="C1815" s="167"/>
      <c r="D1815" s="167"/>
      <c r="E1815" s="167"/>
      <c r="F1815" s="167"/>
      <c r="G1815" s="167"/>
      <c r="H1815" s="167"/>
    </row>
    <row r="1816" spans="1:8">
      <c r="A1816" s="167"/>
      <c r="B1816" s="167"/>
      <c r="C1816" s="167"/>
      <c r="D1816" s="167"/>
      <c r="E1816" s="167"/>
      <c r="F1816" s="167"/>
      <c r="G1816" s="167"/>
      <c r="H1816" s="167"/>
    </row>
    <row r="1817" spans="1:8">
      <c r="A1817" s="167"/>
      <c r="B1817" s="167"/>
      <c r="C1817" s="167"/>
      <c r="D1817" s="167"/>
      <c r="E1817" s="167"/>
      <c r="F1817" s="167"/>
      <c r="G1817" s="167"/>
      <c r="H1817" s="167"/>
    </row>
    <row r="1818" spans="1:8">
      <c r="A1818" s="167"/>
      <c r="B1818" s="167"/>
      <c r="C1818" s="167"/>
      <c r="D1818" s="167"/>
      <c r="E1818" s="167"/>
      <c r="F1818" s="167"/>
      <c r="G1818" s="167"/>
      <c r="H1818" s="167"/>
    </row>
    <row r="1819" spans="1:8">
      <c r="A1819" s="167"/>
      <c r="B1819" s="167"/>
      <c r="C1819" s="167"/>
      <c r="D1819" s="167"/>
      <c r="E1819" s="167"/>
      <c r="F1819" s="167"/>
      <c r="G1819" s="167"/>
      <c r="H1819" s="167"/>
    </row>
    <row r="1820" spans="1:8">
      <c r="A1820" s="167"/>
      <c r="B1820" s="167"/>
      <c r="C1820" s="167"/>
      <c r="D1820" s="167"/>
      <c r="E1820" s="167"/>
      <c r="F1820" s="167"/>
      <c r="G1820" s="167"/>
      <c r="H1820" s="167"/>
    </row>
    <row r="1821" spans="1:8">
      <c r="A1821" s="167"/>
      <c r="B1821" s="167"/>
      <c r="C1821" s="167"/>
      <c r="D1821" s="167"/>
      <c r="E1821" s="167"/>
      <c r="F1821" s="167"/>
      <c r="G1821" s="167"/>
      <c r="H1821" s="167"/>
    </row>
    <row r="1822" spans="1:8">
      <c r="A1822" s="167"/>
      <c r="B1822" s="167"/>
      <c r="C1822" s="167"/>
      <c r="D1822" s="167"/>
      <c r="E1822" s="167"/>
      <c r="F1822" s="167"/>
      <c r="G1822" s="167"/>
      <c r="H1822" s="167"/>
    </row>
    <row r="1823" spans="1:8">
      <c r="A1823" s="167"/>
      <c r="B1823" s="167"/>
      <c r="C1823" s="167"/>
      <c r="D1823" s="167"/>
      <c r="E1823" s="167"/>
      <c r="F1823" s="167"/>
      <c r="G1823" s="167"/>
      <c r="H1823" s="167"/>
    </row>
    <row r="1824" spans="1:8">
      <c r="A1824" s="167"/>
      <c r="B1824" s="167"/>
      <c r="C1824" s="167"/>
      <c r="D1824" s="167"/>
      <c r="E1824" s="167"/>
      <c r="F1824" s="167"/>
      <c r="G1824" s="167"/>
      <c r="H1824" s="167"/>
    </row>
    <row r="1825" spans="1:8">
      <c r="A1825" s="167"/>
      <c r="B1825" s="167"/>
      <c r="C1825" s="167"/>
      <c r="D1825" s="167"/>
      <c r="E1825" s="167"/>
      <c r="F1825" s="167"/>
      <c r="G1825" s="167"/>
      <c r="H1825" s="167"/>
    </row>
    <row r="1826" spans="1:8">
      <c r="A1826" s="167"/>
      <c r="B1826" s="167"/>
      <c r="C1826" s="167"/>
      <c r="D1826" s="167"/>
      <c r="E1826" s="167"/>
      <c r="F1826" s="167"/>
      <c r="G1826" s="167"/>
      <c r="H1826" s="167"/>
    </row>
    <row r="1827" spans="1:8">
      <c r="A1827" s="167"/>
      <c r="B1827" s="167"/>
      <c r="C1827" s="167"/>
      <c r="D1827" s="167"/>
      <c r="E1827" s="167"/>
      <c r="F1827" s="167"/>
      <c r="G1827" s="167"/>
      <c r="H1827" s="167"/>
    </row>
    <row r="1828" spans="1:8">
      <c r="A1828" s="167"/>
      <c r="B1828" s="167"/>
      <c r="C1828" s="167"/>
      <c r="D1828" s="167"/>
      <c r="E1828" s="167"/>
      <c r="F1828" s="167"/>
      <c r="G1828" s="167"/>
      <c r="H1828" s="167"/>
    </row>
    <row r="1829" spans="1:8">
      <c r="A1829" s="167"/>
      <c r="B1829" s="167"/>
      <c r="C1829" s="167"/>
      <c r="D1829" s="167"/>
      <c r="E1829" s="167"/>
      <c r="F1829" s="167"/>
      <c r="G1829" s="167"/>
      <c r="H1829" s="167"/>
    </row>
    <row r="1830" spans="1:8">
      <c r="A1830" s="167"/>
      <c r="B1830" s="167"/>
      <c r="C1830" s="167"/>
      <c r="D1830" s="167"/>
      <c r="E1830" s="167"/>
      <c r="F1830" s="167"/>
      <c r="G1830" s="167"/>
      <c r="H1830" s="167"/>
    </row>
    <row r="1831" spans="1:8">
      <c r="A1831" s="167"/>
      <c r="B1831" s="167"/>
      <c r="C1831" s="167"/>
      <c r="D1831" s="167"/>
      <c r="E1831" s="167"/>
      <c r="F1831" s="167"/>
      <c r="G1831" s="167"/>
      <c r="H1831" s="167"/>
    </row>
    <row r="1832" spans="1:8">
      <c r="A1832" s="167"/>
      <c r="B1832" s="167"/>
      <c r="C1832" s="167"/>
      <c r="D1832" s="167"/>
      <c r="E1832" s="167"/>
      <c r="F1832" s="167"/>
      <c r="G1832" s="167"/>
      <c r="H1832" s="167"/>
    </row>
    <row r="1833" spans="1:8">
      <c r="A1833" s="167"/>
      <c r="B1833" s="167"/>
      <c r="C1833" s="167"/>
      <c r="D1833" s="167"/>
      <c r="E1833" s="167"/>
      <c r="F1833" s="167"/>
      <c r="G1833" s="167"/>
      <c r="H1833" s="167"/>
    </row>
    <row r="1834" spans="1:8">
      <c r="A1834" s="167"/>
      <c r="B1834" s="167"/>
      <c r="C1834" s="167"/>
      <c r="D1834" s="167"/>
      <c r="E1834" s="167"/>
      <c r="F1834" s="167"/>
      <c r="G1834" s="167"/>
      <c r="H1834" s="167"/>
    </row>
    <row r="1835" spans="1:8">
      <c r="A1835" s="167"/>
      <c r="B1835" s="167"/>
      <c r="C1835" s="167"/>
      <c r="D1835" s="167"/>
      <c r="E1835" s="167"/>
      <c r="F1835" s="167"/>
      <c r="G1835" s="167"/>
      <c r="H1835" s="167"/>
    </row>
    <row r="1836" spans="1:8">
      <c r="A1836" s="167"/>
      <c r="B1836" s="167"/>
      <c r="C1836" s="167"/>
      <c r="D1836" s="167"/>
      <c r="E1836" s="167"/>
      <c r="F1836" s="167"/>
      <c r="G1836" s="167"/>
      <c r="H1836" s="167"/>
    </row>
    <row r="1837" spans="1:8">
      <c r="A1837" s="167"/>
      <c r="B1837" s="167"/>
      <c r="C1837" s="167"/>
      <c r="D1837" s="167"/>
      <c r="E1837" s="167"/>
      <c r="F1837" s="167"/>
      <c r="G1837" s="167"/>
      <c r="H1837" s="167"/>
    </row>
    <row r="1838" spans="1:8">
      <c r="A1838" s="167"/>
      <c r="B1838" s="167"/>
      <c r="C1838" s="167"/>
      <c r="D1838" s="167"/>
      <c r="E1838" s="167"/>
      <c r="F1838" s="167"/>
      <c r="G1838" s="167"/>
      <c r="H1838" s="167"/>
    </row>
    <row r="1839" spans="1:8">
      <c r="A1839" s="167"/>
      <c r="B1839" s="167"/>
      <c r="C1839" s="167"/>
      <c r="D1839" s="167"/>
      <c r="E1839" s="167"/>
      <c r="F1839" s="167"/>
      <c r="G1839" s="167"/>
      <c r="H1839" s="167"/>
    </row>
    <row r="1840" spans="1:8">
      <c r="A1840" s="167"/>
      <c r="B1840" s="167"/>
      <c r="C1840" s="167"/>
      <c r="D1840" s="167"/>
      <c r="E1840" s="167"/>
      <c r="F1840" s="167"/>
      <c r="G1840" s="167"/>
      <c r="H1840" s="167"/>
    </row>
    <row r="1841" spans="1:8">
      <c r="A1841" s="167"/>
      <c r="B1841" s="167"/>
      <c r="C1841" s="167"/>
      <c r="D1841" s="167"/>
      <c r="E1841" s="167"/>
      <c r="F1841" s="167"/>
      <c r="G1841" s="167"/>
      <c r="H1841" s="167"/>
    </row>
    <row r="1842" spans="1:8">
      <c r="A1842" s="167"/>
      <c r="B1842" s="167"/>
      <c r="C1842" s="167"/>
      <c r="D1842" s="167"/>
      <c r="E1842" s="167"/>
      <c r="F1842" s="167"/>
      <c r="G1842" s="167"/>
      <c r="H1842" s="167"/>
    </row>
    <row r="1843" spans="1:8">
      <c r="A1843" s="167"/>
      <c r="B1843" s="167"/>
      <c r="C1843" s="167"/>
      <c r="D1843" s="167"/>
      <c r="E1843" s="167"/>
      <c r="F1843" s="167"/>
      <c r="G1843" s="167"/>
      <c r="H1843" s="167"/>
    </row>
    <row r="1844" spans="1:8">
      <c r="A1844" s="167"/>
      <c r="B1844" s="167"/>
      <c r="C1844" s="167"/>
      <c r="D1844" s="167"/>
      <c r="E1844" s="167"/>
      <c r="F1844" s="167"/>
      <c r="G1844" s="167"/>
      <c r="H1844" s="167"/>
    </row>
    <row r="1845" spans="1:8">
      <c r="A1845" s="167"/>
      <c r="B1845" s="167"/>
      <c r="C1845" s="167"/>
      <c r="D1845" s="167"/>
      <c r="E1845" s="167"/>
      <c r="F1845" s="167"/>
      <c r="G1845" s="167"/>
      <c r="H1845" s="167"/>
    </row>
    <row r="1846" spans="1:8">
      <c r="A1846" s="167"/>
      <c r="B1846" s="167"/>
      <c r="C1846" s="167"/>
      <c r="D1846" s="167"/>
      <c r="E1846" s="167"/>
      <c r="F1846" s="167"/>
      <c r="G1846" s="167"/>
      <c r="H1846" s="167"/>
    </row>
    <row r="1847" spans="1:8">
      <c r="A1847" s="167"/>
      <c r="B1847" s="167"/>
      <c r="C1847" s="167"/>
      <c r="D1847" s="167"/>
      <c r="E1847" s="167"/>
      <c r="F1847" s="167"/>
      <c r="G1847" s="167"/>
      <c r="H1847" s="167"/>
    </row>
    <row r="1848" spans="1:8">
      <c r="A1848" s="167"/>
      <c r="B1848" s="167"/>
      <c r="C1848" s="167"/>
      <c r="D1848" s="167"/>
      <c r="E1848" s="167"/>
      <c r="F1848" s="167"/>
      <c r="G1848" s="167"/>
      <c r="H1848" s="167"/>
    </row>
    <row r="1849" spans="1:8">
      <c r="A1849" s="167"/>
      <c r="B1849" s="167"/>
      <c r="C1849" s="167"/>
      <c r="D1849" s="167"/>
      <c r="E1849" s="167"/>
      <c r="F1849" s="167"/>
      <c r="G1849" s="167"/>
      <c r="H1849" s="167"/>
    </row>
    <row r="1850" spans="1:8">
      <c r="A1850" s="167"/>
      <c r="B1850" s="167"/>
      <c r="C1850" s="167"/>
      <c r="D1850" s="167"/>
      <c r="E1850" s="167"/>
      <c r="F1850" s="167"/>
      <c r="G1850" s="167"/>
      <c r="H1850" s="167"/>
    </row>
    <row r="1851" spans="1:8">
      <c r="A1851" s="167"/>
      <c r="B1851" s="167"/>
      <c r="C1851" s="167"/>
      <c r="D1851" s="167"/>
      <c r="E1851" s="167"/>
      <c r="F1851" s="167"/>
      <c r="G1851" s="167"/>
      <c r="H1851" s="167"/>
    </row>
    <row r="1852" spans="1:8">
      <c r="A1852" s="167"/>
      <c r="B1852" s="167"/>
      <c r="C1852" s="167"/>
      <c r="D1852" s="167"/>
      <c r="E1852" s="167"/>
      <c r="F1852" s="167"/>
      <c r="G1852" s="167"/>
      <c r="H1852" s="167"/>
    </row>
    <row r="1853" spans="1:8">
      <c r="A1853" s="167"/>
      <c r="B1853" s="167"/>
      <c r="C1853" s="167"/>
      <c r="D1853" s="167"/>
      <c r="E1853" s="167"/>
      <c r="F1853" s="167"/>
      <c r="G1853" s="167"/>
      <c r="H1853" s="167"/>
    </row>
    <row r="1854" spans="1:8">
      <c r="A1854" s="167"/>
      <c r="B1854" s="167"/>
      <c r="C1854" s="167"/>
      <c r="D1854" s="167"/>
      <c r="E1854" s="167"/>
      <c r="F1854" s="167"/>
      <c r="G1854" s="167"/>
      <c r="H1854" s="167"/>
    </row>
    <row r="1855" spans="1:8">
      <c r="A1855" s="167"/>
      <c r="B1855" s="167"/>
      <c r="C1855" s="167"/>
      <c r="D1855" s="167"/>
      <c r="E1855" s="167"/>
      <c r="F1855" s="167"/>
      <c r="G1855" s="167"/>
      <c r="H1855" s="167"/>
    </row>
    <row r="1856" spans="1:8">
      <c r="A1856" s="167"/>
      <c r="B1856" s="167"/>
      <c r="C1856" s="167"/>
      <c r="D1856" s="167"/>
      <c r="E1856" s="167"/>
      <c r="F1856" s="167"/>
      <c r="G1856" s="167"/>
      <c r="H1856" s="167"/>
    </row>
    <row r="1857" spans="1:8">
      <c r="A1857" s="167"/>
      <c r="B1857" s="167"/>
      <c r="C1857" s="167"/>
      <c r="D1857" s="167"/>
      <c r="E1857" s="167"/>
      <c r="F1857" s="167"/>
      <c r="G1857" s="167"/>
      <c r="H1857" s="167"/>
    </row>
    <row r="1858" spans="1:8">
      <c r="A1858" s="167"/>
      <c r="B1858" s="167"/>
      <c r="C1858" s="167"/>
      <c r="D1858" s="167"/>
      <c r="E1858" s="167"/>
      <c r="F1858" s="167"/>
      <c r="G1858" s="167"/>
      <c r="H1858" s="167"/>
    </row>
    <row r="1859" spans="1:8">
      <c r="A1859" s="167"/>
      <c r="B1859" s="167"/>
      <c r="C1859" s="167"/>
      <c r="D1859" s="167"/>
      <c r="E1859" s="167"/>
      <c r="F1859" s="167"/>
      <c r="G1859" s="167"/>
      <c r="H1859" s="167"/>
    </row>
    <row r="1860" spans="1:8">
      <c r="A1860" s="167"/>
      <c r="B1860" s="167"/>
      <c r="C1860" s="167"/>
      <c r="D1860" s="167"/>
      <c r="E1860" s="167"/>
      <c r="F1860" s="167"/>
      <c r="G1860" s="167"/>
      <c r="H1860" s="167"/>
    </row>
    <row r="1861" spans="1:8">
      <c r="A1861" s="167"/>
      <c r="B1861" s="167"/>
      <c r="C1861" s="167"/>
      <c r="D1861" s="167"/>
      <c r="E1861" s="167"/>
      <c r="F1861" s="167"/>
      <c r="G1861" s="167"/>
      <c r="H1861" s="167"/>
    </row>
    <row r="1862" spans="1:8">
      <c r="A1862" s="167"/>
      <c r="B1862" s="167"/>
      <c r="C1862" s="167"/>
      <c r="D1862" s="167"/>
      <c r="E1862" s="167"/>
      <c r="F1862" s="167"/>
      <c r="G1862" s="167"/>
      <c r="H1862" s="167"/>
    </row>
    <row r="1863" spans="1:8">
      <c r="A1863" s="167"/>
      <c r="B1863" s="167"/>
      <c r="C1863" s="167"/>
      <c r="D1863" s="167"/>
      <c r="E1863" s="167"/>
      <c r="F1863" s="167"/>
      <c r="G1863" s="167"/>
      <c r="H1863" s="167"/>
    </row>
    <row r="1864" spans="1:8">
      <c r="A1864" s="167"/>
      <c r="B1864" s="167"/>
      <c r="C1864" s="167"/>
      <c r="D1864" s="167"/>
      <c r="E1864" s="167"/>
      <c r="F1864" s="167"/>
      <c r="G1864" s="167"/>
      <c r="H1864" s="167"/>
    </row>
    <row r="1865" spans="1:8">
      <c r="A1865" s="167"/>
      <c r="B1865" s="167"/>
      <c r="C1865" s="167"/>
      <c r="D1865" s="167"/>
      <c r="E1865" s="167"/>
      <c r="F1865" s="167"/>
      <c r="G1865" s="167"/>
      <c r="H1865" s="167"/>
    </row>
    <row r="1866" spans="1:8">
      <c r="A1866" s="167"/>
      <c r="B1866" s="167"/>
      <c r="C1866" s="167"/>
      <c r="D1866" s="167"/>
      <c r="E1866" s="167"/>
      <c r="F1866" s="167"/>
      <c r="G1866" s="167"/>
      <c r="H1866" s="167"/>
    </row>
    <row r="1867" spans="1:8">
      <c r="A1867" s="167"/>
      <c r="B1867" s="167"/>
      <c r="C1867" s="167"/>
      <c r="D1867" s="167"/>
      <c r="E1867" s="167"/>
      <c r="F1867" s="167"/>
      <c r="G1867" s="167"/>
      <c r="H1867" s="167"/>
    </row>
    <row r="1868" spans="1:8">
      <c r="A1868" s="167"/>
      <c r="B1868" s="167"/>
      <c r="C1868" s="167"/>
      <c r="D1868" s="167"/>
      <c r="E1868" s="167"/>
      <c r="F1868" s="167"/>
      <c r="G1868" s="167"/>
      <c r="H1868" s="167"/>
    </row>
    <row r="1869" spans="1:8">
      <c r="A1869" s="167"/>
      <c r="B1869" s="167"/>
      <c r="C1869" s="167"/>
      <c r="D1869" s="167"/>
      <c r="E1869" s="167"/>
      <c r="F1869" s="167"/>
      <c r="G1869" s="167"/>
      <c r="H1869" s="167"/>
    </row>
    <row r="1870" spans="1:8">
      <c r="A1870" s="167"/>
      <c r="B1870" s="167"/>
      <c r="C1870" s="167"/>
      <c r="D1870" s="167"/>
      <c r="E1870" s="167"/>
      <c r="F1870" s="167"/>
      <c r="G1870" s="167"/>
      <c r="H1870" s="167"/>
    </row>
    <row r="1871" spans="1:8">
      <c r="A1871" s="167"/>
      <c r="B1871" s="167"/>
      <c r="C1871" s="167"/>
      <c r="D1871" s="167"/>
      <c r="E1871" s="167"/>
      <c r="F1871" s="167"/>
      <c r="G1871" s="167"/>
      <c r="H1871" s="167"/>
    </row>
    <row r="1872" spans="1:8">
      <c r="A1872" s="167"/>
      <c r="B1872" s="167"/>
      <c r="C1872" s="167"/>
      <c r="D1872" s="167"/>
      <c r="E1872" s="167"/>
      <c r="F1872" s="167"/>
      <c r="G1872" s="167"/>
      <c r="H1872" s="167"/>
    </row>
    <row r="1873" spans="1:8">
      <c r="A1873" s="167"/>
      <c r="B1873" s="167"/>
      <c r="C1873" s="167"/>
      <c r="D1873" s="167"/>
      <c r="E1873" s="167"/>
      <c r="F1873" s="167"/>
      <c r="G1873" s="167"/>
      <c r="H1873" s="167"/>
    </row>
    <row r="1874" spans="1:8">
      <c r="A1874" s="167"/>
      <c r="B1874" s="167"/>
      <c r="C1874" s="167"/>
      <c r="D1874" s="167"/>
      <c r="E1874" s="167"/>
      <c r="F1874" s="167"/>
      <c r="G1874" s="167"/>
      <c r="H1874" s="167"/>
    </row>
    <row r="1875" spans="1:8">
      <c r="A1875" s="167"/>
      <c r="B1875" s="167"/>
      <c r="C1875" s="167"/>
      <c r="D1875" s="167"/>
      <c r="E1875" s="167"/>
      <c r="F1875" s="167"/>
      <c r="G1875" s="167"/>
      <c r="H1875" s="167"/>
    </row>
    <row r="1876" spans="1:8">
      <c r="A1876" s="167"/>
      <c r="B1876" s="167"/>
      <c r="C1876" s="167"/>
      <c r="D1876" s="167"/>
      <c r="E1876" s="167"/>
      <c r="F1876" s="167"/>
      <c r="G1876" s="167"/>
      <c r="H1876" s="167"/>
    </row>
    <row r="1877" spans="1:8">
      <c r="A1877" s="167"/>
      <c r="B1877" s="167"/>
      <c r="C1877" s="167"/>
      <c r="D1877" s="167"/>
      <c r="E1877" s="167"/>
      <c r="F1877" s="167"/>
      <c r="G1877" s="167"/>
      <c r="H1877" s="167"/>
    </row>
    <row r="1878" spans="1:8">
      <c r="A1878" s="167"/>
      <c r="B1878" s="167"/>
      <c r="C1878" s="167"/>
      <c r="D1878" s="167"/>
      <c r="E1878" s="167"/>
      <c r="F1878" s="167"/>
      <c r="G1878" s="167"/>
      <c r="H1878" s="167"/>
    </row>
    <row r="1879" spans="1:8">
      <c r="A1879" s="167"/>
      <c r="B1879" s="167"/>
      <c r="C1879" s="167"/>
      <c r="D1879" s="167"/>
      <c r="E1879" s="167"/>
      <c r="F1879" s="167"/>
      <c r="G1879" s="167"/>
      <c r="H1879" s="167"/>
    </row>
    <row r="1880" spans="1:8">
      <c r="A1880" s="167"/>
      <c r="B1880" s="167"/>
      <c r="C1880" s="167"/>
      <c r="D1880" s="167"/>
      <c r="E1880" s="167"/>
      <c r="F1880" s="167"/>
      <c r="G1880" s="167"/>
      <c r="H1880" s="167"/>
    </row>
    <row r="1881" spans="1:8">
      <c r="A1881" s="167"/>
      <c r="B1881" s="167"/>
      <c r="C1881" s="167"/>
      <c r="D1881" s="167"/>
      <c r="E1881" s="167"/>
      <c r="F1881" s="167"/>
      <c r="G1881" s="167"/>
      <c r="H1881" s="167"/>
    </row>
    <row r="1882" spans="1:8">
      <c r="A1882" s="167"/>
      <c r="B1882" s="167"/>
      <c r="C1882" s="167"/>
      <c r="D1882" s="167"/>
      <c r="E1882" s="167"/>
      <c r="F1882" s="167"/>
      <c r="G1882" s="167"/>
      <c r="H1882" s="167"/>
    </row>
    <row r="1883" spans="1:8">
      <c r="A1883" s="167"/>
      <c r="B1883" s="167"/>
      <c r="C1883" s="167"/>
      <c r="D1883" s="167"/>
      <c r="E1883" s="167"/>
      <c r="F1883" s="167"/>
      <c r="G1883" s="167"/>
      <c r="H1883" s="167"/>
    </row>
    <row r="1884" spans="1:8">
      <c r="A1884" s="167"/>
      <c r="B1884" s="167"/>
      <c r="C1884" s="167"/>
      <c r="D1884" s="167"/>
      <c r="E1884" s="167"/>
      <c r="F1884" s="167"/>
      <c r="G1884" s="167"/>
      <c r="H1884" s="167"/>
    </row>
    <row r="1885" spans="1:8">
      <c r="A1885" s="167"/>
      <c r="B1885" s="167"/>
      <c r="C1885" s="167"/>
      <c r="D1885" s="167"/>
      <c r="E1885" s="167"/>
      <c r="F1885" s="167"/>
      <c r="G1885" s="167"/>
      <c r="H1885" s="167"/>
    </row>
    <row r="1886" spans="1:8">
      <c r="A1886" s="167"/>
      <c r="B1886" s="167"/>
      <c r="C1886" s="167"/>
      <c r="D1886" s="167"/>
      <c r="E1886" s="167"/>
      <c r="F1886" s="167"/>
      <c r="G1886" s="167"/>
      <c r="H1886" s="167"/>
    </row>
    <row r="1887" spans="1:8">
      <c r="A1887" s="167"/>
      <c r="B1887" s="167"/>
      <c r="C1887" s="167"/>
      <c r="D1887" s="167"/>
      <c r="E1887" s="167"/>
      <c r="F1887" s="167"/>
      <c r="G1887" s="167"/>
      <c r="H1887" s="167"/>
    </row>
    <row r="1888" spans="1:8">
      <c r="A1888" s="167"/>
      <c r="B1888" s="167"/>
      <c r="C1888" s="167"/>
      <c r="D1888" s="167"/>
      <c r="E1888" s="167"/>
      <c r="F1888" s="167"/>
      <c r="G1888" s="167"/>
      <c r="H1888" s="167"/>
    </row>
    <row r="1889" spans="1:8">
      <c r="A1889" s="167"/>
      <c r="B1889" s="167"/>
      <c r="C1889" s="167"/>
      <c r="D1889" s="167"/>
      <c r="E1889" s="167"/>
      <c r="F1889" s="167"/>
      <c r="G1889" s="167"/>
      <c r="H1889" s="167"/>
    </row>
    <row r="1890" spans="1:8">
      <c r="A1890" s="167"/>
      <c r="B1890" s="167"/>
      <c r="C1890" s="167"/>
      <c r="D1890" s="167"/>
      <c r="E1890" s="167"/>
      <c r="F1890" s="167"/>
      <c r="G1890" s="167"/>
      <c r="H1890" s="167"/>
    </row>
    <row r="1891" spans="1:8">
      <c r="A1891" s="167"/>
      <c r="B1891" s="167"/>
      <c r="C1891" s="167"/>
      <c r="D1891" s="167"/>
      <c r="E1891" s="167"/>
      <c r="F1891" s="167"/>
      <c r="G1891" s="167"/>
      <c r="H1891" s="167"/>
    </row>
    <row r="1892" spans="1:8">
      <c r="A1892" s="167"/>
      <c r="B1892" s="167"/>
      <c r="C1892" s="167"/>
      <c r="D1892" s="167"/>
      <c r="E1892" s="167"/>
      <c r="F1892" s="167"/>
      <c r="G1892" s="167"/>
      <c r="H1892" s="167"/>
    </row>
    <row r="1893" spans="1:8">
      <c r="A1893" s="167"/>
      <c r="B1893" s="167"/>
      <c r="C1893" s="167"/>
      <c r="D1893" s="167"/>
      <c r="E1893" s="167"/>
      <c r="F1893" s="167"/>
      <c r="G1893" s="167"/>
      <c r="H1893" s="167"/>
    </row>
    <row r="1894" spans="1:8">
      <c r="A1894" s="167"/>
      <c r="B1894" s="167"/>
      <c r="C1894" s="167"/>
      <c r="D1894" s="167"/>
      <c r="E1894" s="167"/>
      <c r="F1894" s="167"/>
      <c r="G1894" s="167"/>
      <c r="H1894" s="167"/>
    </row>
    <row r="1895" spans="1:8">
      <c r="A1895" s="167"/>
      <c r="B1895" s="167"/>
      <c r="C1895" s="167"/>
      <c r="D1895" s="167"/>
      <c r="E1895" s="167"/>
      <c r="F1895" s="167"/>
      <c r="G1895" s="167"/>
      <c r="H1895" s="167"/>
    </row>
    <row r="1896" spans="1:8">
      <c r="A1896" s="167"/>
      <c r="B1896" s="167"/>
      <c r="C1896" s="167"/>
      <c r="D1896" s="167"/>
      <c r="E1896" s="167"/>
      <c r="F1896" s="167"/>
      <c r="G1896" s="167"/>
      <c r="H1896" s="167"/>
    </row>
    <row r="1897" spans="1:8">
      <c r="A1897" s="167"/>
      <c r="B1897" s="167"/>
      <c r="C1897" s="167"/>
      <c r="D1897" s="167"/>
      <c r="E1897" s="167"/>
      <c r="F1897" s="167"/>
      <c r="G1897" s="167"/>
      <c r="H1897" s="167"/>
    </row>
    <row r="1898" spans="1:8">
      <c r="A1898" s="167"/>
      <c r="B1898" s="167"/>
      <c r="C1898" s="167"/>
      <c r="D1898" s="167"/>
      <c r="E1898" s="167"/>
      <c r="F1898" s="167"/>
      <c r="G1898" s="167"/>
      <c r="H1898" s="167"/>
    </row>
    <row r="1899" spans="1:8">
      <c r="A1899" s="167"/>
      <c r="B1899" s="167"/>
      <c r="C1899" s="167"/>
      <c r="D1899" s="167"/>
      <c r="E1899" s="167"/>
      <c r="F1899" s="167"/>
      <c r="G1899" s="167"/>
      <c r="H1899" s="167"/>
    </row>
    <row r="1900" spans="1:8">
      <c r="A1900" s="167"/>
      <c r="B1900" s="167"/>
      <c r="C1900" s="167"/>
      <c r="D1900" s="167"/>
      <c r="E1900" s="167"/>
      <c r="F1900" s="167"/>
      <c r="G1900" s="167"/>
      <c r="H1900" s="167"/>
    </row>
    <row r="1901" spans="1:8">
      <c r="A1901" s="167"/>
      <c r="B1901" s="167"/>
      <c r="C1901" s="167"/>
      <c r="D1901" s="167"/>
      <c r="E1901" s="167"/>
      <c r="F1901" s="167"/>
      <c r="G1901" s="167"/>
      <c r="H1901" s="167"/>
    </row>
    <row r="1902" spans="1:8">
      <c r="A1902" s="167"/>
      <c r="B1902" s="167"/>
      <c r="C1902" s="167"/>
      <c r="D1902" s="167"/>
      <c r="E1902" s="167"/>
      <c r="F1902" s="167"/>
      <c r="G1902" s="167"/>
      <c r="H1902" s="167"/>
    </row>
    <row r="1903" spans="1:8">
      <c r="A1903" s="167"/>
      <c r="B1903" s="167"/>
      <c r="C1903" s="167"/>
      <c r="D1903" s="167"/>
      <c r="E1903" s="167"/>
      <c r="F1903" s="167"/>
      <c r="G1903" s="167"/>
      <c r="H1903" s="167"/>
    </row>
    <row r="1904" spans="1:8">
      <c r="A1904" s="167"/>
      <c r="B1904" s="167"/>
      <c r="C1904" s="167"/>
      <c r="D1904" s="167"/>
      <c r="E1904" s="167"/>
      <c r="F1904" s="167"/>
      <c r="G1904" s="167"/>
      <c r="H1904" s="167"/>
    </row>
    <row r="1905" spans="1:8">
      <c r="A1905" s="167"/>
      <c r="B1905" s="167"/>
      <c r="C1905" s="167"/>
      <c r="D1905" s="167"/>
      <c r="E1905" s="167"/>
      <c r="F1905" s="167"/>
      <c r="G1905" s="167"/>
      <c r="H1905" s="167"/>
    </row>
    <row r="1906" spans="1:8">
      <c r="A1906" s="167"/>
      <c r="B1906" s="167"/>
      <c r="C1906" s="167"/>
      <c r="D1906" s="167"/>
      <c r="E1906" s="167"/>
      <c r="F1906" s="167"/>
      <c r="G1906" s="167"/>
      <c r="H1906" s="167"/>
    </row>
    <row r="1907" spans="1:8">
      <c r="A1907" s="167"/>
      <c r="B1907" s="167"/>
      <c r="C1907" s="167"/>
      <c r="D1907" s="167"/>
      <c r="E1907" s="167"/>
      <c r="F1907" s="167"/>
      <c r="G1907" s="167"/>
      <c r="H1907" s="167"/>
    </row>
    <row r="1908" spans="1:8">
      <c r="A1908" s="167"/>
      <c r="B1908" s="167"/>
      <c r="C1908" s="167"/>
      <c r="D1908" s="167"/>
      <c r="E1908" s="167"/>
      <c r="F1908" s="167"/>
      <c r="G1908" s="167"/>
      <c r="H1908" s="167"/>
    </row>
    <row r="1909" spans="1:8">
      <c r="A1909" s="167"/>
      <c r="B1909" s="167"/>
      <c r="C1909" s="167"/>
      <c r="D1909" s="167"/>
      <c r="E1909" s="167"/>
      <c r="F1909" s="167"/>
      <c r="G1909" s="167"/>
      <c r="H1909" s="167"/>
    </row>
    <row r="1910" spans="1:8">
      <c r="A1910" s="167"/>
      <c r="B1910" s="167"/>
      <c r="C1910" s="167"/>
      <c r="D1910" s="167"/>
      <c r="E1910" s="167"/>
      <c r="F1910" s="167"/>
      <c r="G1910" s="167"/>
      <c r="H1910" s="167"/>
    </row>
    <row r="1911" spans="1:8">
      <c r="A1911" s="167"/>
      <c r="B1911" s="167"/>
      <c r="C1911" s="167"/>
      <c r="D1911" s="167"/>
      <c r="E1911" s="167"/>
      <c r="F1911" s="167"/>
      <c r="G1911" s="167"/>
      <c r="H1911" s="167"/>
    </row>
    <row r="1912" spans="1:8">
      <c r="A1912" s="167"/>
      <c r="B1912" s="167"/>
      <c r="C1912" s="167"/>
      <c r="D1912" s="167"/>
      <c r="E1912" s="167"/>
      <c r="F1912" s="167"/>
      <c r="G1912" s="167"/>
      <c r="H1912" s="167"/>
    </row>
    <row r="1913" spans="1:8">
      <c r="A1913" s="167"/>
      <c r="B1913" s="167"/>
      <c r="C1913" s="167"/>
      <c r="D1913" s="167"/>
      <c r="E1913" s="167"/>
      <c r="F1913" s="167"/>
      <c r="G1913" s="167"/>
      <c r="H1913" s="167"/>
    </row>
    <row r="1914" spans="1:8">
      <c r="A1914" s="167"/>
      <c r="B1914" s="167"/>
      <c r="C1914" s="167"/>
      <c r="D1914" s="167"/>
      <c r="E1914" s="167"/>
      <c r="F1914" s="167"/>
      <c r="G1914" s="167"/>
      <c r="H1914" s="167"/>
    </row>
    <row r="1915" spans="1:8">
      <c r="A1915" s="167"/>
      <c r="B1915" s="167"/>
      <c r="C1915" s="167"/>
      <c r="D1915" s="167"/>
      <c r="E1915" s="167"/>
      <c r="F1915" s="167"/>
      <c r="G1915" s="167"/>
      <c r="H1915" s="167"/>
    </row>
    <row r="1916" spans="1:8">
      <c r="A1916" s="167"/>
      <c r="B1916" s="167"/>
      <c r="C1916" s="167"/>
      <c r="D1916" s="167"/>
      <c r="E1916" s="167"/>
      <c r="F1916" s="167"/>
      <c r="G1916" s="167"/>
      <c r="H1916" s="167"/>
    </row>
    <row r="1917" spans="1:8">
      <c r="A1917" s="167"/>
      <c r="B1917" s="167"/>
      <c r="C1917" s="167"/>
      <c r="D1917" s="167"/>
      <c r="E1917" s="167"/>
      <c r="F1917" s="167"/>
      <c r="G1917" s="167"/>
      <c r="H1917" s="167"/>
    </row>
    <row r="1918" spans="1:8">
      <c r="A1918" s="167"/>
      <c r="B1918" s="167"/>
      <c r="C1918" s="167"/>
      <c r="D1918" s="167"/>
      <c r="E1918" s="167"/>
      <c r="F1918" s="167"/>
      <c r="G1918" s="167"/>
      <c r="H1918" s="167"/>
    </row>
    <row r="1919" spans="1:8">
      <c r="A1919" s="167"/>
      <c r="B1919" s="167"/>
      <c r="C1919" s="167"/>
      <c r="D1919" s="167"/>
      <c r="E1919" s="167"/>
      <c r="F1919" s="167"/>
      <c r="G1919" s="167"/>
      <c r="H1919" s="167"/>
    </row>
    <row r="1920" spans="1:8">
      <c r="A1920" s="167"/>
      <c r="B1920" s="167"/>
      <c r="C1920" s="167"/>
      <c r="D1920" s="167"/>
      <c r="E1920" s="167"/>
      <c r="F1920" s="167"/>
      <c r="G1920" s="167"/>
      <c r="H1920" s="167"/>
    </row>
    <row r="1921" spans="1:8">
      <c r="A1921" s="167"/>
      <c r="B1921" s="167"/>
      <c r="C1921" s="167"/>
      <c r="D1921" s="167"/>
      <c r="E1921" s="167"/>
      <c r="F1921" s="167"/>
      <c r="G1921" s="167"/>
      <c r="H1921" s="167"/>
    </row>
    <row r="1922" spans="1:8">
      <c r="A1922" s="167"/>
      <c r="B1922" s="167"/>
      <c r="C1922" s="167"/>
      <c r="D1922" s="167"/>
      <c r="E1922" s="167"/>
      <c r="F1922" s="167"/>
      <c r="G1922" s="167"/>
      <c r="H1922" s="167"/>
    </row>
    <row r="1923" spans="1:8">
      <c r="A1923" s="167"/>
      <c r="B1923" s="167"/>
      <c r="C1923" s="167"/>
      <c r="D1923" s="167"/>
      <c r="E1923" s="167"/>
      <c r="F1923" s="167"/>
      <c r="G1923" s="167"/>
      <c r="H1923" s="167"/>
    </row>
    <row r="1924" spans="1:8">
      <c r="A1924" s="167"/>
      <c r="B1924" s="167"/>
      <c r="C1924" s="167"/>
      <c r="D1924" s="167"/>
      <c r="E1924" s="167"/>
      <c r="F1924" s="167"/>
      <c r="G1924" s="167"/>
      <c r="H1924" s="167"/>
    </row>
    <row r="1925" spans="1:8">
      <c r="A1925" s="167"/>
      <c r="B1925" s="167"/>
      <c r="C1925" s="167"/>
      <c r="D1925" s="167"/>
      <c r="E1925" s="167"/>
      <c r="F1925" s="167"/>
      <c r="G1925" s="167"/>
      <c r="H1925" s="167"/>
    </row>
    <row r="1926" spans="1:8">
      <c r="A1926" s="167"/>
      <c r="B1926" s="167"/>
      <c r="C1926" s="167"/>
      <c r="D1926" s="167"/>
      <c r="E1926" s="167"/>
      <c r="F1926" s="167"/>
      <c r="G1926" s="167"/>
      <c r="H1926" s="167"/>
    </row>
    <row r="1927" spans="1:8">
      <c r="A1927" s="167"/>
      <c r="B1927" s="167"/>
      <c r="C1927" s="167"/>
      <c r="D1927" s="167"/>
      <c r="E1927" s="167"/>
      <c r="F1927" s="167"/>
      <c r="G1927" s="167"/>
      <c r="H1927" s="167"/>
    </row>
    <row r="1928" spans="1:8">
      <c r="A1928" s="167"/>
      <c r="B1928" s="167"/>
      <c r="C1928" s="167"/>
      <c r="D1928" s="167"/>
      <c r="E1928" s="167"/>
      <c r="F1928" s="167"/>
      <c r="G1928" s="167"/>
      <c r="H1928" s="167"/>
    </row>
    <row r="1929" spans="1:8">
      <c r="A1929" s="167"/>
      <c r="B1929" s="167"/>
      <c r="C1929" s="167"/>
      <c r="D1929" s="167"/>
      <c r="E1929" s="167"/>
      <c r="F1929" s="167"/>
      <c r="G1929" s="167"/>
      <c r="H1929" s="167"/>
    </row>
    <row r="1930" spans="1:8">
      <c r="A1930" s="167"/>
      <c r="B1930" s="167"/>
      <c r="C1930" s="167"/>
      <c r="D1930" s="167"/>
      <c r="E1930" s="167"/>
      <c r="F1930" s="167"/>
      <c r="G1930" s="167"/>
      <c r="H1930" s="167"/>
    </row>
    <row r="1931" spans="1:8">
      <c r="A1931" s="167"/>
      <c r="B1931" s="167"/>
      <c r="C1931" s="167"/>
      <c r="D1931" s="167"/>
      <c r="E1931" s="167"/>
      <c r="F1931" s="167"/>
      <c r="G1931" s="167"/>
      <c r="H1931" s="167"/>
    </row>
    <row r="1932" spans="1:8">
      <c r="A1932" s="167"/>
      <c r="B1932" s="167"/>
      <c r="C1932" s="167"/>
      <c r="D1932" s="167"/>
      <c r="E1932" s="167"/>
      <c r="F1932" s="167"/>
      <c r="G1932" s="167"/>
      <c r="H1932" s="167"/>
    </row>
    <row r="1933" spans="1:8">
      <c r="A1933" s="167"/>
      <c r="B1933" s="167"/>
      <c r="C1933" s="167"/>
      <c r="D1933" s="167"/>
      <c r="E1933" s="167"/>
      <c r="F1933" s="167"/>
      <c r="G1933" s="167"/>
      <c r="H1933" s="167"/>
    </row>
    <row r="1934" spans="1:8">
      <c r="A1934" s="167"/>
      <c r="B1934" s="167"/>
      <c r="C1934" s="167"/>
      <c r="D1934" s="167"/>
      <c r="E1934" s="167"/>
      <c r="F1934" s="167"/>
      <c r="G1934" s="167"/>
      <c r="H1934" s="167"/>
    </row>
    <row r="1935" spans="1:8">
      <c r="A1935" s="167"/>
      <c r="B1935" s="167"/>
      <c r="C1935" s="167"/>
      <c r="D1935" s="167"/>
      <c r="E1935" s="167"/>
      <c r="F1935" s="167"/>
      <c r="G1935" s="167"/>
      <c r="H1935" s="167"/>
    </row>
    <row r="1936" spans="1:8">
      <c r="A1936" s="167"/>
      <c r="B1936" s="167"/>
      <c r="C1936" s="167"/>
      <c r="D1936" s="167"/>
      <c r="E1936" s="167"/>
      <c r="F1936" s="167"/>
      <c r="G1936" s="167"/>
      <c r="H1936" s="167"/>
    </row>
    <row r="1937" spans="1:8">
      <c r="A1937" s="167"/>
      <c r="B1937" s="167"/>
      <c r="C1937" s="167"/>
      <c r="D1937" s="167"/>
      <c r="E1937" s="167"/>
      <c r="F1937" s="167"/>
      <c r="G1937" s="167"/>
      <c r="H1937" s="167"/>
    </row>
    <row r="1938" spans="1:8">
      <c r="A1938" s="167"/>
      <c r="B1938" s="167"/>
      <c r="C1938" s="167"/>
      <c r="D1938" s="167"/>
      <c r="E1938" s="167"/>
      <c r="F1938" s="167"/>
      <c r="G1938" s="167"/>
      <c r="H1938" s="167"/>
    </row>
    <row r="1939" spans="1:8">
      <c r="A1939" s="167"/>
      <c r="B1939" s="167"/>
      <c r="C1939" s="167"/>
      <c r="D1939" s="167"/>
      <c r="E1939" s="167"/>
      <c r="F1939" s="167"/>
      <c r="G1939" s="167"/>
      <c r="H1939" s="167"/>
    </row>
    <row r="1940" spans="1:8">
      <c r="A1940" s="167"/>
      <c r="B1940" s="167"/>
      <c r="C1940" s="167"/>
      <c r="D1940" s="167"/>
      <c r="E1940" s="167"/>
      <c r="F1940" s="167"/>
      <c r="G1940" s="167"/>
      <c r="H1940" s="167"/>
    </row>
    <row r="1941" spans="1:8">
      <c r="A1941" s="167"/>
      <c r="B1941" s="167"/>
      <c r="C1941" s="167"/>
      <c r="D1941" s="167"/>
      <c r="E1941" s="167"/>
      <c r="F1941" s="167"/>
      <c r="G1941" s="167"/>
      <c r="H1941" s="167"/>
    </row>
    <row r="1942" spans="1:8">
      <c r="A1942" s="167"/>
      <c r="B1942" s="167"/>
      <c r="C1942" s="167"/>
      <c r="D1942" s="167"/>
      <c r="E1942" s="167"/>
      <c r="F1942" s="167"/>
      <c r="G1942" s="167"/>
      <c r="H1942" s="167"/>
    </row>
    <row r="1943" spans="1:8">
      <c r="A1943" s="167"/>
      <c r="B1943" s="167"/>
      <c r="C1943" s="167"/>
      <c r="D1943" s="167"/>
      <c r="E1943" s="167"/>
      <c r="F1943" s="167"/>
      <c r="G1943" s="167"/>
      <c r="H1943" s="167"/>
    </row>
    <row r="1944" spans="1:8">
      <c r="A1944" s="167"/>
      <c r="B1944" s="167"/>
      <c r="C1944" s="167"/>
      <c r="D1944" s="167"/>
      <c r="E1944" s="167"/>
      <c r="F1944" s="167"/>
      <c r="G1944" s="167"/>
      <c r="H1944" s="167"/>
    </row>
    <row r="1945" spans="1:8">
      <c r="A1945" s="167"/>
      <c r="B1945" s="167"/>
      <c r="C1945" s="167"/>
      <c r="D1945" s="167"/>
      <c r="E1945" s="167"/>
      <c r="F1945" s="167"/>
      <c r="G1945" s="167"/>
      <c r="H1945" s="167"/>
    </row>
    <row r="1946" spans="1:8">
      <c r="A1946" s="167"/>
      <c r="B1946" s="167"/>
      <c r="C1946" s="167"/>
      <c r="D1946" s="167"/>
      <c r="E1946" s="167"/>
      <c r="F1946" s="167"/>
      <c r="G1946" s="167"/>
      <c r="H1946" s="167"/>
    </row>
    <row r="1947" spans="1:8">
      <c r="A1947" s="167"/>
      <c r="B1947" s="167"/>
      <c r="C1947" s="167"/>
      <c r="D1947" s="167"/>
      <c r="E1947" s="167"/>
      <c r="F1947" s="167"/>
      <c r="G1947" s="167"/>
      <c r="H1947" s="167"/>
    </row>
    <row r="1948" spans="1:8">
      <c r="A1948" s="167"/>
      <c r="B1948" s="167"/>
      <c r="C1948" s="167"/>
      <c r="D1948" s="167"/>
      <c r="E1948" s="167"/>
      <c r="F1948" s="167"/>
      <c r="G1948" s="167"/>
      <c r="H1948" s="167"/>
    </row>
    <row r="1949" spans="1:8">
      <c r="A1949" s="167"/>
      <c r="B1949" s="167"/>
      <c r="C1949" s="167"/>
      <c r="D1949" s="167"/>
      <c r="E1949" s="167"/>
      <c r="F1949" s="167"/>
      <c r="G1949" s="167"/>
      <c r="H1949" s="167"/>
    </row>
    <row r="1950" spans="1:8">
      <c r="A1950" s="167"/>
      <c r="B1950" s="167"/>
      <c r="C1950" s="167"/>
      <c r="D1950" s="167"/>
      <c r="E1950" s="167"/>
      <c r="F1950" s="167"/>
      <c r="G1950" s="167"/>
      <c r="H1950" s="167"/>
    </row>
    <row r="1951" spans="1:8">
      <c r="A1951" s="167"/>
      <c r="B1951" s="167"/>
      <c r="C1951" s="167"/>
      <c r="D1951" s="167"/>
      <c r="E1951" s="167"/>
      <c r="F1951" s="167"/>
      <c r="G1951" s="167"/>
      <c r="H1951" s="167"/>
    </row>
    <row r="1952" spans="1:8">
      <c r="A1952" s="167"/>
      <c r="B1952" s="167"/>
      <c r="C1952" s="167"/>
      <c r="D1952" s="167"/>
      <c r="E1952" s="167"/>
      <c r="F1952" s="167"/>
      <c r="G1952" s="167"/>
      <c r="H1952" s="167"/>
    </row>
    <row r="1953" spans="1:8">
      <c r="A1953" s="167"/>
      <c r="B1953" s="167"/>
      <c r="C1953" s="167"/>
      <c r="D1953" s="167"/>
      <c r="E1953" s="167"/>
      <c r="F1953" s="167"/>
      <c r="G1953" s="167"/>
      <c r="H1953" s="167"/>
    </row>
    <row r="1954" spans="1:8">
      <c r="A1954" s="167"/>
      <c r="B1954" s="167"/>
      <c r="C1954" s="167"/>
      <c r="D1954" s="167"/>
      <c r="E1954" s="167"/>
      <c r="F1954" s="167"/>
      <c r="G1954" s="167"/>
      <c r="H1954" s="167"/>
    </row>
    <row r="1955" spans="1:8">
      <c r="A1955" s="167"/>
      <c r="B1955" s="167"/>
      <c r="C1955" s="167"/>
      <c r="D1955" s="167"/>
      <c r="E1955" s="167"/>
      <c r="F1955" s="167"/>
      <c r="G1955" s="167"/>
      <c r="H1955" s="167"/>
    </row>
    <row r="1956" spans="1:8">
      <c r="A1956" s="167"/>
      <c r="B1956" s="167"/>
      <c r="C1956" s="167"/>
      <c r="D1956" s="167"/>
      <c r="E1956" s="167"/>
      <c r="F1956" s="167"/>
      <c r="G1956" s="167"/>
      <c r="H1956" s="167"/>
    </row>
    <row r="1957" spans="1:8">
      <c r="A1957" s="167"/>
      <c r="B1957" s="167"/>
      <c r="C1957" s="167"/>
      <c r="D1957" s="167"/>
      <c r="E1957" s="167"/>
      <c r="F1957" s="167"/>
      <c r="G1957" s="167"/>
      <c r="H1957" s="167"/>
    </row>
    <row r="1958" spans="1:8">
      <c r="A1958" s="167"/>
      <c r="B1958" s="167"/>
      <c r="C1958" s="167"/>
      <c r="D1958" s="167"/>
      <c r="E1958" s="167"/>
      <c r="F1958" s="167"/>
      <c r="G1958" s="167"/>
      <c r="H1958" s="167"/>
    </row>
    <row r="1959" spans="1:8">
      <c r="A1959" s="167"/>
      <c r="B1959" s="167"/>
      <c r="C1959" s="167"/>
      <c r="D1959" s="167"/>
      <c r="E1959" s="167"/>
      <c r="F1959" s="167"/>
      <c r="G1959" s="167"/>
      <c r="H1959" s="167"/>
    </row>
    <row r="1960" spans="1:8">
      <c r="A1960" s="167"/>
      <c r="B1960" s="167"/>
      <c r="C1960" s="167"/>
      <c r="D1960" s="167"/>
      <c r="E1960" s="167"/>
      <c r="F1960" s="167"/>
      <c r="G1960" s="167"/>
      <c r="H1960" s="167"/>
    </row>
    <row r="1961" spans="1:8">
      <c r="A1961" s="167"/>
      <c r="B1961" s="167"/>
      <c r="C1961" s="167"/>
      <c r="D1961" s="167"/>
      <c r="E1961" s="167"/>
      <c r="F1961" s="167"/>
      <c r="G1961" s="167"/>
      <c r="H1961" s="167"/>
    </row>
    <row r="1962" spans="1:8">
      <c r="A1962" s="167"/>
      <c r="B1962" s="167"/>
      <c r="C1962" s="167"/>
      <c r="D1962" s="167"/>
      <c r="E1962" s="167"/>
      <c r="F1962" s="167"/>
      <c r="G1962" s="167"/>
      <c r="H1962" s="167"/>
    </row>
    <row r="1963" spans="1:8">
      <c r="A1963" s="167"/>
      <c r="B1963" s="167"/>
      <c r="C1963" s="167"/>
      <c r="D1963" s="167"/>
      <c r="E1963" s="167"/>
      <c r="F1963" s="167"/>
      <c r="G1963" s="167"/>
      <c r="H1963" s="167"/>
    </row>
    <row r="1964" spans="1:8">
      <c r="A1964" s="167"/>
      <c r="B1964" s="167"/>
      <c r="C1964" s="167"/>
      <c r="D1964" s="167"/>
      <c r="E1964" s="167"/>
      <c r="F1964" s="167"/>
      <c r="G1964" s="167"/>
      <c r="H1964" s="167"/>
    </row>
    <row r="1965" spans="1:8">
      <c r="A1965" s="167"/>
      <c r="B1965" s="167"/>
      <c r="C1965" s="167"/>
      <c r="D1965" s="167"/>
      <c r="E1965" s="167"/>
      <c r="F1965" s="167"/>
      <c r="G1965" s="167"/>
      <c r="H1965" s="167"/>
    </row>
    <row r="1966" spans="1:8">
      <c r="A1966" s="167"/>
      <c r="B1966" s="167"/>
      <c r="C1966" s="167"/>
      <c r="D1966" s="167"/>
      <c r="E1966" s="167"/>
      <c r="F1966" s="167"/>
      <c r="G1966" s="167"/>
      <c r="H1966" s="167"/>
    </row>
    <row r="1967" spans="1:8">
      <c r="A1967" s="167"/>
      <c r="B1967" s="167"/>
      <c r="C1967" s="167"/>
      <c r="D1967" s="167"/>
      <c r="E1967" s="167"/>
      <c r="F1967" s="167"/>
      <c r="G1967" s="167"/>
      <c r="H1967" s="167"/>
    </row>
    <row r="1968" spans="1:8">
      <c r="A1968" s="167"/>
      <c r="B1968" s="167"/>
      <c r="C1968" s="167"/>
      <c r="D1968" s="167"/>
      <c r="E1968" s="167"/>
      <c r="F1968" s="167"/>
      <c r="G1968" s="167"/>
      <c r="H1968" s="167"/>
    </row>
    <row r="1969" spans="1:8">
      <c r="A1969" s="167"/>
      <c r="B1969" s="167"/>
      <c r="C1969" s="167"/>
      <c r="D1969" s="167"/>
      <c r="E1969" s="167"/>
      <c r="F1969" s="167"/>
      <c r="G1969" s="167"/>
      <c r="H1969" s="167"/>
    </row>
    <row r="1970" spans="1:8">
      <c r="A1970" s="167"/>
      <c r="B1970" s="167"/>
      <c r="C1970" s="167"/>
      <c r="D1970" s="167"/>
      <c r="E1970" s="167"/>
      <c r="F1970" s="167"/>
      <c r="G1970" s="167"/>
      <c r="H1970" s="167"/>
    </row>
    <row r="1971" spans="1:8">
      <c r="A1971" s="167"/>
      <c r="B1971" s="167"/>
      <c r="C1971" s="167"/>
      <c r="D1971" s="167"/>
      <c r="E1971" s="167"/>
      <c r="F1971" s="167"/>
      <c r="G1971" s="167"/>
      <c r="H1971" s="167"/>
    </row>
    <row r="1972" spans="1:8">
      <c r="A1972" s="167"/>
      <c r="B1972" s="167"/>
      <c r="C1972" s="167"/>
      <c r="D1972" s="167"/>
      <c r="E1972" s="167"/>
      <c r="F1972" s="167"/>
      <c r="G1972" s="167"/>
      <c r="H1972" s="167"/>
    </row>
    <row r="1973" spans="1:8">
      <c r="A1973" s="167"/>
      <c r="B1973" s="167"/>
      <c r="C1973" s="167"/>
      <c r="D1973" s="167"/>
      <c r="E1973" s="167"/>
      <c r="F1973" s="167"/>
      <c r="G1973" s="167"/>
      <c r="H1973" s="167"/>
    </row>
    <row r="1974" spans="1:8">
      <c r="A1974" s="167"/>
      <c r="B1974" s="167"/>
      <c r="C1974" s="167"/>
      <c r="D1974" s="167"/>
      <c r="E1974" s="167"/>
      <c r="F1974" s="167"/>
      <c r="G1974" s="167"/>
      <c r="H1974" s="167"/>
    </row>
    <row r="1975" spans="1:8">
      <c r="A1975" s="167"/>
      <c r="B1975" s="167"/>
      <c r="C1975" s="167"/>
      <c r="D1975" s="167"/>
      <c r="E1975" s="167"/>
      <c r="F1975" s="167"/>
      <c r="G1975" s="167"/>
      <c r="H1975" s="167"/>
    </row>
    <row r="1976" spans="1:8">
      <c r="A1976" s="167"/>
      <c r="B1976" s="167"/>
      <c r="C1976" s="167"/>
      <c r="D1976" s="167"/>
      <c r="E1976" s="167"/>
      <c r="F1976" s="167"/>
      <c r="G1976" s="167"/>
      <c r="H1976" s="167"/>
    </row>
    <row r="1977" spans="1:8">
      <c r="A1977" s="167"/>
      <c r="B1977" s="167"/>
      <c r="C1977" s="167"/>
      <c r="D1977" s="167"/>
      <c r="E1977" s="167"/>
      <c r="F1977" s="167"/>
      <c r="G1977" s="167"/>
      <c r="H1977" s="167"/>
    </row>
    <row r="1978" spans="1:8">
      <c r="A1978" s="167"/>
      <c r="B1978" s="167"/>
      <c r="C1978" s="167"/>
      <c r="D1978" s="167"/>
      <c r="E1978" s="167"/>
      <c r="F1978" s="167"/>
      <c r="G1978" s="167"/>
      <c r="H1978" s="167"/>
    </row>
    <row r="1979" spans="1:8">
      <c r="A1979" s="167"/>
      <c r="B1979" s="167"/>
      <c r="C1979" s="167"/>
      <c r="D1979" s="167"/>
      <c r="E1979" s="167"/>
      <c r="F1979" s="167"/>
      <c r="G1979" s="167"/>
      <c r="H1979" s="167"/>
    </row>
    <row r="1980" spans="1:8">
      <c r="A1980" s="167"/>
      <c r="B1980" s="167"/>
      <c r="C1980" s="167"/>
      <c r="D1980" s="167"/>
      <c r="E1980" s="167"/>
      <c r="F1980" s="167"/>
      <c r="G1980" s="167"/>
      <c r="H1980" s="167"/>
    </row>
    <row r="1981" spans="1:8">
      <c r="A1981" s="167"/>
      <c r="B1981" s="167"/>
      <c r="C1981" s="167"/>
      <c r="D1981" s="167"/>
      <c r="E1981" s="167"/>
      <c r="F1981" s="167"/>
      <c r="G1981" s="167"/>
      <c r="H1981" s="167"/>
    </row>
    <row r="1982" spans="1:8">
      <c r="A1982" s="167"/>
      <c r="B1982" s="167"/>
      <c r="C1982" s="167"/>
      <c r="D1982" s="167"/>
      <c r="E1982" s="167"/>
      <c r="F1982" s="167"/>
      <c r="G1982" s="167"/>
      <c r="H1982" s="167"/>
    </row>
    <row r="1983" spans="1:8">
      <c r="A1983" s="167"/>
      <c r="B1983" s="167"/>
      <c r="C1983" s="167"/>
      <c r="D1983" s="167"/>
      <c r="E1983" s="167"/>
      <c r="F1983" s="167"/>
      <c r="G1983" s="167"/>
      <c r="H1983" s="167"/>
    </row>
    <row r="1984" spans="1:8">
      <c r="A1984" s="167"/>
      <c r="B1984" s="167"/>
      <c r="C1984" s="167"/>
      <c r="D1984" s="167"/>
      <c r="E1984" s="167"/>
      <c r="F1984" s="167"/>
      <c r="G1984" s="167"/>
      <c r="H1984" s="167"/>
    </row>
    <row r="1985" spans="1:8">
      <c r="A1985" s="167"/>
      <c r="B1985" s="167"/>
      <c r="C1985" s="167"/>
      <c r="D1985" s="167"/>
      <c r="E1985" s="167"/>
      <c r="F1985" s="167"/>
      <c r="G1985" s="167"/>
      <c r="H1985" s="167"/>
    </row>
    <row r="1986" spans="1:8">
      <c r="A1986" s="167"/>
      <c r="B1986" s="167"/>
      <c r="C1986" s="167"/>
      <c r="D1986" s="167"/>
      <c r="E1986" s="167"/>
      <c r="F1986" s="167"/>
      <c r="G1986" s="167"/>
      <c r="H1986" s="167"/>
    </row>
    <row r="1987" spans="1:8">
      <c r="A1987" s="167"/>
      <c r="B1987" s="167"/>
      <c r="C1987" s="167"/>
      <c r="D1987" s="167"/>
      <c r="E1987" s="167"/>
      <c r="F1987" s="167"/>
      <c r="G1987" s="167"/>
      <c r="H1987" s="167"/>
    </row>
    <row r="1988" spans="1:8">
      <c r="A1988" s="167"/>
      <c r="B1988" s="167"/>
      <c r="C1988" s="167"/>
      <c r="D1988" s="167"/>
      <c r="E1988" s="167"/>
      <c r="F1988" s="167"/>
      <c r="G1988" s="167"/>
      <c r="H1988" s="167"/>
    </row>
    <row r="1989" spans="1:8">
      <c r="A1989" s="167"/>
      <c r="B1989" s="167"/>
      <c r="C1989" s="167"/>
      <c r="D1989" s="167"/>
      <c r="E1989" s="167"/>
      <c r="F1989" s="167"/>
      <c r="G1989" s="167"/>
      <c r="H1989" s="167"/>
    </row>
    <row r="1990" spans="1:8">
      <c r="A1990" s="167"/>
      <c r="B1990" s="167"/>
      <c r="C1990" s="167"/>
      <c r="D1990" s="167"/>
      <c r="E1990" s="167"/>
      <c r="F1990" s="167"/>
      <c r="G1990" s="167"/>
      <c r="H1990" s="167"/>
    </row>
    <row r="1991" spans="1:8">
      <c r="A1991" s="167"/>
      <c r="B1991" s="167"/>
      <c r="C1991" s="167"/>
      <c r="D1991" s="167"/>
      <c r="E1991" s="167"/>
      <c r="F1991" s="167"/>
      <c r="G1991" s="167"/>
      <c r="H1991" s="167"/>
    </row>
    <row r="1992" spans="1:8">
      <c r="A1992" s="167"/>
      <c r="B1992" s="167"/>
      <c r="C1992" s="167"/>
      <c r="D1992" s="167"/>
      <c r="E1992" s="167"/>
      <c r="F1992" s="167"/>
      <c r="G1992" s="167"/>
      <c r="H1992" s="167"/>
    </row>
    <row r="1993" spans="1:8">
      <c r="A1993" s="167"/>
      <c r="B1993" s="167"/>
      <c r="C1993" s="167"/>
      <c r="D1993" s="167"/>
      <c r="E1993" s="167"/>
      <c r="F1993" s="167"/>
      <c r="G1993" s="167"/>
      <c r="H1993" s="167"/>
    </row>
    <row r="1994" spans="1:8">
      <c r="A1994" s="167"/>
      <c r="B1994" s="167"/>
      <c r="C1994" s="167"/>
      <c r="D1994" s="167"/>
      <c r="E1994" s="167"/>
      <c r="F1994" s="167"/>
      <c r="G1994" s="167"/>
      <c r="H1994" s="167"/>
    </row>
    <row r="1995" spans="1:8">
      <c r="A1995" s="167"/>
      <c r="B1995" s="167"/>
      <c r="C1995" s="167"/>
      <c r="D1995" s="167"/>
      <c r="E1995" s="167"/>
      <c r="F1995" s="167"/>
      <c r="G1995" s="167"/>
      <c r="H1995" s="167"/>
    </row>
    <row r="1996" spans="1:8">
      <c r="A1996" s="167"/>
      <c r="B1996" s="167"/>
      <c r="C1996" s="167"/>
      <c r="D1996" s="167"/>
      <c r="E1996" s="167"/>
      <c r="F1996" s="167"/>
      <c r="G1996" s="167"/>
      <c r="H1996" s="167"/>
    </row>
    <row r="1997" spans="1:8">
      <c r="A1997" s="167"/>
      <c r="B1997" s="167"/>
      <c r="C1997" s="167"/>
      <c r="D1997" s="167"/>
      <c r="E1997" s="167"/>
      <c r="F1997" s="167"/>
      <c r="G1997" s="167"/>
      <c r="H1997" s="167"/>
    </row>
    <row r="1998" spans="1:8">
      <c r="A1998" s="167"/>
      <c r="B1998" s="167"/>
      <c r="C1998" s="167"/>
      <c r="D1998" s="167"/>
      <c r="E1998" s="167"/>
      <c r="F1998" s="167"/>
      <c r="G1998" s="167"/>
      <c r="H1998" s="167"/>
    </row>
    <row r="1999" spans="1:8">
      <c r="A1999" s="167"/>
      <c r="B1999" s="167"/>
      <c r="C1999" s="167"/>
      <c r="D1999" s="167"/>
      <c r="E1999" s="167"/>
      <c r="F1999" s="167"/>
      <c r="G1999" s="167"/>
      <c r="H1999" s="167"/>
    </row>
    <row r="2000" spans="1:8">
      <c r="A2000" s="167"/>
      <c r="B2000" s="167"/>
      <c r="C2000" s="167"/>
      <c r="D2000" s="167"/>
      <c r="E2000" s="167"/>
      <c r="F2000" s="167"/>
      <c r="G2000" s="167"/>
      <c r="H2000" s="167"/>
    </row>
    <row r="2001" spans="1:8">
      <c r="A2001" s="167"/>
      <c r="B2001" s="167"/>
      <c r="C2001" s="167"/>
      <c r="D2001" s="167"/>
      <c r="E2001" s="167"/>
      <c r="F2001" s="167"/>
      <c r="G2001" s="167"/>
      <c r="H2001" s="167"/>
    </row>
    <row r="2002" spans="1:8">
      <c r="A2002" s="167"/>
      <c r="B2002" s="167"/>
      <c r="C2002" s="167"/>
      <c r="D2002" s="167"/>
      <c r="E2002" s="167"/>
      <c r="F2002" s="167"/>
      <c r="G2002" s="167"/>
      <c r="H2002" s="167"/>
    </row>
    <row r="2003" spans="1:8">
      <c r="A2003" s="167"/>
      <c r="B2003" s="167"/>
      <c r="C2003" s="167"/>
      <c r="D2003" s="167"/>
      <c r="E2003" s="167"/>
      <c r="F2003" s="167"/>
      <c r="G2003" s="167"/>
      <c r="H2003" s="167"/>
    </row>
    <row r="2004" spans="1:8">
      <c r="A2004" s="167"/>
      <c r="B2004" s="167"/>
      <c r="C2004" s="167"/>
      <c r="D2004" s="167"/>
      <c r="E2004" s="167"/>
      <c r="F2004" s="167"/>
      <c r="G2004" s="167"/>
      <c r="H2004" s="167"/>
    </row>
    <row r="2005" spans="1:8">
      <c r="A2005" s="167"/>
      <c r="B2005" s="167"/>
      <c r="C2005" s="167"/>
      <c r="D2005" s="167"/>
      <c r="E2005" s="167"/>
      <c r="F2005" s="167"/>
      <c r="G2005" s="167"/>
      <c r="H2005" s="167"/>
    </row>
    <row r="2006" spans="1:8">
      <c r="A2006" s="167"/>
      <c r="B2006" s="167"/>
      <c r="C2006" s="167"/>
      <c r="D2006" s="167"/>
      <c r="E2006" s="167"/>
      <c r="F2006" s="167"/>
      <c r="G2006" s="167"/>
      <c r="H2006" s="167"/>
    </row>
    <row r="2007" spans="1:8">
      <c r="A2007" s="167"/>
      <c r="B2007" s="167"/>
      <c r="C2007" s="167"/>
      <c r="D2007" s="167"/>
      <c r="E2007" s="167"/>
      <c r="F2007" s="167"/>
      <c r="G2007" s="167"/>
      <c r="H2007" s="167"/>
    </row>
    <row r="2008" spans="1:8">
      <c r="A2008" s="167"/>
      <c r="B2008" s="167"/>
      <c r="C2008" s="167"/>
      <c r="D2008" s="167"/>
      <c r="E2008" s="167"/>
      <c r="F2008" s="167"/>
      <c r="G2008" s="167"/>
      <c r="H2008" s="167"/>
    </row>
    <row r="2009" spans="1:8">
      <c r="A2009" s="167"/>
      <c r="B2009" s="167"/>
      <c r="C2009" s="167"/>
      <c r="D2009" s="167"/>
      <c r="E2009" s="167"/>
      <c r="F2009" s="167"/>
      <c r="G2009" s="167"/>
      <c r="H2009" s="167"/>
    </row>
    <row r="2010" spans="1:8">
      <c r="A2010" s="167"/>
      <c r="B2010" s="167"/>
      <c r="C2010" s="167"/>
      <c r="D2010" s="167"/>
      <c r="E2010" s="167"/>
      <c r="F2010" s="167"/>
      <c r="G2010" s="167"/>
      <c r="H2010" s="167"/>
    </row>
    <row r="2011" spans="1:8">
      <c r="A2011" s="167"/>
      <c r="B2011" s="167"/>
      <c r="C2011" s="167"/>
      <c r="D2011" s="167"/>
      <c r="E2011" s="167"/>
      <c r="F2011" s="167"/>
      <c r="G2011" s="167"/>
      <c r="H2011" s="167"/>
    </row>
    <row r="2012" spans="1:8">
      <c r="A2012" s="167"/>
      <c r="B2012" s="167"/>
      <c r="C2012" s="167"/>
      <c r="D2012" s="167"/>
      <c r="E2012" s="167"/>
      <c r="F2012" s="167"/>
      <c r="G2012" s="167"/>
      <c r="H2012" s="167"/>
    </row>
    <row r="2013" spans="1:8">
      <c r="A2013" s="167"/>
      <c r="B2013" s="167"/>
      <c r="C2013" s="167"/>
      <c r="D2013" s="167"/>
      <c r="E2013" s="167"/>
      <c r="F2013" s="167"/>
      <c r="G2013" s="167"/>
      <c r="H2013" s="167"/>
    </row>
    <row r="2014" spans="1:8">
      <c r="A2014" s="167"/>
      <c r="B2014" s="167"/>
      <c r="C2014" s="167"/>
      <c r="D2014" s="167"/>
      <c r="E2014" s="167"/>
      <c r="F2014" s="167"/>
      <c r="G2014" s="167"/>
      <c r="H2014" s="167"/>
    </row>
    <row r="2015" spans="1:8">
      <c r="A2015" s="167"/>
      <c r="B2015" s="167"/>
      <c r="C2015" s="167"/>
      <c r="D2015" s="167"/>
      <c r="E2015" s="167"/>
      <c r="F2015" s="167"/>
      <c r="G2015" s="167"/>
      <c r="H2015" s="167"/>
    </row>
    <row r="2016" spans="1:8">
      <c r="A2016" s="167"/>
      <c r="B2016" s="167"/>
      <c r="C2016" s="167"/>
      <c r="D2016" s="167"/>
      <c r="E2016" s="167"/>
      <c r="F2016" s="167"/>
      <c r="G2016" s="167"/>
      <c r="H2016" s="167"/>
    </row>
    <row r="2017" spans="1:8">
      <c r="A2017" s="167"/>
      <c r="B2017" s="167"/>
      <c r="C2017" s="167"/>
      <c r="D2017" s="167"/>
      <c r="E2017" s="167"/>
      <c r="F2017" s="167"/>
      <c r="G2017" s="167"/>
      <c r="H2017" s="167"/>
    </row>
    <row r="2018" spans="1:8">
      <c r="A2018" s="167"/>
      <c r="B2018" s="167"/>
      <c r="C2018" s="167"/>
      <c r="D2018" s="167"/>
      <c r="E2018" s="167"/>
      <c r="F2018" s="167"/>
      <c r="G2018" s="167"/>
      <c r="H2018" s="167"/>
    </row>
    <row r="2019" spans="1:8">
      <c r="A2019" s="167"/>
      <c r="B2019" s="167"/>
      <c r="C2019" s="167"/>
      <c r="D2019" s="167"/>
      <c r="E2019" s="167"/>
      <c r="F2019" s="167"/>
      <c r="G2019" s="167"/>
      <c r="H2019" s="167"/>
    </row>
    <row r="2020" spans="1:8">
      <c r="A2020" s="167"/>
      <c r="B2020" s="167"/>
      <c r="C2020" s="167"/>
      <c r="D2020" s="167"/>
      <c r="E2020" s="167"/>
      <c r="F2020" s="167"/>
      <c r="G2020" s="167"/>
      <c r="H2020" s="167"/>
    </row>
    <row r="2021" spans="1:8">
      <c r="A2021" s="167"/>
      <c r="B2021" s="167"/>
      <c r="C2021" s="167"/>
      <c r="D2021" s="167"/>
      <c r="E2021" s="167"/>
      <c r="F2021" s="167"/>
      <c r="G2021" s="167"/>
      <c r="H2021" s="167"/>
    </row>
    <row r="2022" spans="1:8">
      <c r="A2022" s="167"/>
      <c r="B2022" s="167"/>
      <c r="C2022" s="167"/>
      <c r="D2022" s="167"/>
      <c r="E2022" s="167"/>
      <c r="F2022" s="167"/>
      <c r="G2022" s="167"/>
      <c r="H2022" s="167"/>
    </row>
    <row r="2023" spans="1:8">
      <c r="A2023" s="167"/>
      <c r="B2023" s="167"/>
      <c r="C2023" s="167"/>
      <c r="D2023" s="167"/>
      <c r="E2023" s="167"/>
      <c r="F2023" s="167"/>
      <c r="G2023" s="167"/>
      <c r="H2023" s="167"/>
    </row>
    <row r="2024" spans="1:8">
      <c r="A2024" s="167"/>
      <c r="B2024" s="167"/>
      <c r="C2024" s="167"/>
      <c r="D2024" s="167"/>
      <c r="E2024" s="167"/>
      <c r="F2024" s="167"/>
      <c r="G2024" s="167"/>
      <c r="H2024" s="167"/>
    </row>
    <row r="2025" spans="1:8">
      <c r="A2025" s="167"/>
      <c r="B2025" s="167"/>
      <c r="C2025" s="167"/>
      <c r="D2025" s="167"/>
      <c r="E2025" s="167"/>
      <c r="F2025" s="167"/>
      <c r="G2025" s="167"/>
      <c r="H2025" s="167"/>
    </row>
    <row r="2026" spans="1:8">
      <c r="A2026" s="167"/>
      <c r="B2026" s="167"/>
      <c r="C2026" s="167"/>
      <c r="D2026" s="167"/>
      <c r="E2026" s="167"/>
      <c r="F2026" s="167"/>
      <c r="G2026" s="167"/>
      <c r="H2026" s="167"/>
    </row>
    <row r="2027" spans="1:8">
      <c r="A2027" s="167"/>
      <c r="B2027" s="167"/>
      <c r="C2027" s="167"/>
      <c r="D2027" s="167"/>
      <c r="E2027" s="167"/>
      <c r="F2027" s="167"/>
      <c r="G2027" s="167"/>
      <c r="H2027" s="167"/>
    </row>
    <row r="2028" spans="1:8">
      <c r="A2028" s="167"/>
      <c r="B2028" s="167"/>
      <c r="C2028" s="167"/>
      <c r="D2028" s="167"/>
      <c r="E2028" s="167"/>
      <c r="F2028" s="167"/>
      <c r="G2028" s="167"/>
      <c r="H2028" s="167"/>
    </row>
    <row r="2029" spans="1:8">
      <c r="A2029" s="167"/>
      <c r="B2029" s="167"/>
      <c r="C2029" s="167"/>
      <c r="D2029" s="167"/>
      <c r="E2029" s="167"/>
      <c r="F2029" s="167"/>
      <c r="G2029" s="167"/>
      <c r="H2029" s="167"/>
    </row>
    <row r="2030" spans="1:8">
      <c r="A2030" s="167"/>
      <c r="B2030" s="167"/>
      <c r="C2030" s="167"/>
      <c r="D2030" s="167"/>
      <c r="E2030" s="167"/>
      <c r="F2030" s="167"/>
      <c r="G2030" s="167"/>
      <c r="H2030" s="167"/>
    </row>
    <row r="2031" spans="1:8">
      <c r="A2031" s="167"/>
      <c r="B2031" s="167"/>
      <c r="C2031" s="167"/>
      <c r="D2031" s="167"/>
      <c r="E2031" s="167"/>
      <c r="F2031" s="167"/>
      <c r="G2031" s="167"/>
      <c r="H2031" s="167"/>
    </row>
    <row r="2032" spans="1:8">
      <c r="A2032" s="167"/>
      <c r="B2032" s="167"/>
      <c r="C2032" s="167"/>
      <c r="D2032" s="167"/>
      <c r="E2032" s="167"/>
      <c r="F2032" s="167"/>
      <c r="G2032" s="167"/>
      <c r="H2032" s="167"/>
    </row>
    <row r="2033" spans="1:8">
      <c r="A2033" s="167"/>
      <c r="B2033" s="167"/>
      <c r="C2033" s="167"/>
      <c r="D2033" s="167"/>
      <c r="E2033" s="167"/>
      <c r="F2033" s="167"/>
      <c r="G2033" s="167"/>
      <c r="H2033" s="167"/>
    </row>
    <row r="2034" spans="1:8">
      <c r="A2034" s="167"/>
      <c r="B2034" s="167"/>
      <c r="C2034" s="167"/>
      <c r="D2034" s="167"/>
      <c r="E2034" s="167"/>
      <c r="F2034" s="167"/>
      <c r="G2034" s="167"/>
      <c r="H2034" s="167"/>
    </row>
    <row r="2035" spans="1:8">
      <c r="A2035" s="167"/>
      <c r="B2035" s="167"/>
      <c r="C2035" s="167"/>
      <c r="D2035" s="167"/>
      <c r="E2035" s="167"/>
      <c r="F2035" s="167"/>
      <c r="G2035" s="167"/>
      <c r="H2035" s="167"/>
    </row>
    <row r="2036" spans="1:8">
      <c r="A2036" s="167"/>
      <c r="B2036" s="167"/>
      <c r="C2036" s="167"/>
      <c r="D2036" s="167"/>
      <c r="E2036" s="167"/>
      <c r="F2036" s="167"/>
      <c r="G2036" s="167"/>
      <c r="H2036" s="167"/>
    </row>
    <row r="2037" spans="1:8">
      <c r="A2037" s="167"/>
      <c r="B2037" s="167"/>
      <c r="C2037" s="167"/>
      <c r="D2037" s="167"/>
      <c r="E2037" s="167"/>
      <c r="F2037" s="167"/>
      <c r="G2037" s="167"/>
      <c r="H2037" s="167"/>
    </row>
    <row r="2038" spans="1:8">
      <c r="A2038" s="167"/>
      <c r="B2038" s="167"/>
      <c r="C2038" s="167"/>
      <c r="D2038" s="167"/>
      <c r="E2038" s="167"/>
      <c r="F2038" s="167"/>
      <c r="G2038" s="167"/>
      <c r="H2038" s="167"/>
    </row>
    <row r="2039" spans="1:8">
      <c r="A2039" s="167"/>
      <c r="B2039" s="167"/>
      <c r="C2039" s="167"/>
      <c r="D2039" s="167"/>
      <c r="E2039" s="167"/>
      <c r="F2039" s="167"/>
      <c r="G2039" s="167"/>
      <c r="H2039" s="167"/>
    </row>
    <row r="2040" spans="1:8">
      <c r="A2040" s="167"/>
      <c r="B2040" s="167"/>
      <c r="C2040" s="167"/>
      <c r="D2040" s="167"/>
      <c r="E2040" s="167"/>
      <c r="F2040" s="167"/>
      <c r="G2040" s="167"/>
      <c r="H2040" s="167"/>
    </row>
    <row r="2041" spans="1:8">
      <c r="A2041" s="167"/>
      <c r="B2041" s="167"/>
      <c r="C2041" s="167"/>
      <c r="D2041" s="167"/>
      <c r="E2041" s="167"/>
      <c r="F2041" s="167"/>
      <c r="G2041" s="167"/>
      <c r="H2041" s="167"/>
    </row>
    <row r="2042" spans="1:8">
      <c r="A2042" s="167"/>
      <c r="B2042" s="167"/>
      <c r="C2042" s="167"/>
      <c r="D2042" s="167"/>
      <c r="E2042" s="167"/>
      <c r="F2042" s="167"/>
      <c r="G2042" s="167"/>
      <c r="H2042" s="167"/>
    </row>
    <row r="2043" spans="1:8">
      <c r="A2043" s="167"/>
      <c r="B2043" s="167"/>
      <c r="C2043" s="167"/>
      <c r="D2043" s="167"/>
      <c r="E2043" s="167"/>
      <c r="F2043" s="167"/>
      <c r="G2043" s="167"/>
      <c r="H2043" s="167"/>
    </row>
    <row r="2044" spans="1:8">
      <c r="A2044" s="167"/>
      <c r="B2044" s="167"/>
      <c r="C2044" s="167"/>
      <c r="D2044" s="167"/>
      <c r="E2044" s="167"/>
      <c r="F2044" s="167"/>
      <c r="G2044" s="167"/>
      <c r="H2044" s="167"/>
    </row>
    <row r="2045" spans="1:8">
      <c r="A2045" s="167"/>
      <c r="B2045" s="167"/>
      <c r="C2045" s="167"/>
      <c r="D2045" s="167"/>
      <c r="E2045" s="167"/>
      <c r="F2045" s="167"/>
      <c r="G2045" s="167"/>
      <c r="H2045" s="167"/>
    </row>
    <row r="2046" spans="1:8">
      <c r="A2046" s="167"/>
      <c r="B2046" s="167"/>
      <c r="C2046" s="167"/>
      <c r="D2046" s="167"/>
      <c r="E2046" s="167"/>
      <c r="F2046" s="167"/>
      <c r="G2046" s="167"/>
      <c r="H2046" s="167"/>
    </row>
    <row r="2047" spans="1:8">
      <c r="A2047" s="167"/>
      <c r="B2047" s="167"/>
      <c r="C2047" s="167"/>
      <c r="D2047" s="167"/>
      <c r="E2047" s="167"/>
      <c r="F2047" s="167"/>
      <c r="G2047" s="167"/>
      <c r="H2047" s="167"/>
    </row>
    <row r="2048" spans="1:8">
      <c r="A2048" s="167"/>
      <c r="B2048" s="167"/>
      <c r="C2048" s="167"/>
      <c r="D2048" s="167"/>
      <c r="E2048" s="167"/>
      <c r="F2048" s="167"/>
      <c r="G2048" s="167"/>
      <c r="H2048" s="167"/>
    </row>
    <row r="2049" spans="1:8">
      <c r="A2049" s="167"/>
      <c r="B2049" s="167"/>
      <c r="C2049" s="167"/>
      <c r="D2049" s="167"/>
      <c r="E2049" s="167"/>
      <c r="F2049" s="167"/>
      <c r="G2049" s="167"/>
      <c r="H2049" s="167"/>
    </row>
    <row r="2050" spans="1:8">
      <c r="A2050" s="167"/>
      <c r="B2050" s="167"/>
      <c r="C2050" s="167"/>
      <c r="D2050" s="167"/>
      <c r="E2050" s="167"/>
      <c r="F2050" s="167"/>
      <c r="G2050" s="167"/>
      <c r="H2050" s="167"/>
    </row>
    <row r="2051" spans="1:8">
      <c r="A2051" s="167"/>
      <c r="B2051" s="167"/>
      <c r="C2051" s="167"/>
      <c r="D2051" s="167"/>
      <c r="E2051" s="167"/>
      <c r="F2051" s="167"/>
      <c r="G2051" s="167"/>
      <c r="H2051" s="167"/>
    </row>
    <row r="2052" spans="1:8">
      <c r="A2052" s="167"/>
      <c r="B2052" s="167"/>
      <c r="C2052" s="167"/>
      <c r="D2052" s="167"/>
      <c r="E2052" s="167"/>
      <c r="F2052" s="167"/>
      <c r="G2052" s="167"/>
      <c r="H2052" s="167"/>
    </row>
    <row r="2053" spans="1:8">
      <c r="A2053" s="167"/>
      <c r="B2053" s="167"/>
      <c r="C2053" s="167"/>
      <c r="D2053" s="167"/>
      <c r="E2053" s="167"/>
      <c r="F2053" s="167"/>
      <c r="G2053" s="167"/>
      <c r="H2053" s="167"/>
    </row>
    <row r="2054" spans="1:8">
      <c r="A2054" s="167"/>
      <c r="B2054" s="167"/>
      <c r="C2054" s="167"/>
      <c r="D2054" s="167"/>
      <c r="E2054" s="167"/>
      <c r="F2054" s="167"/>
      <c r="G2054" s="167"/>
      <c r="H2054" s="167"/>
    </row>
    <row r="2055" spans="1:8">
      <c r="A2055" s="167"/>
      <c r="B2055" s="167"/>
      <c r="C2055" s="167"/>
      <c r="D2055" s="167"/>
      <c r="E2055" s="167"/>
      <c r="F2055" s="167"/>
      <c r="G2055" s="167"/>
      <c r="H2055" s="167"/>
    </row>
    <row r="2056" spans="1:8">
      <c r="A2056" s="167"/>
      <c r="B2056" s="167"/>
      <c r="C2056" s="167"/>
      <c r="D2056" s="167"/>
      <c r="E2056" s="167"/>
      <c r="F2056" s="167"/>
      <c r="G2056" s="167"/>
      <c r="H2056" s="167"/>
    </row>
    <row r="2057" spans="1:8">
      <c r="A2057" s="167"/>
      <c r="B2057" s="167"/>
      <c r="C2057" s="167"/>
      <c r="D2057" s="167"/>
      <c r="E2057" s="167"/>
      <c r="F2057" s="167"/>
      <c r="G2057" s="167"/>
      <c r="H2057" s="167"/>
    </row>
    <row r="2058" spans="1:8">
      <c r="A2058" s="167"/>
      <c r="B2058" s="167"/>
      <c r="C2058" s="167"/>
      <c r="D2058" s="167"/>
      <c r="E2058" s="167"/>
      <c r="F2058" s="167"/>
      <c r="G2058" s="167"/>
      <c r="H2058" s="167"/>
    </row>
    <row r="2059" spans="1:8">
      <c r="A2059" s="167"/>
      <c r="B2059" s="167"/>
      <c r="C2059" s="167"/>
      <c r="D2059" s="167"/>
      <c r="E2059" s="167"/>
      <c r="F2059" s="167"/>
      <c r="G2059" s="167"/>
      <c r="H2059" s="167"/>
    </row>
    <row r="2060" spans="1:8">
      <c r="A2060" s="167"/>
      <c r="B2060" s="167"/>
      <c r="C2060" s="167"/>
      <c r="D2060" s="167"/>
      <c r="E2060" s="167"/>
      <c r="F2060" s="167"/>
      <c r="G2060" s="167"/>
      <c r="H2060" s="167"/>
    </row>
    <row r="2061" spans="1:8">
      <c r="A2061" s="167"/>
      <c r="B2061" s="167"/>
      <c r="C2061" s="167"/>
      <c r="D2061" s="167"/>
      <c r="E2061" s="167"/>
      <c r="F2061" s="167"/>
      <c r="G2061" s="167"/>
      <c r="H2061" s="167"/>
    </row>
    <row r="2062" spans="1:8">
      <c r="A2062" s="167"/>
      <c r="B2062" s="167"/>
      <c r="C2062" s="167"/>
      <c r="D2062" s="167"/>
      <c r="E2062" s="167"/>
      <c r="F2062" s="167"/>
      <c r="G2062" s="167"/>
      <c r="H2062" s="167"/>
    </row>
    <row r="2063" spans="1:8">
      <c r="A2063" s="167"/>
      <c r="B2063" s="167"/>
      <c r="C2063" s="167"/>
      <c r="D2063" s="167"/>
      <c r="E2063" s="167"/>
      <c r="F2063" s="167"/>
      <c r="G2063" s="167"/>
      <c r="H2063" s="167"/>
    </row>
    <row r="2064" spans="1:8">
      <c r="A2064" s="167"/>
      <c r="B2064" s="167"/>
      <c r="C2064" s="167"/>
      <c r="D2064" s="167"/>
      <c r="E2064" s="167"/>
      <c r="F2064" s="167"/>
      <c r="G2064" s="167"/>
      <c r="H2064" s="167"/>
    </row>
    <row r="2065" spans="1:8">
      <c r="A2065" s="167"/>
      <c r="B2065" s="167"/>
      <c r="C2065" s="167"/>
      <c r="D2065" s="167"/>
      <c r="E2065" s="167"/>
      <c r="F2065" s="167"/>
      <c r="G2065" s="167"/>
      <c r="H2065" s="167"/>
    </row>
    <row r="2066" spans="1:8">
      <c r="A2066" s="167"/>
      <c r="B2066" s="167"/>
      <c r="C2066" s="167"/>
      <c r="D2066" s="167"/>
      <c r="E2066" s="167"/>
      <c r="F2066" s="167"/>
      <c r="G2066" s="167"/>
      <c r="H2066" s="167"/>
    </row>
    <row r="2067" spans="1:8">
      <c r="A2067" s="167"/>
      <c r="B2067" s="167"/>
      <c r="C2067" s="167"/>
      <c r="D2067" s="167"/>
      <c r="E2067" s="167"/>
      <c r="F2067" s="167"/>
      <c r="G2067" s="167"/>
      <c r="H2067" s="167"/>
    </row>
    <row r="2068" spans="1:8">
      <c r="A2068" s="167"/>
      <c r="B2068" s="167"/>
      <c r="C2068" s="167"/>
      <c r="D2068" s="167"/>
      <c r="E2068" s="167"/>
      <c r="F2068" s="167"/>
      <c r="G2068" s="167"/>
      <c r="H2068" s="167"/>
    </row>
    <row r="2069" spans="1:8">
      <c r="A2069" s="167"/>
      <c r="B2069" s="167"/>
      <c r="C2069" s="167"/>
      <c r="D2069" s="167"/>
      <c r="E2069" s="167"/>
      <c r="F2069" s="167"/>
      <c r="G2069" s="167"/>
      <c r="H2069" s="167"/>
    </row>
    <row r="2070" spans="1:8">
      <c r="A2070" s="167"/>
      <c r="B2070" s="167"/>
      <c r="C2070" s="167"/>
      <c r="D2070" s="167"/>
      <c r="E2070" s="167"/>
      <c r="F2070" s="167"/>
      <c r="G2070" s="167"/>
      <c r="H2070" s="167"/>
    </row>
    <row r="2071" spans="1:8">
      <c r="A2071" s="167"/>
      <c r="B2071" s="167"/>
      <c r="C2071" s="167"/>
      <c r="D2071" s="167"/>
      <c r="E2071" s="167"/>
      <c r="F2071" s="167"/>
      <c r="G2071" s="167"/>
      <c r="H2071" s="167"/>
    </row>
    <row r="2072" spans="1:8">
      <c r="A2072" s="167"/>
      <c r="B2072" s="167"/>
      <c r="C2072" s="167"/>
      <c r="D2072" s="167"/>
      <c r="E2072" s="167"/>
      <c r="F2072" s="167"/>
      <c r="G2072" s="167"/>
      <c r="H2072" s="167"/>
    </row>
    <row r="2073" spans="1:8">
      <c r="A2073" s="167"/>
      <c r="B2073" s="167"/>
      <c r="C2073" s="167"/>
      <c r="D2073" s="167"/>
      <c r="E2073" s="167"/>
      <c r="F2073" s="167"/>
      <c r="G2073" s="167"/>
      <c r="H2073" s="167"/>
    </row>
    <row r="2074" spans="1:8">
      <c r="A2074" s="167"/>
      <c r="B2074" s="167"/>
      <c r="C2074" s="167"/>
      <c r="D2074" s="167"/>
      <c r="E2074" s="167"/>
      <c r="F2074" s="167"/>
      <c r="G2074" s="167"/>
      <c r="H2074" s="167"/>
    </row>
    <row r="2075" spans="1:8">
      <c r="A2075" s="167"/>
      <c r="B2075" s="167"/>
      <c r="C2075" s="167"/>
      <c r="D2075" s="167"/>
      <c r="E2075" s="167"/>
      <c r="F2075" s="167"/>
      <c r="G2075" s="167"/>
      <c r="H2075" s="167"/>
    </row>
    <row r="2076" spans="1:8">
      <c r="A2076" s="167"/>
      <c r="B2076" s="167"/>
      <c r="C2076" s="167"/>
      <c r="D2076" s="167"/>
      <c r="E2076" s="167"/>
      <c r="F2076" s="167"/>
      <c r="G2076" s="167"/>
      <c r="H2076" s="167"/>
    </row>
    <row r="2077" spans="1:8">
      <c r="A2077" s="167"/>
      <c r="B2077" s="167"/>
      <c r="C2077" s="167"/>
      <c r="D2077" s="167"/>
      <c r="E2077" s="167"/>
      <c r="F2077" s="167"/>
      <c r="G2077" s="167"/>
      <c r="H2077" s="167"/>
    </row>
    <row r="2078" spans="1:8">
      <c r="A2078" s="167"/>
      <c r="B2078" s="167"/>
      <c r="C2078" s="167"/>
      <c r="D2078" s="167"/>
      <c r="E2078" s="167"/>
      <c r="F2078" s="167"/>
      <c r="G2078" s="167"/>
      <c r="H2078" s="167"/>
    </row>
    <row r="2079" spans="1:8">
      <c r="A2079" s="167"/>
      <c r="B2079" s="167"/>
      <c r="C2079" s="167"/>
      <c r="D2079" s="167"/>
      <c r="E2079" s="167"/>
      <c r="F2079" s="167"/>
      <c r="G2079" s="167"/>
      <c r="H2079" s="167"/>
    </row>
    <row r="2080" spans="1:8">
      <c r="A2080" s="167"/>
      <c r="B2080" s="167"/>
      <c r="C2080" s="167"/>
      <c r="D2080" s="167"/>
      <c r="E2080" s="167"/>
      <c r="F2080" s="167"/>
      <c r="G2080" s="167"/>
      <c r="H2080" s="167"/>
    </row>
    <row r="2081" spans="1:8">
      <c r="A2081" s="167"/>
      <c r="B2081" s="167"/>
      <c r="C2081" s="167"/>
      <c r="D2081" s="167"/>
      <c r="E2081" s="167"/>
      <c r="F2081" s="167"/>
      <c r="G2081" s="167"/>
      <c r="H2081" s="167"/>
    </row>
    <row r="2082" spans="1:8">
      <c r="A2082" s="167"/>
      <c r="B2082" s="167"/>
      <c r="C2082" s="167"/>
      <c r="D2082" s="167"/>
      <c r="E2082" s="167"/>
      <c r="F2082" s="167"/>
      <c r="G2082" s="167"/>
      <c r="H2082" s="167"/>
    </row>
    <row r="2083" spans="1:8">
      <c r="A2083" s="167"/>
      <c r="B2083" s="167"/>
      <c r="C2083" s="167"/>
      <c r="D2083" s="167"/>
      <c r="E2083" s="167"/>
      <c r="F2083" s="167"/>
      <c r="G2083" s="167"/>
      <c r="H2083" s="167"/>
    </row>
    <row r="2084" spans="1:8">
      <c r="A2084" s="167"/>
      <c r="B2084" s="167"/>
      <c r="C2084" s="167"/>
      <c r="D2084" s="167"/>
      <c r="E2084" s="167"/>
      <c r="F2084" s="167"/>
      <c r="G2084" s="167"/>
      <c r="H2084" s="167"/>
    </row>
    <row r="2085" spans="1:8">
      <c r="A2085" s="167"/>
      <c r="B2085" s="167"/>
      <c r="C2085" s="167"/>
      <c r="D2085" s="167"/>
      <c r="E2085" s="167"/>
      <c r="F2085" s="167"/>
      <c r="G2085" s="167"/>
      <c r="H2085" s="167"/>
    </row>
    <row r="2086" spans="1:8">
      <c r="A2086" s="167"/>
      <c r="B2086" s="167"/>
      <c r="C2086" s="167"/>
      <c r="D2086" s="167"/>
      <c r="E2086" s="167"/>
      <c r="F2086" s="167"/>
      <c r="G2086" s="167"/>
      <c r="H2086" s="167"/>
    </row>
    <row r="2087" spans="1:8">
      <c r="A2087" s="167"/>
      <c r="B2087" s="167"/>
      <c r="C2087" s="167"/>
      <c r="D2087" s="167"/>
      <c r="E2087" s="167"/>
      <c r="F2087" s="167"/>
      <c r="G2087" s="167"/>
      <c r="H2087" s="167"/>
    </row>
    <row r="2088" spans="1:8">
      <c r="A2088" s="167"/>
      <c r="B2088" s="167"/>
      <c r="C2088" s="167"/>
      <c r="D2088" s="167"/>
      <c r="E2088" s="167"/>
      <c r="F2088" s="167"/>
      <c r="G2088" s="167"/>
      <c r="H2088" s="167"/>
    </row>
    <row r="2089" spans="1:8">
      <c r="A2089" s="167"/>
      <c r="B2089" s="167"/>
      <c r="C2089" s="167"/>
      <c r="D2089" s="167"/>
      <c r="E2089" s="167"/>
      <c r="F2089" s="167"/>
      <c r="G2089" s="167"/>
      <c r="H2089" s="167"/>
    </row>
    <row r="2090" spans="1:8">
      <c r="A2090" s="167"/>
      <c r="B2090" s="167"/>
      <c r="C2090" s="167"/>
      <c r="D2090" s="167"/>
      <c r="E2090" s="167"/>
      <c r="F2090" s="167"/>
      <c r="G2090" s="167"/>
      <c r="H2090" s="167"/>
    </row>
    <row r="2091" spans="1:8">
      <c r="A2091" s="167"/>
      <c r="B2091" s="167"/>
      <c r="C2091" s="167"/>
      <c r="D2091" s="167"/>
      <c r="E2091" s="167"/>
      <c r="F2091" s="167"/>
      <c r="G2091" s="167"/>
      <c r="H2091" s="167"/>
    </row>
    <row r="2092" spans="1:8">
      <c r="A2092" s="167"/>
      <c r="B2092" s="167"/>
      <c r="C2092" s="167"/>
      <c r="D2092" s="167"/>
      <c r="E2092" s="167"/>
      <c r="F2092" s="167"/>
      <c r="G2092" s="167"/>
      <c r="H2092" s="167"/>
    </row>
    <row r="2093" spans="1:8">
      <c r="A2093" s="167"/>
      <c r="B2093" s="167"/>
      <c r="C2093" s="167"/>
      <c r="D2093" s="167"/>
      <c r="E2093" s="167"/>
      <c r="F2093" s="167"/>
      <c r="G2093" s="167"/>
      <c r="H2093" s="167"/>
    </row>
    <row r="2094" spans="1:8">
      <c r="A2094" s="167"/>
      <c r="B2094" s="167"/>
      <c r="C2094" s="167"/>
      <c r="D2094" s="167"/>
      <c r="E2094" s="167"/>
      <c r="F2094" s="167"/>
      <c r="G2094" s="167"/>
      <c r="H2094" s="167"/>
    </row>
    <row r="2095" spans="1:8">
      <c r="A2095" s="167"/>
      <c r="B2095" s="167"/>
      <c r="C2095" s="167"/>
      <c r="D2095" s="167"/>
      <c r="E2095" s="167"/>
      <c r="F2095" s="167"/>
      <c r="G2095" s="167"/>
      <c r="H2095" s="167"/>
    </row>
    <row r="2096" spans="1:8">
      <c r="A2096" s="167"/>
      <c r="B2096" s="167"/>
      <c r="C2096" s="167"/>
      <c r="D2096" s="167"/>
      <c r="E2096" s="167"/>
      <c r="F2096" s="167"/>
      <c r="G2096" s="167"/>
      <c r="H2096" s="167"/>
    </row>
    <row r="2097" spans="1:8">
      <c r="A2097" s="167"/>
      <c r="B2097" s="167"/>
      <c r="C2097" s="167"/>
      <c r="D2097" s="167"/>
      <c r="E2097" s="167"/>
      <c r="F2097" s="167"/>
      <c r="G2097" s="167"/>
      <c r="H2097" s="167"/>
    </row>
    <row r="2098" spans="1:8">
      <c r="A2098" s="167"/>
      <c r="B2098" s="167"/>
      <c r="C2098" s="167"/>
      <c r="D2098" s="167"/>
      <c r="E2098" s="167"/>
      <c r="F2098" s="167"/>
      <c r="G2098" s="167"/>
      <c r="H2098" s="167"/>
    </row>
    <row r="2099" spans="1:8">
      <c r="A2099" s="167"/>
      <c r="B2099" s="167"/>
      <c r="C2099" s="167"/>
      <c r="D2099" s="167"/>
      <c r="E2099" s="167"/>
      <c r="F2099" s="167"/>
      <c r="G2099" s="167"/>
      <c r="H2099" s="167"/>
    </row>
    <row r="2100" spans="1:8">
      <c r="A2100" s="167"/>
      <c r="B2100" s="167"/>
      <c r="C2100" s="167"/>
      <c r="D2100" s="167"/>
      <c r="E2100" s="167"/>
      <c r="F2100" s="167"/>
      <c r="G2100" s="167"/>
      <c r="H2100" s="167"/>
    </row>
    <row r="2101" spans="1:8">
      <c r="A2101" s="167"/>
      <c r="B2101" s="167"/>
      <c r="C2101" s="167"/>
      <c r="D2101" s="167"/>
      <c r="E2101" s="167"/>
      <c r="F2101" s="167"/>
      <c r="G2101" s="167"/>
      <c r="H2101" s="167"/>
    </row>
    <row r="2102" spans="1:8">
      <c r="A2102" s="167"/>
      <c r="B2102" s="167"/>
      <c r="C2102" s="167"/>
      <c r="D2102" s="167"/>
      <c r="E2102" s="167"/>
      <c r="F2102" s="167"/>
      <c r="G2102" s="167"/>
      <c r="H2102" s="167"/>
    </row>
    <row r="2103" spans="1:8">
      <c r="A2103" s="167"/>
      <c r="B2103" s="167"/>
      <c r="C2103" s="167"/>
      <c r="D2103" s="167"/>
      <c r="E2103" s="167"/>
      <c r="F2103" s="167"/>
      <c r="G2103" s="167"/>
      <c r="H2103" s="167"/>
    </row>
    <row r="2104" spans="1:8">
      <c r="A2104" s="167"/>
      <c r="B2104" s="167"/>
      <c r="C2104" s="167"/>
      <c r="D2104" s="167"/>
      <c r="E2104" s="167"/>
      <c r="F2104" s="167"/>
      <c r="G2104" s="167"/>
      <c r="H2104" s="167"/>
    </row>
    <row r="2105" spans="1:8">
      <c r="A2105" s="167"/>
      <c r="B2105" s="167"/>
      <c r="C2105" s="167"/>
      <c r="D2105" s="167"/>
      <c r="E2105" s="167"/>
      <c r="F2105" s="167"/>
      <c r="G2105" s="167"/>
      <c r="H2105" s="167"/>
    </row>
    <row r="2106" spans="1:8">
      <c r="A2106" s="167"/>
      <c r="B2106" s="167"/>
      <c r="C2106" s="167"/>
      <c r="D2106" s="167"/>
      <c r="E2106" s="167"/>
      <c r="F2106" s="167"/>
      <c r="G2106" s="167"/>
      <c r="H2106" s="167"/>
    </row>
    <row r="2107" spans="1:8">
      <c r="A2107" s="167"/>
      <c r="B2107" s="167"/>
      <c r="C2107" s="167"/>
      <c r="D2107" s="167"/>
      <c r="E2107" s="167"/>
      <c r="F2107" s="167"/>
      <c r="G2107" s="167"/>
      <c r="H2107" s="167"/>
    </row>
    <row r="2108" spans="1:8">
      <c r="A2108" s="167"/>
      <c r="B2108" s="167"/>
      <c r="C2108" s="167"/>
      <c r="D2108" s="167"/>
      <c r="E2108" s="167"/>
      <c r="F2108" s="167"/>
      <c r="G2108" s="167"/>
      <c r="H2108" s="167"/>
    </row>
    <row r="2109" spans="1:8">
      <c r="A2109" s="167"/>
      <c r="B2109" s="167"/>
      <c r="C2109" s="167"/>
      <c r="D2109" s="167"/>
      <c r="E2109" s="167"/>
      <c r="F2109" s="167"/>
      <c r="G2109" s="167"/>
      <c r="H2109" s="167"/>
    </row>
    <row r="2110" spans="1:8">
      <c r="A2110" s="167"/>
      <c r="B2110" s="167"/>
      <c r="C2110" s="167"/>
      <c r="D2110" s="167"/>
      <c r="E2110" s="167"/>
      <c r="F2110" s="167"/>
      <c r="G2110" s="167"/>
      <c r="H2110" s="167"/>
    </row>
    <row r="2111" spans="1:8">
      <c r="A2111" s="167"/>
      <c r="B2111" s="167"/>
      <c r="C2111" s="167"/>
      <c r="D2111" s="167"/>
      <c r="E2111" s="167"/>
      <c r="F2111" s="167"/>
      <c r="G2111" s="167"/>
      <c r="H2111" s="167"/>
    </row>
    <row r="2112" spans="1:8">
      <c r="A2112" s="167"/>
      <c r="B2112" s="167"/>
      <c r="C2112" s="167"/>
      <c r="D2112" s="167"/>
      <c r="E2112" s="167"/>
      <c r="F2112" s="167"/>
      <c r="G2112" s="167"/>
      <c r="H2112" s="167"/>
    </row>
    <row r="2113" spans="1:8">
      <c r="A2113" s="167"/>
      <c r="B2113" s="167"/>
      <c r="C2113" s="167"/>
      <c r="D2113" s="167"/>
      <c r="E2113" s="167"/>
      <c r="F2113" s="167"/>
      <c r="G2113" s="167"/>
      <c r="H2113" s="167"/>
    </row>
    <row r="2114" spans="1:8">
      <c r="A2114" s="167"/>
      <c r="B2114" s="167"/>
      <c r="C2114" s="167"/>
      <c r="D2114" s="167"/>
      <c r="E2114" s="167"/>
      <c r="F2114" s="167"/>
      <c r="G2114" s="167"/>
      <c r="H2114" s="167"/>
    </row>
    <row r="2115" spans="1:8">
      <c r="A2115" s="167"/>
      <c r="B2115" s="167"/>
      <c r="C2115" s="167"/>
      <c r="D2115" s="167"/>
      <c r="E2115" s="167"/>
      <c r="F2115" s="167"/>
      <c r="G2115" s="167"/>
      <c r="H2115" s="167"/>
    </row>
    <row r="2116" spans="1:8">
      <c r="A2116" s="167"/>
      <c r="B2116" s="167"/>
      <c r="C2116" s="167"/>
      <c r="D2116" s="167"/>
      <c r="E2116" s="167"/>
      <c r="F2116" s="167"/>
      <c r="G2116" s="167"/>
      <c r="H2116" s="167"/>
    </row>
    <row r="2117" spans="1:8">
      <c r="A2117" s="167"/>
      <c r="B2117" s="167"/>
      <c r="C2117" s="167"/>
      <c r="D2117" s="167"/>
      <c r="E2117" s="167"/>
      <c r="F2117" s="167"/>
      <c r="G2117" s="167"/>
      <c r="H2117" s="167"/>
    </row>
    <row r="2118" spans="1:8">
      <c r="A2118" s="167"/>
      <c r="B2118" s="167"/>
      <c r="C2118" s="167"/>
      <c r="D2118" s="167"/>
      <c r="E2118" s="167"/>
      <c r="F2118" s="167"/>
      <c r="G2118" s="167"/>
      <c r="H2118" s="167"/>
    </row>
    <row r="2119" spans="1:8">
      <c r="A2119" s="167"/>
      <c r="B2119" s="167"/>
      <c r="C2119" s="167"/>
      <c r="D2119" s="167"/>
      <c r="E2119" s="167"/>
      <c r="F2119" s="167"/>
      <c r="G2119" s="167"/>
      <c r="H2119" s="167"/>
    </row>
    <row r="2120" spans="1:8">
      <c r="A2120" s="167"/>
      <c r="B2120" s="167"/>
      <c r="C2120" s="167"/>
      <c r="D2120" s="167"/>
      <c r="E2120" s="167"/>
      <c r="F2120" s="167"/>
      <c r="G2120" s="167"/>
      <c r="H2120" s="167"/>
    </row>
    <row r="2121" spans="1:8">
      <c r="A2121" s="167"/>
      <c r="B2121" s="167"/>
      <c r="C2121" s="167"/>
      <c r="D2121" s="167"/>
      <c r="E2121" s="167"/>
      <c r="F2121" s="167"/>
      <c r="G2121" s="167"/>
      <c r="H2121" s="167"/>
    </row>
    <row r="2122" spans="1:8">
      <c r="A2122" s="167"/>
      <c r="B2122" s="167"/>
      <c r="C2122" s="167"/>
      <c r="D2122" s="167"/>
      <c r="E2122" s="167"/>
      <c r="F2122" s="167"/>
      <c r="G2122" s="167"/>
      <c r="H2122" s="167"/>
    </row>
    <row r="2123" spans="1:8">
      <c r="A2123" s="167"/>
      <c r="B2123" s="167"/>
      <c r="C2123" s="167"/>
      <c r="D2123" s="167"/>
      <c r="E2123" s="167"/>
      <c r="F2123" s="167"/>
      <c r="G2123" s="167"/>
      <c r="H2123" s="167"/>
    </row>
    <row r="2124" spans="1:8">
      <c r="A2124" s="167"/>
      <c r="B2124" s="167"/>
      <c r="C2124" s="167"/>
      <c r="D2124" s="167"/>
      <c r="E2124" s="167"/>
      <c r="F2124" s="167"/>
      <c r="G2124" s="167"/>
      <c r="H2124" s="167"/>
    </row>
    <row r="2125" spans="1:8">
      <c r="A2125" s="167"/>
      <c r="B2125" s="167"/>
      <c r="C2125" s="167"/>
      <c r="D2125" s="167"/>
      <c r="E2125" s="167"/>
      <c r="F2125" s="167"/>
      <c r="G2125" s="167"/>
      <c r="H2125" s="167"/>
    </row>
    <row r="2126" spans="1:8">
      <c r="A2126" s="167"/>
      <c r="B2126" s="167"/>
      <c r="C2126" s="167"/>
      <c r="D2126" s="167"/>
      <c r="E2126" s="167"/>
      <c r="F2126" s="167"/>
      <c r="G2126" s="167"/>
      <c r="H2126" s="167"/>
    </row>
    <row r="2127" spans="1:8">
      <c r="A2127" s="167"/>
      <c r="B2127" s="167"/>
      <c r="C2127" s="167"/>
      <c r="D2127" s="167"/>
      <c r="E2127" s="167"/>
      <c r="F2127" s="167"/>
      <c r="G2127" s="167"/>
      <c r="H2127" s="167"/>
    </row>
    <row r="2128" spans="1:8">
      <c r="A2128" s="167"/>
      <c r="B2128" s="167"/>
      <c r="C2128" s="167"/>
      <c r="D2128" s="167"/>
      <c r="E2128" s="167"/>
      <c r="F2128" s="167"/>
      <c r="G2128" s="167"/>
      <c r="H2128" s="167"/>
    </row>
    <row r="2129" spans="1:8">
      <c r="A2129" s="167"/>
      <c r="B2129" s="167"/>
      <c r="C2129" s="167"/>
      <c r="D2129" s="167"/>
      <c r="E2129" s="167"/>
      <c r="F2129" s="167"/>
      <c r="G2129" s="167"/>
      <c r="H2129" s="167"/>
    </row>
    <row r="2130" spans="1:8">
      <c r="A2130" s="167"/>
      <c r="B2130" s="167"/>
      <c r="C2130" s="167"/>
      <c r="D2130" s="167"/>
      <c r="E2130" s="167"/>
      <c r="F2130" s="167"/>
      <c r="G2130" s="167"/>
      <c r="H2130" s="167"/>
    </row>
    <row r="2131" spans="1:8">
      <c r="A2131" s="167"/>
      <c r="B2131" s="167"/>
      <c r="C2131" s="167"/>
      <c r="D2131" s="167"/>
      <c r="E2131" s="167"/>
      <c r="F2131" s="167"/>
      <c r="G2131" s="167"/>
      <c r="H2131" s="167"/>
    </row>
    <row r="2132" spans="1:8">
      <c r="A2132" s="167"/>
      <c r="B2132" s="167"/>
      <c r="C2132" s="167"/>
      <c r="D2132" s="167"/>
      <c r="E2132" s="167"/>
      <c r="F2132" s="167"/>
      <c r="G2132" s="167"/>
      <c r="H2132" s="167"/>
    </row>
    <row r="2133" spans="1:8">
      <c r="A2133" s="167"/>
      <c r="B2133" s="167"/>
      <c r="C2133" s="167"/>
      <c r="D2133" s="167"/>
      <c r="E2133" s="167"/>
      <c r="F2133" s="167"/>
      <c r="G2133" s="167"/>
      <c r="H2133" s="167"/>
    </row>
    <row r="2134" spans="1:8">
      <c r="A2134" s="167"/>
      <c r="B2134" s="167"/>
      <c r="C2134" s="167"/>
      <c r="D2134" s="167"/>
      <c r="E2134" s="167"/>
      <c r="F2134" s="167"/>
      <c r="G2134" s="167"/>
      <c r="H2134" s="167"/>
    </row>
    <row r="2135" spans="1:8">
      <c r="A2135" s="167"/>
      <c r="B2135" s="167"/>
      <c r="C2135" s="167"/>
      <c r="D2135" s="167"/>
      <c r="E2135" s="167"/>
      <c r="F2135" s="167"/>
      <c r="G2135" s="167"/>
      <c r="H2135" s="167"/>
    </row>
    <row r="2136" spans="1:8">
      <c r="A2136" s="167"/>
      <c r="B2136" s="167"/>
      <c r="C2136" s="167"/>
      <c r="D2136" s="167"/>
      <c r="E2136" s="167"/>
      <c r="F2136" s="167"/>
      <c r="G2136" s="167"/>
      <c r="H2136" s="167"/>
    </row>
    <row r="2137" spans="1:8">
      <c r="A2137" s="167"/>
      <c r="B2137" s="167"/>
      <c r="C2137" s="167"/>
      <c r="D2137" s="167"/>
      <c r="E2137" s="167"/>
      <c r="F2137" s="167"/>
      <c r="G2137" s="167"/>
      <c r="H2137" s="167"/>
    </row>
    <row r="2138" spans="1:8">
      <c r="A2138" s="167"/>
      <c r="B2138" s="167"/>
      <c r="C2138" s="167"/>
      <c r="D2138" s="167"/>
      <c r="E2138" s="167"/>
      <c r="F2138" s="167"/>
      <c r="G2138" s="167"/>
      <c r="H2138" s="167"/>
    </row>
    <row r="2139" spans="1:8">
      <c r="A2139" s="167"/>
      <c r="B2139" s="167"/>
      <c r="C2139" s="167"/>
      <c r="D2139" s="167"/>
      <c r="E2139" s="167"/>
      <c r="F2139" s="167"/>
      <c r="G2139" s="167"/>
      <c r="H2139" s="167"/>
    </row>
    <row r="2140" spans="1:8">
      <c r="A2140" s="167"/>
      <c r="B2140" s="167"/>
      <c r="C2140" s="167"/>
      <c r="D2140" s="167"/>
      <c r="E2140" s="167"/>
      <c r="F2140" s="167"/>
      <c r="G2140" s="167"/>
      <c r="H2140" s="167"/>
    </row>
    <row r="2141" spans="1:8">
      <c r="A2141" s="167"/>
      <c r="B2141" s="167"/>
      <c r="C2141" s="167"/>
      <c r="D2141" s="167"/>
      <c r="E2141" s="167"/>
      <c r="F2141" s="167"/>
      <c r="G2141" s="167"/>
      <c r="H2141" s="167"/>
    </row>
    <row r="2142" spans="1:8">
      <c r="A2142" s="167"/>
      <c r="B2142" s="167"/>
      <c r="C2142" s="167"/>
      <c r="D2142" s="167"/>
      <c r="E2142" s="167"/>
      <c r="F2142" s="167"/>
      <c r="G2142" s="167"/>
      <c r="H2142" s="167"/>
    </row>
    <row r="2143" spans="1:8">
      <c r="A2143" s="167"/>
      <c r="B2143" s="167"/>
      <c r="C2143" s="167"/>
      <c r="D2143" s="167"/>
      <c r="E2143" s="167"/>
      <c r="F2143" s="167"/>
      <c r="G2143" s="167"/>
      <c r="H2143" s="167"/>
    </row>
    <row r="2144" spans="1:8">
      <c r="A2144" s="167"/>
      <c r="B2144" s="167"/>
      <c r="C2144" s="167"/>
      <c r="D2144" s="167"/>
      <c r="E2144" s="167"/>
      <c r="F2144" s="167"/>
      <c r="G2144" s="167"/>
      <c r="H2144" s="167"/>
    </row>
    <row r="2145" spans="1:8">
      <c r="A2145" s="167"/>
      <c r="B2145" s="167"/>
      <c r="C2145" s="167"/>
      <c r="D2145" s="167"/>
      <c r="E2145" s="167"/>
      <c r="F2145" s="167"/>
      <c r="G2145" s="167"/>
      <c r="H2145" s="167"/>
    </row>
    <row r="2146" spans="1:8">
      <c r="A2146" s="167"/>
      <c r="B2146" s="167"/>
      <c r="C2146" s="167"/>
      <c r="D2146" s="167"/>
      <c r="E2146" s="167"/>
      <c r="F2146" s="167"/>
      <c r="G2146" s="167"/>
      <c r="H2146" s="167"/>
    </row>
    <row r="2147" spans="1:8">
      <c r="A2147" s="167"/>
      <c r="B2147" s="167"/>
      <c r="C2147" s="167"/>
      <c r="D2147" s="167"/>
      <c r="E2147" s="167"/>
      <c r="F2147" s="167"/>
      <c r="G2147" s="167"/>
      <c r="H2147" s="167"/>
    </row>
    <row r="2148" spans="1:8">
      <c r="A2148" s="167"/>
      <c r="B2148" s="167"/>
      <c r="C2148" s="167"/>
      <c r="D2148" s="167"/>
      <c r="E2148" s="167"/>
      <c r="F2148" s="167"/>
      <c r="G2148" s="167"/>
      <c r="H2148" s="167"/>
    </row>
    <row r="2149" spans="1:8">
      <c r="A2149" s="167"/>
      <c r="B2149" s="167"/>
      <c r="C2149" s="167"/>
      <c r="D2149" s="167"/>
      <c r="E2149" s="167"/>
      <c r="F2149" s="167"/>
      <c r="G2149" s="167"/>
      <c r="H2149" s="167"/>
    </row>
    <row r="2150" spans="1:8">
      <c r="A2150" s="167"/>
      <c r="B2150" s="167"/>
      <c r="C2150" s="167"/>
      <c r="D2150" s="167"/>
      <c r="E2150" s="167"/>
      <c r="F2150" s="167"/>
      <c r="G2150" s="167"/>
      <c r="H2150" s="167"/>
    </row>
    <row r="2151" spans="1:8">
      <c r="A2151" s="167"/>
      <c r="B2151" s="167"/>
      <c r="C2151" s="167"/>
      <c r="D2151" s="167"/>
      <c r="E2151" s="167"/>
      <c r="F2151" s="167"/>
      <c r="G2151" s="167"/>
      <c r="H2151" s="167"/>
    </row>
    <row r="2152" spans="1:8">
      <c r="A2152" s="167"/>
      <c r="B2152" s="167"/>
      <c r="C2152" s="167"/>
      <c r="D2152" s="167"/>
      <c r="E2152" s="167"/>
      <c r="F2152" s="167"/>
      <c r="G2152" s="167"/>
      <c r="H2152" s="167"/>
    </row>
    <row r="2153" spans="1:8">
      <c r="A2153" s="167"/>
      <c r="B2153" s="167"/>
      <c r="C2153" s="167"/>
      <c r="D2153" s="167"/>
      <c r="E2153" s="167"/>
      <c r="F2153" s="167"/>
      <c r="G2153" s="167"/>
      <c r="H2153" s="167"/>
    </row>
    <row r="2154" spans="1:8">
      <c r="A2154" s="167"/>
      <c r="B2154" s="167"/>
      <c r="C2154" s="167"/>
      <c r="D2154" s="167"/>
      <c r="E2154" s="167"/>
      <c r="F2154" s="167"/>
      <c r="G2154" s="167"/>
      <c r="H2154" s="167"/>
    </row>
    <row r="2155" spans="1:8">
      <c r="A2155" s="167"/>
      <c r="B2155" s="167"/>
      <c r="C2155" s="167"/>
      <c r="D2155" s="167"/>
      <c r="E2155" s="167"/>
      <c r="F2155" s="167"/>
      <c r="G2155" s="167"/>
      <c r="H2155" s="167"/>
    </row>
    <row r="2156" spans="1:8">
      <c r="A2156" s="167"/>
      <c r="B2156" s="167"/>
      <c r="C2156" s="167"/>
      <c r="D2156" s="167"/>
      <c r="E2156" s="167"/>
      <c r="F2156" s="167"/>
      <c r="G2156" s="167"/>
      <c r="H2156" s="167"/>
    </row>
    <row r="2157" spans="1:8">
      <c r="A2157" s="167"/>
      <c r="B2157" s="167"/>
      <c r="C2157" s="167"/>
      <c r="D2157" s="167"/>
      <c r="E2157" s="167"/>
      <c r="F2157" s="167"/>
      <c r="G2157" s="167"/>
      <c r="H2157" s="167"/>
    </row>
    <row r="2158" spans="1:8">
      <c r="A2158" s="167"/>
      <c r="B2158" s="167"/>
      <c r="C2158" s="167"/>
      <c r="D2158" s="167"/>
      <c r="E2158" s="167"/>
      <c r="F2158" s="167"/>
      <c r="G2158" s="167"/>
      <c r="H2158" s="167"/>
    </row>
    <row r="2159" spans="1:8">
      <c r="A2159" s="167"/>
      <c r="B2159" s="167"/>
      <c r="C2159" s="167"/>
      <c r="D2159" s="167"/>
      <c r="E2159" s="167"/>
      <c r="F2159" s="167"/>
      <c r="G2159" s="167"/>
      <c r="H2159" s="167"/>
    </row>
    <row r="2160" spans="1:8">
      <c r="A2160" s="167"/>
      <c r="B2160" s="167"/>
      <c r="C2160" s="167"/>
      <c r="D2160" s="167"/>
      <c r="E2160" s="167"/>
      <c r="F2160" s="167"/>
      <c r="G2160" s="167"/>
      <c r="H2160" s="167"/>
    </row>
    <row r="2161" spans="1:8">
      <c r="A2161" s="167"/>
      <c r="B2161" s="167"/>
      <c r="C2161" s="167"/>
      <c r="D2161" s="167"/>
      <c r="E2161" s="167"/>
      <c r="F2161" s="167"/>
      <c r="G2161" s="167"/>
      <c r="H2161" s="167"/>
    </row>
    <row r="2162" spans="1:8">
      <c r="A2162" s="167"/>
      <c r="B2162" s="167"/>
      <c r="C2162" s="167"/>
      <c r="D2162" s="167"/>
      <c r="E2162" s="167"/>
      <c r="F2162" s="167"/>
      <c r="G2162" s="167"/>
      <c r="H2162" s="167"/>
    </row>
    <row r="2163" spans="1:8">
      <c r="A2163" s="167"/>
      <c r="B2163" s="167"/>
      <c r="C2163" s="167"/>
      <c r="D2163" s="167"/>
      <c r="E2163" s="167"/>
      <c r="F2163" s="167"/>
      <c r="G2163" s="167"/>
      <c r="H2163" s="167"/>
    </row>
    <row r="2164" spans="1:8">
      <c r="A2164" s="167"/>
      <c r="B2164" s="167"/>
      <c r="C2164" s="167"/>
      <c r="D2164" s="167"/>
      <c r="E2164" s="167"/>
      <c r="F2164" s="167"/>
      <c r="G2164" s="167"/>
      <c r="H2164" s="167"/>
    </row>
    <row r="2165" spans="1:8">
      <c r="A2165" s="167"/>
      <c r="B2165" s="167"/>
      <c r="C2165" s="167"/>
      <c r="D2165" s="167"/>
      <c r="E2165" s="167"/>
      <c r="F2165" s="167"/>
      <c r="G2165" s="167"/>
      <c r="H2165" s="167"/>
    </row>
    <row r="2166" spans="1:8">
      <c r="A2166" s="167"/>
      <c r="B2166" s="167"/>
      <c r="C2166" s="167"/>
      <c r="D2166" s="167"/>
      <c r="E2166" s="167"/>
      <c r="F2166" s="167"/>
      <c r="G2166" s="167"/>
      <c r="H2166" s="167"/>
    </row>
    <row r="2167" spans="1:8">
      <c r="A2167" s="167"/>
      <c r="B2167" s="167"/>
      <c r="C2167" s="167"/>
      <c r="D2167" s="167"/>
      <c r="E2167" s="167"/>
      <c r="F2167" s="167"/>
      <c r="G2167" s="167"/>
      <c r="H2167" s="167"/>
    </row>
    <row r="2168" spans="1:8">
      <c r="A2168" s="167"/>
      <c r="B2168" s="167"/>
      <c r="C2168" s="167"/>
      <c r="D2168" s="167"/>
      <c r="E2168" s="167"/>
      <c r="F2168" s="167"/>
      <c r="G2168" s="167"/>
      <c r="H2168" s="167"/>
    </row>
    <row r="2169" spans="1:8">
      <c r="A2169" s="167"/>
      <c r="B2169" s="167"/>
      <c r="C2169" s="167"/>
      <c r="D2169" s="167"/>
      <c r="E2169" s="167"/>
      <c r="F2169" s="167"/>
      <c r="G2169" s="167"/>
      <c r="H2169" s="167"/>
    </row>
    <row r="2170" spans="1:8">
      <c r="A2170" s="167"/>
      <c r="B2170" s="167"/>
      <c r="C2170" s="167"/>
      <c r="D2170" s="167"/>
      <c r="E2170" s="167"/>
      <c r="F2170" s="167"/>
      <c r="G2170" s="167"/>
      <c r="H2170" s="167"/>
    </row>
    <row r="2171" spans="1:8">
      <c r="A2171" s="167"/>
      <c r="B2171" s="167"/>
      <c r="C2171" s="167"/>
      <c r="D2171" s="167"/>
      <c r="E2171" s="167"/>
      <c r="F2171" s="167"/>
      <c r="G2171" s="167"/>
      <c r="H2171" s="167"/>
    </row>
    <row r="2172" spans="1:8">
      <c r="A2172" s="167"/>
      <c r="B2172" s="167"/>
      <c r="C2172" s="167"/>
      <c r="D2172" s="167"/>
      <c r="E2172" s="167"/>
      <c r="F2172" s="167"/>
      <c r="G2172" s="167"/>
      <c r="H2172" s="167"/>
    </row>
    <row r="2173" spans="1:8">
      <c r="A2173" s="167"/>
      <c r="B2173" s="167"/>
      <c r="C2173" s="167"/>
      <c r="D2173" s="167"/>
      <c r="E2173" s="167"/>
      <c r="F2173" s="167"/>
      <c r="G2173" s="167"/>
      <c r="H2173" s="167"/>
    </row>
    <row r="2174" spans="1:8">
      <c r="A2174" s="167"/>
      <c r="B2174" s="167"/>
      <c r="C2174" s="167"/>
      <c r="D2174" s="167"/>
      <c r="E2174" s="167"/>
      <c r="F2174" s="167"/>
      <c r="G2174" s="167"/>
      <c r="H2174" s="167"/>
    </row>
    <row r="2175" spans="1:8">
      <c r="A2175" s="167"/>
      <c r="B2175" s="167"/>
      <c r="C2175" s="167"/>
      <c r="D2175" s="167"/>
      <c r="E2175" s="167"/>
      <c r="F2175" s="167"/>
      <c r="G2175" s="167"/>
      <c r="H2175" s="167"/>
    </row>
    <row r="2176" spans="1:8">
      <c r="A2176" s="167"/>
      <c r="B2176" s="167"/>
      <c r="C2176" s="167"/>
      <c r="D2176" s="167"/>
      <c r="E2176" s="167"/>
      <c r="F2176" s="167"/>
      <c r="G2176" s="167"/>
      <c r="H2176" s="167"/>
    </row>
    <row r="2177" spans="1:8">
      <c r="A2177" s="167"/>
      <c r="B2177" s="167"/>
      <c r="C2177" s="167"/>
      <c r="D2177" s="167"/>
      <c r="E2177" s="167"/>
      <c r="F2177" s="167"/>
      <c r="G2177" s="167"/>
      <c r="H2177" s="167"/>
    </row>
    <row r="2178" spans="1:8">
      <c r="A2178" s="167"/>
      <c r="B2178" s="167"/>
      <c r="C2178" s="167"/>
      <c r="D2178" s="167"/>
      <c r="E2178" s="167"/>
      <c r="F2178" s="167"/>
      <c r="G2178" s="167"/>
      <c r="H2178" s="167"/>
    </row>
    <row r="2179" spans="1:8">
      <c r="A2179" s="167"/>
      <c r="B2179" s="167"/>
      <c r="C2179" s="167"/>
      <c r="D2179" s="167"/>
      <c r="E2179" s="167"/>
      <c r="F2179" s="167"/>
      <c r="G2179" s="167"/>
      <c r="H2179" s="167"/>
    </row>
    <row r="2180" spans="1:8">
      <c r="A2180" s="167"/>
      <c r="B2180" s="167"/>
      <c r="C2180" s="167"/>
      <c r="D2180" s="167"/>
      <c r="E2180" s="167"/>
      <c r="F2180" s="167"/>
      <c r="G2180" s="167"/>
      <c r="H2180" s="167"/>
    </row>
    <row r="2181" spans="1:8">
      <c r="A2181" s="167"/>
      <c r="B2181" s="167"/>
      <c r="C2181" s="167"/>
      <c r="D2181" s="167"/>
      <c r="E2181" s="167"/>
      <c r="F2181" s="167"/>
      <c r="G2181" s="167"/>
      <c r="H2181" s="167"/>
    </row>
    <row r="2182" spans="1:8">
      <c r="A2182" s="167"/>
      <c r="B2182" s="167"/>
      <c r="C2182" s="167"/>
      <c r="D2182" s="167"/>
      <c r="E2182" s="167"/>
      <c r="F2182" s="167"/>
      <c r="G2182" s="167"/>
      <c r="H2182" s="167"/>
    </row>
    <row r="2183" spans="1:8">
      <c r="A2183" s="167"/>
      <c r="B2183" s="167"/>
      <c r="C2183" s="167"/>
      <c r="D2183" s="167"/>
      <c r="E2183" s="167"/>
      <c r="F2183" s="167"/>
      <c r="G2183" s="167"/>
      <c r="H2183" s="167"/>
    </row>
    <row r="2184" spans="1:8">
      <c r="A2184" s="167"/>
      <c r="B2184" s="167"/>
      <c r="C2184" s="167"/>
      <c r="D2184" s="167"/>
      <c r="E2184" s="167"/>
      <c r="F2184" s="167"/>
      <c r="G2184" s="167"/>
      <c r="H2184" s="167"/>
    </row>
    <row r="2185" spans="1:8">
      <c r="A2185" s="167"/>
      <c r="B2185" s="167"/>
      <c r="C2185" s="167"/>
      <c r="D2185" s="167"/>
      <c r="E2185" s="167"/>
      <c r="F2185" s="167"/>
      <c r="G2185" s="167"/>
      <c r="H2185" s="167"/>
    </row>
    <row r="2186" spans="1:8">
      <c r="A2186" s="167"/>
      <c r="B2186" s="167"/>
      <c r="C2186" s="167"/>
      <c r="D2186" s="167"/>
      <c r="E2186" s="167"/>
      <c r="F2186" s="167"/>
      <c r="G2186" s="167"/>
      <c r="H2186" s="167"/>
    </row>
    <row r="2187" spans="1:8">
      <c r="A2187" s="167"/>
      <c r="B2187" s="167"/>
      <c r="C2187" s="167"/>
      <c r="D2187" s="167"/>
      <c r="E2187" s="167"/>
      <c r="F2187" s="167"/>
      <c r="G2187" s="167"/>
      <c r="H2187" s="167"/>
    </row>
    <row r="2188" spans="1:8">
      <c r="A2188" s="167"/>
      <c r="B2188" s="167"/>
      <c r="C2188" s="167"/>
      <c r="D2188" s="167"/>
      <c r="E2188" s="167"/>
      <c r="F2188" s="167"/>
      <c r="G2188" s="167"/>
      <c r="H2188" s="167"/>
    </row>
    <row r="2189" spans="1:8">
      <c r="A2189" s="167"/>
      <c r="B2189" s="167"/>
      <c r="C2189" s="167"/>
      <c r="D2189" s="167"/>
      <c r="E2189" s="167"/>
      <c r="F2189" s="167"/>
      <c r="G2189" s="167"/>
      <c r="H2189" s="167"/>
    </row>
    <row r="2190" spans="1:8">
      <c r="A2190" s="167"/>
      <c r="B2190" s="167"/>
      <c r="C2190" s="167"/>
      <c r="D2190" s="167"/>
      <c r="E2190" s="167"/>
      <c r="F2190" s="167"/>
      <c r="G2190" s="167"/>
      <c r="H2190" s="167"/>
    </row>
    <row r="2191" spans="1:8">
      <c r="A2191" s="167"/>
      <c r="B2191" s="167"/>
      <c r="C2191" s="167"/>
      <c r="D2191" s="167"/>
      <c r="E2191" s="167"/>
      <c r="F2191" s="167"/>
      <c r="G2191" s="167"/>
      <c r="H2191" s="167"/>
    </row>
    <row r="2192" spans="1:8">
      <c r="A2192" s="167"/>
      <c r="B2192" s="167"/>
      <c r="C2192" s="167"/>
      <c r="D2192" s="167"/>
      <c r="E2192" s="167"/>
      <c r="F2192" s="167"/>
      <c r="G2192" s="167"/>
      <c r="H2192" s="167"/>
    </row>
    <row r="2193" spans="1:8">
      <c r="A2193" s="167"/>
      <c r="B2193" s="167"/>
      <c r="C2193" s="167"/>
      <c r="D2193" s="167"/>
      <c r="E2193" s="167"/>
      <c r="F2193" s="167"/>
      <c r="G2193" s="167"/>
      <c r="H2193" s="167"/>
    </row>
    <row r="2194" spans="1:8">
      <c r="A2194" s="167"/>
      <c r="B2194" s="167"/>
      <c r="C2194" s="167"/>
      <c r="D2194" s="167"/>
      <c r="E2194" s="167"/>
      <c r="F2194" s="167"/>
      <c r="G2194" s="167"/>
      <c r="H2194" s="167"/>
    </row>
    <row r="2195" spans="1:8">
      <c r="A2195" s="167"/>
      <c r="B2195" s="167"/>
      <c r="C2195" s="167"/>
      <c r="D2195" s="167"/>
      <c r="E2195" s="167"/>
      <c r="F2195" s="167"/>
      <c r="G2195" s="167"/>
      <c r="H2195" s="167"/>
    </row>
    <row r="2196" spans="1:8">
      <c r="A2196" s="167"/>
      <c r="B2196" s="167"/>
      <c r="C2196" s="167"/>
      <c r="D2196" s="167"/>
      <c r="E2196" s="167"/>
      <c r="F2196" s="167"/>
      <c r="G2196" s="167"/>
      <c r="H2196" s="167"/>
    </row>
    <row r="2197" spans="1:8">
      <c r="A2197" s="167"/>
      <c r="B2197" s="167"/>
      <c r="C2197" s="167"/>
      <c r="D2197" s="167"/>
      <c r="E2197" s="167"/>
      <c r="F2197" s="167"/>
      <c r="G2197" s="167"/>
      <c r="H2197" s="167"/>
    </row>
    <row r="2198" spans="1:8">
      <c r="A2198" s="167"/>
      <c r="B2198" s="167"/>
      <c r="C2198" s="167"/>
      <c r="D2198" s="167"/>
      <c r="E2198" s="167"/>
      <c r="F2198" s="167"/>
      <c r="G2198" s="167"/>
      <c r="H2198" s="167"/>
    </row>
    <row r="2199" spans="1:8">
      <c r="A2199" s="167"/>
      <c r="B2199" s="167"/>
      <c r="C2199" s="167"/>
      <c r="D2199" s="167"/>
      <c r="E2199" s="167"/>
      <c r="F2199" s="167"/>
      <c r="G2199" s="167"/>
      <c r="H2199" s="167"/>
    </row>
    <row r="2200" spans="1:8">
      <c r="A2200" s="167"/>
      <c r="B2200" s="167"/>
      <c r="C2200" s="167"/>
      <c r="D2200" s="167"/>
      <c r="E2200" s="167"/>
      <c r="F2200" s="167"/>
      <c r="G2200" s="167"/>
      <c r="H2200" s="167"/>
    </row>
    <row r="2201" spans="1:8">
      <c r="A2201" s="167"/>
      <c r="B2201" s="167"/>
      <c r="C2201" s="167"/>
      <c r="D2201" s="167"/>
      <c r="E2201" s="167"/>
      <c r="F2201" s="167"/>
      <c r="G2201" s="167"/>
      <c r="H2201" s="167"/>
    </row>
    <row r="2202" spans="1:8">
      <c r="A2202" s="167"/>
      <c r="B2202" s="167"/>
      <c r="C2202" s="167"/>
      <c r="D2202" s="167"/>
      <c r="E2202" s="167"/>
      <c r="F2202" s="167"/>
      <c r="G2202" s="167"/>
      <c r="H2202" s="167"/>
    </row>
    <row r="2203" spans="1:8">
      <c r="A2203" s="167"/>
      <c r="B2203" s="167"/>
      <c r="C2203" s="167"/>
      <c r="D2203" s="167"/>
      <c r="E2203" s="167"/>
      <c r="F2203" s="167"/>
      <c r="G2203" s="167"/>
      <c r="H2203" s="167"/>
    </row>
    <row r="2204" spans="1:8">
      <c r="A2204" s="167"/>
      <c r="B2204" s="167"/>
      <c r="C2204" s="167"/>
      <c r="D2204" s="167"/>
      <c r="E2204" s="167"/>
      <c r="F2204" s="167"/>
      <c r="G2204" s="167"/>
      <c r="H2204" s="167"/>
    </row>
    <row r="2205" spans="1:8">
      <c r="A2205" s="167"/>
      <c r="B2205" s="167"/>
      <c r="C2205" s="167"/>
      <c r="D2205" s="167"/>
      <c r="E2205" s="167"/>
      <c r="F2205" s="167"/>
      <c r="G2205" s="167"/>
      <c r="H2205" s="167"/>
    </row>
    <row r="2206" spans="1:8">
      <c r="A2206" s="167"/>
      <c r="B2206" s="167"/>
      <c r="C2206" s="167"/>
      <c r="D2206" s="167"/>
      <c r="E2206" s="167"/>
      <c r="F2206" s="167"/>
      <c r="G2206" s="167"/>
      <c r="H2206" s="167"/>
    </row>
    <row r="2207" spans="1:8">
      <c r="A2207" s="167"/>
      <c r="B2207" s="167"/>
      <c r="C2207" s="167"/>
      <c r="D2207" s="167"/>
      <c r="E2207" s="167"/>
      <c r="F2207" s="167"/>
      <c r="G2207" s="167"/>
      <c r="H2207" s="167"/>
    </row>
    <row r="2208" spans="1:8">
      <c r="A2208" s="167"/>
      <c r="B2208" s="167"/>
      <c r="C2208" s="167"/>
      <c r="D2208" s="167"/>
      <c r="E2208" s="167"/>
      <c r="F2208" s="167"/>
      <c r="G2208" s="167"/>
      <c r="H2208" s="167"/>
    </row>
    <row r="2209" spans="1:8">
      <c r="A2209" s="167"/>
      <c r="B2209" s="167"/>
      <c r="C2209" s="167"/>
      <c r="D2209" s="167"/>
      <c r="E2209" s="167"/>
      <c r="F2209" s="167"/>
      <c r="G2209" s="167"/>
      <c r="H2209" s="167"/>
    </row>
    <row r="2210" spans="1:8">
      <c r="A2210" s="167"/>
      <c r="B2210" s="167"/>
      <c r="C2210" s="167"/>
      <c r="D2210" s="167"/>
      <c r="E2210" s="167"/>
      <c r="F2210" s="167"/>
      <c r="G2210" s="167"/>
      <c r="H2210" s="167"/>
    </row>
    <row r="2211" spans="1:8">
      <c r="A2211" s="167"/>
      <c r="B2211" s="167"/>
      <c r="C2211" s="167"/>
      <c r="D2211" s="167"/>
      <c r="E2211" s="167"/>
      <c r="F2211" s="167"/>
      <c r="G2211" s="167"/>
      <c r="H2211" s="167"/>
    </row>
    <row r="2212" spans="1:8">
      <c r="A2212" s="167"/>
      <c r="B2212" s="167"/>
      <c r="C2212" s="167"/>
      <c r="D2212" s="167"/>
      <c r="E2212" s="167"/>
      <c r="F2212" s="167"/>
      <c r="G2212" s="167"/>
      <c r="H2212" s="167"/>
    </row>
    <row r="2213" spans="1:8">
      <c r="A2213" s="167"/>
      <c r="B2213" s="167"/>
      <c r="C2213" s="167"/>
      <c r="D2213" s="167"/>
      <c r="E2213" s="167"/>
      <c r="F2213" s="167"/>
      <c r="G2213" s="167"/>
      <c r="H2213" s="167"/>
    </row>
    <row r="2214" spans="1:8">
      <c r="A2214" s="167"/>
      <c r="B2214" s="167"/>
      <c r="C2214" s="167"/>
      <c r="D2214" s="167"/>
      <c r="E2214" s="167"/>
      <c r="F2214" s="167"/>
      <c r="G2214" s="167"/>
      <c r="H2214" s="167"/>
    </row>
    <row r="2215" spans="1:8">
      <c r="A2215" s="167"/>
      <c r="B2215" s="167"/>
      <c r="C2215" s="167"/>
      <c r="D2215" s="167"/>
      <c r="E2215" s="167"/>
      <c r="F2215" s="167"/>
      <c r="G2215" s="167"/>
      <c r="H2215" s="167"/>
    </row>
    <row r="2216" spans="1:8">
      <c r="A2216" s="167"/>
      <c r="B2216" s="167"/>
      <c r="C2216" s="167"/>
      <c r="D2216" s="167"/>
      <c r="E2216" s="167"/>
      <c r="F2216" s="167"/>
      <c r="G2216" s="167"/>
      <c r="H2216" s="167"/>
    </row>
    <row r="2217" spans="1:8">
      <c r="A2217" s="167"/>
      <c r="B2217" s="167"/>
      <c r="C2217" s="167"/>
      <c r="D2217" s="167"/>
      <c r="E2217" s="167"/>
      <c r="F2217" s="167"/>
      <c r="G2217" s="167"/>
      <c r="H2217" s="167"/>
    </row>
    <row r="2218" spans="1:8">
      <c r="A2218" s="167"/>
      <c r="B2218" s="167"/>
      <c r="C2218" s="167"/>
      <c r="D2218" s="167"/>
      <c r="E2218" s="167"/>
      <c r="F2218" s="167"/>
      <c r="G2218" s="167"/>
      <c r="H2218" s="167"/>
    </row>
    <row r="2219" spans="1:8">
      <c r="A2219" s="167"/>
      <c r="B2219" s="167"/>
      <c r="C2219" s="167"/>
      <c r="D2219" s="167"/>
      <c r="E2219" s="167"/>
      <c r="F2219" s="167"/>
      <c r="G2219" s="167"/>
      <c r="H2219" s="167"/>
    </row>
    <row r="2220" spans="1:8">
      <c r="A2220" s="167"/>
      <c r="B2220" s="167"/>
      <c r="C2220" s="167"/>
      <c r="D2220" s="167"/>
      <c r="E2220" s="167"/>
      <c r="F2220" s="167"/>
      <c r="G2220" s="167"/>
      <c r="H2220" s="167"/>
    </row>
    <row r="2221" spans="1:8">
      <c r="A2221" s="167"/>
      <c r="B2221" s="167"/>
      <c r="C2221" s="167"/>
      <c r="D2221" s="167"/>
      <c r="E2221" s="167"/>
      <c r="F2221" s="167"/>
      <c r="G2221" s="167"/>
      <c r="H2221" s="167"/>
    </row>
    <row r="2222" spans="1:8">
      <c r="A2222" s="167"/>
      <c r="B2222" s="167"/>
      <c r="C2222" s="167"/>
      <c r="D2222" s="167"/>
      <c r="E2222" s="167"/>
      <c r="F2222" s="167"/>
      <c r="G2222" s="167"/>
      <c r="H2222" s="167"/>
    </row>
    <row r="2223" spans="1:8">
      <c r="A2223" s="167"/>
      <c r="B2223" s="167"/>
      <c r="C2223" s="167"/>
      <c r="D2223" s="167"/>
      <c r="E2223" s="167"/>
      <c r="F2223" s="167"/>
      <c r="G2223" s="167"/>
      <c r="H2223" s="167"/>
    </row>
    <row r="2224" spans="1:8">
      <c r="A2224" s="167"/>
      <c r="B2224" s="167"/>
      <c r="C2224" s="167"/>
      <c r="D2224" s="167"/>
      <c r="E2224" s="167"/>
      <c r="F2224" s="167"/>
      <c r="G2224" s="167"/>
      <c r="H2224" s="167"/>
    </row>
    <row r="2225" spans="1:8">
      <c r="A2225" s="167"/>
      <c r="B2225" s="167"/>
      <c r="C2225" s="167"/>
      <c r="D2225" s="167"/>
      <c r="E2225" s="167"/>
      <c r="F2225" s="167"/>
      <c r="G2225" s="167"/>
      <c r="H2225" s="167"/>
    </row>
    <row r="2226" spans="1:8">
      <c r="A2226" s="167"/>
      <c r="B2226" s="167"/>
      <c r="C2226" s="167"/>
      <c r="D2226" s="167"/>
      <c r="E2226" s="167"/>
      <c r="F2226" s="167"/>
      <c r="G2226" s="167"/>
      <c r="H2226" s="167"/>
    </row>
    <row r="2227" spans="1:8">
      <c r="A2227" s="167"/>
      <c r="B2227" s="167"/>
      <c r="C2227" s="167"/>
      <c r="D2227" s="167"/>
      <c r="E2227" s="167"/>
      <c r="F2227" s="167"/>
      <c r="G2227" s="167"/>
      <c r="H2227" s="167"/>
    </row>
    <row r="2228" spans="1:8">
      <c r="A2228" s="167"/>
      <c r="B2228" s="167"/>
      <c r="C2228" s="167"/>
      <c r="D2228" s="167"/>
      <c r="E2228" s="167"/>
      <c r="F2228" s="167"/>
      <c r="G2228" s="167"/>
      <c r="H2228" s="167"/>
    </row>
    <row r="2229" spans="1:8">
      <c r="A2229" s="167"/>
      <c r="B2229" s="167"/>
      <c r="C2229" s="167"/>
      <c r="D2229" s="167"/>
      <c r="E2229" s="167"/>
      <c r="F2229" s="167"/>
      <c r="G2229" s="167"/>
      <c r="H2229" s="167"/>
    </row>
    <row r="2230" spans="1:8">
      <c r="A2230" s="167"/>
      <c r="B2230" s="167"/>
      <c r="C2230" s="167"/>
      <c r="D2230" s="167"/>
      <c r="E2230" s="167"/>
      <c r="F2230" s="167"/>
      <c r="G2230" s="167"/>
      <c r="H2230" s="167"/>
    </row>
    <row r="2231" spans="1:8">
      <c r="A2231" s="167"/>
      <c r="B2231" s="167"/>
      <c r="C2231" s="167"/>
      <c r="D2231" s="167"/>
      <c r="E2231" s="167"/>
      <c r="F2231" s="167"/>
      <c r="G2231" s="167"/>
      <c r="H2231" s="167"/>
    </row>
    <row r="2232" spans="1:8">
      <c r="A2232" s="167"/>
      <c r="B2232" s="167"/>
      <c r="C2232" s="167"/>
      <c r="D2232" s="167"/>
      <c r="E2232" s="167"/>
      <c r="F2232" s="167"/>
      <c r="G2232" s="167"/>
      <c r="H2232" s="167"/>
    </row>
    <row r="2233" spans="1:8">
      <c r="A2233" s="167"/>
      <c r="B2233" s="167"/>
      <c r="C2233" s="167"/>
      <c r="D2233" s="167"/>
      <c r="E2233" s="167"/>
      <c r="F2233" s="167"/>
      <c r="G2233" s="167"/>
      <c r="H2233" s="167"/>
    </row>
    <row r="2234" spans="1:8">
      <c r="A2234" s="167"/>
      <c r="B2234" s="167"/>
      <c r="C2234" s="167"/>
      <c r="D2234" s="167"/>
      <c r="E2234" s="167"/>
      <c r="F2234" s="167"/>
      <c r="G2234" s="167"/>
      <c r="H2234" s="167"/>
    </row>
    <row r="2235" spans="1:8">
      <c r="A2235" s="167"/>
      <c r="B2235" s="167"/>
      <c r="C2235" s="167"/>
      <c r="D2235" s="167"/>
      <c r="E2235" s="167"/>
      <c r="F2235" s="167"/>
      <c r="G2235" s="167"/>
      <c r="H2235" s="167"/>
    </row>
    <row r="2236" spans="1:8">
      <c r="A2236" s="167"/>
      <c r="B2236" s="167"/>
      <c r="C2236" s="167"/>
      <c r="D2236" s="167"/>
      <c r="E2236" s="167"/>
      <c r="F2236" s="167"/>
      <c r="G2236" s="167"/>
      <c r="H2236" s="167"/>
    </row>
    <row r="2237" spans="1:8">
      <c r="A2237" s="167"/>
      <c r="B2237" s="167"/>
      <c r="C2237" s="167"/>
      <c r="D2237" s="167"/>
      <c r="E2237" s="167"/>
      <c r="F2237" s="167"/>
      <c r="G2237" s="167"/>
      <c r="H2237" s="167"/>
    </row>
    <row r="2238" spans="1:8">
      <c r="A2238" s="167"/>
      <c r="B2238" s="167"/>
      <c r="C2238" s="167"/>
      <c r="D2238" s="167"/>
      <c r="E2238" s="167"/>
      <c r="F2238" s="167"/>
      <c r="G2238" s="167"/>
      <c r="H2238" s="167"/>
    </row>
    <row r="2239" spans="1:8">
      <c r="A2239" s="167"/>
      <c r="B2239" s="167"/>
      <c r="C2239" s="167"/>
      <c r="D2239" s="167"/>
      <c r="E2239" s="167"/>
      <c r="F2239" s="167"/>
      <c r="G2239" s="167"/>
      <c r="H2239" s="167"/>
    </row>
    <row r="2240" spans="1:8">
      <c r="A2240" s="167"/>
      <c r="B2240" s="167"/>
      <c r="C2240" s="167"/>
      <c r="D2240" s="167"/>
      <c r="E2240" s="167"/>
      <c r="F2240" s="167"/>
      <c r="G2240" s="167"/>
      <c r="H2240" s="167"/>
    </row>
    <row r="2241" spans="1:8">
      <c r="A2241" s="167"/>
      <c r="B2241" s="167"/>
      <c r="C2241" s="167"/>
      <c r="D2241" s="167"/>
      <c r="E2241" s="167"/>
      <c r="F2241" s="167"/>
      <c r="G2241" s="167"/>
      <c r="H2241" s="167"/>
    </row>
    <row r="2242" spans="1:8">
      <c r="A2242" s="167"/>
      <c r="B2242" s="167"/>
      <c r="C2242" s="167"/>
      <c r="D2242" s="167"/>
      <c r="E2242" s="167"/>
      <c r="F2242" s="167"/>
      <c r="G2242" s="167"/>
      <c r="H2242" s="167"/>
    </row>
    <row r="2243" spans="1:8">
      <c r="A2243" s="167"/>
      <c r="B2243" s="167"/>
      <c r="C2243" s="167"/>
      <c r="D2243" s="167"/>
      <c r="E2243" s="167"/>
      <c r="F2243" s="167"/>
      <c r="G2243" s="167"/>
      <c r="H2243" s="167"/>
    </row>
    <row r="2244" spans="1:8">
      <c r="A2244" s="167"/>
      <c r="B2244" s="167"/>
      <c r="C2244" s="167"/>
      <c r="D2244" s="167"/>
      <c r="E2244" s="167"/>
      <c r="F2244" s="167"/>
      <c r="G2244" s="167"/>
      <c r="H2244" s="167"/>
    </row>
    <row r="2245" spans="1:8">
      <c r="A2245" s="167"/>
      <c r="B2245" s="167"/>
      <c r="C2245" s="167"/>
      <c r="D2245" s="167"/>
      <c r="E2245" s="167"/>
      <c r="F2245" s="167"/>
      <c r="G2245" s="167"/>
      <c r="H2245" s="167"/>
    </row>
    <row r="2246" spans="1:8">
      <c r="A2246" s="167"/>
      <c r="B2246" s="167"/>
      <c r="C2246" s="167"/>
      <c r="D2246" s="167"/>
      <c r="E2246" s="167"/>
      <c r="F2246" s="167"/>
      <c r="G2246" s="167"/>
      <c r="H2246" s="167"/>
    </row>
    <row r="2247" spans="1:8">
      <c r="A2247" s="167"/>
      <c r="B2247" s="167"/>
      <c r="C2247" s="167"/>
      <c r="D2247" s="167"/>
      <c r="E2247" s="167"/>
      <c r="F2247" s="167"/>
      <c r="G2247" s="167"/>
      <c r="H2247" s="167"/>
    </row>
    <row r="2248" spans="1:8">
      <c r="A2248" s="167"/>
      <c r="B2248" s="167"/>
      <c r="C2248" s="167"/>
      <c r="D2248" s="167"/>
      <c r="E2248" s="167"/>
      <c r="F2248" s="167"/>
      <c r="G2248" s="167"/>
      <c r="H2248" s="167"/>
    </row>
    <row r="2249" spans="1:8">
      <c r="A2249" s="167"/>
      <c r="B2249" s="167"/>
      <c r="C2249" s="167"/>
      <c r="D2249" s="167"/>
      <c r="E2249" s="167"/>
      <c r="F2249" s="167"/>
      <c r="G2249" s="167"/>
      <c r="H2249" s="167"/>
    </row>
    <row r="2250" spans="1:8">
      <c r="A2250" s="167"/>
      <c r="B2250" s="167"/>
      <c r="C2250" s="167"/>
      <c r="D2250" s="167"/>
      <c r="E2250" s="167"/>
      <c r="F2250" s="167"/>
      <c r="G2250" s="167"/>
      <c r="H2250" s="167"/>
    </row>
    <row r="2251" spans="1:8">
      <c r="A2251" s="167"/>
      <c r="B2251" s="167"/>
      <c r="C2251" s="167"/>
      <c r="D2251" s="167"/>
      <c r="E2251" s="167"/>
      <c r="F2251" s="167"/>
      <c r="G2251" s="167"/>
      <c r="H2251" s="167"/>
    </row>
    <row r="2252" spans="1:8">
      <c r="A2252" s="167"/>
      <c r="B2252" s="167"/>
      <c r="C2252" s="167"/>
      <c r="D2252" s="167"/>
      <c r="E2252" s="167"/>
      <c r="F2252" s="167"/>
      <c r="G2252" s="167"/>
      <c r="H2252" s="167"/>
    </row>
    <row r="2253" spans="1:8">
      <c r="A2253" s="167"/>
      <c r="B2253" s="167"/>
      <c r="C2253" s="167"/>
      <c r="D2253" s="167"/>
      <c r="E2253" s="167"/>
      <c r="F2253" s="167"/>
      <c r="G2253" s="167"/>
      <c r="H2253" s="167"/>
    </row>
    <row r="2254" spans="1:8">
      <c r="A2254" s="167"/>
      <c r="B2254" s="167"/>
      <c r="C2254" s="167"/>
      <c r="D2254" s="167"/>
      <c r="E2254" s="167"/>
      <c r="F2254" s="167"/>
      <c r="G2254" s="167"/>
      <c r="H2254" s="167"/>
    </row>
    <row r="2255" spans="1:8">
      <c r="A2255" s="167"/>
      <c r="B2255" s="167"/>
      <c r="C2255" s="167"/>
      <c r="D2255" s="167"/>
      <c r="E2255" s="167"/>
      <c r="F2255" s="167"/>
      <c r="G2255" s="167"/>
      <c r="H2255" s="167"/>
    </row>
    <row r="2256" spans="1:8">
      <c r="A2256" s="167"/>
      <c r="B2256" s="167"/>
      <c r="C2256" s="167"/>
      <c r="D2256" s="167"/>
      <c r="E2256" s="167"/>
      <c r="F2256" s="167"/>
      <c r="G2256" s="167"/>
      <c r="H2256" s="167"/>
    </row>
    <row r="2257" spans="1:8">
      <c r="A2257" s="167"/>
      <c r="B2257" s="167"/>
      <c r="C2257" s="167"/>
      <c r="D2257" s="167"/>
      <c r="E2257" s="167"/>
      <c r="F2257" s="167"/>
      <c r="G2257" s="167"/>
      <c r="H2257" s="167"/>
    </row>
    <row r="2258" spans="1:8">
      <c r="A2258" s="167"/>
      <c r="B2258" s="167"/>
      <c r="C2258" s="167"/>
      <c r="D2258" s="167"/>
      <c r="E2258" s="167"/>
      <c r="F2258" s="167"/>
      <c r="G2258" s="167"/>
      <c r="H2258" s="167"/>
    </row>
    <row r="2259" spans="1:8">
      <c r="A2259" s="167"/>
      <c r="B2259" s="167"/>
      <c r="C2259" s="167"/>
      <c r="D2259" s="167"/>
      <c r="E2259" s="167"/>
      <c r="F2259" s="167"/>
      <c r="G2259" s="167"/>
      <c r="H2259" s="167"/>
    </row>
    <row r="2260" spans="1:8">
      <c r="A2260" s="167"/>
      <c r="B2260" s="167"/>
      <c r="C2260" s="167"/>
      <c r="D2260" s="167"/>
      <c r="E2260" s="167"/>
      <c r="F2260" s="167"/>
      <c r="G2260" s="167"/>
      <c r="H2260" s="167"/>
    </row>
    <row r="2261" spans="1:8">
      <c r="A2261" s="167"/>
      <c r="B2261" s="167"/>
      <c r="C2261" s="167"/>
      <c r="D2261" s="167"/>
      <c r="E2261" s="167"/>
      <c r="F2261" s="167"/>
      <c r="G2261" s="167"/>
      <c r="H2261" s="167"/>
    </row>
    <row r="2262" spans="1:8">
      <c r="A2262" s="167"/>
      <c r="B2262" s="167"/>
      <c r="C2262" s="167"/>
      <c r="D2262" s="167"/>
      <c r="E2262" s="167"/>
      <c r="F2262" s="167"/>
      <c r="G2262" s="167"/>
      <c r="H2262" s="167"/>
    </row>
    <row r="2263" spans="1:8">
      <c r="A2263" s="167"/>
      <c r="B2263" s="167"/>
      <c r="C2263" s="167"/>
      <c r="D2263" s="167"/>
      <c r="E2263" s="167"/>
      <c r="F2263" s="167"/>
      <c r="G2263" s="167"/>
      <c r="H2263" s="167"/>
    </row>
    <row r="2264" spans="1:8">
      <c r="A2264" s="167"/>
      <c r="B2264" s="167"/>
      <c r="C2264" s="167"/>
      <c r="D2264" s="167"/>
      <c r="E2264" s="167"/>
      <c r="F2264" s="167"/>
      <c r="G2264" s="167"/>
      <c r="H2264" s="167"/>
    </row>
    <row r="2265" spans="1:8">
      <c r="A2265" s="167"/>
      <c r="B2265" s="167"/>
      <c r="C2265" s="167"/>
      <c r="D2265" s="167"/>
      <c r="E2265" s="167"/>
      <c r="F2265" s="167"/>
      <c r="G2265" s="167"/>
      <c r="H2265" s="167"/>
    </row>
    <row r="2266" spans="1:8">
      <c r="A2266" s="167"/>
      <c r="B2266" s="167"/>
      <c r="C2266" s="167"/>
      <c r="D2266" s="167"/>
      <c r="E2266" s="167"/>
      <c r="F2266" s="167"/>
      <c r="G2266" s="167"/>
      <c r="H2266" s="167"/>
    </row>
    <row r="2267" spans="1:8">
      <c r="A2267" s="167"/>
      <c r="B2267" s="167"/>
      <c r="C2267" s="167"/>
      <c r="D2267" s="167"/>
      <c r="E2267" s="167"/>
      <c r="F2267" s="167"/>
      <c r="G2267" s="167"/>
      <c r="H2267" s="167"/>
    </row>
    <row r="2268" spans="1:8">
      <c r="A2268" s="167"/>
      <c r="B2268" s="167"/>
      <c r="C2268" s="167"/>
      <c r="D2268" s="167"/>
      <c r="E2268" s="167"/>
      <c r="F2268" s="167"/>
      <c r="G2268" s="167"/>
      <c r="H2268" s="167"/>
    </row>
    <row r="2269" spans="1:8">
      <c r="A2269" s="167"/>
      <c r="B2269" s="167"/>
      <c r="C2269" s="167"/>
      <c r="D2269" s="167"/>
      <c r="E2269" s="167"/>
      <c r="F2269" s="167"/>
      <c r="G2269" s="167"/>
      <c r="H2269" s="167"/>
    </row>
    <row r="2270" spans="1:8">
      <c r="A2270" s="167"/>
      <c r="B2270" s="167"/>
      <c r="C2270" s="167"/>
      <c r="D2270" s="167"/>
      <c r="E2270" s="167"/>
      <c r="F2270" s="167"/>
      <c r="G2270" s="167"/>
      <c r="H2270" s="167"/>
    </row>
    <row r="2271" spans="1:8">
      <c r="A2271" s="167"/>
      <c r="B2271" s="167"/>
      <c r="C2271" s="167"/>
      <c r="D2271" s="167"/>
      <c r="E2271" s="167"/>
      <c r="F2271" s="167"/>
      <c r="G2271" s="167"/>
      <c r="H2271" s="167"/>
    </row>
    <row r="2272" spans="1:8">
      <c r="A2272" s="167"/>
      <c r="B2272" s="167"/>
      <c r="C2272" s="167"/>
      <c r="D2272" s="167"/>
      <c r="E2272" s="167"/>
      <c r="F2272" s="167"/>
      <c r="G2272" s="167"/>
      <c r="H2272" s="167"/>
    </row>
    <row r="2273" spans="1:8">
      <c r="A2273" s="167"/>
      <c r="B2273" s="167"/>
      <c r="C2273" s="167"/>
      <c r="D2273" s="167"/>
      <c r="E2273" s="167"/>
      <c r="F2273" s="167"/>
      <c r="G2273" s="167"/>
      <c r="H2273" s="167"/>
    </row>
    <row r="2274" spans="1:8">
      <c r="A2274" s="167"/>
      <c r="B2274" s="167"/>
      <c r="C2274" s="167"/>
      <c r="D2274" s="167"/>
      <c r="E2274" s="167"/>
      <c r="F2274" s="167"/>
      <c r="G2274" s="167"/>
      <c r="H2274" s="167"/>
    </row>
    <row r="2275" spans="1:8">
      <c r="A2275" s="167"/>
      <c r="B2275" s="167"/>
      <c r="C2275" s="167"/>
      <c r="D2275" s="167"/>
      <c r="E2275" s="167"/>
      <c r="F2275" s="167"/>
      <c r="G2275" s="167"/>
      <c r="H2275" s="167"/>
    </row>
    <row r="2276" spans="1:8">
      <c r="A2276" s="167"/>
      <c r="B2276" s="167"/>
      <c r="C2276" s="167"/>
      <c r="D2276" s="167"/>
      <c r="E2276" s="167"/>
      <c r="F2276" s="167"/>
      <c r="G2276" s="167"/>
      <c r="H2276" s="167"/>
    </row>
    <row r="2277" spans="1:8">
      <c r="A2277" s="167"/>
      <c r="B2277" s="167"/>
      <c r="C2277" s="167"/>
      <c r="D2277" s="167"/>
      <c r="E2277" s="167"/>
      <c r="F2277" s="167"/>
      <c r="G2277" s="167"/>
      <c r="H2277" s="167"/>
    </row>
    <row r="2278" spans="1:8">
      <c r="A2278" s="167"/>
      <c r="B2278" s="167"/>
      <c r="C2278" s="167"/>
      <c r="D2278" s="167"/>
      <c r="E2278" s="167"/>
      <c r="F2278" s="167"/>
      <c r="G2278" s="167"/>
      <c r="H2278" s="167"/>
    </row>
    <row r="2279" spans="1:8">
      <c r="A2279" s="167"/>
      <c r="B2279" s="167"/>
      <c r="C2279" s="167"/>
      <c r="D2279" s="167"/>
      <c r="E2279" s="167"/>
      <c r="F2279" s="167"/>
      <c r="G2279" s="167"/>
      <c r="H2279" s="167"/>
    </row>
    <row r="2280" spans="1:8">
      <c r="A2280" s="167"/>
      <c r="B2280" s="167"/>
      <c r="C2280" s="167"/>
      <c r="D2280" s="167"/>
      <c r="E2280" s="167"/>
      <c r="F2280" s="167"/>
      <c r="G2280" s="167"/>
      <c r="H2280" s="167"/>
    </row>
    <row r="2281" spans="1:8">
      <c r="A2281" s="167"/>
      <c r="B2281" s="167"/>
      <c r="C2281" s="167"/>
      <c r="D2281" s="167"/>
      <c r="E2281" s="167"/>
      <c r="F2281" s="167"/>
      <c r="G2281" s="167"/>
      <c r="H2281" s="167"/>
    </row>
    <row r="2282" spans="1:8">
      <c r="A2282" s="167"/>
      <c r="B2282" s="167"/>
      <c r="C2282" s="167"/>
      <c r="D2282" s="167"/>
      <c r="E2282" s="167"/>
      <c r="F2282" s="167"/>
      <c r="G2282" s="167"/>
      <c r="H2282" s="167"/>
    </row>
    <row r="2283" spans="1:8">
      <c r="A2283" s="167"/>
      <c r="B2283" s="167"/>
      <c r="C2283" s="167"/>
      <c r="D2283" s="167"/>
      <c r="E2283" s="167"/>
      <c r="F2283" s="167"/>
      <c r="G2283" s="167"/>
      <c r="H2283" s="167"/>
    </row>
    <row r="2284" spans="1:8">
      <c r="A2284" s="167"/>
      <c r="B2284" s="167"/>
      <c r="C2284" s="167"/>
      <c r="D2284" s="167"/>
      <c r="E2284" s="167"/>
      <c r="F2284" s="167"/>
      <c r="G2284" s="167"/>
      <c r="H2284" s="167"/>
    </row>
    <row r="2285" spans="1:8">
      <c r="A2285" s="167"/>
      <c r="B2285" s="167"/>
      <c r="C2285" s="167"/>
      <c r="D2285" s="167"/>
      <c r="E2285" s="167"/>
      <c r="F2285" s="167"/>
      <c r="G2285" s="167"/>
      <c r="H2285" s="167"/>
    </row>
    <row r="2286" spans="1:8">
      <c r="A2286" s="167"/>
      <c r="B2286" s="167"/>
      <c r="C2286" s="167"/>
      <c r="D2286" s="167"/>
      <c r="E2286" s="167"/>
      <c r="F2286" s="167"/>
      <c r="G2286" s="167"/>
      <c r="H2286" s="167"/>
    </row>
    <row r="2287" spans="1:8">
      <c r="A2287" s="167"/>
      <c r="B2287" s="167"/>
      <c r="C2287" s="167"/>
      <c r="D2287" s="167"/>
      <c r="E2287" s="167"/>
      <c r="F2287" s="167"/>
      <c r="G2287" s="167"/>
      <c r="H2287" s="167"/>
    </row>
    <row r="2288" spans="1:8">
      <c r="A2288" s="167"/>
      <c r="B2288" s="167"/>
      <c r="C2288" s="167"/>
      <c r="D2288" s="167"/>
      <c r="E2288" s="167"/>
      <c r="F2288" s="167"/>
      <c r="G2288" s="167"/>
      <c r="H2288" s="167"/>
    </row>
    <row r="2289" spans="1:8">
      <c r="A2289" s="167"/>
      <c r="B2289" s="167"/>
      <c r="C2289" s="167"/>
      <c r="D2289" s="167"/>
      <c r="E2289" s="167"/>
      <c r="F2289" s="167"/>
      <c r="G2289" s="167"/>
      <c r="H2289" s="167"/>
    </row>
    <row r="2290" spans="1:8">
      <c r="A2290" s="167"/>
      <c r="B2290" s="167"/>
      <c r="C2290" s="167"/>
      <c r="D2290" s="167"/>
      <c r="E2290" s="167"/>
      <c r="F2290" s="167"/>
      <c r="G2290" s="167"/>
      <c r="H2290" s="167"/>
    </row>
    <row r="2291" spans="1:8">
      <c r="A2291" s="167"/>
      <c r="B2291" s="167"/>
      <c r="C2291" s="167"/>
      <c r="D2291" s="167"/>
      <c r="E2291" s="167"/>
      <c r="F2291" s="167"/>
      <c r="G2291" s="167"/>
      <c r="H2291" s="167"/>
    </row>
    <row r="2292" spans="1:8">
      <c r="A2292" s="167"/>
      <c r="B2292" s="167"/>
      <c r="C2292" s="167"/>
      <c r="D2292" s="167"/>
      <c r="E2292" s="167"/>
      <c r="F2292" s="167"/>
      <c r="G2292" s="167"/>
      <c r="H2292" s="167"/>
    </row>
    <row r="2293" spans="1:8">
      <c r="A2293" s="167"/>
      <c r="B2293" s="167"/>
      <c r="C2293" s="167"/>
      <c r="D2293" s="167"/>
      <c r="E2293" s="167"/>
      <c r="F2293" s="167"/>
      <c r="G2293" s="167"/>
      <c r="H2293" s="167"/>
    </row>
    <row r="2294" spans="1:8">
      <c r="A2294" s="167"/>
      <c r="B2294" s="167"/>
      <c r="C2294" s="167"/>
      <c r="D2294" s="167"/>
      <c r="E2294" s="167"/>
      <c r="F2294" s="167"/>
      <c r="G2294" s="167"/>
      <c r="H2294" s="167"/>
    </row>
    <row r="2295" spans="1:8">
      <c r="A2295" s="167"/>
      <c r="B2295" s="167"/>
      <c r="C2295" s="167"/>
      <c r="D2295" s="167"/>
      <c r="E2295" s="167"/>
      <c r="F2295" s="167"/>
      <c r="G2295" s="167"/>
      <c r="H2295" s="167"/>
    </row>
    <row r="2296" spans="1:8">
      <c r="A2296" s="167"/>
      <c r="B2296" s="167"/>
      <c r="C2296" s="167"/>
      <c r="D2296" s="167"/>
      <c r="E2296" s="167"/>
      <c r="F2296" s="167"/>
      <c r="G2296" s="167"/>
      <c r="H2296" s="167"/>
    </row>
    <row r="2297" spans="1:8">
      <c r="A2297" s="167"/>
      <c r="B2297" s="167"/>
      <c r="C2297" s="167"/>
      <c r="D2297" s="167"/>
      <c r="E2297" s="167"/>
      <c r="F2297" s="167"/>
      <c r="G2297" s="167"/>
      <c r="H2297" s="167"/>
    </row>
    <row r="2298" spans="1:8">
      <c r="A2298" s="167"/>
      <c r="B2298" s="167"/>
      <c r="C2298" s="167"/>
      <c r="D2298" s="167"/>
      <c r="E2298" s="167"/>
      <c r="F2298" s="167"/>
      <c r="G2298" s="167"/>
      <c r="H2298" s="167"/>
    </row>
    <row r="2299" spans="1:8">
      <c r="A2299" s="167"/>
      <c r="B2299" s="167"/>
      <c r="C2299" s="167"/>
      <c r="D2299" s="167"/>
      <c r="E2299" s="167"/>
      <c r="F2299" s="167"/>
      <c r="G2299" s="167"/>
      <c r="H2299" s="167"/>
    </row>
    <row r="2300" spans="1:8">
      <c r="A2300" s="167"/>
      <c r="B2300" s="167"/>
      <c r="C2300" s="167"/>
      <c r="D2300" s="167"/>
      <c r="E2300" s="167"/>
      <c r="F2300" s="167"/>
      <c r="G2300" s="167"/>
      <c r="H2300" s="167"/>
    </row>
    <row r="2301" spans="1:8">
      <c r="A2301" s="167"/>
      <c r="B2301" s="167"/>
      <c r="C2301" s="167"/>
      <c r="D2301" s="167"/>
      <c r="E2301" s="167"/>
      <c r="F2301" s="167"/>
      <c r="G2301" s="167"/>
      <c r="H2301" s="167"/>
    </row>
    <row r="2302" spans="1:8">
      <c r="A2302" s="167"/>
      <c r="B2302" s="167"/>
      <c r="C2302" s="167"/>
      <c r="D2302" s="167"/>
      <c r="E2302" s="167"/>
      <c r="F2302" s="167"/>
      <c r="G2302" s="167"/>
      <c r="H2302" s="167"/>
    </row>
    <row r="2303" spans="1:8">
      <c r="A2303" s="167"/>
      <c r="B2303" s="167"/>
      <c r="C2303" s="167"/>
      <c r="D2303" s="167"/>
      <c r="E2303" s="167"/>
      <c r="F2303" s="167"/>
      <c r="G2303" s="167"/>
      <c r="H2303" s="167"/>
    </row>
    <row r="2304" spans="1:8">
      <c r="A2304" s="167"/>
      <c r="B2304" s="167"/>
      <c r="C2304" s="167"/>
      <c r="D2304" s="167"/>
      <c r="E2304" s="167"/>
      <c r="F2304" s="167"/>
      <c r="G2304" s="167"/>
      <c r="H2304" s="167"/>
    </row>
    <row r="2305" spans="1:8">
      <c r="A2305" s="167"/>
      <c r="B2305" s="167"/>
      <c r="C2305" s="167"/>
      <c r="D2305" s="167"/>
      <c r="E2305" s="167"/>
      <c r="F2305" s="167"/>
      <c r="G2305" s="167"/>
      <c r="H2305" s="167"/>
    </row>
    <row r="2306" spans="1:8">
      <c r="A2306" s="167"/>
      <c r="B2306" s="167"/>
      <c r="C2306" s="167"/>
      <c r="D2306" s="167"/>
      <c r="E2306" s="167"/>
      <c r="F2306" s="167"/>
      <c r="G2306" s="167"/>
      <c r="H2306" s="167"/>
    </row>
    <row r="2307" spans="1:8">
      <c r="A2307" s="167"/>
      <c r="B2307" s="167"/>
      <c r="C2307" s="167"/>
      <c r="D2307" s="167"/>
      <c r="E2307" s="167"/>
      <c r="F2307" s="167"/>
      <c r="G2307" s="167"/>
      <c r="H2307" s="167"/>
    </row>
    <row r="2308" spans="1:8">
      <c r="A2308" s="167"/>
      <c r="B2308" s="167"/>
      <c r="C2308" s="167"/>
      <c r="D2308" s="167"/>
      <c r="E2308" s="167"/>
      <c r="F2308" s="167"/>
      <c r="G2308" s="167"/>
      <c r="H2308" s="167"/>
    </row>
    <row r="2309" spans="1:8">
      <c r="A2309" s="167"/>
      <c r="B2309" s="167"/>
      <c r="C2309" s="167"/>
      <c r="D2309" s="167"/>
      <c r="E2309" s="167"/>
      <c r="F2309" s="167"/>
      <c r="G2309" s="167"/>
      <c r="H2309" s="167"/>
    </row>
    <row r="2310" spans="1:8">
      <c r="A2310" s="167"/>
      <c r="B2310" s="167"/>
      <c r="C2310" s="167"/>
      <c r="D2310" s="167"/>
      <c r="E2310" s="167"/>
      <c r="F2310" s="167"/>
      <c r="G2310" s="167"/>
      <c r="H2310" s="167"/>
    </row>
    <row r="2311" spans="1:8">
      <c r="A2311" s="167"/>
      <c r="B2311" s="167"/>
      <c r="C2311" s="167"/>
      <c r="D2311" s="167"/>
      <c r="E2311" s="167"/>
      <c r="F2311" s="167"/>
      <c r="G2311" s="167"/>
      <c r="H2311" s="167"/>
    </row>
    <row r="2312" spans="1:8">
      <c r="A2312" s="167"/>
      <c r="B2312" s="167"/>
      <c r="C2312" s="167"/>
      <c r="D2312" s="167"/>
      <c r="E2312" s="167"/>
      <c r="F2312" s="167"/>
      <c r="G2312" s="167"/>
      <c r="H2312" s="167"/>
    </row>
    <row r="2313" spans="1:8">
      <c r="A2313" s="167"/>
      <c r="B2313" s="167"/>
      <c r="C2313" s="167"/>
      <c r="D2313" s="167"/>
      <c r="E2313" s="167"/>
      <c r="F2313" s="167"/>
      <c r="G2313" s="167"/>
      <c r="H2313" s="167"/>
    </row>
    <row r="2314" spans="1:8">
      <c r="A2314" s="167"/>
      <c r="B2314" s="167"/>
      <c r="C2314" s="167"/>
      <c r="D2314" s="167"/>
      <c r="E2314" s="167"/>
      <c r="F2314" s="167"/>
      <c r="G2314" s="167"/>
      <c r="H2314" s="167"/>
    </row>
    <row r="2315" spans="1:8">
      <c r="A2315" s="167"/>
      <c r="B2315" s="167"/>
      <c r="C2315" s="167"/>
      <c r="D2315" s="167"/>
      <c r="E2315" s="167"/>
      <c r="F2315" s="167"/>
      <c r="G2315" s="167"/>
      <c r="H2315" s="167"/>
    </row>
    <row r="2316" spans="1:8">
      <c r="A2316" s="167"/>
      <c r="B2316" s="167"/>
      <c r="C2316" s="167"/>
      <c r="D2316" s="167"/>
      <c r="E2316" s="167"/>
      <c r="F2316" s="167"/>
      <c r="G2316" s="167"/>
      <c r="H2316" s="167"/>
    </row>
    <row r="2317" spans="1:8">
      <c r="A2317" s="167"/>
      <c r="B2317" s="167"/>
      <c r="C2317" s="167"/>
      <c r="D2317" s="167"/>
      <c r="E2317" s="167"/>
      <c r="F2317" s="167"/>
      <c r="G2317" s="167"/>
      <c r="H2317" s="167"/>
    </row>
    <row r="2318" spans="1:8">
      <c r="A2318" s="167"/>
      <c r="B2318" s="167"/>
      <c r="C2318" s="167"/>
      <c r="D2318" s="167"/>
      <c r="E2318" s="167"/>
      <c r="F2318" s="167"/>
      <c r="G2318" s="167"/>
      <c r="H2318" s="167"/>
    </row>
    <row r="2319" spans="1:8">
      <c r="A2319" s="167"/>
      <c r="B2319" s="167"/>
      <c r="C2319" s="167"/>
      <c r="D2319" s="167"/>
      <c r="E2319" s="167"/>
      <c r="F2319" s="167"/>
      <c r="G2319" s="167"/>
      <c r="H2319" s="167"/>
    </row>
    <row r="2320" spans="1:8">
      <c r="A2320" s="167"/>
      <c r="B2320" s="167"/>
      <c r="C2320" s="167"/>
      <c r="D2320" s="167"/>
      <c r="E2320" s="167"/>
      <c r="F2320" s="167"/>
      <c r="G2320" s="167"/>
      <c r="H2320" s="167"/>
    </row>
    <row r="2321" spans="1:8">
      <c r="A2321" s="167"/>
      <c r="B2321" s="167"/>
      <c r="C2321" s="167"/>
      <c r="D2321" s="167"/>
      <c r="E2321" s="167"/>
      <c r="F2321" s="167"/>
      <c r="G2321" s="167"/>
      <c r="H2321" s="167"/>
    </row>
    <row r="2322" spans="1:8">
      <c r="A2322" s="167"/>
      <c r="B2322" s="167"/>
      <c r="C2322" s="167"/>
      <c r="D2322" s="167"/>
      <c r="E2322" s="167"/>
      <c r="F2322" s="167"/>
      <c r="G2322" s="167"/>
      <c r="H2322" s="167"/>
    </row>
    <row r="2323" spans="1:8">
      <c r="A2323" s="167"/>
      <c r="B2323" s="167"/>
      <c r="C2323" s="167"/>
      <c r="D2323" s="167"/>
      <c r="E2323" s="167"/>
      <c r="F2323" s="167"/>
      <c r="G2323" s="167"/>
      <c r="H2323" s="167"/>
    </row>
    <row r="2324" spans="1:8">
      <c r="A2324" s="167"/>
      <c r="B2324" s="167"/>
      <c r="C2324" s="167"/>
      <c r="D2324" s="167"/>
      <c r="E2324" s="167"/>
      <c r="F2324" s="167"/>
      <c r="G2324" s="167"/>
      <c r="H2324" s="167"/>
    </row>
    <row r="2325" spans="1:8">
      <c r="A2325" s="167"/>
      <c r="B2325" s="167"/>
      <c r="C2325" s="167"/>
      <c r="D2325" s="167"/>
      <c r="E2325" s="167"/>
      <c r="F2325" s="167"/>
      <c r="G2325" s="167"/>
      <c r="H2325" s="167"/>
    </row>
    <row r="2326" spans="1:8">
      <c r="A2326" s="167"/>
      <c r="B2326" s="167"/>
      <c r="C2326" s="167"/>
      <c r="D2326" s="167"/>
      <c r="E2326" s="167"/>
      <c r="F2326" s="167"/>
      <c r="G2326" s="167"/>
      <c r="H2326" s="167"/>
    </row>
    <row r="2327" spans="1:8">
      <c r="A2327" s="167"/>
      <c r="B2327" s="167"/>
      <c r="C2327" s="167"/>
      <c r="D2327" s="167"/>
      <c r="E2327" s="167"/>
      <c r="F2327" s="167"/>
      <c r="G2327" s="167"/>
      <c r="H2327" s="167"/>
    </row>
    <row r="2328" spans="1:8">
      <c r="A2328" s="167"/>
      <c r="B2328" s="167"/>
      <c r="C2328" s="167"/>
      <c r="D2328" s="167"/>
      <c r="E2328" s="167"/>
      <c r="F2328" s="167"/>
      <c r="G2328" s="167"/>
      <c r="H2328" s="167"/>
    </row>
    <row r="2329" spans="1:8">
      <c r="A2329" s="167"/>
      <c r="B2329" s="167"/>
      <c r="C2329" s="167"/>
      <c r="D2329" s="167"/>
      <c r="E2329" s="167"/>
      <c r="F2329" s="167"/>
      <c r="G2329" s="167"/>
      <c r="H2329" s="167"/>
    </row>
    <row r="2330" spans="1:8">
      <c r="A2330" s="167"/>
      <c r="B2330" s="167"/>
      <c r="C2330" s="167"/>
      <c r="D2330" s="167"/>
      <c r="E2330" s="167"/>
      <c r="F2330" s="167"/>
      <c r="G2330" s="167"/>
      <c r="H2330" s="167"/>
    </row>
    <row r="2331" spans="1:8">
      <c r="A2331" s="167"/>
      <c r="B2331" s="167"/>
      <c r="C2331" s="167"/>
      <c r="D2331" s="167"/>
      <c r="E2331" s="167"/>
      <c r="F2331" s="167"/>
      <c r="G2331" s="167"/>
      <c r="H2331" s="167"/>
    </row>
    <row r="2332" spans="1:8">
      <c r="A2332" s="167"/>
      <c r="B2332" s="167"/>
      <c r="C2332" s="167"/>
      <c r="D2332" s="167"/>
      <c r="E2332" s="167"/>
      <c r="F2332" s="167"/>
      <c r="G2332" s="167"/>
      <c r="H2332" s="167"/>
    </row>
    <row r="2333" spans="1:8">
      <c r="A2333" s="167"/>
      <c r="B2333" s="167"/>
      <c r="C2333" s="167"/>
      <c r="D2333" s="167"/>
      <c r="E2333" s="167"/>
      <c r="F2333" s="167"/>
      <c r="G2333" s="167"/>
      <c r="H2333" s="167"/>
    </row>
    <row r="2334" spans="1:8">
      <c r="A2334" s="167"/>
      <c r="B2334" s="167"/>
      <c r="C2334" s="167"/>
      <c r="D2334" s="167"/>
      <c r="E2334" s="167"/>
      <c r="F2334" s="167"/>
      <c r="G2334" s="167"/>
      <c r="H2334" s="167"/>
    </row>
    <row r="2335" spans="1:8">
      <c r="A2335" s="167"/>
      <c r="B2335" s="167"/>
      <c r="C2335" s="167"/>
      <c r="D2335" s="167"/>
      <c r="E2335" s="167"/>
      <c r="F2335" s="167"/>
      <c r="G2335" s="167"/>
      <c r="H2335" s="167"/>
    </row>
    <row r="2336" spans="1:8">
      <c r="A2336" s="167"/>
      <c r="B2336" s="167"/>
      <c r="C2336" s="167"/>
      <c r="D2336" s="167"/>
      <c r="E2336" s="167"/>
      <c r="F2336" s="167"/>
      <c r="G2336" s="167"/>
      <c r="H2336" s="167"/>
    </row>
    <row r="2337" spans="1:8">
      <c r="A2337" s="167"/>
      <c r="B2337" s="167"/>
      <c r="C2337" s="167"/>
      <c r="D2337" s="167"/>
      <c r="E2337" s="167"/>
      <c r="F2337" s="167"/>
      <c r="G2337" s="167"/>
      <c r="H2337" s="167"/>
    </row>
    <row r="2338" spans="1:8">
      <c r="A2338" s="167"/>
      <c r="B2338" s="167"/>
      <c r="C2338" s="167"/>
      <c r="D2338" s="167"/>
      <c r="E2338" s="167"/>
      <c r="F2338" s="167"/>
      <c r="G2338" s="167"/>
      <c r="H2338" s="167"/>
    </row>
    <row r="2339" spans="1:8">
      <c r="A2339" s="167"/>
      <c r="B2339" s="167"/>
      <c r="C2339" s="167"/>
      <c r="D2339" s="167"/>
      <c r="E2339" s="167"/>
      <c r="F2339" s="167"/>
      <c r="G2339" s="167"/>
      <c r="H2339" s="167"/>
    </row>
    <row r="2340" spans="1:8">
      <c r="A2340" s="167"/>
      <c r="B2340" s="167"/>
      <c r="C2340" s="167"/>
      <c r="D2340" s="167"/>
      <c r="E2340" s="167"/>
      <c r="F2340" s="167"/>
      <c r="G2340" s="167"/>
      <c r="H2340" s="167"/>
    </row>
    <row r="2341" spans="1:8">
      <c r="A2341" s="167"/>
      <c r="B2341" s="167"/>
      <c r="C2341" s="167"/>
      <c r="D2341" s="167"/>
      <c r="E2341" s="167"/>
      <c r="F2341" s="167"/>
      <c r="G2341" s="167"/>
      <c r="H2341" s="167"/>
    </row>
    <row r="2342" spans="1:8">
      <c r="A2342" s="167"/>
      <c r="B2342" s="167"/>
      <c r="C2342" s="167"/>
      <c r="D2342" s="167"/>
      <c r="E2342" s="167"/>
      <c r="F2342" s="167"/>
      <c r="G2342" s="167"/>
      <c r="H2342" s="167"/>
    </row>
    <row r="2343" spans="1:8">
      <c r="A2343" s="167"/>
      <c r="B2343" s="167"/>
      <c r="C2343" s="167"/>
      <c r="D2343" s="167"/>
      <c r="E2343" s="167"/>
      <c r="F2343" s="167"/>
      <c r="G2343" s="167"/>
      <c r="H2343" s="167"/>
    </row>
    <row r="2344" spans="1:8">
      <c r="A2344" s="167"/>
      <c r="B2344" s="167"/>
      <c r="C2344" s="167"/>
      <c r="D2344" s="167"/>
      <c r="E2344" s="167"/>
      <c r="F2344" s="167"/>
      <c r="G2344" s="167"/>
      <c r="H2344" s="167"/>
    </row>
    <row r="2345" spans="1:8">
      <c r="A2345" s="167"/>
      <c r="B2345" s="167"/>
      <c r="C2345" s="167"/>
      <c r="D2345" s="167"/>
      <c r="E2345" s="167"/>
      <c r="F2345" s="167"/>
      <c r="G2345" s="167"/>
      <c r="H2345" s="167"/>
    </row>
    <row r="2346" spans="1:8">
      <c r="A2346" s="167"/>
      <c r="B2346" s="167"/>
      <c r="C2346" s="167"/>
      <c r="D2346" s="167"/>
      <c r="E2346" s="167"/>
      <c r="F2346" s="167"/>
      <c r="G2346" s="167"/>
      <c r="H2346" s="167"/>
    </row>
    <row r="2347" spans="1:8">
      <c r="A2347" s="167"/>
      <c r="B2347" s="167"/>
      <c r="C2347" s="167"/>
      <c r="D2347" s="167"/>
      <c r="E2347" s="167"/>
      <c r="F2347" s="167"/>
      <c r="G2347" s="167"/>
      <c r="H2347" s="167"/>
    </row>
    <row r="2348" spans="1:8">
      <c r="A2348" s="167"/>
      <c r="B2348" s="167"/>
      <c r="C2348" s="167"/>
      <c r="D2348" s="167"/>
      <c r="E2348" s="167"/>
      <c r="F2348" s="167"/>
      <c r="G2348" s="167"/>
      <c r="H2348" s="167"/>
    </row>
    <row r="2349" spans="1:8">
      <c r="A2349" s="167"/>
      <c r="B2349" s="167"/>
      <c r="C2349" s="167"/>
      <c r="D2349" s="167"/>
      <c r="E2349" s="167"/>
      <c r="F2349" s="167"/>
      <c r="G2349" s="167"/>
      <c r="H2349" s="167"/>
    </row>
    <row r="2350" spans="1:8">
      <c r="A2350" s="167"/>
      <c r="B2350" s="167"/>
      <c r="C2350" s="167"/>
      <c r="D2350" s="167"/>
      <c r="E2350" s="167"/>
      <c r="F2350" s="167"/>
      <c r="G2350" s="167"/>
      <c r="H2350" s="167"/>
    </row>
    <row r="2351" spans="1:8">
      <c r="A2351" s="167"/>
      <c r="B2351" s="167"/>
      <c r="C2351" s="167"/>
      <c r="D2351" s="167"/>
      <c r="E2351" s="167"/>
      <c r="F2351" s="167"/>
      <c r="G2351" s="167"/>
      <c r="H2351" s="167"/>
    </row>
    <row r="2352" spans="1:8">
      <c r="A2352" s="167"/>
      <c r="B2352" s="167"/>
      <c r="C2352" s="167"/>
      <c r="D2352" s="167"/>
      <c r="E2352" s="167"/>
      <c r="F2352" s="167"/>
      <c r="G2352" s="167"/>
      <c r="H2352" s="167"/>
    </row>
    <row r="2353" spans="1:8">
      <c r="A2353" s="167"/>
      <c r="B2353" s="167"/>
      <c r="C2353" s="167"/>
      <c r="D2353" s="167"/>
      <c r="E2353" s="167"/>
      <c r="F2353" s="167"/>
      <c r="G2353" s="167"/>
      <c r="H2353" s="167"/>
    </row>
    <row r="2354" spans="1:8">
      <c r="A2354" s="167"/>
      <c r="B2354" s="167"/>
      <c r="C2354" s="167"/>
      <c r="D2354" s="167"/>
      <c r="E2354" s="167"/>
      <c r="F2354" s="167"/>
      <c r="G2354" s="167"/>
      <c r="H2354" s="167"/>
    </row>
    <row r="2355" spans="1:8">
      <c r="A2355" s="167"/>
      <c r="B2355" s="167"/>
      <c r="C2355" s="167"/>
      <c r="D2355" s="167"/>
      <c r="E2355" s="167"/>
      <c r="F2355" s="167"/>
      <c r="G2355" s="167"/>
      <c r="H2355" s="167"/>
    </row>
    <row r="2356" spans="1:8">
      <c r="A2356" s="167"/>
      <c r="B2356" s="167"/>
      <c r="C2356" s="167"/>
      <c r="D2356" s="167"/>
      <c r="E2356" s="167"/>
      <c r="F2356" s="167"/>
      <c r="G2356" s="167"/>
      <c r="H2356" s="167"/>
    </row>
    <row r="2357" spans="1:8">
      <c r="A2357" s="167"/>
      <c r="B2357" s="167"/>
      <c r="C2357" s="167"/>
      <c r="D2357" s="167"/>
      <c r="E2357" s="167"/>
      <c r="F2357" s="167"/>
      <c r="G2357" s="167"/>
      <c r="H2357" s="167"/>
    </row>
    <row r="2358" spans="1:8">
      <c r="A2358" s="167"/>
      <c r="B2358" s="167"/>
      <c r="C2358" s="167"/>
      <c r="D2358" s="167"/>
      <c r="E2358" s="167"/>
      <c r="F2358" s="167"/>
      <c r="G2358" s="167"/>
      <c r="H2358" s="167"/>
    </row>
    <row r="2359" spans="1:8">
      <c r="A2359" s="167"/>
      <c r="B2359" s="167"/>
      <c r="C2359" s="167"/>
      <c r="D2359" s="167"/>
      <c r="E2359" s="167"/>
      <c r="F2359" s="167"/>
      <c r="G2359" s="167"/>
      <c r="H2359" s="167"/>
    </row>
    <row r="2360" spans="1:8">
      <c r="A2360" s="167"/>
      <c r="B2360" s="167"/>
      <c r="C2360" s="167"/>
      <c r="D2360" s="167"/>
      <c r="E2360" s="167"/>
      <c r="F2360" s="167"/>
      <c r="G2360" s="167"/>
      <c r="H2360" s="167"/>
    </row>
    <row r="2361" spans="1:8">
      <c r="A2361" s="167"/>
      <c r="B2361" s="167"/>
      <c r="C2361" s="167"/>
      <c r="D2361" s="167"/>
      <c r="E2361" s="167"/>
      <c r="F2361" s="167"/>
      <c r="G2361" s="167"/>
      <c r="H2361" s="167"/>
    </row>
    <row r="2362" spans="1:8">
      <c r="A2362" s="167"/>
      <c r="B2362" s="167"/>
      <c r="C2362" s="167"/>
      <c r="D2362" s="167"/>
      <c r="E2362" s="167"/>
      <c r="F2362" s="167"/>
      <c r="G2362" s="167"/>
      <c r="H2362" s="167"/>
    </row>
    <row r="2363" spans="1:8">
      <c r="A2363" s="167"/>
      <c r="B2363" s="167"/>
      <c r="C2363" s="167"/>
      <c r="D2363" s="167"/>
      <c r="E2363" s="167"/>
      <c r="F2363" s="167"/>
      <c r="G2363" s="167"/>
      <c r="H2363" s="167"/>
    </row>
    <row r="2364" spans="1:8">
      <c r="A2364" s="167"/>
      <c r="B2364" s="167"/>
      <c r="C2364" s="167"/>
      <c r="D2364" s="167"/>
      <c r="E2364" s="167"/>
      <c r="F2364" s="167"/>
      <c r="G2364" s="167"/>
      <c r="H2364" s="167"/>
    </row>
    <row r="2365" spans="1:8">
      <c r="A2365" s="167"/>
      <c r="B2365" s="167"/>
      <c r="C2365" s="167"/>
      <c r="D2365" s="167"/>
      <c r="E2365" s="167"/>
      <c r="F2365" s="167"/>
      <c r="G2365" s="167"/>
      <c r="H2365" s="167"/>
    </row>
    <row r="2366" spans="1:8">
      <c r="A2366" s="167"/>
      <c r="B2366" s="167"/>
      <c r="C2366" s="167"/>
      <c r="D2366" s="167"/>
      <c r="E2366" s="167"/>
      <c r="F2366" s="167"/>
      <c r="G2366" s="167"/>
      <c r="H2366" s="167"/>
    </row>
    <row r="2367" spans="1:8">
      <c r="A2367" s="167"/>
      <c r="B2367" s="167"/>
      <c r="C2367" s="167"/>
      <c r="D2367" s="167"/>
      <c r="E2367" s="167"/>
      <c r="F2367" s="167"/>
      <c r="G2367" s="167"/>
      <c r="H2367" s="167"/>
    </row>
    <row r="2368" spans="1:8">
      <c r="A2368" s="167"/>
      <c r="B2368" s="167"/>
      <c r="C2368" s="167"/>
      <c r="D2368" s="167"/>
      <c r="E2368" s="167"/>
      <c r="F2368" s="167"/>
      <c r="G2368" s="167"/>
      <c r="H2368" s="167"/>
    </row>
    <row r="2369" spans="1:8">
      <c r="A2369" s="167"/>
      <c r="B2369" s="167"/>
      <c r="C2369" s="167"/>
      <c r="D2369" s="167"/>
      <c r="E2369" s="167"/>
      <c r="F2369" s="167"/>
      <c r="G2369" s="167"/>
      <c r="H2369" s="167"/>
    </row>
    <row r="2370" spans="1:8">
      <c r="A2370" s="167"/>
      <c r="B2370" s="167"/>
      <c r="C2370" s="167"/>
      <c r="D2370" s="167"/>
      <c r="E2370" s="167"/>
      <c r="F2370" s="167"/>
      <c r="G2370" s="167"/>
      <c r="H2370" s="167"/>
    </row>
    <row r="2371" spans="1:8">
      <c r="A2371" s="167"/>
      <c r="B2371" s="167"/>
      <c r="C2371" s="167"/>
      <c r="D2371" s="167"/>
      <c r="E2371" s="167"/>
      <c r="F2371" s="167"/>
      <c r="G2371" s="167"/>
      <c r="H2371" s="167"/>
    </row>
    <row r="2372" spans="1:8">
      <c r="A2372" s="167"/>
      <c r="B2372" s="167"/>
      <c r="C2372" s="167"/>
      <c r="D2372" s="167"/>
      <c r="E2372" s="167"/>
      <c r="F2372" s="167"/>
      <c r="G2372" s="167"/>
      <c r="H2372" s="167"/>
    </row>
    <row r="2373" spans="1:8">
      <c r="A2373" s="167"/>
      <c r="B2373" s="167"/>
      <c r="C2373" s="167"/>
      <c r="D2373" s="167"/>
      <c r="E2373" s="167"/>
      <c r="F2373" s="167"/>
      <c r="G2373" s="167"/>
      <c r="H2373" s="167"/>
    </row>
    <row r="2374" spans="1:8">
      <c r="A2374" s="167"/>
      <c r="B2374" s="167"/>
      <c r="C2374" s="167"/>
      <c r="D2374" s="167"/>
      <c r="E2374" s="167"/>
      <c r="F2374" s="167"/>
      <c r="G2374" s="167"/>
      <c r="H2374" s="167"/>
    </row>
    <row r="2375" spans="1:8">
      <c r="A2375" s="167"/>
      <c r="B2375" s="167"/>
      <c r="C2375" s="167"/>
      <c r="D2375" s="167"/>
      <c r="E2375" s="167"/>
      <c r="F2375" s="167"/>
      <c r="G2375" s="167"/>
      <c r="H2375" s="167"/>
    </row>
    <row r="2376" spans="1:8">
      <c r="A2376" s="167"/>
      <c r="B2376" s="167"/>
      <c r="C2376" s="167"/>
      <c r="D2376" s="167"/>
      <c r="E2376" s="167"/>
      <c r="F2376" s="167"/>
      <c r="G2376" s="167"/>
      <c r="H2376" s="167"/>
    </row>
    <row r="2377" spans="1:8">
      <c r="A2377" s="167"/>
      <c r="B2377" s="167"/>
      <c r="C2377" s="167"/>
      <c r="D2377" s="167"/>
      <c r="E2377" s="167"/>
      <c r="F2377" s="167"/>
      <c r="G2377" s="167"/>
      <c r="H2377" s="167"/>
    </row>
    <row r="2378" spans="1:8">
      <c r="A2378" s="167"/>
      <c r="B2378" s="167"/>
      <c r="C2378" s="167"/>
      <c r="D2378" s="167"/>
      <c r="E2378" s="167"/>
      <c r="F2378" s="167"/>
      <c r="G2378" s="167"/>
      <c r="H2378" s="167"/>
    </row>
    <row r="2379" spans="1:8">
      <c r="A2379" s="167"/>
      <c r="B2379" s="167"/>
      <c r="C2379" s="167"/>
      <c r="D2379" s="167"/>
      <c r="E2379" s="167"/>
      <c r="F2379" s="167"/>
      <c r="G2379" s="167"/>
      <c r="H2379" s="167"/>
    </row>
    <row r="2380" spans="1:8">
      <c r="A2380" s="167"/>
      <c r="B2380" s="167"/>
      <c r="C2380" s="167"/>
      <c r="D2380" s="167"/>
      <c r="E2380" s="167"/>
      <c r="F2380" s="167"/>
      <c r="G2380" s="167"/>
      <c r="H2380" s="167"/>
    </row>
    <row r="2381" spans="1:8">
      <c r="A2381" s="167"/>
      <c r="B2381" s="167"/>
      <c r="C2381" s="167"/>
      <c r="D2381" s="167"/>
      <c r="E2381" s="167"/>
      <c r="F2381" s="167"/>
      <c r="G2381" s="167"/>
      <c r="H2381" s="167"/>
    </row>
    <row r="2382" spans="1:8">
      <c r="A2382" s="167"/>
      <c r="B2382" s="167"/>
      <c r="C2382" s="167"/>
      <c r="D2382" s="167"/>
      <c r="E2382" s="167"/>
      <c r="F2382" s="167"/>
      <c r="G2382" s="167"/>
      <c r="H2382" s="167"/>
    </row>
    <row r="2383" spans="1:8">
      <c r="A2383" s="167"/>
      <c r="B2383" s="167"/>
      <c r="C2383" s="167"/>
      <c r="D2383" s="167"/>
      <c r="E2383" s="167"/>
      <c r="F2383" s="167"/>
      <c r="G2383" s="167"/>
      <c r="H2383" s="167"/>
    </row>
    <row r="2384" spans="1:8">
      <c r="A2384" s="167"/>
      <c r="B2384" s="167"/>
      <c r="C2384" s="167"/>
      <c r="D2384" s="167"/>
      <c r="E2384" s="167"/>
      <c r="F2384" s="167"/>
      <c r="G2384" s="167"/>
      <c r="H2384" s="167"/>
    </row>
    <row r="2385" spans="1:8">
      <c r="A2385" s="167"/>
      <c r="B2385" s="167"/>
      <c r="C2385" s="167"/>
      <c r="D2385" s="167"/>
      <c r="E2385" s="167"/>
      <c r="F2385" s="167"/>
      <c r="G2385" s="167"/>
      <c r="H2385" s="167"/>
    </row>
    <row r="2386" spans="1:8">
      <c r="A2386" s="167"/>
      <c r="B2386" s="167"/>
      <c r="C2386" s="167"/>
      <c r="D2386" s="167"/>
      <c r="E2386" s="167"/>
      <c r="F2386" s="167"/>
      <c r="G2386" s="167"/>
      <c r="H2386" s="167"/>
    </row>
    <row r="2387" spans="1:8">
      <c r="A2387" s="167"/>
      <c r="B2387" s="167"/>
      <c r="C2387" s="167"/>
      <c r="D2387" s="167"/>
      <c r="E2387" s="167"/>
      <c r="F2387" s="167"/>
      <c r="G2387" s="167"/>
      <c r="H2387" s="167"/>
    </row>
    <row r="2388" spans="1:8">
      <c r="A2388" s="167"/>
      <c r="B2388" s="167"/>
      <c r="C2388" s="167"/>
      <c r="D2388" s="167"/>
      <c r="E2388" s="167"/>
      <c r="F2388" s="167"/>
      <c r="G2388" s="167"/>
      <c r="H2388" s="167"/>
    </row>
    <row r="2389" spans="1:8">
      <c r="A2389" s="167"/>
      <c r="B2389" s="167"/>
      <c r="C2389" s="167"/>
      <c r="D2389" s="167"/>
      <c r="E2389" s="167"/>
      <c r="F2389" s="167"/>
      <c r="G2389" s="167"/>
      <c r="H2389" s="167"/>
    </row>
    <row r="2390" spans="1:8">
      <c r="A2390" s="167"/>
      <c r="B2390" s="167"/>
      <c r="C2390" s="167"/>
      <c r="D2390" s="167"/>
      <c r="E2390" s="167"/>
      <c r="F2390" s="167"/>
      <c r="G2390" s="167"/>
      <c r="H2390" s="167"/>
    </row>
    <row r="2391" spans="1:8">
      <c r="A2391" s="167"/>
      <c r="B2391" s="167"/>
      <c r="C2391" s="167"/>
      <c r="D2391" s="167"/>
      <c r="E2391" s="167"/>
      <c r="F2391" s="167"/>
      <c r="G2391" s="167"/>
      <c r="H2391" s="167"/>
    </row>
    <row r="2392" spans="1:8">
      <c r="A2392" s="167"/>
      <c r="B2392" s="167"/>
      <c r="C2392" s="167"/>
      <c r="D2392" s="167"/>
      <c r="E2392" s="167"/>
      <c r="F2392" s="167"/>
      <c r="G2392" s="167"/>
      <c r="H2392" s="167"/>
    </row>
    <row r="2393" spans="1:8">
      <c r="A2393" s="167"/>
      <c r="B2393" s="167"/>
      <c r="C2393" s="167"/>
      <c r="D2393" s="167"/>
      <c r="E2393" s="167"/>
      <c r="F2393" s="167"/>
      <c r="G2393" s="167"/>
      <c r="H2393" s="167"/>
    </row>
    <row r="2394" spans="1:8">
      <c r="A2394" s="167"/>
      <c r="B2394" s="167"/>
      <c r="C2394" s="167"/>
      <c r="D2394" s="167"/>
      <c r="E2394" s="167"/>
      <c r="F2394" s="167"/>
      <c r="G2394" s="167"/>
      <c r="H2394" s="167"/>
    </row>
    <row r="2395" spans="1:8">
      <c r="A2395" s="167"/>
      <c r="B2395" s="167"/>
      <c r="C2395" s="167"/>
      <c r="D2395" s="167"/>
      <c r="E2395" s="167"/>
      <c r="F2395" s="167"/>
      <c r="G2395" s="167"/>
      <c r="H2395" s="167"/>
    </row>
    <row r="2396" spans="1:8">
      <c r="A2396" s="167"/>
      <c r="B2396" s="167"/>
      <c r="C2396" s="167"/>
      <c r="D2396" s="167"/>
      <c r="E2396" s="167"/>
      <c r="F2396" s="167"/>
      <c r="G2396" s="167"/>
      <c r="H2396" s="167"/>
    </row>
    <row r="2397" spans="1:8">
      <c r="A2397" s="167"/>
      <c r="B2397" s="167"/>
      <c r="C2397" s="167"/>
      <c r="D2397" s="167"/>
      <c r="E2397" s="167"/>
      <c r="F2397" s="167"/>
      <c r="G2397" s="167"/>
      <c r="H2397" s="167"/>
    </row>
    <row r="2398" spans="1:8">
      <c r="A2398" s="167"/>
      <c r="B2398" s="167"/>
      <c r="C2398" s="167"/>
      <c r="D2398" s="167"/>
      <c r="E2398" s="167"/>
      <c r="F2398" s="167"/>
      <c r="G2398" s="167"/>
      <c r="H2398" s="167"/>
    </row>
    <row r="2399" spans="1:8">
      <c r="A2399" s="167"/>
      <c r="B2399" s="167"/>
      <c r="C2399" s="167"/>
      <c r="D2399" s="167"/>
      <c r="E2399" s="167"/>
      <c r="F2399" s="167"/>
      <c r="G2399" s="167"/>
      <c r="H2399" s="167"/>
    </row>
    <row r="2400" spans="1:8">
      <c r="A2400" s="167"/>
      <c r="B2400" s="167"/>
      <c r="C2400" s="167"/>
      <c r="D2400" s="167"/>
      <c r="E2400" s="167"/>
      <c r="F2400" s="167"/>
      <c r="G2400" s="167"/>
      <c r="H2400" s="167"/>
    </row>
    <row r="2401" spans="1:8">
      <c r="A2401" s="167"/>
      <c r="B2401" s="167"/>
      <c r="C2401" s="167"/>
      <c r="D2401" s="167"/>
      <c r="E2401" s="167"/>
      <c r="F2401" s="167"/>
      <c r="G2401" s="167"/>
      <c r="H2401" s="167"/>
    </row>
    <row r="2402" spans="1:8">
      <c r="A2402" s="167"/>
      <c r="B2402" s="167"/>
      <c r="C2402" s="167"/>
      <c r="D2402" s="167"/>
      <c r="E2402" s="167"/>
      <c r="F2402" s="167"/>
      <c r="G2402" s="167"/>
      <c r="H2402" s="167"/>
    </row>
    <row r="2403" spans="1:8">
      <c r="A2403" s="167"/>
      <c r="B2403" s="167"/>
      <c r="C2403" s="167"/>
      <c r="D2403" s="167"/>
      <c r="E2403" s="167"/>
      <c r="F2403" s="167"/>
      <c r="G2403" s="167"/>
      <c r="H2403" s="167"/>
    </row>
    <row r="2404" spans="1:8">
      <c r="A2404" s="167"/>
      <c r="B2404" s="167"/>
      <c r="C2404" s="167"/>
      <c r="D2404" s="167"/>
      <c r="E2404" s="167"/>
      <c r="F2404" s="167"/>
      <c r="G2404" s="167"/>
      <c r="H2404" s="167"/>
    </row>
    <row r="2405" spans="1:8">
      <c r="A2405" s="167"/>
      <c r="B2405" s="167"/>
      <c r="C2405" s="167"/>
      <c r="D2405" s="167"/>
      <c r="E2405" s="167"/>
      <c r="F2405" s="167"/>
      <c r="G2405" s="167"/>
      <c r="H2405" s="167"/>
    </row>
    <row r="2406" spans="1:8">
      <c r="A2406" s="167"/>
      <c r="B2406" s="167"/>
      <c r="C2406" s="167"/>
      <c r="D2406" s="167"/>
      <c r="E2406" s="167"/>
      <c r="F2406" s="167"/>
      <c r="G2406" s="167"/>
      <c r="H2406" s="167"/>
    </row>
    <row r="2407" spans="1:8">
      <c r="A2407" s="167"/>
      <c r="B2407" s="167"/>
      <c r="C2407" s="167"/>
      <c r="D2407" s="167"/>
      <c r="E2407" s="167"/>
      <c r="F2407" s="167"/>
      <c r="G2407" s="167"/>
      <c r="H2407" s="167"/>
    </row>
    <row r="2408" spans="1:8">
      <c r="A2408" s="167"/>
      <c r="B2408" s="167"/>
      <c r="C2408" s="167"/>
      <c r="D2408" s="167"/>
      <c r="E2408" s="167"/>
      <c r="F2408" s="167"/>
      <c r="G2408" s="167"/>
      <c r="H2408" s="167"/>
    </row>
    <row r="2409" spans="1:8">
      <c r="A2409" s="167"/>
      <c r="B2409" s="167"/>
      <c r="C2409" s="167"/>
      <c r="D2409" s="167"/>
      <c r="E2409" s="167"/>
      <c r="F2409" s="167"/>
      <c r="G2409" s="167"/>
      <c r="H2409" s="167"/>
    </row>
    <row r="2410" spans="1:8">
      <c r="A2410" s="167"/>
      <c r="B2410" s="167"/>
      <c r="C2410" s="167"/>
      <c r="D2410" s="167"/>
      <c r="E2410" s="167"/>
      <c r="F2410" s="167"/>
      <c r="G2410" s="167"/>
      <c r="H2410" s="167"/>
    </row>
    <row r="2411" spans="1:8">
      <c r="A2411" s="167"/>
      <c r="B2411" s="167"/>
      <c r="C2411" s="167"/>
      <c r="D2411" s="167"/>
      <c r="E2411" s="167"/>
      <c r="F2411" s="167"/>
      <c r="G2411" s="167"/>
      <c r="H2411" s="167"/>
    </row>
    <row r="2412" spans="1:8">
      <c r="A2412" s="167"/>
      <c r="B2412" s="167"/>
      <c r="C2412" s="167"/>
      <c r="D2412" s="167"/>
      <c r="E2412" s="167"/>
      <c r="F2412" s="167"/>
      <c r="G2412" s="167"/>
      <c r="H2412" s="167"/>
    </row>
    <row r="2413" spans="1:8">
      <c r="A2413" s="167"/>
      <c r="B2413" s="167"/>
      <c r="C2413" s="167"/>
      <c r="D2413" s="167"/>
      <c r="E2413" s="167"/>
      <c r="F2413" s="167"/>
      <c r="G2413" s="167"/>
      <c r="H2413" s="167"/>
    </row>
    <row r="2414" spans="1:8">
      <c r="A2414" s="167"/>
      <c r="B2414" s="167"/>
      <c r="C2414" s="167"/>
      <c r="D2414" s="167"/>
      <c r="E2414" s="167"/>
      <c r="F2414" s="167"/>
      <c r="G2414" s="167"/>
      <c r="H2414" s="167"/>
    </row>
    <row r="2415" spans="1:8">
      <c r="A2415" s="167"/>
      <c r="B2415" s="167"/>
      <c r="C2415" s="167"/>
      <c r="D2415" s="167"/>
      <c r="E2415" s="167"/>
      <c r="F2415" s="167"/>
      <c r="G2415" s="167"/>
      <c r="H2415" s="167"/>
    </row>
    <row r="2416" spans="1:8">
      <c r="A2416" s="167"/>
      <c r="B2416" s="167"/>
      <c r="C2416" s="167"/>
      <c r="D2416" s="167"/>
      <c r="E2416" s="167"/>
      <c r="F2416" s="167"/>
      <c r="G2416" s="167"/>
      <c r="H2416" s="167"/>
    </row>
    <row r="2417" spans="1:8">
      <c r="A2417" s="167"/>
      <c r="B2417" s="167"/>
      <c r="C2417" s="167"/>
      <c r="D2417" s="167"/>
      <c r="E2417" s="167"/>
      <c r="F2417" s="167"/>
      <c r="G2417" s="167"/>
      <c r="H2417" s="167"/>
    </row>
    <row r="2418" spans="1:8">
      <c r="A2418" s="167"/>
      <c r="B2418" s="167"/>
      <c r="C2418" s="167"/>
      <c r="D2418" s="167"/>
      <c r="E2418" s="167"/>
      <c r="F2418" s="167"/>
      <c r="G2418" s="167"/>
      <c r="H2418" s="167"/>
    </row>
    <row r="2419" spans="1:8">
      <c r="A2419" s="167"/>
      <c r="B2419" s="167"/>
      <c r="C2419" s="167"/>
      <c r="D2419" s="167"/>
      <c r="E2419" s="167"/>
      <c r="F2419" s="167"/>
      <c r="G2419" s="167"/>
      <c r="H2419" s="167"/>
    </row>
    <row r="2420" spans="1:8">
      <c r="A2420" s="167"/>
      <c r="B2420" s="167"/>
      <c r="C2420" s="167"/>
      <c r="D2420" s="167"/>
      <c r="E2420" s="167"/>
      <c r="F2420" s="167"/>
      <c r="G2420" s="167"/>
      <c r="H2420" s="167"/>
    </row>
    <row r="2421" spans="1:8">
      <c r="A2421" s="167"/>
      <c r="B2421" s="167"/>
      <c r="C2421" s="167"/>
      <c r="D2421" s="167"/>
      <c r="E2421" s="167"/>
      <c r="F2421" s="167"/>
      <c r="G2421" s="167"/>
      <c r="H2421" s="167"/>
    </row>
    <row r="2422" spans="1:8">
      <c r="A2422" s="167"/>
      <c r="B2422" s="167"/>
      <c r="C2422" s="167"/>
      <c r="D2422" s="167"/>
      <c r="E2422" s="167"/>
      <c r="F2422" s="167"/>
      <c r="G2422" s="167"/>
      <c r="H2422" s="167"/>
    </row>
    <row r="2423" spans="1:8">
      <c r="A2423" s="167"/>
      <c r="B2423" s="167"/>
      <c r="C2423" s="167"/>
      <c r="D2423" s="167"/>
      <c r="E2423" s="167"/>
      <c r="F2423" s="167"/>
      <c r="G2423" s="167"/>
      <c r="H2423" s="167"/>
    </row>
    <row r="2424" spans="1:8">
      <c r="A2424" s="167"/>
      <c r="B2424" s="167"/>
      <c r="C2424" s="167"/>
      <c r="D2424" s="167"/>
      <c r="E2424" s="167"/>
      <c r="F2424" s="167"/>
      <c r="G2424" s="167"/>
      <c r="H2424" s="167"/>
    </row>
    <row r="2425" spans="1:8">
      <c r="A2425" s="167"/>
      <c r="B2425" s="167"/>
      <c r="C2425" s="167"/>
      <c r="D2425" s="167"/>
      <c r="E2425" s="167"/>
      <c r="F2425" s="167"/>
      <c r="G2425" s="167"/>
      <c r="H2425" s="167"/>
    </row>
    <row r="2426" spans="1:8">
      <c r="A2426" s="167"/>
      <c r="B2426" s="167"/>
      <c r="C2426" s="167"/>
      <c r="D2426" s="167"/>
      <c r="E2426" s="167"/>
      <c r="F2426" s="167"/>
      <c r="G2426" s="167"/>
      <c r="H2426" s="167"/>
    </row>
    <row r="2427" spans="1:8">
      <c r="A2427" s="167"/>
      <c r="B2427" s="167"/>
      <c r="C2427" s="167"/>
      <c r="D2427" s="167"/>
      <c r="E2427" s="167"/>
      <c r="F2427" s="167"/>
      <c r="G2427" s="167"/>
      <c r="H2427" s="167"/>
    </row>
    <row r="2428" spans="1:8">
      <c r="A2428" s="167"/>
      <c r="B2428" s="167"/>
      <c r="C2428" s="167"/>
      <c r="D2428" s="167"/>
      <c r="E2428" s="167"/>
      <c r="F2428" s="167"/>
      <c r="G2428" s="167"/>
      <c r="H2428" s="167"/>
    </row>
    <row r="2429" spans="1:8">
      <c r="A2429" s="167"/>
      <c r="B2429" s="167"/>
      <c r="C2429" s="167"/>
      <c r="D2429" s="167"/>
      <c r="E2429" s="167"/>
      <c r="F2429" s="167"/>
      <c r="G2429" s="167"/>
      <c r="H2429" s="167"/>
    </row>
    <row r="2430" spans="1:8">
      <c r="A2430" s="167"/>
      <c r="B2430" s="167"/>
      <c r="C2430" s="167"/>
      <c r="D2430" s="167"/>
      <c r="E2430" s="167"/>
      <c r="F2430" s="167"/>
      <c r="G2430" s="167"/>
      <c r="H2430" s="167"/>
    </row>
    <row r="2431" spans="1:8">
      <c r="A2431" s="167"/>
      <c r="B2431" s="167"/>
      <c r="C2431" s="167"/>
      <c r="D2431" s="167"/>
      <c r="E2431" s="167"/>
      <c r="F2431" s="167"/>
      <c r="G2431" s="167"/>
      <c r="H2431" s="167"/>
    </row>
    <row r="2432" spans="1:8">
      <c r="A2432" s="167"/>
      <c r="B2432" s="167"/>
      <c r="C2432" s="167"/>
      <c r="D2432" s="167"/>
      <c r="E2432" s="167"/>
      <c r="F2432" s="167"/>
      <c r="G2432" s="167"/>
      <c r="H2432" s="167"/>
    </row>
    <row r="2433" spans="1:8">
      <c r="A2433" s="167"/>
      <c r="B2433" s="167"/>
      <c r="C2433" s="167"/>
      <c r="D2433" s="167"/>
      <c r="E2433" s="167"/>
      <c r="F2433" s="167"/>
      <c r="G2433" s="167"/>
      <c r="H2433" s="167"/>
    </row>
    <row r="2434" spans="1:8">
      <c r="A2434" s="167"/>
      <c r="B2434" s="167"/>
      <c r="C2434" s="167"/>
      <c r="D2434" s="167"/>
      <c r="E2434" s="167"/>
      <c r="F2434" s="167"/>
      <c r="G2434" s="167"/>
      <c r="H2434" s="167"/>
    </row>
    <row r="2435" spans="1:8">
      <c r="A2435" s="167"/>
      <c r="B2435" s="167"/>
      <c r="C2435" s="167"/>
      <c r="D2435" s="167"/>
      <c r="E2435" s="167"/>
      <c r="F2435" s="167"/>
      <c r="G2435" s="167"/>
      <c r="H2435" s="167"/>
    </row>
    <row r="2436" spans="1:8">
      <c r="A2436" s="167"/>
      <c r="B2436" s="167"/>
      <c r="C2436" s="167"/>
      <c r="D2436" s="167"/>
      <c r="E2436" s="167"/>
      <c r="F2436" s="167"/>
      <c r="G2436" s="167"/>
      <c r="H2436" s="167"/>
    </row>
    <row r="2437" spans="1:8">
      <c r="A2437" s="167"/>
      <c r="B2437" s="167"/>
      <c r="C2437" s="167"/>
      <c r="D2437" s="167"/>
      <c r="E2437" s="167"/>
      <c r="F2437" s="167"/>
      <c r="G2437" s="167"/>
      <c r="H2437" s="167"/>
    </row>
    <row r="2438" spans="1:8">
      <c r="A2438" s="167"/>
      <c r="B2438" s="167"/>
      <c r="C2438" s="167"/>
      <c r="D2438" s="167"/>
      <c r="E2438" s="167"/>
      <c r="F2438" s="167"/>
      <c r="G2438" s="167"/>
      <c r="H2438" s="167"/>
    </row>
    <row r="2439" spans="1:8">
      <c r="A2439" s="167"/>
      <c r="B2439" s="167"/>
      <c r="C2439" s="167"/>
      <c r="D2439" s="167"/>
      <c r="E2439" s="167"/>
      <c r="F2439" s="167"/>
      <c r="G2439" s="167"/>
      <c r="H2439" s="167"/>
    </row>
    <row r="2440" spans="1:8">
      <c r="A2440" s="167"/>
      <c r="B2440" s="167"/>
      <c r="C2440" s="167"/>
      <c r="D2440" s="167"/>
      <c r="E2440" s="167"/>
      <c r="F2440" s="167"/>
      <c r="G2440" s="167"/>
      <c r="H2440" s="167"/>
    </row>
    <row r="2441" spans="1:8">
      <c r="A2441" s="167"/>
      <c r="B2441" s="167"/>
      <c r="C2441" s="167"/>
      <c r="D2441" s="167"/>
      <c r="E2441" s="167"/>
      <c r="F2441" s="167"/>
      <c r="G2441" s="167"/>
      <c r="H2441" s="167"/>
    </row>
    <row r="2442" spans="1:8">
      <c r="A2442" s="167"/>
      <c r="B2442" s="167"/>
      <c r="C2442" s="167"/>
      <c r="D2442" s="167"/>
      <c r="E2442" s="167"/>
      <c r="F2442" s="167"/>
      <c r="G2442" s="167"/>
      <c r="H2442" s="167"/>
    </row>
    <row r="2443" spans="1:8">
      <c r="A2443" s="167"/>
      <c r="B2443" s="167"/>
      <c r="C2443" s="167"/>
      <c r="D2443" s="167"/>
      <c r="E2443" s="167"/>
      <c r="F2443" s="167"/>
      <c r="G2443" s="167"/>
      <c r="H2443" s="167"/>
    </row>
    <row r="2444" spans="1:8">
      <c r="A2444" s="167"/>
      <c r="B2444" s="167"/>
      <c r="C2444" s="167"/>
      <c r="D2444" s="167"/>
      <c r="E2444" s="167"/>
      <c r="F2444" s="167"/>
      <c r="G2444" s="167"/>
      <c r="H2444" s="167"/>
    </row>
    <row r="2445" spans="1:8">
      <c r="A2445" s="167"/>
      <c r="B2445" s="167"/>
      <c r="C2445" s="167"/>
      <c r="D2445" s="167"/>
      <c r="E2445" s="167"/>
      <c r="F2445" s="167"/>
      <c r="G2445" s="167"/>
      <c r="H2445" s="167"/>
    </row>
    <row r="2446" spans="1:8">
      <c r="A2446" s="167"/>
      <c r="B2446" s="167"/>
      <c r="C2446" s="167"/>
      <c r="D2446" s="167"/>
      <c r="E2446" s="167"/>
      <c r="F2446" s="167"/>
      <c r="G2446" s="167"/>
      <c r="H2446" s="167"/>
    </row>
    <row r="2447" spans="1:8">
      <c r="A2447" s="167"/>
      <c r="B2447" s="167"/>
      <c r="C2447" s="167"/>
      <c r="D2447" s="167"/>
      <c r="E2447" s="167"/>
      <c r="F2447" s="167"/>
      <c r="G2447" s="167"/>
      <c r="H2447" s="167"/>
    </row>
    <row r="2448" spans="1:8">
      <c r="A2448" s="167"/>
      <c r="B2448" s="167"/>
      <c r="C2448" s="167"/>
      <c r="D2448" s="167"/>
      <c r="E2448" s="167"/>
      <c r="F2448" s="167"/>
      <c r="G2448" s="167"/>
      <c r="H2448" s="167"/>
    </row>
    <row r="2449" spans="1:8">
      <c r="A2449" s="167"/>
      <c r="B2449" s="167"/>
      <c r="C2449" s="167"/>
      <c r="D2449" s="167"/>
      <c r="E2449" s="167"/>
      <c r="F2449" s="167"/>
      <c r="G2449" s="167"/>
      <c r="H2449" s="167"/>
    </row>
    <row r="2450" spans="1:8">
      <c r="A2450" s="167"/>
      <c r="B2450" s="167"/>
      <c r="C2450" s="167"/>
      <c r="D2450" s="167"/>
      <c r="E2450" s="167"/>
      <c r="F2450" s="167"/>
      <c r="G2450" s="167"/>
      <c r="H2450" s="167"/>
    </row>
    <row r="2451" spans="1:8">
      <c r="A2451" s="167"/>
      <c r="B2451" s="167"/>
      <c r="C2451" s="167"/>
      <c r="D2451" s="167"/>
      <c r="E2451" s="167"/>
      <c r="F2451" s="167"/>
      <c r="G2451" s="167"/>
      <c r="H2451" s="167"/>
    </row>
    <row r="2452" spans="1:8">
      <c r="A2452" s="167"/>
      <c r="B2452" s="167"/>
      <c r="C2452" s="167"/>
      <c r="D2452" s="167"/>
      <c r="E2452" s="167"/>
      <c r="F2452" s="167"/>
      <c r="G2452" s="167"/>
      <c r="H2452" s="167"/>
    </row>
    <row r="2453" spans="1:8">
      <c r="A2453" s="167"/>
      <c r="B2453" s="167"/>
      <c r="C2453" s="167"/>
      <c r="D2453" s="167"/>
      <c r="E2453" s="167"/>
      <c r="F2453" s="167"/>
      <c r="G2453" s="167"/>
      <c r="H2453" s="167"/>
    </row>
    <row r="2454" spans="1:8">
      <c r="A2454" s="167"/>
      <c r="B2454" s="167"/>
      <c r="C2454" s="167"/>
      <c r="D2454" s="167"/>
      <c r="E2454" s="167"/>
      <c r="F2454" s="167"/>
      <c r="G2454" s="167"/>
      <c r="H2454" s="167"/>
    </row>
    <row r="2455" spans="1:8">
      <c r="A2455" s="167"/>
      <c r="B2455" s="167"/>
      <c r="C2455" s="167"/>
      <c r="D2455" s="167"/>
      <c r="E2455" s="167"/>
      <c r="F2455" s="167"/>
      <c r="G2455" s="167"/>
      <c r="H2455" s="167"/>
    </row>
    <row r="2456" spans="1:8">
      <c r="A2456" s="167"/>
      <c r="B2456" s="167"/>
      <c r="C2456" s="167"/>
      <c r="D2456" s="167"/>
      <c r="E2456" s="167"/>
      <c r="F2456" s="167"/>
      <c r="G2456" s="167"/>
      <c r="H2456" s="167"/>
    </row>
    <row r="2457" spans="1:8">
      <c r="A2457" s="167"/>
      <c r="B2457" s="167"/>
      <c r="C2457" s="167"/>
      <c r="D2457" s="167"/>
      <c r="E2457" s="167"/>
      <c r="F2457" s="167"/>
      <c r="G2457" s="167"/>
      <c r="H2457" s="167"/>
    </row>
    <row r="2458" spans="1:8">
      <c r="A2458" s="167"/>
      <c r="B2458" s="167"/>
      <c r="C2458" s="167"/>
      <c r="D2458" s="167"/>
      <c r="E2458" s="167"/>
      <c r="F2458" s="167"/>
      <c r="G2458" s="167"/>
      <c r="H2458" s="167"/>
    </row>
    <row r="2459" spans="1:8">
      <c r="A2459" s="167"/>
      <c r="B2459" s="167"/>
      <c r="C2459" s="167"/>
      <c r="D2459" s="167"/>
      <c r="E2459" s="167"/>
      <c r="F2459" s="167"/>
      <c r="G2459" s="167"/>
      <c r="H2459" s="167"/>
    </row>
    <row r="2460" spans="1:8">
      <c r="A2460" s="167"/>
      <c r="B2460" s="167"/>
      <c r="C2460" s="167"/>
      <c r="D2460" s="167"/>
      <c r="E2460" s="167"/>
      <c r="F2460" s="167"/>
      <c r="G2460" s="167"/>
      <c r="H2460" s="167"/>
    </row>
    <row r="2461" spans="1:8">
      <c r="A2461" s="167"/>
      <c r="B2461" s="167"/>
      <c r="C2461" s="167"/>
      <c r="D2461" s="167"/>
      <c r="E2461" s="167"/>
      <c r="F2461" s="167"/>
      <c r="G2461" s="167"/>
      <c r="H2461" s="167"/>
    </row>
    <row r="2462" spans="1:8">
      <c r="A2462" s="167"/>
      <c r="B2462" s="167"/>
      <c r="C2462" s="167"/>
      <c r="D2462" s="167"/>
      <c r="E2462" s="167"/>
      <c r="F2462" s="167"/>
      <c r="G2462" s="167"/>
      <c r="H2462" s="167"/>
    </row>
    <row r="2463" spans="1:8">
      <c r="A2463" s="167"/>
      <c r="B2463" s="167"/>
      <c r="C2463" s="167"/>
      <c r="D2463" s="167"/>
      <c r="E2463" s="167"/>
      <c r="F2463" s="167"/>
      <c r="G2463" s="167"/>
      <c r="H2463" s="167"/>
    </row>
    <row r="2464" spans="1:8">
      <c r="A2464" s="167"/>
      <c r="B2464" s="167"/>
      <c r="C2464" s="167"/>
      <c r="D2464" s="167"/>
      <c r="E2464" s="167"/>
      <c r="F2464" s="167"/>
      <c r="G2464" s="167"/>
      <c r="H2464" s="167"/>
    </row>
    <row r="2465" spans="1:8">
      <c r="A2465" s="167"/>
      <c r="B2465" s="167"/>
      <c r="C2465" s="167"/>
      <c r="D2465" s="167"/>
      <c r="E2465" s="167"/>
      <c r="F2465" s="167"/>
      <c r="G2465" s="167"/>
      <c r="H2465" s="167"/>
    </row>
    <row r="2466" spans="1:8">
      <c r="A2466" s="167"/>
      <c r="B2466" s="167"/>
      <c r="C2466" s="167"/>
      <c r="D2466" s="167"/>
      <c r="E2466" s="167"/>
      <c r="F2466" s="167"/>
      <c r="G2466" s="167"/>
      <c r="H2466" s="167"/>
    </row>
    <row r="2467" spans="1:8">
      <c r="A2467" s="167"/>
      <c r="B2467" s="167"/>
      <c r="C2467" s="167"/>
      <c r="D2467" s="167"/>
      <c r="E2467" s="167"/>
      <c r="F2467" s="167"/>
      <c r="G2467" s="167"/>
      <c r="H2467" s="167"/>
    </row>
    <row r="2468" spans="1:8">
      <c r="A2468" s="167"/>
      <c r="B2468" s="167"/>
      <c r="C2468" s="167"/>
      <c r="D2468" s="167"/>
      <c r="E2468" s="167"/>
      <c r="F2468" s="167"/>
      <c r="G2468" s="167"/>
      <c r="H2468" s="167"/>
    </row>
    <row r="2469" spans="1:8">
      <c r="A2469" s="167"/>
      <c r="B2469" s="167"/>
      <c r="C2469" s="167"/>
      <c r="D2469" s="167"/>
      <c r="E2469" s="167"/>
      <c r="F2469" s="167"/>
      <c r="G2469" s="167"/>
      <c r="H2469" s="167"/>
    </row>
    <row r="2470" spans="1:8">
      <c r="A2470" s="167"/>
      <c r="B2470" s="167"/>
      <c r="C2470" s="167"/>
      <c r="D2470" s="167"/>
      <c r="E2470" s="167"/>
      <c r="F2470" s="167"/>
      <c r="G2470" s="167"/>
      <c r="H2470" s="167"/>
    </row>
    <row r="2471" spans="1:8">
      <c r="A2471" s="167"/>
      <c r="B2471" s="167"/>
      <c r="C2471" s="167"/>
      <c r="D2471" s="167"/>
      <c r="E2471" s="167"/>
      <c r="F2471" s="167"/>
      <c r="G2471" s="167"/>
      <c r="H2471" s="167"/>
    </row>
    <row r="2472" spans="1:8">
      <c r="A2472" s="167"/>
      <c r="B2472" s="167"/>
      <c r="C2472" s="167"/>
      <c r="D2472" s="167"/>
      <c r="E2472" s="167"/>
      <c r="F2472" s="167"/>
      <c r="G2472" s="167"/>
      <c r="H2472" s="167"/>
    </row>
    <row r="2473" spans="1:8">
      <c r="A2473" s="167"/>
      <c r="B2473" s="167"/>
      <c r="C2473" s="167"/>
      <c r="D2473" s="167"/>
      <c r="E2473" s="167"/>
      <c r="F2473" s="167"/>
      <c r="G2473" s="167"/>
      <c r="H2473" s="167"/>
    </row>
    <row r="2474" spans="1:8">
      <c r="A2474" s="167"/>
      <c r="B2474" s="167"/>
      <c r="C2474" s="167"/>
      <c r="D2474" s="167"/>
      <c r="E2474" s="167"/>
      <c r="F2474" s="167"/>
      <c r="G2474" s="167"/>
      <c r="H2474" s="167"/>
    </row>
    <row r="2475" spans="1:8">
      <c r="A2475" s="167"/>
      <c r="B2475" s="167"/>
      <c r="C2475" s="167"/>
      <c r="D2475" s="167"/>
      <c r="E2475" s="167"/>
      <c r="F2475" s="167"/>
      <c r="G2475" s="167"/>
      <c r="H2475" s="167"/>
    </row>
    <row r="2476" spans="1:8">
      <c r="A2476" s="167"/>
      <c r="B2476" s="167"/>
      <c r="C2476" s="167"/>
      <c r="D2476" s="167"/>
      <c r="E2476" s="167"/>
      <c r="F2476" s="167"/>
      <c r="G2476" s="167"/>
      <c r="H2476" s="167"/>
    </row>
    <row r="2477" spans="1:8">
      <c r="A2477" s="167"/>
      <c r="B2477" s="167"/>
      <c r="C2477" s="167"/>
      <c r="D2477" s="167"/>
      <c r="E2477" s="167"/>
      <c r="F2477" s="167"/>
      <c r="G2477" s="167"/>
      <c r="H2477" s="167"/>
    </row>
    <row r="2478" spans="1:8">
      <c r="A2478" s="167"/>
      <c r="B2478" s="167"/>
      <c r="C2478" s="167"/>
      <c r="D2478" s="167"/>
      <c r="E2478" s="167"/>
      <c r="F2478" s="167"/>
      <c r="G2478" s="167"/>
      <c r="H2478" s="167"/>
    </row>
    <row r="2479" spans="1:8">
      <c r="A2479" s="167"/>
      <c r="B2479" s="167"/>
      <c r="C2479" s="167"/>
      <c r="D2479" s="167"/>
      <c r="E2479" s="167"/>
      <c r="F2479" s="167"/>
      <c r="G2479" s="167"/>
      <c r="H2479" s="167"/>
    </row>
    <row r="2480" spans="1:8">
      <c r="A2480" s="167"/>
      <c r="B2480" s="167"/>
      <c r="C2480" s="167"/>
      <c r="D2480" s="167"/>
      <c r="E2480" s="167"/>
      <c r="F2480" s="167"/>
      <c r="G2480" s="167"/>
      <c r="H2480" s="167"/>
    </row>
    <row r="2481" spans="1:8">
      <c r="A2481" s="167"/>
      <c r="B2481" s="167"/>
      <c r="C2481" s="167"/>
      <c r="D2481" s="167"/>
      <c r="E2481" s="167"/>
      <c r="F2481" s="167"/>
      <c r="G2481" s="167"/>
      <c r="H2481" s="167"/>
    </row>
    <row r="2482" spans="1:8">
      <c r="A2482" s="167"/>
      <c r="B2482" s="167"/>
      <c r="C2482" s="167"/>
      <c r="D2482" s="167"/>
      <c r="E2482" s="167"/>
      <c r="F2482" s="167"/>
      <c r="G2482" s="167"/>
      <c r="H2482" s="167"/>
    </row>
    <row r="2483" spans="1:8">
      <c r="A2483" s="167"/>
      <c r="B2483" s="167"/>
      <c r="C2483" s="167"/>
      <c r="D2483" s="167"/>
      <c r="E2483" s="167"/>
      <c r="F2483" s="167"/>
      <c r="G2483" s="167"/>
      <c r="H2483" s="167"/>
    </row>
    <row r="2484" spans="1:8">
      <c r="A2484" s="167"/>
      <c r="B2484" s="167"/>
      <c r="C2484" s="167"/>
      <c r="D2484" s="167"/>
      <c r="E2484" s="167"/>
      <c r="F2484" s="167"/>
      <c r="G2484" s="167"/>
      <c r="H2484" s="167"/>
    </row>
    <row r="2485" spans="1:8">
      <c r="A2485" s="167"/>
      <c r="B2485" s="167"/>
      <c r="C2485" s="167"/>
      <c r="D2485" s="167"/>
      <c r="E2485" s="167"/>
      <c r="F2485" s="167"/>
      <c r="G2485" s="167"/>
      <c r="H2485" s="167"/>
    </row>
    <row r="2486" spans="1:8">
      <c r="A2486" s="167"/>
      <c r="B2486" s="167"/>
      <c r="C2486" s="167"/>
      <c r="D2486" s="167"/>
      <c r="E2486" s="167"/>
      <c r="F2486" s="167"/>
      <c r="G2486" s="167"/>
      <c r="H2486" s="167"/>
    </row>
    <row r="2487" spans="1:8">
      <c r="A2487" s="167"/>
      <c r="B2487" s="167"/>
      <c r="C2487" s="167"/>
      <c r="D2487" s="167"/>
      <c r="E2487" s="167"/>
      <c r="F2487" s="167"/>
      <c r="G2487" s="167"/>
      <c r="H2487" s="167"/>
    </row>
    <row r="2488" spans="1:8">
      <c r="A2488" s="167"/>
      <c r="B2488" s="167"/>
      <c r="C2488" s="167"/>
      <c r="D2488" s="167"/>
      <c r="E2488" s="167"/>
      <c r="F2488" s="167"/>
      <c r="G2488" s="167"/>
      <c r="H2488" s="167"/>
    </row>
    <row r="2489" spans="1:8">
      <c r="A2489" s="167"/>
      <c r="B2489" s="167"/>
      <c r="C2489" s="167"/>
      <c r="D2489" s="167"/>
      <c r="E2489" s="167"/>
      <c r="F2489" s="167"/>
      <c r="G2489" s="167"/>
      <c r="H2489" s="167"/>
    </row>
    <row r="2490" spans="1:8">
      <c r="A2490" s="167"/>
      <c r="B2490" s="167"/>
      <c r="C2490" s="167"/>
      <c r="D2490" s="167"/>
      <c r="E2490" s="167"/>
      <c r="F2490" s="167"/>
      <c r="G2490" s="167"/>
      <c r="H2490" s="167"/>
    </row>
    <row r="2491" spans="1:8">
      <c r="A2491" s="167"/>
      <c r="B2491" s="167"/>
      <c r="C2491" s="167"/>
      <c r="D2491" s="167"/>
      <c r="E2491" s="167"/>
      <c r="F2491" s="167"/>
      <c r="G2491" s="167"/>
      <c r="H2491" s="167"/>
    </row>
    <row r="2492" spans="1:8">
      <c r="A2492" s="167"/>
      <c r="B2492" s="167"/>
      <c r="C2492" s="167"/>
      <c r="D2492" s="167"/>
      <c r="E2492" s="167"/>
      <c r="F2492" s="167"/>
      <c r="G2492" s="167"/>
      <c r="H2492" s="167"/>
    </row>
    <row r="2493" spans="1:8">
      <c r="A2493" s="167"/>
      <c r="B2493" s="167"/>
      <c r="C2493" s="167"/>
      <c r="D2493" s="167"/>
      <c r="E2493" s="167"/>
      <c r="F2493" s="167"/>
      <c r="G2493" s="167"/>
      <c r="H2493" s="167"/>
    </row>
    <row r="2494" spans="1:8">
      <c r="A2494" s="167"/>
      <c r="B2494" s="167"/>
      <c r="C2494" s="167"/>
      <c r="D2494" s="167"/>
      <c r="E2494" s="167"/>
      <c r="F2494" s="167"/>
      <c r="G2494" s="167"/>
      <c r="H2494" s="167"/>
    </row>
    <row r="2495" spans="1:8">
      <c r="A2495" s="167"/>
      <c r="B2495" s="167"/>
      <c r="C2495" s="167"/>
      <c r="D2495" s="167"/>
      <c r="E2495" s="167"/>
      <c r="F2495" s="167"/>
      <c r="G2495" s="167"/>
      <c r="H2495" s="167"/>
    </row>
    <row r="2496" spans="1:8">
      <c r="A2496" s="167"/>
      <c r="B2496" s="167"/>
      <c r="C2496" s="167"/>
      <c r="D2496" s="167"/>
      <c r="E2496" s="167"/>
      <c r="F2496" s="167"/>
      <c r="G2496" s="167"/>
      <c r="H2496" s="167"/>
    </row>
    <row r="2497" spans="1:8">
      <c r="A2497" s="167"/>
      <c r="B2497" s="167"/>
      <c r="C2497" s="167"/>
      <c r="D2497" s="167"/>
      <c r="E2497" s="167"/>
      <c r="F2497" s="167"/>
      <c r="G2497" s="167"/>
      <c r="H2497" s="167"/>
    </row>
    <row r="2498" spans="1:8">
      <c r="A2498" s="167"/>
      <c r="B2498" s="167"/>
      <c r="C2498" s="167"/>
      <c r="D2498" s="167"/>
      <c r="E2498" s="167"/>
      <c r="F2498" s="167"/>
      <c r="G2498" s="167"/>
      <c r="H2498" s="167"/>
    </row>
    <row r="2499" spans="1:8">
      <c r="A2499" s="167"/>
      <c r="B2499" s="167"/>
      <c r="C2499" s="167"/>
      <c r="D2499" s="167"/>
      <c r="E2499" s="167"/>
      <c r="F2499" s="167"/>
      <c r="G2499" s="167"/>
      <c r="H2499" s="167"/>
    </row>
    <row r="2500" spans="1:8">
      <c r="A2500" s="167"/>
      <c r="B2500" s="167"/>
      <c r="C2500" s="167"/>
      <c r="D2500" s="167"/>
      <c r="E2500" s="167"/>
      <c r="F2500" s="167"/>
      <c r="G2500" s="167"/>
      <c r="H2500" s="167"/>
    </row>
    <row r="2501" spans="1:8">
      <c r="A2501" s="167"/>
      <c r="B2501" s="167"/>
      <c r="C2501" s="167"/>
      <c r="D2501" s="167"/>
      <c r="E2501" s="167"/>
      <c r="F2501" s="167"/>
      <c r="G2501" s="167"/>
      <c r="H2501" s="167"/>
    </row>
    <row r="2502" spans="1:8">
      <c r="A2502" s="167"/>
      <c r="B2502" s="167"/>
      <c r="C2502" s="167"/>
      <c r="D2502" s="167"/>
      <c r="E2502" s="167"/>
      <c r="F2502" s="167"/>
      <c r="G2502" s="167"/>
      <c r="H2502" s="167"/>
    </row>
    <row r="2503" spans="1:8">
      <c r="A2503" s="167"/>
      <c r="B2503" s="167"/>
      <c r="C2503" s="167"/>
      <c r="D2503" s="167"/>
      <c r="E2503" s="167"/>
      <c r="F2503" s="167"/>
      <c r="G2503" s="167"/>
      <c r="H2503" s="167"/>
    </row>
    <row r="2504" spans="1:8">
      <c r="A2504" s="167"/>
      <c r="B2504" s="167"/>
      <c r="C2504" s="167"/>
      <c r="D2504" s="167"/>
      <c r="E2504" s="167"/>
      <c r="F2504" s="167"/>
      <c r="G2504" s="167"/>
      <c r="H2504" s="167"/>
    </row>
    <row r="2505" spans="1:8">
      <c r="A2505" s="167"/>
      <c r="B2505" s="167"/>
      <c r="C2505" s="167"/>
      <c r="D2505" s="167"/>
      <c r="E2505" s="167"/>
      <c r="F2505" s="167"/>
      <c r="G2505" s="167"/>
      <c r="H2505" s="167"/>
    </row>
    <row r="2506" spans="1:8">
      <c r="A2506" s="167"/>
      <c r="B2506" s="167"/>
      <c r="C2506" s="167"/>
      <c r="D2506" s="167"/>
      <c r="E2506" s="167"/>
      <c r="F2506" s="167"/>
      <c r="G2506" s="167"/>
      <c r="H2506" s="167"/>
    </row>
    <row r="2507" spans="1:8">
      <c r="A2507" s="167"/>
      <c r="B2507" s="167"/>
      <c r="C2507" s="167"/>
      <c r="D2507" s="167"/>
      <c r="E2507" s="167"/>
      <c r="F2507" s="167"/>
      <c r="G2507" s="167"/>
      <c r="H2507" s="167"/>
    </row>
    <row r="2508" spans="1:8">
      <c r="A2508" s="167"/>
      <c r="B2508" s="167"/>
      <c r="C2508" s="167"/>
      <c r="D2508" s="167"/>
      <c r="E2508" s="167"/>
      <c r="F2508" s="167"/>
      <c r="G2508" s="167"/>
      <c r="H2508" s="167"/>
    </row>
    <row r="2509" spans="1:8">
      <c r="A2509" s="167"/>
      <c r="B2509" s="167"/>
      <c r="C2509" s="167"/>
      <c r="D2509" s="167"/>
      <c r="E2509" s="167"/>
      <c r="F2509" s="167"/>
      <c r="G2509" s="167"/>
      <c r="H2509" s="167"/>
    </row>
    <row r="2510" spans="1:8">
      <c r="A2510" s="167"/>
      <c r="B2510" s="167"/>
      <c r="C2510" s="167"/>
      <c r="D2510" s="167"/>
      <c r="E2510" s="167"/>
      <c r="F2510" s="167"/>
      <c r="G2510" s="167"/>
      <c r="H2510" s="167"/>
    </row>
    <row r="2511" spans="1:8">
      <c r="A2511" s="167"/>
      <c r="B2511" s="167"/>
      <c r="C2511" s="167"/>
      <c r="D2511" s="167"/>
      <c r="E2511" s="167"/>
      <c r="F2511" s="167"/>
      <c r="G2511" s="167"/>
      <c r="H2511" s="167"/>
    </row>
    <row r="2512" spans="1:8">
      <c r="A2512" s="167"/>
      <c r="B2512" s="167"/>
      <c r="C2512" s="167"/>
      <c r="D2512" s="167"/>
      <c r="E2512" s="167"/>
      <c r="F2512" s="167"/>
      <c r="G2512" s="167"/>
      <c r="H2512" s="167"/>
    </row>
    <row r="2513" spans="1:8">
      <c r="A2513" s="167"/>
      <c r="B2513" s="167"/>
      <c r="C2513" s="167"/>
      <c r="D2513" s="167"/>
      <c r="E2513" s="167"/>
      <c r="F2513" s="167"/>
      <c r="G2513" s="167"/>
      <c r="H2513" s="167"/>
    </row>
    <row r="2514" spans="1:8">
      <c r="A2514" s="167"/>
      <c r="B2514" s="167"/>
      <c r="C2514" s="167"/>
      <c r="D2514" s="167"/>
      <c r="E2514" s="167"/>
      <c r="F2514" s="167"/>
      <c r="G2514" s="167"/>
      <c r="H2514" s="167"/>
    </row>
    <row r="2515" spans="1:8">
      <c r="A2515" s="167"/>
      <c r="B2515" s="167"/>
      <c r="C2515" s="167"/>
      <c r="D2515" s="167"/>
      <c r="E2515" s="167"/>
      <c r="F2515" s="167"/>
      <c r="G2515" s="167"/>
      <c r="H2515" s="167"/>
    </row>
    <row r="2516" spans="1:8">
      <c r="A2516" s="167"/>
      <c r="B2516" s="167"/>
      <c r="C2516" s="167"/>
      <c r="D2516" s="167"/>
      <c r="E2516" s="167"/>
      <c r="F2516" s="167"/>
      <c r="G2516" s="167"/>
      <c r="H2516" s="167"/>
    </row>
    <row r="2517" spans="1:8">
      <c r="A2517" s="167"/>
      <c r="B2517" s="167"/>
      <c r="C2517" s="167"/>
      <c r="D2517" s="167"/>
      <c r="E2517" s="167"/>
      <c r="F2517" s="167"/>
      <c r="G2517" s="167"/>
      <c r="H2517" s="167"/>
    </row>
    <row r="2518" spans="1:8">
      <c r="A2518" s="167"/>
      <c r="B2518" s="167"/>
      <c r="C2518" s="167"/>
      <c r="D2518" s="167"/>
      <c r="E2518" s="167"/>
      <c r="F2518" s="167"/>
      <c r="G2518" s="167"/>
      <c r="H2518" s="167"/>
    </row>
    <row r="2519" spans="1:8">
      <c r="A2519" s="167"/>
      <c r="B2519" s="167"/>
      <c r="C2519" s="167"/>
      <c r="D2519" s="167"/>
      <c r="E2519" s="167"/>
      <c r="F2519" s="167"/>
      <c r="G2519" s="167"/>
      <c r="H2519" s="167"/>
    </row>
    <row r="2520" spans="1:8">
      <c r="A2520" s="167"/>
      <c r="B2520" s="167"/>
      <c r="C2520" s="167"/>
      <c r="D2520" s="167"/>
      <c r="E2520" s="167"/>
      <c r="F2520" s="167"/>
      <c r="G2520" s="167"/>
      <c r="H2520" s="167"/>
    </row>
    <row r="2521" spans="1:8">
      <c r="A2521" s="167"/>
      <c r="B2521" s="167"/>
      <c r="C2521" s="167"/>
      <c r="D2521" s="167"/>
      <c r="E2521" s="167"/>
      <c r="F2521" s="167"/>
      <c r="G2521" s="167"/>
      <c r="H2521" s="167"/>
    </row>
    <row r="2522" spans="1:8">
      <c r="A2522" s="167"/>
      <c r="B2522" s="167"/>
      <c r="C2522" s="167"/>
      <c r="D2522" s="167"/>
      <c r="E2522" s="167"/>
      <c r="F2522" s="167"/>
      <c r="G2522" s="167"/>
      <c r="H2522" s="167"/>
    </row>
    <row r="2523" spans="1:8">
      <c r="A2523" s="167"/>
      <c r="B2523" s="167"/>
      <c r="C2523" s="167"/>
      <c r="D2523" s="167"/>
      <c r="E2523" s="167"/>
      <c r="F2523" s="167"/>
      <c r="G2523" s="167"/>
      <c r="H2523" s="167"/>
    </row>
    <row r="2524" spans="1:8">
      <c r="A2524" s="167"/>
      <c r="B2524" s="167"/>
      <c r="C2524" s="167"/>
      <c r="D2524" s="167"/>
      <c r="E2524" s="167"/>
      <c r="F2524" s="167"/>
      <c r="G2524" s="167"/>
      <c r="H2524" s="167"/>
    </row>
    <row r="2525" spans="1:8">
      <c r="A2525" s="167"/>
      <c r="B2525" s="167"/>
      <c r="C2525" s="167"/>
      <c r="D2525" s="167"/>
      <c r="E2525" s="167"/>
      <c r="F2525" s="167"/>
      <c r="G2525" s="167"/>
      <c r="H2525" s="167"/>
    </row>
    <row r="2526" spans="1:8">
      <c r="A2526" s="167"/>
      <c r="B2526" s="167"/>
      <c r="C2526" s="167"/>
      <c r="D2526" s="167"/>
      <c r="E2526" s="167"/>
      <c r="F2526" s="167"/>
      <c r="G2526" s="167"/>
      <c r="H2526" s="167"/>
    </row>
    <row r="2527" spans="1:8">
      <c r="A2527" s="167"/>
      <c r="B2527" s="167"/>
      <c r="C2527" s="167"/>
      <c r="D2527" s="167"/>
      <c r="E2527" s="167"/>
      <c r="F2527" s="167"/>
      <c r="G2527" s="167"/>
      <c r="H2527" s="167"/>
    </row>
    <row r="2528" spans="1:8">
      <c r="A2528" s="167"/>
      <c r="B2528" s="167"/>
      <c r="C2528" s="167"/>
      <c r="D2528" s="167"/>
      <c r="E2528" s="167"/>
      <c r="F2528" s="167"/>
      <c r="G2528" s="167"/>
      <c r="H2528" s="167"/>
    </row>
    <row r="2529" spans="1:8">
      <c r="A2529" s="167"/>
      <c r="B2529" s="167"/>
      <c r="C2529" s="167"/>
      <c r="D2529" s="167"/>
      <c r="E2529" s="167"/>
      <c r="F2529" s="167"/>
      <c r="G2529" s="167"/>
      <c r="H2529" s="167"/>
    </row>
    <row r="2530" spans="1:8">
      <c r="A2530" s="167"/>
      <c r="B2530" s="167"/>
      <c r="C2530" s="167"/>
      <c r="D2530" s="167"/>
      <c r="E2530" s="167"/>
      <c r="F2530" s="167"/>
      <c r="G2530" s="167"/>
      <c r="H2530" s="167"/>
    </row>
    <row r="2531" spans="1:8">
      <c r="A2531" s="600"/>
      <c r="B2531" s="600"/>
      <c r="C2531" s="600"/>
      <c r="D2531" s="600"/>
      <c r="E2531" s="600"/>
      <c r="F2531" s="600"/>
      <c r="G2531" s="600"/>
      <c r="H2531" s="600"/>
    </row>
    <row r="2532" spans="1:8">
      <c r="A2532" s="600"/>
      <c r="B2532" s="600"/>
      <c r="C2532" s="600"/>
      <c r="D2532" s="600"/>
      <c r="E2532" s="600"/>
      <c r="F2532" s="600"/>
      <c r="G2532" s="600"/>
      <c r="H2532" s="600"/>
    </row>
    <row r="2533" spans="1:8">
      <c r="A2533" s="600"/>
      <c r="B2533" s="600"/>
      <c r="C2533" s="600"/>
      <c r="D2533" s="600"/>
      <c r="E2533" s="600"/>
      <c r="F2533" s="600"/>
      <c r="G2533" s="600"/>
      <c r="H2533" s="600"/>
    </row>
    <row r="2534" spans="1:8">
      <c r="A2534" s="600"/>
      <c r="B2534" s="600"/>
      <c r="C2534" s="600"/>
      <c r="D2534" s="600"/>
      <c r="E2534" s="600"/>
      <c r="F2534" s="600"/>
      <c r="G2534" s="600"/>
      <c r="H2534" s="600"/>
    </row>
    <row r="2535" spans="1:8">
      <c r="A2535" s="600"/>
      <c r="B2535" s="600"/>
      <c r="C2535" s="600"/>
      <c r="D2535" s="600"/>
      <c r="E2535" s="600"/>
      <c r="F2535" s="600"/>
      <c r="G2535" s="600"/>
      <c r="H2535" s="600"/>
    </row>
    <row r="2536" spans="1:8">
      <c r="A2536" s="600"/>
      <c r="B2536" s="600"/>
      <c r="C2536" s="600"/>
      <c r="D2536" s="600"/>
      <c r="E2536" s="600"/>
      <c r="F2536" s="600"/>
      <c r="G2536" s="600"/>
      <c r="H2536" s="600"/>
    </row>
    <row r="2537" spans="1:8">
      <c r="A2537" s="600"/>
      <c r="B2537" s="600"/>
      <c r="C2537" s="600"/>
      <c r="D2537" s="600"/>
      <c r="E2537" s="600"/>
      <c r="F2537" s="600"/>
      <c r="G2537" s="600"/>
      <c r="H2537" s="600"/>
    </row>
    <row r="2538" spans="1:8">
      <c r="A2538" s="600"/>
      <c r="B2538" s="600"/>
      <c r="C2538" s="600"/>
      <c r="D2538" s="600"/>
      <c r="E2538" s="600"/>
      <c r="F2538" s="600"/>
      <c r="G2538" s="600"/>
      <c r="H2538" s="600"/>
    </row>
    <row r="2539" spans="1:8">
      <c r="A2539" s="600"/>
      <c r="B2539" s="600"/>
      <c r="C2539" s="600"/>
      <c r="D2539" s="600"/>
      <c r="E2539" s="600"/>
      <c r="F2539" s="600"/>
      <c r="G2539" s="600"/>
      <c r="H2539" s="600"/>
    </row>
    <row r="2540" spans="1:8">
      <c r="A2540" s="600"/>
      <c r="B2540" s="600"/>
      <c r="C2540" s="600"/>
      <c r="D2540" s="600"/>
      <c r="E2540" s="600"/>
      <c r="F2540" s="600"/>
      <c r="G2540" s="600"/>
      <c r="H2540" s="600"/>
    </row>
    <row r="2541" spans="1:8">
      <c r="A2541" s="600"/>
      <c r="B2541" s="600"/>
      <c r="C2541" s="600"/>
      <c r="D2541" s="600"/>
      <c r="E2541" s="600"/>
      <c r="F2541" s="600"/>
      <c r="G2541" s="600"/>
      <c r="H2541" s="600"/>
    </row>
    <row r="2542" spans="1:8">
      <c r="A2542" s="600"/>
      <c r="B2542" s="600"/>
      <c r="C2542" s="600"/>
      <c r="D2542" s="600"/>
      <c r="E2542" s="600"/>
      <c r="F2542" s="600"/>
      <c r="G2542" s="600"/>
      <c r="H2542" s="600"/>
    </row>
    <row r="2543" spans="1:8">
      <c r="A2543" s="600"/>
      <c r="B2543" s="600"/>
      <c r="C2543" s="600"/>
      <c r="D2543" s="600"/>
      <c r="E2543" s="600"/>
      <c r="F2543" s="600"/>
      <c r="G2543" s="600"/>
      <c r="H2543" s="600"/>
    </row>
    <row r="2544" spans="1:8">
      <c r="A2544" s="600"/>
      <c r="B2544" s="600"/>
      <c r="C2544" s="600"/>
      <c r="D2544" s="600"/>
      <c r="E2544" s="600"/>
      <c r="F2544" s="600"/>
      <c r="G2544" s="600"/>
      <c r="H2544" s="600"/>
    </row>
    <row r="2545" spans="1:8">
      <c r="A2545" s="600"/>
      <c r="B2545" s="600"/>
      <c r="C2545" s="600"/>
      <c r="D2545" s="600"/>
      <c r="E2545" s="600"/>
      <c r="F2545" s="600"/>
      <c r="G2545" s="600"/>
      <c r="H2545" s="600"/>
    </row>
    <row r="2546" spans="1:8">
      <c r="A2546" s="600"/>
      <c r="B2546" s="600"/>
      <c r="C2546" s="600"/>
      <c r="D2546" s="600"/>
      <c r="E2546" s="600"/>
      <c r="F2546" s="600"/>
      <c r="G2546" s="600"/>
      <c r="H2546" s="600"/>
    </row>
    <row r="2547" spans="1:8">
      <c r="A2547" s="600"/>
      <c r="B2547" s="600"/>
      <c r="C2547" s="600"/>
      <c r="D2547" s="600"/>
      <c r="E2547" s="600"/>
      <c r="F2547" s="600"/>
      <c r="G2547" s="600"/>
      <c r="H2547" s="600"/>
    </row>
    <row r="2548" spans="1:8">
      <c r="A2548" s="600"/>
      <c r="B2548" s="600"/>
      <c r="C2548" s="600"/>
      <c r="D2548" s="600"/>
      <c r="E2548" s="600"/>
      <c r="F2548" s="600"/>
      <c r="G2548" s="600"/>
      <c r="H2548" s="600"/>
    </row>
    <row r="2549" spans="1:8">
      <c r="A2549" s="600"/>
      <c r="B2549" s="600"/>
      <c r="C2549" s="600"/>
      <c r="D2549" s="600"/>
      <c r="E2549" s="600"/>
      <c r="F2549" s="600"/>
      <c r="G2549" s="600"/>
      <c r="H2549" s="600"/>
    </row>
    <row r="2550" spans="1:8">
      <c r="A2550" s="600"/>
      <c r="B2550" s="600"/>
      <c r="C2550" s="600"/>
      <c r="D2550" s="600"/>
      <c r="E2550" s="600"/>
      <c r="F2550" s="600"/>
      <c r="G2550" s="600"/>
      <c r="H2550" s="600"/>
    </row>
    <row r="2551" spans="1:8">
      <c r="A2551" s="600"/>
      <c r="B2551" s="600"/>
      <c r="C2551" s="600"/>
      <c r="D2551" s="600"/>
      <c r="E2551" s="600"/>
      <c r="F2551" s="600"/>
      <c r="G2551" s="600"/>
      <c r="H2551" s="600"/>
    </row>
    <row r="2552" spans="1:8">
      <c r="A2552" s="600"/>
      <c r="B2552" s="600"/>
      <c r="C2552" s="600"/>
      <c r="D2552" s="600"/>
      <c r="E2552" s="600"/>
      <c r="F2552" s="600"/>
      <c r="G2552" s="600"/>
      <c r="H2552" s="600"/>
    </row>
    <row r="2553" spans="1:8">
      <c r="A2553" s="600"/>
      <c r="B2553" s="600"/>
      <c r="C2553" s="600"/>
      <c r="D2553" s="600"/>
      <c r="E2553" s="600"/>
      <c r="F2553" s="600"/>
      <c r="G2553" s="600"/>
      <c r="H2553" s="600"/>
    </row>
    <row r="2554" spans="1:8">
      <c r="A2554" s="600"/>
      <c r="B2554" s="600"/>
      <c r="C2554" s="600"/>
      <c r="D2554" s="600"/>
      <c r="E2554" s="600"/>
      <c r="F2554" s="600"/>
      <c r="G2554" s="600"/>
      <c r="H2554" s="600"/>
    </row>
    <row r="2555" spans="1:8">
      <c r="A2555" s="600"/>
      <c r="B2555" s="600"/>
      <c r="C2555" s="600"/>
      <c r="D2555" s="600"/>
      <c r="E2555" s="600"/>
      <c r="F2555" s="600"/>
      <c r="G2555" s="600"/>
      <c r="H2555" s="600"/>
    </row>
    <row r="2556" spans="1:8">
      <c r="A2556" s="600"/>
      <c r="B2556" s="600"/>
      <c r="C2556" s="600"/>
      <c r="D2556" s="600"/>
      <c r="E2556" s="600"/>
      <c r="F2556" s="600"/>
      <c r="G2556" s="600"/>
      <c r="H2556" s="600"/>
    </row>
    <row r="2557" spans="1:8">
      <c r="A2557" s="600"/>
      <c r="B2557" s="600"/>
      <c r="C2557" s="600"/>
      <c r="D2557" s="600"/>
      <c r="E2557" s="600"/>
      <c r="F2557" s="600"/>
      <c r="G2557" s="600"/>
      <c r="H2557" s="600"/>
    </row>
    <row r="2558" spans="1:8">
      <c r="A2558" s="600"/>
      <c r="B2558" s="600"/>
      <c r="C2558" s="600"/>
      <c r="D2558" s="600"/>
      <c r="E2558" s="600"/>
      <c r="F2558" s="600"/>
      <c r="G2558" s="600"/>
      <c r="H2558" s="600"/>
    </row>
    <row r="2559" spans="1:8">
      <c r="A2559" s="600"/>
      <c r="B2559" s="600"/>
      <c r="C2559" s="600"/>
      <c r="D2559" s="600"/>
      <c r="E2559" s="600"/>
      <c r="F2559" s="600"/>
      <c r="G2559" s="600"/>
      <c r="H2559" s="600"/>
    </row>
    <row r="2560" spans="1:8">
      <c r="A2560" s="600"/>
      <c r="B2560" s="600"/>
      <c r="C2560" s="600"/>
      <c r="D2560" s="600"/>
      <c r="E2560" s="600"/>
      <c r="F2560" s="600"/>
      <c r="G2560" s="600"/>
      <c r="H2560" s="600"/>
    </row>
    <row r="2561" spans="1:8">
      <c r="A2561" s="600"/>
      <c r="B2561" s="600"/>
      <c r="C2561" s="600"/>
      <c r="D2561" s="600"/>
      <c r="E2561" s="600"/>
      <c r="F2561" s="600"/>
      <c r="G2561" s="600"/>
      <c r="H2561" s="600"/>
    </row>
    <row r="2562" spans="1:8">
      <c r="A2562" s="600"/>
      <c r="B2562" s="600"/>
      <c r="C2562" s="600"/>
      <c r="D2562" s="600"/>
      <c r="E2562" s="600"/>
      <c r="F2562" s="600"/>
      <c r="G2562" s="600"/>
      <c r="H2562" s="600"/>
    </row>
    <row r="2563" spans="1:8">
      <c r="A2563" s="600"/>
      <c r="B2563" s="600"/>
      <c r="C2563" s="600"/>
      <c r="D2563" s="600"/>
      <c r="E2563" s="600"/>
      <c r="F2563" s="600"/>
      <c r="G2563" s="600"/>
      <c r="H2563" s="600"/>
    </row>
    <row r="2564" spans="1:8">
      <c r="A2564" s="600"/>
      <c r="B2564" s="600"/>
      <c r="C2564" s="600"/>
      <c r="D2564" s="600"/>
      <c r="E2564" s="600"/>
      <c r="F2564" s="600"/>
      <c r="G2564" s="600"/>
      <c r="H2564" s="600"/>
    </row>
    <row r="2565" spans="1:8">
      <c r="A2565" s="600"/>
      <c r="B2565" s="600"/>
      <c r="C2565" s="600"/>
      <c r="D2565" s="600"/>
      <c r="E2565" s="600"/>
      <c r="F2565" s="600"/>
      <c r="G2565" s="600"/>
      <c r="H2565" s="600"/>
    </row>
    <row r="2566" spans="1:8">
      <c r="A2566" s="600"/>
      <c r="B2566" s="600"/>
      <c r="C2566" s="600"/>
      <c r="D2566" s="600"/>
      <c r="E2566" s="600"/>
      <c r="F2566" s="600"/>
      <c r="G2566" s="600"/>
      <c r="H2566" s="600"/>
    </row>
    <row r="2567" spans="1:8">
      <c r="A2567" s="600"/>
      <c r="B2567" s="600"/>
      <c r="C2567" s="600"/>
      <c r="D2567" s="600"/>
      <c r="E2567" s="600"/>
      <c r="F2567" s="600"/>
      <c r="G2567" s="600"/>
      <c r="H2567" s="600"/>
    </row>
    <row r="2568" spans="1:8">
      <c r="A2568" s="600"/>
      <c r="B2568" s="600"/>
      <c r="C2568" s="600"/>
      <c r="D2568" s="600"/>
      <c r="E2568" s="600"/>
      <c r="F2568" s="600"/>
      <c r="G2568" s="600"/>
      <c r="H2568" s="600"/>
    </row>
    <row r="2569" spans="1:8">
      <c r="A2569" s="600"/>
      <c r="B2569" s="600"/>
      <c r="C2569" s="600"/>
      <c r="D2569" s="600"/>
      <c r="E2569" s="600"/>
      <c r="F2569" s="600"/>
      <c r="G2569" s="600"/>
      <c r="H2569" s="600"/>
    </row>
    <row r="2570" spans="1:8">
      <c r="A2570" s="600"/>
      <c r="B2570" s="600"/>
      <c r="C2570" s="600"/>
      <c r="D2570" s="600"/>
      <c r="E2570" s="600"/>
      <c r="F2570" s="600"/>
      <c r="G2570" s="600"/>
      <c r="H2570" s="600"/>
    </row>
    <row r="2571" spans="1:8">
      <c r="A2571" s="600"/>
      <c r="B2571" s="600"/>
      <c r="C2571" s="600"/>
      <c r="D2571" s="600"/>
      <c r="E2571" s="600"/>
      <c r="F2571" s="600"/>
      <c r="G2571" s="600"/>
      <c r="H2571" s="600"/>
    </row>
    <row r="2572" spans="1:8">
      <c r="A2572" s="600"/>
      <c r="B2572" s="600"/>
      <c r="C2572" s="600"/>
      <c r="D2572" s="600"/>
      <c r="E2572" s="600"/>
      <c r="F2572" s="600"/>
      <c r="G2572" s="600"/>
      <c r="H2572" s="600"/>
    </row>
    <row r="2573" spans="1:8">
      <c r="A2573" s="600"/>
      <c r="B2573" s="600"/>
      <c r="C2573" s="600"/>
      <c r="D2573" s="600"/>
      <c r="E2573" s="600"/>
      <c r="F2573" s="600"/>
      <c r="G2573" s="600"/>
      <c r="H2573" s="600"/>
    </row>
    <row r="2574" spans="1:8">
      <c r="A2574" s="600"/>
      <c r="B2574" s="600"/>
      <c r="C2574" s="600"/>
      <c r="D2574" s="600"/>
      <c r="E2574" s="600"/>
      <c r="F2574" s="600"/>
      <c r="G2574" s="600"/>
      <c r="H2574" s="600"/>
    </row>
    <row r="2575" spans="1:8">
      <c r="A2575" s="600"/>
      <c r="B2575" s="600"/>
      <c r="C2575" s="600"/>
      <c r="D2575" s="600"/>
      <c r="E2575" s="600"/>
      <c r="F2575" s="600"/>
      <c r="G2575" s="600"/>
      <c r="H2575" s="600"/>
    </row>
    <row r="2576" spans="1:8">
      <c r="A2576" s="600"/>
      <c r="B2576" s="600"/>
      <c r="C2576" s="600"/>
      <c r="D2576" s="600"/>
      <c r="E2576" s="600"/>
      <c r="F2576" s="600"/>
      <c r="G2576" s="600"/>
      <c r="H2576" s="600"/>
    </row>
    <row r="2577" spans="1:8">
      <c r="A2577" s="600"/>
      <c r="B2577" s="600"/>
      <c r="C2577" s="600"/>
      <c r="D2577" s="600"/>
      <c r="E2577" s="600"/>
      <c r="F2577" s="600"/>
      <c r="G2577" s="600"/>
      <c r="H2577" s="600"/>
    </row>
    <row r="2578" spans="1:8">
      <c r="A2578" s="600"/>
      <c r="B2578" s="600"/>
      <c r="C2578" s="600"/>
      <c r="D2578" s="600"/>
      <c r="E2578" s="600"/>
      <c r="F2578" s="600"/>
      <c r="G2578" s="600"/>
      <c r="H2578" s="600"/>
    </row>
    <row r="2579" spans="1:8">
      <c r="A2579" s="600"/>
      <c r="B2579" s="600"/>
      <c r="C2579" s="600"/>
      <c r="D2579" s="600"/>
      <c r="E2579" s="600"/>
      <c r="F2579" s="600"/>
      <c r="G2579" s="600"/>
      <c r="H2579" s="600"/>
    </row>
    <row r="2580" spans="1:8">
      <c r="A2580" s="600"/>
      <c r="B2580" s="600"/>
      <c r="C2580" s="600"/>
      <c r="D2580" s="600"/>
      <c r="E2580" s="600"/>
      <c r="F2580" s="600"/>
      <c r="G2580" s="600"/>
      <c r="H2580" s="600"/>
    </row>
    <row r="2581" spans="1:8">
      <c r="A2581" s="600"/>
      <c r="B2581" s="600"/>
      <c r="C2581" s="600"/>
      <c r="D2581" s="600"/>
      <c r="E2581" s="600"/>
      <c r="F2581" s="600"/>
      <c r="G2581" s="600"/>
      <c r="H2581" s="600"/>
    </row>
    <row r="2582" spans="1:8">
      <c r="A2582" s="600"/>
      <c r="B2582" s="600"/>
      <c r="C2582" s="600"/>
      <c r="D2582" s="600"/>
      <c r="E2582" s="600"/>
      <c r="F2582" s="600"/>
      <c r="G2582" s="600"/>
      <c r="H2582" s="600"/>
    </row>
    <row r="2583" spans="1:8">
      <c r="A2583" s="600"/>
      <c r="B2583" s="600"/>
      <c r="C2583" s="600"/>
      <c r="D2583" s="600"/>
      <c r="E2583" s="600"/>
      <c r="F2583" s="600"/>
      <c r="G2583" s="600"/>
      <c r="H2583" s="600"/>
    </row>
    <row r="2584" spans="1:8">
      <c r="A2584" s="600"/>
      <c r="B2584" s="600"/>
      <c r="C2584" s="600"/>
      <c r="D2584" s="600"/>
      <c r="E2584" s="600"/>
      <c r="F2584" s="600"/>
      <c r="G2584" s="600"/>
      <c r="H2584" s="600"/>
    </row>
    <row r="2585" spans="1:8">
      <c r="A2585" s="600"/>
      <c r="B2585" s="600"/>
      <c r="C2585" s="600"/>
      <c r="D2585" s="600"/>
      <c r="E2585" s="600"/>
      <c r="F2585" s="600"/>
      <c r="G2585" s="600"/>
      <c r="H2585" s="600"/>
    </row>
    <row r="2586" spans="1:8">
      <c r="A2586" s="600"/>
      <c r="B2586" s="600"/>
      <c r="C2586" s="600"/>
      <c r="D2586" s="600"/>
      <c r="E2586" s="600"/>
      <c r="F2586" s="600"/>
      <c r="G2586" s="600"/>
      <c r="H2586" s="600"/>
    </row>
    <row r="2587" spans="1:8">
      <c r="A2587" s="600"/>
      <c r="B2587" s="600"/>
      <c r="C2587" s="600"/>
      <c r="D2587" s="600"/>
      <c r="E2587" s="600"/>
      <c r="F2587" s="600"/>
      <c r="G2587" s="600"/>
      <c r="H2587" s="600"/>
    </row>
    <row r="2588" spans="1:8">
      <c r="A2588" s="600"/>
      <c r="B2588" s="600"/>
      <c r="C2588" s="600"/>
      <c r="D2588" s="600"/>
      <c r="E2588" s="600"/>
      <c r="F2588" s="600"/>
      <c r="G2588" s="600"/>
      <c r="H2588" s="600"/>
    </row>
    <row r="2589" spans="1:8">
      <c r="A2589" s="600"/>
      <c r="B2589" s="600"/>
      <c r="C2589" s="600"/>
      <c r="D2589" s="600"/>
      <c r="E2589" s="600"/>
      <c r="F2589" s="600"/>
      <c r="G2589" s="600"/>
      <c r="H2589" s="600"/>
    </row>
    <row r="2590" spans="1:8">
      <c r="A2590" s="600"/>
      <c r="B2590" s="600"/>
      <c r="C2590" s="600"/>
      <c r="D2590" s="600"/>
      <c r="E2590" s="600"/>
      <c r="F2590" s="600"/>
      <c r="G2590" s="600"/>
      <c r="H2590" s="600"/>
    </row>
    <row r="2591" spans="1:8">
      <c r="A2591" s="600"/>
      <c r="B2591" s="600"/>
      <c r="C2591" s="600"/>
      <c r="D2591" s="600"/>
      <c r="E2591" s="600"/>
      <c r="F2591" s="600"/>
      <c r="G2591" s="600"/>
      <c r="H2591" s="600"/>
    </row>
    <row r="2592" spans="1:8">
      <c r="A2592" s="600"/>
      <c r="B2592" s="600"/>
      <c r="C2592" s="600"/>
      <c r="D2592" s="600"/>
      <c r="E2592" s="600"/>
      <c r="F2592" s="600"/>
      <c r="G2592" s="600"/>
      <c r="H2592" s="600"/>
    </row>
    <row r="2593" spans="1:8">
      <c r="A2593" s="600"/>
      <c r="B2593" s="600"/>
      <c r="C2593" s="600"/>
      <c r="D2593" s="600"/>
      <c r="E2593" s="600"/>
      <c r="F2593" s="600"/>
      <c r="G2593" s="600"/>
      <c r="H2593" s="600"/>
    </row>
    <row r="2594" spans="1:8">
      <c r="A2594" s="600"/>
      <c r="B2594" s="600"/>
      <c r="C2594" s="600"/>
      <c r="D2594" s="600"/>
      <c r="E2594" s="600"/>
      <c r="F2594" s="600"/>
      <c r="G2594" s="600"/>
      <c r="H2594" s="600"/>
    </row>
    <row r="2595" spans="1:8">
      <c r="A2595" s="600"/>
      <c r="B2595" s="600"/>
      <c r="C2595" s="600"/>
      <c r="D2595" s="600"/>
      <c r="E2595" s="600"/>
      <c r="F2595" s="600"/>
      <c r="G2595" s="600"/>
      <c r="H2595" s="600"/>
    </row>
    <row r="2596" spans="1:8">
      <c r="A2596" s="600"/>
      <c r="B2596" s="600"/>
      <c r="C2596" s="600"/>
      <c r="D2596" s="600"/>
      <c r="E2596" s="600"/>
      <c r="F2596" s="600"/>
      <c r="G2596" s="600"/>
      <c r="H2596" s="600"/>
    </row>
    <row r="2597" spans="1:8">
      <c r="A2597" s="600"/>
      <c r="B2597" s="600"/>
      <c r="C2597" s="600"/>
      <c r="D2597" s="600"/>
      <c r="E2597" s="600"/>
      <c r="F2597" s="600"/>
      <c r="G2597" s="600"/>
      <c r="H2597" s="600"/>
    </row>
    <row r="2598" spans="1:8">
      <c r="A2598" s="600"/>
      <c r="B2598" s="600"/>
      <c r="C2598" s="600"/>
      <c r="D2598" s="600"/>
      <c r="E2598" s="600"/>
      <c r="F2598" s="600"/>
      <c r="G2598" s="600"/>
      <c r="H2598" s="600"/>
    </row>
    <row r="2599" spans="1:8">
      <c r="A2599" s="600"/>
      <c r="B2599" s="600"/>
      <c r="C2599" s="600"/>
      <c r="D2599" s="600"/>
      <c r="E2599" s="600"/>
      <c r="F2599" s="600"/>
      <c r="G2599" s="600"/>
      <c r="H2599" s="600"/>
    </row>
    <row r="2600" spans="1:8">
      <c r="A2600" s="600"/>
      <c r="B2600" s="600"/>
      <c r="C2600" s="600"/>
      <c r="D2600" s="600"/>
      <c r="E2600" s="600"/>
      <c r="F2600" s="600"/>
      <c r="G2600" s="600"/>
      <c r="H2600" s="600"/>
    </row>
    <row r="2601" spans="1:8">
      <c r="A2601" s="600"/>
      <c r="B2601" s="600"/>
      <c r="C2601" s="600"/>
      <c r="D2601" s="600"/>
      <c r="E2601" s="600"/>
      <c r="F2601" s="600"/>
      <c r="G2601" s="600"/>
      <c r="H2601" s="600"/>
    </row>
    <row r="2602" spans="1:8">
      <c r="A2602" s="600"/>
      <c r="B2602" s="600"/>
      <c r="C2602" s="600"/>
      <c r="D2602" s="600"/>
      <c r="E2602" s="600"/>
      <c r="F2602" s="600"/>
      <c r="G2602" s="600"/>
      <c r="H2602" s="600"/>
    </row>
    <row r="2603" spans="1:8">
      <c r="A2603" s="600"/>
      <c r="B2603" s="600"/>
      <c r="C2603" s="600"/>
      <c r="D2603" s="600"/>
      <c r="E2603" s="600"/>
      <c r="F2603" s="600"/>
      <c r="G2603" s="600"/>
      <c r="H2603" s="600"/>
    </row>
    <row r="2604" spans="1:8">
      <c r="A2604" s="600"/>
      <c r="B2604" s="600"/>
      <c r="C2604" s="600"/>
      <c r="D2604" s="600"/>
      <c r="E2604" s="600"/>
      <c r="F2604" s="600"/>
      <c r="G2604" s="600"/>
      <c r="H2604" s="600"/>
    </row>
    <row r="2605" spans="1:8">
      <c r="A2605" s="600"/>
      <c r="B2605" s="600"/>
      <c r="C2605" s="600"/>
      <c r="D2605" s="600"/>
      <c r="E2605" s="600"/>
      <c r="F2605" s="600"/>
      <c r="G2605" s="600"/>
      <c r="H2605" s="600"/>
    </row>
    <row r="2606" spans="1:8">
      <c r="A2606" s="600"/>
      <c r="B2606" s="600"/>
      <c r="C2606" s="600"/>
      <c r="D2606" s="600"/>
      <c r="E2606" s="600"/>
      <c r="F2606" s="600"/>
      <c r="G2606" s="600"/>
      <c r="H2606" s="600"/>
    </row>
    <row r="2607" spans="1:8">
      <c r="A2607" s="600"/>
      <c r="B2607" s="600"/>
      <c r="C2607" s="600"/>
      <c r="D2607" s="600"/>
      <c r="E2607" s="600"/>
      <c r="F2607" s="600"/>
      <c r="G2607" s="600"/>
      <c r="H2607" s="600"/>
    </row>
    <row r="2608" spans="1:8">
      <c r="A2608" s="600"/>
      <c r="B2608" s="600"/>
      <c r="C2608" s="600"/>
      <c r="D2608" s="600"/>
      <c r="E2608" s="600"/>
      <c r="F2608" s="600"/>
      <c r="G2608" s="600"/>
      <c r="H2608" s="600"/>
    </row>
    <row r="2609" spans="1:8">
      <c r="A2609" s="600"/>
      <c r="B2609" s="600"/>
      <c r="C2609" s="600"/>
      <c r="D2609" s="600"/>
      <c r="E2609" s="600"/>
      <c r="F2609" s="600"/>
      <c r="G2609" s="600"/>
      <c r="H2609" s="600"/>
    </row>
    <row r="2610" spans="1:8">
      <c r="A2610" s="600"/>
      <c r="B2610" s="600"/>
      <c r="C2610" s="600"/>
      <c r="D2610" s="600"/>
      <c r="E2610" s="600"/>
      <c r="F2610" s="600"/>
      <c r="G2610" s="600"/>
      <c r="H2610" s="600"/>
    </row>
    <row r="2611" spans="1:8">
      <c r="A2611" s="600"/>
      <c r="B2611" s="600"/>
      <c r="C2611" s="600"/>
      <c r="D2611" s="600"/>
      <c r="E2611" s="600"/>
      <c r="F2611" s="600"/>
      <c r="G2611" s="600"/>
      <c r="H2611" s="600"/>
    </row>
    <row r="2612" spans="1:8">
      <c r="A2612" s="600"/>
      <c r="B2612" s="600"/>
      <c r="C2612" s="600"/>
      <c r="D2612" s="600"/>
      <c r="E2612" s="600"/>
      <c r="F2612" s="600"/>
      <c r="G2612" s="600"/>
      <c r="H2612" s="600"/>
    </row>
    <row r="2613" spans="1:8">
      <c r="A2613" s="600"/>
      <c r="B2613" s="600"/>
      <c r="C2613" s="600"/>
      <c r="D2613" s="600"/>
      <c r="E2613" s="600"/>
      <c r="F2613" s="600"/>
      <c r="G2613" s="600"/>
      <c r="H2613" s="600"/>
    </row>
    <row r="2614" spans="1:8">
      <c r="A2614" s="600"/>
      <c r="B2614" s="600"/>
      <c r="C2614" s="600"/>
      <c r="D2614" s="600"/>
      <c r="E2614" s="600"/>
      <c r="F2614" s="600"/>
      <c r="G2614" s="600"/>
      <c r="H2614" s="600"/>
    </row>
    <row r="2615" spans="1:8">
      <c r="A2615" s="600"/>
      <c r="B2615" s="600"/>
      <c r="C2615" s="600"/>
      <c r="D2615" s="600"/>
      <c r="E2615" s="600"/>
      <c r="F2615" s="600"/>
      <c r="G2615" s="600"/>
      <c r="H2615" s="600"/>
    </row>
    <row r="2616" spans="1:8">
      <c r="A2616" s="600"/>
      <c r="B2616" s="600"/>
      <c r="C2616" s="600"/>
      <c r="D2616" s="600"/>
      <c r="E2616" s="600"/>
      <c r="F2616" s="600"/>
      <c r="G2616" s="600"/>
      <c r="H2616" s="600"/>
    </row>
    <row r="2617" spans="1:8">
      <c r="A2617" s="600"/>
      <c r="B2617" s="600"/>
      <c r="C2617" s="600"/>
      <c r="D2617" s="600"/>
      <c r="E2617" s="600"/>
      <c r="F2617" s="600"/>
      <c r="G2617" s="600"/>
      <c r="H2617" s="600"/>
    </row>
    <row r="2618" spans="1:8">
      <c r="A2618" s="600"/>
      <c r="B2618" s="600"/>
      <c r="C2618" s="600"/>
      <c r="D2618" s="600"/>
      <c r="E2618" s="600"/>
      <c r="F2618" s="600"/>
      <c r="G2618" s="600"/>
      <c r="H2618" s="600"/>
    </row>
    <row r="2619" spans="1:8">
      <c r="A2619" s="600"/>
      <c r="B2619" s="600"/>
      <c r="C2619" s="600"/>
      <c r="D2619" s="600"/>
      <c r="E2619" s="600"/>
      <c r="F2619" s="600"/>
      <c r="G2619" s="600"/>
      <c r="H2619" s="600"/>
    </row>
    <row r="2620" spans="1:8">
      <c r="A2620" s="600"/>
      <c r="B2620" s="600"/>
      <c r="C2620" s="600"/>
      <c r="D2620" s="600"/>
      <c r="E2620" s="600"/>
      <c r="F2620" s="600"/>
      <c r="G2620" s="600"/>
      <c r="H2620" s="600"/>
    </row>
    <row r="2621" spans="1:8">
      <c r="A2621" s="600"/>
      <c r="B2621" s="600"/>
      <c r="C2621" s="600"/>
      <c r="D2621" s="600"/>
      <c r="E2621" s="600"/>
      <c r="F2621" s="600"/>
      <c r="G2621" s="600"/>
      <c r="H2621" s="600"/>
    </row>
    <row r="2622" spans="1:8">
      <c r="A2622" s="600"/>
      <c r="B2622" s="600"/>
      <c r="C2622" s="600"/>
      <c r="D2622" s="600"/>
      <c r="E2622" s="600"/>
      <c r="F2622" s="600"/>
      <c r="G2622" s="600"/>
      <c r="H2622" s="600"/>
    </row>
    <row r="2623" spans="1:8">
      <c r="A2623" s="600"/>
      <c r="B2623" s="600"/>
      <c r="C2623" s="600"/>
      <c r="D2623" s="600"/>
      <c r="E2623" s="600"/>
      <c r="F2623" s="600"/>
      <c r="G2623" s="600"/>
      <c r="H2623" s="600"/>
    </row>
    <row r="2624" spans="1:8">
      <c r="A2624" s="600"/>
      <c r="B2624" s="600"/>
      <c r="C2624" s="600"/>
      <c r="D2624" s="600"/>
      <c r="E2624" s="600"/>
      <c r="F2624" s="600"/>
      <c r="G2624" s="600"/>
      <c r="H2624" s="600"/>
    </row>
    <row r="2625" spans="1:8">
      <c r="A2625" s="600"/>
      <c r="B2625" s="600"/>
      <c r="C2625" s="600"/>
      <c r="D2625" s="600"/>
      <c r="E2625" s="600"/>
      <c r="F2625" s="600"/>
      <c r="G2625" s="600"/>
      <c r="H2625" s="600"/>
    </row>
    <row r="2626" spans="1:8">
      <c r="A2626" s="600"/>
      <c r="B2626" s="600"/>
      <c r="C2626" s="600"/>
      <c r="D2626" s="600"/>
      <c r="E2626" s="600"/>
      <c r="F2626" s="600"/>
      <c r="G2626" s="600"/>
      <c r="H2626" s="600"/>
    </row>
    <row r="2627" spans="1:8">
      <c r="A2627" s="600"/>
      <c r="B2627" s="600"/>
      <c r="C2627" s="600"/>
      <c r="D2627" s="600"/>
      <c r="E2627" s="600"/>
      <c r="F2627" s="600"/>
      <c r="G2627" s="600"/>
      <c r="H2627" s="600"/>
    </row>
    <row r="2628" spans="1:8">
      <c r="A2628" s="600"/>
      <c r="B2628" s="600"/>
      <c r="C2628" s="600"/>
      <c r="D2628" s="600"/>
      <c r="E2628" s="600"/>
      <c r="F2628" s="600"/>
      <c r="G2628" s="600"/>
      <c r="H2628" s="600"/>
    </row>
    <row r="2629" spans="1:8">
      <c r="A2629" s="600"/>
      <c r="B2629" s="600"/>
      <c r="C2629" s="600"/>
      <c r="D2629" s="600"/>
      <c r="E2629" s="600"/>
      <c r="F2629" s="600"/>
      <c r="G2629" s="600"/>
      <c r="H2629" s="600"/>
    </row>
    <row r="2630" spans="1:8">
      <c r="A2630" s="600"/>
      <c r="B2630" s="600"/>
      <c r="C2630" s="600"/>
      <c r="D2630" s="600"/>
      <c r="E2630" s="600"/>
      <c r="F2630" s="600"/>
      <c r="G2630" s="600"/>
      <c r="H2630" s="600"/>
    </row>
    <row r="2631" spans="1:8">
      <c r="A2631" s="600"/>
      <c r="B2631" s="600"/>
      <c r="C2631" s="600"/>
      <c r="D2631" s="600"/>
      <c r="E2631" s="600"/>
      <c r="F2631" s="600"/>
      <c r="G2631" s="600"/>
      <c r="H2631" s="600"/>
    </row>
    <row r="2632" spans="1:8">
      <c r="A2632" s="600"/>
      <c r="B2632" s="600"/>
      <c r="C2632" s="600"/>
      <c r="D2632" s="600"/>
      <c r="E2632" s="600"/>
      <c r="F2632" s="600"/>
      <c r="G2632" s="600"/>
      <c r="H2632" s="600"/>
    </row>
    <row r="2633" spans="1:8">
      <c r="A2633" s="600"/>
      <c r="B2633" s="600"/>
      <c r="C2633" s="600"/>
      <c r="D2633" s="600"/>
      <c r="E2633" s="600"/>
      <c r="F2633" s="600"/>
      <c r="G2633" s="600"/>
      <c r="H2633" s="600"/>
    </row>
    <row r="2634" spans="1:8">
      <c r="A2634" s="600"/>
      <c r="B2634" s="600"/>
      <c r="C2634" s="600"/>
      <c r="D2634" s="600"/>
      <c r="E2634" s="600"/>
      <c r="F2634" s="600"/>
      <c r="G2634" s="600"/>
      <c r="H2634" s="600"/>
    </row>
    <row r="2635" spans="1:8">
      <c r="A2635" s="600"/>
      <c r="B2635" s="600"/>
      <c r="C2635" s="600"/>
      <c r="D2635" s="600"/>
      <c r="E2635" s="600"/>
      <c r="F2635" s="600"/>
      <c r="G2635" s="600"/>
      <c r="H2635" s="600"/>
    </row>
    <row r="2636" spans="1:8">
      <c r="A2636" s="600"/>
      <c r="B2636" s="600"/>
      <c r="C2636" s="600"/>
      <c r="D2636" s="600"/>
      <c r="E2636" s="600"/>
      <c r="F2636" s="600"/>
      <c r="G2636" s="600"/>
      <c r="H2636" s="600"/>
    </row>
    <row r="2637" spans="1:8">
      <c r="A2637" s="600"/>
      <c r="B2637" s="600"/>
      <c r="C2637" s="600"/>
      <c r="D2637" s="600"/>
      <c r="E2637" s="600"/>
      <c r="F2637" s="600"/>
      <c r="G2637" s="600"/>
      <c r="H2637" s="600"/>
    </row>
    <row r="2638" spans="1:8">
      <c r="A2638" s="600"/>
      <c r="B2638" s="600"/>
      <c r="C2638" s="600"/>
      <c r="D2638" s="600"/>
      <c r="E2638" s="600"/>
      <c r="F2638" s="600"/>
      <c r="G2638" s="600"/>
      <c r="H2638" s="600"/>
    </row>
    <row r="2639" spans="1:8">
      <c r="A2639" s="600"/>
      <c r="B2639" s="600"/>
      <c r="C2639" s="600"/>
      <c r="D2639" s="600"/>
      <c r="E2639" s="600"/>
      <c r="F2639" s="600"/>
      <c r="G2639" s="600"/>
      <c r="H2639" s="600"/>
    </row>
    <row r="2640" spans="1:8">
      <c r="A2640" s="600"/>
      <c r="B2640" s="600"/>
      <c r="C2640" s="600"/>
      <c r="D2640" s="600"/>
      <c r="E2640" s="600"/>
      <c r="F2640" s="600"/>
      <c r="G2640" s="600"/>
      <c r="H2640" s="600"/>
    </row>
    <row r="2641" spans="1:8">
      <c r="A2641" s="600"/>
      <c r="B2641" s="600"/>
      <c r="C2641" s="600"/>
      <c r="D2641" s="600"/>
      <c r="E2641" s="600"/>
      <c r="F2641" s="600"/>
      <c r="G2641" s="600"/>
      <c r="H2641" s="600"/>
    </row>
    <row r="2642" spans="1:8">
      <c r="A2642" s="600"/>
      <c r="B2642" s="600"/>
      <c r="C2642" s="600"/>
      <c r="D2642" s="600"/>
      <c r="E2642" s="600"/>
      <c r="F2642" s="600"/>
      <c r="G2642" s="600"/>
      <c r="H2642" s="600"/>
    </row>
    <row r="2643" spans="1:8">
      <c r="A2643" s="600"/>
      <c r="B2643" s="600"/>
      <c r="C2643" s="600"/>
      <c r="D2643" s="600"/>
      <c r="E2643" s="600"/>
      <c r="F2643" s="600"/>
      <c r="G2643" s="600"/>
      <c r="H2643" s="600"/>
    </row>
    <row r="2644" spans="1:8">
      <c r="A2644" s="600"/>
      <c r="B2644" s="600"/>
      <c r="C2644" s="600"/>
      <c r="D2644" s="600"/>
      <c r="E2644" s="600"/>
      <c r="F2644" s="600"/>
      <c r="G2644" s="600"/>
      <c r="H2644" s="600"/>
    </row>
    <row r="2645" spans="1:8">
      <c r="A2645" s="600"/>
      <c r="B2645" s="600"/>
      <c r="C2645" s="600"/>
      <c r="D2645" s="600"/>
      <c r="E2645" s="600"/>
      <c r="F2645" s="600"/>
      <c r="G2645" s="600"/>
      <c r="H2645" s="600"/>
    </row>
    <row r="2646" spans="1:8">
      <c r="A2646" s="600"/>
      <c r="B2646" s="600"/>
      <c r="C2646" s="600"/>
      <c r="D2646" s="600"/>
      <c r="E2646" s="600"/>
      <c r="F2646" s="600"/>
      <c r="G2646" s="600"/>
      <c r="H2646" s="600"/>
    </row>
    <row r="2647" spans="1:8">
      <c r="A2647" s="600"/>
      <c r="B2647" s="600"/>
      <c r="C2647" s="600"/>
      <c r="D2647" s="600"/>
      <c r="E2647" s="600"/>
      <c r="F2647" s="600"/>
      <c r="G2647" s="600"/>
      <c r="H2647" s="600"/>
    </row>
    <row r="2648" spans="1:8">
      <c r="A2648" s="600"/>
      <c r="B2648" s="600"/>
      <c r="C2648" s="600"/>
      <c r="D2648" s="600"/>
      <c r="E2648" s="600"/>
      <c r="F2648" s="600"/>
      <c r="G2648" s="600"/>
      <c r="H2648" s="600"/>
    </row>
    <row r="2649" spans="1:8">
      <c r="A2649" s="600"/>
      <c r="B2649" s="600"/>
      <c r="C2649" s="600"/>
      <c r="D2649" s="600"/>
      <c r="E2649" s="600"/>
      <c r="F2649" s="600"/>
      <c r="G2649" s="600"/>
      <c r="H2649" s="600"/>
    </row>
    <row r="2650" spans="1:8">
      <c r="A2650" s="600"/>
      <c r="B2650" s="600"/>
      <c r="C2650" s="600"/>
      <c r="D2650" s="600"/>
      <c r="E2650" s="600"/>
      <c r="F2650" s="600"/>
      <c r="G2650" s="600"/>
      <c r="H2650" s="600"/>
    </row>
    <row r="2651" spans="1:8">
      <c r="A2651" s="600"/>
      <c r="B2651" s="600"/>
      <c r="C2651" s="600"/>
      <c r="D2651" s="600"/>
      <c r="E2651" s="600"/>
      <c r="F2651" s="600"/>
      <c r="G2651" s="600"/>
      <c r="H2651" s="600"/>
    </row>
    <row r="2652" spans="1:8">
      <c r="A2652" s="600"/>
      <c r="B2652" s="600"/>
      <c r="C2652" s="600"/>
      <c r="D2652" s="600"/>
      <c r="E2652" s="600"/>
      <c r="F2652" s="600"/>
      <c r="G2652" s="600"/>
      <c r="H2652" s="600"/>
    </row>
    <row r="2653" spans="1:8">
      <c r="A2653" s="600"/>
      <c r="B2653" s="600"/>
      <c r="C2653" s="600"/>
      <c r="D2653" s="600"/>
      <c r="E2653" s="600"/>
      <c r="F2653" s="600"/>
      <c r="G2653" s="600"/>
      <c r="H2653" s="600"/>
    </row>
    <row r="2654" spans="1:8">
      <c r="A2654" s="600"/>
      <c r="B2654" s="600"/>
      <c r="C2654" s="600"/>
      <c r="D2654" s="600"/>
      <c r="E2654" s="600"/>
      <c r="F2654" s="600"/>
      <c r="G2654" s="600"/>
      <c r="H2654" s="600"/>
    </row>
    <row r="2655" spans="1:8">
      <c r="A2655" s="600"/>
      <c r="B2655" s="600"/>
      <c r="C2655" s="600"/>
      <c r="D2655" s="600"/>
      <c r="E2655" s="600"/>
      <c r="F2655" s="600"/>
      <c r="G2655" s="600"/>
      <c r="H2655" s="600"/>
    </row>
    <row r="2656" spans="1:8">
      <c r="A2656" s="600"/>
      <c r="B2656" s="600"/>
      <c r="C2656" s="600"/>
      <c r="D2656" s="600"/>
      <c r="E2656" s="600"/>
      <c r="F2656" s="600"/>
      <c r="G2656" s="600"/>
      <c r="H2656" s="600"/>
    </row>
    <row r="2657" spans="1:8">
      <c r="A2657" s="600"/>
      <c r="B2657" s="600"/>
      <c r="C2657" s="600"/>
      <c r="D2657" s="600"/>
      <c r="E2657" s="600"/>
      <c r="F2657" s="600"/>
      <c r="G2657" s="600"/>
      <c r="H2657" s="600"/>
    </row>
    <row r="2658" spans="1:8">
      <c r="A2658" s="600"/>
      <c r="B2658" s="600"/>
      <c r="C2658" s="600"/>
      <c r="D2658" s="600"/>
      <c r="E2658" s="600"/>
      <c r="F2658" s="600"/>
      <c r="G2658" s="600"/>
      <c r="H2658" s="600"/>
    </row>
    <row r="2659" spans="1:8">
      <c r="A2659" s="600"/>
      <c r="B2659" s="600"/>
      <c r="C2659" s="600"/>
      <c r="D2659" s="600"/>
      <c r="E2659" s="600"/>
      <c r="F2659" s="600"/>
      <c r="G2659" s="600"/>
      <c r="H2659" s="600"/>
    </row>
    <row r="2660" spans="1:8">
      <c r="A2660" s="600"/>
      <c r="B2660" s="600"/>
      <c r="C2660" s="600"/>
      <c r="D2660" s="600"/>
      <c r="E2660" s="600"/>
      <c r="F2660" s="600"/>
      <c r="G2660" s="600"/>
      <c r="H2660" s="600"/>
    </row>
    <row r="2661" spans="1:8">
      <c r="A2661" s="600"/>
      <c r="B2661" s="600"/>
      <c r="C2661" s="600"/>
      <c r="D2661" s="600"/>
      <c r="E2661" s="600"/>
      <c r="F2661" s="600"/>
      <c r="G2661" s="600"/>
      <c r="H2661" s="600"/>
    </row>
    <row r="2662" spans="1:8">
      <c r="A2662" s="600"/>
      <c r="B2662" s="600"/>
      <c r="C2662" s="600"/>
      <c r="D2662" s="600"/>
      <c r="E2662" s="600"/>
      <c r="F2662" s="600"/>
      <c r="G2662" s="600"/>
      <c r="H2662" s="600"/>
    </row>
    <row r="2663" spans="1:8">
      <c r="A2663" s="600"/>
      <c r="B2663" s="600"/>
      <c r="C2663" s="600"/>
      <c r="D2663" s="600"/>
      <c r="E2663" s="600"/>
      <c r="F2663" s="600"/>
      <c r="G2663" s="600"/>
      <c r="H2663" s="600"/>
    </row>
    <row r="2664" spans="1:8">
      <c r="A2664" s="600"/>
      <c r="B2664" s="600"/>
      <c r="C2664" s="600"/>
      <c r="D2664" s="600"/>
      <c r="E2664" s="600"/>
      <c r="F2664" s="600"/>
      <c r="G2664" s="600"/>
      <c r="H2664" s="600"/>
    </row>
    <row r="2665" spans="1:8">
      <c r="A2665" s="600"/>
      <c r="B2665" s="600"/>
      <c r="C2665" s="600"/>
      <c r="D2665" s="600"/>
      <c r="E2665" s="600"/>
      <c r="F2665" s="600"/>
      <c r="G2665" s="600"/>
      <c r="H2665" s="600"/>
    </row>
    <row r="2666" spans="1:8">
      <c r="A2666" s="600"/>
      <c r="B2666" s="600"/>
      <c r="C2666" s="600"/>
      <c r="D2666" s="600"/>
      <c r="E2666" s="600"/>
      <c r="F2666" s="600"/>
      <c r="G2666" s="600"/>
      <c r="H2666" s="600"/>
    </row>
    <row r="2667" spans="1:8">
      <c r="A2667" s="600"/>
      <c r="B2667" s="600"/>
      <c r="C2667" s="600"/>
      <c r="D2667" s="600"/>
      <c r="E2667" s="600"/>
      <c r="F2667" s="600"/>
      <c r="G2667" s="600"/>
      <c r="H2667" s="600"/>
    </row>
    <row r="2668" spans="1:8">
      <c r="A2668" s="600"/>
      <c r="B2668" s="600"/>
      <c r="C2668" s="600"/>
      <c r="D2668" s="600"/>
      <c r="E2668" s="600"/>
      <c r="F2668" s="600"/>
      <c r="G2668" s="600"/>
      <c r="H2668" s="600"/>
    </row>
    <row r="2669" spans="1:8">
      <c r="A2669" s="600"/>
      <c r="B2669" s="600"/>
      <c r="C2669" s="600"/>
      <c r="D2669" s="600"/>
      <c r="E2669" s="600"/>
      <c r="F2669" s="600"/>
      <c r="G2669" s="600"/>
      <c r="H2669" s="600"/>
    </row>
    <row r="2670" spans="1:8">
      <c r="A2670" s="600"/>
      <c r="B2670" s="600"/>
      <c r="C2670" s="600"/>
      <c r="D2670" s="600"/>
      <c r="E2670" s="600"/>
      <c r="F2670" s="600"/>
      <c r="G2670" s="600"/>
      <c r="H2670" s="600"/>
    </row>
    <row r="2671" spans="1:8">
      <c r="A2671" s="600"/>
      <c r="B2671" s="600"/>
      <c r="C2671" s="600"/>
      <c r="D2671" s="600"/>
      <c r="E2671" s="600"/>
      <c r="F2671" s="600"/>
      <c r="G2671" s="600"/>
      <c r="H2671" s="600"/>
    </row>
    <row r="2672" spans="1:8">
      <c r="A2672" s="600"/>
      <c r="B2672" s="600"/>
      <c r="C2672" s="600"/>
      <c r="D2672" s="600"/>
      <c r="E2672" s="600"/>
      <c r="F2672" s="600"/>
      <c r="G2672" s="600"/>
      <c r="H2672" s="600"/>
    </row>
    <row r="2673" spans="1:8">
      <c r="A2673" s="600"/>
      <c r="B2673" s="600"/>
      <c r="C2673" s="600"/>
      <c r="D2673" s="600"/>
      <c r="E2673" s="600"/>
      <c r="F2673" s="600"/>
      <c r="G2673" s="600"/>
      <c r="H2673" s="600"/>
    </row>
    <row r="2674" spans="1:8">
      <c r="A2674" s="600"/>
      <c r="B2674" s="600"/>
      <c r="C2674" s="600"/>
      <c r="D2674" s="600"/>
      <c r="E2674" s="600"/>
      <c r="F2674" s="600"/>
      <c r="G2674" s="600"/>
      <c r="H2674" s="600"/>
    </row>
    <row r="2675" spans="1:8">
      <c r="A2675" s="600"/>
      <c r="B2675" s="600"/>
      <c r="C2675" s="600"/>
      <c r="D2675" s="600"/>
      <c r="E2675" s="600"/>
      <c r="F2675" s="600"/>
      <c r="G2675" s="600"/>
      <c r="H2675" s="600"/>
    </row>
    <row r="2676" spans="1:8">
      <c r="A2676" s="600"/>
      <c r="B2676" s="600"/>
      <c r="C2676" s="600"/>
      <c r="D2676" s="600"/>
      <c r="E2676" s="600"/>
      <c r="F2676" s="600"/>
      <c r="G2676" s="600"/>
      <c r="H2676" s="600"/>
    </row>
    <row r="2677" spans="1:8">
      <c r="A2677" s="600"/>
      <c r="B2677" s="600"/>
      <c r="C2677" s="600"/>
      <c r="D2677" s="600"/>
      <c r="E2677" s="600"/>
      <c r="F2677" s="600"/>
      <c r="G2677" s="600"/>
      <c r="H2677" s="600"/>
    </row>
    <row r="2678" spans="1:8">
      <c r="A2678" s="600"/>
      <c r="B2678" s="600"/>
      <c r="C2678" s="600"/>
      <c r="D2678" s="600"/>
      <c r="E2678" s="600"/>
      <c r="F2678" s="600"/>
      <c r="G2678" s="600"/>
      <c r="H2678" s="600"/>
    </row>
    <row r="2679" spans="1:8">
      <c r="A2679" s="600"/>
      <c r="B2679" s="600"/>
      <c r="C2679" s="600"/>
      <c r="D2679" s="600"/>
      <c r="E2679" s="600"/>
      <c r="F2679" s="600"/>
      <c r="G2679" s="600"/>
      <c r="H2679" s="600"/>
    </row>
    <row r="2680" spans="1:8">
      <c r="A2680" s="600"/>
      <c r="B2680" s="600"/>
      <c r="C2680" s="600"/>
      <c r="D2680" s="600"/>
      <c r="E2680" s="600"/>
      <c r="F2680" s="600"/>
      <c r="G2680" s="600"/>
      <c r="H2680" s="600"/>
    </row>
    <row r="2681" spans="1:8">
      <c r="A2681" s="600"/>
      <c r="B2681" s="600"/>
      <c r="C2681" s="600"/>
      <c r="D2681" s="600"/>
      <c r="E2681" s="600"/>
      <c r="F2681" s="600"/>
      <c r="G2681" s="600"/>
      <c r="H2681" s="600"/>
    </row>
    <row r="2682" spans="1:8">
      <c r="A2682" s="600"/>
      <c r="B2682" s="600"/>
      <c r="C2682" s="600"/>
      <c r="D2682" s="600"/>
      <c r="E2682" s="600"/>
      <c r="F2682" s="600"/>
      <c r="G2682" s="600"/>
      <c r="H2682" s="600"/>
    </row>
    <row r="2683" spans="1:8">
      <c r="A2683" s="600"/>
      <c r="B2683" s="600"/>
      <c r="C2683" s="600"/>
      <c r="D2683" s="600"/>
      <c r="E2683" s="600"/>
      <c r="F2683" s="600"/>
      <c r="G2683" s="600"/>
      <c r="H2683" s="600"/>
    </row>
    <row r="2684" spans="1:8">
      <c r="A2684" s="600"/>
      <c r="B2684" s="600"/>
      <c r="C2684" s="600"/>
      <c r="D2684" s="600"/>
      <c r="E2684" s="600"/>
      <c r="F2684" s="600"/>
      <c r="G2684" s="600"/>
      <c r="H2684" s="600"/>
    </row>
    <row r="2685" spans="1:8">
      <c r="A2685" s="600"/>
      <c r="B2685" s="600"/>
      <c r="C2685" s="600"/>
      <c r="D2685" s="600"/>
      <c r="E2685" s="600"/>
      <c r="F2685" s="600"/>
      <c r="G2685" s="600"/>
      <c r="H2685" s="600"/>
    </row>
    <row r="2686" spans="1:8">
      <c r="A2686" s="600"/>
      <c r="B2686" s="600"/>
      <c r="C2686" s="600"/>
      <c r="D2686" s="600"/>
      <c r="E2686" s="600"/>
      <c r="F2686" s="600"/>
      <c r="G2686" s="600"/>
      <c r="H2686" s="600"/>
    </row>
    <row r="2687" spans="1:8">
      <c r="A2687" s="600"/>
      <c r="B2687" s="600"/>
      <c r="C2687" s="600"/>
      <c r="D2687" s="600"/>
      <c r="E2687" s="600"/>
      <c r="F2687" s="600"/>
      <c r="G2687" s="600"/>
      <c r="H2687" s="600"/>
    </row>
    <row r="2688" spans="1:8">
      <c r="A2688" s="600"/>
      <c r="B2688" s="600"/>
      <c r="C2688" s="600"/>
      <c r="D2688" s="600"/>
      <c r="E2688" s="600"/>
      <c r="F2688" s="600"/>
      <c r="G2688" s="600"/>
      <c r="H2688" s="600"/>
    </row>
    <row r="2689" spans="1:8">
      <c r="A2689" s="600"/>
      <c r="B2689" s="600"/>
      <c r="C2689" s="600"/>
      <c r="D2689" s="600"/>
      <c r="E2689" s="600"/>
      <c r="F2689" s="600"/>
      <c r="G2689" s="600"/>
      <c r="H2689" s="600"/>
    </row>
    <row r="2690" spans="1:8">
      <c r="A2690" s="600"/>
      <c r="B2690" s="600"/>
      <c r="C2690" s="600"/>
      <c r="D2690" s="600"/>
      <c r="E2690" s="600"/>
      <c r="F2690" s="600"/>
      <c r="G2690" s="600"/>
      <c r="H2690" s="600"/>
    </row>
    <row r="2691" spans="1:8">
      <c r="A2691" s="600"/>
      <c r="B2691" s="600"/>
      <c r="C2691" s="600"/>
      <c r="D2691" s="600"/>
      <c r="E2691" s="600"/>
      <c r="F2691" s="600"/>
      <c r="G2691" s="600"/>
      <c r="H2691" s="600"/>
    </row>
    <row r="2692" spans="1:8">
      <c r="A2692" s="600"/>
      <c r="B2692" s="600"/>
      <c r="C2692" s="600"/>
      <c r="D2692" s="600"/>
      <c r="E2692" s="600"/>
      <c r="F2692" s="600"/>
      <c r="G2692" s="600"/>
      <c r="H2692" s="600"/>
    </row>
    <row r="2693" spans="1:8">
      <c r="A2693" s="600"/>
      <c r="B2693" s="600"/>
      <c r="C2693" s="600"/>
      <c r="D2693" s="600"/>
      <c r="E2693" s="600"/>
      <c r="F2693" s="600"/>
      <c r="G2693" s="600"/>
      <c r="H2693" s="600"/>
    </row>
    <row r="2694" spans="1:8">
      <c r="A2694" s="600"/>
      <c r="B2694" s="600"/>
      <c r="C2694" s="600"/>
      <c r="D2694" s="600"/>
      <c r="E2694" s="600"/>
      <c r="F2694" s="600"/>
      <c r="G2694" s="600"/>
      <c r="H2694" s="600"/>
    </row>
    <row r="2695" spans="1:8">
      <c r="A2695" s="600"/>
      <c r="B2695" s="600"/>
      <c r="C2695" s="600"/>
      <c r="D2695" s="600"/>
      <c r="E2695" s="600"/>
      <c r="F2695" s="600"/>
      <c r="G2695" s="600"/>
      <c r="H2695" s="600"/>
    </row>
    <row r="2696" spans="1:8">
      <c r="A2696" s="600"/>
      <c r="B2696" s="600"/>
      <c r="C2696" s="600"/>
      <c r="D2696" s="600"/>
      <c r="E2696" s="600"/>
      <c r="F2696" s="600"/>
      <c r="G2696" s="600"/>
      <c r="H2696" s="600"/>
    </row>
    <row r="2697" spans="1:8">
      <c r="A2697" s="600"/>
      <c r="B2697" s="600"/>
      <c r="C2697" s="600"/>
      <c r="D2697" s="600"/>
      <c r="E2697" s="600"/>
      <c r="F2697" s="600"/>
      <c r="G2697" s="600"/>
      <c r="H2697" s="600"/>
    </row>
    <row r="2698" spans="1:8">
      <c r="A2698" s="600"/>
      <c r="B2698" s="600"/>
      <c r="C2698" s="600"/>
      <c r="D2698" s="600"/>
      <c r="E2698" s="600"/>
      <c r="F2698" s="600"/>
      <c r="G2698" s="600"/>
      <c r="H2698" s="600"/>
    </row>
    <row r="2699" spans="1:8">
      <c r="A2699" s="600"/>
      <c r="B2699" s="600"/>
      <c r="C2699" s="600"/>
      <c r="D2699" s="600"/>
      <c r="E2699" s="600"/>
      <c r="F2699" s="600"/>
      <c r="G2699" s="600"/>
      <c r="H2699" s="600"/>
    </row>
    <row r="2700" spans="1:8">
      <c r="A2700" s="600"/>
      <c r="B2700" s="600"/>
      <c r="C2700" s="600"/>
      <c r="D2700" s="600"/>
      <c r="E2700" s="600"/>
      <c r="F2700" s="600"/>
      <c r="G2700" s="600"/>
      <c r="H2700" s="600"/>
    </row>
    <row r="2701" spans="1:8">
      <c r="A2701" s="600"/>
      <c r="B2701" s="600"/>
      <c r="C2701" s="600"/>
      <c r="D2701" s="600"/>
      <c r="E2701" s="600"/>
      <c r="F2701" s="600"/>
      <c r="G2701" s="600"/>
      <c r="H2701" s="600"/>
    </row>
    <row r="2702" spans="1:8">
      <c r="A2702" s="600"/>
      <c r="B2702" s="600"/>
      <c r="C2702" s="600"/>
      <c r="D2702" s="600"/>
      <c r="E2702" s="600"/>
      <c r="F2702" s="600"/>
      <c r="G2702" s="600"/>
      <c r="H2702" s="600"/>
    </row>
    <row r="2703" spans="1:8">
      <c r="A2703" s="600"/>
      <c r="B2703" s="600"/>
      <c r="C2703" s="600"/>
      <c r="D2703" s="600"/>
      <c r="E2703" s="600"/>
      <c r="F2703" s="600"/>
      <c r="G2703" s="600"/>
      <c r="H2703" s="600"/>
    </row>
    <row r="2704" spans="1:8">
      <c r="A2704" s="600"/>
      <c r="B2704" s="600"/>
      <c r="C2704" s="600"/>
      <c r="D2704" s="600"/>
      <c r="E2704" s="600"/>
      <c r="F2704" s="600"/>
      <c r="G2704" s="600"/>
      <c r="H2704" s="600"/>
    </row>
    <row r="2705" spans="1:8">
      <c r="A2705" s="600"/>
      <c r="B2705" s="600"/>
      <c r="C2705" s="600"/>
      <c r="D2705" s="600"/>
      <c r="E2705" s="600"/>
      <c r="F2705" s="600"/>
      <c r="G2705" s="600"/>
      <c r="H2705" s="600"/>
    </row>
    <row r="2706" spans="1:8">
      <c r="A2706" s="600"/>
      <c r="B2706" s="600"/>
      <c r="C2706" s="600"/>
      <c r="D2706" s="600"/>
      <c r="E2706" s="600"/>
      <c r="F2706" s="600"/>
      <c r="G2706" s="600"/>
      <c r="H2706" s="600"/>
    </row>
    <row r="2707" spans="1:8">
      <c r="A2707" s="600"/>
      <c r="B2707" s="600"/>
      <c r="C2707" s="600"/>
      <c r="D2707" s="600"/>
      <c r="E2707" s="600"/>
      <c r="F2707" s="600"/>
      <c r="G2707" s="600"/>
      <c r="H2707" s="600"/>
    </row>
    <row r="2708" spans="1:8">
      <c r="A2708" s="600"/>
      <c r="B2708" s="600"/>
      <c r="C2708" s="600"/>
      <c r="D2708" s="600"/>
      <c r="E2708" s="600"/>
      <c r="F2708" s="600"/>
      <c r="G2708" s="600"/>
      <c r="H2708" s="600"/>
    </row>
    <row r="2709" spans="1:8">
      <c r="A2709" s="600"/>
      <c r="B2709" s="600"/>
      <c r="C2709" s="600"/>
      <c r="D2709" s="600"/>
      <c r="E2709" s="600"/>
      <c r="F2709" s="600"/>
      <c r="G2709" s="600"/>
      <c r="H2709" s="600"/>
    </row>
    <row r="2710" spans="1:8">
      <c r="A2710" s="600"/>
      <c r="B2710" s="600"/>
      <c r="C2710" s="600"/>
      <c r="D2710" s="600"/>
      <c r="E2710" s="600"/>
      <c r="F2710" s="600"/>
      <c r="G2710" s="600"/>
      <c r="H2710" s="600"/>
    </row>
    <row r="2711" spans="1:8">
      <c r="A2711" s="600"/>
      <c r="B2711" s="600"/>
      <c r="C2711" s="600"/>
      <c r="D2711" s="600"/>
      <c r="E2711" s="600"/>
      <c r="F2711" s="600"/>
      <c r="G2711" s="600"/>
      <c r="H2711" s="600"/>
    </row>
    <row r="2712" spans="1:8">
      <c r="A2712" s="600"/>
      <c r="B2712" s="600"/>
      <c r="C2712" s="600"/>
      <c r="D2712" s="600"/>
      <c r="E2712" s="600"/>
      <c r="F2712" s="600"/>
      <c r="G2712" s="600"/>
      <c r="H2712" s="600"/>
    </row>
    <row r="2713" spans="1:8">
      <c r="A2713" s="600"/>
      <c r="B2713" s="600"/>
      <c r="C2713" s="600"/>
      <c r="D2713" s="600"/>
      <c r="E2713" s="600"/>
      <c r="F2713" s="600"/>
      <c r="G2713" s="600"/>
      <c r="H2713" s="600"/>
    </row>
    <row r="2714" spans="1:8">
      <c r="A2714" s="600"/>
      <c r="B2714" s="600"/>
      <c r="C2714" s="600"/>
      <c r="D2714" s="600"/>
      <c r="E2714" s="600"/>
      <c r="F2714" s="600"/>
      <c r="G2714" s="600"/>
      <c r="H2714" s="600"/>
    </row>
    <row r="2715" spans="1:8">
      <c r="A2715" s="600"/>
      <c r="B2715" s="600"/>
      <c r="C2715" s="600"/>
      <c r="D2715" s="600"/>
      <c r="E2715" s="600"/>
      <c r="F2715" s="600"/>
      <c r="G2715" s="600"/>
      <c r="H2715" s="600"/>
    </row>
    <row r="2716" spans="1:8">
      <c r="A2716" s="600"/>
      <c r="B2716" s="600"/>
      <c r="C2716" s="600"/>
      <c r="D2716" s="600"/>
      <c r="E2716" s="600"/>
      <c r="F2716" s="600"/>
      <c r="G2716" s="600"/>
      <c r="H2716" s="600"/>
    </row>
    <row r="2717" spans="1:8">
      <c r="A2717" s="600"/>
      <c r="B2717" s="600"/>
      <c r="C2717" s="600"/>
      <c r="D2717" s="600"/>
      <c r="E2717" s="600"/>
      <c r="F2717" s="600"/>
      <c r="G2717" s="600"/>
      <c r="H2717" s="600"/>
    </row>
    <row r="2718" spans="1:8">
      <c r="A2718" s="600"/>
      <c r="B2718" s="600"/>
      <c r="C2718" s="600"/>
      <c r="D2718" s="600"/>
      <c r="E2718" s="600"/>
      <c r="F2718" s="600"/>
      <c r="G2718" s="600"/>
      <c r="H2718" s="600"/>
    </row>
    <row r="2719" spans="1:8">
      <c r="A2719" s="600"/>
      <c r="B2719" s="600"/>
      <c r="C2719" s="600"/>
      <c r="D2719" s="600"/>
      <c r="E2719" s="600"/>
      <c r="F2719" s="600"/>
      <c r="G2719" s="600"/>
      <c r="H2719" s="600"/>
    </row>
    <row r="2720" spans="1:8">
      <c r="A2720" s="600"/>
      <c r="B2720" s="600"/>
      <c r="C2720" s="600"/>
      <c r="D2720" s="600"/>
      <c r="E2720" s="600"/>
      <c r="F2720" s="600"/>
      <c r="G2720" s="600"/>
      <c r="H2720" s="600"/>
    </row>
    <row r="2721" spans="1:8">
      <c r="A2721" s="600"/>
      <c r="B2721" s="600"/>
      <c r="C2721" s="600"/>
      <c r="D2721" s="600"/>
      <c r="E2721" s="600"/>
      <c r="F2721" s="600"/>
      <c r="G2721" s="600"/>
      <c r="H2721" s="600"/>
    </row>
    <row r="2722" spans="1:8">
      <c r="A2722" s="600"/>
      <c r="B2722" s="600"/>
      <c r="C2722" s="600"/>
      <c r="D2722" s="600"/>
      <c r="E2722" s="600"/>
      <c r="F2722" s="600"/>
      <c r="G2722" s="600"/>
      <c r="H2722" s="600"/>
    </row>
    <row r="2723" spans="1:8">
      <c r="A2723" s="600"/>
      <c r="B2723" s="600"/>
      <c r="C2723" s="600"/>
      <c r="D2723" s="600"/>
      <c r="E2723" s="600"/>
      <c r="F2723" s="600"/>
      <c r="G2723" s="600"/>
      <c r="H2723" s="600"/>
    </row>
    <row r="2724" spans="1:8">
      <c r="A2724" s="600"/>
      <c r="B2724" s="600"/>
      <c r="C2724" s="600"/>
      <c r="D2724" s="600"/>
      <c r="E2724" s="600"/>
      <c r="F2724" s="600"/>
      <c r="G2724" s="600"/>
      <c r="H2724" s="600"/>
    </row>
    <row r="2725" spans="1:8">
      <c r="A2725" s="600"/>
      <c r="B2725" s="600"/>
      <c r="C2725" s="600"/>
      <c r="D2725" s="600"/>
      <c r="E2725" s="600"/>
      <c r="F2725" s="600"/>
      <c r="G2725" s="600"/>
      <c r="H2725" s="600"/>
    </row>
    <row r="2726" spans="1:8">
      <c r="A2726" s="600"/>
      <c r="B2726" s="600"/>
      <c r="C2726" s="600"/>
      <c r="D2726" s="600"/>
      <c r="E2726" s="600"/>
      <c r="F2726" s="600"/>
      <c r="G2726" s="600"/>
      <c r="H2726" s="600"/>
    </row>
    <row r="2727" spans="1:8">
      <c r="A2727" s="600"/>
      <c r="B2727" s="600"/>
      <c r="C2727" s="600"/>
      <c r="D2727" s="600"/>
      <c r="E2727" s="600"/>
      <c r="F2727" s="600"/>
      <c r="G2727" s="600"/>
      <c r="H2727" s="600"/>
    </row>
    <row r="2728" spans="1:8">
      <c r="A2728" s="600"/>
      <c r="B2728" s="600"/>
      <c r="C2728" s="600"/>
      <c r="D2728" s="600"/>
      <c r="E2728" s="600"/>
      <c r="F2728" s="600"/>
      <c r="G2728" s="600"/>
      <c r="H2728" s="600"/>
    </row>
    <row r="2729" spans="1:8">
      <c r="A2729" s="600"/>
      <c r="B2729" s="600"/>
      <c r="C2729" s="600"/>
      <c r="D2729" s="600"/>
      <c r="E2729" s="600"/>
      <c r="F2729" s="600"/>
      <c r="G2729" s="600"/>
      <c r="H2729" s="600"/>
    </row>
    <row r="2730" spans="1:8">
      <c r="A2730" s="600"/>
      <c r="B2730" s="600"/>
      <c r="C2730" s="600"/>
      <c r="D2730" s="600"/>
      <c r="E2730" s="600"/>
      <c r="F2730" s="600"/>
      <c r="G2730" s="600"/>
      <c r="H2730" s="600"/>
    </row>
    <row r="2731" spans="1:8">
      <c r="A2731" s="600"/>
      <c r="B2731" s="600"/>
      <c r="C2731" s="600"/>
      <c r="D2731" s="600"/>
      <c r="E2731" s="600"/>
      <c r="F2731" s="600"/>
      <c r="G2731" s="600"/>
      <c r="H2731" s="600"/>
    </row>
    <row r="2732" spans="1:8">
      <c r="A2732" s="600"/>
      <c r="B2732" s="600"/>
      <c r="C2732" s="600"/>
      <c r="D2732" s="600"/>
      <c r="E2732" s="600"/>
      <c r="F2732" s="600"/>
      <c r="G2732" s="600"/>
      <c r="H2732" s="600"/>
    </row>
    <row r="2733" spans="1:8">
      <c r="A2733" s="600"/>
      <c r="B2733" s="600"/>
      <c r="C2733" s="600"/>
      <c r="D2733" s="600"/>
      <c r="E2733" s="600"/>
      <c r="F2733" s="600"/>
      <c r="G2733" s="600"/>
      <c r="H2733" s="600"/>
    </row>
    <row r="2734" spans="1:8">
      <c r="A2734" s="600"/>
      <c r="B2734" s="600"/>
      <c r="C2734" s="600"/>
      <c r="D2734" s="600"/>
      <c r="E2734" s="600"/>
      <c r="F2734" s="600"/>
      <c r="G2734" s="600"/>
      <c r="H2734" s="600"/>
    </row>
    <row r="2735" spans="1:8">
      <c r="A2735" s="600"/>
      <c r="B2735" s="600"/>
      <c r="C2735" s="600"/>
      <c r="D2735" s="600"/>
      <c r="E2735" s="600"/>
      <c r="F2735" s="600"/>
      <c r="G2735" s="600"/>
      <c r="H2735" s="600"/>
    </row>
    <row r="2736" spans="1:8">
      <c r="A2736" s="600"/>
      <c r="B2736" s="600"/>
      <c r="C2736" s="600"/>
      <c r="D2736" s="600"/>
      <c r="E2736" s="600"/>
      <c r="F2736" s="600"/>
      <c r="G2736" s="600"/>
      <c r="H2736" s="600"/>
    </row>
    <row r="2737" spans="1:8">
      <c r="A2737" s="600"/>
      <c r="B2737" s="600"/>
      <c r="C2737" s="600"/>
      <c r="D2737" s="600"/>
      <c r="E2737" s="600"/>
      <c r="F2737" s="600"/>
      <c r="G2737" s="600"/>
      <c r="H2737" s="600"/>
    </row>
    <row r="2738" spans="1:8">
      <c r="A2738" s="600"/>
      <c r="B2738" s="600"/>
      <c r="C2738" s="600"/>
      <c r="D2738" s="600"/>
      <c r="E2738" s="600"/>
      <c r="F2738" s="600"/>
      <c r="G2738" s="600"/>
      <c r="H2738" s="600"/>
    </row>
    <row r="2739" spans="1:8">
      <c r="A2739" s="600"/>
      <c r="B2739" s="600"/>
      <c r="C2739" s="600"/>
      <c r="D2739" s="600"/>
      <c r="E2739" s="600"/>
      <c r="F2739" s="600"/>
      <c r="G2739" s="600"/>
      <c r="H2739" s="600"/>
    </row>
    <row r="2740" spans="1:8">
      <c r="A2740" s="600"/>
      <c r="B2740" s="600"/>
      <c r="C2740" s="600"/>
      <c r="D2740" s="600"/>
      <c r="E2740" s="600"/>
      <c r="F2740" s="600"/>
      <c r="G2740" s="600"/>
      <c r="H2740" s="600"/>
    </row>
    <row r="2741" spans="1:8">
      <c r="A2741" s="600"/>
      <c r="B2741" s="600"/>
      <c r="C2741" s="600"/>
      <c r="D2741" s="600"/>
      <c r="E2741" s="600"/>
      <c r="F2741" s="600"/>
      <c r="G2741" s="600"/>
      <c r="H2741" s="600"/>
    </row>
    <row r="2742" spans="1:8">
      <c r="A2742" s="600"/>
      <c r="B2742" s="600"/>
      <c r="C2742" s="600"/>
      <c r="D2742" s="600"/>
      <c r="E2742" s="600"/>
      <c r="F2742" s="600"/>
      <c r="G2742" s="600"/>
      <c r="H2742" s="600"/>
    </row>
    <row r="2743" spans="1:8">
      <c r="A2743" s="600"/>
      <c r="B2743" s="600"/>
      <c r="C2743" s="600"/>
      <c r="D2743" s="600"/>
      <c r="E2743" s="600"/>
      <c r="F2743" s="600"/>
      <c r="G2743" s="600"/>
      <c r="H2743" s="600"/>
    </row>
    <row r="2744" spans="1:8">
      <c r="A2744" s="600"/>
      <c r="B2744" s="600"/>
      <c r="C2744" s="600"/>
      <c r="D2744" s="600"/>
      <c r="E2744" s="600"/>
      <c r="F2744" s="600"/>
      <c r="G2744" s="600"/>
      <c r="H2744" s="600"/>
    </row>
    <row r="2745" spans="1:8">
      <c r="A2745" s="600"/>
      <c r="B2745" s="600"/>
      <c r="C2745" s="600"/>
      <c r="D2745" s="600"/>
      <c r="E2745" s="600"/>
      <c r="F2745" s="600"/>
      <c r="G2745" s="600"/>
      <c r="H2745" s="600"/>
    </row>
    <row r="2746" spans="1:8">
      <c r="A2746" s="600"/>
      <c r="B2746" s="600"/>
      <c r="C2746" s="600"/>
      <c r="D2746" s="600"/>
      <c r="E2746" s="600"/>
      <c r="F2746" s="600"/>
      <c r="G2746" s="600"/>
      <c r="H2746" s="600"/>
    </row>
    <row r="2747" spans="1:8">
      <c r="A2747" s="600"/>
      <c r="B2747" s="600"/>
      <c r="C2747" s="600"/>
      <c r="D2747" s="600"/>
      <c r="E2747" s="600"/>
      <c r="F2747" s="600"/>
      <c r="G2747" s="600"/>
      <c r="H2747" s="600"/>
    </row>
    <row r="2748" spans="1:8">
      <c r="A2748" s="600"/>
      <c r="B2748" s="600"/>
      <c r="C2748" s="600"/>
      <c r="D2748" s="600"/>
      <c r="E2748" s="600"/>
      <c r="F2748" s="600"/>
      <c r="G2748" s="600"/>
      <c r="H2748" s="600"/>
    </row>
    <row r="2749" spans="1:8">
      <c r="A2749" s="600"/>
      <c r="B2749" s="600"/>
      <c r="C2749" s="600"/>
      <c r="D2749" s="600"/>
      <c r="E2749" s="600"/>
      <c r="F2749" s="600"/>
      <c r="G2749" s="600"/>
      <c r="H2749" s="600"/>
    </row>
    <row r="2750" spans="1:8">
      <c r="A2750" s="600"/>
      <c r="B2750" s="600"/>
      <c r="C2750" s="600"/>
      <c r="D2750" s="600"/>
      <c r="E2750" s="600"/>
      <c r="F2750" s="600"/>
      <c r="G2750" s="600"/>
      <c r="H2750" s="600"/>
    </row>
    <row r="2751" spans="1:8">
      <c r="A2751" s="600"/>
      <c r="B2751" s="600"/>
      <c r="C2751" s="600"/>
      <c r="D2751" s="600"/>
      <c r="E2751" s="600"/>
      <c r="F2751" s="600"/>
      <c r="G2751" s="600"/>
      <c r="H2751" s="600"/>
    </row>
    <row r="2752" spans="1:8">
      <c r="A2752" s="600"/>
      <c r="B2752" s="600"/>
      <c r="C2752" s="600"/>
      <c r="D2752" s="600"/>
      <c r="E2752" s="600"/>
      <c r="F2752" s="600"/>
      <c r="G2752" s="600"/>
      <c r="H2752" s="600"/>
    </row>
    <row r="2753" spans="1:8">
      <c r="A2753" s="600"/>
      <c r="B2753" s="600"/>
      <c r="C2753" s="600"/>
      <c r="D2753" s="600"/>
      <c r="E2753" s="600"/>
      <c r="F2753" s="600"/>
      <c r="G2753" s="600"/>
      <c r="H2753" s="600"/>
    </row>
    <row r="2754" spans="1:8">
      <c r="A2754" s="600"/>
      <c r="B2754" s="600"/>
      <c r="C2754" s="600"/>
      <c r="D2754" s="600"/>
      <c r="E2754" s="600"/>
      <c r="F2754" s="600"/>
      <c r="G2754" s="600"/>
      <c r="H2754" s="600"/>
    </row>
    <row r="2755" spans="1:8">
      <c r="A2755" s="600"/>
      <c r="B2755" s="600"/>
      <c r="C2755" s="600"/>
      <c r="D2755" s="600"/>
      <c r="E2755" s="600"/>
      <c r="F2755" s="600"/>
      <c r="G2755" s="600"/>
      <c r="H2755" s="600"/>
    </row>
    <row r="2756" spans="1:8">
      <c r="A2756" s="600"/>
      <c r="B2756" s="600"/>
      <c r="C2756" s="600"/>
      <c r="D2756" s="600"/>
      <c r="E2756" s="600"/>
      <c r="F2756" s="600"/>
      <c r="G2756" s="600"/>
      <c r="H2756" s="600"/>
    </row>
    <row r="2757" spans="1:8">
      <c r="A2757" s="600"/>
      <c r="B2757" s="600"/>
      <c r="C2757" s="600"/>
      <c r="D2757" s="600"/>
      <c r="E2757" s="600"/>
      <c r="F2757" s="600"/>
      <c r="G2757" s="600"/>
      <c r="H2757" s="600"/>
    </row>
    <row r="2758" spans="1:8">
      <c r="A2758" s="600"/>
      <c r="B2758" s="600"/>
      <c r="C2758" s="600"/>
      <c r="D2758" s="600"/>
      <c r="E2758" s="600"/>
      <c r="F2758" s="600"/>
      <c r="G2758" s="600"/>
      <c r="H2758" s="600"/>
    </row>
    <row r="2759" spans="1:8">
      <c r="A2759" s="600"/>
      <c r="B2759" s="600"/>
      <c r="C2759" s="600"/>
      <c r="D2759" s="600"/>
      <c r="E2759" s="600"/>
      <c r="F2759" s="600"/>
      <c r="G2759" s="600"/>
      <c r="H2759" s="600"/>
    </row>
    <row r="2760" spans="1:8">
      <c r="A2760" s="600"/>
      <c r="B2760" s="600"/>
      <c r="C2760" s="600"/>
      <c r="D2760" s="600"/>
      <c r="E2760" s="600"/>
      <c r="F2760" s="600"/>
      <c r="G2760" s="600"/>
      <c r="H2760" s="600"/>
    </row>
    <row r="2761" spans="1:8">
      <c r="A2761" s="600"/>
      <c r="B2761" s="600"/>
      <c r="C2761" s="600"/>
      <c r="D2761" s="600"/>
      <c r="E2761" s="600"/>
      <c r="F2761" s="600"/>
      <c r="G2761" s="600"/>
      <c r="H2761" s="600"/>
    </row>
    <row r="2762" spans="1:8">
      <c r="A2762" s="600"/>
      <c r="B2762" s="600"/>
      <c r="C2762" s="600"/>
      <c r="D2762" s="600"/>
      <c r="E2762" s="600"/>
      <c r="F2762" s="600"/>
      <c r="G2762" s="600"/>
      <c r="H2762" s="600"/>
    </row>
    <row r="2763" spans="1:8">
      <c r="A2763" s="600"/>
      <c r="B2763" s="600"/>
      <c r="C2763" s="600"/>
      <c r="D2763" s="600"/>
      <c r="E2763" s="600"/>
      <c r="F2763" s="600"/>
      <c r="G2763" s="600"/>
      <c r="H2763" s="600"/>
    </row>
    <row r="2764" spans="1:8">
      <c r="A2764" s="600"/>
      <c r="B2764" s="600"/>
      <c r="C2764" s="600"/>
      <c r="D2764" s="600"/>
      <c r="E2764" s="600"/>
      <c r="F2764" s="600"/>
      <c r="G2764" s="600"/>
      <c r="H2764" s="600"/>
    </row>
    <row r="2765" spans="1:8">
      <c r="A2765" s="600"/>
      <c r="B2765" s="600"/>
      <c r="C2765" s="600"/>
      <c r="D2765" s="600"/>
      <c r="E2765" s="600"/>
      <c r="F2765" s="600"/>
      <c r="G2765" s="600"/>
      <c r="H2765" s="600"/>
    </row>
    <row r="2766" spans="1:8">
      <c r="A2766" s="600"/>
      <c r="B2766" s="600"/>
      <c r="C2766" s="600"/>
      <c r="D2766" s="600"/>
      <c r="E2766" s="600"/>
      <c r="F2766" s="600"/>
      <c r="G2766" s="600"/>
      <c r="H2766" s="600"/>
    </row>
    <row r="2767" spans="1:8">
      <c r="A2767" s="600"/>
      <c r="B2767" s="600"/>
      <c r="C2767" s="600"/>
      <c r="D2767" s="600"/>
      <c r="E2767" s="600"/>
      <c r="F2767" s="600"/>
      <c r="G2767" s="600"/>
      <c r="H2767" s="600"/>
    </row>
    <row r="2768" spans="1:8">
      <c r="A2768" s="600"/>
      <c r="B2768" s="600"/>
      <c r="C2768" s="600"/>
      <c r="D2768" s="600"/>
      <c r="E2768" s="600"/>
      <c r="F2768" s="600"/>
      <c r="G2768" s="600"/>
      <c r="H2768" s="600"/>
    </row>
    <row r="2769" spans="1:8">
      <c r="A2769" s="600"/>
      <c r="B2769" s="600"/>
      <c r="C2769" s="600"/>
      <c r="D2769" s="600"/>
      <c r="E2769" s="600"/>
      <c r="F2769" s="600"/>
      <c r="G2769" s="600"/>
      <c r="H2769" s="600"/>
    </row>
    <row r="2770" spans="1:8">
      <c r="A2770" s="600"/>
      <c r="B2770" s="600"/>
      <c r="C2770" s="600"/>
      <c r="D2770" s="600"/>
      <c r="E2770" s="600"/>
      <c r="F2770" s="600"/>
      <c r="G2770" s="600"/>
      <c r="H2770" s="600"/>
    </row>
    <row r="2771" spans="1:8">
      <c r="A2771" s="600"/>
      <c r="B2771" s="600"/>
      <c r="C2771" s="600"/>
      <c r="D2771" s="600"/>
      <c r="E2771" s="600"/>
      <c r="F2771" s="600"/>
      <c r="G2771" s="600"/>
      <c r="H2771" s="600"/>
    </row>
    <row r="2772" spans="1:8">
      <c r="A2772" s="600"/>
      <c r="B2772" s="600"/>
      <c r="C2772" s="600"/>
      <c r="D2772" s="600"/>
      <c r="E2772" s="600"/>
      <c r="F2772" s="600"/>
      <c r="G2772" s="600"/>
      <c r="H2772" s="600"/>
    </row>
    <row r="2773" spans="1:8">
      <c r="A2773" s="600"/>
      <c r="B2773" s="600"/>
      <c r="C2773" s="600"/>
      <c r="D2773" s="600"/>
      <c r="E2773" s="600"/>
      <c r="F2773" s="600"/>
      <c r="G2773" s="600"/>
      <c r="H2773" s="600"/>
    </row>
    <row r="2774" spans="1:8">
      <c r="A2774" s="600"/>
      <c r="B2774" s="600"/>
      <c r="C2774" s="600"/>
      <c r="D2774" s="600"/>
      <c r="E2774" s="600"/>
      <c r="F2774" s="600"/>
      <c r="G2774" s="600"/>
      <c r="H2774" s="600"/>
    </row>
    <row r="2775" spans="1:8">
      <c r="A2775" s="600"/>
      <c r="B2775" s="600"/>
      <c r="C2775" s="600"/>
      <c r="D2775" s="600"/>
      <c r="E2775" s="600"/>
      <c r="F2775" s="600"/>
      <c r="G2775" s="600"/>
      <c r="H2775" s="600"/>
    </row>
    <row r="2776" spans="1:8">
      <c r="A2776" s="600"/>
      <c r="B2776" s="600"/>
      <c r="C2776" s="600"/>
      <c r="D2776" s="600"/>
      <c r="E2776" s="600"/>
      <c r="F2776" s="600"/>
      <c r="G2776" s="600"/>
      <c r="H2776" s="600"/>
    </row>
    <row r="2777" spans="1:8">
      <c r="A2777" s="600"/>
      <c r="B2777" s="600"/>
      <c r="C2777" s="600"/>
      <c r="D2777" s="600"/>
      <c r="E2777" s="600"/>
      <c r="F2777" s="600"/>
      <c r="G2777" s="600"/>
      <c r="H2777" s="600"/>
    </row>
    <row r="2778" spans="1:8">
      <c r="A2778" s="600"/>
      <c r="B2778" s="600"/>
      <c r="C2778" s="600"/>
      <c r="D2778" s="600"/>
      <c r="E2778" s="600"/>
      <c r="F2778" s="600"/>
      <c r="G2778" s="600"/>
      <c r="H2778" s="600"/>
    </row>
    <row r="2779" spans="1:8">
      <c r="A2779" s="600"/>
      <c r="B2779" s="600"/>
      <c r="C2779" s="600"/>
      <c r="D2779" s="600"/>
      <c r="E2779" s="600"/>
      <c r="F2779" s="600"/>
      <c r="G2779" s="600"/>
      <c r="H2779" s="600"/>
    </row>
    <row r="2780" spans="1:8">
      <c r="A2780" s="600"/>
      <c r="B2780" s="600"/>
      <c r="C2780" s="600"/>
      <c r="D2780" s="600"/>
      <c r="E2780" s="600"/>
      <c r="F2780" s="600"/>
      <c r="G2780" s="600"/>
      <c r="H2780" s="600"/>
    </row>
    <row r="2781" spans="1:8">
      <c r="A2781" s="600"/>
      <c r="B2781" s="600"/>
      <c r="C2781" s="600"/>
      <c r="D2781" s="600"/>
      <c r="E2781" s="600"/>
      <c r="F2781" s="600"/>
      <c r="G2781" s="600"/>
      <c r="H2781" s="600"/>
    </row>
    <row r="2782" spans="1:8">
      <c r="A2782" s="600"/>
      <c r="B2782" s="600"/>
      <c r="C2782" s="600"/>
      <c r="D2782" s="600"/>
      <c r="E2782" s="600"/>
      <c r="F2782" s="600"/>
      <c r="G2782" s="600"/>
      <c r="H2782" s="600"/>
    </row>
    <row r="2783" spans="1:8">
      <c r="A2783" s="600"/>
      <c r="B2783" s="600"/>
      <c r="C2783" s="600"/>
      <c r="D2783" s="600"/>
      <c r="E2783" s="600"/>
      <c r="F2783" s="600"/>
      <c r="G2783" s="600"/>
      <c r="H2783" s="600"/>
    </row>
    <row r="2784" spans="1:8">
      <c r="A2784" s="600"/>
      <c r="B2784" s="600"/>
      <c r="C2784" s="600"/>
      <c r="D2784" s="600"/>
      <c r="E2784" s="600"/>
      <c r="F2784" s="600"/>
      <c r="G2784" s="600"/>
      <c r="H2784" s="600"/>
    </row>
    <row r="2785" spans="1:8">
      <c r="A2785" s="600"/>
      <c r="B2785" s="600"/>
      <c r="C2785" s="600"/>
      <c r="D2785" s="600"/>
      <c r="E2785" s="600"/>
      <c r="F2785" s="600"/>
      <c r="G2785" s="600"/>
      <c r="H2785" s="600"/>
    </row>
    <row r="2786" spans="1:8">
      <c r="A2786" s="600"/>
      <c r="B2786" s="600"/>
      <c r="C2786" s="600"/>
      <c r="D2786" s="600"/>
      <c r="E2786" s="600"/>
      <c r="F2786" s="600"/>
      <c r="G2786" s="600"/>
      <c r="H2786" s="600"/>
    </row>
    <row r="2787" spans="1:8">
      <c r="A2787" s="600"/>
      <c r="B2787" s="600"/>
      <c r="C2787" s="600"/>
      <c r="D2787" s="600"/>
      <c r="E2787" s="600"/>
      <c r="F2787" s="600"/>
      <c r="G2787" s="600"/>
      <c r="H2787" s="600"/>
    </row>
    <row r="2788" spans="1:8">
      <c r="A2788" s="600"/>
      <c r="B2788" s="600"/>
      <c r="C2788" s="600"/>
      <c r="D2788" s="600"/>
      <c r="E2788" s="600"/>
      <c r="F2788" s="600"/>
      <c r="G2788" s="600"/>
      <c r="H2788" s="600"/>
    </row>
    <row r="2789" spans="1:8">
      <c r="A2789" s="600"/>
      <c r="B2789" s="600"/>
      <c r="C2789" s="600"/>
      <c r="D2789" s="600"/>
      <c r="E2789" s="600"/>
      <c r="F2789" s="600"/>
      <c r="G2789" s="600"/>
      <c r="H2789" s="600"/>
    </row>
    <row r="2790" spans="1:8">
      <c r="A2790" s="600"/>
      <c r="B2790" s="600"/>
      <c r="C2790" s="600"/>
      <c r="D2790" s="600"/>
      <c r="E2790" s="600"/>
      <c r="F2790" s="600"/>
      <c r="G2790" s="600"/>
      <c r="H2790" s="600"/>
    </row>
    <row r="2791" spans="1:8">
      <c r="A2791" s="600"/>
      <c r="B2791" s="600"/>
      <c r="C2791" s="600"/>
      <c r="D2791" s="600"/>
      <c r="E2791" s="600"/>
      <c r="F2791" s="600"/>
      <c r="G2791" s="600"/>
      <c r="H2791" s="600"/>
    </row>
    <row r="2792" spans="1:8">
      <c r="A2792" s="600"/>
      <c r="B2792" s="600"/>
      <c r="C2792" s="600"/>
      <c r="D2792" s="600"/>
      <c r="E2792" s="600"/>
      <c r="F2792" s="600"/>
      <c r="G2792" s="600"/>
      <c r="H2792" s="600"/>
    </row>
    <row r="2793" spans="1:8">
      <c r="A2793" s="600"/>
      <c r="B2793" s="600"/>
      <c r="C2793" s="600"/>
      <c r="D2793" s="600"/>
      <c r="E2793" s="600"/>
      <c r="F2793" s="600"/>
      <c r="G2793" s="600"/>
      <c r="H2793" s="600"/>
    </row>
    <row r="2794" spans="1:8">
      <c r="A2794" s="600"/>
      <c r="B2794" s="600"/>
      <c r="C2794" s="600"/>
      <c r="D2794" s="600"/>
      <c r="E2794" s="600"/>
      <c r="F2794" s="600"/>
      <c r="G2794" s="600"/>
      <c r="H2794" s="600"/>
    </row>
    <row r="2795" spans="1:8">
      <c r="A2795" s="600"/>
      <c r="B2795" s="600"/>
      <c r="C2795" s="600"/>
      <c r="D2795" s="600"/>
      <c r="E2795" s="600"/>
      <c r="F2795" s="600"/>
      <c r="G2795" s="600"/>
      <c r="H2795" s="600"/>
    </row>
    <row r="2796" spans="1:8">
      <c r="A2796" s="600"/>
      <c r="B2796" s="600"/>
      <c r="C2796" s="600"/>
      <c r="D2796" s="600"/>
      <c r="E2796" s="600"/>
      <c r="F2796" s="600"/>
      <c r="G2796" s="600"/>
      <c r="H2796" s="600"/>
    </row>
    <row r="2797" spans="1:8">
      <c r="A2797" s="600"/>
      <c r="B2797" s="600"/>
      <c r="C2797" s="600"/>
      <c r="D2797" s="600"/>
      <c r="E2797" s="600"/>
      <c r="F2797" s="600"/>
      <c r="G2797" s="600"/>
      <c r="H2797" s="600"/>
    </row>
    <row r="2798" spans="1:8">
      <c r="A2798" s="600"/>
      <c r="B2798" s="600"/>
      <c r="C2798" s="600"/>
      <c r="D2798" s="600"/>
      <c r="E2798" s="600"/>
      <c r="F2798" s="600"/>
      <c r="G2798" s="600"/>
      <c r="H2798" s="600"/>
    </row>
    <row r="2799" spans="1:8">
      <c r="A2799" s="600"/>
      <c r="B2799" s="600"/>
      <c r="C2799" s="600"/>
      <c r="D2799" s="600"/>
      <c r="E2799" s="600"/>
      <c r="F2799" s="600"/>
      <c r="G2799" s="600"/>
      <c r="H2799" s="600"/>
    </row>
    <row r="2800" spans="1:8">
      <c r="A2800" s="600"/>
      <c r="B2800" s="600"/>
      <c r="C2800" s="600"/>
      <c r="D2800" s="600"/>
      <c r="E2800" s="600"/>
      <c r="F2800" s="600"/>
      <c r="G2800" s="600"/>
      <c r="H2800" s="600"/>
    </row>
    <row r="2801" spans="1:8">
      <c r="A2801" s="600"/>
      <c r="B2801" s="600"/>
      <c r="C2801" s="600"/>
      <c r="D2801" s="600"/>
      <c r="E2801" s="600"/>
      <c r="F2801" s="600"/>
      <c r="G2801" s="600"/>
      <c r="H2801" s="600"/>
    </row>
    <row r="2802" spans="1:8">
      <c r="A2802" s="600"/>
      <c r="B2802" s="600"/>
      <c r="C2802" s="600"/>
      <c r="D2802" s="600"/>
      <c r="E2802" s="600"/>
      <c r="F2802" s="600"/>
      <c r="G2802" s="600"/>
      <c r="H2802" s="600"/>
    </row>
    <row r="2803" spans="1:8">
      <c r="A2803" s="600"/>
      <c r="B2803" s="600"/>
      <c r="C2803" s="600"/>
      <c r="D2803" s="600"/>
      <c r="E2803" s="600"/>
      <c r="F2803" s="600"/>
      <c r="G2803" s="600"/>
      <c r="H2803" s="600"/>
    </row>
    <row r="2804" spans="1:8">
      <c r="A2804" s="600"/>
      <c r="B2804" s="600"/>
      <c r="C2804" s="600"/>
      <c r="D2804" s="600"/>
      <c r="E2804" s="600"/>
      <c r="F2804" s="600"/>
      <c r="G2804" s="600"/>
      <c r="H2804" s="600"/>
    </row>
    <row r="2805" spans="1:8">
      <c r="A2805" s="600"/>
      <c r="B2805" s="600"/>
      <c r="C2805" s="600"/>
      <c r="D2805" s="600"/>
      <c r="E2805" s="600"/>
      <c r="F2805" s="600"/>
      <c r="G2805" s="600"/>
      <c r="H2805" s="600"/>
    </row>
    <row r="2806" spans="1:8">
      <c r="A2806" s="600"/>
      <c r="B2806" s="600"/>
      <c r="C2806" s="600"/>
      <c r="D2806" s="600"/>
      <c r="E2806" s="600"/>
      <c r="F2806" s="600"/>
      <c r="G2806" s="600"/>
      <c r="H2806" s="600"/>
    </row>
    <row r="2807" spans="1:8">
      <c r="A2807" s="600"/>
      <c r="B2807" s="600"/>
      <c r="C2807" s="600"/>
      <c r="D2807" s="600"/>
      <c r="E2807" s="600"/>
      <c r="F2807" s="600"/>
      <c r="G2807" s="600"/>
      <c r="H2807" s="600"/>
    </row>
    <row r="2808" spans="1:8">
      <c r="A2808" s="600"/>
      <c r="B2808" s="600"/>
      <c r="C2808" s="600"/>
      <c r="D2808" s="600"/>
      <c r="E2808" s="600"/>
      <c r="F2808" s="600"/>
      <c r="G2808" s="600"/>
      <c r="H2808" s="600"/>
    </row>
    <row r="2809" spans="1:8">
      <c r="A2809" s="600"/>
      <c r="B2809" s="600"/>
      <c r="C2809" s="600"/>
      <c r="D2809" s="600"/>
      <c r="E2809" s="600"/>
      <c r="F2809" s="600"/>
      <c r="G2809" s="600"/>
      <c r="H2809" s="600"/>
    </row>
    <row r="2810" spans="1:8">
      <c r="A2810" s="600"/>
      <c r="B2810" s="600"/>
      <c r="C2810" s="600"/>
      <c r="D2810" s="600"/>
      <c r="E2810" s="600"/>
      <c r="F2810" s="600"/>
      <c r="G2810" s="600"/>
      <c r="H2810" s="600"/>
    </row>
    <row r="2811" spans="1:8">
      <c r="A2811" s="600"/>
      <c r="B2811" s="600"/>
      <c r="C2811" s="600"/>
      <c r="D2811" s="600"/>
      <c r="E2811" s="600"/>
      <c r="F2811" s="600"/>
      <c r="G2811" s="600"/>
      <c r="H2811" s="600"/>
    </row>
    <row r="2812" spans="1:8">
      <c r="A2812" s="600"/>
      <c r="B2812" s="600"/>
      <c r="C2812" s="600"/>
      <c r="D2812" s="600"/>
      <c r="E2812" s="600"/>
      <c r="F2812" s="600"/>
      <c r="G2812" s="600"/>
      <c r="H2812" s="600"/>
    </row>
    <row r="2813" spans="1:8">
      <c r="A2813" s="600"/>
      <c r="B2813" s="600"/>
      <c r="C2813" s="600"/>
      <c r="D2813" s="600"/>
      <c r="E2813" s="600"/>
      <c r="F2813" s="600"/>
      <c r="G2813" s="600"/>
      <c r="H2813" s="600"/>
    </row>
    <row r="2814" spans="1:8">
      <c r="A2814" s="600"/>
      <c r="B2814" s="600"/>
      <c r="C2814" s="600"/>
      <c r="D2814" s="600"/>
      <c r="E2814" s="600"/>
      <c r="F2814" s="600"/>
      <c r="G2814" s="600"/>
      <c r="H2814" s="600"/>
    </row>
    <row r="2815" spans="1:8">
      <c r="A2815" s="600"/>
      <c r="B2815" s="600"/>
      <c r="C2815" s="600"/>
      <c r="D2815" s="600"/>
      <c r="E2815" s="600"/>
      <c r="F2815" s="600"/>
      <c r="G2815" s="600"/>
      <c r="H2815" s="600"/>
    </row>
    <row r="2816" spans="1:8">
      <c r="A2816" s="600"/>
      <c r="B2816" s="600"/>
      <c r="C2816" s="600"/>
      <c r="D2816" s="600"/>
      <c r="E2816" s="600"/>
      <c r="F2816" s="600"/>
      <c r="G2816" s="600"/>
      <c r="H2816" s="600"/>
    </row>
    <row r="2817" spans="1:8">
      <c r="A2817" s="600"/>
      <c r="B2817" s="600"/>
      <c r="C2817" s="600"/>
      <c r="D2817" s="600"/>
      <c r="E2817" s="600"/>
      <c r="F2817" s="600"/>
      <c r="G2817" s="600"/>
      <c r="H2817" s="600"/>
    </row>
    <row r="2818" spans="1:8">
      <c r="A2818" s="600"/>
      <c r="B2818" s="600"/>
      <c r="C2818" s="600"/>
      <c r="D2818" s="600"/>
      <c r="E2818" s="600"/>
      <c r="F2818" s="600"/>
      <c r="G2818" s="600"/>
      <c r="H2818" s="600"/>
    </row>
    <row r="2819" spans="1:8">
      <c r="A2819" s="600"/>
      <c r="B2819" s="600"/>
      <c r="C2819" s="600"/>
      <c r="D2819" s="600"/>
      <c r="E2819" s="600"/>
      <c r="F2819" s="600"/>
      <c r="G2819" s="600"/>
      <c r="H2819" s="600"/>
    </row>
    <row r="2820" spans="1:8">
      <c r="A2820" s="600"/>
      <c r="B2820" s="600"/>
      <c r="C2820" s="600"/>
      <c r="D2820" s="600"/>
      <c r="E2820" s="600"/>
      <c r="F2820" s="600"/>
      <c r="G2820" s="600"/>
      <c r="H2820" s="600"/>
    </row>
    <row r="2821" spans="1:8">
      <c r="A2821" s="600"/>
      <c r="B2821" s="600"/>
      <c r="C2821" s="600"/>
      <c r="D2821" s="600"/>
      <c r="E2821" s="600"/>
      <c r="F2821" s="600"/>
      <c r="G2821" s="600"/>
      <c r="H2821" s="600"/>
    </row>
    <row r="2822" spans="1:8">
      <c r="A2822" s="600"/>
      <c r="B2822" s="600"/>
      <c r="C2822" s="600"/>
      <c r="D2822" s="600"/>
      <c r="E2822" s="600"/>
      <c r="F2822" s="600"/>
      <c r="G2822" s="600"/>
      <c r="H2822" s="600"/>
    </row>
    <row r="2823" spans="1:8">
      <c r="A2823" s="600"/>
      <c r="B2823" s="600"/>
      <c r="C2823" s="600"/>
      <c r="D2823" s="600"/>
      <c r="E2823" s="600"/>
      <c r="F2823" s="600"/>
      <c r="G2823" s="600"/>
      <c r="H2823" s="600"/>
    </row>
    <row r="2824" spans="1:8">
      <c r="A2824" s="600"/>
      <c r="B2824" s="600"/>
      <c r="C2824" s="600"/>
      <c r="D2824" s="600"/>
      <c r="E2824" s="600"/>
      <c r="F2824" s="600"/>
      <c r="G2824" s="600"/>
      <c r="H2824" s="600"/>
    </row>
    <row r="2825" spans="1:8">
      <c r="A2825" s="600"/>
      <c r="B2825" s="600"/>
      <c r="C2825" s="600"/>
      <c r="D2825" s="600"/>
      <c r="E2825" s="600"/>
      <c r="F2825" s="600"/>
      <c r="G2825" s="600"/>
      <c r="H2825" s="600"/>
    </row>
    <row r="2826" spans="1:8">
      <c r="A2826" s="600"/>
      <c r="B2826" s="600"/>
      <c r="C2826" s="600"/>
      <c r="D2826" s="600"/>
      <c r="E2826" s="600"/>
      <c r="F2826" s="600"/>
      <c r="G2826" s="600"/>
      <c r="H2826" s="600"/>
    </row>
    <row r="2827" spans="1:8">
      <c r="A2827" s="600"/>
      <c r="B2827" s="600"/>
      <c r="C2827" s="600"/>
      <c r="D2827" s="600"/>
      <c r="E2827" s="600"/>
      <c r="F2827" s="600"/>
      <c r="G2827" s="600"/>
      <c r="H2827" s="600"/>
    </row>
    <row r="2828" spans="1:8">
      <c r="A2828" s="600"/>
      <c r="B2828" s="600"/>
      <c r="C2828" s="600"/>
      <c r="D2828" s="600"/>
      <c r="E2828" s="600"/>
      <c r="F2828" s="600"/>
      <c r="G2828" s="600"/>
      <c r="H2828" s="600"/>
    </row>
    <row r="2829" spans="1:8">
      <c r="A2829" s="600"/>
      <c r="B2829" s="600"/>
      <c r="C2829" s="600"/>
      <c r="D2829" s="600"/>
      <c r="E2829" s="600"/>
      <c r="F2829" s="600"/>
      <c r="G2829" s="600"/>
      <c r="H2829" s="600"/>
    </row>
    <row r="2830" spans="1:8">
      <c r="A2830" s="600"/>
      <c r="B2830" s="600"/>
      <c r="C2830" s="600"/>
      <c r="D2830" s="600"/>
      <c r="E2830" s="600"/>
      <c r="F2830" s="600"/>
      <c r="G2830" s="600"/>
      <c r="H2830" s="600"/>
    </row>
    <row r="2831" spans="1:8">
      <c r="A2831" s="600"/>
      <c r="B2831" s="600"/>
      <c r="C2831" s="600"/>
      <c r="D2831" s="600"/>
      <c r="E2831" s="600"/>
      <c r="F2831" s="600"/>
      <c r="G2831" s="600"/>
      <c r="H2831" s="600"/>
    </row>
    <row r="2832" spans="1:8">
      <c r="A2832" s="600"/>
      <c r="B2832" s="600"/>
      <c r="C2832" s="600"/>
      <c r="D2832" s="600"/>
      <c r="E2832" s="600"/>
      <c r="F2832" s="600"/>
      <c r="G2832" s="600"/>
      <c r="H2832" s="600"/>
    </row>
    <row r="2833" spans="1:8">
      <c r="A2833" s="600"/>
      <c r="B2833" s="600"/>
      <c r="C2833" s="600"/>
      <c r="D2833" s="600"/>
      <c r="E2833" s="600"/>
      <c r="F2833" s="600"/>
      <c r="G2833" s="600"/>
      <c r="H2833" s="600"/>
    </row>
    <row r="2834" spans="1:8">
      <c r="A2834" s="600"/>
      <c r="B2834" s="600"/>
      <c r="C2834" s="600"/>
      <c r="D2834" s="600"/>
      <c r="E2834" s="600"/>
      <c r="F2834" s="600"/>
      <c r="G2834" s="600"/>
      <c r="H2834" s="600"/>
    </row>
    <row r="2835" spans="1:8">
      <c r="A2835" s="600"/>
      <c r="B2835" s="600"/>
      <c r="C2835" s="600"/>
      <c r="D2835" s="600"/>
      <c r="E2835" s="600"/>
      <c r="F2835" s="600"/>
      <c r="G2835" s="600"/>
      <c r="H2835" s="600"/>
    </row>
    <row r="2836" spans="1:8">
      <c r="A2836" s="600"/>
      <c r="B2836" s="600"/>
      <c r="C2836" s="600"/>
      <c r="D2836" s="600"/>
      <c r="E2836" s="600"/>
      <c r="F2836" s="600"/>
      <c r="G2836" s="600"/>
      <c r="H2836" s="600"/>
    </row>
    <row r="2837" spans="1:8">
      <c r="A2837" s="600"/>
      <c r="B2837" s="600"/>
      <c r="C2837" s="600"/>
      <c r="D2837" s="600"/>
      <c r="E2837" s="600"/>
      <c r="F2837" s="600"/>
      <c r="G2837" s="600"/>
      <c r="H2837" s="600"/>
    </row>
    <row r="2838" spans="1:8">
      <c r="A2838" s="600"/>
      <c r="B2838" s="600"/>
      <c r="C2838" s="600"/>
      <c r="D2838" s="600"/>
      <c r="E2838" s="600"/>
      <c r="F2838" s="600"/>
      <c r="G2838" s="600"/>
      <c r="H2838" s="600"/>
    </row>
    <row r="2839" spans="1:8">
      <c r="A2839" s="600"/>
      <c r="B2839" s="600"/>
      <c r="C2839" s="600"/>
      <c r="D2839" s="600"/>
      <c r="E2839" s="600"/>
      <c r="F2839" s="600"/>
      <c r="G2839" s="600"/>
      <c r="H2839" s="600"/>
    </row>
    <row r="2840" spans="1:8">
      <c r="A2840" s="600"/>
      <c r="B2840" s="600"/>
      <c r="C2840" s="600"/>
      <c r="D2840" s="600"/>
      <c r="E2840" s="600"/>
      <c r="F2840" s="600"/>
      <c r="G2840" s="600"/>
      <c r="H2840" s="600"/>
    </row>
    <row r="2841" spans="1:8">
      <c r="A2841" s="600"/>
      <c r="B2841" s="600"/>
      <c r="C2841" s="600"/>
      <c r="D2841" s="600"/>
      <c r="E2841" s="600"/>
      <c r="F2841" s="600"/>
      <c r="G2841" s="600"/>
      <c r="H2841" s="600"/>
    </row>
    <row r="2842" spans="1:8">
      <c r="A2842" s="600"/>
      <c r="B2842" s="600"/>
      <c r="C2842" s="600"/>
      <c r="D2842" s="600"/>
      <c r="E2842" s="600"/>
      <c r="F2842" s="600"/>
      <c r="G2842" s="600"/>
      <c r="H2842" s="600"/>
    </row>
    <row r="2843" spans="1:8">
      <c r="A2843" s="600"/>
      <c r="B2843" s="600"/>
      <c r="C2843" s="600"/>
      <c r="D2843" s="600"/>
      <c r="E2843" s="600"/>
      <c r="F2843" s="600"/>
      <c r="G2843" s="600"/>
      <c r="H2843" s="600"/>
    </row>
    <row r="2844" spans="1:8">
      <c r="A2844" s="600"/>
      <c r="B2844" s="600"/>
      <c r="C2844" s="600"/>
      <c r="D2844" s="600"/>
      <c r="E2844" s="600"/>
      <c r="F2844" s="600"/>
      <c r="G2844" s="600"/>
      <c r="H2844" s="600"/>
    </row>
    <row r="2845" spans="1:8">
      <c r="A2845" s="600"/>
      <c r="B2845" s="600"/>
      <c r="C2845" s="600"/>
      <c r="D2845" s="600"/>
      <c r="E2845" s="600"/>
      <c r="F2845" s="600"/>
      <c r="G2845" s="600"/>
      <c r="H2845" s="600"/>
    </row>
    <row r="2846" spans="1:8">
      <c r="A2846" s="600"/>
      <c r="B2846" s="600"/>
      <c r="C2846" s="600"/>
      <c r="D2846" s="600"/>
      <c r="E2846" s="600"/>
      <c r="F2846" s="600"/>
      <c r="G2846" s="600"/>
      <c r="H2846" s="600"/>
    </row>
    <row r="2847" spans="1:8">
      <c r="A2847" s="600"/>
      <c r="B2847" s="600"/>
      <c r="C2847" s="600"/>
      <c r="D2847" s="600"/>
      <c r="E2847" s="600"/>
      <c r="F2847" s="600"/>
      <c r="G2847" s="600"/>
      <c r="H2847" s="600"/>
    </row>
    <row r="2848" spans="1:8">
      <c r="A2848" s="600"/>
      <c r="B2848" s="600"/>
      <c r="C2848" s="600"/>
      <c r="D2848" s="600"/>
      <c r="E2848" s="600"/>
      <c r="F2848" s="600"/>
      <c r="G2848" s="600"/>
      <c r="H2848" s="600"/>
    </row>
    <row r="2849" spans="1:8">
      <c r="A2849" s="600"/>
      <c r="B2849" s="600"/>
      <c r="C2849" s="600"/>
      <c r="D2849" s="600"/>
      <c r="E2849" s="600"/>
      <c r="F2849" s="600"/>
      <c r="G2849" s="600"/>
      <c r="H2849" s="600"/>
    </row>
    <row r="2850" spans="1:8">
      <c r="A2850" s="600"/>
      <c r="B2850" s="600"/>
      <c r="C2850" s="600"/>
      <c r="D2850" s="600"/>
      <c r="E2850" s="600"/>
      <c r="F2850" s="600"/>
      <c r="G2850" s="600"/>
      <c r="H2850" s="600"/>
    </row>
    <row r="2851" spans="1:8">
      <c r="A2851" s="600"/>
      <c r="B2851" s="600"/>
      <c r="C2851" s="600"/>
      <c r="D2851" s="600"/>
      <c r="E2851" s="600"/>
      <c r="F2851" s="600"/>
      <c r="G2851" s="600"/>
      <c r="H2851" s="600"/>
    </row>
    <row r="2852" spans="1:8">
      <c r="A2852" s="600"/>
      <c r="B2852" s="600"/>
      <c r="C2852" s="600"/>
      <c r="D2852" s="600"/>
      <c r="E2852" s="600"/>
      <c r="F2852" s="600"/>
      <c r="G2852" s="600"/>
      <c r="H2852" s="600"/>
    </row>
    <row r="2853" spans="1:8">
      <c r="A2853" s="600"/>
      <c r="B2853" s="600"/>
      <c r="C2853" s="600"/>
      <c r="D2853" s="600"/>
      <c r="E2853" s="600"/>
      <c r="F2853" s="600"/>
      <c r="G2853" s="600"/>
      <c r="H2853" s="600"/>
    </row>
    <row r="2854" spans="1:8">
      <c r="A2854" s="600"/>
      <c r="B2854" s="600"/>
      <c r="C2854" s="600"/>
      <c r="D2854" s="600"/>
      <c r="E2854" s="600"/>
      <c r="F2854" s="600"/>
      <c r="G2854" s="600"/>
      <c r="H2854" s="600"/>
    </row>
    <row r="2855" spans="1:8">
      <c r="A2855" s="600"/>
      <c r="B2855" s="600"/>
      <c r="C2855" s="600"/>
      <c r="D2855" s="600"/>
      <c r="E2855" s="600"/>
      <c r="F2855" s="600"/>
      <c r="G2855" s="600"/>
      <c r="H2855" s="600"/>
    </row>
    <row r="2856" spans="1:8">
      <c r="A2856" s="600"/>
      <c r="B2856" s="600"/>
      <c r="C2856" s="600"/>
      <c r="D2856" s="600"/>
      <c r="E2856" s="600"/>
      <c r="F2856" s="600"/>
      <c r="G2856" s="600"/>
      <c r="H2856" s="600"/>
    </row>
    <row r="2857" spans="1:8">
      <c r="A2857" s="600"/>
      <c r="B2857" s="600"/>
      <c r="C2857" s="600"/>
      <c r="D2857" s="600"/>
      <c r="E2857" s="600"/>
      <c r="F2857" s="600"/>
      <c r="G2857" s="600"/>
      <c r="H2857" s="600"/>
    </row>
    <row r="2858" spans="1:8">
      <c r="A2858" s="600"/>
      <c r="B2858" s="600"/>
      <c r="C2858" s="600"/>
      <c r="D2858" s="600"/>
      <c r="E2858" s="600"/>
      <c r="F2858" s="600"/>
      <c r="G2858" s="600"/>
      <c r="H2858" s="600"/>
    </row>
    <row r="2859" spans="1:8">
      <c r="A2859" s="600"/>
      <c r="B2859" s="600"/>
      <c r="C2859" s="600"/>
      <c r="D2859" s="600"/>
      <c r="E2859" s="600"/>
      <c r="F2859" s="600"/>
      <c r="G2859" s="600"/>
      <c r="H2859" s="600"/>
    </row>
    <row r="2860" spans="1:8">
      <c r="A2860" s="600"/>
      <c r="B2860" s="600"/>
      <c r="C2860" s="600"/>
      <c r="D2860" s="600"/>
      <c r="E2860" s="600"/>
      <c r="F2860" s="600"/>
      <c r="G2860" s="600"/>
      <c r="H2860" s="600"/>
    </row>
    <row r="2861" spans="1:8">
      <c r="A2861" s="600"/>
      <c r="B2861" s="600"/>
      <c r="C2861" s="600"/>
      <c r="D2861" s="600"/>
      <c r="E2861" s="600"/>
      <c r="F2861" s="600"/>
      <c r="G2861" s="600"/>
      <c r="H2861" s="600"/>
    </row>
    <row r="2862" spans="1:8">
      <c r="A2862" s="600"/>
      <c r="B2862" s="600"/>
      <c r="C2862" s="600"/>
      <c r="D2862" s="600"/>
      <c r="E2862" s="600"/>
      <c r="F2862" s="600"/>
      <c r="G2862" s="600"/>
      <c r="H2862" s="600"/>
    </row>
    <row r="2863" spans="1:8">
      <c r="A2863" s="600"/>
      <c r="B2863" s="600"/>
      <c r="C2863" s="600"/>
      <c r="D2863" s="600"/>
      <c r="E2863" s="600"/>
      <c r="F2863" s="600"/>
      <c r="G2863" s="600"/>
      <c r="H2863" s="600"/>
    </row>
    <row r="2864" spans="1:8">
      <c r="A2864" s="600"/>
      <c r="B2864" s="600"/>
      <c r="C2864" s="600"/>
      <c r="D2864" s="600"/>
      <c r="E2864" s="600"/>
      <c r="F2864" s="600"/>
      <c r="G2864" s="600"/>
      <c r="H2864" s="600"/>
    </row>
    <row r="2865" spans="1:8">
      <c r="A2865" s="600"/>
      <c r="B2865" s="600"/>
      <c r="C2865" s="600"/>
      <c r="D2865" s="600"/>
      <c r="E2865" s="600"/>
      <c r="F2865" s="600"/>
      <c r="G2865" s="600"/>
      <c r="H2865" s="600"/>
    </row>
    <row r="2866" spans="1:8">
      <c r="A2866" s="600"/>
      <c r="B2866" s="600"/>
      <c r="C2866" s="600"/>
      <c r="D2866" s="600"/>
      <c r="E2866" s="600"/>
      <c r="F2866" s="600"/>
      <c r="G2866" s="600"/>
      <c r="H2866" s="600"/>
    </row>
    <row r="2867" spans="1:8">
      <c r="A2867" s="600"/>
      <c r="B2867" s="600"/>
      <c r="C2867" s="600"/>
      <c r="D2867" s="600"/>
      <c r="E2867" s="600"/>
      <c r="F2867" s="600"/>
      <c r="G2867" s="600"/>
      <c r="H2867" s="600"/>
    </row>
    <row r="2868" spans="1:8">
      <c r="A2868" s="600"/>
      <c r="B2868" s="600"/>
      <c r="C2868" s="600"/>
      <c r="D2868" s="600"/>
      <c r="E2868" s="600"/>
      <c r="F2868" s="600"/>
      <c r="G2868" s="600"/>
      <c r="H2868" s="600"/>
    </row>
    <row r="2869" spans="1:8">
      <c r="A2869" s="600"/>
      <c r="B2869" s="600"/>
      <c r="C2869" s="600"/>
      <c r="D2869" s="600"/>
      <c r="E2869" s="600"/>
      <c r="F2869" s="600"/>
      <c r="G2869" s="600"/>
      <c r="H2869" s="600"/>
    </row>
    <row r="2870" spans="1:8">
      <c r="A2870" s="600"/>
      <c r="B2870" s="600"/>
      <c r="C2870" s="600"/>
      <c r="D2870" s="600"/>
      <c r="E2870" s="600"/>
      <c r="F2870" s="600"/>
      <c r="G2870" s="600"/>
      <c r="H2870" s="600"/>
    </row>
    <row r="2871" spans="1:8">
      <c r="A2871" s="600"/>
      <c r="B2871" s="600"/>
      <c r="C2871" s="600"/>
      <c r="D2871" s="600"/>
      <c r="E2871" s="600"/>
      <c r="F2871" s="600"/>
      <c r="G2871" s="600"/>
      <c r="H2871" s="600"/>
    </row>
    <row r="2872" spans="1:8">
      <c r="A2872" s="600"/>
      <c r="B2872" s="600"/>
      <c r="C2872" s="600"/>
      <c r="D2872" s="600"/>
      <c r="E2872" s="600"/>
      <c r="F2872" s="600"/>
      <c r="G2872" s="600"/>
      <c r="H2872" s="600"/>
    </row>
    <row r="2873" spans="1:8">
      <c r="A2873" s="600"/>
      <c r="B2873" s="600"/>
      <c r="C2873" s="600"/>
      <c r="D2873" s="600"/>
      <c r="E2873" s="600"/>
      <c r="F2873" s="600"/>
      <c r="G2873" s="600"/>
      <c r="H2873" s="600"/>
    </row>
    <row r="2874" spans="1:8">
      <c r="A2874" s="600"/>
      <c r="B2874" s="600"/>
      <c r="C2874" s="600"/>
      <c r="D2874" s="600"/>
      <c r="E2874" s="600"/>
      <c r="F2874" s="600"/>
      <c r="G2874" s="600"/>
      <c r="H2874" s="600"/>
    </row>
    <row r="2875" spans="1:8">
      <c r="A2875" s="600"/>
      <c r="B2875" s="600"/>
      <c r="C2875" s="600"/>
      <c r="D2875" s="600"/>
      <c r="E2875" s="600"/>
      <c r="F2875" s="600"/>
      <c r="G2875" s="600"/>
      <c r="H2875" s="600"/>
    </row>
    <row r="2876" spans="1:8">
      <c r="A2876" s="600"/>
      <c r="B2876" s="600"/>
      <c r="C2876" s="600"/>
      <c r="D2876" s="600"/>
      <c r="E2876" s="600"/>
      <c r="F2876" s="600"/>
      <c r="G2876" s="600"/>
      <c r="H2876" s="600"/>
    </row>
    <row r="2877" spans="1:8">
      <c r="A2877" s="600"/>
      <c r="B2877" s="600"/>
      <c r="C2877" s="600"/>
      <c r="D2877" s="600"/>
      <c r="E2877" s="600"/>
      <c r="F2877" s="600"/>
      <c r="G2877" s="600"/>
      <c r="H2877" s="600"/>
    </row>
    <row r="2878" spans="1:8">
      <c r="A2878" s="600"/>
      <c r="B2878" s="600"/>
      <c r="C2878" s="600"/>
      <c r="D2878" s="600"/>
      <c r="E2878" s="600"/>
      <c r="F2878" s="600"/>
      <c r="G2878" s="600"/>
      <c r="H2878" s="600"/>
    </row>
    <row r="2879" spans="1:8">
      <c r="A2879" s="600"/>
      <c r="B2879" s="600"/>
      <c r="C2879" s="600"/>
      <c r="D2879" s="600"/>
      <c r="E2879" s="600"/>
      <c r="F2879" s="600"/>
      <c r="G2879" s="600"/>
      <c r="H2879" s="600"/>
    </row>
    <row r="2880" spans="1:8">
      <c r="A2880" s="600"/>
      <c r="B2880" s="600"/>
      <c r="C2880" s="600"/>
      <c r="D2880" s="600"/>
      <c r="E2880" s="600"/>
      <c r="F2880" s="600"/>
      <c r="G2880" s="600"/>
      <c r="H2880" s="600"/>
    </row>
    <row r="2881" spans="1:8">
      <c r="A2881" s="600"/>
      <c r="B2881" s="600"/>
      <c r="C2881" s="600"/>
      <c r="D2881" s="600"/>
      <c r="E2881" s="600"/>
      <c r="F2881" s="600"/>
      <c r="G2881" s="600"/>
      <c r="H2881" s="600"/>
    </row>
    <row r="2882" spans="1:8">
      <c r="A2882" s="600"/>
      <c r="B2882" s="600"/>
      <c r="C2882" s="600"/>
      <c r="D2882" s="600"/>
      <c r="E2882" s="600"/>
      <c r="F2882" s="600"/>
      <c r="G2882" s="600"/>
      <c r="H2882" s="600"/>
    </row>
    <row r="2883" spans="1:8">
      <c r="A2883" s="600"/>
      <c r="B2883" s="600"/>
      <c r="C2883" s="600"/>
      <c r="D2883" s="600"/>
      <c r="E2883" s="600"/>
      <c r="F2883" s="600"/>
      <c r="G2883" s="600"/>
      <c r="H2883" s="600"/>
    </row>
    <row r="2884" spans="1:8">
      <c r="A2884" s="600"/>
      <c r="B2884" s="600"/>
      <c r="C2884" s="600"/>
      <c r="D2884" s="600"/>
      <c r="E2884" s="600"/>
      <c r="F2884" s="600"/>
      <c r="G2884" s="600"/>
      <c r="H2884" s="600"/>
    </row>
    <row r="2885" spans="1:8">
      <c r="A2885" s="600"/>
      <c r="B2885" s="600"/>
      <c r="C2885" s="600"/>
      <c r="D2885" s="600"/>
      <c r="E2885" s="600"/>
      <c r="F2885" s="600"/>
      <c r="G2885" s="600"/>
      <c r="H2885" s="600"/>
    </row>
    <row r="2886" spans="1:8">
      <c r="A2886" s="600"/>
      <c r="B2886" s="600"/>
      <c r="C2886" s="600"/>
      <c r="D2886" s="600"/>
      <c r="E2886" s="600"/>
      <c r="F2886" s="600"/>
      <c r="G2886" s="600"/>
      <c r="H2886" s="600"/>
    </row>
    <row r="2887" spans="1:8">
      <c r="A2887" s="600"/>
      <c r="B2887" s="600"/>
      <c r="C2887" s="600"/>
      <c r="D2887" s="600"/>
      <c r="E2887" s="600"/>
      <c r="F2887" s="600"/>
      <c r="G2887" s="600"/>
      <c r="H2887" s="600"/>
    </row>
    <row r="2888" spans="1:8">
      <c r="A2888" s="600"/>
      <c r="B2888" s="600"/>
      <c r="C2888" s="600"/>
      <c r="D2888" s="600"/>
      <c r="E2888" s="600"/>
      <c r="F2888" s="600"/>
      <c r="G2888" s="600"/>
      <c r="H2888" s="600"/>
    </row>
    <row r="2889" spans="1:8">
      <c r="A2889" s="600"/>
      <c r="B2889" s="600"/>
      <c r="C2889" s="600"/>
      <c r="D2889" s="600"/>
      <c r="E2889" s="600"/>
      <c r="F2889" s="600"/>
      <c r="G2889" s="600"/>
      <c r="H2889" s="600"/>
    </row>
    <row r="2890" spans="1:8">
      <c r="A2890" s="600"/>
      <c r="B2890" s="600"/>
      <c r="C2890" s="600"/>
      <c r="D2890" s="600"/>
      <c r="E2890" s="600"/>
      <c r="F2890" s="600"/>
      <c r="G2890" s="600"/>
      <c r="H2890" s="600"/>
    </row>
    <row r="2891" spans="1:8">
      <c r="A2891" s="600"/>
      <c r="B2891" s="600"/>
      <c r="C2891" s="600"/>
      <c r="D2891" s="600"/>
      <c r="E2891" s="600"/>
      <c r="F2891" s="600"/>
      <c r="G2891" s="600"/>
      <c r="H2891" s="600"/>
    </row>
    <row r="2892" spans="1:8">
      <c r="A2892" s="600"/>
      <c r="B2892" s="600"/>
      <c r="C2892" s="600"/>
      <c r="D2892" s="600"/>
      <c r="E2892" s="600"/>
      <c r="F2892" s="600"/>
      <c r="G2892" s="600"/>
      <c r="H2892" s="600"/>
    </row>
    <row r="2893" spans="1:8">
      <c r="A2893" s="600"/>
      <c r="B2893" s="600"/>
      <c r="C2893" s="600"/>
      <c r="D2893" s="600"/>
      <c r="E2893" s="600"/>
      <c r="F2893" s="600"/>
      <c r="G2893" s="600"/>
      <c r="H2893" s="600"/>
    </row>
    <row r="2894" spans="1:8">
      <c r="A2894" s="600"/>
      <c r="B2894" s="600"/>
      <c r="C2894" s="600"/>
      <c r="D2894" s="600"/>
      <c r="E2894" s="600"/>
      <c r="F2894" s="600"/>
      <c r="G2894" s="600"/>
      <c r="H2894" s="600"/>
    </row>
    <row r="2895" spans="1:8">
      <c r="A2895" s="600"/>
      <c r="B2895" s="600"/>
      <c r="C2895" s="600"/>
      <c r="D2895" s="600"/>
      <c r="E2895" s="600"/>
      <c r="F2895" s="600"/>
      <c r="G2895" s="600"/>
      <c r="H2895" s="600"/>
    </row>
    <row r="2896" spans="1:8">
      <c r="A2896" s="600"/>
      <c r="B2896" s="600"/>
      <c r="C2896" s="600"/>
      <c r="D2896" s="600"/>
      <c r="E2896" s="600"/>
      <c r="F2896" s="600"/>
      <c r="G2896" s="600"/>
      <c r="H2896" s="600"/>
    </row>
    <row r="2897" spans="1:8">
      <c r="A2897" s="600"/>
      <c r="B2897" s="600"/>
      <c r="C2897" s="600"/>
      <c r="D2897" s="600"/>
      <c r="E2897" s="600"/>
      <c r="F2897" s="600"/>
      <c r="G2897" s="600"/>
      <c r="H2897" s="600"/>
    </row>
    <row r="2898" spans="1:8">
      <c r="A2898" s="600"/>
      <c r="B2898" s="600"/>
      <c r="C2898" s="600"/>
      <c r="D2898" s="600"/>
      <c r="E2898" s="600"/>
      <c r="F2898" s="600"/>
      <c r="G2898" s="600"/>
      <c r="H2898" s="600"/>
    </row>
    <row r="2899" spans="1:8">
      <c r="A2899" s="600"/>
      <c r="B2899" s="600"/>
      <c r="C2899" s="600"/>
      <c r="D2899" s="600"/>
      <c r="E2899" s="600"/>
      <c r="F2899" s="600"/>
      <c r="G2899" s="600"/>
      <c r="H2899" s="600"/>
    </row>
    <row r="2900" spans="1:8">
      <c r="A2900" s="600"/>
      <c r="B2900" s="600"/>
      <c r="C2900" s="600"/>
      <c r="D2900" s="600"/>
      <c r="E2900" s="600"/>
      <c r="F2900" s="600"/>
      <c r="G2900" s="600"/>
      <c r="H2900" s="600"/>
    </row>
    <row r="2901" spans="1:8">
      <c r="A2901" s="600"/>
      <c r="B2901" s="600"/>
      <c r="C2901" s="600"/>
      <c r="D2901" s="600"/>
      <c r="E2901" s="600"/>
      <c r="F2901" s="600"/>
      <c r="G2901" s="600"/>
      <c r="H2901" s="600"/>
    </row>
    <row r="2902" spans="1:8">
      <c r="A2902" s="600"/>
      <c r="B2902" s="600"/>
      <c r="C2902" s="600"/>
      <c r="D2902" s="600"/>
      <c r="E2902" s="600"/>
      <c r="F2902" s="600"/>
      <c r="G2902" s="600"/>
      <c r="H2902" s="600"/>
    </row>
    <row r="2903" spans="1:8">
      <c r="A2903" s="600"/>
      <c r="B2903" s="600"/>
      <c r="C2903" s="600"/>
      <c r="D2903" s="600"/>
      <c r="E2903" s="600"/>
      <c r="F2903" s="600"/>
      <c r="G2903" s="600"/>
      <c r="H2903" s="600"/>
    </row>
    <row r="2904" spans="1:8">
      <c r="A2904" s="600"/>
      <c r="B2904" s="600"/>
      <c r="C2904" s="600"/>
      <c r="D2904" s="600"/>
      <c r="E2904" s="600"/>
      <c r="F2904" s="600"/>
      <c r="G2904" s="600"/>
      <c r="H2904" s="600"/>
    </row>
    <row r="2905" spans="1:8">
      <c r="A2905" s="600"/>
      <c r="B2905" s="600"/>
      <c r="C2905" s="600"/>
      <c r="D2905" s="600"/>
      <c r="E2905" s="600"/>
      <c r="F2905" s="600"/>
      <c r="G2905" s="600"/>
      <c r="H2905" s="600"/>
    </row>
    <row r="2906" spans="1:8">
      <c r="A2906" s="600"/>
      <c r="B2906" s="600"/>
      <c r="C2906" s="600"/>
      <c r="D2906" s="600"/>
      <c r="E2906" s="600"/>
      <c r="F2906" s="600"/>
      <c r="G2906" s="600"/>
      <c r="H2906" s="600"/>
    </row>
    <row r="2907" spans="1:8">
      <c r="A2907" s="600"/>
      <c r="B2907" s="600"/>
      <c r="C2907" s="600"/>
      <c r="D2907" s="600"/>
      <c r="E2907" s="600"/>
      <c r="F2907" s="600"/>
      <c r="G2907" s="600"/>
      <c r="H2907" s="600"/>
    </row>
    <row r="2908" spans="1:8">
      <c r="A2908" s="600"/>
      <c r="B2908" s="600"/>
      <c r="C2908" s="600"/>
      <c r="D2908" s="600"/>
      <c r="E2908" s="600"/>
      <c r="F2908" s="600"/>
      <c r="G2908" s="600"/>
      <c r="H2908" s="600"/>
    </row>
    <row r="2909" spans="1:8">
      <c r="A2909" s="600"/>
      <c r="B2909" s="600"/>
      <c r="C2909" s="600"/>
      <c r="D2909" s="600"/>
      <c r="E2909" s="600"/>
      <c r="F2909" s="600"/>
      <c r="G2909" s="600"/>
      <c r="H2909" s="600"/>
    </row>
    <row r="2910" spans="1:8">
      <c r="A2910" s="600"/>
      <c r="B2910" s="600"/>
      <c r="C2910" s="600"/>
      <c r="D2910" s="600"/>
      <c r="E2910" s="600"/>
      <c r="F2910" s="600"/>
      <c r="G2910" s="600"/>
      <c r="H2910" s="600"/>
    </row>
    <row r="2911" spans="1:8">
      <c r="A2911" s="600"/>
      <c r="B2911" s="600"/>
      <c r="C2911" s="600"/>
      <c r="D2911" s="600"/>
      <c r="E2911" s="600"/>
      <c r="F2911" s="600"/>
      <c r="G2911" s="600"/>
      <c r="H2911" s="600"/>
    </row>
    <row r="2912" spans="1:8">
      <c r="A2912" s="600"/>
      <c r="B2912" s="600"/>
      <c r="C2912" s="600"/>
      <c r="D2912" s="600"/>
      <c r="E2912" s="600"/>
      <c r="F2912" s="600"/>
      <c r="G2912" s="600"/>
      <c r="H2912" s="600"/>
    </row>
    <row r="2913" spans="1:8">
      <c r="A2913" s="600"/>
      <c r="B2913" s="600"/>
      <c r="C2913" s="600"/>
      <c r="D2913" s="600"/>
      <c r="E2913" s="600"/>
      <c r="F2913" s="600"/>
      <c r="G2913" s="600"/>
      <c r="H2913" s="600"/>
    </row>
    <row r="2914" spans="1:8">
      <c r="A2914" s="600"/>
      <c r="B2914" s="600"/>
      <c r="C2914" s="600"/>
      <c r="D2914" s="600"/>
      <c r="E2914" s="600"/>
      <c r="F2914" s="600"/>
      <c r="G2914" s="600"/>
      <c r="H2914" s="600"/>
    </row>
    <row r="2915" spans="1:8">
      <c r="A2915" s="600"/>
      <c r="B2915" s="600"/>
      <c r="C2915" s="600"/>
      <c r="D2915" s="600"/>
      <c r="E2915" s="600"/>
      <c r="F2915" s="600"/>
      <c r="G2915" s="600"/>
      <c r="H2915" s="600"/>
    </row>
    <row r="2916" spans="1:8">
      <c r="A2916" s="600"/>
      <c r="B2916" s="600"/>
      <c r="C2916" s="600"/>
      <c r="D2916" s="600"/>
      <c r="E2916" s="600"/>
      <c r="F2916" s="600"/>
      <c r="G2916" s="600"/>
      <c r="H2916" s="600"/>
    </row>
    <row r="2917" spans="1:8">
      <c r="A2917" s="600"/>
      <c r="B2917" s="600"/>
      <c r="C2917" s="600"/>
      <c r="D2917" s="600"/>
      <c r="E2917" s="600"/>
      <c r="F2917" s="600"/>
      <c r="G2917" s="600"/>
      <c r="H2917" s="600"/>
    </row>
    <row r="2918" spans="1:8">
      <c r="A2918" s="600"/>
      <c r="B2918" s="600"/>
      <c r="C2918" s="600"/>
      <c r="D2918" s="600"/>
      <c r="E2918" s="600"/>
      <c r="F2918" s="600"/>
      <c r="G2918" s="600"/>
      <c r="H2918" s="600"/>
    </row>
    <row r="2919" spans="1:8">
      <c r="A2919" s="600"/>
      <c r="B2919" s="600"/>
      <c r="C2919" s="600"/>
      <c r="D2919" s="600"/>
      <c r="E2919" s="600"/>
      <c r="F2919" s="600"/>
      <c r="G2919" s="600"/>
      <c r="H2919" s="600"/>
    </row>
    <row r="2920" spans="1:8">
      <c r="A2920" s="600"/>
      <c r="B2920" s="600"/>
      <c r="C2920" s="600"/>
      <c r="D2920" s="600"/>
      <c r="E2920" s="600"/>
      <c r="F2920" s="600"/>
      <c r="G2920" s="600"/>
      <c r="H2920" s="600"/>
    </row>
    <row r="2921" spans="1:8">
      <c r="A2921" s="600"/>
      <c r="B2921" s="600"/>
      <c r="C2921" s="600"/>
      <c r="D2921" s="600"/>
      <c r="E2921" s="600"/>
      <c r="F2921" s="600"/>
      <c r="G2921" s="600"/>
      <c r="H2921" s="600"/>
    </row>
    <row r="2922" spans="1:8">
      <c r="A2922" s="600"/>
      <c r="B2922" s="600"/>
      <c r="C2922" s="600"/>
      <c r="D2922" s="600"/>
      <c r="E2922" s="600"/>
      <c r="F2922" s="600"/>
      <c r="G2922" s="600"/>
      <c r="H2922" s="600"/>
    </row>
    <row r="2923" spans="1:8">
      <c r="A2923" s="600"/>
      <c r="B2923" s="600"/>
      <c r="C2923" s="600"/>
      <c r="D2923" s="600"/>
      <c r="E2923" s="600"/>
      <c r="F2923" s="600"/>
      <c r="G2923" s="600"/>
      <c r="H2923" s="600"/>
    </row>
    <row r="2924" spans="1:8">
      <c r="A2924" s="600"/>
      <c r="B2924" s="600"/>
      <c r="C2924" s="600"/>
      <c r="D2924" s="600"/>
      <c r="E2924" s="600"/>
      <c r="F2924" s="600"/>
      <c r="G2924" s="600"/>
      <c r="H2924" s="600"/>
    </row>
    <row r="2925" spans="1:8">
      <c r="A2925" s="600"/>
      <c r="B2925" s="600"/>
      <c r="C2925" s="600"/>
      <c r="D2925" s="600"/>
      <c r="E2925" s="600"/>
      <c r="F2925" s="600"/>
      <c r="G2925" s="600"/>
      <c r="H2925" s="600"/>
    </row>
    <row r="2926" spans="1:8">
      <c r="A2926" s="600"/>
      <c r="B2926" s="600"/>
      <c r="C2926" s="600"/>
      <c r="D2926" s="600"/>
      <c r="E2926" s="600"/>
      <c r="F2926" s="600"/>
      <c r="G2926" s="600"/>
      <c r="H2926" s="600"/>
    </row>
    <row r="2927" spans="1:8">
      <c r="A2927" s="600"/>
      <c r="B2927" s="600"/>
      <c r="C2927" s="600"/>
      <c r="D2927" s="600"/>
      <c r="E2927" s="600"/>
      <c r="F2927" s="600"/>
      <c r="G2927" s="600"/>
      <c r="H2927" s="600"/>
    </row>
    <row r="2928" spans="1:8">
      <c r="A2928" s="600"/>
      <c r="B2928" s="600"/>
      <c r="C2928" s="600"/>
      <c r="D2928" s="600"/>
      <c r="E2928" s="600"/>
      <c r="F2928" s="600"/>
      <c r="G2928" s="600"/>
      <c r="H2928" s="600"/>
    </row>
    <row r="2929" spans="1:8">
      <c r="A2929" s="600"/>
      <c r="B2929" s="600"/>
      <c r="C2929" s="600"/>
      <c r="D2929" s="600"/>
      <c r="E2929" s="600"/>
      <c r="F2929" s="600"/>
      <c r="G2929" s="600"/>
      <c r="H2929" s="600"/>
    </row>
    <row r="2930" spans="1:8">
      <c r="A2930" s="600"/>
      <c r="B2930" s="600"/>
      <c r="C2930" s="600"/>
      <c r="D2930" s="600"/>
      <c r="E2930" s="600"/>
      <c r="F2930" s="600"/>
      <c r="G2930" s="600"/>
      <c r="H2930" s="600"/>
    </row>
    <row r="2931" spans="1:8">
      <c r="A2931" s="600"/>
      <c r="B2931" s="600"/>
      <c r="C2931" s="600"/>
      <c r="D2931" s="600"/>
      <c r="E2931" s="600"/>
      <c r="F2931" s="600"/>
      <c r="G2931" s="600"/>
      <c r="H2931" s="600"/>
    </row>
    <row r="2932" spans="1:8">
      <c r="A2932" s="600"/>
      <c r="B2932" s="600"/>
      <c r="C2932" s="600"/>
      <c r="D2932" s="600"/>
      <c r="E2932" s="600"/>
      <c r="F2932" s="600"/>
      <c r="G2932" s="600"/>
      <c r="H2932" s="600"/>
    </row>
    <row r="2933" spans="1:8">
      <c r="A2933" s="600"/>
      <c r="B2933" s="600"/>
      <c r="C2933" s="600"/>
      <c r="D2933" s="600"/>
      <c r="E2933" s="600"/>
      <c r="F2933" s="600"/>
      <c r="G2933" s="600"/>
      <c r="H2933" s="600"/>
    </row>
    <row r="2934" spans="1:8">
      <c r="A2934" s="600"/>
      <c r="B2934" s="600"/>
      <c r="C2934" s="600"/>
      <c r="D2934" s="600"/>
      <c r="E2934" s="600"/>
      <c r="F2934" s="600"/>
      <c r="G2934" s="600"/>
      <c r="H2934" s="600"/>
    </row>
    <row r="2935" spans="1:8">
      <c r="A2935" s="600"/>
      <c r="B2935" s="600"/>
      <c r="C2935" s="600"/>
      <c r="D2935" s="600"/>
      <c r="E2935" s="600"/>
      <c r="F2935" s="600"/>
      <c r="G2935" s="600"/>
      <c r="H2935" s="600"/>
    </row>
    <row r="2936" spans="1:8">
      <c r="A2936" s="600"/>
      <c r="B2936" s="600"/>
      <c r="C2936" s="600"/>
      <c r="D2936" s="600"/>
      <c r="E2936" s="600"/>
      <c r="F2936" s="600"/>
      <c r="G2936" s="600"/>
      <c r="H2936" s="600"/>
    </row>
    <row r="2937" spans="1:8">
      <c r="A2937" s="600"/>
      <c r="B2937" s="600"/>
      <c r="C2937" s="600"/>
      <c r="D2937" s="600"/>
      <c r="E2937" s="600"/>
      <c r="F2937" s="600"/>
      <c r="G2937" s="600"/>
      <c r="H2937" s="600"/>
    </row>
    <row r="2938" spans="1:8">
      <c r="A2938" s="600"/>
      <c r="B2938" s="600"/>
      <c r="C2938" s="600"/>
      <c r="D2938" s="600"/>
      <c r="E2938" s="600"/>
      <c r="F2938" s="600"/>
      <c r="G2938" s="600"/>
      <c r="H2938" s="600"/>
    </row>
    <row r="2939" spans="1:8">
      <c r="A2939" s="600"/>
      <c r="B2939" s="600"/>
      <c r="C2939" s="600"/>
      <c r="D2939" s="600"/>
      <c r="E2939" s="600"/>
      <c r="F2939" s="600"/>
      <c r="G2939" s="600"/>
      <c r="H2939" s="600"/>
    </row>
    <row r="2940" spans="1:8">
      <c r="A2940" s="600"/>
      <c r="B2940" s="600"/>
      <c r="C2940" s="600"/>
      <c r="D2940" s="600"/>
      <c r="E2940" s="600"/>
      <c r="F2940" s="600"/>
      <c r="G2940" s="600"/>
      <c r="H2940" s="600"/>
    </row>
    <row r="2941" spans="1:8">
      <c r="A2941" s="600"/>
      <c r="B2941" s="600"/>
      <c r="C2941" s="600"/>
      <c r="D2941" s="600"/>
      <c r="E2941" s="600"/>
      <c r="F2941" s="600"/>
      <c r="G2941" s="600"/>
      <c r="H2941" s="600"/>
    </row>
    <row r="2942" spans="1:8">
      <c r="A2942" s="600"/>
      <c r="B2942" s="600"/>
      <c r="C2942" s="600"/>
      <c r="D2942" s="600"/>
      <c r="E2942" s="600"/>
      <c r="F2942" s="600"/>
      <c r="G2942" s="600"/>
      <c r="H2942" s="600"/>
    </row>
    <row r="2943" spans="1:8">
      <c r="A2943" s="600"/>
      <c r="B2943" s="600"/>
      <c r="C2943" s="600"/>
      <c r="D2943" s="600"/>
      <c r="E2943" s="600"/>
      <c r="F2943" s="600"/>
      <c r="G2943" s="600"/>
      <c r="H2943" s="600"/>
    </row>
    <row r="2944" spans="1:8">
      <c r="A2944" s="600"/>
      <c r="B2944" s="600"/>
      <c r="C2944" s="600"/>
      <c r="D2944" s="600"/>
      <c r="E2944" s="600"/>
      <c r="F2944" s="600"/>
      <c r="G2944" s="600"/>
      <c r="H2944" s="600"/>
    </row>
    <row r="2945" spans="1:8">
      <c r="A2945" s="600"/>
      <c r="B2945" s="600"/>
      <c r="C2945" s="600"/>
      <c r="D2945" s="600"/>
      <c r="E2945" s="600"/>
      <c r="F2945" s="600"/>
      <c r="G2945" s="600"/>
      <c r="H2945" s="600"/>
    </row>
    <row r="2946" spans="1:8">
      <c r="A2946" s="600"/>
      <c r="B2946" s="600"/>
      <c r="C2946" s="600"/>
      <c r="D2946" s="600"/>
      <c r="E2946" s="600"/>
      <c r="F2946" s="600"/>
      <c r="G2946" s="600"/>
      <c r="H2946" s="600"/>
    </row>
    <row r="2947" spans="1:8">
      <c r="A2947" s="600"/>
      <c r="B2947" s="600"/>
      <c r="C2947" s="600"/>
      <c r="D2947" s="600"/>
      <c r="E2947" s="600"/>
      <c r="F2947" s="600"/>
      <c r="G2947" s="600"/>
      <c r="H2947" s="600"/>
    </row>
    <row r="2948" spans="1:8">
      <c r="A2948" s="600"/>
      <c r="B2948" s="600"/>
      <c r="C2948" s="600"/>
      <c r="D2948" s="600"/>
      <c r="E2948" s="600"/>
      <c r="F2948" s="600"/>
      <c r="G2948" s="600"/>
      <c r="H2948" s="600"/>
    </row>
    <row r="2949" spans="1:8">
      <c r="A2949" s="600"/>
      <c r="B2949" s="600"/>
      <c r="C2949" s="600"/>
      <c r="D2949" s="600"/>
      <c r="E2949" s="600"/>
      <c r="F2949" s="600"/>
      <c r="G2949" s="600"/>
      <c r="H2949" s="600"/>
    </row>
    <row r="2950" spans="1:8">
      <c r="A2950" s="600"/>
      <c r="B2950" s="600"/>
      <c r="C2950" s="600"/>
      <c r="D2950" s="600"/>
      <c r="E2950" s="600"/>
      <c r="F2950" s="600"/>
      <c r="G2950" s="600"/>
      <c r="H2950" s="600"/>
    </row>
    <row r="2951" spans="1:8">
      <c r="A2951" s="600"/>
      <c r="B2951" s="600"/>
      <c r="C2951" s="600"/>
      <c r="D2951" s="600"/>
      <c r="E2951" s="600"/>
      <c r="F2951" s="600"/>
      <c r="G2951" s="600"/>
      <c r="H2951" s="600"/>
    </row>
    <row r="2952" spans="1:8">
      <c r="A2952" s="600"/>
      <c r="B2952" s="600"/>
      <c r="C2952" s="600"/>
      <c r="D2952" s="600"/>
      <c r="E2952" s="600"/>
      <c r="F2952" s="600"/>
      <c r="G2952" s="600"/>
      <c r="H2952" s="600"/>
    </row>
    <row r="2953" spans="1:8">
      <c r="A2953" s="600"/>
      <c r="B2953" s="600"/>
      <c r="C2953" s="600"/>
      <c r="D2953" s="600"/>
      <c r="E2953" s="600"/>
      <c r="F2953" s="600"/>
      <c r="G2953" s="600"/>
      <c r="H2953" s="600"/>
    </row>
    <row r="2954" spans="1:8">
      <c r="A2954" s="600"/>
      <c r="B2954" s="600"/>
      <c r="C2954" s="600"/>
      <c r="D2954" s="600"/>
      <c r="E2954" s="600"/>
      <c r="F2954" s="600"/>
      <c r="G2954" s="600"/>
      <c r="H2954" s="600"/>
    </row>
    <row r="2955" spans="1:8">
      <c r="A2955" s="600"/>
      <c r="B2955" s="600"/>
      <c r="C2955" s="600"/>
      <c r="D2955" s="600"/>
      <c r="E2955" s="600"/>
      <c r="F2955" s="600"/>
      <c r="G2955" s="600"/>
      <c r="H2955" s="600"/>
    </row>
    <row r="2956" spans="1:8">
      <c r="A2956" s="600"/>
      <c r="B2956" s="600"/>
      <c r="C2956" s="600"/>
      <c r="D2956" s="600"/>
      <c r="E2956" s="600"/>
      <c r="F2956" s="600"/>
      <c r="G2956" s="600"/>
      <c r="H2956" s="600"/>
    </row>
    <row r="2957" spans="1:8">
      <c r="A2957" s="600"/>
      <c r="B2957" s="600"/>
      <c r="C2957" s="600"/>
      <c r="D2957" s="600"/>
      <c r="E2957" s="600"/>
      <c r="F2957" s="600"/>
      <c r="G2957" s="600"/>
      <c r="H2957" s="600"/>
    </row>
    <row r="2958" spans="1:8">
      <c r="A2958" s="600"/>
      <c r="B2958" s="600"/>
      <c r="C2958" s="600"/>
      <c r="D2958" s="600"/>
      <c r="E2958" s="600"/>
      <c r="F2958" s="600"/>
      <c r="G2958" s="600"/>
      <c r="H2958" s="600"/>
    </row>
    <row r="2959" spans="1:8">
      <c r="A2959" s="600"/>
      <c r="B2959" s="600"/>
      <c r="C2959" s="600"/>
      <c r="D2959" s="600"/>
      <c r="E2959" s="600"/>
      <c r="F2959" s="600"/>
      <c r="G2959" s="600"/>
      <c r="H2959" s="600"/>
    </row>
    <row r="2960" spans="1:8">
      <c r="A2960" s="600"/>
      <c r="B2960" s="600"/>
      <c r="C2960" s="600"/>
      <c r="D2960" s="600"/>
      <c r="E2960" s="600"/>
      <c r="F2960" s="600"/>
      <c r="G2960" s="600"/>
      <c r="H2960" s="600"/>
    </row>
    <row r="2961" spans="1:8">
      <c r="A2961" s="600"/>
      <c r="B2961" s="600"/>
      <c r="C2961" s="600"/>
      <c r="D2961" s="600"/>
      <c r="E2961" s="600"/>
      <c r="F2961" s="600"/>
      <c r="G2961" s="600"/>
      <c r="H2961" s="600"/>
    </row>
    <row r="2962" spans="1:8">
      <c r="A2962" s="600"/>
      <c r="B2962" s="600"/>
      <c r="C2962" s="600"/>
      <c r="D2962" s="600"/>
      <c r="E2962" s="600"/>
      <c r="F2962" s="600"/>
      <c r="G2962" s="600"/>
      <c r="H2962" s="600"/>
    </row>
    <row r="2963" spans="1:8">
      <c r="A2963" s="600"/>
      <c r="B2963" s="600"/>
      <c r="C2963" s="600"/>
      <c r="D2963" s="600"/>
      <c r="E2963" s="600"/>
      <c r="F2963" s="600"/>
      <c r="G2963" s="600"/>
      <c r="H2963" s="600"/>
    </row>
    <row r="2964" spans="1:8">
      <c r="A2964" s="600"/>
      <c r="B2964" s="600"/>
      <c r="C2964" s="600"/>
      <c r="D2964" s="600"/>
      <c r="E2964" s="600"/>
      <c r="F2964" s="600"/>
      <c r="G2964" s="600"/>
      <c r="H2964" s="600"/>
    </row>
    <row r="2965" spans="1:8">
      <c r="A2965" s="600"/>
      <c r="B2965" s="600"/>
      <c r="C2965" s="600"/>
      <c r="D2965" s="600"/>
      <c r="E2965" s="600"/>
      <c r="F2965" s="600"/>
      <c r="G2965" s="600"/>
      <c r="H2965" s="600"/>
    </row>
    <row r="2966" spans="1:8">
      <c r="A2966" s="600"/>
      <c r="B2966" s="600"/>
      <c r="C2966" s="600"/>
      <c r="D2966" s="600"/>
      <c r="E2966" s="600"/>
      <c r="F2966" s="600"/>
      <c r="G2966" s="600"/>
      <c r="H2966" s="600"/>
    </row>
    <row r="2967" spans="1:8">
      <c r="A2967" s="600"/>
      <c r="B2967" s="600"/>
      <c r="C2967" s="600"/>
      <c r="D2967" s="600"/>
      <c r="E2967" s="600"/>
      <c r="F2967" s="600"/>
      <c r="G2967" s="600"/>
      <c r="H2967" s="600"/>
    </row>
    <row r="2968" spans="1:8">
      <c r="A2968" s="600"/>
      <c r="B2968" s="600"/>
      <c r="C2968" s="600"/>
      <c r="D2968" s="600"/>
      <c r="E2968" s="600"/>
      <c r="F2968" s="600"/>
      <c r="G2968" s="600"/>
      <c r="H2968" s="600"/>
    </row>
    <row r="2969" spans="1:8">
      <c r="A2969" s="600"/>
      <c r="B2969" s="600"/>
      <c r="C2969" s="600"/>
      <c r="D2969" s="600"/>
      <c r="E2969" s="600"/>
      <c r="F2969" s="600"/>
      <c r="G2969" s="600"/>
      <c r="H2969" s="600"/>
    </row>
    <row r="2970" spans="1:8">
      <c r="A2970" s="600"/>
      <c r="B2970" s="600"/>
      <c r="C2970" s="600"/>
      <c r="D2970" s="600"/>
      <c r="E2970" s="600"/>
      <c r="F2970" s="600"/>
      <c r="G2970" s="600"/>
      <c r="H2970" s="600"/>
    </row>
    <row r="2971" spans="1:8">
      <c r="A2971" s="600"/>
      <c r="B2971" s="600"/>
      <c r="C2971" s="600"/>
      <c r="D2971" s="600"/>
      <c r="E2971" s="600"/>
      <c r="F2971" s="600"/>
      <c r="G2971" s="600"/>
      <c r="H2971" s="600"/>
    </row>
    <row r="2972" spans="1:8">
      <c r="A2972" s="600"/>
      <c r="B2972" s="600"/>
      <c r="C2972" s="600"/>
      <c r="D2972" s="600"/>
      <c r="E2972" s="600"/>
      <c r="F2972" s="600"/>
      <c r="G2972" s="600"/>
      <c r="H2972" s="600"/>
    </row>
    <row r="2973" spans="1:8">
      <c r="A2973" s="600"/>
      <c r="B2973" s="600"/>
      <c r="C2973" s="600"/>
      <c r="D2973" s="600"/>
      <c r="E2973" s="600"/>
      <c r="F2973" s="600"/>
      <c r="G2973" s="600"/>
      <c r="H2973" s="600"/>
    </row>
    <row r="2974" spans="1:8">
      <c r="A2974" s="600"/>
      <c r="B2974" s="600"/>
      <c r="C2974" s="600"/>
      <c r="D2974" s="600"/>
      <c r="E2974" s="600"/>
      <c r="F2974" s="600"/>
      <c r="G2974" s="600"/>
      <c r="H2974" s="600"/>
    </row>
    <row r="2975" spans="1:8">
      <c r="A2975" s="600"/>
      <c r="B2975" s="600"/>
      <c r="C2975" s="600"/>
      <c r="D2975" s="600"/>
      <c r="E2975" s="600"/>
      <c r="F2975" s="600"/>
      <c r="G2975" s="600"/>
      <c r="H2975" s="600"/>
    </row>
    <row r="2976" spans="1:8">
      <c r="A2976" s="600"/>
      <c r="B2976" s="600"/>
      <c r="C2976" s="600"/>
      <c r="D2976" s="600"/>
      <c r="E2976" s="600"/>
      <c r="F2976" s="600"/>
      <c r="G2976" s="600"/>
      <c r="H2976" s="600"/>
    </row>
    <row r="2977" spans="1:8">
      <c r="A2977" s="600"/>
      <c r="B2977" s="600"/>
      <c r="C2977" s="600"/>
      <c r="D2977" s="600"/>
      <c r="E2977" s="600"/>
      <c r="F2977" s="600"/>
      <c r="G2977" s="600"/>
      <c r="H2977" s="600"/>
    </row>
    <row r="2978" spans="1:8">
      <c r="A2978" s="600"/>
      <c r="B2978" s="600"/>
      <c r="C2978" s="600"/>
      <c r="D2978" s="600"/>
      <c r="E2978" s="600"/>
      <c r="F2978" s="600"/>
      <c r="G2978" s="600"/>
      <c r="H2978" s="600"/>
    </row>
    <row r="2979" spans="1:8">
      <c r="A2979" s="600"/>
      <c r="B2979" s="600"/>
      <c r="C2979" s="600"/>
      <c r="D2979" s="600"/>
      <c r="E2979" s="600"/>
      <c r="F2979" s="600"/>
      <c r="G2979" s="600"/>
      <c r="H2979" s="600"/>
    </row>
    <row r="2980" spans="1:8">
      <c r="A2980" s="600"/>
      <c r="B2980" s="600"/>
      <c r="C2980" s="600"/>
      <c r="D2980" s="600"/>
      <c r="E2980" s="600"/>
      <c r="F2980" s="600"/>
      <c r="G2980" s="600"/>
      <c r="H2980" s="600"/>
    </row>
    <row r="2981" spans="1:8">
      <c r="A2981" s="600"/>
      <c r="B2981" s="600"/>
      <c r="C2981" s="600"/>
      <c r="D2981" s="600"/>
      <c r="E2981" s="600"/>
      <c r="F2981" s="600"/>
      <c r="G2981" s="600"/>
      <c r="H2981" s="600"/>
    </row>
    <row r="2982" spans="1:8">
      <c r="A2982" s="600"/>
      <c r="B2982" s="600"/>
      <c r="C2982" s="600"/>
      <c r="D2982" s="600"/>
      <c r="E2982" s="600"/>
      <c r="F2982" s="600"/>
      <c r="G2982" s="600"/>
      <c r="H2982" s="600"/>
    </row>
    <row r="2983" spans="1:8">
      <c r="A2983" s="600"/>
      <c r="B2983" s="600"/>
      <c r="C2983" s="600"/>
      <c r="D2983" s="600"/>
      <c r="E2983" s="600"/>
      <c r="F2983" s="600"/>
      <c r="G2983" s="600"/>
      <c r="H2983" s="600"/>
    </row>
    <row r="2984" spans="1:8">
      <c r="A2984" s="600"/>
      <c r="B2984" s="600"/>
      <c r="C2984" s="600"/>
      <c r="D2984" s="600"/>
      <c r="E2984" s="600"/>
      <c r="F2984" s="600"/>
      <c r="G2984" s="600"/>
      <c r="H2984" s="600"/>
    </row>
    <row r="2985" spans="1:8">
      <c r="A2985" s="600"/>
      <c r="B2985" s="600"/>
      <c r="C2985" s="600"/>
      <c r="D2985" s="600"/>
      <c r="E2985" s="600"/>
      <c r="F2985" s="600"/>
      <c r="G2985" s="600"/>
      <c r="H2985" s="600"/>
    </row>
    <row r="2986" spans="1:8">
      <c r="A2986" s="600"/>
      <c r="B2986" s="600"/>
      <c r="C2986" s="600"/>
      <c r="D2986" s="600"/>
      <c r="E2986" s="600"/>
      <c r="F2986" s="600"/>
      <c r="G2986" s="600"/>
      <c r="H2986" s="600"/>
    </row>
    <row r="2987" spans="1:8">
      <c r="A2987" s="600"/>
      <c r="B2987" s="600"/>
      <c r="C2987" s="600"/>
      <c r="D2987" s="600"/>
      <c r="E2987" s="600"/>
      <c r="F2987" s="600"/>
      <c r="G2987" s="600"/>
      <c r="H2987" s="600"/>
    </row>
    <row r="2988" spans="1:8">
      <c r="A2988" s="600"/>
      <c r="B2988" s="600"/>
      <c r="C2988" s="600"/>
      <c r="D2988" s="600"/>
      <c r="E2988" s="600"/>
      <c r="F2988" s="600"/>
      <c r="G2988" s="600"/>
      <c r="H2988" s="600"/>
    </row>
    <row r="2989" spans="1:8">
      <c r="A2989" s="600"/>
      <c r="B2989" s="600"/>
      <c r="C2989" s="600"/>
      <c r="D2989" s="600"/>
      <c r="E2989" s="600"/>
      <c r="F2989" s="600"/>
      <c r="G2989" s="600"/>
      <c r="H2989" s="600"/>
    </row>
    <row r="2990" spans="1:8">
      <c r="A2990" s="600"/>
      <c r="B2990" s="600"/>
      <c r="C2990" s="600"/>
      <c r="D2990" s="600"/>
      <c r="E2990" s="600"/>
      <c r="F2990" s="600"/>
      <c r="G2990" s="600"/>
      <c r="H2990" s="600"/>
    </row>
    <row r="2991" spans="1:8">
      <c r="A2991" s="600"/>
      <c r="B2991" s="600"/>
      <c r="C2991" s="600"/>
      <c r="D2991" s="600"/>
      <c r="E2991" s="600"/>
      <c r="F2991" s="600"/>
      <c r="G2991" s="600"/>
      <c r="H2991" s="600"/>
    </row>
    <row r="2992" spans="1:8">
      <c r="A2992" s="600"/>
      <c r="B2992" s="600"/>
      <c r="C2992" s="600"/>
      <c r="D2992" s="600"/>
      <c r="E2992" s="600"/>
      <c r="F2992" s="600"/>
      <c r="G2992" s="600"/>
      <c r="H2992" s="600"/>
    </row>
    <row r="2993" spans="1:8">
      <c r="A2993" s="600"/>
      <c r="B2993" s="600"/>
      <c r="C2993" s="600"/>
      <c r="D2993" s="600"/>
      <c r="E2993" s="600"/>
      <c r="F2993" s="600"/>
      <c r="G2993" s="600"/>
      <c r="H2993" s="600"/>
    </row>
    <row r="2994" spans="1:8">
      <c r="A2994" s="600"/>
      <c r="B2994" s="600"/>
      <c r="C2994" s="600"/>
      <c r="D2994" s="600"/>
      <c r="E2994" s="600"/>
      <c r="F2994" s="600"/>
      <c r="G2994" s="600"/>
      <c r="H2994" s="600"/>
    </row>
    <row r="2995" spans="1:8">
      <c r="A2995" s="600"/>
      <c r="B2995" s="600"/>
      <c r="C2995" s="600"/>
      <c r="D2995" s="600"/>
      <c r="E2995" s="600"/>
      <c r="F2995" s="600"/>
      <c r="G2995" s="600"/>
      <c r="H2995" s="600"/>
    </row>
    <row r="2996" spans="1:8">
      <c r="A2996" s="600"/>
      <c r="B2996" s="600"/>
      <c r="C2996" s="600"/>
      <c r="D2996" s="600"/>
      <c r="E2996" s="600"/>
      <c r="F2996" s="600"/>
      <c r="G2996" s="600"/>
      <c r="H2996" s="600"/>
    </row>
    <row r="2997" spans="1:8">
      <c r="A2997" s="600"/>
      <c r="B2997" s="600"/>
      <c r="C2997" s="600"/>
      <c r="D2997" s="600"/>
      <c r="E2997" s="600"/>
      <c r="F2997" s="600"/>
      <c r="G2997" s="600"/>
      <c r="H2997" s="600"/>
    </row>
    <row r="2998" spans="1:8">
      <c r="A2998" s="600"/>
      <c r="B2998" s="600"/>
      <c r="C2998" s="600"/>
      <c r="D2998" s="600"/>
      <c r="E2998" s="600"/>
      <c r="F2998" s="600"/>
      <c r="G2998" s="600"/>
      <c r="H2998" s="600"/>
    </row>
    <row r="2999" spans="1:8">
      <c r="A2999" s="600"/>
      <c r="B2999" s="600"/>
      <c r="C2999" s="600"/>
      <c r="D2999" s="600"/>
      <c r="E2999" s="600"/>
      <c r="F2999" s="600"/>
      <c r="G2999" s="600"/>
      <c r="H2999" s="600"/>
    </row>
    <row r="3000" spans="1:8">
      <c r="A3000" s="600"/>
      <c r="B3000" s="600"/>
      <c r="C3000" s="600"/>
      <c r="D3000" s="600"/>
      <c r="E3000" s="600"/>
      <c r="F3000" s="600"/>
      <c r="G3000" s="600"/>
      <c r="H3000" s="600"/>
    </row>
    <row r="3001" spans="1:8">
      <c r="A3001" s="600"/>
      <c r="B3001" s="600"/>
      <c r="C3001" s="600"/>
      <c r="D3001" s="600"/>
      <c r="E3001" s="600"/>
      <c r="F3001" s="600"/>
      <c r="G3001" s="600"/>
      <c r="H3001" s="600"/>
    </row>
    <row r="3002" spans="1:8">
      <c r="A3002" s="600"/>
      <c r="B3002" s="600"/>
      <c r="C3002" s="600"/>
      <c r="D3002" s="600"/>
      <c r="E3002" s="600"/>
      <c r="F3002" s="600"/>
      <c r="G3002" s="600"/>
      <c r="H3002" s="600"/>
    </row>
    <row r="3003" spans="1:8">
      <c r="A3003" s="600"/>
      <c r="B3003" s="600"/>
      <c r="C3003" s="600"/>
      <c r="D3003" s="600"/>
      <c r="E3003" s="600"/>
      <c r="F3003" s="600"/>
      <c r="G3003" s="600"/>
      <c r="H3003" s="600"/>
    </row>
    <row r="3004" spans="1:8">
      <c r="A3004" s="600"/>
      <c r="B3004" s="600"/>
      <c r="C3004" s="600"/>
      <c r="D3004" s="600"/>
      <c r="E3004" s="600"/>
      <c r="F3004" s="600"/>
      <c r="G3004" s="600"/>
      <c r="H3004" s="600"/>
    </row>
    <row r="3005" spans="1:8">
      <c r="A3005" s="600"/>
      <c r="B3005" s="600"/>
      <c r="C3005" s="600"/>
      <c r="D3005" s="600"/>
      <c r="E3005" s="600"/>
      <c r="F3005" s="600"/>
      <c r="G3005" s="600"/>
      <c r="H3005" s="600"/>
    </row>
    <row r="3006" spans="1:8">
      <c r="A3006" s="600"/>
      <c r="B3006" s="600"/>
      <c r="C3006" s="600"/>
      <c r="D3006" s="600"/>
      <c r="E3006" s="600"/>
      <c r="F3006" s="600"/>
      <c r="G3006" s="600"/>
      <c r="H3006" s="600"/>
    </row>
    <row r="3007" spans="1:8">
      <c r="A3007" s="600"/>
      <c r="B3007" s="600"/>
      <c r="C3007" s="600"/>
      <c r="D3007" s="600"/>
      <c r="E3007" s="600"/>
      <c r="F3007" s="600"/>
      <c r="G3007" s="600"/>
      <c r="H3007" s="600"/>
    </row>
    <row r="3008" spans="1:8">
      <c r="A3008" s="600"/>
      <c r="B3008" s="600"/>
      <c r="C3008" s="600"/>
      <c r="D3008" s="600"/>
      <c r="E3008" s="600"/>
      <c r="F3008" s="600"/>
      <c r="G3008" s="600"/>
      <c r="H3008" s="600"/>
    </row>
    <row r="3009" spans="1:8">
      <c r="A3009" s="600"/>
      <c r="B3009" s="600"/>
      <c r="C3009" s="600"/>
      <c r="D3009" s="600"/>
      <c r="E3009" s="600"/>
      <c r="F3009" s="600"/>
      <c r="G3009" s="600"/>
      <c r="H3009" s="600"/>
    </row>
    <row r="3010" spans="1:8">
      <c r="A3010" s="600"/>
      <c r="B3010" s="600"/>
      <c r="C3010" s="600"/>
      <c r="D3010" s="600"/>
      <c r="E3010" s="600"/>
      <c r="F3010" s="600"/>
      <c r="G3010" s="600"/>
      <c r="H3010" s="600"/>
    </row>
    <row r="3011" spans="1:8">
      <c r="A3011" s="600"/>
      <c r="B3011" s="600"/>
      <c r="C3011" s="600"/>
      <c r="D3011" s="600"/>
      <c r="E3011" s="600"/>
      <c r="F3011" s="600"/>
      <c r="G3011" s="600"/>
      <c r="H3011" s="600"/>
    </row>
    <row r="3012" spans="1:8">
      <c r="A3012" s="600"/>
      <c r="B3012" s="600"/>
      <c r="C3012" s="600"/>
      <c r="D3012" s="600"/>
      <c r="E3012" s="600"/>
      <c r="F3012" s="600"/>
      <c r="G3012" s="600"/>
      <c r="H3012" s="600"/>
    </row>
    <row r="3013" spans="1:8">
      <c r="A3013" s="600"/>
      <c r="B3013" s="600"/>
      <c r="C3013" s="600"/>
      <c r="D3013" s="600"/>
      <c r="E3013" s="600"/>
      <c r="F3013" s="600"/>
      <c r="G3013" s="600"/>
      <c r="H3013" s="600"/>
    </row>
    <row r="3014" spans="1:8">
      <c r="A3014" s="600"/>
      <c r="B3014" s="600"/>
      <c r="C3014" s="600"/>
      <c r="D3014" s="600"/>
      <c r="E3014" s="600"/>
      <c r="F3014" s="600"/>
      <c r="G3014" s="600"/>
      <c r="H3014" s="600"/>
    </row>
    <row r="3015" spans="1:8">
      <c r="A3015" s="600"/>
      <c r="B3015" s="600"/>
      <c r="C3015" s="600"/>
      <c r="D3015" s="600"/>
      <c r="E3015" s="600"/>
      <c r="F3015" s="600"/>
      <c r="G3015" s="600"/>
      <c r="H3015" s="600"/>
    </row>
    <row r="3016" spans="1:8">
      <c r="A3016" s="600"/>
      <c r="B3016" s="600"/>
      <c r="C3016" s="600"/>
      <c r="D3016" s="600"/>
      <c r="E3016" s="600"/>
      <c r="F3016" s="600"/>
      <c r="G3016" s="600"/>
      <c r="H3016" s="600"/>
    </row>
    <row r="3017" spans="1:8">
      <c r="A3017" s="600"/>
      <c r="B3017" s="600"/>
      <c r="C3017" s="600"/>
      <c r="D3017" s="600"/>
      <c r="E3017" s="600"/>
      <c r="F3017" s="600"/>
      <c r="G3017" s="600"/>
      <c r="H3017" s="600"/>
    </row>
    <row r="3018" spans="1:8">
      <c r="A3018" s="600"/>
      <c r="B3018" s="600"/>
      <c r="C3018" s="600"/>
      <c r="D3018" s="600"/>
      <c r="E3018" s="600"/>
      <c r="F3018" s="600"/>
      <c r="G3018" s="600"/>
      <c r="H3018" s="600"/>
    </row>
    <row r="3019" spans="1:8">
      <c r="A3019" s="600"/>
      <c r="B3019" s="600"/>
      <c r="C3019" s="600"/>
      <c r="D3019" s="600"/>
      <c r="E3019" s="600"/>
      <c r="F3019" s="600"/>
      <c r="G3019" s="600"/>
      <c r="H3019" s="600"/>
    </row>
    <row r="3020" spans="1:8">
      <c r="A3020" s="600"/>
      <c r="B3020" s="600"/>
      <c r="C3020" s="600"/>
      <c r="D3020" s="600"/>
      <c r="E3020" s="600"/>
      <c r="F3020" s="600"/>
      <c r="G3020" s="600"/>
      <c r="H3020" s="600"/>
    </row>
    <row r="3021" spans="1:8">
      <c r="A3021" s="600"/>
      <c r="B3021" s="600"/>
      <c r="C3021" s="600"/>
      <c r="D3021" s="600"/>
      <c r="E3021" s="600"/>
      <c r="F3021" s="600"/>
      <c r="G3021" s="600"/>
      <c r="H3021" s="600"/>
    </row>
    <row r="3022" spans="1:8">
      <c r="A3022" s="600"/>
      <c r="B3022" s="600"/>
      <c r="C3022" s="600"/>
      <c r="D3022" s="600"/>
      <c r="E3022" s="600"/>
      <c r="F3022" s="600"/>
      <c r="G3022" s="600"/>
      <c r="H3022" s="600"/>
    </row>
    <row r="3023" spans="1:8">
      <c r="A3023" s="600"/>
      <c r="B3023" s="600"/>
      <c r="C3023" s="600"/>
      <c r="D3023" s="600"/>
      <c r="E3023" s="600"/>
      <c r="F3023" s="600"/>
      <c r="G3023" s="600"/>
      <c r="H3023" s="600"/>
    </row>
    <row r="3024" spans="1:8">
      <c r="A3024" s="600"/>
      <c r="B3024" s="600"/>
      <c r="C3024" s="600"/>
      <c r="D3024" s="600"/>
      <c r="E3024" s="600"/>
      <c r="F3024" s="600"/>
      <c r="G3024" s="600"/>
      <c r="H3024" s="600"/>
    </row>
    <row r="3025" spans="1:8">
      <c r="A3025" s="600"/>
      <c r="B3025" s="600"/>
      <c r="C3025" s="600"/>
      <c r="D3025" s="600"/>
      <c r="E3025" s="600"/>
      <c r="F3025" s="600"/>
      <c r="G3025" s="600"/>
      <c r="H3025" s="600"/>
    </row>
    <row r="3026" spans="1:8">
      <c r="A3026" s="600"/>
      <c r="B3026" s="600"/>
      <c r="C3026" s="600"/>
      <c r="D3026" s="600"/>
      <c r="E3026" s="600"/>
      <c r="F3026" s="600"/>
      <c r="G3026" s="600"/>
      <c r="H3026" s="600"/>
    </row>
    <row r="3027" spans="1:8">
      <c r="A3027" s="600"/>
      <c r="B3027" s="600"/>
      <c r="C3027" s="600"/>
      <c r="D3027" s="600"/>
      <c r="E3027" s="600"/>
      <c r="F3027" s="600"/>
      <c r="G3027" s="600"/>
      <c r="H3027" s="600"/>
    </row>
    <row r="3028" spans="1:8">
      <c r="A3028" s="600"/>
      <c r="B3028" s="600"/>
      <c r="C3028" s="600"/>
      <c r="D3028" s="600"/>
      <c r="E3028" s="600"/>
      <c r="F3028" s="600"/>
      <c r="G3028" s="600"/>
      <c r="H3028" s="600"/>
    </row>
    <row r="3029" spans="1:8">
      <c r="A3029" s="600"/>
      <c r="B3029" s="600"/>
      <c r="C3029" s="600"/>
      <c r="D3029" s="600"/>
      <c r="E3029" s="600"/>
      <c r="F3029" s="600"/>
      <c r="G3029" s="600"/>
      <c r="H3029" s="600"/>
    </row>
    <row r="3030" spans="1:8">
      <c r="A3030" s="600"/>
      <c r="B3030" s="600"/>
      <c r="C3030" s="600"/>
      <c r="D3030" s="600"/>
      <c r="E3030" s="600"/>
      <c r="F3030" s="600"/>
      <c r="G3030" s="600"/>
      <c r="H3030" s="600"/>
    </row>
    <row r="3031" spans="1:8">
      <c r="A3031" s="600"/>
      <c r="B3031" s="600"/>
      <c r="C3031" s="600"/>
      <c r="D3031" s="600"/>
      <c r="E3031" s="600"/>
      <c r="F3031" s="600"/>
      <c r="G3031" s="600"/>
      <c r="H3031" s="600"/>
    </row>
    <row r="3032" spans="1:8">
      <c r="A3032" s="600"/>
      <c r="B3032" s="600"/>
      <c r="C3032" s="600"/>
      <c r="D3032" s="600"/>
      <c r="E3032" s="600"/>
      <c r="F3032" s="600"/>
      <c r="G3032" s="600"/>
      <c r="H3032" s="600"/>
    </row>
    <row r="3033" spans="1:8">
      <c r="A3033" s="600"/>
      <c r="B3033" s="600"/>
      <c r="C3033" s="600"/>
      <c r="D3033" s="600"/>
      <c r="E3033" s="600"/>
      <c r="F3033" s="600"/>
      <c r="G3033" s="600"/>
      <c r="H3033" s="600"/>
    </row>
    <row r="3034" spans="1:8">
      <c r="A3034" s="600"/>
      <c r="B3034" s="600"/>
      <c r="C3034" s="600"/>
      <c r="D3034" s="600"/>
      <c r="E3034" s="600"/>
      <c r="F3034" s="600"/>
      <c r="G3034" s="600"/>
      <c r="H3034" s="600"/>
    </row>
    <row r="3035" spans="1:8">
      <c r="A3035" s="600"/>
      <c r="B3035" s="600"/>
      <c r="C3035" s="600"/>
      <c r="D3035" s="600"/>
      <c r="E3035" s="600"/>
      <c r="F3035" s="600"/>
      <c r="G3035" s="600"/>
      <c r="H3035" s="600"/>
    </row>
    <row r="3036" spans="1:8">
      <c r="A3036" s="600"/>
      <c r="B3036" s="600"/>
      <c r="C3036" s="600"/>
      <c r="D3036" s="600"/>
      <c r="E3036" s="600"/>
      <c r="F3036" s="600"/>
      <c r="G3036" s="600"/>
      <c r="H3036" s="600"/>
    </row>
    <row r="3037" spans="1:8">
      <c r="A3037" s="600"/>
      <c r="B3037" s="600"/>
      <c r="C3037" s="600"/>
      <c r="D3037" s="600"/>
      <c r="E3037" s="600"/>
      <c r="F3037" s="600"/>
      <c r="G3037" s="600"/>
      <c r="H3037" s="600"/>
    </row>
    <row r="3038" spans="1:8">
      <c r="A3038" s="600"/>
      <c r="B3038" s="600"/>
      <c r="C3038" s="600"/>
      <c r="D3038" s="600"/>
      <c r="E3038" s="600"/>
      <c r="F3038" s="600"/>
      <c r="G3038" s="600"/>
      <c r="H3038" s="600"/>
    </row>
    <row r="3039" spans="1:8">
      <c r="A3039" s="600"/>
      <c r="B3039" s="600"/>
      <c r="C3039" s="600"/>
      <c r="D3039" s="600"/>
      <c r="E3039" s="600"/>
      <c r="F3039" s="600"/>
      <c r="G3039" s="600"/>
      <c r="H3039" s="600"/>
    </row>
    <row r="3040" spans="1:8">
      <c r="A3040" s="600"/>
      <c r="B3040" s="600"/>
      <c r="C3040" s="600"/>
      <c r="D3040" s="600"/>
      <c r="E3040" s="600"/>
      <c r="F3040" s="600"/>
      <c r="G3040" s="600"/>
      <c r="H3040" s="600"/>
    </row>
    <row r="3041" spans="1:8">
      <c r="A3041" s="600"/>
      <c r="B3041" s="600"/>
      <c r="C3041" s="600"/>
      <c r="D3041" s="600"/>
      <c r="E3041" s="600"/>
      <c r="F3041" s="600"/>
      <c r="G3041" s="600"/>
      <c r="H3041" s="600"/>
    </row>
    <row r="3042" spans="1:8">
      <c r="A3042" s="600"/>
      <c r="B3042" s="600"/>
      <c r="C3042" s="600"/>
      <c r="D3042" s="600"/>
      <c r="E3042" s="600"/>
      <c r="F3042" s="600"/>
      <c r="G3042" s="600"/>
      <c r="H3042" s="600"/>
    </row>
    <row r="3043" spans="1:8">
      <c r="A3043" s="600"/>
      <c r="B3043" s="600"/>
      <c r="C3043" s="600"/>
      <c r="D3043" s="600"/>
      <c r="E3043" s="600"/>
      <c r="F3043" s="600"/>
      <c r="G3043" s="600"/>
      <c r="H3043" s="600"/>
    </row>
    <row r="3044" spans="1:8">
      <c r="A3044" s="600"/>
      <c r="B3044" s="600"/>
      <c r="C3044" s="600"/>
      <c r="D3044" s="600"/>
      <c r="E3044" s="600"/>
      <c r="F3044" s="600"/>
      <c r="G3044" s="600"/>
      <c r="H3044" s="600"/>
    </row>
    <row r="3045" spans="1:8">
      <c r="A3045" s="600"/>
      <c r="B3045" s="600"/>
      <c r="C3045" s="600"/>
      <c r="D3045" s="600"/>
      <c r="E3045" s="600"/>
      <c r="F3045" s="600"/>
      <c r="G3045" s="600"/>
      <c r="H3045" s="600"/>
    </row>
    <row r="3046" spans="1:8">
      <c r="A3046" s="600"/>
      <c r="B3046" s="600"/>
      <c r="C3046" s="600"/>
      <c r="D3046" s="600"/>
      <c r="E3046" s="600"/>
      <c r="F3046" s="600"/>
      <c r="G3046" s="600"/>
      <c r="H3046" s="600"/>
    </row>
    <row r="3047" spans="1:8">
      <c r="A3047" s="600"/>
      <c r="B3047" s="600"/>
      <c r="C3047" s="600"/>
      <c r="D3047" s="600"/>
      <c r="E3047" s="600"/>
      <c r="F3047" s="600"/>
      <c r="G3047" s="600"/>
      <c r="H3047" s="600"/>
    </row>
    <row r="3048" spans="1:8">
      <c r="A3048" s="600"/>
      <c r="B3048" s="600"/>
      <c r="C3048" s="600"/>
      <c r="D3048" s="600"/>
      <c r="E3048" s="600"/>
      <c r="F3048" s="600"/>
      <c r="G3048" s="600"/>
      <c r="H3048" s="600"/>
    </row>
    <row r="3049" spans="1:8">
      <c r="A3049" s="600"/>
      <c r="B3049" s="600"/>
      <c r="C3049" s="600"/>
      <c r="D3049" s="600"/>
      <c r="E3049" s="600"/>
      <c r="F3049" s="600"/>
      <c r="G3049" s="600"/>
      <c r="H3049" s="600"/>
    </row>
    <row r="3050" spans="1:8">
      <c r="A3050" s="600"/>
      <c r="B3050" s="600"/>
      <c r="C3050" s="600"/>
      <c r="D3050" s="600"/>
      <c r="E3050" s="600"/>
      <c r="F3050" s="600"/>
      <c r="G3050" s="600"/>
      <c r="H3050" s="600"/>
    </row>
    <row r="3051" spans="1:8">
      <c r="A3051" s="600"/>
      <c r="B3051" s="600"/>
      <c r="C3051" s="600"/>
      <c r="D3051" s="600"/>
      <c r="E3051" s="600"/>
      <c r="F3051" s="600"/>
      <c r="G3051" s="600"/>
      <c r="H3051" s="600"/>
    </row>
    <row r="3052" spans="1:8">
      <c r="A3052" s="600"/>
      <c r="B3052" s="600"/>
      <c r="C3052" s="600"/>
      <c r="D3052" s="600"/>
      <c r="E3052" s="600"/>
      <c r="F3052" s="600"/>
      <c r="G3052" s="600"/>
      <c r="H3052" s="600"/>
    </row>
    <row r="3053" spans="1:8">
      <c r="A3053" s="600"/>
      <c r="B3053" s="600"/>
      <c r="C3053" s="600"/>
      <c r="D3053" s="600"/>
      <c r="E3053" s="600"/>
      <c r="F3053" s="600"/>
      <c r="G3053" s="600"/>
      <c r="H3053" s="600"/>
    </row>
    <row r="3054" spans="1:8">
      <c r="A3054" s="600"/>
      <c r="B3054" s="600"/>
      <c r="C3054" s="600"/>
      <c r="D3054" s="600"/>
      <c r="E3054" s="600"/>
      <c r="F3054" s="600"/>
      <c r="G3054" s="600"/>
      <c r="H3054" s="600"/>
    </row>
    <row r="3055" spans="1:8">
      <c r="A3055" s="600"/>
      <c r="B3055" s="600"/>
      <c r="C3055" s="600"/>
      <c r="D3055" s="600"/>
      <c r="E3055" s="600"/>
      <c r="F3055" s="600"/>
      <c r="G3055" s="600"/>
      <c r="H3055" s="600"/>
    </row>
    <row r="3056" spans="1:8">
      <c r="A3056" s="600"/>
      <c r="B3056" s="600"/>
      <c r="C3056" s="600"/>
      <c r="D3056" s="600"/>
      <c r="E3056" s="600"/>
      <c r="F3056" s="600"/>
      <c r="G3056" s="600"/>
      <c r="H3056" s="600"/>
    </row>
    <row r="3057" spans="1:8">
      <c r="A3057" s="600"/>
      <c r="B3057" s="600"/>
      <c r="C3057" s="600"/>
      <c r="D3057" s="600"/>
      <c r="E3057" s="600"/>
      <c r="F3057" s="600"/>
      <c r="G3057" s="600"/>
      <c r="H3057" s="600"/>
    </row>
    <row r="3058" spans="1:8">
      <c r="A3058" s="600"/>
      <c r="B3058" s="600"/>
      <c r="C3058" s="600"/>
      <c r="D3058" s="600"/>
      <c r="E3058" s="600"/>
      <c r="F3058" s="600"/>
      <c r="G3058" s="600"/>
      <c r="H3058" s="600"/>
    </row>
    <row r="3059" spans="1:8">
      <c r="A3059" s="600"/>
      <c r="B3059" s="600"/>
      <c r="C3059" s="600"/>
      <c r="D3059" s="600"/>
      <c r="E3059" s="600"/>
      <c r="F3059" s="600"/>
      <c r="G3059" s="600"/>
      <c r="H3059" s="600"/>
    </row>
    <row r="3060" spans="1:8">
      <c r="A3060" s="600"/>
      <c r="B3060" s="600"/>
      <c r="C3060" s="600"/>
      <c r="D3060" s="600"/>
      <c r="E3060" s="600"/>
      <c r="F3060" s="600"/>
      <c r="G3060" s="600"/>
      <c r="H3060" s="600"/>
    </row>
    <row r="3061" spans="1:8">
      <c r="A3061" s="600"/>
      <c r="B3061" s="600"/>
      <c r="C3061" s="600"/>
      <c r="D3061" s="600"/>
      <c r="E3061" s="600"/>
      <c r="F3061" s="600"/>
      <c r="G3061" s="600"/>
      <c r="H3061" s="600"/>
    </row>
    <row r="3062" spans="1:8">
      <c r="A3062" s="600"/>
      <c r="B3062" s="600"/>
      <c r="C3062" s="600"/>
      <c r="D3062" s="600"/>
      <c r="E3062" s="600"/>
      <c r="F3062" s="600"/>
      <c r="G3062" s="600"/>
      <c r="H3062" s="600"/>
    </row>
    <row r="3063" spans="1:8">
      <c r="A3063" s="600"/>
      <c r="B3063" s="600"/>
      <c r="C3063" s="600"/>
      <c r="D3063" s="600"/>
      <c r="E3063" s="600"/>
      <c r="F3063" s="600"/>
      <c r="G3063" s="600"/>
      <c r="H3063" s="600"/>
    </row>
    <row r="3064" spans="1:8">
      <c r="A3064" s="600"/>
      <c r="B3064" s="600"/>
      <c r="C3064" s="600"/>
      <c r="D3064" s="600"/>
      <c r="E3064" s="600"/>
      <c r="F3064" s="600"/>
      <c r="G3064" s="600"/>
      <c r="H3064" s="600"/>
    </row>
    <row r="3065" spans="1:8">
      <c r="A3065" s="600"/>
      <c r="B3065" s="600"/>
      <c r="C3065" s="600"/>
      <c r="D3065" s="600"/>
      <c r="E3065" s="600"/>
      <c r="F3065" s="600"/>
      <c r="G3065" s="600"/>
      <c r="H3065" s="600"/>
    </row>
    <row r="3066" spans="1:8">
      <c r="A3066" s="600"/>
      <c r="B3066" s="600"/>
      <c r="C3066" s="600"/>
      <c r="D3066" s="600"/>
      <c r="E3066" s="600"/>
      <c r="F3066" s="600"/>
      <c r="G3066" s="600"/>
      <c r="H3066" s="600"/>
    </row>
    <row r="3067" spans="1:8">
      <c r="A3067" s="600"/>
      <c r="B3067" s="600"/>
      <c r="C3067" s="600"/>
      <c r="D3067" s="600"/>
      <c r="E3067" s="600"/>
      <c r="F3067" s="600"/>
      <c r="G3067" s="600"/>
      <c r="H3067" s="600"/>
    </row>
    <row r="3068" spans="1:8">
      <c r="A3068" s="600"/>
      <c r="B3068" s="600"/>
      <c r="C3068" s="600"/>
      <c r="D3068" s="600"/>
      <c r="E3068" s="600"/>
      <c r="F3068" s="600"/>
      <c r="G3068" s="600"/>
      <c r="H3068" s="600"/>
    </row>
    <row r="3069" spans="1:8">
      <c r="A3069" s="600"/>
      <c r="B3069" s="600"/>
      <c r="C3069" s="600"/>
      <c r="D3069" s="600"/>
      <c r="E3069" s="600"/>
      <c r="F3069" s="600"/>
      <c r="G3069" s="600"/>
      <c r="H3069" s="600"/>
    </row>
    <row r="3070" spans="1:8">
      <c r="A3070" s="600"/>
      <c r="B3070" s="600"/>
      <c r="C3070" s="600"/>
      <c r="D3070" s="600"/>
      <c r="E3070" s="600"/>
      <c r="F3070" s="600"/>
      <c r="G3070" s="600"/>
      <c r="H3070" s="600"/>
    </row>
    <row r="3071" spans="1:8">
      <c r="A3071" s="600"/>
      <c r="B3071" s="600"/>
      <c r="C3071" s="600"/>
      <c r="D3071" s="600"/>
      <c r="E3071" s="600"/>
      <c r="F3071" s="600"/>
      <c r="G3071" s="600"/>
      <c r="H3071" s="600"/>
    </row>
    <row r="3072" spans="1:8">
      <c r="A3072" s="600"/>
      <c r="B3072" s="600"/>
      <c r="C3072" s="600"/>
      <c r="D3072" s="600"/>
      <c r="E3072" s="600"/>
      <c r="F3072" s="600"/>
      <c r="G3072" s="600"/>
      <c r="H3072" s="600"/>
    </row>
    <row r="3073" spans="1:8">
      <c r="A3073" s="600"/>
      <c r="B3073" s="600"/>
      <c r="C3073" s="600"/>
      <c r="D3073" s="600"/>
      <c r="E3073" s="600"/>
      <c r="F3073" s="600"/>
      <c r="G3073" s="600"/>
      <c r="H3073" s="600"/>
    </row>
    <row r="3074" spans="1:8">
      <c r="A3074" s="600"/>
      <c r="B3074" s="600"/>
      <c r="C3074" s="600"/>
      <c r="D3074" s="600"/>
      <c r="E3074" s="600"/>
      <c r="F3074" s="600"/>
      <c r="G3074" s="600"/>
      <c r="H3074" s="600"/>
    </row>
    <row r="3075" spans="1:8">
      <c r="A3075" s="600"/>
      <c r="B3075" s="600"/>
      <c r="C3075" s="600"/>
      <c r="D3075" s="600"/>
      <c r="E3075" s="600"/>
      <c r="F3075" s="600"/>
      <c r="G3075" s="600"/>
      <c r="H3075" s="600"/>
    </row>
    <row r="3076" spans="1:8">
      <c r="A3076" s="600"/>
      <c r="B3076" s="600"/>
      <c r="C3076" s="600"/>
      <c r="D3076" s="600"/>
      <c r="E3076" s="600"/>
      <c r="F3076" s="600"/>
      <c r="G3076" s="600"/>
      <c r="H3076" s="600"/>
    </row>
    <row r="3077" spans="1:8">
      <c r="A3077" s="600"/>
      <c r="B3077" s="600"/>
      <c r="C3077" s="600"/>
      <c r="D3077" s="600"/>
      <c r="E3077" s="600"/>
      <c r="F3077" s="600"/>
      <c r="G3077" s="600"/>
      <c r="H3077" s="600"/>
    </row>
    <row r="3078" spans="1:8">
      <c r="A3078" s="600"/>
      <c r="B3078" s="600"/>
      <c r="C3078" s="600"/>
      <c r="D3078" s="600"/>
      <c r="E3078" s="600"/>
      <c r="F3078" s="600"/>
      <c r="G3078" s="600"/>
      <c r="H3078" s="600"/>
    </row>
    <row r="3079" spans="1:8">
      <c r="A3079" s="600"/>
      <c r="B3079" s="600"/>
      <c r="C3079" s="600"/>
      <c r="D3079" s="600"/>
      <c r="E3079" s="600"/>
      <c r="F3079" s="600"/>
      <c r="G3079" s="600"/>
      <c r="H3079" s="600"/>
    </row>
    <row r="3080" spans="1:8">
      <c r="A3080" s="600"/>
      <c r="B3080" s="600"/>
      <c r="C3080" s="600"/>
      <c r="D3080" s="600"/>
      <c r="E3080" s="600"/>
      <c r="F3080" s="600"/>
      <c r="G3080" s="600"/>
      <c r="H3080" s="600"/>
    </row>
    <row r="3081" spans="1:8">
      <c r="A3081" s="600"/>
      <c r="B3081" s="600"/>
      <c r="C3081" s="600"/>
      <c r="D3081" s="600"/>
      <c r="E3081" s="600"/>
      <c r="F3081" s="600"/>
      <c r="G3081" s="600"/>
      <c r="H3081" s="600"/>
    </row>
    <row r="3082" spans="1:8">
      <c r="A3082" s="600"/>
      <c r="B3082" s="600"/>
      <c r="C3082" s="600"/>
      <c r="D3082" s="600"/>
      <c r="E3082" s="600"/>
      <c r="F3082" s="600"/>
      <c r="G3082" s="600"/>
      <c r="H3082" s="600"/>
    </row>
    <row r="3083" spans="1:8">
      <c r="A3083" s="600"/>
      <c r="B3083" s="600"/>
      <c r="C3083" s="600"/>
      <c r="D3083" s="600"/>
      <c r="E3083" s="600"/>
      <c r="F3083" s="600"/>
      <c r="G3083" s="600"/>
      <c r="H3083" s="600"/>
    </row>
    <row r="3084" spans="1:8">
      <c r="A3084" s="600"/>
      <c r="B3084" s="600"/>
      <c r="C3084" s="600"/>
      <c r="D3084" s="600"/>
      <c r="E3084" s="600"/>
      <c r="F3084" s="600"/>
      <c r="G3084" s="600"/>
      <c r="H3084" s="600"/>
    </row>
    <row r="3085" spans="1:8">
      <c r="A3085" s="600"/>
      <c r="B3085" s="600"/>
      <c r="C3085" s="600"/>
      <c r="D3085" s="600"/>
      <c r="E3085" s="600"/>
      <c r="F3085" s="600"/>
      <c r="G3085" s="600"/>
      <c r="H3085" s="600"/>
    </row>
    <row r="3086" spans="1:8">
      <c r="A3086" s="600"/>
      <c r="B3086" s="600"/>
      <c r="C3086" s="600"/>
      <c r="D3086" s="600"/>
      <c r="E3086" s="600"/>
      <c r="F3086" s="600"/>
      <c r="G3086" s="600"/>
      <c r="H3086" s="600"/>
    </row>
    <row r="3087" spans="1:8">
      <c r="A3087" s="600"/>
      <c r="B3087" s="600"/>
      <c r="C3087" s="600"/>
      <c r="D3087" s="600"/>
      <c r="E3087" s="600"/>
      <c r="F3087" s="600"/>
      <c r="G3087" s="600"/>
      <c r="H3087" s="600"/>
    </row>
    <row r="3088" spans="1:8">
      <c r="A3088" s="600"/>
      <c r="B3088" s="600"/>
      <c r="C3088" s="600"/>
      <c r="D3088" s="600"/>
      <c r="E3088" s="600"/>
      <c r="F3088" s="600"/>
      <c r="G3088" s="600"/>
      <c r="H3088" s="600"/>
    </row>
    <row r="3089" spans="1:8">
      <c r="A3089" s="600"/>
      <c r="B3089" s="600"/>
      <c r="C3089" s="600"/>
      <c r="D3089" s="600"/>
      <c r="E3089" s="600"/>
      <c r="F3089" s="600"/>
      <c r="G3089" s="600"/>
      <c r="H3089" s="600"/>
    </row>
    <row r="3090" spans="1:8">
      <c r="A3090" s="600"/>
      <c r="B3090" s="600"/>
      <c r="C3090" s="600"/>
      <c r="D3090" s="600"/>
      <c r="E3090" s="600"/>
      <c r="F3090" s="600"/>
      <c r="G3090" s="600"/>
      <c r="H3090" s="600"/>
    </row>
    <row r="3091" spans="1:8">
      <c r="A3091" s="600"/>
      <c r="B3091" s="600"/>
      <c r="C3091" s="600"/>
      <c r="D3091" s="600"/>
      <c r="E3091" s="600"/>
      <c r="F3091" s="600"/>
      <c r="G3091" s="600"/>
      <c r="H3091" s="600"/>
    </row>
    <row r="3092" spans="1:8">
      <c r="A3092" s="600"/>
      <c r="B3092" s="600"/>
      <c r="C3092" s="600"/>
      <c r="D3092" s="600"/>
      <c r="E3092" s="600"/>
      <c r="F3092" s="600"/>
      <c r="G3092" s="600"/>
      <c r="H3092" s="600"/>
    </row>
    <row r="3093" spans="1:8">
      <c r="A3093" s="600"/>
      <c r="B3093" s="600"/>
      <c r="C3093" s="600"/>
      <c r="D3093" s="600"/>
      <c r="E3093" s="600"/>
      <c r="F3093" s="600"/>
      <c r="G3093" s="600"/>
      <c r="H3093" s="600"/>
    </row>
    <row r="3094" spans="1:8">
      <c r="A3094" s="600"/>
      <c r="B3094" s="600"/>
      <c r="C3094" s="600"/>
      <c r="D3094" s="600"/>
      <c r="E3094" s="600"/>
      <c r="F3094" s="600"/>
      <c r="G3094" s="600"/>
      <c r="H3094" s="600"/>
    </row>
    <row r="3095" spans="1:8">
      <c r="A3095" s="600"/>
      <c r="B3095" s="600"/>
      <c r="C3095" s="600"/>
      <c r="D3095" s="600"/>
      <c r="E3095" s="600"/>
      <c r="F3095" s="600"/>
      <c r="G3095" s="600"/>
      <c r="H3095" s="600"/>
    </row>
    <row r="3096" spans="1:8">
      <c r="A3096" s="600"/>
      <c r="B3096" s="600"/>
      <c r="C3096" s="600"/>
      <c r="D3096" s="600"/>
      <c r="E3096" s="600"/>
      <c r="F3096" s="600"/>
      <c r="G3096" s="600"/>
      <c r="H3096" s="600"/>
    </row>
    <row r="3097" spans="1:8">
      <c r="A3097" s="600"/>
      <c r="B3097" s="600"/>
      <c r="C3097" s="600"/>
      <c r="D3097" s="600"/>
      <c r="E3097" s="600"/>
      <c r="F3097" s="600"/>
      <c r="G3097" s="600"/>
      <c r="H3097" s="600"/>
    </row>
    <row r="3098" spans="1:8">
      <c r="A3098" s="600"/>
      <c r="B3098" s="600"/>
      <c r="C3098" s="600"/>
      <c r="D3098" s="600"/>
      <c r="E3098" s="600"/>
      <c r="F3098" s="600"/>
      <c r="G3098" s="600"/>
      <c r="H3098" s="600"/>
    </row>
    <row r="3099" spans="1:8">
      <c r="A3099" s="600"/>
      <c r="B3099" s="600"/>
      <c r="C3099" s="600"/>
      <c r="D3099" s="600"/>
      <c r="E3099" s="600"/>
      <c r="F3099" s="600"/>
      <c r="G3099" s="600"/>
      <c r="H3099" s="600"/>
    </row>
    <row r="3100" spans="1:8">
      <c r="A3100" s="600"/>
      <c r="B3100" s="600"/>
      <c r="C3100" s="600"/>
      <c r="D3100" s="600"/>
      <c r="E3100" s="600"/>
      <c r="F3100" s="600"/>
      <c r="G3100" s="600"/>
      <c r="H3100" s="600"/>
    </row>
    <row r="3101" spans="1:8">
      <c r="A3101" s="600"/>
      <c r="B3101" s="600"/>
      <c r="C3101" s="600"/>
      <c r="D3101" s="600"/>
      <c r="E3101" s="600"/>
      <c r="F3101" s="600"/>
      <c r="G3101" s="600"/>
      <c r="H3101" s="600"/>
    </row>
    <row r="3102" spans="1:8">
      <c r="A3102" s="600"/>
      <c r="B3102" s="600"/>
      <c r="C3102" s="600"/>
      <c r="D3102" s="600"/>
      <c r="E3102" s="600"/>
      <c r="F3102" s="600"/>
      <c r="G3102" s="600"/>
      <c r="H3102" s="600"/>
    </row>
    <row r="3103" spans="1:8">
      <c r="A3103" s="600"/>
      <c r="B3103" s="600"/>
      <c r="C3103" s="600"/>
      <c r="D3103" s="600"/>
      <c r="E3103" s="600"/>
      <c r="F3103" s="600"/>
      <c r="G3103" s="600"/>
      <c r="H3103" s="600"/>
    </row>
    <row r="3104" spans="1:8">
      <c r="A3104" s="600"/>
      <c r="B3104" s="600"/>
      <c r="C3104" s="600"/>
      <c r="D3104" s="600"/>
      <c r="E3104" s="600"/>
      <c r="F3104" s="600"/>
      <c r="G3104" s="600"/>
      <c r="H3104" s="600"/>
    </row>
    <row r="3105" spans="1:8">
      <c r="A3105" s="600"/>
      <c r="B3105" s="600"/>
      <c r="C3105" s="600"/>
      <c r="D3105" s="600"/>
      <c r="E3105" s="600"/>
      <c r="F3105" s="600"/>
      <c r="G3105" s="600"/>
      <c r="H3105" s="600"/>
    </row>
    <row r="3106" spans="1:8">
      <c r="A3106" s="600"/>
      <c r="B3106" s="600"/>
      <c r="C3106" s="600"/>
      <c r="D3106" s="600"/>
      <c r="E3106" s="600"/>
      <c r="F3106" s="600"/>
      <c r="G3106" s="600"/>
      <c r="H3106" s="600"/>
    </row>
    <row r="3107" spans="1:8">
      <c r="A3107" s="600"/>
      <c r="B3107" s="600"/>
      <c r="C3107" s="600"/>
      <c r="D3107" s="600"/>
      <c r="E3107" s="600"/>
      <c r="F3107" s="600"/>
      <c r="G3107" s="600"/>
      <c r="H3107" s="600"/>
    </row>
    <row r="3108" spans="1:8">
      <c r="A3108" s="600"/>
      <c r="B3108" s="600"/>
      <c r="C3108" s="600"/>
      <c r="D3108" s="600"/>
      <c r="E3108" s="600"/>
      <c r="F3108" s="600"/>
      <c r="G3108" s="600"/>
      <c r="H3108" s="600"/>
    </row>
    <row r="3109" spans="1:8">
      <c r="A3109" s="600"/>
      <c r="B3109" s="600"/>
      <c r="C3109" s="600"/>
      <c r="D3109" s="600"/>
      <c r="E3109" s="600"/>
      <c r="F3109" s="600"/>
      <c r="G3109" s="600"/>
      <c r="H3109" s="600"/>
    </row>
    <row r="3110" spans="1:8">
      <c r="A3110" s="600"/>
      <c r="B3110" s="600"/>
      <c r="C3110" s="600"/>
      <c r="D3110" s="600"/>
      <c r="E3110" s="600"/>
      <c r="F3110" s="600"/>
      <c r="G3110" s="600"/>
      <c r="H3110" s="600"/>
    </row>
    <row r="3111" spans="1:8">
      <c r="A3111" s="600"/>
      <c r="B3111" s="600"/>
      <c r="C3111" s="600"/>
      <c r="D3111" s="600"/>
      <c r="E3111" s="600"/>
      <c r="F3111" s="600"/>
      <c r="G3111" s="600"/>
      <c r="H3111" s="600"/>
    </row>
    <row r="3112" spans="1:8">
      <c r="A3112" s="600"/>
      <c r="B3112" s="600"/>
      <c r="C3112" s="600"/>
      <c r="D3112" s="600"/>
      <c r="E3112" s="600"/>
      <c r="F3112" s="600"/>
      <c r="G3112" s="600"/>
      <c r="H3112" s="600"/>
    </row>
    <row r="3113" spans="1:8">
      <c r="A3113" s="600"/>
      <c r="B3113" s="600"/>
      <c r="C3113" s="600"/>
      <c r="D3113" s="600"/>
      <c r="E3113" s="600"/>
      <c r="F3113" s="600"/>
      <c r="G3113" s="600"/>
      <c r="H3113" s="600"/>
    </row>
    <row r="3114" spans="1:8">
      <c r="A3114" s="600"/>
      <c r="B3114" s="600"/>
      <c r="C3114" s="600"/>
      <c r="D3114" s="600"/>
      <c r="E3114" s="600"/>
      <c r="F3114" s="600"/>
      <c r="G3114" s="600"/>
      <c r="H3114" s="600"/>
    </row>
    <row r="3115" spans="1:8">
      <c r="A3115" s="600"/>
      <c r="B3115" s="600"/>
      <c r="C3115" s="600"/>
      <c r="D3115" s="600"/>
      <c r="E3115" s="600"/>
      <c r="F3115" s="600"/>
      <c r="G3115" s="600"/>
      <c r="H3115" s="600"/>
    </row>
    <row r="3116" spans="1:8">
      <c r="A3116" s="600"/>
      <c r="B3116" s="600"/>
      <c r="C3116" s="600"/>
      <c r="D3116" s="600"/>
      <c r="E3116" s="600"/>
      <c r="F3116" s="600"/>
      <c r="G3116" s="600"/>
      <c r="H3116" s="600"/>
    </row>
    <row r="3117" spans="1:8">
      <c r="A3117" s="600"/>
      <c r="B3117" s="600"/>
      <c r="C3117" s="600"/>
      <c r="D3117" s="600"/>
      <c r="E3117" s="600"/>
      <c r="F3117" s="600"/>
      <c r="G3117" s="600"/>
      <c r="H3117" s="600"/>
    </row>
    <row r="3118" spans="1:8">
      <c r="A3118" s="600"/>
      <c r="B3118" s="600"/>
      <c r="C3118" s="600"/>
      <c r="D3118" s="600"/>
      <c r="E3118" s="600"/>
      <c r="F3118" s="600"/>
      <c r="G3118" s="600"/>
      <c r="H3118" s="600"/>
    </row>
    <row r="3119" spans="1:8">
      <c r="A3119" s="600"/>
      <c r="B3119" s="600"/>
      <c r="C3119" s="600"/>
      <c r="D3119" s="600"/>
      <c r="E3119" s="600"/>
      <c r="F3119" s="600"/>
      <c r="G3119" s="600"/>
      <c r="H3119" s="600"/>
    </row>
    <row r="3120" spans="1:8">
      <c r="A3120" s="600"/>
      <c r="B3120" s="600"/>
      <c r="C3120" s="600"/>
      <c r="D3120" s="600"/>
      <c r="E3120" s="600"/>
      <c r="F3120" s="600"/>
      <c r="G3120" s="600"/>
      <c r="H3120" s="600"/>
    </row>
    <row r="3121" spans="1:8">
      <c r="A3121" s="600"/>
      <c r="B3121" s="600"/>
      <c r="C3121" s="600"/>
      <c r="D3121" s="600"/>
      <c r="E3121" s="600"/>
      <c r="F3121" s="600"/>
      <c r="G3121" s="600"/>
      <c r="H3121" s="600"/>
    </row>
    <row r="3122" spans="1:8">
      <c r="A3122" s="600"/>
      <c r="B3122" s="600"/>
      <c r="C3122" s="600"/>
      <c r="D3122" s="600"/>
      <c r="E3122" s="600"/>
      <c r="F3122" s="600"/>
      <c r="G3122" s="600"/>
      <c r="H3122" s="600"/>
    </row>
    <row r="3123" spans="1:8">
      <c r="A3123" s="600"/>
      <c r="B3123" s="600"/>
      <c r="C3123" s="600"/>
      <c r="D3123" s="600"/>
      <c r="E3123" s="600"/>
      <c r="F3123" s="600"/>
      <c r="G3123" s="600"/>
      <c r="H3123" s="600"/>
    </row>
    <row r="3124" spans="1:8">
      <c r="A3124" s="600"/>
      <c r="B3124" s="600"/>
      <c r="C3124" s="600"/>
      <c r="D3124" s="600"/>
      <c r="E3124" s="600"/>
      <c r="F3124" s="600"/>
      <c r="G3124" s="600"/>
      <c r="H3124" s="600"/>
    </row>
    <row r="3125" spans="1:8">
      <c r="A3125" s="600"/>
      <c r="B3125" s="600"/>
      <c r="C3125" s="600"/>
      <c r="D3125" s="600"/>
      <c r="E3125" s="600"/>
      <c r="F3125" s="600"/>
      <c r="G3125" s="600"/>
      <c r="H3125" s="600"/>
    </row>
    <row r="3126" spans="1:8">
      <c r="A3126" s="600"/>
      <c r="B3126" s="600"/>
      <c r="C3126" s="600"/>
      <c r="D3126" s="600"/>
      <c r="E3126" s="600"/>
      <c r="F3126" s="600"/>
      <c r="G3126" s="600"/>
      <c r="H3126" s="600"/>
    </row>
    <row r="3127" spans="1:8">
      <c r="A3127" s="600"/>
      <c r="B3127" s="600"/>
      <c r="C3127" s="600"/>
      <c r="D3127" s="600"/>
      <c r="E3127" s="600"/>
      <c r="F3127" s="600"/>
      <c r="G3127" s="600"/>
      <c r="H3127" s="600"/>
    </row>
    <row r="3128" spans="1:8">
      <c r="A3128" s="600"/>
      <c r="B3128" s="600"/>
      <c r="C3128" s="600"/>
      <c r="D3128" s="600"/>
      <c r="E3128" s="600"/>
      <c r="F3128" s="600"/>
      <c r="G3128" s="600"/>
      <c r="H3128" s="600"/>
    </row>
    <row r="3129" spans="1:8">
      <c r="A3129" s="600"/>
      <c r="B3129" s="600"/>
      <c r="C3129" s="600"/>
      <c r="D3129" s="600"/>
      <c r="E3129" s="600"/>
      <c r="F3129" s="600"/>
      <c r="G3129" s="600"/>
      <c r="H3129" s="600"/>
    </row>
    <row r="3130" spans="1:8">
      <c r="A3130" s="600"/>
      <c r="B3130" s="600"/>
      <c r="C3130" s="600"/>
      <c r="D3130" s="600"/>
      <c r="E3130" s="600"/>
      <c r="F3130" s="600"/>
      <c r="G3130" s="600"/>
      <c r="H3130" s="600"/>
    </row>
    <row r="3131" spans="1:8">
      <c r="A3131" s="600"/>
      <c r="B3131" s="600"/>
      <c r="C3131" s="600"/>
      <c r="D3131" s="600"/>
      <c r="E3131" s="600"/>
      <c r="F3131" s="600"/>
      <c r="G3131" s="600"/>
      <c r="H3131" s="600"/>
    </row>
    <row r="3132" spans="1:8">
      <c r="A3132" s="600"/>
      <c r="B3132" s="600"/>
      <c r="C3132" s="600"/>
      <c r="D3132" s="600"/>
      <c r="E3132" s="600"/>
      <c r="F3132" s="600"/>
      <c r="G3132" s="600"/>
      <c r="H3132" s="600"/>
    </row>
    <row r="3133" spans="1:8">
      <c r="A3133" s="600"/>
      <c r="B3133" s="600"/>
      <c r="C3133" s="600"/>
      <c r="D3133" s="600"/>
      <c r="E3133" s="600"/>
      <c r="F3133" s="600"/>
      <c r="G3133" s="600"/>
      <c r="H3133" s="600"/>
    </row>
    <row r="3134" spans="1:8">
      <c r="A3134" s="600"/>
      <c r="B3134" s="600"/>
      <c r="C3134" s="600"/>
      <c r="D3134" s="600"/>
      <c r="E3134" s="600"/>
      <c r="F3134" s="600"/>
      <c r="G3134" s="600"/>
      <c r="H3134" s="600"/>
    </row>
    <row r="3135" spans="1:8">
      <c r="A3135" s="600"/>
      <c r="B3135" s="600"/>
      <c r="C3135" s="600"/>
      <c r="D3135" s="600"/>
      <c r="E3135" s="600"/>
      <c r="F3135" s="600"/>
      <c r="G3135" s="600"/>
      <c r="H3135" s="600"/>
    </row>
    <row r="3136" spans="1:8">
      <c r="A3136" s="600"/>
      <c r="B3136" s="600"/>
      <c r="C3136" s="600"/>
      <c r="D3136" s="600"/>
      <c r="E3136" s="600"/>
      <c r="F3136" s="600"/>
      <c r="G3136" s="600"/>
      <c r="H3136" s="600"/>
    </row>
    <row r="3137" spans="1:8">
      <c r="A3137" s="600"/>
      <c r="B3137" s="600"/>
      <c r="C3137" s="600"/>
      <c r="D3137" s="600"/>
      <c r="E3137" s="600"/>
      <c r="F3137" s="600"/>
      <c r="G3137" s="600"/>
      <c r="H3137" s="600"/>
    </row>
    <row r="3138" spans="1:8">
      <c r="A3138" s="600"/>
      <c r="B3138" s="600"/>
      <c r="C3138" s="600"/>
      <c r="D3138" s="600"/>
      <c r="E3138" s="600"/>
      <c r="F3138" s="600"/>
      <c r="G3138" s="600"/>
      <c r="H3138" s="600"/>
    </row>
    <row r="3139" spans="1:8">
      <c r="A3139" s="600"/>
      <c r="B3139" s="600"/>
      <c r="C3139" s="600"/>
      <c r="D3139" s="600"/>
      <c r="E3139" s="600"/>
      <c r="F3139" s="600"/>
      <c r="G3139" s="600"/>
      <c r="H3139" s="600"/>
    </row>
    <row r="3140" spans="1:8">
      <c r="A3140" s="600"/>
      <c r="B3140" s="600"/>
      <c r="C3140" s="600"/>
      <c r="D3140" s="600"/>
      <c r="E3140" s="600"/>
      <c r="F3140" s="600"/>
      <c r="G3140" s="600"/>
      <c r="H3140" s="600"/>
    </row>
    <row r="3141" spans="1:8">
      <c r="A3141" s="600"/>
      <c r="B3141" s="600"/>
      <c r="C3141" s="600"/>
      <c r="D3141" s="600"/>
      <c r="E3141" s="600"/>
      <c r="F3141" s="600"/>
      <c r="G3141" s="600"/>
      <c r="H3141" s="600"/>
    </row>
    <row r="3142" spans="1:8">
      <c r="A3142" s="600"/>
      <c r="B3142" s="600"/>
      <c r="C3142" s="600"/>
      <c r="D3142" s="600"/>
      <c r="E3142" s="600"/>
      <c r="F3142" s="600"/>
      <c r="G3142" s="600"/>
      <c r="H3142" s="600"/>
    </row>
    <row r="3143" spans="1:8">
      <c r="A3143" s="600"/>
      <c r="B3143" s="600"/>
      <c r="C3143" s="600"/>
      <c r="D3143" s="600"/>
      <c r="E3143" s="600"/>
      <c r="F3143" s="600"/>
      <c r="G3143" s="600"/>
      <c r="H3143" s="600"/>
    </row>
    <row r="3144" spans="1:8">
      <c r="A3144" s="600"/>
      <c r="B3144" s="600"/>
      <c r="C3144" s="600"/>
      <c r="D3144" s="600"/>
      <c r="E3144" s="600"/>
      <c r="F3144" s="600"/>
      <c r="G3144" s="600"/>
      <c r="H3144" s="600"/>
    </row>
    <row r="3145" spans="1:8">
      <c r="A3145" s="600"/>
      <c r="B3145" s="600"/>
      <c r="C3145" s="600"/>
      <c r="D3145" s="600"/>
      <c r="E3145" s="600"/>
      <c r="F3145" s="600"/>
      <c r="G3145" s="600"/>
      <c r="H3145" s="600"/>
    </row>
    <row r="3146" spans="1:8">
      <c r="A3146" s="600"/>
      <c r="B3146" s="600"/>
      <c r="C3146" s="600"/>
      <c r="D3146" s="600"/>
      <c r="E3146" s="600"/>
      <c r="F3146" s="600"/>
      <c r="G3146" s="600"/>
      <c r="H3146" s="600"/>
    </row>
    <row r="3147" spans="1:8">
      <c r="A3147" s="600"/>
      <c r="B3147" s="600"/>
      <c r="C3147" s="600"/>
      <c r="D3147" s="600"/>
      <c r="E3147" s="600"/>
      <c r="F3147" s="600"/>
      <c r="G3147" s="600"/>
      <c r="H3147" s="600"/>
    </row>
    <row r="3148" spans="1:8">
      <c r="A3148" s="600"/>
      <c r="B3148" s="600"/>
      <c r="C3148" s="600"/>
      <c r="D3148" s="600"/>
      <c r="E3148" s="600"/>
      <c r="F3148" s="600"/>
      <c r="G3148" s="600"/>
      <c r="H3148" s="600"/>
    </row>
    <row r="3149" spans="1:8">
      <c r="A3149" s="600"/>
      <c r="B3149" s="600"/>
      <c r="C3149" s="600"/>
      <c r="D3149" s="600"/>
      <c r="E3149" s="600"/>
      <c r="F3149" s="600"/>
      <c r="G3149" s="600"/>
      <c r="H3149" s="600"/>
    </row>
    <row r="3150" spans="1:8">
      <c r="A3150" s="600"/>
      <c r="B3150" s="600"/>
      <c r="C3150" s="600"/>
      <c r="D3150" s="600"/>
      <c r="E3150" s="600"/>
      <c r="F3150" s="600"/>
      <c r="G3150" s="600"/>
      <c r="H3150" s="600"/>
    </row>
    <row r="3151" spans="1:8">
      <c r="A3151" s="600"/>
      <c r="B3151" s="600"/>
      <c r="C3151" s="600"/>
      <c r="D3151" s="600"/>
      <c r="E3151" s="600"/>
      <c r="F3151" s="600"/>
      <c r="G3151" s="600"/>
      <c r="H3151" s="600"/>
    </row>
    <row r="3152" spans="1:8">
      <c r="A3152" s="600"/>
      <c r="B3152" s="600"/>
      <c r="C3152" s="600"/>
      <c r="D3152" s="600"/>
      <c r="E3152" s="600"/>
      <c r="F3152" s="600"/>
      <c r="G3152" s="600"/>
      <c r="H3152" s="600"/>
    </row>
    <row r="3153" spans="1:8">
      <c r="A3153" s="600"/>
      <c r="B3153" s="600"/>
      <c r="C3153" s="600"/>
      <c r="D3153" s="600"/>
      <c r="E3153" s="600"/>
      <c r="F3153" s="600"/>
      <c r="G3153" s="600"/>
      <c r="H3153" s="600"/>
    </row>
    <row r="3154" spans="1:8">
      <c r="A3154" s="600"/>
      <c r="B3154" s="600"/>
      <c r="C3154" s="600"/>
      <c r="D3154" s="600"/>
      <c r="E3154" s="600"/>
      <c r="F3154" s="600"/>
      <c r="G3154" s="600"/>
      <c r="H3154" s="600"/>
    </row>
    <row r="3155" spans="1:8">
      <c r="A3155" s="600"/>
      <c r="B3155" s="600"/>
      <c r="C3155" s="600"/>
      <c r="D3155" s="600"/>
      <c r="E3155" s="600"/>
      <c r="F3155" s="600"/>
      <c r="G3155" s="600"/>
      <c r="H3155" s="600"/>
    </row>
    <row r="3156" spans="1:8">
      <c r="A3156" s="600"/>
      <c r="B3156" s="600"/>
      <c r="C3156" s="600"/>
      <c r="D3156" s="600"/>
      <c r="E3156" s="600"/>
      <c r="F3156" s="600"/>
      <c r="G3156" s="600"/>
      <c r="H3156" s="600"/>
    </row>
    <row r="3157" spans="1:8">
      <c r="A3157" s="600"/>
      <c r="B3157" s="600"/>
      <c r="C3157" s="600"/>
      <c r="D3157" s="600"/>
      <c r="E3157" s="600"/>
      <c r="F3157" s="600"/>
      <c r="G3157" s="600"/>
      <c r="H3157" s="600"/>
    </row>
    <row r="3158" spans="1:8">
      <c r="A3158" s="600"/>
      <c r="B3158" s="600"/>
      <c r="C3158" s="600"/>
      <c r="D3158" s="600"/>
      <c r="E3158" s="600"/>
      <c r="F3158" s="600"/>
      <c r="G3158" s="600"/>
      <c r="H3158" s="600"/>
    </row>
    <row r="3159" spans="1:8">
      <c r="A3159" s="600"/>
      <c r="B3159" s="600"/>
      <c r="C3159" s="600"/>
      <c r="D3159" s="600"/>
      <c r="E3159" s="600"/>
      <c r="F3159" s="600"/>
      <c r="G3159" s="600"/>
      <c r="H3159" s="600"/>
    </row>
    <row r="3160" spans="1:8">
      <c r="A3160" s="600"/>
      <c r="B3160" s="600"/>
      <c r="C3160" s="600"/>
      <c r="D3160" s="600"/>
      <c r="E3160" s="600"/>
      <c r="F3160" s="600"/>
      <c r="G3160" s="600"/>
      <c r="H3160" s="600"/>
    </row>
    <row r="3161" spans="1:8">
      <c r="A3161" s="600"/>
      <c r="B3161" s="600"/>
      <c r="C3161" s="600"/>
      <c r="D3161" s="600"/>
      <c r="E3161" s="600"/>
      <c r="F3161" s="600"/>
      <c r="G3161" s="600"/>
      <c r="H3161" s="600"/>
    </row>
    <row r="3162" spans="1:8">
      <c r="A3162" s="600"/>
      <c r="B3162" s="600"/>
      <c r="C3162" s="600"/>
      <c r="D3162" s="600"/>
      <c r="E3162" s="600"/>
      <c r="F3162" s="600"/>
      <c r="G3162" s="600"/>
      <c r="H3162" s="600"/>
    </row>
    <row r="3163" spans="1:8">
      <c r="A3163" s="600"/>
      <c r="B3163" s="600"/>
      <c r="C3163" s="600"/>
      <c r="D3163" s="600"/>
      <c r="E3163" s="600"/>
      <c r="F3163" s="600"/>
      <c r="G3163" s="600"/>
      <c r="H3163" s="600"/>
    </row>
    <row r="3164" spans="1:8">
      <c r="A3164" s="600"/>
      <c r="B3164" s="600"/>
      <c r="C3164" s="600"/>
      <c r="D3164" s="600"/>
      <c r="E3164" s="600"/>
      <c r="F3164" s="600"/>
      <c r="G3164" s="600"/>
      <c r="H3164" s="600"/>
    </row>
    <row r="3165" spans="1:8">
      <c r="A3165" s="600"/>
      <c r="B3165" s="600"/>
      <c r="C3165" s="600"/>
      <c r="D3165" s="600"/>
      <c r="E3165" s="600"/>
      <c r="F3165" s="600"/>
      <c r="G3165" s="600"/>
      <c r="H3165" s="600"/>
    </row>
    <row r="3166" spans="1:8">
      <c r="A3166" s="600"/>
      <c r="B3166" s="600"/>
      <c r="C3166" s="600"/>
      <c r="D3166" s="600"/>
      <c r="E3166" s="600"/>
      <c r="F3166" s="600"/>
      <c r="G3166" s="600"/>
      <c r="H3166" s="600"/>
    </row>
    <row r="3167" spans="1:8">
      <c r="A3167" s="600"/>
      <c r="B3167" s="600"/>
      <c r="C3167" s="600"/>
      <c r="D3167" s="600"/>
      <c r="E3167" s="600"/>
      <c r="F3167" s="600"/>
      <c r="G3167" s="600"/>
      <c r="H3167" s="600"/>
    </row>
    <row r="3168" spans="1:8">
      <c r="A3168" s="600"/>
      <c r="B3168" s="600"/>
      <c r="C3168" s="600"/>
      <c r="D3168" s="600"/>
      <c r="E3168" s="600"/>
      <c r="F3168" s="600"/>
      <c r="G3168" s="600"/>
      <c r="H3168" s="600"/>
    </row>
    <row r="3169" spans="1:8">
      <c r="A3169" s="600"/>
      <c r="B3169" s="600"/>
      <c r="C3169" s="600"/>
      <c r="D3169" s="600"/>
      <c r="E3169" s="600"/>
      <c r="F3169" s="600"/>
      <c r="G3169" s="600"/>
      <c r="H3169" s="600"/>
    </row>
    <row r="3170" spans="1:8">
      <c r="A3170" s="600"/>
      <c r="B3170" s="600"/>
      <c r="C3170" s="600"/>
      <c r="D3170" s="600"/>
      <c r="E3170" s="600"/>
      <c r="F3170" s="600"/>
      <c r="G3170" s="600"/>
      <c r="H3170" s="600"/>
    </row>
    <row r="3171" spans="1:8">
      <c r="A3171" s="600"/>
      <c r="B3171" s="600"/>
      <c r="C3171" s="600"/>
      <c r="D3171" s="600"/>
      <c r="E3171" s="600"/>
      <c r="F3171" s="600"/>
      <c r="G3171" s="600"/>
      <c r="H3171" s="600"/>
    </row>
    <row r="3172" spans="1:8">
      <c r="A3172" s="600"/>
      <c r="B3172" s="600"/>
      <c r="C3172" s="600"/>
      <c r="D3172" s="600"/>
      <c r="E3172" s="600"/>
      <c r="F3172" s="600"/>
      <c r="G3172" s="600"/>
      <c r="H3172" s="600"/>
    </row>
    <row r="3173" spans="1:8">
      <c r="A3173" s="600"/>
      <c r="B3173" s="600"/>
      <c r="C3173" s="600"/>
      <c r="D3173" s="600"/>
      <c r="E3173" s="600"/>
      <c r="F3173" s="600"/>
      <c r="G3173" s="600"/>
      <c r="H3173" s="600"/>
    </row>
    <row r="3174" spans="1:8">
      <c r="A3174" s="600"/>
      <c r="B3174" s="600"/>
      <c r="C3174" s="600"/>
      <c r="D3174" s="600"/>
      <c r="E3174" s="600"/>
      <c r="F3174" s="600"/>
      <c r="G3174" s="600"/>
      <c r="H3174" s="600"/>
    </row>
    <row r="3175" spans="1:8">
      <c r="A3175" s="600"/>
      <c r="B3175" s="600"/>
      <c r="C3175" s="600"/>
      <c r="D3175" s="600"/>
      <c r="E3175" s="600"/>
      <c r="F3175" s="600"/>
      <c r="G3175" s="600"/>
      <c r="H3175" s="600"/>
    </row>
    <row r="3176" spans="1:8">
      <c r="A3176" s="600"/>
      <c r="B3176" s="600"/>
      <c r="C3176" s="600"/>
      <c r="D3176" s="600"/>
      <c r="E3176" s="600"/>
      <c r="F3176" s="600"/>
      <c r="G3176" s="600"/>
      <c r="H3176" s="600"/>
    </row>
    <row r="3177" spans="1:8">
      <c r="A3177" s="600"/>
      <c r="B3177" s="600"/>
      <c r="C3177" s="600"/>
      <c r="D3177" s="600"/>
      <c r="E3177" s="600"/>
      <c r="F3177" s="600"/>
      <c r="G3177" s="600"/>
      <c r="H3177" s="600"/>
    </row>
    <row r="3178" spans="1:8">
      <c r="A3178" s="600"/>
      <c r="B3178" s="600"/>
      <c r="C3178" s="600"/>
      <c r="D3178" s="600"/>
      <c r="E3178" s="600"/>
      <c r="F3178" s="600"/>
      <c r="G3178" s="600"/>
      <c r="H3178" s="600"/>
    </row>
    <row r="3179" spans="1:8">
      <c r="A3179" s="600"/>
      <c r="B3179" s="600"/>
      <c r="C3179" s="600"/>
      <c r="D3179" s="600"/>
      <c r="E3179" s="600"/>
      <c r="F3179" s="600"/>
      <c r="G3179" s="600"/>
      <c r="H3179" s="600"/>
    </row>
    <row r="3180" spans="1:8">
      <c r="A3180" s="600"/>
      <c r="B3180" s="600"/>
      <c r="C3180" s="600"/>
      <c r="D3180" s="600"/>
      <c r="E3180" s="600"/>
      <c r="F3180" s="600"/>
      <c r="G3180" s="600"/>
      <c r="H3180" s="600"/>
    </row>
    <row r="3181" spans="1:8">
      <c r="A3181" s="600"/>
      <c r="B3181" s="600"/>
      <c r="C3181" s="600"/>
      <c r="D3181" s="600"/>
      <c r="E3181" s="600"/>
      <c r="F3181" s="600"/>
      <c r="G3181" s="600"/>
      <c r="H3181" s="600"/>
    </row>
    <row r="3182" spans="1:8">
      <c r="A3182" s="600"/>
      <c r="B3182" s="600"/>
      <c r="C3182" s="600"/>
      <c r="D3182" s="600"/>
      <c r="E3182" s="600"/>
      <c r="F3182" s="600"/>
      <c r="G3182" s="600"/>
      <c r="H3182" s="600"/>
    </row>
    <row r="3183" spans="1:8">
      <c r="A3183" s="600"/>
      <c r="B3183" s="600"/>
      <c r="C3183" s="600"/>
      <c r="D3183" s="600"/>
      <c r="E3183" s="600"/>
      <c r="F3183" s="600"/>
      <c r="G3183" s="600"/>
      <c r="H3183" s="600"/>
    </row>
    <row r="3184" spans="1:8">
      <c r="A3184" s="600"/>
      <c r="B3184" s="600"/>
      <c r="C3184" s="600"/>
      <c r="D3184" s="600"/>
      <c r="E3184" s="600"/>
      <c r="F3184" s="600"/>
      <c r="G3184" s="600"/>
      <c r="H3184" s="600"/>
    </row>
    <row r="3185" spans="1:8">
      <c r="A3185" s="600"/>
      <c r="B3185" s="600"/>
      <c r="C3185" s="600"/>
      <c r="D3185" s="600"/>
      <c r="E3185" s="600"/>
      <c r="F3185" s="600"/>
      <c r="G3185" s="600"/>
      <c r="H3185" s="600"/>
    </row>
    <row r="3186" spans="1:8">
      <c r="A3186" s="600"/>
      <c r="B3186" s="600"/>
      <c r="C3186" s="600"/>
      <c r="D3186" s="600"/>
      <c r="E3186" s="600"/>
      <c r="F3186" s="600"/>
      <c r="G3186" s="600"/>
      <c r="H3186" s="600"/>
    </row>
    <row r="3187" spans="1:8">
      <c r="A3187" s="600"/>
      <c r="B3187" s="600"/>
      <c r="C3187" s="600"/>
      <c r="D3187" s="600"/>
      <c r="E3187" s="600"/>
      <c r="F3187" s="600"/>
      <c r="G3187" s="600"/>
      <c r="H3187" s="600"/>
    </row>
    <row r="3188" spans="1:8">
      <c r="A3188" s="600"/>
      <c r="B3188" s="600"/>
      <c r="C3188" s="600"/>
      <c r="D3188" s="600"/>
      <c r="E3188" s="600"/>
      <c r="F3188" s="600"/>
      <c r="G3188" s="600"/>
      <c r="H3188" s="600"/>
    </row>
    <row r="3189" spans="1:8">
      <c r="A3189" s="600"/>
      <c r="B3189" s="600"/>
      <c r="C3189" s="600"/>
      <c r="D3189" s="600"/>
      <c r="E3189" s="600"/>
      <c r="F3189" s="600"/>
      <c r="G3189" s="600"/>
      <c r="H3189" s="600"/>
    </row>
    <row r="3190" spans="1:8">
      <c r="A3190" s="600"/>
      <c r="B3190" s="600"/>
      <c r="C3190" s="600"/>
      <c r="D3190" s="600"/>
      <c r="E3190" s="600"/>
      <c r="F3190" s="600"/>
      <c r="G3190" s="600"/>
      <c r="H3190" s="600"/>
    </row>
    <row r="3191" spans="1:8">
      <c r="A3191" s="600"/>
      <c r="B3191" s="600"/>
      <c r="C3191" s="600"/>
      <c r="D3191" s="600"/>
      <c r="E3191" s="600"/>
      <c r="F3191" s="600"/>
      <c r="G3191" s="600"/>
      <c r="H3191" s="600"/>
    </row>
    <row r="3192" spans="1:8">
      <c r="A3192" s="600"/>
      <c r="B3192" s="600"/>
      <c r="C3192" s="600"/>
      <c r="D3192" s="600"/>
      <c r="E3192" s="600"/>
      <c r="F3192" s="600"/>
      <c r="G3192" s="600"/>
      <c r="H3192" s="600"/>
    </row>
    <row r="3193" spans="1:8">
      <c r="A3193" s="600"/>
      <c r="B3193" s="600"/>
      <c r="C3193" s="600"/>
      <c r="D3193" s="600"/>
      <c r="E3193" s="600"/>
      <c r="F3193" s="600"/>
      <c r="G3193" s="600"/>
      <c r="H3193" s="600"/>
    </row>
    <row r="3194" spans="1:8">
      <c r="A3194" s="600"/>
      <c r="B3194" s="600"/>
      <c r="C3194" s="600"/>
      <c r="D3194" s="600"/>
      <c r="E3194" s="600"/>
      <c r="F3194" s="600"/>
      <c r="G3194" s="600"/>
      <c r="H3194" s="600"/>
    </row>
    <row r="3195" spans="1:8">
      <c r="A3195" s="600"/>
      <c r="B3195" s="600"/>
      <c r="C3195" s="600"/>
      <c r="D3195" s="600"/>
      <c r="E3195" s="600"/>
      <c r="F3195" s="600"/>
      <c r="G3195" s="600"/>
      <c r="H3195" s="600"/>
    </row>
    <row r="3196" spans="1:8">
      <c r="A3196" s="600"/>
      <c r="B3196" s="600"/>
      <c r="C3196" s="600"/>
      <c r="D3196" s="600"/>
      <c r="E3196" s="600"/>
      <c r="F3196" s="600"/>
      <c r="G3196" s="600"/>
      <c r="H3196" s="600"/>
    </row>
    <row r="3197" spans="1:8">
      <c r="A3197" s="600"/>
      <c r="B3197" s="600"/>
      <c r="C3197" s="600"/>
      <c r="D3197" s="600"/>
      <c r="E3197" s="600"/>
      <c r="F3197" s="600"/>
      <c r="G3197" s="600"/>
      <c r="H3197" s="600"/>
    </row>
    <row r="3198" spans="1:8">
      <c r="A3198" s="600"/>
      <c r="B3198" s="600"/>
      <c r="C3198" s="600"/>
      <c r="D3198" s="600"/>
      <c r="E3198" s="600"/>
      <c r="F3198" s="600"/>
      <c r="G3198" s="600"/>
      <c r="H3198" s="600"/>
    </row>
    <row r="3199" spans="1:8">
      <c r="A3199" s="600"/>
      <c r="B3199" s="600"/>
      <c r="C3199" s="600"/>
      <c r="D3199" s="600"/>
      <c r="E3199" s="600"/>
      <c r="F3199" s="600"/>
      <c r="G3199" s="600"/>
      <c r="H3199" s="600"/>
    </row>
    <row r="3200" spans="1:8">
      <c r="A3200" s="600"/>
      <c r="B3200" s="600"/>
      <c r="C3200" s="600"/>
      <c r="D3200" s="600"/>
      <c r="E3200" s="600"/>
      <c r="F3200" s="600"/>
      <c r="G3200" s="600"/>
      <c r="H3200" s="600"/>
    </row>
    <row r="3201" spans="1:8">
      <c r="A3201" s="600"/>
      <c r="B3201" s="600"/>
      <c r="C3201" s="600"/>
      <c r="D3201" s="600"/>
      <c r="E3201" s="600"/>
      <c r="F3201" s="600"/>
      <c r="G3201" s="600"/>
      <c r="H3201" s="600"/>
    </row>
    <row r="3202" spans="1:8">
      <c r="A3202" s="600"/>
      <c r="B3202" s="600"/>
      <c r="C3202" s="600"/>
      <c r="D3202" s="600"/>
      <c r="E3202" s="600"/>
      <c r="F3202" s="600"/>
      <c r="G3202" s="600"/>
      <c r="H3202" s="600"/>
    </row>
    <row r="3203" spans="1:8">
      <c r="A3203" s="600"/>
      <c r="B3203" s="600"/>
      <c r="C3203" s="600"/>
      <c r="D3203" s="600"/>
      <c r="E3203" s="600"/>
      <c r="F3203" s="600"/>
      <c r="G3203" s="600"/>
      <c r="H3203" s="600"/>
    </row>
    <row r="3204" spans="1:8">
      <c r="A3204" s="600"/>
      <c r="B3204" s="600"/>
      <c r="C3204" s="600"/>
      <c r="D3204" s="600"/>
      <c r="E3204" s="600"/>
      <c r="F3204" s="600"/>
      <c r="G3204" s="600"/>
      <c r="H3204" s="600"/>
    </row>
    <row r="3205" spans="1:8">
      <c r="A3205" s="600"/>
      <c r="B3205" s="600"/>
      <c r="C3205" s="600"/>
      <c r="D3205" s="600"/>
      <c r="E3205" s="600"/>
      <c r="F3205" s="600"/>
      <c r="G3205" s="600"/>
      <c r="H3205" s="600"/>
    </row>
    <row r="3206" spans="1:8">
      <c r="A3206" s="600"/>
      <c r="B3206" s="600"/>
      <c r="C3206" s="600"/>
      <c r="D3206" s="600"/>
      <c r="E3206" s="600"/>
      <c r="F3206" s="600"/>
      <c r="G3206" s="600"/>
      <c r="H3206" s="600"/>
    </row>
    <row r="3207" spans="1:8">
      <c r="A3207" s="600"/>
      <c r="B3207" s="600"/>
      <c r="C3207" s="600"/>
      <c r="D3207" s="600"/>
      <c r="E3207" s="600"/>
      <c r="F3207" s="600"/>
      <c r="G3207" s="600"/>
      <c r="H3207" s="600"/>
    </row>
    <row r="3208" spans="1:8">
      <c r="A3208" s="600"/>
      <c r="B3208" s="600"/>
      <c r="C3208" s="600"/>
      <c r="D3208" s="600"/>
      <c r="E3208" s="600"/>
      <c r="F3208" s="600"/>
      <c r="G3208" s="600"/>
      <c r="H3208" s="600"/>
    </row>
    <row r="3209" spans="1:8">
      <c r="A3209" s="600"/>
      <c r="B3209" s="600"/>
      <c r="C3209" s="600"/>
      <c r="D3209" s="600"/>
      <c r="E3209" s="600"/>
      <c r="F3209" s="600"/>
      <c r="G3209" s="600"/>
      <c r="H3209" s="600"/>
    </row>
    <row r="3210" spans="1:8">
      <c r="A3210" s="600"/>
      <c r="B3210" s="600"/>
      <c r="C3210" s="600"/>
      <c r="D3210" s="600"/>
      <c r="E3210" s="600"/>
      <c r="F3210" s="600"/>
      <c r="G3210" s="600"/>
      <c r="H3210" s="600"/>
    </row>
    <row r="3211" spans="1:8">
      <c r="A3211" s="600"/>
      <c r="B3211" s="600"/>
      <c r="C3211" s="600"/>
      <c r="D3211" s="600"/>
      <c r="E3211" s="600"/>
      <c r="F3211" s="600"/>
      <c r="G3211" s="600"/>
      <c r="H3211" s="600"/>
    </row>
    <row r="3212" spans="1:8">
      <c r="A3212" s="600"/>
      <c r="B3212" s="600"/>
      <c r="C3212" s="600"/>
      <c r="D3212" s="600"/>
      <c r="E3212" s="600"/>
      <c r="F3212" s="600"/>
      <c r="G3212" s="600"/>
      <c r="H3212" s="600"/>
    </row>
    <row r="3213" spans="1:8">
      <c r="A3213" s="600"/>
      <c r="B3213" s="600"/>
      <c r="C3213" s="600"/>
      <c r="D3213" s="600"/>
      <c r="E3213" s="600"/>
      <c r="F3213" s="600"/>
      <c r="G3213" s="600"/>
      <c r="H3213" s="600"/>
    </row>
    <row r="3214" spans="1:8">
      <c r="A3214" s="600"/>
      <c r="B3214" s="600"/>
      <c r="C3214" s="600"/>
      <c r="D3214" s="600"/>
      <c r="E3214" s="600"/>
      <c r="F3214" s="600"/>
      <c r="G3214" s="600"/>
      <c r="H3214" s="600"/>
    </row>
    <row r="3215" spans="1:8">
      <c r="A3215" s="600"/>
      <c r="B3215" s="600"/>
      <c r="C3215" s="600"/>
      <c r="D3215" s="600"/>
      <c r="E3215" s="600"/>
      <c r="F3215" s="600"/>
      <c r="G3215" s="600"/>
      <c r="H3215" s="600"/>
    </row>
    <row r="3216" spans="1:8">
      <c r="A3216" s="600"/>
      <c r="B3216" s="600"/>
      <c r="C3216" s="600"/>
      <c r="D3216" s="600"/>
      <c r="E3216" s="600"/>
      <c r="F3216" s="600"/>
      <c r="G3216" s="600"/>
      <c r="H3216" s="600"/>
    </row>
    <row r="3217" spans="1:8">
      <c r="A3217" s="600"/>
      <c r="B3217" s="600"/>
      <c r="C3217" s="600"/>
      <c r="D3217" s="600"/>
      <c r="E3217" s="600"/>
      <c r="F3217" s="600"/>
      <c r="G3217" s="600"/>
      <c r="H3217" s="600"/>
    </row>
    <row r="3218" spans="1:8">
      <c r="A3218" s="600"/>
      <c r="B3218" s="600"/>
      <c r="C3218" s="600"/>
      <c r="D3218" s="600"/>
      <c r="E3218" s="600"/>
      <c r="F3218" s="600"/>
      <c r="G3218" s="600"/>
      <c r="H3218" s="600"/>
    </row>
    <row r="3219" spans="1:8">
      <c r="A3219" s="600"/>
      <c r="B3219" s="600"/>
      <c r="C3219" s="600"/>
      <c r="D3219" s="600"/>
      <c r="E3219" s="600"/>
      <c r="F3219" s="600"/>
      <c r="G3219" s="600"/>
      <c r="H3219" s="600"/>
    </row>
    <row r="3220" spans="1:8">
      <c r="A3220" s="600"/>
      <c r="B3220" s="600"/>
      <c r="C3220" s="600"/>
      <c r="D3220" s="600"/>
      <c r="E3220" s="600"/>
      <c r="F3220" s="600"/>
      <c r="G3220" s="600"/>
      <c r="H3220" s="600"/>
    </row>
    <row r="3221" spans="1:8">
      <c r="A3221" s="600"/>
      <c r="B3221" s="600"/>
      <c r="C3221" s="600"/>
      <c r="D3221" s="600"/>
      <c r="E3221" s="600"/>
      <c r="F3221" s="600"/>
      <c r="G3221" s="600"/>
      <c r="H3221" s="600"/>
    </row>
    <row r="3222" spans="1:8">
      <c r="A3222" s="600"/>
      <c r="B3222" s="600"/>
      <c r="C3222" s="600"/>
      <c r="D3222" s="600"/>
      <c r="E3222" s="600"/>
      <c r="F3222" s="600"/>
      <c r="G3222" s="600"/>
      <c r="H3222" s="600"/>
    </row>
    <row r="3223" spans="1:8">
      <c r="A3223" s="600"/>
      <c r="B3223" s="600"/>
      <c r="C3223" s="600"/>
      <c r="D3223" s="600"/>
      <c r="E3223" s="600"/>
      <c r="F3223" s="600"/>
      <c r="G3223" s="600"/>
      <c r="H3223" s="600"/>
    </row>
    <row r="3224" spans="1:8">
      <c r="A3224" s="600"/>
      <c r="B3224" s="600"/>
      <c r="C3224" s="600"/>
      <c r="D3224" s="600"/>
      <c r="E3224" s="600"/>
      <c r="F3224" s="600"/>
      <c r="G3224" s="600"/>
      <c r="H3224" s="600"/>
    </row>
    <row r="3225" spans="1:8">
      <c r="A3225" s="600"/>
      <c r="B3225" s="600"/>
      <c r="C3225" s="600"/>
      <c r="D3225" s="600"/>
      <c r="E3225" s="600"/>
      <c r="F3225" s="600"/>
      <c r="G3225" s="600"/>
      <c r="H3225" s="600"/>
    </row>
    <row r="3226" spans="1:8">
      <c r="A3226" s="600"/>
      <c r="B3226" s="600"/>
      <c r="C3226" s="600"/>
      <c r="D3226" s="600"/>
      <c r="E3226" s="600"/>
      <c r="F3226" s="600"/>
      <c r="G3226" s="600"/>
      <c r="H3226" s="600"/>
    </row>
    <row r="3227" spans="1:8">
      <c r="A3227" s="600"/>
      <c r="B3227" s="600"/>
      <c r="C3227" s="600"/>
      <c r="D3227" s="600"/>
      <c r="E3227" s="600"/>
      <c r="F3227" s="600"/>
      <c r="G3227" s="600"/>
      <c r="H3227" s="600"/>
    </row>
    <row r="3228" spans="1:8">
      <c r="A3228" s="600"/>
      <c r="B3228" s="600"/>
      <c r="C3228" s="600"/>
      <c r="D3228" s="600"/>
      <c r="E3228" s="600"/>
      <c r="F3228" s="600"/>
      <c r="G3228" s="600"/>
      <c r="H3228" s="600"/>
    </row>
    <row r="3229" spans="1:8">
      <c r="A3229" s="600"/>
      <c r="B3229" s="600"/>
      <c r="C3229" s="600"/>
      <c r="D3229" s="600"/>
      <c r="E3229" s="600"/>
      <c r="F3229" s="600"/>
      <c r="G3229" s="600"/>
      <c r="H3229" s="600"/>
    </row>
    <row r="3230" spans="1:8">
      <c r="A3230" s="600"/>
      <c r="B3230" s="600"/>
      <c r="C3230" s="600"/>
      <c r="D3230" s="600"/>
      <c r="E3230" s="600"/>
      <c r="F3230" s="600"/>
      <c r="G3230" s="600"/>
      <c r="H3230" s="600"/>
    </row>
    <row r="3231" spans="1:8">
      <c r="A3231" s="600"/>
      <c r="B3231" s="600"/>
      <c r="C3231" s="600"/>
      <c r="D3231" s="600"/>
      <c r="E3231" s="600"/>
      <c r="F3231" s="600"/>
      <c r="G3231" s="600"/>
      <c r="H3231" s="600"/>
    </row>
    <row r="3232" spans="1:8">
      <c r="A3232" s="600"/>
      <c r="B3232" s="600"/>
      <c r="C3232" s="600"/>
      <c r="D3232" s="600"/>
      <c r="E3232" s="600"/>
      <c r="F3232" s="600"/>
      <c r="G3232" s="600"/>
      <c r="H3232" s="600"/>
    </row>
    <row r="3233" spans="1:8">
      <c r="A3233" s="600"/>
      <c r="B3233" s="600"/>
      <c r="C3233" s="600"/>
      <c r="D3233" s="600"/>
      <c r="E3233" s="600"/>
      <c r="F3233" s="600"/>
      <c r="G3233" s="600"/>
      <c r="H3233" s="600"/>
    </row>
    <row r="3234" spans="1:8">
      <c r="A3234" s="600"/>
      <c r="B3234" s="600"/>
      <c r="C3234" s="600"/>
      <c r="D3234" s="600"/>
      <c r="E3234" s="600"/>
      <c r="F3234" s="600"/>
      <c r="G3234" s="600"/>
      <c r="H3234" s="600"/>
    </row>
    <row r="3235" spans="1:8">
      <c r="A3235" s="600"/>
      <c r="B3235" s="600"/>
      <c r="C3235" s="600"/>
      <c r="D3235" s="600"/>
      <c r="E3235" s="600"/>
      <c r="F3235" s="600"/>
      <c r="G3235" s="600"/>
      <c r="H3235" s="600"/>
    </row>
    <row r="3236" spans="1:8">
      <c r="A3236" s="600"/>
      <c r="B3236" s="600"/>
      <c r="C3236" s="600"/>
      <c r="D3236" s="600"/>
      <c r="E3236" s="600"/>
      <c r="F3236" s="600"/>
      <c r="G3236" s="600"/>
      <c r="H3236" s="600"/>
    </row>
    <row r="3237" spans="1:8">
      <c r="A3237" s="600"/>
      <c r="B3237" s="600"/>
      <c r="C3237" s="600"/>
      <c r="D3237" s="600"/>
      <c r="E3237" s="600"/>
      <c r="F3237" s="600"/>
      <c r="G3237" s="600"/>
      <c r="H3237" s="600"/>
    </row>
    <row r="3238" spans="1:8">
      <c r="A3238" s="600"/>
      <c r="B3238" s="600"/>
      <c r="C3238" s="600"/>
      <c r="D3238" s="600"/>
      <c r="E3238" s="600"/>
      <c r="F3238" s="600"/>
      <c r="G3238" s="600"/>
      <c r="H3238" s="600"/>
    </row>
    <row r="3239" spans="1:8">
      <c r="A3239" s="600"/>
      <c r="B3239" s="600"/>
      <c r="C3239" s="600"/>
      <c r="D3239" s="600"/>
      <c r="E3239" s="600"/>
      <c r="F3239" s="600"/>
      <c r="G3239" s="600"/>
      <c r="H3239" s="600"/>
    </row>
    <row r="3240" spans="1:8">
      <c r="A3240" s="600"/>
      <c r="B3240" s="600"/>
      <c r="C3240" s="600"/>
      <c r="D3240" s="600"/>
      <c r="E3240" s="600"/>
      <c r="F3240" s="600"/>
      <c r="G3240" s="600"/>
      <c r="H3240" s="600"/>
    </row>
    <row r="3241" spans="1:8">
      <c r="A3241" s="600"/>
      <c r="B3241" s="600"/>
      <c r="C3241" s="600"/>
      <c r="D3241" s="600"/>
      <c r="E3241" s="600"/>
      <c r="F3241" s="600"/>
      <c r="G3241" s="600"/>
      <c r="H3241" s="600"/>
    </row>
    <row r="3242" spans="1:8">
      <c r="A3242" s="600"/>
      <c r="B3242" s="600"/>
      <c r="C3242" s="600"/>
      <c r="D3242" s="600"/>
      <c r="E3242" s="600"/>
      <c r="F3242" s="600"/>
      <c r="G3242" s="600"/>
      <c r="H3242" s="600"/>
    </row>
    <row r="3243" spans="1:8">
      <c r="A3243" s="600"/>
      <c r="B3243" s="600"/>
      <c r="C3243" s="600"/>
      <c r="D3243" s="600"/>
      <c r="E3243" s="600"/>
      <c r="F3243" s="600"/>
      <c r="G3243" s="600"/>
      <c r="H3243" s="600"/>
    </row>
    <row r="3244" spans="1:8">
      <c r="A3244" s="600"/>
      <c r="B3244" s="600"/>
      <c r="C3244" s="600"/>
      <c r="D3244" s="600"/>
      <c r="E3244" s="600"/>
      <c r="F3244" s="600"/>
      <c r="G3244" s="600"/>
      <c r="H3244" s="600"/>
    </row>
    <row r="3245" spans="1:8">
      <c r="A3245" s="600"/>
      <c r="B3245" s="600"/>
      <c r="C3245" s="600"/>
      <c r="D3245" s="600"/>
      <c r="E3245" s="600"/>
      <c r="F3245" s="600"/>
      <c r="G3245" s="600"/>
      <c r="H3245" s="600"/>
    </row>
    <row r="3246" spans="1:8">
      <c r="A3246" s="600"/>
      <c r="B3246" s="600"/>
      <c r="C3246" s="600"/>
      <c r="D3246" s="600"/>
      <c r="E3246" s="600"/>
      <c r="F3246" s="600"/>
      <c r="G3246" s="600"/>
      <c r="H3246" s="600"/>
    </row>
    <row r="3247" spans="1:8">
      <c r="A3247" s="600"/>
      <c r="B3247" s="600"/>
      <c r="C3247" s="600"/>
      <c r="D3247" s="600"/>
      <c r="E3247" s="600"/>
      <c r="F3247" s="600"/>
      <c r="G3247" s="600"/>
      <c r="H3247" s="600"/>
    </row>
    <row r="3248" spans="1:8">
      <c r="A3248" s="600"/>
      <c r="B3248" s="600"/>
      <c r="C3248" s="600"/>
      <c r="D3248" s="600"/>
      <c r="E3248" s="600"/>
      <c r="F3248" s="600"/>
      <c r="G3248" s="600"/>
      <c r="H3248" s="600"/>
    </row>
    <row r="3249" spans="1:8">
      <c r="A3249" s="600"/>
      <c r="B3249" s="600"/>
      <c r="C3249" s="600"/>
      <c r="D3249" s="600"/>
      <c r="E3249" s="600"/>
      <c r="F3249" s="600"/>
      <c r="G3249" s="600"/>
      <c r="H3249" s="600"/>
    </row>
    <row r="3250" spans="1:8">
      <c r="A3250" s="600"/>
      <c r="B3250" s="600"/>
      <c r="C3250" s="600"/>
      <c r="D3250" s="600"/>
      <c r="E3250" s="600"/>
      <c r="F3250" s="600"/>
      <c r="G3250" s="600"/>
      <c r="H3250" s="600"/>
    </row>
    <row r="3251" spans="1:8">
      <c r="A3251" s="600"/>
      <c r="B3251" s="600"/>
      <c r="C3251" s="600"/>
      <c r="D3251" s="600"/>
      <c r="E3251" s="600"/>
      <c r="F3251" s="600"/>
      <c r="G3251" s="600"/>
      <c r="H3251" s="600"/>
    </row>
    <row r="3252" spans="1:8">
      <c r="A3252" s="600"/>
      <c r="B3252" s="600"/>
      <c r="C3252" s="600"/>
      <c r="D3252" s="600"/>
      <c r="E3252" s="600"/>
      <c r="F3252" s="600"/>
      <c r="G3252" s="600"/>
      <c r="H3252" s="600"/>
    </row>
    <row r="3253" spans="1:8">
      <c r="A3253" s="600"/>
      <c r="B3253" s="600"/>
      <c r="C3253" s="600"/>
      <c r="D3253" s="600"/>
      <c r="E3253" s="600"/>
      <c r="F3253" s="600"/>
      <c r="G3253" s="600"/>
      <c r="H3253" s="600"/>
    </row>
    <row r="3254" spans="1:8">
      <c r="A3254" s="600"/>
      <c r="B3254" s="600"/>
      <c r="C3254" s="600"/>
      <c r="D3254" s="600"/>
      <c r="E3254" s="600"/>
      <c r="F3254" s="600"/>
      <c r="G3254" s="600"/>
      <c r="H3254" s="600"/>
    </row>
    <row r="3255" spans="1:8">
      <c r="A3255" s="600"/>
      <c r="B3255" s="600"/>
      <c r="C3255" s="600"/>
      <c r="D3255" s="600"/>
      <c r="E3255" s="600"/>
      <c r="F3255" s="600"/>
      <c r="G3255" s="600"/>
      <c r="H3255" s="600"/>
    </row>
    <row r="3256" spans="1:8">
      <c r="A3256" s="600"/>
      <c r="B3256" s="600"/>
      <c r="C3256" s="600"/>
      <c r="D3256" s="600"/>
      <c r="E3256" s="600"/>
      <c r="F3256" s="600"/>
      <c r="G3256" s="600"/>
      <c r="H3256" s="600"/>
    </row>
    <row r="3257" spans="1:8">
      <c r="A3257" s="600"/>
      <c r="B3257" s="600"/>
      <c r="C3257" s="600"/>
      <c r="D3257" s="600"/>
      <c r="E3257" s="600"/>
      <c r="F3257" s="600"/>
      <c r="G3257" s="600"/>
      <c r="H3257" s="600"/>
    </row>
    <row r="3258" spans="1:8">
      <c r="A3258" s="600"/>
      <c r="B3258" s="600"/>
      <c r="C3258" s="600"/>
      <c r="D3258" s="600"/>
      <c r="E3258" s="600"/>
      <c r="F3258" s="600"/>
      <c r="G3258" s="600"/>
      <c r="H3258" s="600"/>
    </row>
    <row r="3259" spans="1:8">
      <c r="A3259" s="600"/>
      <c r="B3259" s="600"/>
      <c r="C3259" s="600"/>
      <c r="D3259" s="600"/>
      <c r="E3259" s="600"/>
      <c r="F3259" s="600"/>
      <c r="G3259" s="600"/>
      <c r="H3259" s="600"/>
    </row>
    <row r="3260" spans="1:8">
      <c r="A3260" s="600"/>
      <c r="B3260" s="600"/>
      <c r="C3260" s="600"/>
      <c r="D3260" s="600"/>
      <c r="E3260" s="600"/>
      <c r="F3260" s="600"/>
      <c r="G3260" s="600"/>
      <c r="H3260" s="600"/>
    </row>
    <row r="3261" spans="1:8">
      <c r="A3261" s="600"/>
      <c r="B3261" s="600"/>
      <c r="C3261" s="600"/>
      <c r="D3261" s="600"/>
      <c r="E3261" s="600"/>
      <c r="F3261" s="600"/>
      <c r="G3261" s="600"/>
      <c r="H3261" s="600"/>
    </row>
    <row r="3262" spans="1:8">
      <c r="A3262" s="600"/>
      <c r="B3262" s="600"/>
      <c r="C3262" s="600"/>
      <c r="D3262" s="600"/>
      <c r="E3262" s="600"/>
      <c r="F3262" s="600"/>
      <c r="G3262" s="600"/>
      <c r="H3262" s="600"/>
    </row>
    <row r="3263" spans="1:8">
      <c r="A3263" s="600"/>
      <c r="B3263" s="600"/>
      <c r="C3263" s="600"/>
      <c r="D3263" s="600"/>
      <c r="E3263" s="600"/>
      <c r="F3263" s="600"/>
      <c r="G3263" s="600"/>
      <c r="H3263" s="600"/>
    </row>
    <row r="3264" spans="1:8">
      <c r="A3264" s="600"/>
      <c r="B3264" s="600"/>
      <c r="C3264" s="600"/>
      <c r="D3264" s="600"/>
      <c r="E3264" s="600"/>
      <c r="F3264" s="600"/>
      <c r="G3264" s="600"/>
      <c r="H3264" s="600"/>
    </row>
    <row r="3265" spans="1:8">
      <c r="A3265" s="600"/>
      <c r="B3265" s="600"/>
      <c r="C3265" s="600"/>
      <c r="D3265" s="600"/>
      <c r="E3265" s="600"/>
      <c r="F3265" s="600"/>
      <c r="G3265" s="600"/>
      <c r="H3265" s="600"/>
    </row>
    <row r="3266" spans="1:8">
      <c r="A3266" s="600"/>
      <c r="B3266" s="600"/>
      <c r="C3266" s="600"/>
      <c r="D3266" s="600"/>
      <c r="E3266" s="600"/>
      <c r="F3266" s="600"/>
      <c r="G3266" s="600"/>
      <c r="H3266" s="600"/>
    </row>
    <row r="3267" spans="1:8">
      <c r="A3267" s="600"/>
      <c r="B3267" s="600"/>
      <c r="C3267" s="600"/>
      <c r="D3267" s="600"/>
      <c r="E3267" s="600"/>
      <c r="F3267" s="600"/>
      <c r="G3267" s="600"/>
      <c r="H3267" s="600"/>
    </row>
    <row r="3268" spans="1:8">
      <c r="A3268" s="600"/>
      <c r="B3268" s="600"/>
      <c r="C3268" s="600"/>
      <c r="D3268" s="600"/>
      <c r="E3268" s="600"/>
      <c r="F3268" s="600"/>
      <c r="G3268" s="600"/>
      <c r="H3268" s="600"/>
    </row>
    <row r="3269" spans="1:8">
      <c r="A3269" s="600"/>
      <c r="B3269" s="600"/>
      <c r="C3269" s="600"/>
      <c r="D3269" s="600"/>
      <c r="E3269" s="600"/>
      <c r="F3269" s="600"/>
      <c r="G3269" s="600"/>
      <c r="H3269" s="600"/>
    </row>
    <row r="3270" spans="1:8">
      <c r="A3270" s="600"/>
      <c r="B3270" s="600"/>
      <c r="C3270" s="600"/>
      <c r="D3270" s="600"/>
      <c r="E3270" s="600"/>
      <c r="F3270" s="600"/>
      <c r="G3270" s="600"/>
      <c r="H3270" s="600"/>
    </row>
    <row r="3271" spans="1:8">
      <c r="A3271" s="600"/>
      <c r="B3271" s="600"/>
      <c r="C3271" s="600"/>
      <c r="D3271" s="600"/>
      <c r="E3271" s="600"/>
      <c r="F3271" s="600"/>
      <c r="G3271" s="600"/>
      <c r="H3271" s="600"/>
    </row>
    <row r="3272" spans="1:8">
      <c r="A3272" s="600"/>
      <c r="B3272" s="600"/>
      <c r="C3272" s="600"/>
      <c r="D3272" s="600"/>
      <c r="E3272" s="600"/>
      <c r="F3272" s="600"/>
      <c r="G3272" s="600"/>
      <c r="H3272" s="600"/>
    </row>
    <row r="3273" spans="1:8">
      <c r="A3273" s="600"/>
      <c r="B3273" s="600"/>
      <c r="C3273" s="600"/>
      <c r="D3273" s="600"/>
      <c r="E3273" s="600"/>
      <c r="F3273" s="600"/>
      <c r="G3273" s="600"/>
      <c r="H3273" s="600"/>
    </row>
    <row r="3274" spans="1:8">
      <c r="A3274" s="600"/>
      <c r="B3274" s="600"/>
      <c r="C3274" s="600"/>
      <c r="D3274" s="600"/>
      <c r="E3274" s="600"/>
      <c r="F3274" s="600"/>
      <c r="G3274" s="600"/>
      <c r="H3274" s="600"/>
    </row>
    <row r="3275" spans="1:8">
      <c r="A3275" s="600"/>
      <c r="B3275" s="600"/>
      <c r="C3275" s="600"/>
      <c r="D3275" s="600"/>
      <c r="E3275" s="600"/>
      <c r="F3275" s="600"/>
      <c r="G3275" s="600"/>
      <c r="H3275" s="600"/>
    </row>
    <row r="3276" spans="1:8">
      <c r="A3276" s="600"/>
      <c r="B3276" s="600"/>
      <c r="C3276" s="600"/>
      <c r="D3276" s="600"/>
      <c r="E3276" s="600"/>
      <c r="F3276" s="600"/>
      <c r="G3276" s="600"/>
      <c r="H3276" s="600"/>
    </row>
    <row r="3277" spans="1:8">
      <c r="A3277" s="600"/>
      <c r="B3277" s="600"/>
      <c r="C3277" s="600"/>
      <c r="D3277" s="600"/>
      <c r="E3277" s="600"/>
      <c r="F3277" s="600"/>
      <c r="G3277" s="600"/>
      <c r="H3277" s="600"/>
    </row>
    <row r="3278" spans="1:8">
      <c r="A3278" s="600"/>
      <c r="B3278" s="600"/>
      <c r="C3278" s="600"/>
      <c r="D3278" s="600"/>
      <c r="E3278" s="600"/>
      <c r="F3278" s="600"/>
      <c r="G3278" s="600"/>
      <c r="H3278" s="600"/>
    </row>
    <row r="3279" spans="1:8">
      <c r="A3279" s="600"/>
      <c r="B3279" s="600"/>
      <c r="C3279" s="600"/>
      <c r="D3279" s="600"/>
      <c r="E3279" s="600"/>
      <c r="F3279" s="600"/>
      <c r="G3279" s="600"/>
      <c r="H3279" s="600"/>
    </row>
    <row r="3280" spans="1:8">
      <c r="A3280" s="600"/>
      <c r="B3280" s="600"/>
      <c r="C3280" s="600"/>
      <c r="D3280" s="600"/>
      <c r="E3280" s="600"/>
      <c r="F3280" s="600"/>
      <c r="G3280" s="600"/>
      <c r="H3280" s="600"/>
    </row>
    <row r="3281" spans="1:8">
      <c r="A3281" s="600"/>
      <c r="B3281" s="600"/>
      <c r="C3281" s="600"/>
      <c r="D3281" s="600"/>
      <c r="E3281" s="600"/>
      <c r="F3281" s="600"/>
      <c r="G3281" s="600"/>
      <c r="H3281" s="600"/>
    </row>
    <row r="3282" spans="1:8">
      <c r="A3282" s="600"/>
      <c r="B3282" s="600"/>
      <c r="C3282" s="600"/>
      <c r="D3282" s="600"/>
      <c r="E3282" s="600"/>
      <c r="F3282" s="600"/>
      <c r="G3282" s="600"/>
      <c r="H3282" s="600"/>
    </row>
    <row r="3283" spans="1:8">
      <c r="A3283" s="600"/>
      <c r="B3283" s="600"/>
      <c r="C3283" s="600"/>
      <c r="D3283" s="600"/>
      <c r="E3283" s="600"/>
      <c r="F3283" s="600"/>
      <c r="G3283" s="600"/>
      <c r="H3283" s="600"/>
    </row>
    <row r="3284" spans="1:8">
      <c r="A3284" s="600"/>
      <c r="B3284" s="600"/>
      <c r="C3284" s="600"/>
      <c r="D3284" s="600"/>
      <c r="E3284" s="600"/>
      <c r="F3284" s="600"/>
      <c r="G3284" s="600"/>
      <c r="H3284" s="600"/>
    </row>
    <row r="3285" spans="1:8">
      <c r="A3285" s="600"/>
      <c r="B3285" s="600"/>
      <c r="C3285" s="600"/>
      <c r="D3285" s="600"/>
      <c r="E3285" s="600"/>
      <c r="F3285" s="600"/>
      <c r="G3285" s="600"/>
      <c r="H3285" s="600"/>
    </row>
    <row r="3286" spans="1:8">
      <c r="A3286" s="600"/>
      <c r="B3286" s="600"/>
      <c r="C3286" s="600"/>
      <c r="D3286" s="600"/>
      <c r="E3286" s="600"/>
      <c r="F3286" s="600"/>
      <c r="G3286" s="600"/>
      <c r="H3286" s="600"/>
    </row>
    <row r="3287" spans="1:8">
      <c r="A3287" s="600"/>
      <c r="B3287" s="600"/>
      <c r="C3287" s="600"/>
      <c r="D3287" s="600"/>
      <c r="E3287" s="600"/>
      <c r="F3287" s="600"/>
      <c r="G3287" s="600"/>
      <c r="H3287" s="600"/>
    </row>
    <row r="3288" spans="1:8">
      <c r="A3288" s="600"/>
      <c r="B3288" s="600"/>
      <c r="C3288" s="600"/>
      <c r="D3288" s="600"/>
      <c r="E3288" s="600"/>
      <c r="F3288" s="600"/>
      <c r="G3288" s="600"/>
      <c r="H3288" s="600"/>
    </row>
    <row r="3289" spans="1:8">
      <c r="A3289" s="600"/>
      <c r="B3289" s="600"/>
      <c r="C3289" s="600"/>
      <c r="D3289" s="600"/>
      <c r="E3289" s="600"/>
      <c r="F3289" s="600"/>
      <c r="G3289" s="600"/>
      <c r="H3289" s="600"/>
    </row>
    <row r="3290" spans="1:8">
      <c r="A3290" s="600"/>
      <c r="B3290" s="600"/>
      <c r="C3290" s="600"/>
      <c r="D3290" s="600"/>
      <c r="E3290" s="600"/>
      <c r="F3290" s="600"/>
      <c r="G3290" s="600"/>
      <c r="H3290" s="600"/>
    </row>
    <row r="3291" spans="1:8">
      <c r="A3291" s="600"/>
      <c r="B3291" s="600"/>
      <c r="C3291" s="600"/>
      <c r="D3291" s="600"/>
      <c r="E3291" s="600"/>
      <c r="F3291" s="600"/>
      <c r="G3291" s="600"/>
      <c r="H3291" s="600"/>
    </row>
    <row r="3292" spans="1:8">
      <c r="A3292" s="600"/>
      <c r="B3292" s="600"/>
      <c r="C3292" s="600"/>
      <c r="D3292" s="600"/>
      <c r="E3292" s="600"/>
      <c r="F3292" s="600"/>
      <c r="G3292" s="600"/>
      <c r="H3292" s="600"/>
    </row>
    <row r="3293" spans="1:8">
      <c r="A3293" s="600"/>
      <c r="B3293" s="600"/>
      <c r="C3293" s="600"/>
      <c r="D3293" s="600"/>
      <c r="E3293" s="600"/>
      <c r="F3293" s="600"/>
      <c r="G3293" s="600"/>
      <c r="H3293" s="600"/>
    </row>
    <row r="3294" spans="1:8">
      <c r="A3294" s="600"/>
      <c r="B3294" s="600"/>
      <c r="C3294" s="600"/>
      <c r="D3294" s="600"/>
      <c r="E3294" s="600"/>
      <c r="F3294" s="600"/>
      <c r="G3294" s="600"/>
      <c r="H3294" s="600"/>
    </row>
    <row r="3295" spans="1:8">
      <c r="A3295" s="600"/>
      <c r="B3295" s="600"/>
      <c r="C3295" s="600"/>
      <c r="D3295" s="600"/>
      <c r="E3295" s="600"/>
      <c r="F3295" s="600"/>
      <c r="G3295" s="600"/>
      <c r="H3295" s="600"/>
    </row>
    <row r="3296" spans="1:8">
      <c r="A3296" s="600"/>
      <c r="B3296" s="600"/>
      <c r="C3296" s="600"/>
      <c r="D3296" s="600"/>
      <c r="E3296" s="600"/>
      <c r="F3296" s="600"/>
      <c r="G3296" s="600"/>
      <c r="H3296" s="600"/>
    </row>
    <row r="3297" spans="1:8">
      <c r="A3297" s="600"/>
      <c r="B3297" s="600"/>
      <c r="C3297" s="600"/>
      <c r="D3297" s="600"/>
      <c r="E3297" s="600"/>
      <c r="F3297" s="600"/>
      <c r="G3297" s="600"/>
      <c r="H3297" s="600"/>
    </row>
    <row r="3298" spans="1:8">
      <c r="A3298" s="600"/>
      <c r="B3298" s="600"/>
      <c r="C3298" s="600"/>
      <c r="D3298" s="600"/>
      <c r="E3298" s="600"/>
      <c r="F3298" s="600"/>
      <c r="G3298" s="600"/>
      <c r="H3298" s="600"/>
    </row>
    <row r="3299" spans="1:8">
      <c r="A3299" s="600"/>
      <c r="B3299" s="600"/>
      <c r="C3299" s="600"/>
      <c r="D3299" s="600"/>
      <c r="E3299" s="600"/>
      <c r="F3299" s="600"/>
      <c r="G3299" s="600"/>
      <c r="H3299" s="600"/>
    </row>
    <row r="3300" spans="1:8">
      <c r="A3300" s="600"/>
      <c r="B3300" s="600"/>
      <c r="C3300" s="600"/>
      <c r="D3300" s="600"/>
      <c r="E3300" s="600"/>
      <c r="F3300" s="600"/>
      <c r="G3300" s="600"/>
      <c r="H3300" s="600"/>
    </row>
    <row r="3301" spans="1:8">
      <c r="A3301" s="600"/>
      <c r="B3301" s="600"/>
      <c r="C3301" s="600"/>
      <c r="D3301" s="600"/>
      <c r="E3301" s="600"/>
      <c r="F3301" s="600"/>
      <c r="G3301" s="600"/>
      <c r="H3301" s="600"/>
    </row>
    <row r="3302" spans="1:8">
      <c r="A3302" s="600"/>
      <c r="B3302" s="600"/>
      <c r="C3302" s="600"/>
      <c r="D3302" s="600"/>
      <c r="E3302" s="600"/>
      <c r="F3302" s="600"/>
      <c r="G3302" s="600"/>
      <c r="H3302" s="600"/>
    </row>
    <row r="3303" spans="1:8">
      <c r="A3303" s="600"/>
      <c r="B3303" s="600"/>
      <c r="C3303" s="600"/>
      <c r="D3303" s="600"/>
      <c r="E3303" s="600"/>
      <c r="F3303" s="600"/>
      <c r="G3303" s="600"/>
      <c r="H3303" s="600"/>
    </row>
    <row r="3304" spans="1:8">
      <c r="A3304" s="600"/>
      <c r="B3304" s="600"/>
      <c r="C3304" s="600"/>
      <c r="D3304" s="600"/>
      <c r="E3304" s="600"/>
      <c r="F3304" s="600"/>
      <c r="G3304" s="600"/>
      <c r="H3304" s="600"/>
    </row>
    <row r="3305" spans="1:8">
      <c r="A3305" s="600"/>
      <c r="B3305" s="600"/>
      <c r="C3305" s="600"/>
      <c r="D3305" s="600"/>
      <c r="E3305" s="600"/>
      <c r="F3305" s="600"/>
      <c r="G3305" s="600"/>
      <c r="H3305" s="600"/>
    </row>
    <row r="3306" spans="1:8">
      <c r="A3306" s="600"/>
      <c r="B3306" s="600"/>
      <c r="C3306" s="600"/>
      <c r="D3306" s="600"/>
      <c r="E3306" s="600"/>
      <c r="F3306" s="600"/>
      <c r="G3306" s="600"/>
      <c r="H3306" s="600"/>
    </row>
    <row r="3307" spans="1:8">
      <c r="A3307" s="600"/>
      <c r="B3307" s="600"/>
      <c r="C3307" s="600"/>
      <c r="D3307" s="600"/>
      <c r="E3307" s="600"/>
      <c r="F3307" s="600"/>
      <c r="G3307" s="600"/>
      <c r="H3307" s="600"/>
    </row>
    <row r="3308" spans="1:8">
      <c r="A3308" s="600"/>
      <c r="B3308" s="600"/>
      <c r="C3308" s="600"/>
      <c r="D3308" s="600"/>
      <c r="E3308" s="600"/>
      <c r="F3308" s="600"/>
      <c r="G3308" s="600"/>
      <c r="H3308" s="600"/>
    </row>
    <row r="3309" spans="1:8">
      <c r="A3309" s="600"/>
      <c r="B3309" s="600"/>
      <c r="C3309" s="600"/>
      <c r="D3309" s="600"/>
      <c r="E3309" s="600"/>
      <c r="F3309" s="600"/>
      <c r="G3309" s="600"/>
      <c r="H3309" s="600"/>
    </row>
    <row r="3310" spans="1:8">
      <c r="A3310" s="600"/>
      <c r="B3310" s="600"/>
      <c r="C3310" s="600"/>
      <c r="D3310" s="600"/>
      <c r="E3310" s="600"/>
      <c r="F3310" s="600"/>
      <c r="G3310" s="600"/>
      <c r="H3310" s="600"/>
    </row>
    <row r="3311" spans="1:8">
      <c r="A3311" s="600"/>
      <c r="B3311" s="600"/>
      <c r="C3311" s="600"/>
      <c r="D3311" s="600"/>
      <c r="E3311" s="600"/>
      <c r="F3311" s="600"/>
      <c r="G3311" s="600"/>
      <c r="H3311" s="600"/>
    </row>
    <row r="3312" spans="1:8">
      <c r="A3312" s="600"/>
      <c r="B3312" s="600"/>
      <c r="C3312" s="600"/>
      <c r="D3312" s="600"/>
      <c r="E3312" s="600"/>
      <c r="F3312" s="600"/>
      <c r="G3312" s="600"/>
      <c r="H3312" s="600"/>
    </row>
    <row r="3313" spans="1:8">
      <c r="A3313" s="600"/>
      <c r="B3313" s="600"/>
      <c r="C3313" s="600"/>
      <c r="D3313" s="600"/>
      <c r="E3313" s="600"/>
      <c r="F3313" s="600"/>
      <c r="G3313" s="600"/>
      <c r="H3313" s="600"/>
    </row>
    <row r="3314" spans="1:8">
      <c r="A3314" s="600"/>
      <c r="B3314" s="600"/>
      <c r="C3314" s="600"/>
      <c r="D3314" s="600"/>
      <c r="E3314" s="600"/>
      <c r="F3314" s="600"/>
      <c r="G3314" s="600"/>
      <c r="H3314" s="600"/>
    </row>
    <row r="3315" spans="1:8">
      <c r="A3315" s="600"/>
      <c r="B3315" s="600"/>
      <c r="C3315" s="600"/>
      <c r="D3315" s="600"/>
      <c r="E3315" s="600"/>
      <c r="F3315" s="600"/>
      <c r="G3315" s="600"/>
      <c r="H3315" s="600"/>
    </row>
    <row r="3316" spans="1:8">
      <c r="A3316" s="600"/>
      <c r="B3316" s="600"/>
      <c r="C3316" s="600"/>
      <c r="D3316" s="600"/>
      <c r="E3316" s="600"/>
      <c r="F3316" s="600"/>
      <c r="G3316" s="600"/>
      <c r="H3316" s="600"/>
    </row>
    <row r="3317" spans="1:8">
      <c r="A3317" s="600"/>
      <c r="B3317" s="600"/>
      <c r="C3317" s="600"/>
      <c r="D3317" s="600"/>
      <c r="E3317" s="600"/>
      <c r="F3317" s="600"/>
      <c r="G3317" s="600"/>
      <c r="H3317" s="600"/>
    </row>
    <row r="3318" spans="1:8">
      <c r="A3318" s="600"/>
      <c r="B3318" s="600"/>
      <c r="C3318" s="600"/>
      <c r="D3318" s="600"/>
      <c r="E3318" s="600"/>
      <c r="F3318" s="600"/>
      <c r="G3318" s="600"/>
      <c r="H3318" s="600"/>
    </row>
    <row r="3319" spans="1:8">
      <c r="A3319" s="600"/>
      <c r="B3319" s="600"/>
      <c r="C3319" s="600"/>
      <c r="D3319" s="600"/>
      <c r="E3319" s="600"/>
      <c r="F3319" s="600"/>
      <c r="G3319" s="600"/>
      <c r="H3319" s="600"/>
    </row>
    <row r="3320" spans="1:8">
      <c r="A3320" s="600"/>
      <c r="B3320" s="600"/>
      <c r="C3320" s="600"/>
      <c r="D3320" s="600"/>
      <c r="E3320" s="600"/>
      <c r="F3320" s="600"/>
      <c r="G3320" s="600"/>
      <c r="H3320" s="600"/>
    </row>
    <row r="3321" spans="1:8">
      <c r="A3321" s="600"/>
      <c r="B3321" s="600"/>
      <c r="C3321" s="600"/>
      <c r="D3321" s="600"/>
      <c r="E3321" s="600"/>
      <c r="F3321" s="600"/>
      <c r="G3321" s="600"/>
      <c r="H3321" s="600"/>
    </row>
    <row r="3322" spans="1:8">
      <c r="A3322" s="600"/>
      <c r="B3322" s="600"/>
      <c r="C3322" s="600"/>
      <c r="D3322" s="600"/>
      <c r="E3322" s="600"/>
      <c r="F3322" s="600"/>
      <c r="G3322" s="600"/>
      <c r="H3322" s="600"/>
    </row>
    <row r="3323" spans="1:8">
      <c r="A3323" s="600"/>
      <c r="B3323" s="600"/>
      <c r="C3323" s="600"/>
      <c r="D3323" s="600"/>
      <c r="E3323" s="600"/>
      <c r="F3323" s="600"/>
      <c r="G3323" s="600"/>
      <c r="H3323" s="600"/>
    </row>
    <row r="3324" spans="1:8">
      <c r="A3324" s="600"/>
      <c r="B3324" s="600"/>
      <c r="C3324" s="600"/>
      <c r="D3324" s="600"/>
      <c r="E3324" s="600"/>
      <c r="F3324" s="600"/>
      <c r="G3324" s="600"/>
      <c r="H3324" s="600"/>
    </row>
    <row r="3325" spans="1:8">
      <c r="A3325" s="600"/>
      <c r="B3325" s="600"/>
      <c r="C3325" s="600"/>
      <c r="D3325" s="600"/>
      <c r="E3325" s="600"/>
      <c r="F3325" s="600"/>
      <c r="G3325" s="600"/>
      <c r="H3325" s="600"/>
    </row>
    <row r="3326" spans="1:8">
      <c r="A3326" s="600"/>
      <c r="B3326" s="600"/>
      <c r="C3326" s="600"/>
      <c r="D3326" s="600"/>
      <c r="E3326" s="600"/>
      <c r="F3326" s="600"/>
      <c r="G3326" s="600"/>
      <c r="H3326" s="600"/>
    </row>
    <row r="3327" spans="1:8">
      <c r="A3327" s="600"/>
      <c r="B3327" s="600"/>
      <c r="C3327" s="600"/>
      <c r="D3327" s="600"/>
      <c r="E3327" s="600"/>
      <c r="F3327" s="600"/>
      <c r="G3327" s="600"/>
      <c r="H3327" s="600"/>
    </row>
    <row r="3328" spans="1:8">
      <c r="A3328" s="600"/>
      <c r="B3328" s="600"/>
      <c r="C3328" s="600"/>
      <c r="D3328" s="600"/>
      <c r="E3328" s="600"/>
      <c r="F3328" s="600"/>
      <c r="G3328" s="600"/>
      <c r="H3328" s="600"/>
    </row>
    <row r="3329" spans="1:8">
      <c r="A3329" s="600"/>
      <c r="B3329" s="600"/>
      <c r="C3329" s="600"/>
      <c r="D3329" s="600"/>
      <c r="E3329" s="600"/>
      <c r="F3329" s="600"/>
      <c r="G3329" s="600"/>
      <c r="H3329" s="600"/>
    </row>
    <row r="3330" spans="1:8">
      <c r="A3330" s="600"/>
      <c r="B3330" s="600"/>
      <c r="C3330" s="600"/>
      <c r="D3330" s="600"/>
      <c r="E3330" s="600"/>
      <c r="F3330" s="600"/>
      <c r="G3330" s="600"/>
      <c r="H3330" s="600"/>
    </row>
    <row r="3331" spans="1:8">
      <c r="A3331" s="600"/>
      <c r="B3331" s="600"/>
      <c r="C3331" s="600"/>
      <c r="D3331" s="600"/>
      <c r="E3331" s="600"/>
      <c r="F3331" s="600"/>
      <c r="G3331" s="600"/>
      <c r="H3331" s="600"/>
    </row>
    <row r="3332" spans="1:8">
      <c r="A3332" s="600"/>
      <c r="B3332" s="600"/>
      <c r="C3332" s="600"/>
      <c r="D3332" s="600"/>
      <c r="E3332" s="600"/>
      <c r="F3332" s="600"/>
      <c r="G3332" s="600"/>
      <c r="H3332" s="600"/>
    </row>
    <row r="3333" spans="1:8">
      <c r="A3333" s="600"/>
      <c r="B3333" s="600"/>
      <c r="C3333" s="600"/>
      <c r="D3333" s="600"/>
      <c r="E3333" s="600"/>
      <c r="F3333" s="600"/>
      <c r="G3333" s="600"/>
      <c r="H3333" s="600"/>
    </row>
    <row r="3334" spans="1:8">
      <c r="A3334" s="600"/>
      <c r="B3334" s="600"/>
      <c r="C3334" s="600"/>
      <c r="D3334" s="600"/>
      <c r="E3334" s="600"/>
      <c r="F3334" s="600"/>
      <c r="G3334" s="600"/>
      <c r="H3334" s="600"/>
    </row>
    <row r="3335" spans="1:8">
      <c r="A3335" s="600"/>
      <c r="B3335" s="600"/>
      <c r="C3335" s="600"/>
      <c r="D3335" s="600"/>
      <c r="E3335" s="600"/>
      <c r="F3335" s="600"/>
      <c r="G3335" s="600"/>
      <c r="H3335" s="600"/>
    </row>
    <row r="3336" spans="1:8">
      <c r="A3336" s="600"/>
      <c r="B3336" s="600"/>
      <c r="C3336" s="600"/>
      <c r="D3336" s="600"/>
      <c r="E3336" s="600"/>
      <c r="F3336" s="600"/>
      <c r="G3336" s="600"/>
      <c r="H3336" s="600"/>
    </row>
    <row r="3337" spans="1:8">
      <c r="A3337" s="600"/>
      <c r="B3337" s="600"/>
      <c r="C3337" s="600"/>
      <c r="D3337" s="600"/>
      <c r="E3337" s="600"/>
      <c r="F3337" s="600"/>
      <c r="G3337" s="600"/>
      <c r="H3337" s="600"/>
    </row>
    <row r="3338" spans="1:8">
      <c r="A3338" s="600"/>
      <c r="B3338" s="600"/>
      <c r="C3338" s="600"/>
      <c r="D3338" s="600"/>
      <c r="E3338" s="600"/>
      <c r="F3338" s="600"/>
      <c r="G3338" s="600"/>
      <c r="H3338" s="600"/>
    </row>
    <row r="3339" spans="1:8">
      <c r="A3339" s="600"/>
      <c r="B3339" s="600"/>
      <c r="C3339" s="600"/>
      <c r="D3339" s="600"/>
      <c r="E3339" s="600"/>
      <c r="F3339" s="600"/>
      <c r="G3339" s="600"/>
      <c r="H3339" s="600"/>
    </row>
    <row r="3340" spans="1:8">
      <c r="A3340" s="600"/>
      <c r="B3340" s="600"/>
      <c r="C3340" s="600"/>
      <c r="D3340" s="600"/>
      <c r="E3340" s="600"/>
      <c r="F3340" s="600"/>
      <c r="G3340" s="600"/>
      <c r="H3340" s="600"/>
    </row>
    <row r="3341" spans="1:8">
      <c r="A3341" s="600"/>
      <c r="B3341" s="600"/>
      <c r="C3341" s="600"/>
      <c r="D3341" s="600"/>
      <c r="E3341" s="600"/>
      <c r="F3341" s="600"/>
      <c r="G3341" s="600"/>
      <c r="H3341" s="600"/>
    </row>
    <row r="3342" spans="1:8">
      <c r="A3342" s="600"/>
      <c r="B3342" s="600"/>
      <c r="C3342" s="600"/>
      <c r="D3342" s="600"/>
      <c r="E3342" s="600"/>
      <c r="F3342" s="600"/>
      <c r="G3342" s="600"/>
      <c r="H3342" s="600"/>
    </row>
    <row r="3343" spans="1:8">
      <c r="A3343" s="600"/>
      <c r="B3343" s="600"/>
      <c r="C3343" s="600"/>
      <c r="D3343" s="600"/>
      <c r="E3343" s="600"/>
      <c r="F3343" s="600"/>
      <c r="G3343" s="600"/>
      <c r="H3343" s="600"/>
    </row>
    <row r="3344" spans="1:8">
      <c r="A3344" s="600"/>
      <c r="B3344" s="600"/>
      <c r="C3344" s="600"/>
      <c r="D3344" s="600"/>
      <c r="E3344" s="600"/>
      <c r="F3344" s="600"/>
      <c r="G3344" s="600"/>
      <c r="H3344" s="600"/>
    </row>
    <row r="3345" spans="1:8">
      <c r="A3345" s="600"/>
      <c r="B3345" s="600"/>
      <c r="C3345" s="600"/>
      <c r="D3345" s="600"/>
      <c r="E3345" s="600"/>
      <c r="F3345" s="600"/>
      <c r="G3345" s="600"/>
      <c r="H3345" s="600"/>
    </row>
    <row r="3346" spans="1:8">
      <c r="A3346" s="600"/>
      <c r="B3346" s="600"/>
      <c r="C3346" s="600"/>
      <c r="D3346" s="600"/>
      <c r="E3346" s="600"/>
      <c r="F3346" s="600"/>
      <c r="G3346" s="600"/>
      <c r="H3346" s="600"/>
    </row>
    <row r="3347" spans="1:8">
      <c r="A3347" s="600"/>
      <c r="B3347" s="600"/>
      <c r="C3347" s="600"/>
      <c r="D3347" s="600"/>
      <c r="E3347" s="600"/>
      <c r="F3347" s="600"/>
      <c r="G3347" s="600"/>
      <c r="H3347" s="600"/>
    </row>
    <row r="3348" spans="1:8">
      <c r="A3348" s="600"/>
      <c r="B3348" s="600"/>
      <c r="C3348" s="600"/>
      <c r="D3348" s="600"/>
      <c r="E3348" s="600"/>
      <c r="F3348" s="600"/>
      <c r="G3348" s="600"/>
      <c r="H3348" s="600"/>
    </row>
    <row r="3349" spans="1:8">
      <c r="A3349" s="600"/>
      <c r="B3349" s="600"/>
      <c r="C3349" s="600"/>
      <c r="D3349" s="600"/>
      <c r="E3349" s="600"/>
      <c r="F3349" s="600"/>
      <c r="G3349" s="600"/>
      <c r="H3349" s="600"/>
    </row>
    <row r="3350" spans="1:8">
      <c r="A3350" s="600"/>
      <c r="B3350" s="600"/>
      <c r="C3350" s="600"/>
      <c r="D3350" s="600"/>
      <c r="E3350" s="600"/>
      <c r="F3350" s="600"/>
      <c r="G3350" s="600"/>
      <c r="H3350" s="600"/>
    </row>
    <row r="3351" spans="1:8">
      <c r="A3351" s="600"/>
      <c r="B3351" s="600"/>
      <c r="C3351" s="600"/>
      <c r="D3351" s="600"/>
      <c r="E3351" s="600"/>
      <c r="F3351" s="600"/>
      <c r="G3351" s="600"/>
      <c r="H3351" s="600"/>
    </row>
    <row r="3352" spans="1:8">
      <c r="A3352" s="600"/>
      <c r="B3352" s="600"/>
      <c r="C3352" s="600"/>
      <c r="D3352" s="600"/>
      <c r="E3352" s="600"/>
      <c r="F3352" s="600"/>
      <c r="G3352" s="600"/>
      <c r="H3352" s="600"/>
    </row>
    <row r="3353" spans="1:8">
      <c r="A3353" s="600"/>
      <c r="B3353" s="600"/>
      <c r="C3353" s="600"/>
      <c r="D3353" s="600"/>
      <c r="E3353" s="600"/>
      <c r="F3353" s="600"/>
      <c r="G3353" s="600"/>
      <c r="H3353" s="600"/>
    </row>
    <row r="3354" spans="1:8">
      <c r="A3354" s="600"/>
      <c r="B3354" s="600"/>
      <c r="C3354" s="600"/>
      <c r="D3354" s="600"/>
      <c r="E3354" s="600"/>
      <c r="F3354" s="600"/>
      <c r="G3354" s="600"/>
      <c r="H3354" s="600"/>
    </row>
    <row r="3355" spans="1:8">
      <c r="A3355" s="600"/>
      <c r="B3355" s="600"/>
      <c r="C3355" s="600"/>
      <c r="D3355" s="600"/>
      <c r="E3355" s="600"/>
      <c r="F3355" s="600"/>
      <c r="G3355" s="600"/>
      <c r="H3355" s="600"/>
    </row>
    <row r="3356" spans="1:8">
      <c r="A3356" s="600"/>
      <c r="B3356" s="600"/>
      <c r="C3356" s="600"/>
      <c r="D3356" s="600"/>
      <c r="E3356" s="600"/>
      <c r="F3356" s="600"/>
      <c r="G3356" s="600"/>
      <c r="H3356" s="600"/>
    </row>
    <row r="3357" spans="1:8">
      <c r="A3357" s="600"/>
      <c r="B3357" s="600"/>
      <c r="C3357" s="600"/>
      <c r="D3357" s="600"/>
      <c r="E3357" s="600"/>
      <c r="F3357" s="600"/>
      <c r="G3357" s="600"/>
      <c r="H3357" s="600"/>
    </row>
    <row r="3358" spans="1:8">
      <c r="A3358" s="600"/>
      <c r="B3358" s="600"/>
      <c r="C3358" s="600"/>
      <c r="D3358" s="600"/>
      <c r="E3358" s="600"/>
      <c r="F3358" s="600"/>
      <c r="G3358" s="600"/>
      <c r="H3358" s="600"/>
    </row>
    <row r="3359" spans="1:8">
      <c r="A3359" s="600"/>
      <c r="B3359" s="600"/>
      <c r="C3359" s="600"/>
      <c r="D3359" s="600"/>
      <c r="E3359" s="600"/>
      <c r="F3359" s="600"/>
      <c r="G3359" s="600"/>
      <c r="H3359" s="600"/>
    </row>
    <row r="3360" spans="1:8">
      <c r="A3360" s="600"/>
      <c r="B3360" s="600"/>
      <c r="C3360" s="600"/>
      <c r="D3360" s="600"/>
      <c r="E3360" s="600"/>
      <c r="F3360" s="600"/>
      <c r="G3360" s="600"/>
      <c r="H3360" s="600"/>
    </row>
    <row r="3361" spans="1:8">
      <c r="A3361" s="600"/>
      <c r="B3361" s="600"/>
      <c r="C3361" s="600"/>
      <c r="D3361" s="600"/>
      <c r="E3361" s="600"/>
      <c r="F3361" s="600"/>
      <c r="G3361" s="600"/>
      <c r="H3361" s="600"/>
    </row>
    <row r="3362" spans="1:8">
      <c r="A3362" s="600"/>
      <c r="B3362" s="600"/>
      <c r="C3362" s="600"/>
      <c r="D3362" s="600"/>
      <c r="E3362" s="600"/>
      <c r="F3362" s="600"/>
      <c r="G3362" s="600"/>
      <c r="H3362" s="600"/>
    </row>
    <row r="3363" spans="1:8">
      <c r="A3363" s="600"/>
      <c r="B3363" s="600"/>
      <c r="C3363" s="600"/>
      <c r="D3363" s="600"/>
      <c r="E3363" s="600"/>
      <c r="F3363" s="600"/>
      <c r="G3363" s="600"/>
      <c r="H3363" s="600"/>
    </row>
    <row r="3364" spans="1:8">
      <c r="A3364" s="600"/>
      <c r="B3364" s="600"/>
      <c r="C3364" s="600"/>
      <c r="D3364" s="600"/>
      <c r="E3364" s="600"/>
      <c r="F3364" s="600"/>
      <c r="G3364" s="600"/>
      <c r="H3364" s="600"/>
    </row>
    <row r="3365" spans="1:8">
      <c r="A3365" s="600"/>
      <c r="B3365" s="600"/>
      <c r="C3365" s="600"/>
      <c r="D3365" s="600"/>
      <c r="E3365" s="600"/>
      <c r="F3365" s="600"/>
      <c r="G3365" s="600"/>
      <c r="H3365" s="600"/>
    </row>
    <row r="3366" spans="1:8">
      <c r="A3366" s="600"/>
      <c r="B3366" s="600"/>
      <c r="C3366" s="600"/>
      <c r="D3366" s="600"/>
      <c r="E3366" s="600"/>
      <c r="F3366" s="600"/>
      <c r="G3366" s="600"/>
      <c r="H3366" s="600"/>
    </row>
    <row r="3367" spans="1:8">
      <c r="A3367" s="600"/>
      <c r="B3367" s="600"/>
      <c r="C3367" s="600"/>
      <c r="D3367" s="600"/>
      <c r="E3367" s="600"/>
      <c r="F3367" s="600"/>
      <c r="G3367" s="600"/>
      <c r="H3367" s="600"/>
    </row>
    <row r="3368" spans="1:8">
      <c r="A3368" s="600"/>
      <c r="B3368" s="600"/>
      <c r="C3368" s="600"/>
      <c r="D3368" s="600"/>
      <c r="E3368" s="600"/>
      <c r="F3368" s="600"/>
      <c r="G3368" s="600"/>
      <c r="H3368" s="600"/>
    </row>
    <row r="3369" spans="1:8">
      <c r="A3369" s="600"/>
      <c r="B3369" s="600"/>
      <c r="C3369" s="600"/>
      <c r="D3369" s="600"/>
      <c r="E3369" s="600"/>
      <c r="F3369" s="600"/>
      <c r="G3369" s="600"/>
      <c r="H3369" s="600"/>
    </row>
    <row r="3370" spans="1:8">
      <c r="A3370" s="600"/>
      <c r="B3370" s="600"/>
      <c r="C3370" s="600"/>
      <c r="D3370" s="600"/>
      <c r="E3370" s="600"/>
      <c r="F3370" s="600"/>
      <c r="G3370" s="600"/>
      <c r="H3370" s="600"/>
    </row>
    <row r="3371" spans="1:8">
      <c r="A3371" s="600"/>
      <c r="B3371" s="600"/>
      <c r="C3371" s="600"/>
      <c r="D3371" s="600"/>
      <c r="E3371" s="600"/>
      <c r="F3371" s="600"/>
      <c r="G3371" s="600"/>
      <c r="H3371" s="600"/>
    </row>
    <row r="3372" spans="1:8">
      <c r="A3372" s="600"/>
      <c r="B3372" s="600"/>
      <c r="C3372" s="600"/>
      <c r="D3372" s="600"/>
      <c r="E3372" s="600"/>
      <c r="F3372" s="600"/>
      <c r="G3372" s="600"/>
      <c r="H3372" s="600"/>
    </row>
    <row r="3373" spans="1:8">
      <c r="A3373" s="600"/>
      <c r="B3373" s="600"/>
      <c r="C3373" s="600"/>
      <c r="D3373" s="600"/>
      <c r="E3373" s="600"/>
      <c r="F3373" s="600"/>
      <c r="G3373" s="600"/>
      <c r="H3373" s="600"/>
    </row>
    <row r="3374" spans="1:8">
      <c r="A3374" s="600"/>
      <c r="B3374" s="600"/>
      <c r="C3374" s="600"/>
      <c r="D3374" s="600"/>
      <c r="E3374" s="600"/>
      <c r="F3374" s="600"/>
      <c r="G3374" s="600"/>
      <c r="H3374" s="600"/>
    </row>
    <row r="3375" spans="1:8">
      <c r="A3375" s="600"/>
      <c r="B3375" s="600"/>
      <c r="C3375" s="600"/>
      <c r="D3375" s="600"/>
      <c r="E3375" s="600"/>
      <c r="F3375" s="600"/>
      <c r="G3375" s="600"/>
      <c r="H3375" s="600"/>
    </row>
    <row r="3376" spans="1:8">
      <c r="A3376" s="600"/>
      <c r="B3376" s="600"/>
      <c r="C3376" s="600"/>
      <c r="D3376" s="600"/>
      <c r="E3376" s="600"/>
      <c r="F3376" s="600"/>
      <c r="G3376" s="600"/>
      <c r="H3376" s="600"/>
    </row>
    <row r="3377" spans="1:8">
      <c r="A3377" s="600"/>
      <c r="B3377" s="600"/>
      <c r="C3377" s="600"/>
      <c r="D3377" s="600"/>
      <c r="E3377" s="600"/>
      <c r="F3377" s="600"/>
      <c r="G3377" s="600"/>
      <c r="H3377" s="600"/>
    </row>
    <row r="3378" spans="1:8">
      <c r="A3378" s="600"/>
      <c r="B3378" s="600"/>
      <c r="C3378" s="600"/>
      <c r="D3378" s="600"/>
      <c r="E3378" s="600"/>
      <c r="F3378" s="600"/>
      <c r="G3378" s="600"/>
      <c r="H3378" s="600"/>
    </row>
    <row r="3379" spans="1:8">
      <c r="A3379" s="600"/>
      <c r="B3379" s="600"/>
      <c r="C3379" s="600"/>
      <c r="D3379" s="600"/>
      <c r="E3379" s="600"/>
      <c r="F3379" s="600"/>
      <c r="G3379" s="600"/>
      <c r="H3379" s="600"/>
    </row>
    <row r="3380" spans="1:8">
      <c r="A3380" s="600"/>
      <c r="B3380" s="600"/>
      <c r="C3380" s="600"/>
      <c r="D3380" s="600"/>
      <c r="E3380" s="600"/>
      <c r="F3380" s="600"/>
      <c r="G3380" s="600"/>
      <c r="H3380" s="600"/>
    </row>
    <row r="3381" spans="1:8">
      <c r="A3381" s="600"/>
      <c r="B3381" s="600"/>
      <c r="C3381" s="600"/>
      <c r="D3381" s="600"/>
      <c r="E3381" s="600"/>
      <c r="F3381" s="600"/>
      <c r="G3381" s="600"/>
      <c r="H3381" s="600"/>
    </row>
    <row r="3382" spans="1:8">
      <c r="A3382" s="600"/>
      <c r="B3382" s="600"/>
      <c r="C3382" s="600"/>
      <c r="D3382" s="600"/>
      <c r="E3382" s="600"/>
      <c r="F3382" s="600"/>
      <c r="G3382" s="600"/>
      <c r="H3382" s="600"/>
    </row>
    <row r="3383" spans="1:8">
      <c r="A3383" s="600"/>
      <c r="B3383" s="600"/>
      <c r="C3383" s="600"/>
      <c r="D3383" s="600"/>
      <c r="E3383" s="600"/>
      <c r="F3383" s="600"/>
      <c r="G3383" s="600"/>
      <c r="H3383" s="600"/>
    </row>
    <row r="3384" spans="1:8">
      <c r="A3384" s="600"/>
      <c r="B3384" s="600"/>
      <c r="C3384" s="600"/>
      <c r="D3384" s="600"/>
      <c r="E3384" s="600"/>
      <c r="F3384" s="600"/>
      <c r="G3384" s="600"/>
      <c r="H3384" s="600"/>
    </row>
    <row r="3385" spans="1:8">
      <c r="A3385" s="600"/>
      <c r="B3385" s="600"/>
      <c r="C3385" s="600"/>
      <c r="D3385" s="600"/>
      <c r="E3385" s="600"/>
      <c r="F3385" s="600"/>
      <c r="G3385" s="600"/>
      <c r="H3385" s="600"/>
    </row>
    <row r="3386" spans="1:8">
      <c r="A3386" s="600"/>
      <c r="B3386" s="600"/>
      <c r="C3386" s="600"/>
      <c r="D3386" s="600"/>
      <c r="E3386" s="600"/>
      <c r="F3386" s="600"/>
      <c r="G3386" s="600"/>
      <c r="H3386" s="600"/>
    </row>
    <row r="3387" spans="1:8">
      <c r="A3387" s="600"/>
      <c r="B3387" s="600"/>
      <c r="C3387" s="600"/>
      <c r="D3387" s="600"/>
      <c r="E3387" s="600"/>
      <c r="F3387" s="600"/>
      <c r="G3387" s="600"/>
      <c r="H3387" s="600"/>
    </row>
    <row r="3388" spans="1:8">
      <c r="A3388" s="600"/>
      <c r="B3388" s="600"/>
      <c r="C3388" s="600"/>
      <c r="D3388" s="600"/>
      <c r="E3388" s="600"/>
      <c r="F3388" s="600"/>
      <c r="G3388" s="600"/>
      <c r="H3388" s="600"/>
    </row>
    <row r="3389" spans="1:8">
      <c r="A3389" s="600"/>
      <c r="B3389" s="600"/>
      <c r="C3389" s="600"/>
      <c r="D3389" s="600"/>
      <c r="E3389" s="600"/>
      <c r="F3389" s="600"/>
      <c r="G3389" s="600"/>
      <c r="H3389" s="600"/>
    </row>
    <row r="3390" spans="1:8">
      <c r="A3390" s="600"/>
      <c r="B3390" s="600"/>
      <c r="C3390" s="600"/>
      <c r="D3390" s="600"/>
      <c r="E3390" s="600"/>
      <c r="F3390" s="600"/>
      <c r="G3390" s="600"/>
      <c r="H3390" s="600"/>
    </row>
    <row r="3391" spans="1:8">
      <c r="A3391" s="600"/>
      <c r="B3391" s="600"/>
      <c r="C3391" s="600"/>
      <c r="D3391" s="600"/>
      <c r="E3391" s="600"/>
      <c r="F3391" s="600"/>
      <c r="G3391" s="600"/>
      <c r="H3391" s="600"/>
    </row>
    <row r="3392" spans="1:8">
      <c r="A3392" s="600"/>
      <c r="B3392" s="600"/>
      <c r="C3392" s="600"/>
      <c r="D3392" s="600"/>
      <c r="E3392" s="600"/>
      <c r="F3392" s="600"/>
      <c r="G3392" s="600"/>
      <c r="H3392" s="600"/>
    </row>
    <row r="3393" spans="1:8">
      <c r="A3393" s="600"/>
      <c r="B3393" s="600"/>
      <c r="C3393" s="600"/>
      <c r="D3393" s="600"/>
      <c r="E3393" s="600"/>
      <c r="F3393" s="600"/>
      <c r="G3393" s="600"/>
      <c r="H3393" s="600"/>
    </row>
    <row r="3394" spans="1:8">
      <c r="A3394" s="600"/>
      <c r="B3394" s="600"/>
      <c r="C3394" s="600"/>
      <c r="D3394" s="600"/>
      <c r="E3394" s="600"/>
      <c r="F3394" s="600"/>
      <c r="G3394" s="600"/>
      <c r="H3394" s="600"/>
    </row>
    <row r="3395" spans="1:8">
      <c r="A3395" s="600"/>
      <c r="B3395" s="600"/>
      <c r="C3395" s="600"/>
      <c r="D3395" s="600"/>
      <c r="E3395" s="600"/>
      <c r="F3395" s="600"/>
      <c r="G3395" s="600"/>
      <c r="H3395" s="600"/>
    </row>
    <row r="3396" spans="1:8">
      <c r="A3396" s="600"/>
      <c r="B3396" s="600"/>
      <c r="C3396" s="600"/>
      <c r="D3396" s="600"/>
      <c r="E3396" s="600"/>
      <c r="F3396" s="600"/>
      <c r="G3396" s="600"/>
      <c r="H3396" s="600"/>
    </row>
    <row r="3397" spans="1:8">
      <c r="A3397" s="600"/>
      <c r="B3397" s="600"/>
      <c r="C3397" s="600"/>
      <c r="D3397" s="600"/>
      <c r="E3397" s="600"/>
      <c r="F3397" s="600"/>
      <c r="G3397" s="600"/>
      <c r="H3397" s="600"/>
    </row>
    <row r="3398" spans="1:8">
      <c r="A3398" s="600"/>
      <c r="B3398" s="600"/>
      <c r="C3398" s="600"/>
      <c r="D3398" s="600"/>
      <c r="E3398" s="600"/>
      <c r="F3398" s="600"/>
      <c r="G3398" s="600"/>
      <c r="H3398" s="600"/>
    </row>
    <row r="3399" spans="1:8">
      <c r="A3399" s="600"/>
      <c r="B3399" s="600"/>
      <c r="C3399" s="600"/>
      <c r="D3399" s="600"/>
      <c r="E3399" s="600"/>
      <c r="F3399" s="600"/>
      <c r="G3399" s="600"/>
      <c r="H3399" s="600"/>
    </row>
    <row r="3400" spans="1:8">
      <c r="A3400" s="600"/>
      <c r="B3400" s="600"/>
      <c r="C3400" s="600"/>
      <c r="D3400" s="600"/>
      <c r="E3400" s="600"/>
      <c r="F3400" s="600"/>
      <c r="G3400" s="600"/>
      <c r="H3400" s="600"/>
    </row>
    <row r="3401" spans="1:8">
      <c r="A3401" s="600"/>
      <c r="B3401" s="600"/>
      <c r="C3401" s="600"/>
      <c r="D3401" s="600"/>
      <c r="E3401" s="600"/>
      <c r="F3401" s="600"/>
      <c r="G3401" s="600"/>
      <c r="H3401" s="600"/>
    </row>
    <row r="3402" spans="1:8">
      <c r="A3402" s="600"/>
      <c r="B3402" s="600"/>
      <c r="C3402" s="600"/>
      <c r="D3402" s="600"/>
      <c r="E3402" s="600"/>
      <c r="F3402" s="600"/>
      <c r="G3402" s="600"/>
      <c r="H3402" s="600"/>
    </row>
    <row r="3403" spans="1:8">
      <c r="A3403" s="600"/>
      <c r="B3403" s="600"/>
      <c r="C3403" s="600"/>
      <c r="D3403" s="600"/>
      <c r="E3403" s="600"/>
      <c r="F3403" s="600"/>
      <c r="G3403" s="600"/>
      <c r="H3403" s="600"/>
    </row>
    <row r="3404" spans="1:8">
      <c r="A3404" s="600"/>
      <c r="B3404" s="600"/>
      <c r="C3404" s="600"/>
      <c r="D3404" s="600"/>
      <c r="E3404" s="600"/>
      <c r="F3404" s="600"/>
      <c r="G3404" s="600"/>
      <c r="H3404" s="600"/>
    </row>
    <row r="3405" spans="1:8">
      <c r="A3405" s="600"/>
      <c r="B3405" s="600"/>
      <c r="C3405" s="600"/>
      <c r="D3405" s="600"/>
      <c r="E3405" s="600"/>
      <c r="F3405" s="600"/>
      <c r="G3405" s="600"/>
      <c r="H3405" s="600"/>
    </row>
    <row r="3406" spans="1:8">
      <c r="A3406" s="600"/>
      <c r="B3406" s="600"/>
      <c r="C3406" s="600"/>
      <c r="D3406" s="600"/>
      <c r="E3406" s="600"/>
      <c r="F3406" s="600"/>
      <c r="G3406" s="600"/>
      <c r="H3406" s="600"/>
    </row>
    <row r="3407" spans="1:8">
      <c r="A3407" s="600"/>
      <c r="B3407" s="600"/>
      <c r="C3407" s="600"/>
      <c r="D3407" s="600"/>
      <c r="E3407" s="600"/>
      <c r="F3407" s="600"/>
      <c r="G3407" s="600"/>
      <c r="H3407" s="600"/>
    </row>
    <row r="3408" spans="1:8">
      <c r="A3408" s="600"/>
      <c r="B3408" s="600"/>
      <c r="C3408" s="600"/>
      <c r="D3408" s="600"/>
      <c r="E3408" s="600"/>
      <c r="F3408" s="600"/>
      <c r="G3408" s="600"/>
      <c r="H3408" s="600"/>
    </row>
    <row r="3409" spans="1:8">
      <c r="A3409" s="600"/>
      <c r="B3409" s="600"/>
      <c r="C3409" s="600"/>
      <c r="D3409" s="600"/>
      <c r="E3409" s="600"/>
      <c r="F3409" s="600"/>
      <c r="G3409" s="600"/>
      <c r="H3409" s="600"/>
    </row>
    <row r="3410" spans="1:8">
      <c r="A3410" s="600"/>
      <c r="B3410" s="600"/>
      <c r="C3410" s="600"/>
      <c r="D3410" s="600"/>
      <c r="E3410" s="600"/>
      <c r="F3410" s="600"/>
      <c r="G3410" s="600"/>
      <c r="H3410" s="600"/>
    </row>
    <row r="3411" spans="1:8">
      <c r="A3411" s="600"/>
      <c r="B3411" s="600"/>
      <c r="C3411" s="600"/>
      <c r="D3411" s="600"/>
      <c r="E3411" s="600"/>
      <c r="F3411" s="600"/>
      <c r="G3411" s="600"/>
      <c r="H3411" s="600"/>
    </row>
    <row r="3412" spans="1:8">
      <c r="A3412" s="600"/>
      <c r="B3412" s="600"/>
      <c r="C3412" s="600"/>
      <c r="D3412" s="600"/>
      <c r="E3412" s="600"/>
      <c r="F3412" s="600"/>
      <c r="G3412" s="600"/>
      <c r="H3412" s="600"/>
    </row>
    <row r="3413" spans="1:8">
      <c r="A3413" s="600"/>
      <c r="B3413" s="600"/>
      <c r="C3413" s="600"/>
      <c r="D3413" s="600"/>
      <c r="E3413" s="600"/>
      <c r="F3413" s="600"/>
      <c r="G3413" s="600"/>
      <c r="H3413" s="600"/>
    </row>
    <row r="3414" spans="1:8">
      <c r="A3414" s="600"/>
      <c r="B3414" s="600"/>
      <c r="C3414" s="600"/>
      <c r="D3414" s="600"/>
      <c r="E3414" s="600"/>
      <c r="F3414" s="600"/>
      <c r="G3414" s="600"/>
      <c r="H3414" s="600"/>
    </row>
    <row r="3415" spans="1:8">
      <c r="A3415" s="600"/>
      <c r="B3415" s="600"/>
      <c r="C3415" s="600"/>
      <c r="D3415" s="600"/>
      <c r="E3415" s="600"/>
      <c r="F3415" s="600"/>
      <c r="G3415" s="600"/>
      <c r="H3415" s="600"/>
    </row>
    <row r="3416" spans="1:8">
      <c r="A3416" s="600"/>
      <c r="B3416" s="600"/>
      <c r="C3416" s="600"/>
      <c r="D3416" s="600"/>
      <c r="E3416" s="600"/>
      <c r="F3416" s="600"/>
      <c r="G3416" s="600"/>
      <c r="H3416" s="600"/>
    </row>
    <row r="3417" spans="1:8">
      <c r="A3417" s="600"/>
      <c r="B3417" s="600"/>
      <c r="C3417" s="600"/>
      <c r="D3417" s="600"/>
      <c r="E3417" s="600"/>
      <c r="F3417" s="600"/>
      <c r="G3417" s="600"/>
      <c r="H3417" s="600"/>
    </row>
    <row r="3418" spans="1:8">
      <c r="A3418" s="600"/>
      <c r="B3418" s="600"/>
      <c r="C3418" s="600"/>
      <c r="D3418" s="600"/>
      <c r="E3418" s="600"/>
      <c r="F3418" s="600"/>
      <c r="G3418" s="600"/>
      <c r="H3418" s="600"/>
    </row>
    <row r="3419" spans="1:8">
      <c r="A3419" s="600"/>
      <c r="B3419" s="600"/>
      <c r="C3419" s="600"/>
      <c r="D3419" s="600"/>
      <c r="E3419" s="600"/>
      <c r="F3419" s="600"/>
      <c r="G3419" s="600"/>
      <c r="H3419" s="600"/>
    </row>
    <row r="3420" spans="1:8">
      <c r="A3420" s="600"/>
      <c r="B3420" s="600"/>
      <c r="C3420" s="600"/>
      <c r="D3420" s="600"/>
      <c r="E3420" s="600"/>
      <c r="F3420" s="600"/>
      <c r="G3420" s="600"/>
      <c r="H3420" s="600"/>
    </row>
    <row r="3421" spans="1:8">
      <c r="A3421" s="600"/>
      <c r="B3421" s="600"/>
      <c r="C3421" s="600"/>
      <c r="D3421" s="600"/>
      <c r="E3421" s="600"/>
      <c r="F3421" s="600"/>
      <c r="G3421" s="600"/>
      <c r="H3421" s="600"/>
    </row>
    <row r="3422" spans="1:8">
      <c r="A3422" s="600"/>
      <c r="B3422" s="600"/>
      <c r="C3422" s="600"/>
      <c r="D3422" s="600"/>
      <c r="E3422" s="600"/>
      <c r="F3422" s="600"/>
      <c r="G3422" s="600"/>
      <c r="H3422" s="600"/>
    </row>
    <row r="3423" spans="1:8">
      <c r="A3423" s="600"/>
      <c r="B3423" s="600"/>
      <c r="C3423" s="600"/>
      <c r="D3423" s="600"/>
      <c r="E3423" s="600"/>
      <c r="F3423" s="600"/>
      <c r="G3423" s="600"/>
      <c r="H3423" s="600"/>
    </row>
    <row r="3424" spans="1:8">
      <c r="A3424" s="600"/>
      <c r="B3424" s="600"/>
      <c r="C3424" s="600"/>
      <c r="D3424" s="600"/>
      <c r="E3424" s="600"/>
      <c r="F3424" s="600"/>
      <c r="G3424" s="600"/>
      <c r="H3424" s="600"/>
    </row>
    <row r="3425" spans="1:8">
      <c r="A3425" s="600"/>
      <c r="B3425" s="600"/>
      <c r="C3425" s="600"/>
      <c r="D3425" s="600"/>
      <c r="E3425" s="600"/>
      <c r="F3425" s="600"/>
      <c r="G3425" s="600"/>
      <c r="H3425" s="600"/>
    </row>
    <row r="3426" spans="1:8">
      <c r="A3426" s="600"/>
      <c r="B3426" s="600"/>
      <c r="C3426" s="600"/>
      <c r="D3426" s="600"/>
      <c r="E3426" s="600"/>
      <c r="F3426" s="600"/>
      <c r="G3426" s="600"/>
      <c r="H3426" s="600"/>
    </row>
    <row r="3427" spans="1:8">
      <c r="A3427" s="600"/>
      <c r="B3427" s="600"/>
      <c r="C3427" s="600"/>
      <c r="D3427" s="600"/>
      <c r="E3427" s="600"/>
      <c r="F3427" s="600"/>
      <c r="G3427" s="600"/>
      <c r="H3427" s="600"/>
    </row>
    <row r="3428" spans="1:8">
      <c r="A3428" s="600"/>
      <c r="B3428" s="600"/>
      <c r="C3428" s="600"/>
      <c r="D3428" s="600"/>
      <c r="E3428" s="600"/>
      <c r="F3428" s="600"/>
      <c r="G3428" s="600"/>
      <c r="H3428" s="600"/>
    </row>
    <row r="3429" spans="1:8">
      <c r="A3429" s="600"/>
      <c r="B3429" s="600"/>
      <c r="C3429" s="600"/>
      <c r="D3429" s="600"/>
      <c r="E3429" s="600"/>
      <c r="F3429" s="600"/>
      <c r="G3429" s="600"/>
      <c r="H3429" s="600"/>
    </row>
    <row r="3430" spans="1:8">
      <c r="A3430" s="600"/>
      <c r="B3430" s="600"/>
      <c r="C3430" s="600"/>
      <c r="D3430" s="600"/>
      <c r="E3430" s="600"/>
      <c r="F3430" s="600"/>
      <c r="G3430" s="600"/>
      <c r="H3430" s="600"/>
    </row>
    <row r="3431" spans="1:8">
      <c r="A3431" s="600"/>
      <c r="B3431" s="600"/>
      <c r="C3431" s="600"/>
      <c r="D3431" s="600"/>
      <c r="E3431" s="600"/>
      <c r="F3431" s="600"/>
      <c r="G3431" s="600"/>
      <c r="H3431" s="600"/>
    </row>
    <row r="3432" spans="1:8">
      <c r="A3432" s="600"/>
      <c r="B3432" s="600"/>
      <c r="C3432" s="600"/>
      <c r="D3432" s="600"/>
      <c r="E3432" s="600"/>
      <c r="F3432" s="600"/>
      <c r="G3432" s="600"/>
      <c r="H3432" s="600"/>
    </row>
    <row r="3433" spans="1:8">
      <c r="A3433" s="600"/>
      <c r="B3433" s="600"/>
      <c r="C3433" s="600"/>
      <c r="D3433" s="600"/>
      <c r="E3433" s="600"/>
      <c r="F3433" s="600"/>
      <c r="G3433" s="600"/>
      <c r="H3433" s="600"/>
    </row>
    <row r="3434" spans="1:8">
      <c r="A3434" s="600"/>
      <c r="B3434" s="600"/>
      <c r="C3434" s="600"/>
      <c r="D3434" s="600"/>
      <c r="E3434" s="600"/>
      <c r="F3434" s="600"/>
      <c r="G3434" s="600"/>
      <c r="H3434" s="600"/>
    </row>
    <row r="3435" spans="1:8">
      <c r="A3435" s="600"/>
      <c r="B3435" s="600"/>
      <c r="C3435" s="600"/>
      <c r="D3435" s="600"/>
      <c r="E3435" s="600"/>
      <c r="F3435" s="600"/>
      <c r="G3435" s="600"/>
      <c r="H3435" s="600"/>
    </row>
    <row r="3436" spans="1:8">
      <c r="A3436" s="600"/>
      <c r="B3436" s="600"/>
      <c r="C3436" s="600"/>
      <c r="D3436" s="600"/>
      <c r="E3436" s="600"/>
      <c r="F3436" s="600"/>
      <c r="G3436" s="600"/>
      <c r="H3436" s="600"/>
    </row>
    <row r="3437" spans="1:8">
      <c r="A3437" s="600"/>
      <c r="B3437" s="600"/>
      <c r="C3437" s="600"/>
      <c r="D3437" s="600"/>
      <c r="E3437" s="600"/>
      <c r="F3437" s="600"/>
      <c r="G3437" s="600"/>
      <c r="H3437" s="600"/>
    </row>
    <row r="3438" spans="1:8">
      <c r="A3438" s="600"/>
      <c r="B3438" s="600"/>
      <c r="C3438" s="600"/>
      <c r="D3438" s="600"/>
      <c r="E3438" s="600"/>
      <c r="F3438" s="600"/>
      <c r="G3438" s="600"/>
      <c r="H3438" s="600"/>
    </row>
    <row r="3439" spans="1:8">
      <c r="A3439" s="600"/>
      <c r="B3439" s="600"/>
      <c r="C3439" s="600"/>
      <c r="D3439" s="600"/>
      <c r="E3439" s="600"/>
      <c r="F3439" s="600"/>
      <c r="G3439" s="600"/>
      <c r="H3439" s="600"/>
    </row>
    <row r="3440" spans="1:8">
      <c r="A3440" s="600"/>
      <c r="B3440" s="600"/>
      <c r="C3440" s="600"/>
      <c r="D3440" s="600"/>
      <c r="E3440" s="600"/>
      <c r="F3440" s="600"/>
      <c r="G3440" s="600"/>
      <c r="H3440" s="600"/>
    </row>
    <row r="3441" spans="1:8">
      <c r="A3441" s="600"/>
      <c r="B3441" s="600"/>
      <c r="C3441" s="600"/>
      <c r="D3441" s="600"/>
      <c r="E3441" s="600"/>
      <c r="F3441" s="600"/>
      <c r="G3441" s="600"/>
      <c r="H3441" s="600"/>
    </row>
    <row r="3442" spans="1:8">
      <c r="A3442" s="600"/>
      <c r="B3442" s="600"/>
      <c r="C3442" s="600"/>
      <c r="D3442" s="600"/>
      <c r="E3442" s="600"/>
      <c r="F3442" s="600"/>
      <c r="G3442" s="600"/>
      <c r="H3442" s="600"/>
    </row>
    <row r="3443" spans="1:8">
      <c r="A3443" s="600"/>
      <c r="B3443" s="600"/>
      <c r="C3443" s="600"/>
      <c r="D3443" s="600"/>
      <c r="E3443" s="600"/>
      <c r="F3443" s="600"/>
      <c r="G3443" s="600"/>
      <c r="H3443" s="600"/>
    </row>
    <row r="3444" spans="1:8">
      <c r="A3444" s="600"/>
      <c r="B3444" s="600"/>
      <c r="C3444" s="600"/>
      <c r="D3444" s="600"/>
      <c r="E3444" s="600"/>
      <c r="F3444" s="600"/>
      <c r="G3444" s="600"/>
      <c r="H3444" s="600"/>
    </row>
    <row r="3445" spans="1:8">
      <c r="A3445" s="600"/>
      <c r="B3445" s="600"/>
      <c r="C3445" s="600"/>
      <c r="D3445" s="600"/>
      <c r="E3445" s="600"/>
      <c r="F3445" s="600"/>
      <c r="G3445" s="600"/>
      <c r="H3445" s="600"/>
    </row>
    <row r="3446" spans="1:8">
      <c r="A3446" s="600"/>
      <c r="B3446" s="600"/>
      <c r="C3446" s="600"/>
      <c r="D3446" s="600"/>
      <c r="E3446" s="600"/>
      <c r="F3446" s="600"/>
      <c r="G3446" s="600"/>
      <c r="H3446" s="600"/>
    </row>
    <row r="3447" spans="1:8">
      <c r="A3447" s="600"/>
      <c r="B3447" s="600"/>
      <c r="C3447" s="600"/>
      <c r="D3447" s="600"/>
      <c r="E3447" s="600"/>
      <c r="F3447" s="600"/>
      <c r="G3447" s="600"/>
      <c r="H3447" s="600"/>
    </row>
    <row r="3448" spans="1:8">
      <c r="A3448" s="600"/>
      <c r="B3448" s="600"/>
      <c r="C3448" s="600"/>
      <c r="D3448" s="600"/>
      <c r="E3448" s="600"/>
      <c r="F3448" s="600"/>
      <c r="G3448" s="600"/>
      <c r="H3448" s="600"/>
    </row>
    <row r="3449" spans="1:8">
      <c r="A3449" s="600"/>
      <c r="B3449" s="600"/>
      <c r="C3449" s="600"/>
      <c r="D3449" s="600"/>
      <c r="E3449" s="600"/>
      <c r="F3449" s="600"/>
      <c r="G3449" s="600"/>
      <c r="H3449" s="600"/>
    </row>
    <row r="3450" spans="1:8">
      <c r="A3450" s="600"/>
      <c r="B3450" s="600"/>
      <c r="C3450" s="600"/>
      <c r="D3450" s="600"/>
      <c r="E3450" s="600"/>
      <c r="F3450" s="600"/>
      <c r="G3450" s="600"/>
      <c r="H3450" s="600"/>
    </row>
    <row r="3451" spans="1:8">
      <c r="A3451" s="600"/>
      <c r="B3451" s="600"/>
      <c r="C3451" s="600"/>
      <c r="D3451" s="600"/>
      <c r="E3451" s="600"/>
      <c r="F3451" s="600"/>
      <c r="G3451" s="600"/>
      <c r="H3451" s="600"/>
    </row>
    <row r="3452" spans="1:8">
      <c r="A3452" s="600"/>
      <c r="B3452" s="600"/>
      <c r="C3452" s="600"/>
      <c r="D3452" s="600"/>
      <c r="E3452" s="600"/>
      <c r="F3452" s="600"/>
      <c r="G3452" s="600"/>
      <c r="H3452" s="600"/>
    </row>
    <row r="3453" spans="1:8">
      <c r="A3453" s="600"/>
      <c r="B3453" s="600"/>
      <c r="C3453" s="600"/>
      <c r="D3453" s="600"/>
      <c r="E3453" s="600"/>
      <c r="F3453" s="600"/>
      <c r="G3453" s="600"/>
      <c r="H3453" s="600"/>
    </row>
    <row r="3454" spans="1:8">
      <c r="A3454" s="600"/>
      <c r="B3454" s="600"/>
      <c r="C3454" s="600"/>
      <c r="D3454" s="600"/>
      <c r="E3454" s="600"/>
      <c r="F3454" s="600"/>
      <c r="G3454" s="600"/>
      <c r="H3454" s="600"/>
    </row>
    <row r="3455" spans="1:8">
      <c r="A3455" s="600"/>
      <c r="B3455" s="600"/>
      <c r="C3455" s="600"/>
      <c r="D3455" s="600"/>
      <c r="E3455" s="600"/>
      <c r="F3455" s="600"/>
      <c r="G3455" s="600"/>
      <c r="H3455" s="600"/>
    </row>
    <row r="3456" spans="1:8">
      <c r="A3456" s="600"/>
      <c r="B3456" s="600"/>
      <c r="C3456" s="600"/>
      <c r="D3456" s="600"/>
      <c r="E3456" s="600"/>
      <c r="F3456" s="600"/>
      <c r="G3456" s="600"/>
      <c r="H3456" s="600"/>
    </row>
    <row r="3457" spans="1:8">
      <c r="A3457" s="600"/>
      <c r="B3457" s="600"/>
      <c r="C3457" s="600"/>
      <c r="D3457" s="600"/>
      <c r="E3457" s="600"/>
      <c r="F3457" s="600"/>
      <c r="G3457" s="600"/>
      <c r="H3457" s="600"/>
    </row>
    <row r="3458" spans="1:8">
      <c r="A3458" s="600"/>
      <c r="B3458" s="600"/>
      <c r="C3458" s="600"/>
      <c r="D3458" s="600"/>
      <c r="E3458" s="600"/>
      <c r="F3458" s="600"/>
      <c r="G3458" s="600"/>
      <c r="H3458" s="600"/>
    </row>
    <row r="3459" spans="1:8">
      <c r="A3459" s="600"/>
      <c r="B3459" s="600"/>
      <c r="C3459" s="600"/>
      <c r="D3459" s="600"/>
      <c r="E3459" s="600"/>
      <c r="F3459" s="600"/>
      <c r="G3459" s="600"/>
      <c r="H3459" s="600"/>
    </row>
    <row r="3460" spans="1:8">
      <c r="A3460" s="600"/>
      <c r="B3460" s="600"/>
      <c r="C3460" s="600"/>
      <c r="D3460" s="600"/>
      <c r="E3460" s="600"/>
      <c r="F3460" s="600"/>
      <c r="G3460" s="600"/>
      <c r="H3460" s="600"/>
    </row>
    <row r="3461" spans="1:8">
      <c r="A3461" s="600"/>
      <c r="B3461" s="600"/>
      <c r="C3461" s="600"/>
      <c r="D3461" s="600"/>
      <c r="E3461" s="600"/>
      <c r="F3461" s="600"/>
      <c r="G3461" s="600"/>
      <c r="H3461" s="600"/>
    </row>
    <row r="3462" spans="1:8">
      <c r="A3462" s="600"/>
      <c r="B3462" s="600"/>
      <c r="C3462" s="600"/>
      <c r="D3462" s="600"/>
      <c r="E3462" s="600"/>
      <c r="F3462" s="600"/>
      <c r="G3462" s="600"/>
      <c r="H3462" s="600"/>
    </row>
    <row r="3463" spans="1:8">
      <c r="A3463" s="600"/>
      <c r="B3463" s="600"/>
      <c r="C3463" s="600"/>
      <c r="D3463" s="600"/>
      <c r="E3463" s="600"/>
      <c r="F3463" s="600"/>
      <c r="G3463" s="600"/>
      <c r="H3463" s="600"/>
    </row>
    <row r="3464" spans="1:8">
      <c r="A3464" s="600"/>
      <c r="B3464" s="600"/>
      <c r="C3464" s="600"/>
      <c r="D3464" s="600"/>
      <c r="E3464" s="600"/>
      <c r="F3464" s="600"/>
      <c r="G3464" s="600"/>
      <c r="H3464" s="600"/>
    </row>
    <row r="3465" spans="1:8">
      <c r="A3465" s="600"/>
      <c r="B3465" s="600"/>
      <c r="C3465" s="600"/>
      <c r="D3465" s="600"/>
      <c r="E3465" s="600"/>
      <c r="F3465" s="600"/>
      <c r="G3465" s="600"/>
      <c r="H3465" s="600"/>
    </row>
    <row r="3466" spans="1:8">
      <c r="A3466" s="600"/>
      <c r="B3466" s="600"/>
      <c r="C3466" s="600"/>
      <c r="D3466" s="600"/>
      <c r="E3466" s="600"/>
      <c r="F3466" s="600"/>
      <c r="G3466" s="600"/>
      <c r="H3466" s="600"/>
    </row>
    <row r="3467" spans="1:8">
      <c r="A3467" s="600"/>
      <c r="B3467" s="600"/>
      <c r="C3467" s="600"/>
      <c r="D3467" s="600"/>
      <c r="E3467" s="600"/>
      <c r="F3467" s="600"/>
      <c r="G3467" s="600"/>
      <c r="H3467" s="600"/>
    </row>
    <row r="3468" spans="1:8">
      <c r="A3468" s="600"/>
      <c r="B3468" s="600"/>
      <c r="C3468" s="600"/>
      <c r="D3468" s="600"/>
      <c r="E3468" s="600"/>
      <c r="F3468" s="600"/>
      <c r="G3468" s="600"/>
      <c r="H3468" s="600"/>
    </row>
    <row r="3469" spans="1:8">
      <c r="A3469" s="600"/>
      <c r="B3469" s="600"/>
      <c r="C3469" s="600"/>
      <c r="D3469" s="600"/>
      <c r="E3469" s="600"/>
      <c r="F3469" s="600"/>
      <c r="G3469" s="600"/>
      <c r="H3469" s="600"/>
    </row>
    <row r="3470" spans="1:8">
      <c r="A3470" s="600"/>
      <c r="B3470" s="600"/>
      <c r="C3470" s="600"/>
      <c r="D3470" s="600"/>
      <c r="E3470" s="600"/>
      <c r="F3470" s="600"/>
      <c r="G3470" s="600"/>
      <c r="H3470" s="600"/>
    </row>
    <row r="3471" spans="1:8">
      <c r="A3471" s="600"/>
      <c r="B3471" s="600"/>
      <c r="C3471" s="600"/>
      <c r="D3471" s="600"/>
      <c r="E3471" s="600"/>
      <c r="F3471" s="600"/>
      <c r="G3471" s="600"/>
      <c r="H3471" s="600"/>
    </row>
    <row r="3472" spans="1:8">
      <c r="A3472" s="600"/>
      <c r="B3472" s="600"/>
      <c r="C3472" s="600"/>
      <c r="D3472" s="600"/>
      <c r="E3472" s="600"/>
      <c r="F3472" s="600"/>
      <c r="G3472" s="600"/>
      <c r="H3472" s="600"/>
    </row>
    <row r="3473" spans="1:8">
      <c r="A3473" s="600"/>
      <c r="B3473" s="600"/>
      <c r="C3473" s="600"/>
      <c r="D3473" s="600"/>
      <c r="E3473" s="600"/>
      <c r="F3473" s="600"/>
      <c r="G3473" s="600"/>
      <c r="H3473" s="600"/>
    </row>
    <row r="3474" spans="1:8">
      <c r="A3474" s="600"/>
      <c r="B3474" s="600"/>
      <c r="C3474" s="600"/>
      <c r="D3474" s="600"/>
      <c r="E3474" s="600"/>
      <c r="F3474" s="600"/>
      <c r="G3474" s="600"/>
      <c r="H3474" s="600"/>
    </row>
    <row r="3475" spans="1:8">
      <c r="A3475" s="600"/>
      <c r="B3475" s="600"/>
      <c r="C3475" s="600"/>
      <c r="D3475" s="600"/>
      <c r="E3475" s="600"/>
      <c r="F3475" s="600"/>
      <c r="G3475" s="600"/>
      <c r="H3475" s="600"/>
    </row>
    <row r="3476" spans="1:8">
      <c r="A3476" s="600"/>
      <c r="B3476" s="600"/>
      <c r="C3476" s="600"/>
      <c r="D3476" s="600"/>
      <c r="E3476" s="600"/>
      <c r="F3476" s="600"/>
      <c r="G3476" s="600"/>
      <c r="H3476" s="600"/>
    </row>
    <row r="3477" spans="1:8">
      <c r="A3477" s="600"/>
      <c r="B3477" s="600"/>
      <c r="C3477" s="600"/>
      <c r="D3477" s="600"/>
      <c r="E3477" s="600"/>
      <c r="F3477" s="600"/>
      <c r="G3477" s="600"/>
      <c r="H3477" s="600"/>
    </row>
    <row r="3478" spans="1:8">
      <c r="A3478" s="600"/>
      <c r="B3478" s="600"/>
      <c r="C3478" s="600"/>
      <c r="D3478" s="600"/>
      <c r="E3478" s="600"/>
      <c r="F3478" s="600"/>
      <c r="G3478" s="600"/>
      <c r="H3478" s="600"/>
    </row>
    <row r="3479" spans="1:8">
      <c r="A3479" s="600"/>
      <c r="B3479" s="600"/>
      <c r="C3479" s="600"/>
      <c r="D3479" s="600"/>
      <c r="E3479" s="600"/>
      <c r="F3479" s="600"/>
      <c r="G3479" s="600"/>
      <c r="H3479" s="600"/>
    </row>
    <row r="3480" spans="1:8">
      <c r="A3480" s="600"/>
      <c r="B3480" s="600"/>
      <c r="C3480" s="600"/>
      <c r="D3480" s="600"/>
      <c r="E3480" s="600"/>
      <c r="F3480" s="600"/>
      <c r="G3480" s="600"/>
      <c r="H3480" s="600"/>
    </row>
    <row r="3481" spans="1:8">
      <c r="A3481" s="600"/>
      <c r="B3481" s="600"/>
      <c r="C3481" s="600"/>
      <c r="D3481" s="600"/>
      <c r="E3481" s="600"/>
      <c r="F3481" s="600"/>
      <c r="G3481" s="600"/>
      <c r="H3481" s="600"/>
    </row>
    <row r="3482" spans="1:8">
      <c r="A3482" s="600"/>
      <c r="B3482" s="600"/>
      <c r="C3482" s="600"/>
      <c r="D3482" s="600"/>
      <c r="E3482" s="600"/>
      <c r="F3482" s="600"/>
      <c r="G3482" s="600"/>
      <c r="H3482" s="600"/>
    </row>
    <row r="3483" spans="1:8">
      <c r="A3483" s="600"/>
      <c r="B3483" s="600"/>
      <c r="C3483" s="600"/>
      <c r="D3483" s="600"/>
      <c r="E3483" s="600"/>
      <c r="F3483" s="600"/>
      <c r="G3483" s="600"/>
      <c r="H3483" s="600"/>
    </row>
    <row r="3484" spans="1:8">
      <c r="A3484" s="600"/>
      <c r="B3484" s="600"/>
      <c r="C3484" s="600"/>
      <c r="D3484" s="600"/>
      <c r="E3484" s="600"/>
      <c r="F3484" s="600"/>
      <c r="G3484" s="600"/>
      <c r="H3484" s="600"/>
    </row>
    <row r="3485" spans="1:8">
      <c r="A3485" s="600"/>
      <c r="B3485" s="600"/>
      <c r="C3485" s="600"/>
      <c r="D3485" s="600"/>
      <c r="E3485" s="600"/>
      <c r="F3485" s="600"/>
      <c r="G3485" s="600"/>
      <c r="H3485" s="600"/>
    </row>
    <row r="3486" spans="1:8">
      <c r="A3486" s="600"/>
      <c r="B3486" s="600"/>
      <c r="C3486" s="600"/>
      <c r="D3486" s="600"/>
      <c r="E3486" s="600"/>
      <c r="F3486" s="600"/>
      <c r="G3486" s="600"/>
      <c r="H3486" s="600"/>
    </row>
    <row r="3487" spans="1:8">
      <c r="A3487" s="600"/>
      <c r="B3487" s="600"/>
      <c r="C3487" s="600"/>
      <c r="D3487" s="600"/>
      <c r="E3487" s="600"/>
      <c r="F3487" s="600"/>
      <c r="G3487" s="600"/>
      <c r="H3487" s="600"/>
    </row>
    <row r="3488" spans="1:8">
      <c r="A3488" s="600"/>
      <c r="B3488" s="600"/>
      <c r="C3488" s="600"/>
      <c r="D3488" s="600"/>
      <c r="E3488" s="600"/>
      <c r="F3488" s="600"/>
      <c r="G3488" s="600"/>
      <c r="H3488" s="600"/>
    </row>
    <row r="3489" spans="1:8">
      <c r="A3489" s="600"/>
      <c r="B3489" s="600"/>
      <c r="C3489" s="600"/>
      <c r="D3489" s="600"/>
      <c r="E3489" s="600"/>
      <c r="F3489" s="600"/>
      <c r="G3489" s="600"/>
      <c r="H3489" s="600"/>
    </row>
    <row r="3490" spans="1:8">
      <c r="A3490" s="600"/>
      <c r="B3490" s="600"/>
      <c r="C3490" s="600"/>
      <c r="D3490" s="600"/>
      <c r="E3490" s="600"/>
      <c r="F3490" s="600"/>
      <c r="G3490" s="600"/>
      <c r="H3490" s="600"/>
    </row>
    <row r="3491" spans="1:8">
      <c r="A3491" s="600"/>
      <c r="B3491" s="600"/>
      <c r="C3491" s="600"/>
      <c r="D3491" s="600"/>
      <c r="E3491" s="600"/>
      <c r="F3491" s="600"/>
      <c r="G3491" s="600"/>
      <c r="H3491" s="600"/>
    </row>
    <row r="3492" spans="1:8">
      <c r="A3492" s="600"/>
      <c r="B3492" s="600"/>
      <c r="C3492" s="600"/>
      <c r="D3492" s="600"/>
      <c r="E3492" s="600"/>
      <c r="F3492" s="600"/>
      <c r="G3492" s="600"/>
      <c r="H3492" s="600"/>
    </row>
    <row r="3493" spans="1:8">
      <c r="A3493" s="600"/>
      <c r="B3493" s="600"/>
      <c r="C3493" s="600"/>
      <c r="D3493" s="600"/>
      <c r="E3493" s="600"/>
      <c r="F3493" s="600"/>
      <c r="G3493" s="600"/>
      <c r="H3493" s="600"/>
    </row>
    <row r="3494" spans="1:8">
      <c r="A3494" s="600"/>
      <c r="B3494" s="600"/>
      <c r="C3494" s="600"/>
      <c r="D3494" s="600"/>
      <c r="E3494" s="600"/>
      <c r="F3494" s="600"/>
      <c r="G3494" s="600"/>
      <c r="H3494" s="600"/>
    </row>
    <row r="3495" spans="1:8">
      <c r="A3495" s="600"/>
      <c r="B3495" s="600"/>
      <c r="C3495" s="600"/>
      <c r="D3495" s="600"/>
      <c r="E3495" s="600"/>
      <c r="F3495" s="600"/>
      <c r="G3495" s="600"/>
      <c r="H3495" s="600"/>
    </row>
    <row r="3496" spans="1:8">
      <c r="A3496" s="600"/>
      <c r="B3496" s="600"/>
      <c r="C3496" s="600"/>
      <c r="D3496" s="600"/>
      <c r="E3496" s="600"/>
      <c r="F3496" s="600"/>
      <c r="G3496" s="600"/>
      <c r="H3496" s="600"/>
    </row>
    <row r="3497" spans="1:8">
      <c r="A3497" s="600"/>
      <c r="B3497" s="600"/>
      <c r="C3497" s="600"/>
      <c r="D3497" s="600"/>
      <c r="E3497" s="600"/>
      <c r="F3497" s="600"/>
      <c r="G3497" s="600"/>
      <c r="H3497" s="600"/>
    </row>
    <row r="3498" spans="1:8">
      <c r="A3498" s="600"/>
      <c r="B3498" s="600"/>
      <c r="C3498" s="600"/>
      <c r="D3498" s="600"/>
      <c r="E3498" s="600"/>
      <c r="F3498" s="600"/>
      <c r="G3498" s="600"/>
      <c r="H3498" s="600"/>
    </row>
    <row r="3499" spans="1:8">
      <c r="A3499" s="600"/>
      <c r="B3499" s="600"/>
      <c r="C3499" s="600"/>
      <c r="D3499" s="600"/>
      <c r="E3499" s="600"/>
      <c r="F3499" s="600"/>
      <c r="G3499" s="600"/>
      <c r="H3499" s="600"/>
    </row>
    <row r="3500" spans="1:8">
      <c r="A3500" s="600"/>
      <c r="B3500" s="600"/>
      <c r="C3500" s="600"/>
      <c r="D3500" s="600"/>
      <c r="E3500" s="600"/>
      <c r="F3500" s="600"/>
      <c r="G3500" s="600"/>
      <c r="H3500" s="600"/>
    </row>
    <row r="3501" spans="1:8">
      <c r="A3501" s="600"/>
      <c r="B3501" s="600"/>
      <c r="C3501" s="600"/>
      <c r="D3501" s="600"/>
      <c r="E3501" s="600"/>
      <c r="F3501" s="600"/>
      <c r="G3501" s="600"/>
      <c r="H3501" s="600"/>
    </row>
    <row r="3502" spans="1:8">
      <c r="A3502" s="600"/>
      <c r="B3502" s="600"/>
      <c r="C3502" s="600"/>
      <c r="D3502" s="600"/>
      <c r="E3502" s="600"/>
      <c r="F3502" s="600"/>
      <c r="G3502" s="600"/>
      <c r="H3502" s="600"/>
    </row>
    <row r="3503" spans="1:8">
      <c r="A3503" s="600"/>
      <c r="B3503" s="600"/>
      <c r="C3503" s="600"/>
      <c r="D3503" s="600"/>
      <c r="E3503" s="600"/>
      <c r="F3503" s="600"/>
      <c r="G3503" s="600"/>
      <c r="H3503" s="600"/>
    </row>
    <row r="3504" spans="1:8">
      <c r="A3504" s="600"/>
      <c r="B3504" s="600"/>
      <c r="C3504" s="600"/>
      <c r="D3504" s="600"/>
      <c r="E3504" s="600"/>
      <c r="F3504" s="600"/>
      <c r="G3504" s="600"/>
      <c r="H3504" s="600"/>
    </row>
    <row r="3505" spans="1:8">
      <c r="A3505" s="600"/>
      <c r="B3505" s="600"/>
      <c r="C3505" s="600"/>
      <c r="D3505" s="600"/>
      <c r="E3505" s="600"/>
      <c r="F3505" s="600"/>
      <c r="G3505" s="600"/>
      <c r="H3505" s="600"/>
    </row>
    <row r="3506" spans="1:8">
      <c r="A3506" s="600"/>
      <c r="B3506" s="600"/>
      <c r="C3506" s="600"/>
      <c r="D3506" s="600"/>
      <c r="E3506" s="600"/>
      <c r="F3506" s="600"/>
      <c r="G3506" s="600"/>
      <c r="H3506" s="600"/>
    </row>
    <row r="3507" spans="1:8">
      <c r="A3507" s="600"/>
      <c r="B3507" s="600"/>
      <c r="C3507" s="600"/>
      <c r="D3507" s="600"/>
      <c r="E3507" s="600"/>
      <c r="F3507" s="600"/>
      <c r="G3507" s="600"/>
      <c r="H3507" s="600"/>
    </row>
    <row r="3508" spans="1:8">
      <c r="A3508" s="600"/>
      <c r="B3508" s="600"/>
      <c r="C3508" s="600"/>
      <c r="D3508" s="600"/>
      <c r="E3508" s="600"/>
      <c r="F3508" s="600"/>
      <c r="G3508" s="600"/>
      <c r="H3508" s="600"/>
    </row>
    <row r="3509" spans="1:8">
      <c r="A3509" s="600"/>
      <c r="B3509" s="600"/>
      <c r="C3509" s="600"/>
      <c r="D3509" s="600"/>
      <c r="E3509" s="600"/>
      <c r="F3509" s="600"/>
      <c r="G3509" s="600"/>
      <c r="H3509" s="600"/>
    </row>
    <row r="3510" spans="1:8">
      <c r="A3510" s="600"/>
      <c r="B3510" s="600"/>
      <c r="C3510" s="600"/>
      <c r="D3510" s="600"/>
      <c r="E3510" s="600"/>
      <c r="F3510" s="600"/>
      <c r="G3510" s="600"/>
      <c r="H3510" s="600"/>
    </row>
    <row r="3511" spans="1:8">
      <c r="A3511" s="600"/>
      <c r="B3511" s="600"/>
      <c r="C3511" s="600"/>
      <c r="D3511" s="600"/>
      <c r="E3511" s="600"/>
      <c r="F3511" s="600"/>
      <c r="G3511" s="600"/>
      <c r="H3511" s="600"/>
    </row>
    <row r="3512" spans="1:8">
      <c r="A3512" s="600"/>
      <c r="B3512" s="600"/>
      <c r="C3512" s="600"/>
      <c r="D3512" s="600"/>
      <c r="E3512" s="600"/>
      <c r="F3512" s="600"/>
      <c r="G3512" s="600"/>
      <c r="H3512" s="600"/>
    </row>
    <row r="3513" spans="1:8">
      <c r="A3513" s="600"/>
      <c r="B3513" s="600"/>
      <c r="C3513" s="600"/>
      <c r="D3513" s="600"/>
      <c r="E3513" s="600"/>
      <c r="F3513" s="600"/>
      <c r="G3513" s="600"/>
      <c r="H3513" s="600"/>
    </row>
    <row r="3514" spans="1:8">
      <c r="A3514" s="600"/>
      <c r="B3514" s="600"/>
      <c r="C3514" s="600"/>
      <c r="D3514" s="600"/>
      <c r="E3514" s="600"/>
      <c r="F3514" s="600"/>
      <c r="G3514" s="600"/>
      <c r="H3514" s="600"/>
    </row>
    <row r="3515" spans="1:8">
      <c r="A3515" s="600"/>
      <c r="B3515" s="600"/>
      <c r="C3515" s="600"/>
      <c r="D3515" s="600"/>
      <c r="E3515" s="600"/>
      <c r="F3515" s="600"/>
      <c r="G3515" s="600"/>
      <c r="H3515" s="600"/>
    </row>
    <row r="3516" spans="1:8">
      <c r="A3516" s="600"/>
      <c r="B3516" s="600"/>
      <c r="C3516" s="600"/>
      <c r="D3516" s="600"/>
      <c r="E3516" s="600"/>
      <c r="F3516" s="600"/>
      <c r="G3516" s="600"/>
      <c r="H3516" s="600"/>
    </row>
    <row r="3517" spans="1:8">
      <c r="A3517" s="600"/>
      <c r="B3517" s="600"/>
      <c r="C3517" s="600"/>
      <c r="D3517" s="600"/>
      <c r="E3517" s="600"/>
      <c r="F3517" s="600"/>
      <c r="G3517" s="600"/>
      <c r="H3517" s="600"/>
    </row>
    <row r="3518" spans="1:8">
      <c r="A3518" s="600"/>
      <c r="B3518" s="600"/>
      <c r="C3518" s="600"/>
      <c r="D3518" s="600"/>
      <c r="E3518" s="600"/>
      <c r="F3518" s="600"/>
      <c r="G3518" s="600"/>
      <c r="H3518" s="600"/>
    </row>
    <row r="3519" spans="1:8">
      <c r="A3519" s="600"/>
      <c r="B3519" s="600"/>
      <c r="C3519" s="600"/>
      <c r="D3519" s="600"/>
      <c r="E3519" s="600"/>
      <c r="F3519" s="600"/>
      <c r="G3519" s="600"/>
      <c r="H3519" s="600"/>
    </row>
    <row r="3520" spans="1:8">
      <c r="A3520" s="600"/>
      <c r="B3520" s="600"/>
      <c r="C3520" s="600"/>
      <c r="D3520" s="600"/>
      <c r="E3520" s="600"/>
      <c r="F3520" s="600"/>
      <c r="G3520" s="600"/>
      <c r="H3520" s="600"/>
    </row>
    <row r="3521" spans="1:8">
      <c r="A3521" s="600"/>
      <c r="B3521" s="600"/>
      <c r="C3521" s="600"/>
      <c r="D3521" s="600"/>
      <c r="E3521" s="600"/>
      <c r="F3521" s="600"/>
      <c r="G3521" s="600"/>
      <c r="H3521" s="600"/>
    </row>
    <row r="3522" spans="1:8">
      <c r="A3522" s="600"/>
      <c r="B3522" s="600"/>
      <c r="C3522" s="600"/>
      <c r="D3522" s="600"/>
      <c r="E3522" s="600"/>
      <c r="F3522" s="600"/>
      <c r="G3522" s="600"/>
      <c r="H3522" s="600"/>
    </row>
    <row r="3523" spans="1:8">
      <c r="A3523" s="600"/>
      <c r="B3523" s="600"/>
      <c r="C3523" s="600"/>
      <c r="D3523" s="600"/>
      <c r="E3523" s="600"/>
      <c r="F3523" s="600"/>
      <c r="G3523" s="600"/>
      <c r="H3523" s="600"/>
    </row>
    <row r="3524" spans="1:8">
      <c r="A3524" s="600"/>
      <c r="B3524" s="600"/>
      <c r="C3524" s="600"/>
      <c r="D3524" s="600"/>
      <c r="E3524" s="600"/>
      <c r="F3524" s="600"/>
      <c r="G3524" s="600"/>
      <c r="H3524" s="600"/>
    </row>
    <row r="3525" spans="1:8">
      <c r="A3525" s="600"/>
      <c r="B3525" s="600"/>
      <c r="C3525" s="600"/>
      <c r="D3525" s="600"/>
      <c r="E3525" s="600"/>
      <c r="F3525" s="600"/>
      <c r="G3525" s="600"/>
      <c r="H3525" s="600"/>
    </row>
    <row r="3526" spans="1:8">
      <c r="A3526" s="600"/>
      <c r="B3526" s="600"/>
      <c r="C3526" s="600"/>
      <c r="D3526" s="600"/>
      <c r="E3526" s="600"/>
      <c r="F3526" s="600"/>
      <c r="G3526" s="600"/>
      <c r="H3526" s="600"/>
    </row>
    <row r="3527" spans="1:8">
      <c r="A3527" s="600"/>
      <c r="B3527" s="600"/>
      <c r="C3527" s="600"/>
      <c r="D3527" s="600"/>
      <c r="E3527" s="600"/>
      <c r="F3527" s="600"/>
      <c r="G3527" s="600"/>
      <c r="H3527" s="600"/>
    </row>
    <row r="3528" spans="1:8">
      <c r="A3528" s="600"/>
      <c r="B3528" s="600"/>
      <c r="C3528" s="600"/>
      <c r="D3528" s="600"/>
      <c r="E3528" s="600"/>
      <c r="F3528" s="600"/>
      <c r="G3528" s="600"/>
      <c r="H3528" s="600"/>
    </row>
    <row r="3529" spans="1:8">
      <c r="A3529" s="600"/>
      <c r="B3529" s="600"/>
      <c r="C3529" s="600"/>
      <c r="D3529" s="600"/>
      <c r="E3529" s="600"/>
      <c r="F3529" s="600"/>
      <c r="G3529" s="600"/>
      <c r="H3529" s="600"/>
    </row>
    <row r="3530" spans="1:8">
      <c r="A3530" s="600"/>
      <c r="B3530" s="600"/>
      <c r="C3530" s="600"/>
      <c r="D3530" s="600"/>
      <c r="E3530" s="600"/>
      <c r="F3530" s="600"/>
      <c r="G3530" s="600"/>
      <c r="H3530" s="600"/>
    </row>
    <row r="3531" spans="1:8">
      <c r="A3531" s="600"/>
      <c r="B3531" s="600"/>
      <c r="C3531" s="600"/>
      <c r="D3531" s="600"/>
      <c r="E3531" s="600"/>
      <c r="F3531" s="600"/>
      <c r="G3531" s="600"/>
      <c r="H3531" s="600"/>
    </row>
    <row r="3532" spans="1:8">
      <c r="A3532" s="600"/>
      <c r="B3532" s="600"/>
      <c r="C3532" s="600"/>
      <c r="D3532" s="600"/>
      <c r="E3532" s="600"/>
      <c r="F3532" s="600"/>
      <c r="G3532" s="600"/>
      <c r="H3532" s="600"/>
    </row>
    <row r="3533" spans="1:8">
      <c r="A3533" s="600"/>
      <c r="B3533" s="600"/>
      <c r="C3533" s="600"/>
      <c r="D3533" s="600"/>
      <c r="E3533" s="600"/>
      <c r="F3533" s="600"/>
      <c r="G3533" s="600"/>
      <c r="H3533" s="600"/>
    </row>
    <row r="3534" spans="1:8">
      <c r="A3534" s="600"/>
      <c r="B3534" s="600"/>
      <c r="C3534" s="600"/>
      <c r="D3534" s="600"/>
      <c r="E3534" s="600"/>
      <c r="F3534" s="600"/>
      <c r="G3534" s="600"/>
      <c r="H3534" s="600"/>
    </row>
    <row r="3535" spans="1:8">
      <c r="A3535" s="600"/>
      <c r="B3535" s="600"/>
      <c r="C3535" s="600"/>
      <c r="D3535" s="600"/>
      <c r="E3535" s="600"/>
      <c r="F3535" s="600"/>
      <c r="G3535" s="600"/>
      <c r="H3535" s="600"/>
    </row>
    <row r="3536" spans="1:8">
      <c r="A3536" s="600"/>
      <c r="B3536" s="600"/>
      <c r="C3536" s="600"/>
      <c r="D3536" s="600"/>
      <c r="E3536" s="600"/>
      <c r="F3536" s="600"/>
      <c r="G3536" s="600"/>
      <c r="H3536" s="600"/>
    </row>
    <row r="3537" spans="1:8">
      <c r="A3537" s="600"/>
      <c r="B3537" s="600"/>
      <c r="C3537" s="600"/>
      <c r="D3537" s="600"/>
      <c r="E3537" s="600"/>
      <c r="F3537" s="600"/>
      <c r="G3537" s="600"/>
      <c r="H3537" s="600"/>
    </row>
    <row r="3538" spans="1:8">
      <c r="A3538" s="600"/>
      <c r="B3538" s="600"/>
      <c r="C3538" s="600"/>
      <c r="D3538" s="600"/>
      <c r="E3538" s="600"/>
      <c r="F3538" s="600"/>
      <c r="G3538" s="600"/>
      <c r="H3538" s="600"/>
    </row>
    <row r="3539" spans="1:8">
      <c r="A3539" s="600"/>
      <c r="B3539" s="600"/>
      <c r="C3539" s="600"/>
      <c r="D3539" s="600"/>
      <c r="E3539" s="600"/>
      <c r="F3539" s="600"/>
      <c r="G3539" s="600"/>
      <c r="H3539" s="600"/>
    </row>
    <row r="3540" spans="1:8">
      <c r="A3540" s="600"/>
      <c r="B3540" s="600"/>
      <c r="C3540" s="600"/>
      <c r="D3540" s="600"/>
      <c r="E3540" s="600"/>
      <c r="F3540" s="600"/>
      <c r="G3540" s="600"/>
      <c r="H3540" s="600"/>
    </row>
    <row r="3541" spans="1:8">
      <c r="A3541" s="600"/>
      <c r="B3541" s="600"/>
      <c r="C3541" s="600"/>
      <c r="D3541" s="600"/>
      <c r="E3541" s="600"/>
      <c r="F3541" s="600"/>
      <c r="G3541" s="600"/>
      <c r="H3541" s="600"/>
    </row>
    <row r="3542" spans="1:8">
      <c r="A3542" s="600"/>
      <c r="B3542" s="600"/>
      <c r="C3542" s="600"/>
      <c r="D3542" s="600"/>
      <c r="E3542" s="600"/>
      <c r="F3542" s="600"/>
      <c r="G3542" s="600"/>
      <c r="H3542" s="600"/>
    </row>
    <row r="3543" spans="1:8">
      <c r="A3543" s="600"/>
      <c r="B3543" s="600"/>
      <c r="C3543" s="600"/>
      <c r="D3543" s="600"/>
      <c r="E3543" s="600"/>
      <c r="F3543" s="600"/>
      <c r="G3543" s="600"/>
      <c r="H3543" s="600"/>
    </row>
    <row r="3544" spans="1:8">
      <c r="A3544" s="600"/>
      <c r="B3544" s="600"/>
      <c r="C3544" s="600"/>
      <c r="D3544" s="600"/>
      <c r="E3544" s="600"/>
      <c r="F3544" s="600"/>
      <c r="G3544" s="600"/>
      <c r="H3544" s="600"/>
    </row>
    <row r="3545" spans="1:8">
      <c r="A3545" s="600"/>
      <c r="B3545" s="600"/>
      <c r="C3545" s="600"/>
      <c r="D3545" s="600"/>
      <c r="E3545" s="600"/>
      <c r="F3545" s="600"/>
      <c r="G3545" s="600"/>
      <c r="H3545" s="600"/>
    </row>
    <row r="3546" spans="1:8">
      <c r="A3546" s="600"/>
      <c r="B3546" s="600"/>
      <c r="C3546" s="600"/>
      <c r="D3546" s="600"/>
      <c r="E3546" s="600"/>
      <c r="F3546" s="600"/>
      <c r="G3546" s="600"/>
      <c r="H3546" s="600"/>
    </row>
    <row r="3547" spans="1:8">
      <c r="A3547" s="600"/>
      <c r="B3547" s="600"/>
      <c r="C3547" s="600"/>
      <c r="D3547" s="600"/>
      <c r="E3547" s="600"/>
      <c r="F3547" s="600"/>
      <c r="G3547" s="600"/>
      <c r="H3547" s="600"/>
    </row>
    <row r="3548" spans="1:8">
      <c r="A3548" s="600"/>
      <c r="B3548" s="600"/>
      <c r="C3548" s="600"/>
      <c r="D3548" s="600"/>
      <c r="E3548" s="600"/>
      <c r="F3548" s="600"/>
      <c r="G3548" s="600"/>
      <c r="H3548" s="600"/>
    </row>
    <row r="3549" spans="1:8">
      <c r="A3549" s="600"/>
      <c r="B3549" s="600"/>
      <c r="C3549" s="600"/>
      <c r="D3549" s="600"/>
      <c r="E3549" s="600"/>
      <c r="F3549" s="600"/>
      <c r="G3549" s="600"/>
      <c r="H3549" s="600"/>
    </row>
    <row r="3550" spans="1:8">
      <c r="A3550" s="600"/>
      <c r="B3550" s="600"/>
      <c r="C3550" s="600"/>
      <c r="D3550" s="600"/>
      <c r="E3550" s="600"/>
      <c r="F3550" s="600"/>
      <c r="G3550" s="600"/>
      <c r="H3550" s="600"/>
    </row>
    <row r="3551" spans="1:8">
      <c r="A3551" s="600"/>
      <c r="B3551" s="600"/>
      <c r="C3551" s="600"/>
      <c r="D3551" s="600"/>
      <c r="E3551" s="600"/>
      <c r="F3551" s="600"/>
      <c r="G3551" s="600"/>
      <c r="H3551" s="600"/>
    </row>
    <row r="3552" spans="1:8">
      <c r="A3552" s="600"/>
      <c r="B3552" s="600"/>
      <c r="C3552" s="600"/>
      <c r="D3552" s="600"/>
      <c r="E3552" s="600"/>
      <c r="F3552" s="600"/>
      <c r="G3552" s="600"/>
      <c r="H3552" s="600"/>
    </row>
    <row r="3553" spans="1:8">
      <c r="A3553" s="600"/>
      <c r="B3553" s="600"/>
      <c r="C3553" s="600"/>
      <c r="D3553" s="600"/>
      <c r="E3553" s="600"/>
      <c r="F3553" s="600"/>
      <c r="G3553" s="600"/>
      <c r="H3553" s="600"/>
    </row>
    <row r="3554" spans="1:8">
      <c r="A3554" s="600"/>
      <c r="B3554" s="600"/>
      <c r="C3554" s="600"/>
      <c r="D3554" s="600"/>
      <c r="E3554" s="600"/>
      <c r="F3554" s="600"/>
      <c r="G3554" s="600"/>
      <c r="H3554" s="600"/>
    </row>
    <row r="3555" spans="1:8">
      <c r="A3555" s="600"/>
      <c r="B3555" s="600"/>
      <c r="C3555" s="600"/>
      <c r="D3555" s="600"/>
      <c r="E3555" s="600"/>
      <c r="F3555" s="600"/>
      <c r="G3555" s="600"/>
      <c r="H3555" s="600"/>
    </row>
    <row r="3556" spans="1:8">
      <c r="A3556" s="600"/>
      <c r="B3556" s="600"/>
      <c r="C3556" s="600"/>
      <c r="D3556" s="600"/>
      <c r="E3556" s="600"/>
      <c r="F3556" s="600"/>
      <c r="G3556" s="600"/>
      <c r="H3556" s="600"/>
    </row>
    <row r="3557" spans="1:8">
      <c r="A3557" s="600"/>
      <c r="B3557" s="600"/>
      <c r="C3557" s="600"/>
      <c r="D3557" s="600"/>
      <c r="E3557" s="600"/>
      <c r="F3557" s="600"/>
      <c r="G3557" s="600"/>
      <c r="H3557" s="600"/>
    </row>
    <row r="3558" spans="1:8">
      <c r="A3558" s="600"/>
      <c r="B3558" s="600"/>
      <c r="C3558" s="600"/>
      <c r="D3558" s="600"/>
      <c r="E3558" s="600"/>
      <c r="F3558" s="600"/>
      <c r="G3558" s="600"/>
      <c r="H3558" s="600"/>
    </row>
    <row r="3559" spans="1:8">
      <c r="A3559" s="600"/>
      <c r="B3559" s="600"/>
      <c r="C3559" s="600"/>
      <c r="D3559" s="600"/>
      <c r="E3559" s="600"/>
      <c r="F3559" s="600"/>
      <c r="G3559" s="600"/>
      <c r="H3559" s="600"/>
    </row>
    <row r="3560" spans="1:8">
      <c r="A3560" s="600"/>
      <c r="B3560" s="600"/>
      <c r="C3560" s="600"/>
      <c r="D3560" s="600"/>
      <c r="E3560" s="600"/>
      <c r="F3560" s="600"/>
      <c r="G3560" s="600"/>
      <c r="H3560" s="600"/>
    </row>
    <row r="3561" spans="1:8">
      <c r="A3561" s="600"/>
      <c r="B3561" s="600"/>
      <c r="C3561" s="600"/>
      <c r="D3561" s="600"/>
      <c r="E3561" s="600"/>
      <c r="F3561" s="600"/>
      <c r="G3561" s="600"/>
      <c r="H3561" s="600"/>
    </row>
    <row r="3562" spans="1:8">
      <c r="A3562" s="600"/>
      <c r="B3562" s="600"/>
      <c r="C3562" s="600"/>
      <c r="D3562" s="600"/>
      <c r="E3562" s="600"/>
      <c r="F3562" s="600"/>
      <c r="G3562" s="600"/>
      <c r="H3562" s="600"/>
    </row>
    <row r="3563" spans="1:8">
      <c r="A3563" s="600"/>
      <c r="B3563" s="600"/>
      <c r="C3563" s="600"/>
      <c r="D3563" s="600"/>
      <c r="E3563" s="600"/>
      <c r="F3563" s="600"/>
      <c r="G3563" s="600"/>
      <c r="H3563" s="600"/>
    </row>
    <row r="3564" spans="1:8">
      <c r="A3564" s="600"/>
      <c r="B3564" s="600"/>
      <c r="C3564" s="600"/>
      <c r="D3564" s="600"/>
      <c r="E3564" s="600"/>
      <c r="F3564" s="600"/>
      <c r="G3564" s="600"/>
      <c r="H3564" s="600"/>
    </row>
    <row r="3565" spans="1:8">
      <c r="A3565" s="600"/>
      <c r="B3565" s="600"/>
      <c r="C3565" s="600"/>
      <c r="D3565" s="600"/>
      <c r="E3565" s="600"/>
      <c r="F3565" s="600"/>
      <c r="G3565" s="600"/>
      <c r="H3565" s="600"/>
    </row>
    <row r="3566" spans="1:8">
      <c r="A3566" s="600"/>
      <c r="B3566" s="600"/>
      <c r="C3566" s="600"/>
      <c r="D3566" s="600"/>
      <c r="E3566" s="600"/>
      <c r="F3566" s="600"/>
      <c r="G3566" s="600"/>
      <c r="H3566" s="600"/>
    </row>
    <row r="3567" spans="1:8">
      <c r="A3567" s="600"/>
      <c r="B3567" s="600"/>
      <c r="C3567" s="600"/>
      <c r="D3567" s="600"/>
      <c r="E3567" s="600"/>
      <c r="F3567" s="600"/>
      <c r="G3567" s="600"/>
      <c r="H3567" s="600"/>
    </row>
    <row r="3568" spans="1:8">
      <c r="A3568" s="600"/>
      <c r="B3568" s="600"/>
      <c r="C3568" s="600"/>
      <c r="D3568" s="600"/>
      <c r="E3568" s="600"/>
      <c r="F3568" s="600"/>
      <c r="G3568" s="600"/>
      <c r="H3568" s="600"/>
    </row>
    <row r="3569" spans="1:8">
      <c r="A3569" s="600"/>
      <c r="B3569" s="600"/>
      <c r="C3569" s="600"/>
      <c r="D3569" s="600"/>
      <c r="E3569" s="600"/>
      <c r="F3569" s="600"/>
      <c r="G3569" s="600"/>
      <c r="H3569" s="600"/>
    </row>
    <row r="3570" spans="1:8">
      <c r="A3570" s="600"/>
      <c r="B3570" s="600"/>
      <c r="C3570" s="600"/>
      <c r="D3570" s="600"/>
      <c r="E3570" s="600"/>
      <c r="F3570" s="600"/>
      <c r="G3570" s="600"/>
      <c r="H3570" s="600"/>
    </row>
    <row r="3571" spans="1:8">
      <c r="A3571" s="600"/>
      <c r="B3571" s="600"/>
      <c r="C3571" s="600"/>
      <c r="D3571" s="600"/>
      <c r="E3571" s="600"/>
      <c r="F3571" s="600"/>
      <c r="G3571" s="600"/>
      <c r="H3571" s="600"/>
    </row>
    <row r="3572" spans="1:8">
      <c r="A3572" s="600"/>
      <c r="B3572" s="600"/>
      <c r="C3572" s="600"/>
      <c r="D3572" s="600"/>
      <c r="E3572" s="600"/>
      <c r="F3572" s="600"/>
      <c r="G3572" s="600"/>
      <c r="H3572" s="600"/>
    </row>
    <row r="3573" spans="1:8">
      <c r="A3573" s="600"/>
      <c r="B3573" s="600"/>
      <c r="C3573" s="600"/>
      <c r="D3573" s="600"/>
      <c r="E3573" s="600"/>
      <c r="F3573" s="600"/>
      <c r="G3573" s="600"/>
      <c r="H3573" s="600"/>
    </row>
    <row r="3574" spans="1:8">
      <c r="A3574" s="600"/>
      <c r="B3574" s="600"/>
      <c r="C3574" s="600"/>
      <c r="D3574" s="600"/>
      <c r="E3574" s="600"/>
      <c r="F3574" s="600"/>
      <c r="G3574" s="600"/>
      <c r="H3574" s="600"/>
    </row>
    <row r="3575" spans="1:8">
      <c r="A3575" s="600"/>
      <c r="B3575" s="600"/>
      <c r="C3575" s="600"/>
      <c r="D3575" s="600"/>
      <c r="E3575" s="600"/>
      <c r="F3575" s="600"/>
      <c r="G3575" s="600"/>
      <c r="H3575" s="600"/>
    </row>
    <row r="3576" spans="1:8">
      <c r="A3576" s="600"/>
      <c r="B3576" s="600"/>
      <c r="C3576" s="600"/>
      <c r="D3576" s="600"/>
      <c r="E3576" s="600"/>
      <c r="F3576" s="600"/>
      <c r="G3576" s="600"/>
      <c r="H3576" s="600"/>
    </row>
    <row r="3577" spans="1:8">
      <c r="A3577" s="600"/>
      <c r="B3577" s="600"/>
      <c r="C3577" s="600"/>
      <c r="D3577" s="600"/>
      <c r="E3577" s="600"/>
      <c r="F3577" s="600"/>
      <c r="G3577" s="600"/>
      <c r="H3577" s="600"/>
    </row>
    <row r="3578" spans="1:8">
      <c r="A3578" s="600"/>
      <c r="B3578" s="600"/>
      <c r="C3578" s="600"/>
      <c r="D3578" s="600"/>
      <c r="E3578" s="600"/>
      <c r="F3578" s="600"/>
      <c r="G3578" s="600"/>
      <c r="H3578" s="600"/>
    </row>
    <row r="3579" spans="1:8">
      <c r="A3579" s="600"/>
      <c r="B3579" s="600"/>
      <c r="C3579" s="600"/>
      <c r="D3579" s="600"/>
      <c r="E3579" s="600"/>
      <c r="F3579" s="600"/>
      <c r="G3579" s="600"/>
      <c r="H3579" s="600"/>
    </row>
    <row r="3580" spans="1:8">
      <c r="A3580" s="600"/>
      <c r="B3580" s="600"/>
      <c r="C3580" s="600"/>
      <c r="D3580" s="600"/>
      <c r="E3580" s="600"/>
      <c r="F3580" s="600"/>
      <c r="G3580" s="600"/>
      <c r="H3580" s="600"/>
    </row>
    <row r="3581" spans="1:8">
      <c r="A3581" s="600"/>
      <c r="B3581" s="600"/>
      <c r="C3581" s="600"/>
      <c r="D3581" s="600"/>
      <c r="E3581" s="600"/>
      <c r="F3581" s="600"/>
      <c r="G3581" s="600"/>
      <c r="H3581" s="600"/>
    </row>
    <row r="3582" spans="1:8">
      <c r="A3582" s="600"/>
      <c r="B3582" s="600"/>
      <c r="C3582" s="600"/>
      <c r="D3582" s="600"/>
      <c r="E3582" s="600"/>
      <c r="F3582" s="600"/>
      <c r="G3582" s="600"/>
      <c r="H3582" s="600"/>
    </row>
    <row r="3583" spans="1:8">
      <c r="A3583" s="600"/>
      <c r="B3583" s="600"/>
      <c r="C3583" s="600"/>
      <c r="D3583" s="600"/>
      <c r="E3583" s="600"/>
      <c r="F3583" s="600"/>
      <c r="G3583" s="600"/>
      <c r="H3583" s="600"/>
    </row>
    <row r="3584" spans="1:8">
      <c r="A3584" s="600"/>
      <c r="B3584" s="600"/>
      <c r="C3584" s="600"/>
      <c r="D3584" s="600"/>
      <c r="E3584" s="600"/>
      <c r="F3584" s="600"/>
      <c r="G3584" s="600"/>
      <c r="H3584" s="600"/>
    </row>
    <row r="3585" spans="1:8">
      <c r="A3585" s="600"/>
      <c r="B3585" s="600"/>
      <c r="C3585" s="600"/>
      <c r="D3585" s="600"/>
      <c r="E3585" s="600"/>
      <c r="F3585" s="600"/>
      <c r="G3585" s="600"/>
      <c r="H3585" s="600"/>
    </row>
    <row r="3586" spans="1:8">
      <c r="A3586" s="600"/>
      <c r="B3586" s="600"/>
      <c r="C3586" s="600"/>
      <c r="D3586" s="600"/>
      <c r="E3586" s="600"/>
      <c r="F3586" s="600"/>
      <c r="G3586" s="600"/>
      <c r="H3586" s="600"/>
    </row>
    <row r="3587" spans="1:8">
      <c r="A3587" s="600"/>
      <c r="B3587" s="600"/>
      <c r="C3587" s="600"/>
      <c r="D3587" s="600"/>
      <c r="E3587" s="600"/>
      <c r="F3587" s="600"/>
      <c r="G3587" s="600"/>
      <c r="H3587" s="600"/>
    </row>
    <row r="3588" spans="1:8">
      <c r="A3588" s="600"/>
      <c r="B3588" s="600"/>
      <c r="C3588" s="600"/>
      <c r="D3588" s="600"/>
      <c r="E3588" s="600"/>
      <c r="F3588" s="600"/>
      <c r="G3588" s="600"/>
      <c r="H3588" s="600"/>
    </row>
    <row r="3589" spans="1:8">
      <c r="A3589" s="600"/>
      <c r="B3589" s="600"/>
      <c r="C3589" s="600"/>
      <c r="D3589" s="600"/>
      <c r="E3589" s="600"/>
      <c r="F3589" s="600"/>
      <c r="G3589" s="600"/>
      <c r="H3589" s="600"/>
    </row>
    <row r="3590" spans="1:8">
      <c r="A3590" s="600"/>
      <c r="B3590" s="600"/>
      <c r="C3590" s="600"/>
      <c r="D3590" s="600"/>
      <c r="E3590" s="600"/>
      <c r="F3590" s="600"/>
      <c r="G3590" s="600"/>
      <c r="H3590" s="600"/>
    </row>
    <row r="3591" spans="1:8">
      <c r="A3591" s="600"/>
      <c r="B3591" s="600"/>
      <c r="C3591" s="600"/>
      <c r="D3591" s="600"/>
      <c r="E3591" s="600"/>
      <c r="F3591" s="600"/>
      <c r="G3591" s="600"/>
      <c r="H3591" s="600"/>
    </row>
    <row r="3592" spans="1:8">
      <c r="A3592" s="600"/>
      <c r="B3592" s="600"/>
      <c r="C3592" s="600"/>
      <c r="D3592" s="600"/>
      <c r="E3592" s="600"/>
      <c r="F3592" s="600"/>
      <c r="G3592" s="600"/>
      <c r="H3592" s="600"/>
    </row>
    <row r="3593" spans="1:8">
      <c r="A3593" s="600"/>
      <c r="B3593" s="600"/>
      <c r="C3593" s="600"/>
      <c r="D3593" s="600"/>
      <c r="E3593" s="600"/>
      <c r="F3593" s="600"/>
      <c r="G3593" s="600"/>
      <c r="H3593" s="600"/>
    </row>
    <row r="3594" spans="1:8">
      <c r="A3594" s="600"/>
      <c r="B3594" s="600"/>
      <c r="C3594" s="600"/>
      <c r="D3594" s="600"/>
      <c r="E3594" s="600"/>
      <c r="F3594" s="600"/>
      <c r="G3594" s="600"/>
      <c r="H3594" s="600"/>
    </row>
    <row r="3595" spans="1:8">
      <c r="A3595" s="600"/>
      <c r="B3595" s="600"/>
      <c r="C3595" s="600"/>
      <c r="D3595" s="600"/>
      <c r="E3595" s="600"/>
      <c r="F3595" s="600"/>
      <c r="G3595" s="600"/>
      <c r="H3595" s="600"/>
    </row>
    <row r="3596" spans="1:8">
      <c r="A3596" s="600"/>
      <c r="B3596" s="600"/>
      <c r="C3596" s="600"/>
      <c r="D3596" s="600"/>
      <c r="E3596" s="600"/>
      <c r="F3596" s="600"/>
      <c r="G3596" s="600"/>
      <c r="H3596" s="600"/>
    </row>
    <row r="3597" spans="1:8">
      <c r="A3597" s="600"/>
      <c r="B3597" s="600"/>
      <c r="C3597" s="600"/>
      <c r="D3597" s="600"/>
      <c r="E3597" s="600"/>
      <c r="F3597" s="600"/>
      <c r="G3597" s="600"/>
      <c r="H3597" s="600"/>
    </row>
    <row r="3598" spans="1:8">
      <c r="A3598" s="600"/>
      <c r="B3598" s="600"/>
      <c r="C3598" s="600"/>
      <c r="D3598" s="600"/>
      <c r="E3598" s="600"/>
      <c r="F3598" s="600"/>
      <c r="G3598" s="600"/>
      <c r="H3598" s="600"/>
    </row>
    <row r="3599" spans="1:8">
      <c r="A3599" s="600"/>
      <c r="B3599" s="600"/>
      <c r="C3599" s="600"/>
      <c r="D3599" s="600"/>
      <c r="E3599" s="600"/>
      <c r="F3599" s="600"/>
      <c r="G3599" s="600"/>
      <c r="H3599" s="600"/>
    </row>
    <row r="3600" spans="1:8">
      <c r="A3600" s="600"/>
      <c r="B3600" s="600"/>
      <c r="C3600" s="600"/>
      <c r="D3600" s="600"/>
      <c r="E3600" s="600"/>
      <c r="F3600" s="600"/>
      <c r="G3600" s="600"/>
      <c r="H3600" s="600"/>
    </row>
    <row r="3601" spans="1:8">
      <c r="A3601" s="600"/>
      <c r="B3601" s="600"/>
      <c r="C3601" s="600"/>
      <c r="D3601" s="600"/>
      <c r="E3601" s="600"/>
      <c r="F3601" s="600"/>
      <c r="G3601" s="600"/>
      <c r="H3601" s="600"/>
    </row>
    <row r="3602" spans="1:8">
      <c r="A3602" s="600"/>
      <c r="B3602" s="600"/>
      <c r="C3602" s="600"/>
      <c r="D3602" s="600"/>
      <c r="E3602" s="600"/>
      <c r="F3602" s="600"/>
      <c r="G3602" s="600"/>
      <c r="H3602" s="600"/>
    </row>
    <row r="3603" spans="1:8">
      <c r="A3603" s="600"/>
      <c r="B3603" s="600"/>
      <c r="C3603" s="600"/>
      <c r="D3603" s="600"/>
      <c r="E3603" s="600"/>
      <c r="F3603" s="600"/>
      <c r="G3603" s="600"/>
      <c r="H3603" s="600"/>
    </row>
    <row r="3604" spans="1:8">
      <c r="A3604" s="600"/>
      <c r="B3604" s="600"/>
      <c r="C3604" s="600"/>
      <c r="D3604" s="600"/>
      <c r="E3604" s="600"/>
      <c r="F3604" s="600"/>
      <c r="G3604" s="600"/>
      <c r="H3604" s="600"/>
    </row>
    <row r="3605" spans="1:8">
      <c r="A3605" s="600"/>
      <c r="B3605" s="600"/>
      <c r="C3605" s="600"/>
      <c r="D3605" s="600"/>
      <c r="E3605" s="600"/>
      <c r="F3605" s="600"/>
      <c r="G3605" s="600"/>
      <c r="H3605" s="600"/>
    </row>
    <row r="3606" spans="1:8">
      <c r="A3606" s="600"/>
      <c r="B3606" s="600"/>
      <c r="C3606" s="600"/>
      <c r="D3606" s="600"/>
      <c r="E3606" s="600"/>
      <c r="F3606" s="600"/>
      <c r="G3606" s="600"/>
      <c r="H3606" s="600"/>
    </row>
    <row r="3607" spans="1:8">
      <c r="A3607" s="600"/>
      <c r="B3607" s="600"/>
      <c r="C3607" s="600"/>
      <c r="D3607" s="600"/>
      <c r="E3607" s="600"/>
      <c r="F3607" s="600"/>
      <c r="G3607" s="600"/>
      <c r="H3607" s="600"/>
    </row>
    <row r="3608" spans="1:8">
      <c r="A3608" s="600"/>
      <c r="B3608" s="600"/>
      <c r="C3608" s="600"/>
      <c r="D3608" s="600"/>
      <c r="E3608" s="600"/>
      <c r="F3608" s="600"/>
      <c r="G3608" s="600"/>
      <c r="H3608" s="600"/>
    </row>
    <row r="3609" spans="1:8">
      <c r="A3609" s="600"/>
      <c r="B3609" s="600"/>
      <c r="C3609" s="600"/>
      <c r="D3609" s="600"/>
      <c r="E3609" s="600"/>
      <c r="F3609" s="600"/>
      <c r="G3609" s="600"/>
      <c r="H3609" s="600"/>
    </row>
    <row r="3610" spans="1:8">
      <c r="A3610" s="600"/>
      <c r="B3610" s="600"/>
      <c r="C3610" s="600"/>
      <c r="D3610" s="600"/>
      <c r="E3610" s="600"/>
      <c r="F3610" s="600"/>
      <c r="G3610" s="600"/>
      <c r="H3610" s="600"/>
    </row>
    <row r="3611" spans="1:8">
      <c r="A3611" s="600"/>
      <c r="B3611" s="600"/>
      <c r="C3611" s="600"/>
      <c r="D3611" s="600"/>
      <c r="E3611" s="600"/>
      <c r="F3611" s="600"/>
      <c r="G3611" s="600"/>
      <c r="H3611" s="600"/>
    </row>
    <row r="3612" spans="1:8">
      <c r="A3612" s="600"/>
      <c r="B3612" s="600"/>
      <c r="C3612" s="600"/>
      <c r="D3612" s="600"/>
      <c r="E3612" s="600"/>
      <c r="F3612" s="600"/>
      <c r="G3612" s="600"/>
      <c r="H3612" s="600"/>
    </row>
    <row r="3613" spans="1:8">
      <c r="A3613" s="600"/>
      <c r="B3613" s="600"/>
      <c r="C3613" s="600"/>
      <c r="D3613" s="600"/>
      <c r="E3613" s="600"/>
      <c r="F3613" s="600"/>
      <c r="G3613" s="600"/>
      <c r="H3613" s="600"/>
    </row>
    <row r="3614" spans="1:8">
      <c r="A3614" s="600"/>
      <c r="B3614" s="600"/>
      <c r="C3614" s="600"/>
      <c r="D3614" s="600"/>
      <c r="E3614" s="600"/>
      <c r="F3614" s="600"/>
      <c r="G3614" s="600"/>
      <c r="H3614" s="600"/>
    </row>
    <row r="3615" spans="1:8">
      <c r="A3615" s="600"/>
      <c r="B3615" s="600"/>
      <c r="C3615" s="600"/>
      <c r="D3615" s="600"/>
      <c r="E3615" s="600"/>
      <c r="F3615" s="600"/>
      <c r="G3615" s="600"/>
      <c r="H3615" s="600"/>
    </row>
    <row r="3616" spans="1:8">
      <c r="A3616" s="600"/>
      <c r="B3616" s="600"/>
      <c r="C3616" s="600"/>
      <c r="D3616" s="600"/>
      <c r="E3616" s="600"/>
      <c r="F3616" s="600"/>
      <c r="G3616" s="600"/>
      <c r="H3616" s="600"/>
    </row>
    <row r="3617" spans="1:8">
      <c r="A3617" s="600"/>
      <c r="B3617" s="600"/>
      <c r="C3617" s="600"/>
      <c r="D3617" s="600"/>
      <c r="E3617" s="600"/>
      <c r="F3617" s="600"/>
      <c r="G3617" s="600"/>
      <c r="H3617" s="600"/>
    </row>
    <row r="3618" spans="1:8">
      <c r="A3618" s="600"/>
      <c r="B3618" s="600"/>
      <c r="C3618" s="600"/>
      <c r="D3618" s="600"/>
      <c r="E3618" s="600"/>
      <c r="F3618" s="600"/>
      <c r="G3618" s="600"/>
      <c r="H3618" s="600"/>
    </row>
    <row r="3619" spans="1:8">
      <c r="A3619" s="600"/>
      <c r="B3619" s="600"/>
      <c r="C3619" s="600"/>
      <c r="D3619" s="600"/>
      <c r="E3619" s="600"/>
      <c r="F3619" s="600"/>
      <c r="G3619" s="600"/>
      <c r="H3619" s="600"/>
    </row>
    <row r="3620" spans="1:8">
      <c r="A3620" s="600"/>
      <c r="B3620" s="600"/>
      <c r="C3620" s="600"/>
      <c r="D3620" s="600"/>
      <c r="E3620" s="600"/>
      <c r="F3620" s="600"/>
      <c r="G3620" s="600"/>
      <c r="H3620" s="600"/>
    </row>
    <row r="3621" spans="1:8">
      <c r="A3621" s="600"/>
      <c r="B3621" s="600"/>
      <c r="C3621" s="600"/>
      <c r="D3621" s="600"/>
      <c r="E3621" s="600"/>
      <c r="F3621" s="600"/>
      <c r="G3621" s="600"/>
      <c r="H3621" s="600"/>
    </row>
    <row r="3622" spans="1:8">
      <c r="A3622" s="600"/>
      <c r="B3622" s="600"/>
      <c r="C3622" s="600"/>
      <c r="D3622" s="600"/>
      <c r="E3622" s="600"/>
      <c r="F3622" s="600"/>
      <c r="G3622" s="600"/>
      <c r="H3622" s="600"/>
    </row>
    <row r="3623" spans="1:8">
      <c r="A3623" s="600"/>
      <c r="B3623" s="600"/>
      <c r="C3623" s="600"/>
      <c r="D3623" s="600"/>
      <c r="E3623" s="600"/>
      <c r="F3623" s="600"/>
      <c r="G3623" s="600"/>
      <c r="H3623" s="600"/>
    </row>
    <row r="3624" spans="1:8">
      <c r="A3624" s="600"/>
      <c r="B3624" s="600"/>
      <c r="C3624" s="600"/>
      <c r="D3624" s="600"/>
      <c r="E3624" s="600"/>
      <c r="F3624" s="600"/>
      <c r="G3624" s="600"/>
      <c r="H3624" s="600"/>
    </row>
    <row r="3625" spans="1:8">
      <c r="A3625" s="600"/>
      <c r="B3625" s="600"/>
      <c r="C3625" s="600"/>
      <c r="D3625" s="600"/>
      <c r="E3625" s="600"/>
      <c r="F3625" s="600"/>
      <c r="G3625" s="600"/>
      <c r="H3625" s="600"/>
    </row>
    <row r="3626" spans="1:8">
      <c r="A3626" s="600"/>
      <c r="B3626" s="600"/>
      <c r="C3626" s="600"/>
      <c r="D3626" s="600"/>
      <c r="E3626" s="600"/>
      <c r="F3626" s="600"/>
      <c r="G3626" s="600"/>
      <c r="H3626" s="600"/>
    </row>
    <row r="3627" spans="1:8">
      <c r="A3627" s="600"/>
      <c r="B3627" s="600"/>
      <c r="C3627" s="600"/>
      <c r="D3627" s="600"/>
      <c r="E3627" s="600"/>
      <c r="F3627" s="600"/>
      <c r="G3627" s="600"/>
      <c r="H3627" s="600"/>
    </row>
    <row r="3628" spans="1:8">
      <c r="A3628" s="600"/>
      <c r="B3628" s="600"/>
      <c r="C3628" s="600"/>
      <c r="D3628" s="600"/>
      <c r="E3628" s="600"/>
      <c r="F3628" s="600"/>
      <c r="G3628" s="600"/>
      <c r="H3628" s="600"/>
    </row>
    <row r="3629" spans="1:8">
      <c r="A3629" s="600"/>
      <c r="B3629" s="600"/>
      <c r="C3629" s="600"/>
      <c r="D3629" s="600"/>
      <c r="E3629" s="600"/>
      <c r="F3629" s="600"/>
      <c r="G3629" s="600"/>
      <c r="H3629" s="600"/>
    </row>
    <row r="3630" spans="1:8">
      <c r="A3630" s="600"/>
      <c r="B3630" s="600"/>
      <c r="C3630" s="600"/>
      <c r="D3630" s="600"/>
      <c r="E3630" s="600"/>
      <c r="F3630" s="600"/>
      <c r="G3630" s="600"/>
      <c r="H3630" s="600"/>
    </row>
    <row r="3631" spans="1:8">
      <c r="A3631" s="600"/>
      <c r="B3631" s="600"/>
      <c r="C3631" s="600"/>
      <c r="D3631" s="600"/>
      <c r="E3631" s="600"/>
      <c r="F3631" s="600"/>
      <c r="G3631" s="600"/>
      <c r="H3631" s="600"/>
    </row>
    <row r="3632" spans="1:8">
      <c r="A3632" s="600"/>
      <c r="B3632" s="600"/>
      <c r="C3632" s="600"/>
      <c r="D3632" s="600"/>
      <c r="E3632" s="600"/>
      <c r="F3632" s="600"/>
      <c r="G3632" s="600"/>
      <c r="H3632" s="600"/>
    </row>
    <row r="3633" spans="1:8">
      <c r="A3633" s="600"/>
      <c r="B3633" s="600"/>
      <c r="C3633" s="600"/>
      <c r="D3633" s="600"/>
      <c r="E3633" s="600"/>
      <c r="F3633" s="600"/>
      <c r="G3633" s="600"/>
      <c r="H3633" s="600"/>
    </row>
    <row r="3634" spans="1:8">
      <c r="A3634" s="600"/>
      <c r="B3634" s="600"/>
      <c r="C3634" s="600"/>
      <c r="D3634" s="600"/>
      <c r="E3634" s="600"/>
      <c r="F3634" s="600"/>
      <c r="G3634" s="600"/>
      <c r="H3634" s="600"/>
    </row>
    <row r="3635" spans="1:8">
      <c r="A3635" s="600"/>
      <c r="B3635" s="600"/>
      <c r="C3635" s="600"/>
      <c r="D3635" s="600"/>
      <c r="E3635" s="600"/>
      <c r="F3635" s="600"/>
      <c r="G3635" s="600"/>
      <c r="H3635" s="600"/>
    </row>
    <row r="3636" spans="1:8">
      <c r="A3636" s="600"/>
      <c r="B3636" s="600"/>
      <c r="C3636" s="600"/>
      <c r="D3636" s="600"/>
      <c r="E3636" s="600"/>
      <c r="F3636" s="600"/>
      <c r="G3636" s="600"/>
      <c r="H3636" s="600"/>
    </row>
    <row r="3637" spans="1:8">
      <c r="A3637" s="600"/>
      <c r="B3637" s="600"/>
      <c r="C3637" s="600"/>
      <c r="D3637" s="600"/>
      <c r="E3637" s="600"/>
      <c r="F3637" s="600"/>
      <c r="G3637" s="600"/>
      <c r="H3637" s="600"/>
    </row>
    <row r="3638" spans="1:8">
      <c r="A3638" s="600"/>
      <c r="B3638" s="600"/>
      <c r="C3638" s="600"/>
      <c r="D3638" s="600"/>
      <c r="E3638" s="600"/>
      <c r="F3638" s="600"/>
      <c r="G3638" s="600"/>
      <c r="H3638" s="600"/>
    </row>
    <row r="3639" spans="1:8">
      <c r="A3639" s="600"/>
      <c r="B3639" s="600"/>
      <c r="C3639" s="600"/>
      <c r="D3639" s="600"/>
      <c r="E3639" s="600"/>
      <c r="F3639" s="600"/>
      <c r="G3639" s="600"/>
      <c r="H3639" s="600"/>
    </row>
    <row r="3640" spans="1:8">
      <c r="A3640" s="600"/>
      <c r="B3640" s="600"/>
      <c r="C3640" s="600"/>
      <c r="D3640" s="600"/>
      <c r="E3640" s="600"/>
      <c r="F3640" s="600"/>
      <c r="G3640" s="600"/>
      <c r="H3640" s="600"/>
    </row>
    <row r="3641" spans="1:8">
      <c r="A3641" s="600"/>
      <c r="B3641" s="600"/>
      <c r="C3641" s="600"/>
      <c r="D3641" s="600"/>
      <c r="E3641" s="600"/>
      <c r="F3641" s="600"/>
      <c r="G3641" s="600"/>
      <c r="H3641" s="600"/>
    </row>
    <row r="3642" spans="1:8">
      <c r="A3642" s="600"/>
      <c r="B3642" s="600"/>
      <c r="C3642" s="600"/>
      <c r="D3642" s="600"/>
      <c r="E3642" s="600"/>
      <c r="F3642" s="600"/>
      <c r="G3642" s="600"/>
      <c r="H3642" s="600"/>
    </row>
    <row r="3643" spans="1:8">
      <c r="A3643" s="600"/>
      <c r="B3643" s="600"/>
      <c r="C3643" s="600"/>
      <c r="D3643" s="600"/>
      <c r="E3643" s="600"/>
      <c r="F3643" s="600"/>
      <c r="G3643" s="600"/>
      <c r="H3643" s="600"/>
    </row>
    <row r="3644" spans="1:8">
      <c r="A3644" s="600"/>
      <c r="B3644" s="600"/>
      <c r="C3644" s="600"/>
      <c r="D3644" s="600"/>
      <c r="E3644" s="600"/>
      <c r="F3644" s="600"/>
      <c r="G3644" s="600"/>
      <c r="H3644" s="600"/>
    </row>
    <row r="3645" spans="1:8">
      <c r="A3645" s="600"/>
      <c r="B3645" s="600"/>
      <c r="C3645" s="600"/>
      <c r="D3645" s="600"/>
      <c r="E3645" s="600"/>
      <c r="F3645" s="600"/>
      <c r="G3645" s="600"/>
      <c r="H3645" s="600"/>
    </row>
    <row r="3646" spans="1:8">
      <c r="A3646" s="600"/>
      <c r="B3646" s="600"/>
      <c r="C3646" s="600"/>
      <c r="D3646" s="600"/>
      <c r="E3646" s="600"/>
      <c r="F3646" s="600"/>
      <c r="G3646" s="600"/>
      <c r="H3646" s="600"/>
    </row>
    <row r="3647" spans="1:8">
      <c r="A3647" s="600"/>
      <c r="B3647" s="600"/>
      <c r="C3647" s="600"/>
      <c r="D3647" s="600"/>
      <c r="E3647" s="600"/>
      <c r="F3647" s="600"/>
      <c r="G3647" s="600"/>
      <c r="H3647" s="600"/>
    </row>
    <row r="3648" spans="1:8">
      <c r="A3648" s="600"/>
      <c r="B3648" s="600"/>
      <c r="C3648" s="600"/>
      <c r="D3648" s="600"/>
      <c r="E3648" s="600"/>
      <c r="F3648" s="600"/>
      <c r="G3648" s="600"/>
      <c r="H3648" s="600"/>
    </row>
    <row r="3649" spans="1:8">
      <c r="A3649" s="600"/>
      <c r="B3649" s="600"/>
      <c r="C3649" s="600"/>
      <c r="D3649" s="600"/>
      <c r="E3649" s="600"/>
      <c r="F3649" s="600"/>
      <c r="G3649" s="600"/>
      <c r="H3649" s="600"/>
    </row>
    <row r="3650" spans="1:8">
      <c r="A3650" s="600"/>
      <c r="B3650" s="600"/>
      <c r="C3650" s="600"/>
      <c r="D3650" s="600"/>
      <c r="E3650" s="600"/>
      <c r="F3650" s="600"/>
      <c r="G3650" s="600"/>
      <c r="H3650" s="600"/>
    </row>
    <row r="3651" spans="1:8">
      <c r="A3651" s="600"/>
      <c r="B3651" s="600"/>
      <c r="C3651" s="600"/>
      <c r="D3651" s="600"/>
      <c r="E3651" s="600"/>
      <c r="F3651" s="600"/>
      <c r="G3651" s="600"/>
      <c r="H3651" s="600"/>
    </row>
    <row r="3652" spans="1:8">
      <c r="A3652" s="600"/>
      <c r="B3652" s="600"/>
      <c r="C3652" s="600"/>
      <c r="D3652" s="600"/>
      <c r="E3652" s="600"/>
      <c r="F3652" s="600"/>
      <c r="G3652" s="600"/>
      <c r="H3652" s="600"/>
    </row>
    <row r="3653" spans="1:8">
      <c r="A3653" s="600"/>
      <c r="B3653" s="600"/>
      <c r="C3653" s="600"/>
      <c r="D3653" s="600"/>
      <c r="E3653" s="600"/>
      <c r="F3653" s="600"/>
      <c r="G3653" s="600"/>
      <c r="H3653" s="600"/>
    </row>
    <row r="3654" spans="1:8">
      <c r="A3654" s="600"/>
      <c r="B3654" s="600"/>
      <c r="C3654" s="600"/>
      <c r="D3654" s="600"/>
      <c r="E3654" s="600"/>
      <c r="F3654" s="600"/>
      <c r="G3654" s="600"/>
      <c r="H3654" s="600"/>
    </row>
    <row r="3655" spans="1:8">
      <c r="A3655" s="600"/>
      <c r="B3655" s="600"/>
      <c r="C3655" s="600"/>
      <c r="D3655" s="600"/>
      <c r="E3655" s="600"/>
      <c r="F3655" s="600"/>
      <c r="G3655" s="600"/>
      <c r="H3655" s="600"/>
    </row>
    <row r="3656" spans="1:8">
      <c r="A3656" s="600"/>
      <c r="B3656" s="600"/>
      <c r="C3656" s="600"/>
      <c r="D3656" s="600"/>
      <c r="E3656" s="600"/>
      <c r="F3656" s="600"/>
      <c r="G3656" s="600"/>
      <c r="H3656" s="600"/>
    </row>
    <row r="3657" spans="1:8">
      <c r="A3657" s="600"/>
      <c r="B3657" s="600"/>
      <c r="C3657" s="600"/>
      <c r="D3657" s="600"/>
      <c r="E3657" s="600"/>
      <c r="F3657" s="600"/>
      <c r="G3657" s="600"/>
      <c r="H3657" s="600"/>
    </row>
    <row r="3658" spans="1:8">
      <c r="A3658" s="600"/>
      <c r="B3658" s="600"/>
      <c r="C3658" s="600"/>
      <c r="D3658" s="600"/>
      <c r="E3658" s="600"/>
      <c r="F3658" s="600"/>
      <c r="G3658" s="600"/>
      <c r="H3658" s="600"/>
    </row>
    <row r="3659" spans="1:8">
      <c r="A3659" s="600"/>
      <c r="B3659" s="600"/>
      <c r="C3659" s="600"/>
      <c r="D3659" s="600"/>
      <c r="E3659" s="600"/>
      <c r="F3659" s="600"/>
      <c r="G3659" s="600"/>
      <c r="H3659" s="600"/>
    </row>
    <row r="3660" spans="1:8">
      <c r="A3660" s="600"/>
      <c r="B3660" s="600"/>
      <c r="C3660" s="600"/>
      <c r="D3660" s="600"/>
      <c r="E3660" s="600"/>
      <c r="F3660" s="600"/>
      <c r="G3660" s="600"/>
      <c r="H3660" s="600"/>
    </row>
    <row r="3661" spans="1:8">
      <c r="A3661" s="600"/>
      <c r="B3661" s="600"/>
      <c r="C3661" s="600"/>
      <c r="D3661" s="600"/>
      <c r="E3661" s="600"/>
      <c r="F3661" s="600"/>
      <c r="G3661" s="600"/>
      <c r="H3661" s="600"/>
    </row>
    <row r="3662" spans="1:8">
      <c r="A3662" s="600"/>
      <c r="B3662" s="600"/>
      <c r="C3662" s="600"/>
      <c r="D3662" s="600"/>
      <c r="E3662" s="600"/>
      <c r="F3662" s="600"/>
      <c r="G3662" s="600"/>
      <c r="H3662" s="600"/>
    </row>
    <row r="3663" spans="1:8">
      <c r="A3663" s="600"/>
      <c r="B3663" s="600"/>
      <c r="C3663" s="600"/>
      <c r="D3663" s="600"/>
      <c r="E3663" s="600"/>
      <c r="F3663" s="600"/>
      <c r="G3663" s="600"/>
      <c r="H3663" s="600"/>
    </row>
    <row r="3664" spans="1:8">
      <c r="A3664" s="600"/>
      <c r="B3664" s="600"/>
      <c r="C3664" s="600"/>
      <c r="D3664" s="600"/>
      <c r="E3664" s="600"/>
      <c r="F3664" s="600"/>
      <c r="G3664" s="600"/>
      <c r="H3664" s="600"/>
    </row>
    <row r="3665" spans="1:8">
      <c r="A3665" s="600"/>
      <c r="B3665" s="600"/>
      <c r="C3665" s="600"/>
      <c r="D3665" s="600"/>
      <c r="E3665" s="600"/>
      <c r="F3665" s="600"/>
      <c r="G3665" s="600"/>
      <c r="H3665" s="600"/>
    </row>
    <row r="3666" spans="1:8">
      <c r="A3666" s="600"/>
      <c r="B3666" s="600"/>
      <c r="C3666" s="600"/>
      <c r="D3666" s="600"/>
      <c r="E3666" s="600"/>
      <c r="F3666" s="600"/>
      <c r="G3666" s="600"/>
      <c r="H3666" s="600"/>
    </row>
    <row r="3667" spans="1:8">
      <c r="A3667" s="600"/>
      <c r="B3667" s="600"/>
      <c r="C3667" s="600"/>
      <c r="D3667" s="600"/>
      <c r="E3667" s="600"/>
      <c r="F3667" s="600"/>
      <c r="G3667" s="600"/>
      <c r="H3667" s="600"/>
    </row>
    <row r="3668" spans="1:8">
      <c r="A3668" s="600"/>
      <c r="B3668" s="600"/>
      <c r="C3668" s="600"/>
      <c r="D3668" s="600"/>
      <c r="E3668" s="600"/>
      <c r="F3668" s="600"/>
      <c r="G3668" s="600"/>
      <c r="H3668" s="600"/>
    </row>
    <row r="3669" spans="1:8">
      <c r="A3669" s="600"/>
      <c r="B3669" s="600"/>
      <c r="C3669" s="600"/>
      <c r="D3669" s="600"/>
      <c r="E3669" s="600"/>
      <c r="F3669" s="600"/>
      <c r="G3669" s="600"/>
      <c r="H3669" s="600"/>
    </row>
    <row r="3670" spans="1:8">
      <c r="A3670" s="600"/>
      <c r="B3670" s="600"/>
      <c r="C3670" s="600"/>
      <c r="D3670" s="600"/>
      <c r="E3670" s="600"/>
      <c r="F3670" s="600"/>
      <c r="G3670" s="600"/>
      <c r="H3670" s="600"/>
    </row>
    <row r="3671" spans="1:8">
      <c r="A3671" s="600"/>
      <c r="B3671" s="600"/>
      <c r="C3671" s="600"/>
      <c r="D3671" s="600"/>
      <c r="E3671" s="600"/>
      <c r="F3671" s="600"/>
      <c r="G3671" s="600"/>
      <c r="H3671" s="600"/>
    </row>
    <row r="3672" spans="1:8">
      <c r="A3672" s="600"/>
      <c r="B3672" s="600"/>
      <c r="C3672" s="600"/>
      <c r="D3672" s="600"/>
      <c r="E3672" s="600"/>
      <c r="F3672" s="600"/>
      <c r="G3672" s="600"/>
      <c r="H3672" s="600"/>
    </row>
    <row r="3673" spans="1:8">
      <c r="A3673" s="600"/>
      <c r="B3673" s="600"/>
      <c r="C3673" s="600"/>
      <c r="D3673" s="600"/>
      <c r="E3673" s="600"/>
      <c r="F3673" s="600"/>
      <c r="G3673" s="600"/>
      <c r="H3673" s="600"/>
    </row>
    <row r="3674" spans="1:8">
      <c r="A3674" s="600"/>
      <c r="B3674" s="600"/>
      <c r="C3674" s="600"/>
      <c r="D3674" s="600"/>
      <c r="E3674" s="600"/>
      <c r="F3674" s="600"/>
      <c r="G3674" s="600"/>
      <c r="H3674" s="600"/>
    </row>
    <row r="3675" spans="1:8">
      <c r="A3675" s="600"/>
      <c r="B3675" s="600"/>
      <c r="C3675" s="600"/>
      <c r="D3675" s="600"/>
      <c r="E3675" s="600"/>
      <c r="F3675" s="600"/>
      <c r="G3675" s="600"/>
      <c r="H3675" s="600"/>
    </row>
    <row r="3676" spans="1:8">
      <c r="A3676" s="600"/>
      <c r="B3676" s="600"/>
      <c r="C3676" s="600"/>
      <c r="D3676" s="600"/>
      <c r="E3676" s="600"/>
      <c r="F3676" s="600"/>
      <c r="G3676" s="600"/>
      <c r="H3676" s="600"/>
    </row>
    <row r="3677" spans="1:8">
      <c r="A3677" s="600"/>
      <c r="B3677" s="600"/>
      <c r="C3677" s="600"/>
      <c r="D3677" s="600"/>
      <c r="E3677" s="600"/>
      <c r="F3677" s="600"/>
      <c r="G3677" s="600"/>
      <c r="H3677" s="600"/>
    </row>
    <row r="3678" spans="1:8">
      <c r="A3678" s="600"/>
      <c r="B3678" s="600"/>
      <c r="C3678" s="600"/>
      <c r="D3678" s="600"/>
      <c r="E3678" s="600"/>
      <c r="F3678" s="600"/>
      <c r="G3678" s="600"/>
      <c r="H3678" s="600"/>
    </row>
    <row r="3679" spans="1:8">
      <c r="A3679" s="600"/>
      <c r="B3679" s="600"/>
      <c r="C3679" s="600"/>
      <c r="D3679" s="600"/>
      <c r="E3679" s="600"/>
      <c r="F3679" s="600"/>
      <c r="G3679" s="600"/>
      <c r="H3679" s="600"/>
    </row>
    <row r="3680" spans="1:8">
      <c r="A3680" s="600"/>
      <c r="B3680" s="600"/>
      <c r="C3680" s="600"/>
      <c r="D3680" s="600"/>
      <c r="E3680" s="600"/>
      <c r="F3680" s="600"/>
      <c r="G3680" s="600"/>
      <c r="H3680" s="600"/>
    </row>
    <row r="3681" spans="1:8">
      <c r="A3681" s="600"/>
      <c r="B3681" s="600"/>
      <c r="C3681" s="600"/>
      <c r="D3681" s="600"/>
      <c r="E3681" s="600"/>
      <c r="F3681" s="600"/>
      <c r="G3681" s="600"/>
      <c r="H3681" s="600"/>
    </row>
    <row r="3682" spans="1:8">
      <c r="A3682" s="600"/>
      <c r="B3682" s="600"/>
      <c r="C3682" s="600"/>
      <c r="D3682" s="600"/>
      <c r="E3682" s="600"/>
      <c r="F3682" s="600"/>
      <c r="G3682" s="600"/>
      <c r="H3682" s="600"/>
    </row>
    <row r="3683" spans="1:8">
      <c r="A3683" s="600"/>
      <c r="B3683" s="600"/>
      <c r="C3683" s="600"/>
      <c r="D3683" s="600"/>
      <c r="E3683" s="600"/>
      <c r="F3683" s="600"/>
      <c r="G3683" s="600"/>
      <c r="H3683" s="600"/>
    </row>
    <row r="3684" spans="1:8">
      <c r="A3684" s="600"/>
      <c r="B3684" s="600"/>
      <c r="C3684" s="600"/>
      <c r="D3684" s="600"/>
      <c r="E3684" s="600"/>
      <c r="F3684" s="600"/>
      <c r="G3684" s="600"/>
      <c r="H3684" s="600"/>
    </row>
    <row r="3685" spans="1:8">
      <c r="A3685" s="600"/>
      <c r="B3685" s="600"/>
      <c r="C3685" s="600"/>
      <c r="D3685" s="600"/>
      <c r="E3685" s="600"/>
      <c r="F3685" s="600"/>
      <c r="G3685" s="600"/>
      <c r="H3685" s="600"/>
    </row>
    <row r="3686" spans="1:8">
      <c r="A3686" s="600"/>
      <c r="B3686" s="600"/>
      <c r="C3686" s="600"/>
      <c r="D3686" s="600"/>
      <c r="E3686" s="600"/>
      <c r="F3686" s="600"/>
      <c r="G3686" s="600"/>
      <c r="H3686" s="600"/>
    </row>
    <row r="3687" spans="1:8">
      <c r="A3687" s="600"/>
      <c r="B3687" s="600"/>
      <c r="C3687" s="600"/>
      <c r="D3687" s="600"/>
      <c r="E3687" s="600"/>
      <c r="F3687" s="600"/>
      <c r="G3687" s="600"/>
      <c r="H3687" s="600"/>
    </row>
    <row r="3688" spans="1:8">
      <c r="A3688" s="600"/>
      <c r="B3688" s="600"/>
      <c r="C3688" s="600"/>
      <c r="D3688" s="600"/>
      <c r="E3688" s="600"/>
      <c r="F3688" s="600"/>
      <c r="G3688" s="600"/>
      <c r="H3688" s="600"/>
    </row>
    <row r="3689" spans="1:8">
      <c r="A3689" s="600"/>
      <c r="B3689" s="600"/>
      <c r="C3689" s="600"/>
      <c r="D3689" s="600"/>
      <c r="E3689" s="600"/>
      <c r="F3689" s="600"/>
      <c r="G3689" s="600"/>
      <c r="H3689" s="600"/>
    </row>
    <row r="3690" spans="1:8">
      <c r="A3690" s="600"/>
      <c r="B3690" s="600"/>
      <c r="C3690" s="600"/>
      <c r="D3690" s="600"/>
      <c r="E3690" s="600"/>
      <c r="F3690" s="600"/>
      <c r="G3690" s="600"/>
      <c r="H3690" s="600"/>
    </row>
    <row r="3691" spans="1:8">
      <c r="A3691" s="600"/>
      <c r="B3691" s="600"/>
      <c r="C3691" s="600"/>
      <c r="D3691" s="600"/>
      <c r="E3691" s="600"/>
      <c r="F3691" s="600"/>
      <c r="G3691" s="600"/>
      <c r="H3691" s="600"/>
    </row>
    <row r="3692" spans="1:8">
      <c r="A3692" s="600"/>
      <c r="B3692" s="600"/>
      <c r="C3692" s="600"/>
      <c r="D3692" s="600"/>
      <c r="E3692" s="600"/>
      <c r="F3692" s="600"/>
      <c r="G3692" s="600"/>
      <c r="H3692" s="600"/>
    </row>
    <row r="3693" spans="1:8">
      <c r="A3693" s="600"/>
      <c r="B3693" s="600"/>
      <c r="C3693" s="600"/>
      <c r="D3693" s="600"/>
      <c r="E3693" s="600"/>
      <c r="F3693" s="600"/>
      <c r="G3693" s="600"/>
      <c r="H3693" s="600"/>
    </row>
    <row r="3694" spans="1:8">
      <c r="A3694" s="600"/>
      <c r="B3694" s="600"/>
      <c r="C3694" s="600"/>
      <c r="D3694" s="600"/>
      <c r="E3694" s="600"/>
      <c r="F3694" s="600"/>
      <c r="G3694" s="600"/>
      <c r="H3694" s="600"/>
    </row>
    <row r="3695" spans="1:8">
      <c r="A3695" s="600"/>
      <c r="B3695" s="600"/>
      <c r="C3695" s="600"/>
      <c r="D3695" s="600"/>
      <c r="E3695" s="600"/>
      <c r="F3695" s="600"/>
      <c r="G3695" s="600"/>
      <c r="H3695" s="600"/>
    </row>
    <row r="3696" spans="1:8">
      <c r="A3696" s="600"/>
      <c r="B3696" s="600"/>
      <c r="C3696" s="600"/>
      <c r="D3696" s="600"/>
      <c r="E3696" s="600"/>
      <c r="F3696" s="600"/>
      <c r="G3696" s="600"/>
      <c r="H3696" s="600"/>
    </row>
    <row r="3697" spans="1:8">
      <c r="A3697" s="600"/>
      <c r="B3697" s="600"/>
      <c r="C3697" s="600"/>
      <c r="D3697" s="600"/>
      <c r="E3697" s="600"/>
      <c r="F3697" s="600"/>
      <c r="G3697" s="600"/>
      <c r="H3697" s="600"/>
    </row>
    <row r="3698" spans="1:8">
      <c r="A3698" s="600"/>
      <c r="B3698" s="600"/>
      <c r="C3698" s="600"/>
      <c r="D3698" s="600"/>
      <c r="E3698" s="600"/>
      <c r="F3698" s="600"/>
      <c r="G3698" s="600"/>
      <c r="H3698" s="600"/>
    </row>
    <row r="3699" spans="1:8">
      <c r="A3699" s="600"/>
      <c r="B3699" s="600"/>
      <c r="C3699" s="600"/>
      <c r="D3699" s="600"/>
      <c r="E3699" s="600"/>
      <c r="F3699" s="600"/>
      <c r="G3699" s="600"/>
      <c r="H3699" s="600"/>
    </row>
    <row r="3700" spans="1:8">
      <c r="A3700" s="600"/>
      <c r="B3700" s="600"/>
      <c r="C3700" s="600"/>
      <c r="D3700" s="600"/>
      <c r="E3700" s="600"/>
      <c r="F3700" s="600"/>
      <c r="G3700" s="600"/>
      <c r="H3700" s="600"/>
    </row>
    <row r="3701" spans="1:8">
      <c r="A3701" s="600"/>
      <c r="B3701" s="600"/>
      <c r="C3701" s="600"/>
      <c r="D3701" s="600"/>
      <c r="E3701" s="600"/>
      <c r="F3701" s="600"/>
      <c r="G3701" s="600"/>
      <c r="H3701" s="600"/>
    </row>
    <row r="3702" spans="1:8">
      <c r="A3702" s="600"/>
      <c r="B3702" s="600"/>
      <c r="C3702" s="600"/>
      <c r="D3702" s="600"/>
      <c r="E3702" s="600"/>
      <c r="F3702" s="600"/>
      <c r="G3702" s="600"/>
      <c r="H3702" s="600"/>
    </row>
    <row r="3703" spans="1:8">
      <c r="A3703" s="600"/>
      <c r="B3703" s="600"/>
      <c r="C3703" s="600"/>
      <c r="D3703" s="600"/>
      <c r="E3703" s="600"/>
      <c r="F3703" s="600"/>
      <c r="G3703" s="600"/>
      <c r="H3703" s="600"/>
    </row>
    <row r="3704" spans="1:8">
      <c r="A3704" s="600"/>
      <c r="B3704" s="600"/>
      <c r="C3704" s="600"/>
      <c r="D3704" s="600"/>
      <c r="E3704" s="600"/>
      <c r="F3704" s="600"/>
      <c r="G3704" s="600"/>
      <c r="H3704" s="600"/>
    </row>
    <row r="3705" spans="1:8">
      <c r="A3705" s="600"/>
      <c r="B3705" s="600"/>
      <c r="C3705" s="600"/>
      <c r="D3705" s="600"/>
      <c r="E3705" s="600"/>
      <c r="F3705" s="600"/>
      <c r="G3705" s="600"/>
      <c r="H3705" s="600"/>
    </row>
    <row r="3706" spans="1:8">
      <c r="A3706" s="600"/>
      <c r="B3706" s="600"/>
      <c r="C3706" s="600"/>
      <c r="D3706" s="600"/>
      <c r="E3706" s="600"/>
      <c r="F3706" s="600"/>
      <c r="G3706" s="600"/>
      <c r="H3706" s="600"/>
    </row>
    <row r="3707" spans="1:8">
      <c r="A3707" s="600"/>
      <c r="B3707" s="600"/>
      <c r="C3707" s="600"/>
      <c r="D3707" s="600"/>
      <c r="E3707" s="600"/>
      <c r="F3707" s="600"/>
      <c r="G3707" s="600"/>
      <c r="H3707" s="600"/>
    </row>
    <row r="3708" spans="1:8">
      <c r="A3708" s="600"/>
      <c r="B3708" s="600"/>
      <c r="C3708" s="600"/>
      <c r="D3708" s="600"/>
      <c r="E3708" s="600"/>
      <c r="F3708" s="600"/>
      <c r="G3708" s="600"/>
      <c r="H3708" s="600"/>
    </row>
    <row r="3709" spans="1:8">
      <c r="A3709" s="600"/>
      <c r="B3709" s="600"/>
      <c r="C3709" s="600"/>
      <c r="D3709" s="600"/>
      <c r="E3709" s="600"/>
      <c r="F3709" s="600"/>
      <c r="G3709" s="600"/>
      <c r="H3709" s="600"/>
    </row>
    <row r="3710" spans="1:8">
      <c r="A3710" s="600"/>
      <c r="B3710" s="600"/>
      <c r="C3710" s="600"/>
      <c r="D3710" s="600"/>
      <c r="E3710" s="600"/>
      <c r="F3710" s="600"/>
      <c r="G3710" s="600"/>
      <c r="H3710" s="600"/>
    </row>
    <row r="3711" spans="1:8">
      <c r="A3711" s="600"/>
      <c r="B3711" s="600"/>
      <c r="C3711" s="600"/>
      <c r="D3711" s="600"/>
      <c r="E3711" s="600"/>
      <c r="F3711" s="600"/>
      <c r="G3711" s="600"/>
      <c r="H3711" s="600"/>
    </row>
    <row r="3712" spans="1:8">
      <c r="A3712" s="600"/>
      <c r="B3712" s="600"/>
      <c r="C3712" s="600"/>
      <c r="D3712" s="600"/>
      <c r="E3712" s="600"/>
      <c r="F3712" s="600"/>
      <c r="G3712" s="600"/>
      <c r="H3712" s="600"/>
    </row>
    <row r="3713" spans="1:8">
      <c r="A3713" s="600"/>
      <c r="B3713" s="600"/>
      <c r="C3713" s="600"/>
      <c r="D3713" s="600"/>
      <c r="E3713" s="600"/>
      <c r="F3713" s="600"/>
      <c r="G3713" s="600"/>
      <c r="H3713" s="600"/>
    </row>
    <row r="3714" spans="1:8">
      <c r="A3714" s="600"/>
      <c r="B3714" s="600"/>
      <c r="C3714" s="600"/>
      <c r="D3714" s="600"/>
      <c r="E3714" s="600"/>
      <c r="F3714" s="600"/>
      <c r="G3714" s="600"/>
      <c r="H3714" s="600"/>
    </row>
    <row r="3715" spans="1:8">
      <c r="A3715" s="600"/>
      <c r="B3715" s="600"/>
      <c r="C3715" s="600"/>
      <c r="D3715" s="600"/>
      <c r="E3715" s="600"/>
      <c r="F3715" s="600"/>
      <c r="G3715" s="600"/>
      <c r="H3715" s="600"/>
    </row>
    <row r="3716" spans="1:8">
      <c r="A3716" s="600"/>
      <c r="B3716" s="600"/>
      <c r="C3716" s="600"/>
      <c r="D3716" s="600"/>
      <c r="E3716" s="600"/>
      <c r="F3716" s="600"/>
      <c r="G3716" s="600"/>
      <c r="H3716" s="600"/>
    </row>
    <row r="3717" spans="1:8">
      <c r="A3717" s="600"/>
      <c r="B3717" s="600"/>
      <c r="C3717" s="600"/>
      <c r="D3717" s="600"/>
      <c r="E3717" s="600"/>
      <c r="F3717" s="600"/>
      <c r="G3717" s="600"/>
      <c r="H3717" s="600"/>
    </row>
    <row r="3718" spans="1:8">
      <c r="A3718" s="600"/>
      <c r="B3718" s="600"/>
      <c r="C3718" s="600"/>
      <c r="D3718" s="600"/>
      <c r="E3718" s="600"/>
      <c r="F3718" s="600"/>
      <c r="G3718" s="600"/>
      <c r="H3718" s="600"/>
    </row>
    <row r="3719" spans="1:8">
      <c r="A3719" s="600"/>
      <c r="B3719" s="600"/>
      <c r="C3719" s="600"/>
      <c r="D3719" s="600"/>
      <c r="E3719" s="600"/>
      <c r="F3719" s="600"/>
      <c r="G3719" s="600"/>
      <c r="H3719" s="600"/>
    </row>
    <row r="3720" spans="1:8">
      <c r="A3720" s="600"/>
      <c r="B3720" s="600"/>
      <c r="C3720" s="600"/>
      <c r="D3720" s="600"/>
      <c r="E3720" s="600"/>
      <c r="F3720" s="600"/>
      <c r="G3720" s="600"/>
      <c r="H3720" s="600"/>
    </row>
    <row r="3721" spans="1:8">
      <c r="A3721" s="600"/>
      <c r="B3721" s="600"/>
      <c r="C3721" s="600"/>
      <c r="D3721" s="600"/>
      <c r="E3721" s="600"/>
      <c r="F3721" s="600"/>
      <c r="G3721" s="600"/>
      <c r="H3721" s="600"/>
    </row>
    <row r="3722" spans="1:8">
      <c r="A3722" s="600"/>
      <c r="B3722" s="600"/>
      <c r="C3722" s="600"/>
      <c r="D3722" s="600"/>
      <c r="E3722" s="600"/>
      <c r="F3722" s="600"/>
      <c r="G3722" s="600"/>
      <c r="H3722" s="600"/>
    </row>
    <row r="3723" spans="1:8">
      <c r="A3723" s="600"/>
      <c r="B3723" s="600"/>
      <c r="C3723" s="600"/>
      <c r="D3723" s="600"/>
      <c r="E3723" s="600"/>
      <c r="F3723" s="600"/>
      <c r="G3723" s="600"/>
      <c r="H3723" s="600"/>
    </row>
    <row r="3724" spans="1:8">
      <c r="A3724" s="600"/>
      <c r="B3724" s="600"/>
      <c r="C3724" s="600"/>
      <c r="D3724" s="600"/>
      <c r="E3724" s="600"/>
      <c r="F3724" s="600"/>
      <c r="G3724" s="600"/>
      <c r="H3724" s="600"/>
    </row>
    <row r="3725" spans="1:8">
      <c r="A3725" s="600"/>
      <c r="B3725" s="600"/>
      <c r="C3725" s="600"/>
      <c r="D3725" s="600"/>
      <c r="E3725" s="600"/>
      <c r="F3725" s="600"/>
      <c r="G3725" s="600"/>
      <c r="H3725" s="600"/>
    </row>
    <row r="3726" spans="1:8">
      <c r="A3726" s="600"/>
      <c r="B3726" s="600"/>
      <c r="C3726" s="600"/>
      <c r="D3726" s="600"/>
      <c r="E3726" s="600"/>
      <c r="F3726" s="600"/>
      <c r="G3726" s="600"/>
      <c r="H3726" s="600"/>
    </row>
    <row r="3727" spans="1:8">
      <c r="A3727" s="600"/>
      <c r="B3727" s="600"/>
      <c r="C3727" s="600"/>
      <c r="D3727" s="600"/>
      <c r="E3727" s="600"/>
      <c r="F3727" s="600"/>
      <c r="G3727" s="600"/>
      <c r="H3727" s="600"/>
    </row>
    <row r="3728" spans="1:8">
      <c r="A3728" s="600"/>
      <c r="B3728" s="600"/>
      <c r="C3728" s="600"/>
      <c r="D3728" s="600"/>
      <c r="E3728" s="600"/>
      <c r="F3728" s="600"/>
      <c r="G3728" s="600"/>
      <c r="H3728" s="600"/>
    </row>
    <row r="3729" spans="1:8">
      <c r="A3729" s="600"/>
      <c r="B3729" s="600"/>
      <c r="C3729" s="600"/>
      <c r="D3729" s="600"/>
      <c r="E3729" s="600"/>
      <c r="F3729" s="600"/>
      <c r="G3729" s="600"/>
      <c r="H3729" s="600"/>
    </row>
    <row r="3730" spans="1:8">
      <c r="A3730" s="600"/>
      <c r="B3730" s="600"/>
      <c r="C3730" s="600"/>
      <c r="D3730" s="600"/>
      <c r="E3730" s="600"/>
      <c r="F3730" s="600"/>
      <c r="G3730" s="600"/>
      <c r="H3730" s="600"/>
    </row>
    <row r="3731" spans="1:8">
      <c r="A3731" s="600"/>
      <c r="B3731" s="600"/>
      <c r="C3731" s="600"/>
      <c r="D3731" s="600"/>
      <c r="E3731" s="600"/>
      <c r="F3731" s="600"/>
      <c r="G3731" s="600"/>
      <c r="H3731" s="600"/>
    </row>
    <row r="3732" spans="1:8">
      <c r="A3732" s="600"/>
      <c r="B3732" s="600"/>
      <c r="C3732" s="600"/>
      <c r="D3732" s="600"/>
      <c r="E3732" s="600"/>
      <c r="F3732" s="600"/>
      <c r="G3732" s="600"/>
      <c r="H3732" s="600"/>
    </row>
    <row r="3733" spans="1:8">
      <c r="A3733" s="600"/>
      <c r="B3733" s="600"/>
      <c r="C3733" s="600"/>
      <c r="D3733" s="600"/>
      <c r="E3733" s="600"/>
      <c r="F3733" s="600"/>
      <c r="G3733" s="600"/>
      <c r="H3733" s="600"/>
    </row>
    <row r="3734" spans="1:8">
      <c r="A3734" s="600"/>
      <c r="B3734" s="600"/>
      <c r="C3734" s="600"/>
      <c r="D3734" s="600"/>
      <c r="E3734" s="600"/>
      <c r="F3734" s="600"/>
      <c r="G3734" s="600"/>
      <c r="H3734" s="600"/>
    </row>
    <row r="3735" spans="1:8">
      <c r="A3735" s="600"/>
      <c r="B3735" s="600"/>
      <c r="C3735" s="600"/>
      <c r="D3735" s="600"/>
      <c r="E3735" s="600"/>
      <c r="F3735" s="600"/>
      <c r="G3735" s="600"/>
      <c r="H3735" s="600"/>
    </row>
    <row r="3736" spans="1:8">
      <c r="A3736" s="600"/>
      <c r="B3736" s="600"/>
      <c r="C3736" s="600"/>
      <c r="D3736" s="600"/>
      <c r="E3736" s="600"/>
      <c r="F3736" s="600"/>
      <c r="G3736" s="600"/>
      <c r="H3736" s="600"/>
    </row>
    <row r="3737" spans="1:8">
      <c r="A3737" s="600"/>
      <c r="B3737" s="600"/>
      <c r="C3737" s="600"/>
      <c r="D3737" s="600"/>
      <c r="E3737" s="600"/>
      <c r="F3737" s="600"/>
      <c r="G3737" s="600"/>
      <c r="H3737" s="600"/>
    </row>
    <row r="3738" spans="1:8">
      <c r="A3738" s="600"/>
      <c r="B3738" s="600"/>
      <c r="C3738" s="600"/>
      <c r="D3738" s="600"/>
      <c r="E3738" s="600"/>
      <c r="F3738" s="600"/>
      <c r="G3738" s="600"/>
      <c r="H3738" s="600"/>
    </row>
    <row r="3739" spans="1:8">
      <c r="A3739" s="600"/>
      <c r="B3739" s="600"/>
      <c r="C3739" s="600"/>
      <c r="D3739" s="600"/>
      <c r="E3739" s="600"/>
      <c r="F3739" s="600"/>
      <c r="G3739" s="600"/>
      <c r="H3739" s="600"/>
    </row>
    <row r="3740" spans="1:8">
      <c r="A3740" s="600"/>
      <c r="B3740" s="600"/>
      <c r="C3740" s="600"/>
      <c r="D3740" s="600"/>
      <c r="E3740" s="600"/>
      <c r="F3740" s="600"/>
      <c r="G3740" s="600"/>
      <c r="H3740" s="600"/>
    </row>
    <row r="3741" spans="1:8">
      <c r="A3741" s="600"/>
      <c r="B3741" s="600"/>
      <c r="C3741" s="600"/>
      <c r="D3741" s="600"/>
      <c r="E3741" s="600"/>
      <c r="F3741" s="600"/>
      <c r="G3741" s="600"/>
      <c r="H3741" s="600"/>
    </row>
    <row r="3742" spans="1:8">
      <c r="A3742" s="600"/>
      <c r="B3742" s="600"/>
      <c r="C3742" s="600"/>
      <c r="D3742" s="600"/>
      <c r="E3742" s="600"/>
      <c r="F3742" s="600"/>
      <c r="G3742" s="600"/>
      <c r="H3742" s="600"/>
    </row>
    <row r="3743" spans="1:8">
      <c r="A3743" s="600"/>
      <c r="B3743" s="600"/>
      <c r="C3743" s="600"/>
      <c r="D3743" s="600"/>
      <c r="E3743" s="600"/>
      <c r="F3743" s="600"/>
      <c r="G3743" s="600"/>
      <c r="H3743" s="600"/>
    </row>
    <row r="3744" spans="1:8">
      <c r="A3744" s="600"/>
      <c r="B3744" s="600"/>
      <c r="C3744" s="600"/>
      <c r="D3744" s="600"/>
      <c r="E3744" s="600"/>
      <c r="F3744" s="600"/>
      <c r="G3744" s="600"/>
      <c r="H3744" s="600"/>
    </row>
    <row r="3745" spans="1:8">
      <c r="A3745" s="600"/>
      <c r="B3745" s="600"/>
      <c r="C3745" s="600"/>
      <c r="D3745" s="600"/>
      <c r="E3745" s="600"/>
      <c r="F3745" s="600"/>
      <c r="G3745" s="600"/>
      <c r="H3745" s="600"/>
    </row>
    <row r="3746" spans="1:8">
      <c r="A3746" s="600"/>
      <c r="B3746" s="600"/>
      <c r="C3746" s="600"/>
      <c r="D3746" s="600"/>
      <c r="E3746" s="600"/>
      <c r="F3746" s="600"/>
      <c r="G3746" s="600"/>
      <c r="H3746" s="600"/>
    </row>
    <row r="3747" spans="1:8">
      <c r="A3747" s="600"/>
      <c r="B3747" s="600"/>
      <c r="C3747" s="600"/>
      <c r="D3747" s="600"/>
      <c r="E3747" s="600"/>
      <c r="F3747" s="600"/>
      <c r="G3747" s="600"/>
      <c r="H3747" s="600"/>
    </row>
    <row r="3748" spans="1:8">
      <c r="A3748" s="600"/>
      <c r="B3748" s="600"/>
      <c r="C3748" s="600"/>
      <c r="D3748" s="600"/>
      <c r="E3748" s="600"/>
      <c r="F3748" s="600"/>
      <c r="G3748" s="600"/>
      <c r="H3748" s="600"/>
    </row>
    <row r="3749" spans="1:8">
      <c r="A3749" s="600"/>
      <c r="B3749" s="600"/>
      <c r="C3749" s="600"/>
      <c r="D3749" s="600"/>
      <c r="E3749" s="600"/>
      <c r="F3749" s="600"/>
      <c r="G3749" s="600"/>
      <c r="H3749" s="600"/>
    </row>
    <row r="3750" spans="1:8">
      <c r="A3750" s="600"/>
      <c r="B3750" s="600"/>
      <c r="C3750" s="600"/>
      <c r="D3750" s="600"/>
      <c r="E3750" s="600"/>
      <c r="F3750" s="600"/>
      <c r="G3750" s="600"/>
      <c r="H3750" s="600"/>
    </row>
    <row r="3751" spans="1:8">
      <c r="A3751" s="600"/>
      <c r="B3751" s="600"/>
      <c r="C3751" s="600"/>
      <c r="D3751" s="600"/>
      <c r="E3751" s="600"/>
      <c r="F3751" s="600"/>
      <c r="G3751" s="600"/>
      <c r="H3751" s="600"/>
    </row>
    <row r="3752" spans="1:8">
      <c r="A3752" s="600"/>
      <c r="B3752" s="600"/>
      <c r="C3752" s="600"/>
      <c r="D3752" s="600"/>
      <c r="E3752" s="600"/>
      <c r="F3752" s="600"/>
      <c r="G3752" s="600"/>
      <c r="H3752" s="600"/>
    </row>
    <row r="3753" spans="1:8">
      <c r="A3753" s="600"/>
      <c r="B3753" s="600"/>
      <c r="C3753" s="600"/>
      <c r="D3753" s="600"/>
      <c r="E3753" s="600"/>
      <c r="F3753" s="600"/>
      <c r="G3753" s="600"/>
      <c r="H3753" s="600"/>
    </row>
    <row r="3754" spans="1:8">
      <c r="A3754" s="600"/>
      <c r="B3754" s="600"/>
      <c r="C3754" s="600"/>
      <c r="D3754" s="600"/>
      <c r="E3754" s="600"/>
      <c r="F3754" s="600"/>
      <c r="G3754" s="600"/>
      <c r="H3754" s="600"/>
    </row>
    <row r="3755" spans="1:8">
      <c r="A3755" s="600"/>
      <c r="B3755" s="600"/>
      <c r="C3755" s="600"/>
      <c r="D3755" s="600"/>
      <c r="E3755" s="600"/>
      <c r="F3755" s="600"/>
      <c r="G3755" s="600"/>
      <c r="H3755" s="600"/>
    </row>
    <row r="3756" spans="1:8">
      <c r="A3756" s="600"/>
      <c r="B3756" s="600"/>
      <c r="C3756" s="600"/>
      <c r="D3756" s="600"/>
      <c r="E3756" s="600"/>
      <c r="F3756" s="600"/>
      <c r="G3756" s="600"/>
      <c r="H3756" s="600"/>
    </row>
    <row r="3757" spans="1:8">
      <c r="A3757" s="600"/>
      <c r="B3757" s="600"/>
      <c r="C3757" s="600"/>
      <c r="D3757" s="600"/>
      <c r="E3757" s="600"/>
      <c r="F3757" s="600"/>
      <c r="G3757" s="600"/>
      <c r="H3757" s="600"/>
    </row>
    <row r="3758" spans="1:8">
      <c r="A3758" s="600"/>
      <c r="B3758" s="600"/>
      <c r="C3758" s="600"/>
      <c r="D3758" s="600"/>
      <c r="E3758" s="600"/>
      <c r="F3758" s="600"/>
      <c r="G3758" s="600"/>
      <c r="H3758" s="600"/>
    </row>
    <row r="3759" spans="1:8">
      <c r="A3759" s="600"/>
      <c r="B3759" s="600"/>
      <c r="C3759" s="600"/>
      <c r="D3759" s="600"/>
      <c r="E3759" s="600"/>
      <c r="F3759" s="600"/>
      <c r="G3759" s="600"/>
      <c r="H3759" s="600"/>
    </row>
    <row r="3760" spans="1:8">
      <c r="A3760" s="600"/>
      <c r="B3760" s="600"/>
      <c r="C3760" s="600"/>
      <c r="D3760" s="600"/>
      <c r="E3760" s="600"/>
      <c r="F3760" s="600"/>
      <c r="G3760" s="600"/>
      <c r="H3760" s="600"/>
    </row>
    <row r="3761" spans="1:8">
      <c r="A3761" s="600"/>
      <c r="B3761" s="600"/>
      <c r="C3761" s="600"/>
      <c r="D3761" s="600"/>
      <c r="E3761" s="600"/>
      <c r="F3761" s="600"/>
      <c r="G3761" s="600"/>
      <c r="H3761" s="600"/>
    </row>
    <row r="3762" spans="1:8">
      <c r="A3762" s="600"/>
      <c r="B3762" s="600"/>
      <c r="C3762" s="600"/>
      <c r="D3762" s="600"/>
      <c r="E3762" s="600"/>
      <c r="F3762" s="600"/>
      <c r="G3762" s="600"/>
      <c r="H3762" s="600"/>
    </row>
    <row r="3763" spans="1:8">
      <c r="A3763" s="600"/>
      <c r="B3763" s="600"/>
      <c r="C3763" s="600"/>
      <c r="D3763" s="600"/>
      <c r="E3763" s="600"/>
      <c r="F3763" s="600"/>
      <c r="G3763" s="600"/>
      <c r="H3763" s="600"/>
    </row>
    <row r="3764" spans="1:8">
      <c r="A3764" s="600"/>
      <c r="B3764" s="600"/>
      <c r="C3764" s="600"/>
      <c r="D3764" s="600"/>
      <c r="E3764" s="600"/>
      <c r="F3764" s="600"/>
      <c r="G3764" s="600"/>
      <c r="H3764" s="600"/>
    </row>
    <row r="3765" spans="1:8">
      <c r="A3765" s="600"/>
      <c r="B3765" s="600"/>
      <c r="C3765" s="600"/>
      <c r="D3765" s="600"/>
      <c r="E3765" s="600"/>
      <c r="F3765" s="600"/>
      <c r="G3765" s="600"/>
      <c r="H3765" s="600"/>
    </row>
    <row r="3766" spans="1:8">
      <c r="A3766" s="600"/>
      <c r="B3766" s="600"/>
      <c r="C3766" s="600"/>
      <c r="D3766" s="600"/>
      <c r="E3766" s="600"/>
      <c r="F3766" s="600"/>
      <c r="G3766" s="600"/>
      <c r="H3766" s="600"/>
    </row>
    <row r="3767" spans="1:8">
      <c r="A3767" s="600"/>
      <c r="B3767" s="600"/>
      <c r="C3767" s="600"/>
      <c r="D3767" s="600"/>
      <c r="E3767" s="600"/>
      <c r="F3767" s="600"/>
      <c r="G3767" s="600"/>
      <c r="H3767" s="600"/>
    </row>
    <row r="3768" spans="1:8">
      <c r="A3768" s="600"/>
      <c r="B3768" s="600"/>
      <c r="C3768" s="600"/>
      <c r="D3768" s="600"/>
      <c r="E3768" s="600"/>
      <c r="F3768" s="600"/>
      <c r="G3768" s="600"/>
      <c r="H3768" s="600"/>
    </row>
    <row r="3769" spans="1:8">
      <c r="A3769" s="600"/>
      <c r="B3769" s="600"/>
      <c r="C3769" s="600"/>
      <c r="D3769" s="600"/>
      <c r="E3769" s="600"/>
      <c r="F3769" s="600"/>
      <c r="G3769" s="600"/>
      <c r="H3769" s="600"/>
    </row>
    <row r="3770" spans="1:8">
      <c r="A3770" s="600"/>
      <c r="B3770" s="600"/>
      <c r="C3770" s="600"/>
      <c r="D3770" s="600"/>
      <c r="E3770" s="600"/>
      <c r="F3770" s="600"/>
      <c r="G3770" s="600"/>
      <c r="H3770" s="600"/>
    </row>
    <row r="3771" spans="1:8">
      <c r="A3771" s="600"/>
      <c r="B3771" s="600"/>
      <c r="C3771" s="600"/>
      <c r="D3771" s="600"/>
      <c r="E3771" s="600"/>
      <c r="F3771" s="600"/>
      <c r="G3771" s="600"/>
      <c r="H3771" s="600"/>
    </row>
    <row r="3772" spans="1:8">
      <c r="A3772" s="600"/>
      <c r="B3772" s="600"/>
      <c r="C3772" s="600"/>
      <c r="D3772" s="600"/>
      <c r="E3772" s="600"/>
      <c r="F3772" s="600"/>
      <c r="G3772" s="600"/>
      <c r="H3772" s="600"/>
    </row>
    <row r="3773" spans="1:8">
      <c r="A3773" s="600"/>
      <c r="B3773" s="600"/>
      <c r="C3773" s="600"/>
      <c r="D3773" s="600"/>
      <c r="E3773" s="600"/>
      <c r="F3773" s="600"/>
      <c r="G3773" s="600"/>
      <c r="H3773" s="600"/>
    </row>
    <row r="3774" spans="1:8">
      <c r="A3774" s="600"/>
      <c r="B3774" s="600"/>
      <c r="C3774" s="600"/>
      <c r="D3774" s="600"/>
      <c r="E3774" s="600"/>
      <c r="F3774" s="600"/>
      <c r="G3774" s="600"/>
      <c r="H3774" s="600"/>
    </row>
    <row r="3775" spans="1:8">
      <c r="A3775" s="600"/>
      <c r="B3775" s="600"/>
      <c r="C3775" s="600"/>
      <c r="D3775" s="600"/>
      <c r="E3775" s="600"/>
      <c r="F3775" s="600"/>
      <c r="G3775" s="600"/>
      <c r="H3775" s="600"/>
    </row>
    <row r="3776" spans="1:8">
      <c r="A3776" s="600"/>
      <c r="B3776" s="600"/>
      <c r="C3776" s="600"/>
      <c r="D3776" s="600"/>
      <c r="E3776" s="600"/>
      <c r="F3776" s="600"/>
      <c r="G3776" s="600"/>
      <c r="H3776" s="600"/>
    </row>
    <row r="3777" spans="1:8">
      <c r="A3777" s="600"/>
      <c r="B3777" s="600"/>
      <c r="C3777" s="600"/>
      <c r="D3777" s="600"/>
      <c r="E3777" s="600"/>
      <c r="F3777" s="600"/>
      <c r="G3777" s="600"/>
      <c r="H3777" s="600"/>
    </row>
    <row r="3778" spans="1:8">
      <c r="A3778" s="600"/>
      <c r="B3778" s="600"/>
      <c r="C3778" s="600"/>
      <c r="D3778" s="600"/>
      <c r="E3778" s="600"/>
      <c r="F3778" s="600"/>
      <c r="G3778" s="600"/>
      <c r="H3778" s="600"/>
    </row>
    <row r="3779" spans="1:8">
      <c r="A3779" s="600"/>
      <c r="B3779" s="600"/>
      <c r="C3779" s="600"/>
      <c r="D3779" s="600"/>
      <c r="E3779" s="600"/>
      <c r="F3779" s="600"/>
      <c r="G3779" s="600"/>
      <c r="H3779" s="600"/>
    </row>
    <row r="3780" spans="1:8">
      <c r="A3780" s="600"/>
      <c r="B3780" s="600"/>
      <c r="C3780" s="600"/>
      <c r="D3780" s="600"/>
      <c r="E3780" s="600"/>
      <c r="F3780" s="600"/>
      <c r="G3780" s="600"/>
      <c r="H3780" s="600"/>
    </row>
    <row r="3781" spans="1:8">
      <c r="A3781" s="600"/>
      <c r="B3781" s="600"/>
      <c r="C3781" s="600"/>
      <c r="D3781" s="600"/>
      <c r="E3781" s="600"/>
      <c r="F3781" s="600"/>
      <c r="G3781" s="600"/>
      <c r="H3781" s="600"/>
    </row>
    <row r="3782" spans="1:8">
      <c r="A3782" s="600"/>
      <c r="B3782" s="600"/>
      <c r="C3782" s="600"/>
      <c r="D3782" s="600"/>
      <c r="E3782" s="600"/>
      <c r="F3782" s="600"/>
      <c r="G3782" s="600"/>
      <c r="H3782" s="600"/>
    </row>
    <row r="3783" spans="1:8">
      <c r="A3783" s="600"/>
      <c r="B3783" s="600"/>
      <c r="C3783" s="600"/>
      <c r="D3783" s="600"/>
      <c r="E3783" s="600"/>
      <c r="F3783" s="600"/>
      <c r="G3783" s="600"/>
      <c r="H3783" s="600"/>
    </row>
    <row r="3784" spans="1:8">
      <c r="A3784" s="600"/>
      <c r="B3784" s="600"/>
      <c r="C3784" s="600"/>
      <c r="D3784" s="600"/>
      <c r="E3784" s="600"/>
      <c r="F3784" s="600"/>
      <c r="G3784" s="600"/>
      <c r="H3784" s="600"/>
    </row>
    <row r="3785" spans="1:8">
      <c r="A3785" s="600"/>
      <c r="B3785" s="600"/>
      <c r="C3785" s="600"/>
      <c r="D3785" s="600"/>
      <c r="E3785" s="600"/>
      <c r="F3785" s="600"/>
      <c r="G3785" s="600"/>
      <c r="H3785" s="600"/>
    </row>
    <row r="3786" spans="1:8">
      <c r="A3786" s="600"/>
      <c r="B3786" s="600"/>
      <c r="C3786" s="600"/>
      <c r="D3786" s="600"/>
      <c r="E3786" s="600"/>
      <c r="F3786" s="600"/>
      <c r="G3786" s="600"/>
      <c r="H3786" s="600"/>
    </row>
    <row r="3787" spans="1:8">
      <c r="A3787" s="600"/>
      <c r="B3787" s="600"/>
      <c r="C3787" s="600"/>
      <c r="D3787" s="600"/>
      <c r="E3787" s="600"/>
      <c r="F3787" s="600"/>
      <c r="G3787" s="600"/>
      <c r="H3787" s="600"/>
    </row>
    <row r="3788" spans="1:8">
      <c r="A3788" s="600"/>
      <c r="B3788" s="600"/>
      <c r="C3788" s="600"/>
      <c r="D3788" s="600"/>
      <c r="E3788" s="600"/>
      <c r="F3788" s="600"/>
      <c r="G3788" s="600"/>
      <c r="H3788" s="600"/>
    </row>
    <row r="3789" spans="1:8">
      <c r="A3789" s="600"/>
      <c r="B3789" s="600"/>
      <c r="C3789" s="600"/>
      <c r="D3789" s="600"/>
      <c r="E3789" s="600"/>
      <c r="F3789" s="600"/>
      <c r="G3789" s="600"/>
      <c r="H3789" s="600"/>
    </row>
    <row r="3790" spans="1:8">
      <c r="A3790" s="600"/>
      <c r="B3790" s="600"/>
      <c r="C3790" s="600"/>
      <c r="D3790" s="600"/>
      <c r="E3790" s="600"/>
      <c r="F3790" s="600"/>
      <c r="G3790" s="600"/>
      <c r="H3790" s="600"/>
    </row>
    <row r="3791" spans="1:8">
      <c r="A3791" s="600"/>
      <c r="B3791" s="600"/>
      <c r="C3791" s="600"/>
      <c r="D3791" s="600"/>
      <c r="E3791" s="600"/>
      <c r="F3791" s="600"/>
      <c r="G3791" s="600"/>
      <c r="H3791" s="600"/>
    </row>
    <row r="3792" spans="1:8">
      <c r="A3792" s="600"/>
      <c r="B3792" s="600"/>
      <c r="C3792" s="600"/>
      <c r="D3792" s="600"/>
      <c r="E3792" s="600"/>
      <c r="F3792" s="600"/>
      <c r="G3792" s="600"/>
      <c r="H3792" s="600"/>
    </row>
    <row r="3793" spans="1:8">
      <c r="A3793" s="600"/>
      <c r="B3793" s="600"/>
      <c r="C3793" s="600"/>
      <c r="D3793" s="600"/>
      <c r="E3793" s="600"/>
      <c r="F3793" s="600"/>
      <c r="G3793" s="600"/>
      <c r="H3793" s="600"/>
    </row>
    <row r="3794" spans="1:8">
      <c r="A3794" s="600"/>
      <c r="B3794" s="600"/>
      <c r="C3794" s="600"/>
      <c r="D3794" s="600"/>
      <c r="E3794" s="600"/>
      <c r="F3794" s="600"/>
      <c r="G3794" s="600"/>
      <c r="H3794" s="600"/>
    </row>
    <row r="3795" spans="1:8">
      <c r="A3795" s="600"/>
      <c r="B3795" s="600"/>
      <c r="C3795" s="600"/>
      <c r="D3795" s="600"/>
      <c r="E3795" s="600"/>
      <c r="F3795" s="600"/>
      <c r="G3795" s="600"/>
      <c r="H3795" s="600"/>
    </row>
    <row r="3796" spans="1:8">
      <c r="A3796" s="600"/>
      <c r="B3796" s="600"/>
      <c r="C3796" s="600"/>
      <c r="D3796" s="600"/>
      <c r="E3796" s="600"/>
      <c r="F3796" s="600"/>
      <c r="G3796" s="600"/>
      <c r="H3796" s="600"/>
    </row>
    <row r="3797" spans="1:8">
      <c r="A3797" s="600"/>
      <c r="B3797" s="600"/>
      <c r="C3797" s="600"/>
      <c r="D3797" s="600"/>
      <c r="E3797" s="600"/>
      <c r="F3797" s="600"/>
      <c r="G3797" s="600"/>
      <c r="H3797" s="600"/>
    </row>
    <row r="3798" spans="1:8">
      <c r="A3798" s="600"/>
      <c r="B3798" s="600"/>
      <c r="C3798" s="600"/>
      <c r="D3798" s="600"/>
      <c r="E3798" s="600"/>
      <c r="F3798" s="600"/>
      <c r="G3798" s="600"/>
      <c r="H3798" s="600"/>
    </row>
    <row r="3799" spans="1:8">
      <c r="A3799" s="600"/>
      <c r="B3799" s="600"/>
      <c r="C3799" s="600"/>
      <c r="D3799" s="600"/>
      <c r="E3799" s="600"/>
      <c r="F3799" s="600"/>
      <c r="G3799" s="600"/>
      <c r="H3799" s="600"/>
    </row>
    <row r="3800" spans="1:8">
      <c r="A3800" s="600"/>
      <c r="B3800" s="600"/>
      <c r="C3800" s="600"/>
      <c r="D3800" s="600"/>
      <c r="E3800" s="600"/>
      <c r="F3800" s="600"/>
      <c r="G3800" s="600"/>
      <c r="H3800" s="600"/>
    </row>
    <row r="3801" spans="1:8">
      <c r="A3801" s="600"/>
      <c r="B3801" s="600"/>
      <c r="C3801" s="600"/>
      <c r="D3801" s="600"/>
      <c r="E3801" s="600"/>
      <c r="F3801" s="600"/>
      <c r="G3801" s="600"/>
      <c r="H3801" s="600"/>
    </row>
    <row r="3802" spans="1:8">
      <c r="A3802" s="600"/>
      <c r="B3802" s="600"/>
      <c r="C3802" s="600"/>
      <c r="D3802" s="600"/>
      <c r="E3802" s="600"/>
      <c r="F3802" s="600"/>
      <c r="G3802" s="600"/>
      <c r="H3802" s="600"/>
    </row>
    <row r="3803" spans="1:8">
      <c r="A3803" s="600"/>
      <c r="B3803" s="600"/>
      <c r="C3803" s="600"/>
      <c r="D3803" s="600"/>
      <c r="E3803" s="600"/>
      <c r="F3803" s="600"/>
      <c r="G3803" s="600"/>
      <c r="H3803" s="600"/>
    </row>
    <row r="3804" spans="1:8">
      <c r="A3804" s="600"/>
      <c r="B3804" s="600"/>
      <c r="C3804" s="600"/>
      <c r="D3804" s="600"/>
      <c r="E3804" s="600"/>
      <c r="F3804" s="600"/>
      <c r="G3804" s="600"/>
      <c r="H3804" s="600"/>
    </row>
    <row r="3805" spans="1:8">
      <c r="A3805" s="600"/>
      <c r="B3805" s="600"/>
      <c r="C3805" s="600"/>
      <c r="D3805" s="600"/>
      <c r="E3805" s="600"/>
      <c r="F3805" s="600"/>
      <c r="G3805" s="600"/>
      <c r="H3805" s="600"/>
    </row>
    <row r="3806" spans="1:8">
      <c r="A3806" s="600"/>
      <c r="B3806" s="600"/>
      <c r="C3806" s="600"/>
      <c r="D3806" s="600"/>
      <c r="E3806" s="600"/>
      <c r="F3806" s="600"/>
      <c r="G3806" s="600"/>
      <c r="H3806" s="600"/>
    </row>
    <row r="3807" spans="1:8">
      <c r="A3807" s="600"/>
      <c r="B3807" s="600"/>
      <c r="C3807" s="600"/>
      <c r="D3807" s="600"/>
      <c r="E3807" s="600"/>
      <c r="F3807" s="600"/>
      <c r="G3807" s="600"/>
      <c r="H3807" s="600"/>
    </row>
    <row r="3808" spans="1:8">
      <c r="A3808" s="600"/>
      <c r="B3808" s="600"/>
      <c r="C3808" s="600"/>
      <c r="D3808" s="600"/>
      <c r="E3808" s="600"/>
      <c r="F3808" s="600"/>
      <c r="G3808" s="600"/>
      <c r="H3808" s="600"/>
    </row>
    <row r="3809" spans="1:8">
      <c r="A3809" s="600"/>
      <c r="B3809" s="600"/>
      <c r="C3809" s="600"/>
      <c r="D3809" s="600"/>
      <c r="E3809" s="600"/>
      <c r="F3809" s="600"/>
      <c r="G3809" s="600"/>
      <c r="H3809" s="600"/>
    </row>
    <row r="3810" spans="1:8">
      <c r="A3810" s="600"/>
      <c r="B3810" s="600"/>
      <c r="C3810" s="600"/>
      <c r="D3810" s="600"/>
      <c r="E3810" s="600"/>
      <c r="F3810" s="600"/>
      <c r="G3810" s="600"/>
      <c r="H3810" s="600"/>
    </row>
    <row r="3811" spans="1:8">
      <c r="A3811" s="600"/>
      <c r="B3811" s="600"/>
      <c r="C3811" s="600"/>
      <c r="D3811" s="600"/>
      <c r="E3811" s="600"/>
      <c r="F3811" s="600"/>
      <c r="G3811" s="600"/>
      <c r="H3811" s="600"/>
    </row>
    <row r="3812" spans="1:8">
      <c r="A3812" s="600"/>
      <c r="B3812" s="600"/>
      <c r="C3812" s="600"/>
      <c r="D3812" s="600"/>
      <c r="E3812" s="600"/>
      <c r="F3812" s="600"/>
      <c r="G3812" s="600"/>
      <c r="H3812" s="600"/>
    </row>
    <row r="3813" spans="1:8">
      <c r="A3813" s="600"/>
      <c r="B3813" s="600"/>
      <c r="C3813" s="600"/>
      <c r="D3813" s="600"/>
      <c r="E3813" s="600"/>
      <c r="F3813" s="600"/>
      <c r="G3813" s="600"/>
      <c r="H3813" s="600"/>
    </row>
    <row r="3814" spans="1:8">
      <c r="A3814" s="600"/>
      <c r="B3814" s="600"/>
      <c r="C3814" s="600"/>
      <c r="D3814" s="600"/>
      <c r="E3814" s="600"/>
      <c r="F3814" s="600"/>
      <c r="G3814" s="600"/>
      <c r="H3814" s="600"/>
    </row>
    <row r="3815" spans="1:8">
      <c r="A3815" s="600"/>
      <c r="B3815" s="600"/>
      <c r="C3815" s="600"/>
      <c r="D3815" s="600"/>
      <c r="E3815" s="600"/>
      <c r="F3815" s="600"/>
      <c r="G3815" s="600"/>
      <c r="H3815" s="600"/>
    </row>
    <row r="3816" spans="1:8">
      <c r="A3816" s="600"/>
      <c r="B3816" s="600"/>
      <c r="C3816" s="600"/>
      <c r="D3816" s="600"/>
      <c r="E3816" s="600"/>
      <c r="F3816" s="600"/>
      <c r="G3816" s="600"/>
      <c r="H3816" s="600"/>
    </row>
    <row r="3817" spans="1:8">
      <c r="A3817" s="600"/>
      <c r="B3817" s="600"/>
      <c r="C3817" s="600"/>
      <c r="D3817" s="600"/>
      <c r="E3817" s="600"/>
      <c r="F3817" s="600"/>
      <c r="G3817" s="600"/>
      <c r="H3817" s="600"/>
    </row>
    <row r="3818" spans="1:8">
      <c r="A3818" s="600"/>
      <c r="B3818" s="600"/>
      <c r="C3818" s="600"/>
      <c r="D3818" s="600"/>
      <c r="E3818" s="600"/>
      <c r="F3818" s="600"/>
      <c r="G3818" s="600"/>
      <c r="H3818" s="600"/>
    </row>
    <row r="3819" spans="1:8">
      <c r="A3819" s="600"/>
      <c r="B3819" s="600"/>
      <c r="C3819" s="600"/>
      <c r="D3819" s="600"/>
      <c r="E3819" s="600"/>
      <c r="F3819" s="600"/>
      <c r="G3819" s="600"/>
      <c r="H3819" s="600"/>
    </row>
    <row r="3820" spans="1:8">
      <c r="A3820" s="600"/>
      <c r="B3820" s="600"/>
      <c r="C3820" s="600"/>
      <c r="D3820" s="600"/>
      <c r="E3820" s="600"/>
      <c r="F3820" s="600"/>
      <c r="G3820" s="600"/>
      <c r="H3820" s="600"/>
    </row>
    <row r="3821" spans="1:8">
      <c r="A3821" s="600"/>
      <c r="B3821" s="600"/>
      <c r="C3821" s="600"/>
      <c r="D3821" s="600"/>
      <c r="E3821" s="600"/>
      <c r="F3821" s="600"/>
      <c r="G3821" s="600"/>
      <c r="H3821" s="600"/>
    </row>
    <row r="3822" spans="1:8">
      <c r="A3822" s="600"/>
      <c r="B3822" s="600"/>
      <c r="C3822" s="600"/>
      <c r="D3822" s="600"/>
      <c r="E3822" s="600"/>
      <c r="F3822" s="600"/>
      <c r="G3822" s="600"/>
      <c r="H3822" s="600"/>
    </row>
    <row r="3823" spans="1:8">
      <c r="A3823" s="600"/>
      <c r="B3823" s="600"/>
      <c r="C3823" s="600"/>
      <c r="D3823" s="600"/>
      <c r="E3823" s="600"/>
      <c r="F3823" s="600"/>
      <c r="G3823" s="600"/>
      <c r="H3823" s="600"/>
    </row>
    <row r="3824" spans="1:8">
      <c r="A3824" s="600"/>
      <c r="B3824" s="600"/>
      <c r="C3824" s="600"/>
      <c r="D3824" s="600"/>
      <c r="E3824" s="600"/>
      <c r="F3824" s="600"/>
      <c r="G3824" s="600"/>
      <c r="H3824" s="600"/>
    </row>
    <row r="3825" spans="1:8">
      <c r="A3825" s="600"/>
      <c r="B3825" s="600"/>
      <c r="C3825" s="600"/>
      <c r="D3825" s="600"/>
      <c r="E3825" s="600"/>
      <c r="F3825" s="600"/>
      <c r="G3825" s="600"/>
      <c r="H3825" s="600"/>
    </row>
    <row r="3826" spans="1:8">
      <c r="A3826" s="600"/>
      <c r="B3826" s="600"/>
      <c r="C3826" s="600"/>
      <c r="D3826" s="600"/>
      <c r="E3826" s="600"/>
      <c r="F3826" s="600"/>
      <c r="G3826" s="600"/>
      <c r="H3826" s="600"/>
    </row>
    <row r="3827" spans="1:8">
      <c r="A3827" s="600"/>
      <c r="B3827" s="600"/>
      <c r="C3827" s="600"/>
      <c r="D3827" s="600"/>
      <c r="E3827" s="600"/>
      <c r="F3827" s="600"/>
      <c r="G3827" s="600"/>
      <c r="H3827" s="600"/>
    </row>
    <row r="3828" spans="1:8">
      <c r="A3828" s="600"/>
      <c r="B3828" s="600"/>
      <c r="C3828" s="600"/>
      <c r="D3828" s="600"/>
      <c r="E3828" s="600"/>
      <c r="F3828" s="600"/>
      <c r="G3828" s="600"/>
      <c r="H3828" s="600"/>
    </row>
    <row r="3829" spans="1:8">
      <c r="A3829" s="600"/>
      <c r="B3829" s="600"/>
      <c r="C3829" s="600"/>
      <c r="D3829" s="600"/>
      <c r="E3829" s="600"/>
      <c r="F3829" s="600"/>
      <c r="G3829" s="600"/>
      <c r="H3829" s="600"/>
    </row>
    <row r="3830" spans="1:8">
      <c r="A3830" s="600"/>
      <c r="B3830" s="600"/>
      <c r="C3830" s="600"/>
      <c r="D3830" s="600"/>
      <c r="E3830" s="600"/>
      <c r="F3830" s="600"/>
      <c r="G3830" s="600"/>
      <c r="H3830" s="600"/>
    </row>
    <row r="3831" spans="1:8">
      <c r="A3831" s="600"/>
      <c r="B3831" s="600"/>
      <c r="C3831" s="600"/>
      <c r="D3831" s="600"/>
      <c r="E3831" s="600"/>
      <c r="F3831" s="600"/>
      <c r="G3831" s="600"/>
      <c r="H3831" s="600"/>
    </row>
    <row r="3832" spans="1:8">
      <c r="A3832" s="600"/>
      <c r="B3832" s="600"/>
      <c r="C3832" s="600"/>
      <c r="D3832" s="600"/>
      <c r="E3832" s="600"/>
      <c r="F3832" s="600"/>
      <c r="G3832" s="600"/>
      <c r="H3832" s="600"/>
    </row>
    <row r="3833" spans="1:8">
      <c r="A3833" s="600"/>
      <c r="B3833" s="600"/>
      <c r="C3833" s="600"/>
      <c r="D3833" s="600"/>
      <c r="E3833" s="600"/>
      <c r="F3833" s="600"/>
      <c r="G3833" s="600"/>
      <c r="H3833" s="600"/>
    </row>
    <row r="3834" spans="1:8">
      <c r="A3834" s="600"/>
      <c r="B3834" s="600"/>
      <c r="C3834" s="600"/>
      <c r="D3834" s="600"/>
      <c r="E3834" s="600"/>
      <c r="F3834" s="600"/>
      <c r="G3834" s="600"/>
      <c r="H3834" s="600"/>
    </row>
    <row r="3835" spans="1:8">
      <c r="A3835" s="600"/>
      <c r="B3835" s="600"/>
      <c r="C3835" s="600"/>
      <c r="D3835" s="600"/>
      <c r="E3835" s="600"/>
      <c r="F3835" s="600"/>
      <c r="G3835" s="600"/>
      <c r="H3835" s="600"/>
    </row>
    <row r="3836" spans="1:8">
      <c r="A3836" s="600"/>
      <c r="B3836" s="600"/>
      <c r="C3836" s="600"/>
      <c r="D3836" s="600"/>
      <c r="E3836" s="600"/>
      <c r="F3836" s="600"/>
      <c r="G3836" s="600"/>
      <c r="H3836" s="600"/>
    </row>
    <row r="3837" spans="1:8">
      <c r="A3837" s="600"/>
      <c r="B3837" s="600"/>
      <c r="C3837" s="600"/>
      <c r="D3837" s="600"/>
      <c r="E3837" s="600"/>
      <c r="F3837" s="600"/>
      <c r="G3837" s="600"/>
      <c r="H3837" s="600"/>
    </row>
    <row r="3838" spans="1:8">
      <c r="A3838" s="600"/>
      <c r="B3838" s="600"/>
      <c r="C3838" s="600"/>
      <c r="D3838" s="600"/>
      <c r="E3838" s="600"/>
      <c r="F3838" s="600"/>
      <c r="G3838" s="600"/>
      <c r="H3838" s="600"/>
    </row>
    <row r="3839" spans="1:8">
      <c r="A3839" s="600"/>
      <c r="B3839" s="600"/>
      <c r="C3839" s="600"/>
      <c r="D3839" s="600"/>
      <c r="E3839" s="600"/>
      <c r="F3839" s="600"/>
      <c r="G3839" s="600"/>
      <c r="H3839" s="600"/>
    </row>
    <row r="3840" spans="1:8">
      <c r="A3840" s="600"/>
      <c r="B3840" s="600"/>
      <c r="C3840" s="600"/>
      <c r="D3840" s="600"/>
      <c r="E3840" s="600"/>
      <c r="F3840" s="600"/>
      <c r="G3840" s="600"/>
      <c r="H3840" s="600"/>
    </row>
    <row r="3841" spans="1:8">
      <c r="A3841" s="600"/>
      <c r="B3841" s="600"/>
      <c r="C3841" s="600"/>
      <c r="D3841" s="600"/>
      <c r="E3841" s="600"/>
      <c r="F3841" s="600"/>
      <c r="G3841" s="600"/>
      <c r="H3841" s="600"/>
    </row>
    <row r="3842" spans="1:8">
      <c r="A3842" s="600"/>
      <c r="B3842" s="600"/>
      <c r="C3842" s="600"/>
      <c r="D3842" s="600"/>
      <c r="E3842" s="600"/>
      <c r="F3842" s="600"/>
      <c r="G3842" s="600"/>
      <c r="H3842" s="600"/>
    </row>
    <row r="3843" spans="1:8">
      <c r="A3843" s="600"/>
      <c r="B3843" s="600"/>
      <c r="C3843" s="600"/>
      <c r="D3843" s="600"/>
      <c r="E3843" s="600"/>
      <c r="F3843" s="600"/>
      <c r="G3843" s="600"/>
      <c r="H3843" s="600"/>
    </row>
    <row r="3844" spans="1:8">
      <c r="A3844" s="600"/>
      <c r="B3844" s="600"/>
      <c r="C3844" s="600"/>
      <c r="D3844" s="600"/>
      <c r="E3844" s="600"/>
      <c r="F3844" s="600"/>
      <c r="G3844" s="600"/>
      <c r="H3844" s="600"/>
    </row>
    <row r="3845" spans="1:8">
      <c r="A3845" s="600"/>
      <c r="B3845" s="600"/>
      <c r="C3845" s="600"/>
      <c r="D3845" s="600"/>
      <c r="E3845" s="600"/>
      <c r="F3845" s="600"/>
      <c r="G3845" s="600"/>
      <c r="H3845" s="600"/>
    </row>
    <row r="3846" spans="1:8">
      <c r="A3846" s="600"/>
      <c r="B3846" s="600"/>
      <c r="C3846" s="600"/>
      <c r="D3846" s="600"/>
      <c r="E3846" s="600"/>
      <c r="F3846" s="600"/>
      <c r="G3846" s="600"/>
      <c r="H3846" s="600"/>
    </row>
    <row r="3847" spans="1:8">
      <c r="A3847" s="600"/>
      <c r="B3847" s="600"/>
      <c r="C3847" s="600"/>
      <c r="D3847" s="600"/>
      <c r="E3847" s="600"/>
      <c r="F3847" s="600"/>
      <c r="G3847" s="600"/>
      <c r="H3847" s="600"/>
    </row>
    <row r="3848" spans="1:8">
      <c r="A3848" s="600"/>
      <c r="B3848" s="600"/>
      <c r="C3848" s="600"/>
      <c r="D3848" s="600"/>
      <c r="E3848" s="600"/>
      <c r="F3848" s="600"/>
      <c r="G3848" s="600"/>
      <c r="H3848" s="600"/>
    </row>
    <row r="3849" spans="1:8">
      <c r="A3849" s="600"/>
      <c r="B3849" s="600"/>
      <c r="C3849" s="600"/>
      <c r="D3849" s="600"/>
      <c r="E3849" s="600"/>
      <c r="F3849" s="600"/>
      <c r="G3849" s="600"/>
      <c r="H3849" s="600"/>
    </row>
    <row r="3850" spans="1:8">
      <c r="A3850" s="600"/>
      <c r="B3850" s="600"/>
      <c r="C3850" s="600"/>
      <c r="D3850" s="600"/>
      <c r="E3850" s="600"/>
      <c r="F3850" s="600"/>
      <c r="G3850" s="600"/>
      <c r="H3850" s="600"/>
    </row>
    <row r="3851" spans="1:8">
      <c r="A3851" s="600"/>
      <c r="B3851" s="600"/>
      <c r="C3851" s="600"/>
      <c r="D3851" s="600"/>
      <c r="E3851" s="600"/>
      <c r="F3851" s="600"/>
      <c r="G3851" s="600"/>
      <c r="H3851" s="600"/>
    </row>
    <row r="3852" spans="1:8">
      <c r="A3852" s="600"/>
      <c r="B3852" s="600"/>
      <c r="C3852" s="600"/>
      <c r="D3852" s="600"/>
      <c r="E3852" s="600"/>
      <c r="F3852" s="600"/>
      <c r="G3852" s="600"/>
      <c r="H3852" s="600"/>
    </row>
    <row r="3853" spans="1:8">
      <c r="A3853" s="600"/>
      <c r="B3853" s="600"/>
      <c r="C3853" s="600"/>
      <c r="D3853" s="600"/>
      <c r="E3853" s="600"/>
      <c r="F3853" s="600"/>
      <c r="G3853" s="600"/>
      <c r="H3853" s="600"/>
    </row>
    <row r="3854" spans="1:8">
      <c r="A3854" s="600"/>
      <c r="B3854" s="600"/>
      <c r="C3854" s="600"/>
      <c r="D3854" s="600"/>
      <c r="E3854" s="600"/>
      <c r="F3854" s="600"/>
      <c r="G3854" s="600"/>
      <c r="H3854" s="600"/>
    </row>
    <row r="3855" spans="1:8">
      <c r="A3855" s="600"/>
      <c r="B3855" s="600"/>
      <c r="C3855" s="600"/>
      <c r="D3855" s="600"/>
      <c r="E3855" s="600"/>
      <c r="F3855" s="600"/>
      <c r="G3855" s="600"/>
      <c r="H3855" s="600"/>
    </row>
    <row r="3856" spans="1:8">
      <c r="A3856" s="600"/>
      <c r="B3856" s="600"/>
      <c r="C3856" s="600"/>
      <c r="D3856" s="600"/>
      <c r="E3856" s="600"/>
      <c r="F3856" s="600"/>
      <c r="G3856" s="600"/>
      <c r="H3856" s="600"/>
    </row>
    <row r="3857" spans="1:8">
      <c r="A3857" s="600"/>
      <c r="B3857" s="600"/>
      <c r="C3857" s="600"/>
      <c r="D3857" s="600"/>
      <c r="E3857" s="600"/>
      <c r="F3857" s="600"/>
      <c r="G3857" s="600"/>
      <c r="H3857" s="600"/>
    </row>
    <row r="3858" spans="1:8">
      <c r="A3858" s="600"/>
      <c r="B3858" s="600"/>
      <c r="C3858" s="600"/>
      <c r="D3858" s="600"/>
      <c r="E3858" s="600"/>
      <c r="F3858" s="600"/>
      <c r="G3858" s="600"/>
      <c r="H3858" s="600"/>
    </row>
    <row r="3859" spans="1:8">
      <c r="A3859" s="600"/>
      <c r="B3859" s="600"/>
      <c r="C3859" s="600"/>
      <c r="D3859" s="600"/>
      <c r="E3859" s="600"/>
      <c r="F3859" s="600"/>
      <c r="G3859" s="600"/>
      <c r="H3859" s="600"/>
    </row>
    <row r="3860" spans="1:8">
      <c r="A3860" s="600"/>
      <c r="B3860" s="600"/>
      <c r="C3860" s="600"/>
      <c r="D3860" s="600"/>
      <c r="E3860" s="600"/>
      <c r="F3860" s="600"/>
      <c r="G3860" s="600"/>
      <c r="H3860" s="600"/>
    </row>
    <row r="3861" spans="1:8">
      <c r="A3861" s="600"/>
      <c r="B3861" s="600"/>
      <c r="C3861" s="600"/>
      <c r="D3861" s="600"/>
      <c r="E3861" s="600"/>
      <c r="F3861" s="600"/>
      <c r="G3861" s="600"/>
      <c r="H3861" s="600"/>
    </row>
    <row r="3862" spans="1:8">
      <c r="A3862" s="600"/>
      <c r="B3862" s="600"/>
      <c r="C3862" s="600"/>
      <c r="D3862" s="600"/>
      <c r="E3862" s="600"/>
      <c r="F3862" s="600"/>
      <c r="G3862" s="600"/>
      <c r="H3862" s="600"/>
    </row>
    <row r="3863" spans="1:8">
      <c r="A3863" s="600"/>
      <c r="B3863" s="600"/>
      <c r="C3863" s="600"/>
      <c r="D3863" s="600"/>
      <c r="E3863" s="600"/>
      <c r="F3863" s="600"/>
      <c r="G3863" s="600"/>
      <c r="H3863" s="600"/>
    </row>
    <row r="3864" spans="1:8">
      <c r="A3864" s="600"/>
      <c r="B3864" s="600"/>
      <c r="C3864" s="600"/>
      <c r="D3864" s="600"/>
      <c r="E3864" s="600"/>
      <c r="F3864" s="600"/>
      <c r="G3864" s="600"/>
      <c r="H3864" s="600"/>
    </row>
    <row r="3865" spans="1:8">
      <c r="A3865" s="600"/>
      <c r="B3865" s="600"/>
      <c r="C3865" s="600"/>
      <c r="D3865" s="600"/>
      <c r="E3865" s="600"/>
      <c r="F3865" s="600"/>
      <c r="G3865" s="600"/>
      <c r="H3865" s="600"/>
    </row>
    <row r="3866" spans="1:8">
      <c r="A3866" s="600"/>
      <c r="B3866" s="600"/>
      <c r="C3866" s="600"/>
      <c r="D3866" s="600"/>
      <c r="E3866" s="600"/>
      <c r="F3866" s="600"/>
      <c r="G3866" s="600"/>
      <c r="H3866" s="600"/>
    </row>
    <row r="3867" spans="1:8">
      <c r="A3867" s="600"/>
      <c r="B3867" s="600"/>
      <c r="C3867" s="600"/>
      <c r="D3867" s="600"/>
      <c r="E3867" s="600"/>
      <c r="F3867" s="600"/>
      <c r="G3867" s="600"/>
      <c r="H3867" s="600"/>
    </row>
    <row r="3868" spans="1:8">
      <c r="A3868" s="600"/>
      <c r="B3868" s="600"/>
      <c r="C3868" s="600"/>
      <c r="D3868" s="600"/>
      <c r="E3868" s="600"/>
      <c r="F3868" s="600"/>
      <c r="G3868" s="600"/>
      <c r="H3868" s="600"/>
    </row>
    <row r="3869" spans="1:8">
      <c r="A3869" s="600"/>
      <c r="B3869" s="600"/>
      <c r="C3869" s="600"/>
      <c r="D3869" s="600"/>
      <c r="E3869" s="600"/>
      <c r="F3869" s="600"/>
      <c r="G3869" s="600"/>
      <c r="H3869" s="600"/>
    </row>
    <row r="3870" spans="1:8">
      <c r="A3870" s="600"/>
      <c r="B3870" s="600"/>
      <c r="C3870" s="600"/>
      <c r="D3870" s="600"/>
      <c r="E3870" s="600"/>
      <c r="F3870" s="600"/>
      <c r="G3870" s="600"/>
      <c r="H3870" s="600"/>
    </row>
    <row r="3871" spans="1:8">
      <c r="A3871" s="600"/>
      <c r="B3871" s="600"/>
      <c r="C3871" s="600"/>
      <c r="D3871" s="600"/>
      <c r="E3871" s="600"/>
      <c r="F3871" s="600"/>
      <c r="G3871" s="600"/>
      <c r="H3871" s="600"/>
    </row>
    <row r="3872" spans="1:8">
      <c r="A3872" s="600"/>
      <c r="B3872" s="600"/>
      <c r="C3872" s="600"/>
      <c r="D3872" s="600"/>
      <c r="E3872" s="600"/>
      <c r="F3872" s="600"/>
      <c r="G3872" s="600"/>
      <c r="H3872" s="600"/>
    </row>
    <row r="3873" spans="1:8">
      <c r="A3873" s="600"/>
      <c r="B3873" s="600"/>
      <c r="C3873" s="600"/>
      <c r="D3873" s="600"/>
      <c r="E3873" s="600"/>
      <c r="F3873" s="600"/>
      <c r="G3873" s="600"/>
      <c r="H3873" s="600"/>
    </row>
    <row r="3874" spans="1:8">
      <c r="A3874" s="600"/>
      <c r="B3874" s="600"/>
      <c r="C3874" s="600"/>
      <c r="D3874" s="600"/>
      <c r="E3874" s="600"/>
      <c r="F3874" s="600"/>
      <c r="G3874" s="600"/>
      <c r="H3874" s="600"/>
    </row>
    <row r="3875" spans="1:8">
      <c r="A3875" s="600"/>
      <c r="B3875" s="600"/>
      <c r="C3875" s="600"/>
      <c r="D3875" s="600"/>
      <c r="E3875" s="600"/>
      <c r="F3875" s="600"/>
      <c r="G3875" s="600"/>
      <c r="H3875" s="600"/>
    </row>
    <row r="3876" spans="1:8">
      <c r="A3876" s="600"/>
      <c r="B3876" s="600"/>
      <c r="C3876" s="600"/>
      <c r="D3876" s="600"/>
      <c r="E3876" s="600"/>
      <c r="F3876" s="600"/>
      <c r="G3876" s="600"/>
      <c r="H3876" s="600"/>
    </row>
    <row r="3877" spans="1:8">
      <c r="A3877" s="600"/>
      <c r="B3877" s="600"/>
      <c r="C3877" s="600"/>
      <c r="D3877" s="600"/>
      <c r="E3877" s="600"/>
      <c r="F3877" s="600"/>
      <c r="G3877" s="600"/>
      <c r="H3877" s="600"/>
    </row>
    <row r="3878" spans="1:8">
      <c r="A3878" s="600"/>
      <c r="B3878" s="600"/>
      <c r="C3878" s="600"/>
      <c r="D3878" s="600"/>
      <c r="E3878" s="600"/>
      <c r="F3878" s="600"/>
      <c r="G3878" s="600"/>
      <c r="H3878" s="600"/>
    </row>
    <row r="3879" spans="1:8">
      <c r="A3879" s="600"/>
      <c r="B3879" s="600"/>
      <c r="C3879" s="600"/>
      <c r="D3879" s="600"/>
      <c r="E3879" s="600"/>
      <c r="F3879" s="600"/>
      <c r="G3879" s="600"/>
      <c r="H3879" s="600"/>
    </row>
    <row r="3880" spans="1:8">
      <c r="A3880" s="600"/>
      <c r="B3880" s="600"/>
      <c r="C3880" s="600"/>
      <c r="D3880" s="600"/>
      <c r="E3880" s="600"/>
      <c r="F3880" s="600"/>
      <c r="G3880" s="600"/>
      <c r="H3880" s="600"/>
    </row>
    <row r="3881" spans="1:8">
      <c r="A3881" s="600"/>
      <c r="B3881" s="600"/>
      <c r="C3881" s="600"/>
      <c r="D3881" s="600"/>
      <c r="E3881" s="600"/>
      <c r="F3881" s="600"/>
      <c r="G3881" s="600"/>
      <c r="H3881" s="600"/>
    </row>
    <row r="3882" spans="1:8">
      <c r="A3882" s="600"/>
      <c r="B3882" s="600"/>
      <c r="C3882" s="600"/>
      <c r="D3882" s="600"/>
      <c r="E3882" s="600"/>
      <c r="F3882" s="600"/>
      <c r="G3882" s="600"/>
      <c r="H3882" s="600"/>
    </row>
    <row r="3883" spans="1:8">
      <c r="A3883" s="600"/>
      <c r="B3883" s="600"/>
      <c r="C3883" s="600"/>
      <c r="D3883" s="600"/>
      <c r="E3883" s="600"/>
      <c r="F3883" s="600"/>
      <c r="G3883" s="600"/>
      <c r="H3883" s="600"/>
    </row>
    <row r="3884" spans="1:8">
      <c r="A3884" s="600"/>
      <c r="B3884" s="600"/>
      <c r="C3884" s="600"/>
      <c r="D3884" s="600"/>
      <c r="E3884" s="600"/>
      <c r="F3884" s="600"/>
      <c r="G3884" s="600"/>
      <c r="H3884" s="600"/>
    </row>
    <row r="3885" spans="1:8">
      <c r="A3885" s="600"/>
      <c r="B3885" s="600"/>
      <c r="C3885" s="600"/>
      <c r="D3885" s="600"/>
      <c r="E3885" s="600"/>
      <c r="F3885" s="600"/>
      <c r="G3885" s="600"/>
      <c r="H3885" s="600"/>
    </row>
    <row r="3886" spans="1:8">
      <c r="A3886" s="600"/>
      <c r="B3886" s="600"/>
      <c r="C3886" s="600"/>
      <c r="D3886" s="600"/>
      <c r="E3886" s="600"/>
      <c r="F3886" s="600"/>
      <c r="G3886" s="600"/>
      <c r="H3886" s="600"/>
    </row>
    <row r="3887" spans="1:8">
      <c r="A3887" s="600"/>
      <c r="B3887" s="600"/>
      <c r="C3887" s="600"/>
      <c r="D3887" s="600"/>
      <c r="E3887" s="600"/>
      <c r="F3887" s="600"/>
      <c r="G3887" s="600"/>
      <c r="H3887" s="600"/>
    </row>
    <row r="3888" spans="1:8">
      <c r="A3888" s="600"/>
      <c r="B3888" s="600"/>
      <c r="C3888" s="600"/>
      <c r="D3888" s="600"/>
      <c r="E3888" s="600"/>
      <c r="F3888" s="600"/>
      <c r="G3888" s="600"/>
      <c r="H3888" s="600"/>
    </row>
    <row r="3889" spans="1:8">
      <c r="A3889" s="600"/>
      <c r="B3889" s="600"/>
      <c r="C3889" s="600"/>
      <c r="D3889" s="600"/>
      <c r="E3889" s="600"/>
      <c r="F3889" s="600"/>
      <c r="G3889" s="600"/>
      <c r="H3889" s="600"/>
    </row>
    <row r="3890" spans="1:8">
      <c r="A3890" s="600"/>
      <c r="B3890" s="600"/>
      <c r="C3890" s="600"/>
      <c r="D3890" s="600"/>
      <c r="E3890" s="600"/>
      <c r="F3890" s="600"/>
      <c r="G3890" s="600"/>
      <c r="H3890" s="600"/>
    </row>
    <row r="3891" spans="1:8">
      <c r="A3891" s="600"/>
      <c r="B3891" s="600"/>
      <c r="C3891" s="600"/>
      <c r="D3891" s="600"/>
      <c r="E3891" s="600"/>
      <c r="F3891" s="600"/>
      <c r="G3891" s="600"/>
      <c r="H3891" s="600"/>
    </row>
    <row r="3892" spans="1:8">
      <c r="A3892" s="600"/>
      <c r="B3892" s="600"/>
      <c r="C3892" s="600"/>
      <c r="D3892" s="600"/>
      <c r="E3892" s="600"/>
      <c r="F3892" s="600"/>
      <c r="G3892" s="600"/>
      <c r="H3892" s="600"/>
    </row>
    <row r="3893" spans="1:8">
      <c r="A3893" s="600"/>
      <c r="B3893" s="600"/>
      <c r="C3893" s="600"/>
      <c r="D3893" s="600"/>
      <c r="E3893" s="600"/>
      <c r="F3893" s="600"/>
      <c r="G3893" s="600"/>
      <c r="H3893" s="600"/>
    </row>
    <row r="3894" spans="1:8">
      <c r="A3894" s="600"/>
      <c r="B3894" s="600"/>
      <c r="C3894" s="600"/>
      <c r="D3894" s="600"/>
      <c r="E3894" s="600"/>
      <c r="F3894" s="600"/>
      <c r="G3894" s="600"/>
      <c r="H3894" s="600"/>
    </row>
    <row r="3895" spans="1:8">
      <c r="A3895" s="600"/>
      <c r="B3895" s="600"/>
      <c r="C3895" s="600"/>
      <c r="D3895" s="600"/>
      <c r="E3895" s="600"/>
      <c r="F3895" s="600"/>
      <c r="G3895" s="600"/>
      <c r="H3895" s="600"/>
    </row>
    <row r="3896" spans="1:8">
      <c r="A3896" s="600"/>
      <c r="B3896" s="600"/>
      <c r="C3896" s="600"/>
      <c r="D3896" s="600"/>
      <c r="E3896" s="600"/>
      <c r="F3896" s="600"/>
      <c r="G3896" s="600"/>
      <c r="H3896" s="600"/>
    </row>
    <row r="3897" spans="1:8">
      <c r="A3897" s="600"/>
      <c r="B3897" s="600"/>
      <c r="C3897" s="600"/>
      <c r="D3897" s="600"/>
      <c r="E3897" s="600"/>
      <c r="F3897" s="600"/>
      <c r="G3897" s="600"/>
      <c r="H3897" s="600"/>
    </row>
    <row r="3898" spans="1:8">
      <c r="A3898" s="600"/>
      <c r="B3898" s="600"/>
      <c r="C3898" s="600"/>
      <c r="D3898" s="600"/>
      <c r="E3898" s="600"/>
      <c r="F3898" s="600"/>
      <c r="G3898" s="600"/>
      <c r="H3898" s="600"/>
    </row>
    <row r="3899" spans="1:8">
      <c r="A3899" s="600"/>
      <c r="B3899" s="600"/>
      <c r="C3899" s="600"/>
      <c r="D3899" s="600"/>
      <c r="E3899" s="600"/>
      <c r="F3899" s="600"/>
      <c r="G3899" s="600"/>
      <c r="H3899" s="600"/>
    </row>
    <row r="3900" spans="1:8">
      <c r="A3900" s="600"/>
      <c r="B3900" s="600"/>
      <c r="C3900" s="600"/>
      <c r="D3900" s="600"/>
      <c r="E3900" s="600"/>
      <c r="F3900" s="600"/>
      <c r="G3900" s="600"/>
      <c r="H3900" s="600"/>
    </row>
    <row r="3901" spans="1:8">
      <c r="A3901" s="600"/>
      <c r="B3901" s="600"/>
      <c r="C3901" s="600"/>
      <c r="D3901" s="600"/>
      <c r="E3901" s="600"/>
      <c r="F3901" s="600"/>
      <c r="G3901" s="600"/>
      <c r="H3901" s="600"/>
    </row>
    <row r="3902" spans="1:8">
      <c r="A3902" s="600"/>
      <c r="B3902" s="600"/>
      <c r="C3902" s="600"/>
      <c r="D3902" s="600"/>
      <c r="E3902" s="600"/>
      <c r="F3902" s="600"/>
      <c r="G3902" s="600"/>
      <c r="H3902" s="600"/>
    </row>
    <row r="3903" spans="1:8">
      <c r="A3903" s="600"/>
      <c r="B3903" s="600"/>
      <c r="C3903" s="600"/>
      <c r="D3903" s="600"/>
      <c r="E3903" s="600"/>
      <c r="F3903" s="600"/>
      <c r="G3903" s="600"/>
      <c r="H3903" s="600"/>
    </row>
    <row r="3904" spans="1:8">
      <c r="A3904" s="600"/>
      <c r="B3904" s="600"/>
      <c r="C3904" s="600"/>
      <c r="D3904" s="600"/>
      <c r="E3904" s="600"/>
      <c r="F3904" s="600"/>
      <c r="G3904" s="600"/>
      <c r="H3904" s="600"/>
    </row>
    <row r="3905" spans="1:8">
      <c r="A3905" s="600"/>
      <c r="B3905" s="600"/>
      <c r="C3905" s="600"/>
      <c r="D3905" s="600"/>
      <c r="E3905" s="600"/>
      <c r="F3905" s="600"/>
      <c r="G3905" s="600"/>
      <c r="H3905" s="600"/>
    </row>
    <row r="3906" spans="1:8">
      <c r="A3906" s="600"/>
      <c r="B3906" s="600"/>
      <c r="C3906" s="600"/>
      <c r="D3906" s="600"/>
      <c r="E3906" s="600"/>
      <c r="F3906" s="600"/>
      <c r="G3906" s="600"/>
      <c r="H3906" s="600"/>
    </row>
    <row r="3907" spans="1:8">
      <c r="A3907" s="600"/>
      <c r="B3907" s="600"/>
      <c r="C3907" s="600"/>
      <c r="D3907" s="600"/>
      <c r="E3907" s="600"/>
      <c r="F3907" s="600"/>
      <c r="G3907" s="600"/>
      <c r="H3907" s="600"/>
    </row>
    <row r="3908" spans="1:8">
      <c r="A3908" s="600"/>
      <c r="B3908" s="600"/>
      <c r="C3908" s="600"/>
      <c r="D3908" s="600"/>
      <c r="E3908" s="600"/>
      <c r="F3908" s="600"/>
      <c r="G3908" s="600"/>
      <c r="H3908" s="600"/>
    </row>
    <row r="3909" spans="1:8">
      <c r="A3909" s="600"/>
      <c r="B3909" s="600"/>
      <c r="C3909" s="600"/>
      <c r="D3909" s="600"/>
      <c r="E3909" s="600"/>
      <c r="F3909" s="600"/>
      <c r="G3909" s="600"/>
      <c r="H3909" s="600"/>
    </row>
    <row r="3910" spans="1:8">
      <c r="A3910" s="600"/>
      <c r="B3910" s="600"/>
      <c r="C3910" s="600"/>
      <c r="D3910" s="600"/>
      <c r="E3910" s="600"/>
      <c r="F3910" s="600"/>
      <c r="G3910" s="600"/>
      <c r="H3910" s="600"/>
    </row>
    <row r="3911" spans="1:8">
      <c r="A3911" s="600"/>
      <c r="B3911" s="600"/>
      <c r="C3911" s="600"/>
      <c r="D3911" s="600"/>
      <c r="E3911" s="600"/>
      <c r="F3911" s="600"/>
      <c r="G3911" s="600"/>
      <c r="H3911" s="600"/>
    </row>
    <row r="3912" spans="1:8">
      <c r="A3912" s="600"/>
      <c r="B3912" s="600"/>
      <c r="C3912" s="600"/>
      <c r="D3912" s="600"/>
      <c r="E3912" s="600"/>
      <c r="F3912" s="600"/>
      <c r="G3912" s="600"/>
      <c r="H3912" s="600"/>
    </row>
    <row r="3913" spans="1:8">
      <c r="A3913" s="600"/>
      <c r="B3913" s="600"/>
      <c r="C3913" s="600"/>
      <c r="D3913" s="600"/>
      <c r="E3913" s="600"/>
      <c r="F3913" s="600"/>
      <c r="G3913" s="600"/>
      <c r="H3913" s="600"/>
    </row>
    <row r="3914" spans="1:8">
      <c r="A3914" s="600"/>
      <c r="B3914" s="600"/>
      <c r="C3914" s="600"/>
      <c r="D3914" s="600"/>
      <c r="E3914" s="600"/>
      <c r="F3914" s="600"/>
      <c r="G3914" s="600"/>
      <c r="H3914" s="600"/>
    </row>
    <row r="3915" spans="1:8">
      <c r="A3915" s="600"/>
      <c r="B3915" s="600"/>
      <c r="C3915" s="600"/>
      <c r="D3915" s="600"/>
      <c r="E3915" s="600"/>
      <c r="F3915" s="600"/>
      <c r="G3915" s="600"/>
      <c r="H3915" s="600"/>
    </row>
    <row r="3916" spans="1:8">
      <c r="A3916" s="600"/>
      <c r="B3916" s="600"/>
      <c r="C3916" s="600"/>
      <c r="D3916" s="600"/>
      <c r="E3916" s="600"/>
      <c r="F3916" s="600"/>
      <c r="G3916" s="600"/>
      <c r="H3916" s="600"/>
    </row>
    <row r="3917" spans="1:8">
      <c r="A3917" s="600"/>
      <c r="B3917" s="600"/>
      <c r="C3917" s="600"/>
      <c r="D3917" s="600"/>
      <c r="E3917" s="600"/>
      <c r="F3917" s="600"/>
      <c r="G3917" s="600"/>
      <c r="H3917" s="600"/>
    </row>
    <row r="3918" spans="1:8">
      <c r="A3918" s="600"/>
      <c r="B3918" s="600"/>
      <c r="C3918" s="600"/>
      <c r="D3918" s="600"/>
      <c r="E3918" s="600"/>
      <c r="F3918" s="600"/>
      <c r="G3918" s="600"/>
      <c r="H3918" s="600"/>
    </row>
    <row r="3919" spans="1:8">
      <c r="A3919" s="600"/>
      <c r="B3919" s="600"/>
      <c r="C3919" s="600"/>
      <c r="D3919" s="600"/>
      <c r="E3919" s="600"/>
      <c r="F3919" s="600"/>
      <c r="G3919" s="600"/>
      <c r="H3919" s="600"/>
    </row>
    <row r="3920" spans="1:8">
      <c r="A3920" s="600"/>
      <c r="B3920" s="600"/>
      <c r="C3920" s="600"/>
      <c r="D3920" s="600"/>
      <c r="E3920" s="600"/>
      <c r="F3920" s="600"/>
      <c r="G3920" s="600"/>
      <c r="H3920" s="600"/>
    </row>
    <row r="3921" spans="1:8">
      <c r="A3921" s="600"/>
      <c r="B3921" s="600"/>
      <c r="C3921" s="600"/>
      <c r="D3921" s="600"/>
      <c r="E3921" s="600"/>
      <c r="F3921" s="600"/>
      <c r="G3921" s="600"/>
      <c r="H3921" s="600"/>
    </row>
    <row r="3922" spans="1:8">
      <c r="A3922" s="600"/>
      <c r="B3922" s="600"/>
      <c r="C3922" s="600"/>
      <c r="D3922" s="600"/>
      <c r="E3922" s="600"/>
      <c r="F3922" s="600"/>
      <c r="G3922" s="600"/>
      <c r="H3922" s="600"/>
    </row>
    <row r="3923" spans="1:8">
      <c r="A3923" s="600"/>
      <c r="B3923" s="600"/>
      <c r="C3923" s="600"/>
      <c r="D3923" s="600"/>
      <c r="E3923" s="600"/>
      <c r="F3923" s="600"/>
      <c r="G3923" s="600"/>
      <c r="H3923" s="600"/>
    </row>
    <row r="3924" spans="1:8">
      <c r="A3924" s="600"/>
      <c r="B3924" s="600"/>
      <c r="C3924" s="600"/>
      <c r="D3924" s="600"/>
      <c r="E3924" s="600"/>
      <c r="F3924" s="600"/>
      <c r="G3924" s="600"/>
      <c r="H3924" s="600"/>
    </row>
    <row r="3925" spans="1:8">
      <c r="A3925" s="600"/>
      <c r="B3925" s="600"/>
      <c r="C3925" s="600"/>
      <c r="D3925" s="600"/>
      <c r="E3925" s="600"/>
      <c r="F3925" s="600"/>
      <c r="G3925" s="600"/>
      <c r="H3925" s="600"/>
    </row>
    <row r="3926" spans="1:8">
      <c r="A3926" s="600"/>
      <c r="B3926" s="600"/>
      <c r="C3926" s="600"/>
      <c r="D3926" s="600"/>
      <c r="E3926" s="600"/>
      <c r="F3926" s="600"/>
      <c r="G3926" s="600"/>
      <c r="H3926" s="600"/>
    </row>
    <row r="3927" spans="1:8">
      <c r="A3927" s="600"/>
      <c r="B3927" s="600"/>
      <c r="C3927" s="600"/>
      <c r="D3927" s="600"/>
      <c r="E3927" s="600"/>
      <c r="F3927" s="600"/>
      <c r="G3927" s="600"/>
      <c r="H3927" s="600"/>
    </row>
    <row r="3928" spans="1:8">
      <c r="A3928" s="600"/>
      <c r="B3928" s="600"/>
      <c r="C3928" s="600"/>
      <c r="D3928" s="600"/>
      <c r="E3928" s="600"/>
      <c r="F3928" s="600"/>
      <c r="G3928" s="600"/>
      <c r="H3928" s="600"/>
    </row>
    <row r="3929" spans="1:8">
      <c r="A3929" s="600"/>
      <c r="B3929" s="600"/>
      <c r="C3929" s="600"/>
      <c r="D3929" s="600"/>
      <c r="E3929" s="600"/>
      <c r="F3929" s="600"/>
      <c r="G3929" s="600"/>
      <c r="H3929" s="600"/>
    </row>
    <row r="3930" spans="1:8">
      <c r="A3930" s="600"/>
      <c r="B3930" s="600"/>
      <c r="C3930" s="600"/>
      <c r="D3930" s="600"/>
      <c r="E3930" s="600"/>
      <c r="F3930" s="600"/>
      <c r="G3930" s="600"/>
      <c r="H3930" s="600"/>
    </row>
    <row r="3931" spans="1:8">
      <c r="A3931" s="600"/>
      <c r="B3931" s="600"/>
      <c r="C3931" s="600"/>
      <c r="D3931" s="600"/>
      <c r="E3931" s="600"/>
      <c r="F3931" s="600"/>
      <c r="G3931" s="600"/>
      <c r="H3931" s="600"/>
    </row>
    <row r="3932" spans="1:8">
      <c r="A3932" s="600"/>
      <c r="B3932" s="600"/>
      <c r="C3932" s="600"/>
      <c r="D3932" s="600"/>
      <c r="E3932" s="600"/>
      <c r="F3932" s="600"/>
      <c r="G3932" s="600"/>
      <c r="H3932" s="600"/>
    </row>
    <row r="3933" spans="1:8">
      <c r="A3933" s="600"/>
      <c r="B3933" s="600"/>
      <c r="C3933" s="600"/>
      <c r="D3933" s="600"/>
      <c r="E3933" s="600"/>
      <c r="F3933" s="600"/>
      <c r="G3933" s="600"/>
      <c r="H3933" s="600"/>
    </row>
    <row r="3934" spans="1:8">
      <c r="A3934" s="600"/>
      <c r="B3934" s="600"/>
      <c r="C3934" s="600"/>
      <c r="D3934" s="600"/>
      <c r="E3934" s="600"/>
      <c r="F3934" s="600"/>
      <c r="G3934" s="600"/>
      <c r="H3934" s="600"/>
    </row>
    <row r="3935" spans="1:8">
      <c r="A3935" s="600"/>
      <c r="B3935" s="600"/>
      <c r="C3935" s="600"/>
      <c r="D3935" s="600"/>
      <c r="E3935" s="600"/>
      <c r="F3935" s="600"/>
      <c r="G3935" s="600"/>
      <c r="H3935" s="600"/>
    </row>
    <row r="3936" spans="1:8">
      <c r="A3936" s="600"/>
      <c r="B3936" s="600"/>
      <c r="C3936" s="600"/>
      <c r="D3936" s="600"/>
      <c r="E3936" s="600"/>
      <c r="F3936" s="600"/>
      <c r="G3936" s="600"/>
      <c r="H3936" s="600"/>
    </row>
    <row r="3937" spans="1:8">
      <c r="A3937" s="600"/>
      <c r="B3937" s="600"/>
      <c r="C3937" s="600"/>
      <c r="D3937" s="600"/>
      <c r="E3937" s="600"/>
      <c r="F3937" s="600"/>
      <c r="G3937" s="600"/>
      <c r="H3937" s="600"/>
    </row>
    <row r="3938" spans="1:8">
      <c r="A3938" s="600"/>
      <c r="B3938" s="600"/>
      <c r="C3938" s="600"/>
      <c r="D3938" s="600"/>
      <c r="E3938" s="600"/>
      <c r="F3938" s="600"/>
      <c r="G3938" s="600"/>
      <c r="H3938" s="600"/>
    </row>
    <row r="3939" spans="1:8">
      <c r="A3939" s="600"/>
      <c r="B3939" s="600"/>
      <c r="C3939" s="600"/>
      <c r="D3939" s="600"/>
      <c r="E3939" s="600"/>
      <c r="F3939" s="600"/>
      <c r="G3939" s="600"/>
      <c r="H3939" s="600"/>
    </row>
    <row r="3940" spans="1:8">
      <c r="A3940" s="600"/>
      <c r="B3940" s="600"/>
      <c r="C3940" s="600"/>
      <c r="D3940" s="600"/>
      <c r="E3940" s="600"/>
      <c r="F3940" s="600"/>
      <c r="G3940" s="600"/>
      <c r="H3940" s="600"/>
    </row>
    <row r="3941" spans="1:8">
      <c r="A3941" s="600"/>
      <c r="B3941" s="600"/>
      <c r="C3941" s="600"/>
      <c r="D3941" s="600"/>
      <c r="E3941" s="600"/>
      <c r="F3941" s="600"/>
      <c r="G3941" s="600"/>
      <c r="H3941" s="600"/>
    </row>
    <row r="3942" spans="1:8">
      <c r="A3942" s="600"/>
      <c r="B3942" s="600"/>
      <c r="C3942" s="600"/>
      <c r="D3942" s="600"/>
      <c r="E3942" s="600"/>
      <c r="F3942" s="600"/>
      <c r="G3942" s="600"/>
      <c r="H3942" s="600"/>
    </row>
    <row r="3943" spans="1:8">
      <c r="A3943" s="600"/>
      <c r="B3943" s="600"/>
      <c r="C3943" s="600"/>
      <c r="D3943" s="600"/>
      <c r="E3943" s="600"/>
      <c r="F3943" s="600"/>
      <c r="G3943" s="600"/>
      <c r="H3943" s="600"/>
    </row>
    <row r="3944" spans="1:8">
      <c r="A3944" s="600"/>
      <c r="B3944" s="600"/>
      <c r="C3944" s="600"/>
      <c r="D3944" s="600"/>
      <c r="E3944" s="600"/>
      <c r="F3944" s="600"/>
      <c r="G3944" s="600"/>
      <c r="H3944" s="600"/>
    </row>
    <row r="3945" spans="1:8">
      <c r="A3945" s="600"/>
      <c r="B3945" s="600"/>
      <c r="C3945" s="600"/>
      <c r="D3945" s="600"/>
      <c r="E3945" s="600"/>
      <c r="F3945" s="600"/>
      <c r="G3945" s="600"/>
      <c r="H3945" s="600"/>
    </row>
    <row r="3946" spans="1:8">
      <c r="A3946" s="600"/>
      <c r="B3946" s="600"/>
      <c r="C3946" s="600"/>
      <c r="D3946" s="600"/>
      <c r="E3946" s="600"/>
      <c r="F3946" s="600"/>
      <c r="G3946" s="600"/>
      <c r="H3946" s="600"/>
    </row>
    <row r="3947" spans="1:8">
      <c r="A3947" s="600"/>
      <c r="B3947" s="600"/>
      <c r="C3947" s="600"/>
      <c r="D3947" s="600"/>
      <c r="E3947" s="600"/>
      <c r="F3947" s="600"/>
      <c r="G3947" s="600"/>
      <c r="H3947" s="600"/>
    </row>
    <row r="3948" spans="1:8">
      <c r="A3948" s="600"/>
      <c r="B3948" s="600"/>
      <c r="C3948" s="600"/>
      <c r="D3948" s="600"/>
      <c r="E3948" s="600"/>
      <c r="F3948" s="600"/>
      <c r="G3948" s="600"/>
      <c r="H3948" s="600"/>
    </row>
    <row r="3949" spans="1:8">
      <c r="A3949" s="600"/>
      <c r="B3949" s="600"/>
      <c r="C3949" s="600"/>
      <c r="D3949" s="600"/>
      <c r="E3949" s="600"/>
      <c r="F3949" s="600"/>
      <c r="G3949" s="600"/>
      <c r="H3949" s="600"/>
    </row>
    <row r="3950" spans="1:8">
      <c r="A3950" s="600"/>
      <c r="B3950" s="600"/>
      <c r="C3950" s="600"/>
      <c r="D3950" s="600"/>
      <c r="E3950" s="600"/>
      <c r="F3950" s="600"/>
      <c r="G3950" s="600"/>
      <c r="H3950" s="600"/>
    </row>
    <row r="3951" spans="1:8">
      <c r="A3951" s="600"/>
      <c r="B3951" s="600"/>
      <c r="C3951" s="600"/>
      <c r="D3951" s="600"/>
      <c r="E3951" s="600"/>
      <c r="F3951" s="600"/>
      <c r="G3951" s="600"/>
      <c r="H3951" s="600"/>
    </row>
    <row r="3952" spans="1:8">
      <c r="A3952" s="600"/>
      <c r="B3952" s="600"/>
      <c r="C3952" s="600"/>
      <c r="D3952" s="600"/>
      <c r="E3952" s="600"/>
      <c r="F3952" s="600"/>
      <c r="G3952" s="600"/>
      <c r="H3952" s="600"/>
    </row>
    <row r="3953" spans="1:8">
      <c r="A3953" s="600"/>
      <c r="B3953" s="600"/>
      <c r="C3953" s="600"/>
      <c r="D3953" s="600"/>
      <c r="E3953" s="600"/>
      <c r="F3953" s="600"/>
      <c r="G3953" s="600"/>
      <c r="H3953" s="600"/>
    </row>
    <row r="3954" spans="1:8">
      <c r="A3954" s="600"/>
      <c r="B3954" s="600"/>
      <c r="C3954" s="600"/>
      <c r="D3954" s="600"/>
      <c r="E3954" s="600"/>
      <c r="F3954" s="600"/>
      <c r="G3954" s="600"/>
      <c r="H3954" s="600"/>
    </row>
    <row r="3955" spans="1:8">
      <c r="A3955" s="600"/>
      <c r="B3955" s="600"/>
      <c r="C3955" s="600"/>
      <c r="D3955" s="600"/>
      <c r="E3955" s="600"/>
      <c r="F3955" s="600"/>
      <c r="G3955" s="600"/>
      <c r="H3955" s="600"/>
    </row>
    <row r="3956" spans="1:8">
      <c r="A3956" s="600"/>
      <c r="B3956" s="600"/>
      <c r="C3956" s="600"/>
      <c r="D3956" s="600"/>
      <c r="E3956" s="600"/>
      <c r="F3956" s="600"/>
      <c r="G3956" s="600"/>
      <c r="H3956" s="600"/>
    </row>
    <row r="3957" spans="1:8">
      <c r="A3957" s="600"/>
      <c r="B3957" s="600"/>
      <c r="C3957" s="600"/>
      <c r="D3957" s="600"/>
      <c r="E3957" s="600"/>
      <c r="F3957" s="600"/>
      <c r="G3957" s="600"/>
      <c r="H3957" s="600"/>
    </row>
    <row r="3958" spans="1:8">
      <c r="A3958" s="600"/>
      <c r="B3958" s="600"/>
      <c r="C3958" s="600"/>
      <c r="D3958" s="600"/>
      <c r="E3958" s="600"/>
      <c r="F3958" s="600"/>
      <c r="G3958" s="600"/>
      <c r="H3958" s="600"/>
    </row>
    <row r="3959" spans="1:8">
      <c r="A3959" s="600"/>
      <c r="B3959" s="600"/>
      <c r="C3959" s="600"/>
      <c r="D3959" s="600"/>
      <c r="E3959" s="600"/>
      <c r="F3959" s="600"/>
      <c r="G3959" s="600"/>
      <c r="H3959" s="600"/>
    </row>
    <row r="3960" spans="1:8">
      <c r="A3960" s="600"/>
      <c r="B3960" s="600"/>
      <c r="C3960" s="600"/>
      <c r="D3960" s="600"/>
      <c r="E3960" s="600"/>
      <c r="F3960" s="600"/>
      <c r="G3960" s="600"/>
      <c r="H3960" s="600"/>
    </row>
    <row r="3961" spans="1:8">
      <c r="A3961" s="600"/>
      <c r="B3961" s="600"/>
      <c r="C3961" s="600"/>
      <c r="D3961" s="600"/>
      <c r="E3961" s="600"/>
      <c r="F3961" s="600"/>
      <c r="G3961" s="600"/>
      <c r="H3961" s="600"/>
    </row>
    <row r="3962" spans="1:8">
      <c r="A3962" s="600"/>
      <c r="B3962" s="600"/>
      <c r="C3962" s="600"/>
      <c r="D3962" s="600"/>
      <c r="E3962" s="600"/>
      <c r="F3962" s="600"/>
      <c r="G3962" s="600"/>
      <c r="H3962" s="600"/>
    </row>
    <row r="3963" spans="1:8">
      <c r="A3963" s="600"/>
      <c r="B3963" s="600"/>
      <c r="C3963" s="600"/>
      <c r="D3963" s="600"/>
      <c r="E3963" s="600"/>
      <c r="F3963" s="600"/>
      <c r="G3963" s="600"/>
      <c r="H3963" s="600"/>
    </row>
    <row r="3964" spans="1:8">
      <c r="A3964" s="600"/>
      <c r="B3964" s="600"/>
      <c r="C3964" s="600"/>
      <c r="D3964" s="600"/>
      <c r="E3964" s="600"/>
      <c r="F3964" s="600"/>
      <c r="G3964" s="600"/>
      <c r="H3964" s="600"/>
    </row>
    <row r="3965" spans="1:8">
      <c r="A3965" s="600"/>
      <c r="B3965" s="600"/>
      <c r="C3965" s="600"/>
      <c r="D3965" s="600"/>
      <c r="E3965" s="600"/>
      <c r="F3965" s="600"/>
      <c r="G3965" s="600"/>
      <c r="H3965" s="600"/>
    </row>
    <row r="3966" spans="1:8">
      <c r="A3966" s="600"/>
      <c r="B3966" s="600"/>
      <c r="C3966" s="600"/>
      <c r="D3966" s="600"/>
      <c r="E3966" s="600"/>
      <c r="F3966" s="600"/>
      <c r="G3966" s="600"/>
      <c r="H3966" s="600"/>
    </row>
    <row r="3967" spans="1:8">
      <c r="A3967" s="600"/>
      <c r="B3967" s="600"/>
      <c r="C3967" s="600"/>
      <c r="D3967" s="600"/>
      <c r="E3967" s="600"/>
      <c r="F3967" s="600"/>
      <c r="G3967" s="600"/>
      <c r="H3967" s="600"/>
    </row>
    <row r="3968" spans="1:8">
      <c r="A3968" s="600"/>
      <c r="B3968" s="600"/>
      <c r="C3968" s="600"/>
      <c r="D3968" s="600"/>
      <c r="E3968" s="600"/>
      <c r="F3968" s="600"/>
      <c r="G3968" s="600"/>
      <c r="H3968" s="600"/>
    </row>
    <row r="3969" spans="1:8">
      <c r="A3969" s="600"/>
      <c r="B3969" s="600"/>
      <c r="C3969" s="600"/>
      <c r="D3969" s="600"/>
      <c r="E3969" s="600"/>
      <c r="F3969" s="600"/>
      <c r="G3969" s="600"/>
      <c r="H3969" s="600"/>
    </row>
    <row r="3970" spans="1:8">
      <c r="A3970" s="600"/>
      <c r="B3970" s="600"/>
      <c r="C3970" s="600"/>
      <c r="D3970" s="600"/>
      <c r="E3970" s="600"/>
      <c r="F3970" s="600"/>
      <c r="G3970" s="600"/>
      <c r="H3970" s="600"/>
    </row>
    <row r="3971" spans="1:8">
      <c r="A3971" s="600"/>
      <c r="B3971" s="600"/>
      <c r="C3971" s="600"/>
      <c r="D3971" s="600"/>
      <c r="E3971" s="600"/>
      <c r="F3971" s="600"/>
      <c r="G3971" s="600"/>
      <c r="H3971" s="600"/>
    </row>
    <row r="3972" spans="1:8">
      <c r="A3972" s="600"/>
      <c r="B3972" s="600"/>
      <c r="C3972" s="600"/>
      <c r="D3972" s="600"/>
      <c r="E3972" s="600"/>
      <c r="F3972" s="600"/>
      <c r="G3972" s="600"/>
      <c r="H3972" s="600"/>
    </row>
    <row r="3973" spans="1:8">
      <c r="A3973" s="600"/>
      <c r="B3973" s="600"/>
      <c r="C3973" s="600"/>
      <c r="D3973" s="600"/>
      <c r="E3973" s="600"/>
      <c r="F3973" s="600"/>
      <c r="G3973" s="600"/>
      <c r="H3973" s="600"/>
    </row>
    <row r="3974" spans="1:8">
      <c r="A3974" s="600"/>
      <c r="B3974" s="600"/>
      <c r="C3974" s="600"/>
      <c r="D3974" s="600"/>
      <c r="E3974" s="600"/>
      <c r="F3974" s="600"/>
      <c r="G3974" s="600"/>
      <c r="H3974" s="600"/>
    </row>
    <row r="3975" spans="1:8">
      <c r="A3975" s="600"/>
      <c r="B3975" s="600"/>
      <c r="C3975" s="600"/>
      <c r="D3975" s="600"/>
      <c r="E3975" s="600"/>
      <c r="F3975" s="600"/>
      <c r="G3975" s="600"/>
      <c r="H3975" s="600"/>
    </row>
    <row r="3976" spans="1:8">
      <c r="A3976" s="600"/>
      <c r="B3976" s="600"/>
      <c r="C3976" s="600"/>
      <c r="D3976" s="600"/>
      <c r="E3976" s="600"/>
      <c r="F3976" s="600"/>
      <c r="G3976" s="600"/>
      <c r="H3976" s="600"/>
    </row>
    <row r="3977" spans="1:8">
      <c r="A3977" s="600"/>
      <c r="B3977" s="600"/>
      <c r="C3977" s="600"/>
      <c r="D3977" s="600"/>
      <c r="E3977" s="600"/>
      <c r="F3977" s="600"/>
      <c r="G3977" s="600"/>
      <c r="H3977" s="600"/>
    </row>
    <row r="3978" spans="1:8">
      <c r="A3978" s="600"/>
      <c r="B3978" s="600"/>
      <c r="C3978" s="600"/>
      <c r="D3978" s="600"/>
      <c r="E3978" s="600"/>
      <c r="F3978" s="600"/>
      <c r="G3978" s="600"/>
      <c r="H3978" s="600"/>
    </row>
    <row r="3979" spans="1:8">
      <c r="A3979" s="600"/>
      <c r="B3979" s="600"/>
      <c r="C3979" s="600"/>
      <c r="D3979" s="600"/>
      <c r="E3979" s="600"/>
      <c r="F3979" s="600"/>
      <c r="G3979" s="600"/>
      <c r="H3979" s="600"/>
    </row>
    <row r="3980" spans="1:8">
      <c r="A3980" s="600"/>
      <c r="B3980" s="600"/>
      <c r="C3980" s="600"/>
      <c r="D3980" s="600"/>
      <c r="E3980" s="600"/>
      <c r="F3980" s="600"/>
      <c r="G3980" s="600"/>
      <c r="H3980" s="600"/>
    </row>
    <row r="3981" spans="1:8">
      <c r="A3981" s="600"/>
      <c r="B3981" s="600"/>
      <c r="C3981" s="600"/>
      <c r="D3981" s="600"/>
      <c r="E3981" s="600"/>
      <c r="F3981" s="600"/>
      <c r="G3981" s="600"/>
      <c r="H3981" s="600"/>
    </row>
    <row r="3982" spans="1:8">
      <c r="A3982" s="600"/>
      <c r="B3982" s="600"/>
      <c r="C3982" s="600"/>
      <c r="D3982" s="600"/>
      <c r="E3982" s="600"/>
      <c r="F3982" s="600"/>
      <c r="G3982" s="600"/>
      <c r="H3982" s="600"/>
    </row>
    <row r="3983" spans="1:8">
      <c r="A3983" s="600"/>
      <c r="B3983" s="600"/>
      <c r="C3983" s="600"/>
      <c r="D3983" s="600"/>
      <c r="E3983" s="600"/>
      <c r="F3983" s="600"/>
      <c r="G3983" s="600"/>
      <c r="H3983" s="600"/>
    </row>
    <row r="3984" spans="1:8">
      <c r="A3984" s="600"/>
      <c r="B3984" s="600"/>
      <c r="C3984" s="600"/>
      <c r="D3984" s="600"/>
      <c r="E3984" s="600"/>
      <c r="F3984" s="600"/>
      <c r="G3984" s="600"/>
      <c r="H3984" s="600"/>
    </row>
    <row r="3985" spans="1:8">
      <c r="A3985" s="600"/>
      <c r="B3985" s="600"/>
      <c r="C3985" s="600"/>
      <c r="D3985" s="600"/>
      <c r="E3985" s="600"/>
      <c r="F3985" s="600"/>
      <c r="G3985" s="600"/>
      <c r="H3985" s="600"/>
    </row>
    <row r="3986" spans="1:8">
      <c r="A3986" s="600"/>
      <c r="B3986" s="600"/>
      <c r="C3986" s="600"/>
      <c r="D3986" s="600"/>
      <c r="E3986" s="600"/>
      <c r="F3986" s="600"/>
      <c r="G3986" s="600"/>
      <c r="H3986" s="600"/>
    </row>
    <row r="3987" spans="1:8">
      <c r="A3987" s="600"/>
      <c r="B3987" s="600"/>
      <c r="C3987" s="600"/>
      <c r="D3987" s="600"/>
      <c r="E3987" s="600"/>
      <c r="F3987" s="600"/>
      <c r="G3987" s="600"/>
      <c r="H3987" s="600"/>
    </row>
    <row r="3988" spans="1:8">
      <c r="A3988" s="600"/>
      <c r="B3988" s="600"/>
      <c r="C3988" s="600"/>
      <c r="D3988" s="600"/>
      <c r="E3988" s="600"/>
      <c r="F3988" s="600"/>
      <c r="G3988" s="600"/>
      <c r="H3988" s="600"/>
    </row>
    <row r="3989" spans="1:8">
      <c r="A3989" s="600"/>
      <c r="B3989" s="600"/>
      <c r="C3989" s="600"/>
      <c r="D3989" s="600"/>
      <c r="E3989" s="600"/>
      <c r="F3989" s="600"/>
      <c r="G3989" s="600"/>
      <c r="H3989" s="600"/>
    </row>
    <row r="3990" spans="1:8">
      <c r="A3990" s="600"/>
      <c r="B3990" s="600"/>
      <c r="C3990" s="600"/>
      <c r="D3990" s="600"/>
      <c r="E3990" s="600"/>
      <c r="F3990" s="600"/>
      <c r="G3990" s="600"/>
      <c r="H3990" s="600"/>
    </row>
    <row r="3991" spans="1:8">
      <c r="A3991" s="600"/>
      <c r="B3991" s="600"/>
      <c r="C3991" s="600"/>
      <c r="D3991" s="600"/>
      <c r="E3991" s="600"/>
      <c r="F3991" s="600"/>
      <c r="G3991" s="600"/>
      <c r="H3991" s="600"/>
    </row>
    <row r="3992" spans="1:8">
      <c r="A3992" s="600"/>
      <c r="B3992" s="600"/>
      <c r="C3992" s="600"/>
      <c r="D3992" s="600"/>
      <c r="E3992" s="600"/>
      <c r="F3992" s="600"/>
      <c r="G3992" s="600"/>
      <c r="H3992" s="600"/>
    </row>
    <row r="3993" spans="1:8">
      <c r="A3993" s="600"/>
      <c r="B3993" s="600"/>
      <c r="C3993" s="600"/>
      <c r="D3993" s="600"/>
      <c r="E3993" s="600"/>
      <c r="F3993" s="600"/>
      <c r="G3993" s="600"/>
      <c r="H3993" s="600"/>
    </row>
    <row r="3994" spans="1:8">
      <c r="A3994" s="600"/>
      <c r="B3994" s="600"/>
      <c r="C3994" s="600"/>
      <c r="D3994" s="600"/>
      <c r="E3994" s="600"/>
      <c r="F3994" s="600"/>
      <c r="G3994" s="600"/>
      <c r="H3994" s="600"/>
    </row>
    <row r="3995" spans="1:8">
      <c r="A3995" s="600"/>
      <c r="B3995" s="600"/>
      <c r="C3995" s="600"/>
      <c r="D3995" s="600"/>
      <c r="E3995" s="600"/>
      <c r="F3995" s="600"/>
      <c r="G3995" s="600"/>
      <c r="H3995" s="600"/>
    </row>
    <row r="3996" spans="1:8">
      <c r="A3996" s="600"/>
      <c r="B3996" s="600"/>
      <c r="C3996" s="600"/>
      <c r="D3996" s="600"/>
      <c r="E3996" s="600"/>
      <c r="F3996" s="600"/>
      <c r="G3996" s="600"/>
      <c r="H3996" s="600"/>
    </row>
    <row r="3997" spans="1:8">
      <c r="A3997" s="600"/>
      <c r="B3997" s="600"/>
      <c r="C3997" s="600"/>
      <c r="D3997" s="600"/>
      <c r="E3997" s="600"/>
      <c r="F3997" s="600"/>
      <c r="G3997" s="600"/>
      <c r="H3997" s="600"/>
    </row>
    <row r="3998" spans="1:8">
      <c r="A3998" s="600"/>
      <c r="B3998" s="600"/>
      <c r="C3998" s="600"/>
      <c r="D3998" s="600"/>
      <c r="E3998" s="600"/>
      <c r="F3998" s="600"/>
      <c r="G3998" s="600"/>
      <c r="H3998" s="600"/>
    </row>
    <row r="3999" spans="1:8">
      <c r="A3999" s="600"/>
      <c r="B3999" s="600"/>
      <c r="C3999" s="600"/>
      <c r="D3999" s="600"/>
      <c r="E3999" s="600"/>
      <c r="F3999" s="600"/>
      <c r="G3999" s="600"/>
      <c r="H3999" s="600"/>
    </row>
    <row r="4000" spans="1:8">
      <c r="A4000" s="600"/>
      <c r="B4000" s="600"/>
      <c r="C4000" s="600"/>
      <c r="D4000" s="600"/>
      <c r="E4000" s="600"/>
      <c r="F4000" s="600"/>
      <c r="G4000" s="600"/>
      <c r="H4000" s="600"/>
    </row>
    <row r="4001" spans="1:8">
      <c r="A4001" s="600"/>
      <c r="B4001" s="600"/>
      <c r="C4001" s="600"/>
      <c r="D4001" s="600"/>
      <c r="E4001" s="600"/>
      <c r="F4001" s="600"/>
      <c r="G4001" s="600"/>
      <c r="H4001" s="600"/>
    </row>
    <row r="4002" spans="1:8">
      <c r="A4002" s="600"/>
      <c r="B4002" s="600"/>
      <c r="C4002" s="600"/>
      <c r="D4002" s="600"/>
      <c r="E4002" s="600"/>
      <c r="F4002" s="600"/>
      <c r="G4002" s="600"/>
      <c r="H4002" s="600"/>
    </row>
    <row r="4003" spans="1:8">
      <c r="A4003" s="600"/>
      <c r="B4003" s="600"/>
      <c r="C4003" s="600"/>
      <c r="D4003" s="600"/>
      <c r="E4003" s="600"/>
      <c r="F4003" s="600"/>
      <c r="G4003" s="600"/>
      <c r="H4003" s="600"/>
    </row>
    <row r="4004" spans="1:8">
      <c r="A4004" s="600"/>
      <c r="B4004" s="600"/>
      <c r="C4004" s="600"/>
      <c r="D4004" s="600"/>
      <c r="E4004" s="600"/>
      <c r="F4004" s="600"/>
      <c r="G4004" s="600"/>
      <c r="H4004" s="600"/>
    </row>
    <row r="4005" spans="1:8">
      <c r="A4005" s="600"/>
      <c r="B4005" s="600"/>
      <c r="C4005" s="600"/>
      <c r="D4005" s="600"/>
      <c r="E4005" s="600"/>
      <c r="F4005" s="600"/>
      <c r="G4005" s="600"/>
      <c r="H4005" s="600"/>
    </row>
    <row r="4006" spans="1:8">
      <c r="A4006" s="600"/>
      <c r="B4006" s="600"/>
      <c r="C4006" s="600"/>
      <c r="D4006" s="600"/>
      <c r="E4006" s="600"/>
      <c r="F4006" s="600"/>
      <c r="G4006" s="600"/>
      <c r="H4006" s="600"/>
    </row>
    <row r="4007" spans="1:8">
      <c r="A4007" s="600"/>
      <c r="B4007" s="600"/>
      <c r="C4007" s="600"/>
      <c r="D4007" s="600"/>
      <c r="E4007" s="600"/>
      <c r="F4007" s="600"/>
      <c r="G4007" s="600"/>
      <c r="H4007" s="600"/>
    </row>
    <row r="4008" spans="1:8">
      <c r="A4008" s="600"/>
      <c r="B4008" s="600"/>
      <c r="C4008" s="600"/>
      <c r="D4008" s="600"/>
      <c r="E4008" s="600"/>
      <c r="F4008" s="600"/>
      <c r="G4008" s="600"/>
      <c r="H4008" s="600"/>
    </row>
    <row r="4009" spans="1:8">
      <c r="A4009" s="600"/>
      <c r="B4009" s="600"/>
      <c r="C4009" s="600"/>
      <c r="D4009" s="600"/>
      <c r="E4009" s="600"/>
      <c r="F4009" s="600"/>
      <c r="G4009" s="600"/>
      <c r="H4009" s="600"/>
    </row>
    <row r="4010" spans="1:8">
      <c r="A4010" s="600"/>
      <c r="B4010" s="600"/>
      <c r="C4010" s="600"/>
      <c r="D4010" s="600"/>
      <c r="E4010" s="600"/>
      <c r="F4010" s="600"/>
      <c r="G4010" s="600"/>
      <c r="H4010" s="600"/>
    </row>
    <row r="4011" spans="1:8">
      <c r="A4011" s="600"/>
      <c r="B4011" s="600"/>
      <c r="C4011" s="600"/>
      <c r="D4011" s="600"/>
      <c r="E4011" s="600"/>
      <c r="F4011" s="600"/>
      <c r="G4011" s="600"/>
      <c r="H4011" s="600"/>
    </row>
    <row r="4012" spans="1:8">
      <c r="A4012" s="600"/>
      <c r="B4012" s="600"/>
      <c r="C4012" s="600"/>
      <c r="D4012" s="600"/>
      <c r="E4012" s="600"/>
      <c r="F4012" s="600"/>
      <c r="G4012" s="600"/>
      <c r="H4012" s="600"/>
    </row>
    <row r="4013" spans="1:8">
      <c r="A4013" s="600"/>
      <c r="B4013" s="600"/>
      <c r="C4013" s="600"/>
      <c r="D4013" s="600"/>
      <c r="E4013" s="600"/>
      <c r="F4013" s="600"/>
      <c r="G4013" s="600"/>
      <c r="H4013" s="600"/>
    </row>
    <row r="4014" spans="1:8">
      <c r="A4014" s="600"/>
      <c r="B4014" s="600"/>
      <c r="C4014" s="600"/>
      <c r="D4014" s="600"/>
      <c r="E4014" s="600"/>
      <c r="F4014" s="600"/>
      <c r="G4014" s="600"/>
      <c r="H4014" s="600"/>
    </row>
    <row r="4015" spans="1:8">
      <c r="A4015" s="600"/>
      <c r="B4015" s="600"/>
      <c r="C4015" s="600"/>
      <c r="D4015" s="600"/>
      <c r="E4015" s="600"/>
      <c r="F4015" s="600"/>
      <c r="G4015" s="600"/>
      <c r="H4015" s="600"/>
    </row>
    <row r="4016" spans="1:8">
      <c r="A4016" s="600"/>
      <c r="B4016" s="600"/>
      <c r="C4016" s="600"/>
      <c r="D4016" s="600"/>
      <c r="E4016" s="600"/>
      <c r="F4016" s="600"/>
      <c r="G4016" s="600"/>
      <c r="H4016" s="600"/>
    </row>
    <row r="4017" spans="1:8">
      <c r="A4017" s="600"/>
      <c r="B4017" s="600"/>
      <c r="C4017" s="600"/>
      <c r="D4017" s="600"/>
      <c r="E4017" s="600"/>
      <c r="F4017" s="600"/>
      <c r="G4017" s="600"/>
      <c r="H4017" s="600"/>
    </row>
    <row r="4018" spans="1:8">
      <c r="A4018" s="600"/>
      <c r="B4018" s="600"/>
      <c r="C4018" s="600"/>
      <c r="D4018" s="600"/>
      <c r="E4018" s="600"/>
      <c r="F4018" s="600"/>
      <c r="G4018" s="600"/>
      <c r="H4018" s="600"/>
    </row>
    <row r="4019" spans="1:8">
      <c r="A4019" s="600"/>
      <c r="B4019" s="600"/>
      <c r="C4019" s="600"/>
      <c r="D4019" s="600"/>
      <c r="E4019" s="600"/>
      <c r="F4019" s="600"/>
      <c r="G4019" s="600"/>
      <c r="H4019" s="600"/>
    </row>
    <row r="4020" spans="1:8">
      <c r="A4020" s="600"/>
      <c r="B4020" s="600"/>
      <c r="C4020" s="600"/>
      <c r="D4020" s="600"/>
      <c r="E4020" s="600"/>
      <c r="F4020" s="600"/>
      <c r="G4020" s="600"/>
      <c r="H4020" s="600"/>
    </row>
    <row r="4021" spans="1:8">
      <c r="A4021" s="600"/>
      <c r="B4021" s="600"/>
      <c r="C4021" s="600"/>
      <c r="D4021" s="600"/>
      <c r="E4021" s="600"/>
      <c r="F4021" s="600"/>
      <c r="G4021" s="600"/>
      <c r="H4021" s="600"/>
    </row>
    <row r="4022" spans="1:8">
      <c r="A4022" s="600"/>
      <c r="B4022" s="600"/>
      <c r="C4022" s="600"/>
      <c r="D4022" s="600"/>
      <c r="E4022" s="600"/>
      <c r="F4022" s="600"/>
      <c r="G4022" s="600"/>
      <c r="H4022" s="600"/>
    </row>
    <row r="4023" spans="1:8">
      <c r="A4023" s="600"/>
      <c r="B4023" s="600"/>
      <c r="C4023" s="600"/>
      <c r="D4023" s="600"/>
      <c r="E4023" s="600"/>
      <c r="F4023" s="600"/>
      <c r="G4023" s="600"/>
      <c r="H4023" s="600"/>
    </row>
    <row r="4024" spans="1:8">
      <c r="A4024" s="600"/>
      <c r="B4024" s="600"/>
      <c r="C4024" s="600"/>
      <c r="D4024" s="600"/>
      <c r="E4024" s="600"/>
      <c r="F4024" s="600"/>
      <c r="G4024" s="600"/>
      <c r="H4024" s="600"/>
    </row>
    <row r="4025" spans="1:8">
      <c r="A4025" s="600"/>
      <c r="B4025" s="600"/>
      <c r="C4025" s="600"/>
      <c r="D4025" s="600"/>
      <c r="E4025" s="600"/>
      <c r="F4025" s="600"/>
      <c r="G4025" s="600"/>
      <c r="H4025" s="600"/>
    </row>
    <row r="4026" spans="1:8">
      <c r="A4026" s="600"/>
      <c r="B4026" s="600"/>
      <c r="C4026" s="600"/>
      <c r="D4026" s="600"/>
      <c r="E4026" s="600"/>
      <c r="F4026" s="600"/>
      <c r="G4026" s="600"/>
      <c r="H4026" s="600"/>
    </row>
    <row r="4027" spans="1:8">
      <c r="A4027" s="600"/>
      <c r="B4027" s="600"/>
      <c r="C4027" s="600"/>
      <c r="D4027" s="600"/>
      <c r="E4027" s="600"/>
      <c r="F4027" s="600"/>
      <c r="G4027" s="600"/>
      <c r="H4027" s="600"/>
    </row>
    <row r="4028" spans="1:8">
      <c r="A4028" s="600"/>
      <c r="B4028" s="600"/>
      <c r="C4028" s="600"/>
      <c r="D4028" s="600"/>
      <c r="E4028" s="600"/>
      <c r="F4028" s="600"/>
      <c r="G4028" s="600"/>
      <c r="H4028" s="600"/>
    </row>
    <row r="4029" spans="1:8">
      <c r="A4029" s="600"/>
      <c r="B4029" s="600"/>
      <c r="C4029" s="600"/>
      <c r="D4029" s="600"/>
      <c r="E4029" s="600"/>
      <c r="F4029" s="600"/>
      <c r="G4029" s="600"/>
      <c r="H4029" s="600"/>
    </row>
    <row r="4030" spans="1:8">
      <c r="A4030" s="600"/>
      <c r="B4030" s="600"/>
      <c r="C4030" s="600"/>
      <c r="D4030" s="600"/>
      <c r="E4030" s="600"/>
      <c r="F4030" s="600"/>
      <c r="G4030" s="600"/>
      <c r="H4030" s="600"/>
    </row>
    <row r="4031" spans="1:8">
      <c r="A4031" s="600"/>
      <c r="B4031" s="600"/>
      <c r="C4031" s="600"/>
      <c r="D4031" s="600"/>
      <c r="E4031" s="600"/>
      <c r="F4031" s="600"/>
      <c r="G4031" s="600"/>
      <c r="H4031" s="600"/>
    </row>
    <row r="4032" spans="1:8">
      <c r="A4032" s="600"/>
      <c r="B4032" s="600"/>
      <c r="C4032" s="600"/>
      <c r="D4032" s="600"/>
      <c r="E4032" s="600"/>
      <c r="F4032" s="600"/>
      <c r="G4032" s="600"/>
      <c r="H4032" s="600"/>
    </row>
    <row r="4033" spans="1:8">
      <c r="A4033" s="600"/>
      <c r="B4033" s="600"/>
      <c r="C4033" s="600"/>
      <c r="D4033" s="600"/>
      <c r="E4033" s="600"/>
      <c r="F4033" s="600"/>
      <c r="G4033" s="600"/>
      <c r="H4033" s="600"/>
    </row>
    <row r="4034" spans="1:8">
      <c r="A4034" s="600"/>
      <c r="B4034" s="600"/>
      <c r="C4034" s="600"/>
      <c r="D4034" s="600"/>
      <c r="E4034" s="600"/>
      <c r="F4034" s="600"/>
      <c r="G4034" s="600"/>
      <c r="H4034" s="600"/>
    </row>
    <row r="4035" spans="1:8">
      <c r="A4035" s="600"/>
      <c r="B4035" s="600"/>
      <c r="C4035" s="600"/>
      <c r="D4035" s="600"/>
      <c r="E4035" s="600"/>
      <c r="F4035" s="600"/>
      <c r="G4035" s="600"/>
      <c r="H4035" s="600"/>
    </row>
    <row r="4036" spans="1:8">
      <c r="A4036" s="600"/>
      <c r="B4036" s="600"/>
      <c r="C4036" s="600"/>
      <c r="D4036" s="600"/>
      <c r="E4036" s="600"/>
      <c r="F4036" s="600"/>
      <c r="G4036" s="600"/>
      <c r="H4036" s="600"/>
    </row>
    <row r="4037" spans="1:8">
      <c r="A4037" s="600"/>
      <c r="B4037" s="600"/>
      <c r="C4037" s="600"/>
      <c r="D4037" s="600"/>
      <c r="E4037" s="600"/>
      <c r="F4037" s="600"/>
      <c r="G4037" s="600"/>
      <c r="H4037" s="600"/>
    </row>
    <row r="4038" spans="1:8">
      <c r="A4038" s="600"/>
      <c r="B4038" s="600"/>
      <c r="C4038" s="600"/>
      <c r="D4038" s="600"/>
      <c r="E4038" s="600"/>
      <c r="F4038" s="600"/>
      <c r="G4038" s="600"/>
      <c r="H4038" s="600"/>
    </row>
    <row r="4039" spans="1:8">
      <c r="A4039" s="600"/>
      <c r="B4039" s="600"/>
      <c r="C4039" s="600"/>
      <c r="D4039" s="600"/>
      <c r="E4039" s="600"/>
      <c r="F4039" s="600"/>
      <c r="G4039" s="600"/>
      <c r="H4039" s="600"/>
    </row>
    <row r="4040" spans="1:8">
      <c r="A4040" s="600"/>
      <c r="B4040" s="600"/>
      <c r="C4040" s="600"/>
      <c r="D4040" s="600"/>
      <c r="E4040" s="600"/>
      <c r="F4040" s="600"/>
      <c r="G4040" s="600"/>
      <c r="H4040" s="600"/>
    </row>
    <row r="4041" spans="1:8">
      <c r="A4041" s="600"/>
      <c r="B4041" s="600"/>
      <c r="C4041" s="600"/>
      <c r="D4041" s="600"/>
      <c r="E4041" s="600"/>
      <c r="F4041" s="600"/>
      <c r="G4041" s="600"/>
      <c r="H4041" s="600"/>
    </row>
    <row r="4042" spans="1:8">
      <c r="A4042" s="600"/>
      <c r="B4042" s="600"/>
      <c r="C4042" s="600"/>
      <c r="D4042" s="600"/>
      <c r="E4042" s="600"/>
      <c r="F4042" s="600"/>
      <c r="G4042" s="600"/>
      <c r="H4042" s="600"/>
    </row>
    <row r="4043" spans="1:8">
      <c r="A4043" s="600"/>
      <c r="B4043" s="600"/>
      <c r="C4043" s="600"/>
      <c r="D4043" s="600"/>
      <c r="E4043" s="600"/>
      <c r="F4043" s="600"/>
      <c r="G4043" s="600"/>
      <c r="H4043" s="600"/>
    </row>
    <row r="4044" spans="1:8">
      <c r="A4044" s="600"/>
      <c r="B4044" s="600"/>
      <c r="C4044" s="600"/>
      <c r="D4044" s="600"/>
      <c r="E4044" s="600"/>
      <c r="F4044" s="600"/>
      <c r="G4044" s="600"/>
      <c r="H4044" s="600"/>
    </row>
    <row r="4045" spans="1:8">
      <c r="A4045" s="600"/>
      <c r="B4045" s="600"/>
      <c r="C4045" s="600"/>
      <c r="D4045" s="600"/>
      <c r="E4045" s="600"/>
      <c r="F4045" s="600"/>
      <c r="G4045" s="600"/>
      <c r="H4045" s="600"/>
    </row>
    <row r="4046" spans="1:8">
      <c r="A4046" s="600"/>
      <c r="B4046" s="600"/>
      <c r="C4046" s="600"/>
      <c r="D4046" s="600"/>
      <c r="E4046" s="600"/>
      <c r="F4046" s="600"/>
      <c r="G4046" s="600"/>
      <c r="H4046" s="600"/>
    </row>
    <row r="4047" spans="1:8">
      <c r="A4047" s="600"/>
      <c r="B4047" s="600"/>
      <c r="C4047" s="600"/>
      <c r="D4047" s="600"/>
      <c r="E4047" s="600"/>
      <c r="F4047" s="600"/>
      <c r="G4047" s="600"/>
      <c r="H4047" s="600"/>
    </row>
    <row r="4048" spans="1:8">
      <c r="A4048" s="600"/>
      <c r="B4048" s="600"/>
      <c r="C4048" s="600"/>
      <c r="D4048" s="600"/>
      <c r="E4048" s="600"/>
      <c r="F4048" s="600"/>
      <c r="G4048" s="600"/>
      <c r="H4048" s="600"/>
    </row>
    <row r="4049" spans="1:8">
      <c r="A4049" s="600"/>
      <c r="B4049" s="600"/>
      <c r="C4049" s="600"/>
      <c r="D4049" s="600"/>
      <c r="E4049" s="600"/>
      <c r="F4049" s="600"/>
      <c r="G4049" s="600"/>
      <c r="H4049" s="600"/>
    </row>
    <row r="4050" spans="1:8">
      <c r="A4050" s="600"/>
      <c r="B4050" s="600"/>
      <c r="C4050" s="600"/>
      <c r="D4050" s="600"/>
      <c r="E4050" s="600"/>
      <c r="F4050" s="600"/>
      <c r="G4050" s="600"/>
      <c r="H4050" s="600"/>
    </row>
    <row r="4051" spans="1:8">
      <c r="A4051" s="600"/>
      <c r="B4051" s="600"/>
      <c r="C4051" s="600"/>
      <c r="D4051" s="600"/>
      <c r="E4051" s="600"/>
      <c r="F4051" s="600"/>
      <c r="G4051" s="600"/>
      <c r="H4051" s="600"/>
    </row>
    <row r="4052" spans="1:8">
      <c r="A4052" s="600"/>
      <c r="B4052" s="600"/>
      <c r="C4052" s="600"/>
      <c r="D4052" s="600"/>
      <c r="E4052" s="600"/>
      <c r="F4052" s="600"/>
      <c r="G4052" s="600"/>
      <c r="H4052" s="600"/>
    </row>
    <row r="4053" spans="1:8">
      <c r="A4053" s="600"/>
      <c r="B4053" s="600"/>
      <c r="C4053" s="600"/>
      <c r="D4053" s="600"/>
      <c r="E4053" s="600"/>
      <c r="F4053" s="600"/>
      <c r="G4053" s="600"/>
      <c r="H4053" s="600"/>
    </row>
    <row r="4054" spans="1:8">
      <c r="A4054" s="600"/>
      <c r="B4054" s="600"/>
      <c r="C4054" s="600"/>
      <c r="D4054" s="600"/>
      <c r="E4054" s="600"/>
      <c r="F4054" s="600"/>
      <c r="G4054" s="600"/>
      <c r="H4054" s="600"/>
    </row>
    <row r="4055" spans="1:8">
      <c r="A4055" s="600"/>
      <c r="B4055" s="600"/>
      <c r="C4055" s="600"/>
      <c r="D4055" s="600"/>
      <c r="E4055" s="600"/>
      <c r="F4055" s="600"/>
      <c r="G4055" s="600"/>
      <c r="H4055" s="600"/>
    </row>
    <row r="4056" spans="1:8">
      <c r="A4056" s="600"/>
      <c r="B4056" s="600"/>
      <c r="C4056" s="600"/>
      <c r="D4056" s="600"/>
      <c r="E4056" s="600"/>
      <c r="F4056" s="600"/>
      <c r="G4056" s="600"/>
      <c r="H4056" s="600"/>
    </row>
    <row r="4057" spans="1:8">
      <c r="A4057" s="600"/>
      <c r="B4057" s="600"/>
      <c r="C4057" s="600"/>
      <c r="D4057" s="600"/>
      <c r="E4057" s="600"/>
      <c r="F4057" s="600"/>
      <c r="G4057" s="600"/>
      <c r="H4057" s="600"/>
    </row>
    <row r="4058" spans="1:8">
      <c r="A4058" s="600"/>
      <c r="B4058" s="600"/>
      <c r="C4058" s="600"/>
      <c r="D4058" s="600"/>
      <c r="E4058" s="600"/>
      <c r="F4058" s="600"/>
      <c r="G4058" s="600"/>
      <c r="H4058" s="600"/>
    </row>
    <row r="4059" spans="1:8">
      <c r="A4059" s="600"/>
      <c r="B4059" s="600"/>
      <c r="C4059" s="600"/>
      <c r="D4059" s="600"/>
      <c r="E4059" s="600"/>
      <c r="F4059" s="600"/>
      <c r="G4059" s="600"/>
      <c r="H4059" s="600"/>
    </row>
    <row r="4060" spans="1:8">
      <c r="A4060" s="600"/>
      <c r="B4060" s="600"/>
      <c r="C4060" s="600"/>
      <c r="D4060" s="600"/>
      <c r="E4060" s="600"/>
      <c r="F4060" s="600"/>
      <c r="G4060" s="600"/>
      <c r="H4060" s="600"/>
    </row>
    <row r="4061" spans="1:8">
      <c r="A4061" s="600"/>
      <c r="B4061" s="600"/>
      <c r="C4061" s="600"/>
      <c r="D4061" s="600"/>
      <c r="E4061" s="600"/>
      <c r="F4061" s="600"/>
      <c r="G4061" s="600"/>
      <c r="H4061" s="600"/>
    </row>
    <row r="4062" spans="1:8">
      <c r="A4062" s="600"/>
      <c r="B4062" s="600"/>
      <c r="C4062" s="600"/>
      <c r="D4062" s="600"/>
      <c r="E4062" s="600"/>
      <c r="F4062" s="600"/>
      <c r="G4062" s="600"/>
      <c r="H4062" s="600"/>
    </row>
    <row r="4063" spans="1:8">
      <c r="A4063" s="600"/>
      <c r="B4063" s="600"/>
      <c r="C4063" s="600"/>
      <c r="D4063" s="600"/>
      <c r="E4063" s="600"/>
      <c r="F4063" s="600"/>
      <c r="G4063" s="600"/>
      <c r="H4063" s="600"/>
    </row>
    <row r="4064" spans="1:8">
      <c r="A4064" s="600"/>
      <c r="B4064" s="600"/>
      <c r="C4064" s="600"/>
      <c r="D4064" s="600"/>
      <c r="E4064" s="600"/>
      <c r="F4064" s="600"/>
      <c r="G4064" s="600"/>
      <c r="H4064" s="600"/>
    </row>
    <row r="4065" spans="1:8">
      <c r="A4065" s="600"/>
      <c r="B4065" s="600"/>
      <c r="C4065" s="600"/>
      <c r="D4065" s="600"/>
      <c r="E4065" s="600"/>
      <c r="F4065" s="600"/>
      <c r="G4065" s="600"/>
      <c r="H4065" s="600"/>
    </row>
    <row r="4066" spans="1:8">
      <c r="A4066" s="600"/>
      <c r="B4066" s="600"/>
      <c r="C4066" s="600"/>
      <c r="D4066" s="600"/>
      <c r="E4066" s="600"/>
      <c r="F4066" s="600"/>
      <c r="G4066" s="600"/>
      <c r="H4066" s="600"/>
    </row>
    <row r="4067" spans="1:8">
      <c r="A4067" s="600"/>
      <c r="B4067" s="600"/>
      <c r="C4067" s="600"/>
      <c r="D4067" s="600"/>
      <c r="E4067" s="600"/>
      <c r="F4067" s="600"/>
      <c r="G4067" s="600"/>
      <c r="H4067" s="600"/>
    </row>
    <row r="4068" spans="1:8">
      <c r="A4068" s="600"/>
      <c r="B4068" s="600"/>
      <c r="C4068" s="600"/>
      <c r="D4068" s="600"/>
      <c r="E4068" s="600"/>
      <c r="F4068" s="600"/>
      <c r="G4068" s="600"/>
      <c r="H4068" s="600"/>
    </row>
    <row r="4069" spans="1:8">
      <c r="A4069" s="600"/>
      <c r="B4069" s="600"/>
      <c r="C4069" s="600"/>
      <c r="D4069" s="600"/>
      <c r="E4069" s="600"/>
      <c r="F4069" s="600"/>
      <c r="G4069" s="600"/>
      <c r="H4069" s="600"/>
    </row>
    <row r="4070" spans="1:8">
      <c r="A4070" s="600"/>
      <c r="B4070" s="600"/>
      <c r="C4070" s="600"/>
      <c r="D4070" s="600"/>
      <c r="E4070" s="600"/>
      <c r="F4070" s="600"/>
      <c r="G4070" s="600"/>
      <c r="H4070" s="600"/>
    </row>
    <row r="4071" spans="1:8">
      <c r="A4071" s="600"/>
      <c r="B4071" s="600"/>
      <c r="C4071" s="600"/>
      <c r="D4071" s="600"/>
      <c r="E4071" s="600"/>
      <c r="F4071" s="600"/>
      <c r="G4071" s="600"/>
      <c r="H4071" s="600"/>
    </row>
    <row r="4072" spans="1:8">
      <c r="A4072" s="600"/>
      <c r="B4072" s="600"/>
      <c r="C4072" s="600"/>
      <c r="D4072" s="600"/>
      <c r="E4072" s="600"/>
      <c r="F4072" s="600"/>
      <c r="G4072" s="600"/>
      <c r="H4072" s="600"/>
    </row>
    <row r="4073" spans="1:8">
      <c r="A4073" s="600"/>
      <c r="B4073" s="600"/>
      <c r="C4073" s="600"/>
      <c r="D4073" s="600"/>
      <c r="E4073" s="600"/>
      <c r="F4073" s="600"/>
      <c r="G4073" s="600"/>
      <c r="H4073" s="600"/>
    </row>
    <row r="4074" spans="1:8">
      <c r="A4074" s="600"/>
      <c r="B4074" s="600"/>
      <c r="C4074" s="600"/>
      <c r="D4074" s="600"/>
      <c r="E4074" s="600"/>
      <c r="F4074" s="600"/>
      <c r="G4074" s="600"/>
      <c r="H4074" s="600"/>
    </row>
    <row r="4075" spans="1:8">
      <c r="A4075" s="600"/>
      <c r="B4075" s="600"/>
      <c r="C4075" s="600"/>
      <c r="D4075" s="600"/>
      <c r="E4075" s="600"/>
      <c r="F4075" s="600"/>
      <c r="G4075" s="600"/>
      <c r="H4075" s="600"/>
    </row>
    <row r="4076" spans="1:8">
      <c r="A4076" s="600"/>
      <c r="B4076" s="600"/>
      <c r="C4076" s="600"/>
      <c r="D4076" s="600"/>
      <c r="E4076" s="600"/>
      <c r="F4076" s="600"/>
      <c r="G4076" s="600"/>
      <c r="H4076" s="600"/>
    </row>
    <row r="4077" spans="1:8">
      <c r="A4077" s="600"/>
      <c r="B4077" s="600"/>
      <c r="C4077" s="600"/>
      <c r="D4077" s="600"/>
      <c r="E4077" s="600"/>
      <c r="F4077" s="600"/>
      <c r="G4077" s="600"/>
      <c r="H4077" s="600"/>
    </row>
    <row r="4078" spans="1:8">
      <c r="A4078" s="600"/>
      <c r="B4078" s="600"/>
      <c r="C4078" s="600"/>
      <c r="D4078" s="600"/>
      <c r="E4078" s="600"/>
      <c r="F4078" s="600"/>
      <c r="G4078" s="600"/>
      <c r="H4078" s="600"/>
    </row>
    <row r="4079" spans="1:8">
      <c r="A4079" s="600"/>
      <c r="B4079" s="600"/>
      <c r="C4079" s="600"/>
      <c r="D4079" s="600"/>
      <c r="E4079" s="600"/>
      <c r="F4079" s="600"/>
      <c r="G4079" s="600"/>
      <c r="H4079" s="600"/>
    </row>
    <row r="4080" spans="1:8">
      <c r="A4080" s="600"/>
      <c r="B4080" s="600"/>
      <c r="C4080" s="600"/>
      <c r="D4080" s="600"/>
      <c r="E4080" s="600"/>
      <c r="F4080" s="600"/>
      <c r="G4080" s="600"/>
      <c r="H4080" s="600"/>
    </row>
    <row r="4081" spans="1:8">
      <c r="A4081" s="600"/>
      <c r="B4081" s="600"/>
      <c r="C4081" s="600"/>
      <c r="D4081" s="600"/>
      <c r="E4081" s="600"/>
      <c r="F4081" s="600"/>
      <c r="G4081" s="600"/>
      <c r="H4081" s="600"/>
    </row>
    <row r="4082" spans="1:8">
      <c r="A4082" s="600"/>
      <c r="B4082" s="600"/>
      <c r="C4082" s="600"/>
      <c r="D4082" s="600"/>
      <c r="E4082" s="600"/>
      <c r="F4082" s="600"/>
      <c r="G4082" s="600"/>
      <c r="H4082" s="600"/>
    </row>
    <row r="4083" spans="1:8">
      <c r="A4083" s="600"/>
      <c r="B4083" s="600"/>
      <c r="C4083" s="600"/>
      <c r="D4083" s="600"/>
      <c r="E4083" s="600"/>
      <c r="F4083" s="600"/>
      <c r="G4083" s="600"/>
      <c r="H4083" s="600"/>
    </row>
    <row r="4084" spans="1:8">
      <c r="A4084" s="600"/>
      <c r="B4084" s="600"/>
      <c r="C4084" s="600"/>
      <c r="D4084" s="600"/>
      <c r="E4084" s="600"/>
      <c r="F4084" s="600"/>
      <c r="G4084" s="600"/>
      <c r="H4084" s="600"/>
    </row>
    <row r="4085" spans="1:8">
      <c r="A4085" s="600"/>
      <c r="B4085" s="600"/>
      <c r="C4085" s="600"/>
      <c r="D4085" s="600"/>
      <c r="E4085" s="600"/>
      <c r="F4085" s="600"/>
      <c r="G4085" s="600"/>
      <c r="H4085" s="600"/>
    </row>
    <row r="4086" spans="1:8">
      <c r="A4086" s="600"/>
      <c r="B4086" s="600"/>
      <c r="C4086" s="600"/>
      <c r="D4086" s="600"/>
      <c r="E4086" s="600"/>
      <c r="F4086" s="600"/>
      <c r="G4086" s="600"/>
      <c r="H4086" s="600"/>
    </row>
    <row r="4087" spans="1:8">
      <c r="A4087" s="600"/>
      <c r="B4087" s="600"/>
      <c r="C4087" s="600"/>
      <c r="D4087" s="600"/>
      <c r="E4087" s="600"/>
      <c r="F4087" s="600"/>
      <c r="G4087" s="600"/>
      <c r="H4087" s="600"/>
    </row>
    <row r="4088" spans="1:8">
      <c r="A4088" s="600"/>
      <c r="B4088" s="600"/>
      <c r="C4088" s="600"/>
      <c r="D4088" s="600"/>
      <c r="E4088" s="600"/>
      <c r="F4088" s="600"/>
      <c r="G4088" s="600"/>
      <c r="H4088" s="600"/>
    </row>
    <row r="4089" spans="1:8">
      <c r="A4089" s="600"/>
      <c r="B4089" s="600"/>
      <c r="C4089" s="600"/>
      <c r="D4089" s="600"/>
      <c r="E4089" s="600"/>
      <c r="F4089" s="600"/>
      <c r="G4089" s="600"/>
      <c r="H4089" s="600"/>
    </row>
    <row r="4090" spans="1:8">
      <c r="A4090" s="600"/>
      <c r="B4090" s="600"/>
      <c r="C4090" s="600"/>
      <c r="D4090" s="600"/>
      <c r="E4090" s="600"/>
      <c r="F4090" s="600"/>
      <c r="G4090" s="600"/>
      <c r="H4090" s="600"/>
    </row>
    <row r="4091" spans="1:8">
      <c r="A4091" s="600"/>
      <c r="B4091" s="600"/>
      <c r="C4091" s="600"/>
      <c r="D4091" s="600"/>
      <c r="E4091" s="600"/>
      <c r="F4091" s="600"/>
      <c r="G4091" s="600"/>
      <c r="H4091" s="600"/>
    </row>
    <row r="4092" spans="1:8">
      <c r="A4092" s="600"/>
      <c r="B4092" s="600"/>
      <c r="C4092" s="600"/>
      <c r="D4092" s="600"/>
      <c r="E4092" s="600"/>
      <c r="F4092" s="600"/>
      <c r="G4092" s="600"/>
      <c r="H4092" s="600"/>
    </row>
    <row r="4093" spans="1:8">
      <c r="A4093" s="600"/>
      <c r="B4093" s="600"/>
      <c r="C4093" s="600"/>
      <c r="D4093" s="600"/>
      <c r="E4093" s="600"/>
      <c r="F4093" s="600"/>
      <c r="G4093" s="600"/>
      <c r="H4093" s="600"/>
    </row>
    <row r="4094" spans="1:8">
      <c r="A4094" s="600"/>
      <c r="B4094" s="600"/>
      <c r="C4094" s="600"/>
      <c r="D4094" s="600"/>
      <c r="E4094" s="600"/>
      <c r="F4094" s="600"/>
      <c r="G4094" s="600"/>
      <c r="H4094" s="600"/>
    </row>
    <row r="4095" spans="1:8">
      <c r="A4095" s="600"/>
      <c r="B4095" s="600"/>
      <c r="C4095" s="600"/>
      <c r="D4095" s="600"/>
      <c r="E4095" s="600"/>
      <c r="F4095" s="600"/>
      <c r="G4095" s="600"/>
      <c r="H4095" s="600"/>
    </row>
    <row r="4096" spans="1:8">
      <c r="A4096" s="600"/>
      <c r="B4096" s="600"/>
      <c r="C4096" s="600"/>
      <c r="D4096" s="600"/>
      <c r="E4096" s="600"/>
      <c r="F4096" s="600"/>
      <c r="G4096" s="600"/>
      <c r="H4096" s="600"/>
    </row>
    <row r="4097" spans="1:8">
      <c r="A4097" s="600"/>
      <c r="B4097" s="600"/>
      <c r="C4097" s="600"/>
      <c r="D4097" s="600"/>
      <c r="E4097" s="600"/>
      <c r="F4097" s="600"/>
      <c r="G4097" s="600"/>
      <c r="H4097" s="600"/>
    </row>
    <row r="4098" spans="1:8">
      <c r="A4098" s="600"/>
      <c r="B4098" s="600"/>
      <c r="C4098" s="600"/>
      <c r="D4098" s="600"/>
      <c r="E4098" s="600"/>
      <c r="F4098" s="600"/>
      <c r="G4098" s="600"/>
      <c r="H4098" s="600"/>
    </row>
    <row r="4099" spans="1:8">
      <c r="A4099" s="600"/>
      <c r="B4099" s="600"/>
      <c r="C4099" s="600"/>
      <c r="D4099" s="600"/>
      <c r="E4099" s="600"/>
      <c r="F4099" s="600"/>
      <c r="G4099" s="600"/>
      <c r="H4099" s="600"/>
    </row>
    <row r="4100" spans="1:8">
      <c r="A4100" s="600"/>
      <c r="B4100" s="600"/>
      <c r="C4100" s="600"/>
      <c r="D4100" s="600"/>
      <c r="E4100" s="600"/>
      <c r="F4100" s="600"/>
      <c r="G4100" s="600"/>
      <c r="H4100" s="600"/>
    </row>
    <row r="4101" spans="1:8">
      <c r="A4101" s="600"/>
      <c r="B4101" s="600"/>
      <c r="C4101" s="600"/>
      <c r="D4101" s="600"/>
      <c r="E4101" s="600"/>
      <c r="F4101" s="600"/>
      <c r="G4101" s="600"/>
      <c r="H4101" s="600"/>
    </row>
    <row r="4102" spans="1:8">
      <c r="A4102" s="600"/>
      <c r="B4102" s="600"/>
      <c r="C4102" s="600"/>
      <c r="D4102" s="600"/>
      <c r="E4102" s="600"/>
      <c r="F4102" s="600"/>
      <c r="G4102" s="600"/>
      <c r="H4102" s="600"/>
    </row>
    <row r="4103" spans="1:8">
      <c r="A4103" s="600"/>
      <c r="B4103" s="600"/>
      <c r="C4103" s="600"/>
      <c r="D4103" s="600"/>
      <c r="E4103" s="600"/>
      <c r="F4103" s="600"/>
      <c r="G4103" s="600"/>
      <c r="H4103" s="600"/>
    </row>
    <row r="4104" spans="1:8">
      <c r="A4104" s="600"/>
      <c r="B4104" s="600"/>
      <c r="C4104" s="600"/>
      <c r="D4104" s="600"/>
      <c r="E4104" s="600"/>
      <c r="F4104" s="600"/>
      <c r="G4104" s="600"/>
      <c r="H4104" s="600"/>
    </row>
    <row r="4105" spans="1:8">
      <c r="A4105" s="600"/>
      <c r="B4105" s="600"/>
      <c r="C4105" s="600"/>
      <c r="D4105" s="600"/>
      <c r="E4105" s="600"/>
      <c r="F4105" s="600"/>
      <c r="G4105" s="600"/>
      <c r="H4105" s="600"/>
    </row>
    <row r="4106" spans="1:8">
      <c r="A4106" s="600"/>
      <c r="B4106" s="600"/>
      <c r="C4106" s="600"/>
      <c r="D4106" s="600"/>
      <c r="E4106" s="600"/>
      <c r="F4106" s="600"/>
      <c r="G4106" s="600"/>
      <c r="H4106" s="600"/>
    </row>
    <row r="4107" spans="1:8">
      <c r="A4107" s="600"/>
      <c r="B4107" s="600"/>
      <c r="C4107" s="600"/>
      <c r="D4107" s="600"/>
      <c r="E4107" s="600"/>
      <c r="F4107" s="600"/>
      <c r="G4107" s="600"/>
      <c r="H4107" s="600"/>
    </row>
    <row r="4108" spans="1:8">
      <c r="A4108" s="600"/>
      <c r="B4108" s="600"/>
      <c r="C4108" s="600"/>
      <c r="D4108" s="600"/>
      <c r="E4108" s="600"/>
      <c r="F4108" s="600"/>
      <c r="G4108" s="600"/>
      <c r="H4108" s="600"/>
    </row>
    <row r="4109" spans="1:8">
      <c r="A4109" s="600"/>
      <c r="B4109" s="600"/>
      <c r="C4109" s="600"/>
      <c r="D4109" s="600"/>
      <c r="E4109" s="600"/>
      <c r="F4109" s="600"/>
      <c r="G4109" s="600"/>
      <c r="H4109" s="600"/>
    </row>
    <row r="4110" spans="1:8">
      <c r="A4110" s="600"/>
      <c r="B4110" s="600"/>
      <c r="C4110" s="600"/>
      <c r="D4110" s="600"/>
      <c r="E4110" s="600"/>
      <c r="F4110" s="600"/>
      <c r="G4110" s="600"/>
      <c r="H4110" s="600"/>
    </row>
    <row r="4111" spans="1:8">
      <c r="A4111" s="600"/>
      <c r="B4111" s="600"/>
      <c r="C4111" s="600"/>
      <c r="D4111" s="600"/>
      <c r="E4111" s="600"/>
      <c r="F4111" s="600"/>
      <c r="G4111" s="600"/>
      <c r="H4111" s="600"/>
    </row>
    <row r="4112" spans="1:8">
      <c r="A4112" s="600"/>
      <c r="B4112" s="600"/>
      <c r="C4112" s="600"/>
      <c r="D4112" s="600"/>
      <c r="E4112" s="600"/>
      <c r="F4112" s="600"/>
      <c r="G4112" s="600"/>
      <c r="H4112" s="600"/>
    </row>
    <row r="4113" spans="1:8">
      <c r="A4113" s="600"/>
      <c r="B4113" s="600"/>
      <c r="C4113" s="600"/>
      <c r="D4113" s="600"/>
      <c r="E4113" s="600"/>
      <c r="F4113" s="600"/>
      <c r="G4113" s="600"/>
      <c r="H4113" s="600"/>
    </row>
    <row r="4114" spans="1:8">
      <c r="A4114" s="600"/>
      <c r="B4114" s="600"/>
      <c r="C4114" s="600"/>
      <c r="D4114" s="600"/>
      <c r="E4114" s="600"/>
      <c r="F4114" s="600"/>
      <c r="G4114" s="600"/>
      <c r="H4114" s="600"/>
    </row>
    <row r="4115" spans="1:8">
      <c r="A4115" s="600"/>
      <c r="B4115" s="600"/>
      <c r="C4115" s="600"/>
      <c r="D4115" s="600"/>
      <c r="E4115" s="600"/>
      <c r="F4115" s="600"/>
      <c r="G4115" s="600"/>
      <c r="H4115" s="600"/>
    </row>
    <row r="4116" spans="1:8">
      <c r="A4116" s="600"/>
      <c r="B4116" s="600"/>
      <c r="C4116" s="600"/>
      <c r="D4116" s="600"/>
      <c r="E4116" s="600"/>
      <c r="F4116" s="600"/>
      <c r="G4116" s="600"/>
      <c r="H4116" s="600"/>
    </row>
    <row r="4117" spans="1:8">
      <c r="A4117" s="600"/>
      <c r="B4117" s="600"/>
      <c r="C4117" s="600"/>
      <c r="D4117" s="600"/>
      <c r="E4117" s="600"/>
      <c r="F4117" s="600"/>
      <c r="G4117" s="600"/>
      <c r="H4117" s="600"/>
    </row>
    <row r="4118" spans="1:8">
      <c r="A4118" s="600"/>
      <c r="B4118" s="600"/>
      <c r="C4118" s="600"/>
      <c r="D4118" s="600"/>
      <c r="E4118" s="600"/>
      <c r="F4118" s="600"/>
      <c r="G4118" s="600"/>
      <c r="H4118" s="600"/>
    </row>
    <row r="4119" spans="1:8">
      <c r="A4119" s="600"/>
      <c r="B4119" s="600"/>
      <c r="C4119" s="600"/>
      <c r="D4119" s="600"/>
      <c r="E4119" s="600"/>
      <c r="F4119" s="600"/>
      <c r="G4119" s="600"/>
      <c r="H4119" s="600"/>
    </row>
    <row r="4120" spans="1:8">
      <c r="A4120" s="600"/>
      <c r="B4120" s="600"/>
      <c r="C4120" s="600"/>
      <c r="D4120" s="600"/>
      <c r="E4120" s="600"/>
      <c r="F4120" s="600"/>
      <c r="G4120" s="600"/>
      <c r="H4120" s="600"/>
    </row>
    <row r="4121" spans="1:8">
      <c r="A4121" s="600"/>
      <c r="B4121" s="600"/>
      <c r="C4121" s="600"/>
      <c r="D4121" s="600"/>
      <c r="E4121" s="600"/>
      <c r="F4121" s="600"/>
      <c r="G4121" s="600"/>
      <c r="H4121" s="600"/>
    </row>
    <row r="4122" spans="1:8">
      <c r="A4122" s="600"/>
      <c r="B4122" s="600"/>
      <c r="C4122" s="600"/>
      <c r="D4122" s="600"/>
      <c r="E4122" s="600"/>
      <c r="F4122" s="600"/>
      <c r="G4122" s="600"/>
      <c r="H4122" s="600"/>
    </row>
    <row r="4123" spans="1:8">
      <c r="A4123" s="600"/>
      <c r="B4123" s="600"/>
      <c r="C4123" s="600"/>
      <c r="D4123" s="600"/>
      <c r="E4123" s="600"/>
      <c r="F4123" s="600"/>
      <c r="G4123" s="600"/>
      <c r="H4123" s="600"/>
    </row>
    <row r="4124" spans="1:8">
      <c r="A4124" s="600"/>
      <c r="B4124" s="600"/>
      <c r="C4124" s="600"/>
      <c r="D4124" s="600"/>
      <c r="E4124" s="600"/>
      <c r="F4124" s="600"/>
      <c r="G4124" s="600"/>
      <c r="H4124" s="600"/>
    </row>
    <row r="4125" spans="1:8">
      <c r="A4125" s="600"/>
      <c r="B4125" s="600"/>
      <c r="C4125" s="600"/>
      <c r="D4125" s="600"/>
      <c r="E4125" s="600"/>
      <c r="F4125" s="600"/>
      <c r="G4125" s="600"/>
      <c r="H4125" s="600"/>
    </row>
    <row r="4126" spans="1:8">
      <c r="A4126" s="600"/>
      <c r="B4126" s="600"/>
      <c r="C4126" s="600"/>
      <c r="D4126" s="600"/>
      <c r="E4126" s="600"/>
      <c r="F4126" s="600"/>
      <c r="G4126" s="600"/>
      <c r="H4126" s="600"/>
    </row>
    <row r="4127" spans="1:8">
      <c r="A4127" s="600"/>
      <c r="B4127" s="600"/>
      <c r="C4127" s="600"/>
      <c r="D4127" s="600"/>
      <c r="E4127" s="600"/>
      <c r="F4127" s="600"/>
      <c r="G4127" s="600"/>
      <c r="H4127" s="600"/>
    </row>
    <row r="4128" spans="1:8">
      <c r="A4128" s="600"/>
      <c r="B4128" s="600"/>
      <c r="C4128" s="600"/>
      <c r="D4128" s="600"/>
      <c r="E4128" s="600"/>
      <c r="F4128" s="600"/>
      <c r="G4128" s="600"/>
      <c r="H4128" s="600"/>
    </row>
    <row r="4129" spans="1:8">
      <c r="A4129" s="600"/>
      <c r="B4129" s="600"/>
      <c r="C4129" s="600"/>
      <c r="D4129" s="600"/>
      <c r="E4129" s="600"/>
      <c r="F4129" s="600"/>
      <c r="G4129" s="600"/>
      <c r="H4129" s="600"/>
    </row>
    <row r="4130" spans="1:8">
      <c r="A4130" s="600"/>
      <c r="B4130" s="600"/>
      <c r="C4130" s="600"/>
      <c r="D4130" s="600"/>
      <c r="E4130" s="600"/>
      <c r="F4130" s="600"/>
      <c r="G4130" s="600"/>
      <c r="H4130" s="600"/>
    </row>
    <row r="4131" spans="1:8">
      <c r="A4131" s="600"/>
      <c r="B4131" s="600"/>
      <c r="C4131" s="600"/>
      <c r="D4131" s="600"/>
      <c r="E4131" s="600"/>
      <c r="F4131" s="600"/>
      <c r="G4131" s="600"/>
      <c r="H4131" s="600"/>
    </row>
    <row r="4132" spans="1:8">
      <c r="A4132" s="600"/>
      <c r="B4132" s="600"/>
      <c r="C4132" s="600"/>
      <c r="D4132" s="600"/>
      <c r="E4132" s="600"/>
      <c r="F4132" s="600"/>
      <c r="G4132" s="600"/>
      <c r="H4132" s="600"/>
    </row>
    <row r="4133" spans="1:8">
      <c r="A4133" s="600"/>
      <c r="B4133" s="600"/>
      <c r="C4133" s="600"/>
      <c r="D4133" s="600"/>
      <c r="E4133" s="600"/>
      <c r="F4133" s="600"/>
      <c r="G4133" s="600"/>
      <c r="H4133" s="600"/>
    </row>
    <row r="4134" spans="1:8">
      <c r="A4134" s="600"/>
      <c r="B4134" s="600"/>
      <c r="C4134" s="600"/>
      <c r="D4134" s="600"/>
      <c r="E4134" s="600"/>
      <c r="F4134" s="600"/>
      <c r="G4134" s="600"/>
      <c r="H4134" s="600"/>
    </row>
    <row r="4135" spans="1:8">
      <c r="A4135" s="600"/>
      <c r="B4135" s="600"/>
      <c r="C4135" s="600"/>
      <c r="D4135" s="600"/>
      <c r="E4135" s="600"/>
      <c r="F4135" s="600"/>
      <c r="G4135" s="600"/>
      <c r="H4135" s="600"/>
    </row>
    <row r="4136" spans="1:8">
      <c r="A4136" s="600"/>
      <c r="B4136" s="600"/>
      <c r="C4136" s="600"/>
      <c r="D4136" s="600"/>
      <c r="E4136" s="600"/>
      <c r="F4136" s="600"/>
      <c r="G4136" s="600"/>
      <c r="H4136" s="600"/>
    </row>
    <row r="4137" spans="1:8">
      <c r="A4137" s="600"/>
      <c r="B4137" s="600"/>
      <c r="C4137" s="600"/>
      <c r="D4137" s="600"/>
      <c r="E4137" s="600"/>
      <c r="F4137" s="600"/>
      <c r="G4137" s="600"/>
      <c r="H4137" s="600"/>
    </row>
    <row r="4138" spans="1:8">
      <c r="A4138" s="600"/>
      <c r="B4138" s="600"/>
      <c r="C4138" s="600"/>
      <c r="D4138" s="600"/>
      <c r="E4138" s="600"/>
      <c r="F4138" s="600"/>
      <c r="G4138" s="600"/>
      <c r="H4138" s="600"/>
    </row>
    <row r="4139" spans="1:8">
      <c r="A4139" s="600"/>
      <c r="B4139" s="600"/>
      <c r="C4139" s="600"/>
      <c r="D4139" s="600"/>
      <c r="E4139" s="600"/>
      <c r="F4139" s="600"/>
      <c r="G4139" s="600"/>
      <c r="H4139" s="600"/>
    </row>
    <row r="4140" spans="1:8">
      <c r="A4140" s="600"/>
      <c r="B4140" s="600"/>
      <c r="C4140" s="600"/>
      <c r="D4140" s="600"/>
      <c r="E4140" s="600"/>
      <c r="F4140" s="600"/>
      <c r="G4140" s="600"/>
      <c r="H4140" s="600"/>
    </row>
    <row r="4141" spans="1:8">
      <c r="A4141" s="600"/>
      <c r="B4141" s="600"/>
      <c r="C4141" s="600"/>
      <c r="D4141" s="600"/>
      <c r="E4141" s="600"/>
      <c r="F4141" s="600"/>
      <c r="G4141" s="600"/>
      <c r="H4141" s="600"/>
    </row>
    <row r="4142" spans="1:8">
      <c r="A4142" s="600"/>
      <c r="B4142" s="600"/>
      <c r="C4142" s="600"/>
      <c r="D4142" s="600"/>
      <c r="E4142" s="600"/>
      <c r="F4142" s="600"/>
      <c r="G4142" s="600"/>
      <c r="H4142" s="600"/>
    </row>
    <row r="4143" spans="1:8">
      <c r="A4143" s="600"/>
      <c r="B4143" s="600"/>
      <c r="C4143" s="600"/>
      <c r="D4143" s="600"/>
      <c r="E4143" s="600"/>
      <c r="F4143" s="600"/>
      <c r="G4143" s="600"/>
      <c r="H4143" s="600"/>
    </row>
    <row r="4144" spans="1:8">
      <c r="A4144" s="600"/>
      <c r="B4144" s="600"/>
      <c r="C4144" s="600"/>
      <c r="D4144" s="600"/>
      <c r="E4144" s="600"/>
      <c r="F4144" s="600"/>
      <c r="G4144" s="600"/>
      <c r="H4144" s="600"/>
    </row>
    <row r="4145" spans="1:8">
      <c r="A4145" s="600"/>
      <c r="B4145" s="600"/>
      <c r="C4145" s="600"/>
      <c r="D4145" s="600"/>
      <c r="E4145" s="600"/>
      <c r="F4145" s="600"/>
      <c r="G4145" s="600"/>
      <c r="H4145" s="600"/>
    </row>
    <row r="4146" spans="1:8">
      <c r="A4146" s="600"/>
      <c r="B4146" s="600"/>
      <c r="C4146" s="600"/>
      <c r="D4146" s="600"/>
      <c r="E4146" s="600"/>
      <c r="F4146" s="600"/>
      <c r="G4146" s="600"/>
      <c r="H4146" s="600"/>
    </row>
    <row r="4147" spans="1:8">
      <c r="A4147" s="600"/>
      <c r="B4147" s="600"/>
      <c r="C4147" s="600"/>
      <c r="D4147" s="600"/>
      <c r="E4147" s="600"/>
      <c r="F4147" s="600"/>
      <c r="G4147" s="600"/>
      <c r="H4147" s="600"/>
    </row>
    <row r="4148" spans="1:8">
      <c r="A4148" s="600"/>
      <c r="B4148" s="600"/>
      <c r="C4148" s="600"/>
      <c r="D4148" s="600"/>
      <c r="E4148" s="600"/>
      <c r="F4148" s="600"/>
      <c r="G4148" s="600"/>
      <c r="H4148" s="600"/>
    </row>
    <row r="4149" spans="1:8">
      <c r="A4149" s="600"/>
      <c r="B4149" s="600"/>
      <c r="C4149" s="600"/>
      <c r="D4149" s="600"/>
      <c r="E4149" s="600"/>
      <c r="F4149" s="600"/>
      <c r="G4149" s="600"/>
      <c r="H4149" s="600"/>
    </row>
    <row r="4150" spans="1:8">
      <c r="A4150" s="600"/>
      <c r="B4150" s="600"/>
      <c r="C4150" s="600"/>
      <c r="D4150" s="600"/>
      <c r="E4150" s="600"/>
      <c r="F4150" s="600"/>
      <c r="G4150" s="600"/>
      <c r="H4150" s="600"/>
    </row>
    <row r="4151" spans="1:8">
      <c r="A4151" s="600"/>
      <c r="B4151" s="600"/>
      <c r="C4151" s="600"/>
      <c r="D4151" s="600"/>
      <c r="E4151" s="600"/>
      <c r="F4151" s="600"/>
      <c r="G4151" s="600"/>
      <c r="H4151" s="600"/>
    </row>
    <row r="4152" spans="1:8">
      <c r="A4152" s="600"/>
      <c r="B4152" s="600"/>
      <c r="C4152" s="600"/>
      <c r="D4152" s="600"/>
      <c r="E4152" s="600"/>
      <c r="F4152" s="600"/>
      <c r="G4152" s="600"/>
      <c r="H4152" s="600"/>
    </row>
    <row r="4153" spans="1:8">
      <c r="A4153" s="600"/>
      <c r="B4153" s="600"/>
      <c r="C4153" s="600"/>
      <c r="D4153" s="600"/>
      <c r="E4153" s="600"/>
      <c r="F4153" s="600"/>
      <c r="G4153" s="600"/>
      <c r="H4153" s="600"/>
    </row>
    <row r="4154" spans="1:8">
      <c r="A4154" s="600"/>
      <c r="B4154" s="600"/>
      <c r="C4154" s="600"/>
      <c r="D4154" s="600"/>
      <c r="E4154" s="600"/>
      <c r="F4154" s="600"/>
      <c r="G4154" s="600"/>
      <c r="H4154" s="600"/>
    </row>
    <row r="4155" spans="1:8">
      <c r="A4155" s="600"/>
      <c r="B4155" s="600"/>
      <c r="C4155" s="600"/>
      <c r="D4155" s="600"/>
      <c r="E4155" s="600"/>
      <c r="F4155" s="600"/>
      <c r="G4155" s="600"/>
      <c r="H4155" s="600"/>
    </row>
    <row r="4156" spans="1:8">
      <c r="A4156" s="600"/>
      <c r="B4156" s="600"/>
      <c r="C4156" s="600"/>
      <c r="D4156" s="600"/>
      <c r="E4156" s="600"/>
      <c r="F4156" s="600"/>
      <c r="G4156" s="600"/>
      <c r="H4156" s="600"/>
    </row>
    <row r="4157" spans="1:8">
      <c r="A4157" s="600"/>
      <c r="B4157" s="600"/>
      <c r="C4157" s="600"/>
      <c r="D4157" s="600"/>
      <c r="E4157" s="600"/>
      <c r="F4157" s="600"/>
      <c r="G4157" s="600"/>
      <c r="H4157" s="600"/>
    </row>
    <row r="4158" spans="1:8">
      <c r="A4158" s="600"/>
      <c r="B4158" s="600"/>
      <c r="C4158" s="600"/>
      <c r="D4158" s="600"/>
      <c r="E4158" s="600"/>
      <c r="F4158" s="600"/>
      <c r="G4158" s="600"/>
      <c r="H4158" s="600"/>
    </row>
    <row r="4159" spans="1:8">
      <c r="A4159" s="600"/>
      <c r="B4159" s="600"/>
      <c r="C4159" s="600"/>
      <c r="D4159" s="600"/>
      <c r="E4159" s="600"/>
      <c r="F4159" s="600"/>
      <c r="G4159" s="600"/>
      <c r="H4159" s="600"/>
    </row>
    <row r="4160" spans="1:8">
      <c r="A4160" s="600"/>
      <c r="B4160" s="600"/>
      <c r="C4160" s="600"/>
      <c r="D4160" s="600"/>
      <c r="E4160" s="600"/>
      <c r="F4160" s="600"/>
      <c r="G4160" s="600"/>
      <c r="H4160" s="600"/>
    </row>
    <row r="4161" spans="1:8">
      <c r="A4161" s="600"/>
      <c r="B4161" s="600"/>
      <c r="C4161" s="600"/>
      <c r="D4161" s="600"/>
      <c r="E4161" s="600"/>
      <c r="F4161" s="600"/>
      <c r="G4161" s="600"/>
      <c r="H4161" s="600"/>
    </row>
    <row r="4162" spans="1:8">
      <c r="A4162" s="600"/>
      <c r="B4162" s="600"/>
      <c r="C4162" s="600"/>
      <c r="D4162" s="600"/>
      <c r="E4162" s="600"/>
      <c r="F4162" s="600"/>
      <c r="G4162" s="600"/>
      <c r="H4162" s="600"/>
    </row>
    <row r="4163" spans="1:8">
      <c r="A4163" s="600"/>
      <c r="B4163" s="600"/>
      <c r="C4163" s="600"/>
      <c r="D4163" s="600"/>
      <c r="E4163" s="600"/>
      <c r="F4163" s="600"/>
      <c r="G4163" s="600"/>
      <c r="H4163" s="600"/>
    </row>
    <row r="4164" spans="1:8">
      <c r="A4164" s="600"/>
      <c r="B4164" s="600"/>
      <c r="C4164" s="600"/>
      <c r="D4164" s="600"/>
      <c r="E4164" s="600"/>
      <c r="F4164" s="600"/>
      <c r="G4164" s="600"/>
      <c r="H4164" s="600"/>
    </row>
    <row r="4165" spans="1:8">
      <c r="A4165" s="600"/>
      <c r="B4165" s="600"/>
      <c r="C4165" s="600"/>
      <c r="D4165" s="600"/>
      <c r="E4165" s="600"/>
      <c r="F4165" s="600"/>
      <c r="G4165" s="600"/>
      <c r="H4165" s="600"/>
    </row>
    <row r="4166" spans="1:8">
      <c r="A4166" s="600"/>
      <c r="B4166" s="600"/>
      <c r="C4166" s="600"/>
      <c r="D4166" s="600"/>
      <c r="E4166" s="600"/>
      <c r="F4166" s="600"/>
      <c r="G4166" s="600"/>
      <c r="H4166" s="600"/>
    </row>
    <row r="4167" spans="1:8">
      <c r="A4167" s="600"/>
      <c r="B4167" s="600"/>
      <c r="C4167" s="600"/>
      <c r="D4167" s="600"/>
      <c r="E4167" s="600"/>
      <c r="F4167" s="600"/>
      <c r="G4167" s="600"/>
      <c r="H4167" s="600"/>
    </row>
    <row r="4168" spans="1:8">
      <c r="A4168" s="600"/>
      <c r="B4168" s="600"/>
      <c r="C4168" s="600"/>
      <c r="D4168" s="600"/>
      <c r="E4168" s="600"/>
      <c r="F4168" s="600"/>
      <c r="G4168" s="600"/>
      <c r="H4168" s="600"/>
    </row>
    <row r="4169" spans="1:8">
      <c r="A4169" s="600"/>
      <c r="B4169" s="600"/>
      <c r="C4169" s="600"/>
      <c r="D4169" s="600"/>
      <c r="E4169" s="600"/>
      <c r="F4169" s="600"/>
      <c r="G4169" s="600"/>
      <c r="H4169" s="600"/>
    </row>
    <row r="4170" spans="1:8">
      <c r="A4170" s="600"/>
      <c r="B4170" s="600"/>
      <c r="C4170" s="600"/>
      <c r="D4170" s="600"/>
      <c r="E4170" s="600"/>
      <c r="F4170" s="600"/>
      <c r="G4170" s="600"/>
      <c r="H4170" s="600"/>
    </row>
    <row r="4171" spans="1:8">
      <c r="A4171" s="600"/>
      <c r="B4171" s="600"/>
      <c r="C4171" s="600"/>
      <c r="D4171" s="600"/>
      <c r="E4171" s="600"/>
      <c r="F4171" s="600"/>
      <c r="G4171" s="600"/>
      <c r="H4171" s="600"/>
    </row>
    <row r="4172" spans="1:8">
      <c r="A4172" s="600"/>
      <c r="B4172" s="600"/>
      <c r="C4172" s="600"/>
      <c r="D4172" s="600"/>
      <c r="E4172" s="600"/>
      <c r="F4172" s="600"/>
      <c r="G4172" s="600"/>
      <c r="H4172" s="600"/>
    </row>
    <row r="4173" spans="1:8">
      <c r="A4173" s="600"/>
      <c r="B4173" s="600"/>
      <c r="C4173" s="600"/>
      <c r="D4173" s="600"/>
      <c r="E4173" s="600"/>
      <c r="F4173" s="600"/>
      <c r="G4173" s="600"/>
      <c r="H4173" s="600"/>
    </row>
    <row r="4174" spans="1:8">
      <c r="A4174" s="600"/>
      <c r="B4174" s="600"/>
      <c r="C4174" s="600"/>
      <c r="D4174" s="600"/>
      <c r="E4174" s="600"/>
      <c r="F4174" s="600"/>
      <c r="G4174" s="600"/>
      <c r="H4174" s="600"/>
    </row>
    <row r="4175" spans="1:8">
      <c r="A4175" s="600"/>
      <c r="B4175" s="600"/>
      <c r="C4175" s="600"/>
      <c r="D4175" s="600"/>
      <c r="E4175" s="600"/>
      <c r="F4175" s="600"/>
      <c r="G4175" s="600"/>
      <c r="H4175" s="600"/>
    </row>
    <row r="4176" spans="1:8">
      <c r="A4176" s="600"/>
      <c r="B4176" s="600"/>
      <c r="C4176" s="600"/>
      <c r="D4176" s="600"/>
      <c r="E4176" s="600"/>
      <c r="F4176" s="600"/>
      <c r="G4176" s="600"/>
      <c r="H4176" s="600"/>
    </row>
    <row r="4177" spans="1:8">
      <c r="A4177" s="600"/>
      <c r="B4177" s="600"/>
      <c r="C4177" s="600"/>
      <c r="D4177" s="600"/>
      <c r="E4177" s="600"/>
      <c r="F4177" s="600"/>
      <c r="G4177" s="600"/>
      <c r="H4177" s="600"/>
    </row>
    <row r="4178" spans="1:8">
      <c r="A4178" s="600"/>
      <c r="B4178" s="600"/>
      <c r="C4178" s="600"/>
      <c r="D4178" s="600"/>
      <c r="E4178" s="600"/>
      <c r="F4178" s="600"/>
      <c r="G4178" s="600"/>
      <c r="H4178" s="600"/>
    </row>
    <row r="4179" spans="1:8">
      <c r="A4179" s="600"/>
      <c r="B4179" s="600"/>
      <c r="C4179" s="600"/>
      <c r="D4179" s="600"/>
      <c r="E4179" s="600"/>
      <c r="F4179" s="600"/>
      <c r="G4179" s="600"/>
      <c r="H4179" s="600"/>
    </row>
    <row r="4180" spans="1:8">
      <c r="A4180" s="600"/>
      <c r="B4180" s="600"/>
      <c r="C4180" s="600"/>
      <c r="D4180" s="600"/>
      <c r="E4180" s="600"/>
      <c r="F4180" s="600"/>
      <c r="G4180" s="600"/>
      <c r="H4180" s="600"/>
    </row>
    <row r="4181" spans="1:8">
      <c r="A4181" s="600"/>
      <c r="B4181" s="600"/>
      <c r="C4181" s="600"/>
      <c r="D4181" s="600"/>
      <c r="E4181" s="600"/>
      <c r="F4181" s="600"/>
      <c r="G4181" s="600"/>
      <c r="H4181" s="600"/>
    </row>
    <row r="4182" spans="1:8">
      <c r="A4182" s="600"/>
      <c r="B4182" s="600"/>
      <c r="C4182" s="600"/>
      <c r="D4182" s="600"/>
      <c r="E4182" s="600"/>
      <c r="F4182" s="600"/>
      <c r="G4182" s="600"/>
      <c r="H4182" s="600"/>
    </row>
    <row r="4183" spans="1:8">
      <c r="A4183" s="600"/>
      <c r="B4183" s="600"/>
      <c r="C4183" s="600"/>
      <c r="D4183" s="600"/>
      <c r="E4183" s="600"/>
      <c r="F4183" s="600"/>
      <c r="G4183" s="600"/>
      <c r="H4183" s="600"/>
    </row>
    <row r="4184" spans="1:8">
      <c r="A4184" s="600"/>
      <c r="B4184" s="600"/>
      <c r="C4184" s="600"/>
      <c r="D4184" s="600"/>
      <c r="E4184" s="600"/>
      <c r="F4184" s="600"/>
      <c r="G4184" s="600"/>
      <c r="H4184" s="600"/>
    </row>
    <row r="4185" spans="1:8">
      <c r="A4185" s="600"/>
      <c r="B4185" s="600"/>
      <c r="C4185" s="600"/>
      <c r="D4185" s="600"/>
      <c r="E4185" s="600"/>
      <c r="F4185" s="600"/>
      <c r="G4185" s="600"/>
      <c r="H4185" s="600"/>
    </row>
    <row r="4186" spans="1:8">
      <c r="A4186" s="600"/>
      <c r="B4186" s="600"/>
      <c r="C4186" s="600"/>
      <c r="D4186" s="600"/>
      <c r="E4186" s="600"/>
      <c r="F4186" s="600"/>
      <c r="G4186" s="600"/>
      <c r="H4186" s="600"/>
    </row>
    <row r="4187" spans="1:8">
      <c r="A4187" s="600"/>
      <c r="B4187" s="600"/>
      <c r="C4187" s="600"/>
      <c r="D4187" s="600"/>
      <c r="E4187" s="600"/>
      <c r="F4187" s="600"/>
      <c r="G4187" s="600"/>
      <c r="H4187" s="600"/>
    </row>
    <row r="4188" spans="1:8">
      <c r="A4188" s="600"/>
      <c r="B4188" s="600"/>
      <c r="C4188" s="600"/>
      <c r="D4188" s="600"/>
      <c r="E4188" s="600"/>
      <c r="F4188" s="600"/>
      <c r="G4188" s="600"/>
      <c r="H4188" s="600"/>
    </row>
    <row r="4189" spans="1:8">
      <c r="A4189" s="600"/>
      <c r="B4189" s="600"/>
      <c r="C4189" s="600"/>
      <c r="D4189" s="600"/>
      <c r="E4189" s="600"/>
      <c r="F4189" s="600"/>
      <c r="G4189" s="600"/>
      <c r="H4189" s="600"/>
    </row>
    <row r="4190" spans="1:8">
      <c r="A4190" s="600"/>
      <c r="B4190" s="600"/>
      <c r="C4190" s="600"/>
      <c r="D4190" s="600"/>
      <c r="E4190" s="600"/>
      <c r="F4190" s="600"/>
      <c r="G4190" s="600"/>
      <c r="H4190" s="600"/>
    </row>
    <row r="4191" spans="1:8">
      <c r="A4191" s="600"/>
      <c r="B4191" s="600"/>
      <c r="C4191" s="600"/>
      <c r="D4191" s="600"/>
      <c r="E4191" s="600"/>
      <c r="F4191" s="600"/>
      <c r="G4191" s="600"/>
      <c r="H4191" s="600"/>
    </row>
    <row r="4192" spans="1:8">
      <c r="A4192" s="600"/>
      <c r="B4192" s="600"/>
      <c r="C4192" s="600"/>
      <c r="D4192" s="600"/>
      <c r="E4192" s="600"/>
      <c r="F4192" s="600"/>
      <c r="G4192" s="600"/>
      <c r="H4192" s="600"/>
    </row>
    <row r="4193" spans="1:8">
      <c r="A4193" s="600"/>
      <c r="B4193" s="600"/>
      <c r="C4193" s="600"/>
      <c r="D4193" s="600"/>
      <c r="E4193" s="600"/>
      <c r="F4193" s="600"/>
      <c r="G4193" s="600"/>
      <c r="H4193" s="600"/>
    </row>
    <row r="4194" spans="1:8">
      <c r="A4194" s="600"/>
      <c r="B4194" s="600"/>
      <c r="C4194" s="600"/>
      <c r="D4194" s="600"/>
      <c r="E4194" s="600"/>
      <c r="F4194" s="600"/>
      <c r="G4194" s="600"/>
      <c r="H4194" s="600"/>
    </row>
    <row r="4195" spans="1:8">
      <c r="A4195" s="600"/>
      <c r="B4195" s="600"/>
      <c r="C4195" s="600"/>
      <c r="D4195" s="600"/>
      <c r="E4195" s="600"/>
      <c r="F4195" s="600"/>
      <c r="G4195" s="600"/>
      <c r="H4195" s="600"/>
    </row>
    <row r="4196" spans="1:8">
      <c r="A4196" s="600"/>
      <c r="B4196" s="600"/>
      <c r="C4196" s="600"/>
      <c r="D4196" s="600"/>
      <c r="E4196" s="600"/>
      <c r="F4196" s="600"/>
      <c r="G4196" s="600"/>
      <c r="H4196" s="600"/>
    </row>
    <row r="4197" spans="1:8">
      <c r="A4197" s="600"/>
      <c r="B4197" s="600"/>
      <c r="C4197" s="600"/>
      <c r="D4197" s="600"/>
      <c r="E4197" s="600"/>
      <c r="F4197" s="600"/>
      <c r="G4197" s="600"/>
      <c r="H4197" s="600"/>
    </row>
    <row r="4198" spans="1:8">
      <c r="A4198" s="600"/>
      <c r="B4198" s="600"/>
      <c r="C4198" s="600"/>
      <c r="D4198" s="600"/>
      <c r="E4198" s="600"/>
      <c r="F4198" s="600"/>
      <c r="G4198" s="600"/>
      <c r="H4198" s="600"/>
    </row>
    <row r="4199" spans="1:8">
      <c r="A4199" s="600"/>
      <c r="B4199" s="600"/>
      <c r="C4199" s="600"/>
      <c r="D4199" s="600"/>
      <c r="E4199" s="600"/>
      <c r="F4199" s="600"/>
      <c r="G4199" s="600"/>
      <c r="H4199" s="600"/>
    </row>
    <row r="4200" spans="1:8">
      <c r="A4200" s="600"/>
      <c r="B4200" s="600"/>
      <c r="C4200" s="600"/>
      <c r="D4200" s="600"/>
      <c r="E4200" s="600"/>
      <c r="F4200" s="600"/>
      <c r="G4200" s="600"/>
      <c r="H4200" s="600"/>
    </row>
    <row r="4201" spans="1:8">
      <c r="A4201" s="600"/>
      <c r="B4201" s="600"/>
      <c r="C4201" s="600"/>
      <c r="D4201" s="600"/>
      <c r="E4201" s="600"/>
      <c r="F4201" s="600"/>
      <c r="G4201" s="600"/>
      <c r="H4201" s="600"/>
    </row>
    <row r="4202" spans="1:8">
      <c r="A4202" s="600"/>
      <c r="B4202" s="600"/>
      <c r="C4202" s="600"/>
      <c r="D4202" s="600"/>
      <c r="E4202" s="600"/>
      <c r="F4202" s="600"/>
      <c r="G4202" s="600"/>
      <c r="H4202" s="600"/>
    </row>
    <row r="4203" spans="1:8">
      <c r="A4203" s="600"/>
      <c r="B4203" s="600"/>
      <c r="C4203" s="600"/>
      <c r="D4203" s="600"/>
      <c r="E4203" s="600"/>
      <c r="F4203" s="600"/>
      <c r="G4203" s="600"/>
      <c r="H4203" s="600"/>
    </row>
    <row r="4204" spans="1:8">
      <c r="A4204" s="600"/>
      <c r="B4204" s="600"/>
      <c r="C4204" s="600"/>
      <c r="D4204" s="600"/>
      <c r="E4204" s="600"/>
      <c r="F4204" s="600"/>
      <c r="G4204" s="600"/>
      <c r="H4204" s="600"/>
    </row>
    <row r="4205" spans="1:8">
      <c r="A4205" s="600"/>
      <c r="B4205" s="600"/>
      <c r="C4205" s="600"/>
      <c r="D4205" s="600"/>
      <c r="E4205" s="600"/>
      <c r="F4205" s="600"/>
      <c r="G4205" s="600"/>
      <c r="H4205" s="600"/>
    </row>
    <row r="4206" spans="1:8">
      <c r="A4206" s="600"/>
      <c r="B4206" s="600"/>
      <c r="C4206" s="600"/>
      <c r="D4206" s="600"/>
      <c r="E4206" s="600"/>
      <c r="F4206" s="600"/>
      <c r="G4206" s="600"/>
      <c r="H4206" s="600"/>
    </row>
    <row r="4207" spans="1:8">
      <c r="A4207" s="600"/>
      <c r="B4207" s="600"/>
      <c r="C4207" s="600"/>
      <c r="D4207" s="600"/>
      <c r="E4207" s="600"/>
      <c r="F4207" s="600"/>
      <c r="G4207" s="600"/>
      <c r="H4207" s="600"/>
    </row>
    <row r="4208" spans="1:8">
      <c r="A4208" s="600"/>
      <c r="B4208" s="600"/>
      <c r="C4208" s="600"/>
      <c r="D4208" s="600"/>
      <c r="E4208" s="600"/>
      <c r="F4208" s="600"/>
      <c r="G4208" s="600"/>
      <c r="H4208" s="600"/>
    </row>
    <row r="4209" spans="1:8">
      <c r="A4209" s="600"/>
      <c r="B4209" s="600"/>
      <c r="C4209" s="600"/>
      <c r="D4209" s="600"/>
      <c r="E4209" s="600"/>
      <c r="F4209" s="600"/>
      <c r="G4209" s="600"/>
      <c r="H4209" s="600"/>
    </row>
    <row r="4210" spans="1:8">
      <c r="A4210" s="600"/>
      <c r="B4210" s="600"/>
      <c r="C4210" s="600"/>
      <c r="D4210" s="600"/>
      <c r="E4210" s="600"/>
      <c r="F4210" s="600"/>
      <c r="G4210" s="600"/>
      <c r="H4210" s="600"/>
    </row>
    <row r="4211" spans="1:8">
      <c r="A4211" s="600"/>
      <c r="B4211" s="600"/>
      <c r="C4211" s="600"/>
      <c r="D4211" s="600"/>
      <c r="E4211" s="600"/>
      <c r="F4211" s="600"/>
      <c r="G4211" s="600"/>
      <c r="H4211" s="600"/>
    </row>
    <row r="4212" spans="1:8">
      <c r="A4212" s="600"/>
      <c r="B4212" s="600"/>
      <c r="C4212" s="600"/>
      <c r="D4212" s="600"/>
      <c r="E4212" s="600"/>
      <c r="F4212" s="600"/>
      <c r="G4212" s="600"/>
      <c r="H4212" s="600"/>
    </row>
    <row r="4213" spans="1:8">
      <c r="A4213" s="600"/>
      <c r="B4213" s="600"/>
      <c r="C4213" s="600"/>
      <c r="D4213" s="600"/>
      <c r="E4213" s="600"/>
      <c r="F4213" s="600"/>
      <c r="G4213" s="600"/>
      <c r="H4213" s="600"/>
    </row>
    <row r="4214" spans="1:8">
      <c r="A4214" s="600"/>
      <c r="B4214" s="600"/>
      <c r="C4214" s="600"/>
      <c r="D4214" s="600"/>
      <c r="E4214" s="600"/>
      <c r="F4214" s="600"/>
      <c r="G4214" s="600"/>
      <c r="H4214" s="600"/>
    </row>
    <row r="4215" spans="1:8">
      <c r="A4215" s="600"/>
      <c r="B4215" s="600"/>
      <c r="C4215" s="600"/>
      <c r="D4215" s="600"/>
      <c r="E4215" s="600"/>
      <c r="F4215" s="600"/>
      <c r="G4215" s="600"/>
      <c r="H4215" s="600"/>
    </row>
    <row r="4216" spans="1:8">
      <c r="A4216" s="600"/>
      <c r="B4216" s="600"/>
      <c r="C4216" s="600"/>
      <c r="D4216" s="600"/>
      <c r="E4216" s="600"/>
      <c r="F4216" s="600"/>
      <c r="G4216" s="600"/>
      <c r="H4216" s="600"/>
    </row>
    <row r="4217" spans="1:8">
      <c r="A4217" s="600"/>
      <c r="B4217" s="600"/>
      <c r="C4217" s="600"/>
      <c r="D4217" s="600"/>
      <c r="E4217" s="600"/>
      <c r="F4217" s="600"/>
      <c r="G4217" s="600"/>
      <c r="H4217" s="600"/>
    </row>
    <row r="4218" spans="1:8">
      <c r="A4218" s="600"/>
      <c r="B4218" s="600"/>
      <c r="C4218" s="600"/>
      <c r="D4218" s="600"/>
      <c r="E4218" s="600"/>
      <c r="F4218" s="600"/>
      <c r="G4218" s="600"/>
      <c r="H4218" s="600"/>
    </row>
    <row r="4219" spans="1:8">
      <c r="A4219" s="600"/>
      <c r="B4219" s="600"/>
      <c r="C4219" s="600"/>
      <c r="D4219" s="600"/>
      <c r="E4219" s="600"/>
      <c r="F4219" s="600"/>
      <c r="G4219" s="600"/>
      <c r="H4219" s="600"/>
    </row>
    <row r="4220" spans="1:8">
      <c r="A4220" s="600"/>
      <c r="B4220" s="600"/>
      <c r="C4220" s="600"/>
      <c r="D4220" s="600"/>
      <c r="E4220" s="600"/>
      <c r="F4220" s="600"/>
      <c r="G4220" s="600"/>
      <c r="H4220" s="600"/>
    </row>
    <row r="4221" spans="1:8">
      <c r="A4221" s="600"/>
      <c r="B4221" s="600"/>
      <c r="C4221" s="600"/>
      <c r="D4221" s="600"/>
      <c r="E4221" s="600"/>
      <c r="F4221" s="600"/>
      <c r="G4221" s="600"/>
      <c r="H4221" s="600"/>
    </row>
    <row r="4222" spans="1:8">
      <c r="A4222" s="600"/>
      <c r="B4222" s="600"/>
      <c r="C4222" s="600"/>
      <c r="D4222" s="600"/>
      <c r="E4222" s="600"/>
      <c r="F4222" s="600"/>
      <c r="G4222" s="600"/>
      <c r="H4222" s="600"/>
    </row>
    <row r="4223" spans="1:8">
      <c r="A4223" s="600"/>
      <c r="B4223" s="600"/>
      <c r="C4223" s="600"/>
      <c r="D4223" s="600"/>
      <c r="E4223" s="600"/>
      <c r="F4223" s="600"/>
      <c r="G4223" s="600"/>
      <c r="H4223" s="600"/>
    </row>
    <row r="4224" spans="1:8">
      <c r="A4224" s="600"/>
      <c r="B4224" s="600"/>
      <c r="C4224" s="600"/>
      <c r="D4224" s="600"/>
      <c r="E4224" s="600"/>
      <c r="F4224" s="600"/>
      <c r="G4224" s="600"/>
      <c r="H4224" s="600"/>
    </row>
    <row r="4225" spans="1:8">
      <c r="A4225" s="600"/>
      <c r="B4225" s="600"/>
      <c r="C4225" s="600"/>
      <c r="D4225" s="600"/>
      <c r="E4225" s="600"/>
      <c r="F4225" s="600"/>
      <c r="G4225" s="600"/>
      <c r="H4225" s="600"/>
    </row>
    <row r="4226" spans="1:8">
      <c r="A4226" s="600"/>
      <c r="B4226" s="600"/>
      <c r="C4226" s="600"/>
      <c r="D4226" s="600"/>
      <c r="E4226" s="600"/>
      <c r="F4226" s="600"/>
      <c r="G4226" s="600"/>
      <c r="H4226" s="600"/>
    </row>
    <row r="4227" spans="1:8">
      <c r="A4227" s="600"/>
      <c r="B4227" s="600"/>
      <c r="C4227" s="600"/>
      <c r="D4227" s="600"/>
      <c r="E4227" s="600"/>
      <c r="F4227" s="600"/>
      <c r="G4227" s="600"/>
      <c r="H4227" s="600"/>
    </row>
    <row r="4228" spans="1:8">
      <c r="A4228" s="600"/>
      <c r="B4228" s="600"/>
      <c r="C4228" s="600"/>
      <c r="D4228" s="600"/>
      <c r="E4228" s="600"/>
      <c r="F4228" s="600"/>
      <c r="G4228" s="600"/>
      <c r="H4228" s="600"/>
    </row>
    <row r="4229" spans="1:8">
      <c r="A4229" s="600"/>
      <c r="B4229" s="600"/>
      <c r="C4229" s="600"/>
      <c r="D4229" s="600"/>
      <c r="E4229" s="600"/>
      <c r="F4229" s="600"/>
      <c r="G4229" s="600"/>
      <c r="H4229" s="600"/>
    </row>
    <row r="4230" spans="1:8">
      <c r="A4230" s="600"/>
      <c r="B4230" s="600"/>
      <c r="C4230" s="600"/>
      <c r="D4230" s="600"/>
      <c r="E4230" s="600"/>
      <c r="F4230" s="600"/>
      <c r="G4230" s="600"/>
      <c r="H4230" s="600"/>
    </row>
    <row r="4231" spans="1:8">
      <c r="A4231" s="600"/>
      <c r="B4231" s="600"/>
      <c r="C4231" s="600"/>
      <c r="D4231" s="600"/>
      <c r="E4231" s="600"/>
      <c r="F4231" s="600"/>
      <c r="G4231" s="600"/>
      <c r="H4231" s="600"/>
    </row>
    <row r="4232" spans="1:8">
      <c r="A4232" s="600"/>
      <c r="B4232" s="600"/>
      <c r="C4232" s="600"/>
      <c r="D4232" s="600"/>
      <c r="E4232" s="600"/>
      <c r="F4232" s="600"/>
      <c r="G4232" s="600"/>
      <c r="H4232" s="600"/>
    </row>
    <row r="4233" spans="1:8">
      <c r="A4233" s="600"/>
      <c r="B4233" s="600"/>
      <c r="C4233" s="600"/>
      <c r="D4233" s="600"/>
      <c r="E4233" s="600"/>
      <c r="F4233" s="600"/>
      <c r="G4233" s="600"/>
      <c r="H4233" s="600"/>
    </row>
    <row r="4234" spans="1:8">
      <c r="A4234" s="600"/>
      <c r="B4234" s="600"/>
      <c r="C4234" s="600"/>
      <c r="D4234" s="600"/>
      <c r="E4234" s="600"/>
      <c r="F4234" s="600"/>
      <c r="G4234" s="600"/>
      <c r="H4234" s="600"/>
    </row>
    <row r="4235" spans="1:8">
      <c r="A4235" s="600"/>
      <c r="B4235" s="600"/>
      <c r="C4235" s="600"/>
      <c r="D4235" s="600"/>
      <c r="E4235" s="600"/>
      <c r="F4235" s="600"/>
      <c r="G4235" s="600"/>
      <c r="H4235" s="600"/>
    </row>
    <row r="4236" spans="1:8">
      <c r="A4236" s="600"/>
      <c r="B4236" s="600"/>
      <c r="C4236" s="600"/>
      <c r="D4236" s="600"/>
      <c r="E4236" s="600"/>
      <c r="F4236" s="600"/>
      <c r="G4236" s="600"/>
      <c r="H4236" s="600"/>
    </row>
    <row r="4237" spans="1:8">
      <c r="A4237" s="600"/>
      <c r="B4237" s="600"/>
      <c r="C4237" s="600"/>
      <c r="D4237" s="600"/>
      <c r="E4237" s="600"/>
      <c r="F4237" s="600"/>
      <c r="G4237" s="600"/>
      <c r="H4237" s="600"/>
    </row>
    <row r="4238" spans="1:8">
      <c r="A4238" s="600"/>
      <c r="B4238" s="600"/>
      <c r="C4238" s="600"/>
      <c r="D4238" s="600"/>
      <c r="E4238" s="600"/>
      <c r="F4238" s="600"/>
      <c r="G4238" s="600"/>
      <c r="H4238" s="600"/>
    </row>
    <row r="4239" spans="1:8">
      <c r="A4239" s="600"/>
      <c r="B4239" s="600"/>
      <c r="C4239" s="600"/>
      <c r="D4239" s="600"/>
      <c r="E4239" s="600"/>
      <c r="F4239" s="600"/>
      <c r="G4239" s="600"/>
      <c r="H4239" s="600"/>
    </row>
    <row r="4240" spans="1:8">
      <c r="A4240" s="600"/>
      <c r="B4240" s="600"/>
      <c r="C4240" s="600"/>
      <c r="D4240" s="600"/>
      <c r="E4240" s="600"/>
      <c r="F4240" s="600"/>
      <c r="G4240" s="600"/>
      <c r="H4240" s="600"/>
    </row>
    <row r="4241" spans="1:8">
      <c r="A4241" s="600"/>
      <c r="B4241" s="600"/>
      <c r="C4241" s="600"/>
      <c r="D4241" s="600"/>
      <c r="E4241" s="600"/>
      <c r="F4241" s="600"/>
      <c r="G4241" s="600"/>
      <c r="H4241" s="600"/>
    </row>
    <row r="4242" spans="1:8">
      <c r="A4242" s="600"/>
      <c r="B4242" s="600"/>
      <c r="C4242" s="600"/>
      <c r="D4242" s="600"/>
      <c r="E4242" s="600"/>
      <c r="F4242" s="600"/>
      <c r="G4242" s="600"/>
      <c r="H4242" s="600"/>
    </row>
    <row r="4243" spans="1:8">
      <c r="A4243" s="600"/>
      <c r="B4243" s="600"/>
      <c r="C4243" s="600"/>
      <c r="D4243" s="600"/>
      <c r="E4243" s="600"/>
      <c r="F4243" s="600"/>
      <c r="G4243" s="600"/>
      <c r="H4243" s="600"/>
    </row>
    <row r="4244" spans="1:8">
      <c r="A4244" s="600"/>
      <c r="B4244" s="600"/>
      <c r="C4244" s="600"/>
      <c r="D4244" s="600"/>
      <c r="E4244" s="600"/>
      <c r="F4244" s="600"/>
      <c r="G4244" s="600"/>
      <c r="H4244" s="600"/>
    </row>
    <row r="4245" spans="1:8">
      <c r="A4245" s="600"/>
      <c r="B4245" s="600"/>
      <c r="C4245" s="600"/>
      <c r="D4245" s="600"/>
      <c r="E4245" s="600"/>
      <c r="F4245" s="600"/>
      <c r="G4245" s="600"/>
      <c r="H4245" s="600"/>
    </row>
    <row r="4246" spans="1:8">
      <c r="A4246" s="600"/>
      <c r="B4246" s="600"/>
      <c r="C4246" s="600"/>
      <c r="D4246" s="600"/>
      <c r="E4246" s="600"/>
      <c r="F4246" s="600"/>
      <c r="G4246" s="600"/>
      <c r="H4246" s="600"/>
    </row>
    <row r="4247" spans="1:8">
      <c r="A4247" s="600"/>
      <c r="B4247" s="600"/>
      <c r="C4247" s="600"/>
      <c r="D4247" s="600"/>
      <c r="E4247" s="600"/>
      <c r="F4247" s="600"/>
      <c r="G4247" s="600"/>
      <c r="H4247" s="600"/>
    </row>
    <row r="4248" spans="1:8">
      <c r="A4248" s="600"/>
      <c r="B4248" s="600"/>
      <c r="C4248" s="600"/>
      <c r="D4248" s="600"/>
      <c r="E4248" s="600"/>
      <c r="F4248" s="600"/>
      <c r="G4248" s="600"/>
      <c r="H4248" s="600"/>
    </row>
    <row r="4249" spans="1:8">
      <c r="A4249" s="600"/>
      <c r="B4249" s="600"/>
      <c r="C4249" s="600"/>
      <c r="D4249" s="600"/>
      <c r="E4249" s="600"/>
      <c r="F4249" s="600"/>
      <c r="G4249" s="600"/>
      <c r="H4249" s="600"/>
    </row>
    <row r="4250" spans="1:8">
      <c r="A4250" s="600"/>
      <c r="B4250" s="600"/>
      <c r="C4250" s="600"/>
      <c r="D4250" s="600"/>
      <c r="E4250" s="600"/>
      <c r="F4250" s="600"/>
      <c r="G4250" s="600"/>
      <c r="H4250" s="600"/>
    </row>
    <row r="4251" spans="1:8">
      <c r="A4251" s="600"/>
      <c r="B4251" s="600"/>
      <c r="C4251" s="600"/>
      <c r="D4251" s="600"/>
      <c r="E4251" s="600"/>
      <c r="F4251" s="600"/>
      <c r="G4251" s="600"/>
      <c r="H4251" s="600"/>
    </row>
    <row r="4252" spans="1:8">
      <c r="A4252" s="600"/>
      <c r="B4252" s="600"/>
      <c r="C4252" s="600"/>
      <c r="D4252" s="600"/>
      <c r="E4252" s="600"/>
      <c r="F4252" s="600"/>
      <c r="G4252" s="600"/>
      <c r="H4252" s="600"/>
    </row>
    <row r="4253" spans="1:8">
      <c r="A4253" s="600"/>
      <c r="B4253" s="600"/>
      <c r="C4253" s="600"/>
      <c r="D4253" s="600"/>
      <c r="E4253" s="600"/>
      <c r="F4253" s="600"/>
      <c r="G4253" s="600"/>
      <c r="H4253" s="600"/>
    </row>
    <row r="4254" spans="1:8">
      <c r="A4254" s="600"/>
      <c r="B4254" s="600"/>
      <c r="C4254" s="600"/>
      <c r="D4254" s="600"/>
      <c r="E4254" s="600"/>
      <c r="F4254" s="600"/>
      <c r="G4254" s="600"/>
      <c r="H4254" s="600"/>
    </row>
    <row r="4255" spans="1:8">
      <c r="A4255" s="600"/>
      <c r="B4255" s="600"/>
      <c r="C4255" s="600"/>
      <c r="D4255" s="600"/>
      <c r="E4255" s="600"/>
      <c r="F4255" s="600"/>
      <c r="G4255" s="600"/>
      <c r="H4255" s="600"/>
    </row>
    <row r="4256" spans="1:8">
      <c r="A4256" s="600"/>
      <c r="B4256" s="600"/>
      <c r="C4256" s="600"/>
      <c r="D4256" s="600"/>
      <c r="E4256" s="600"/>
      <c r="F4256" s="600"/>
      <c r="G4256" s="600"/>
      <c r="H4256" s="600"/>
    </row>
    <row r="4257" spans="1:8">
      <c r="A4257" s="600"/>
      <c r="B4257" s="600"/>
      <c r="C4257" s="600"/>
      <c r="D4257" s="600"/>
      <c r="E4257" s="600"/>
      <c r="F4257" s="600"/>
      <c r="G4257" s="600"/>
      <c r="H4257" s="600"/>
    </row>
    <row r="4258" spans="1:8">
      <c r="A4258" s="600"/>
      <c r="B4258" s="600"/>
      <c r="C4258" s="600"/>
      <c r="D4258" s="600"/>
      <c r="E4258" s="600"/>
      <c r="F4258" s="600"/>
      <c r="G4258" s="600"/>
      <c r="H4258" s="600"/>
    </row>
    <row r="4259" spans="1:8">
      <c r="A4259" s="600"/>
      <c r="B4259" s="600"/>
      <c r="C4259" s="600"/>
      <c r="D4259" s="600"/>
      <c r="E4259" s="600"/>
      <c r="F4259" s="600"/>
      <c r="G4259" s="600"/>
      <c r="H4259" s="600"/>
    </row>
    <row r="4260" spans="1:8">
      <c r="A4260" s="600"/>
      <c r="B4260" s="600"/>
      <c r="C4260" s="600"/>
      <c r="D4260" s="600"/>
      <c r="E4260" s="600"/>
      <c r="F4260" s="600"/>
      <c r="G4260" s="600"/>
      <c r="H4260" s="600"/>
    </row>
    <row r="4261" spans="1:8">
      <c r="A4261" s="600"/>
      <c r="B4261" s="600"/>
      <c r="C4261" s="600"/>
      <c r="D4261" s="600"/>
      <c r="E4261" s="600"/>
      <c r="F4261" s="600"/>
      <c r="G4261" s="600"/>
      <c r="H4261" s="600"/>
    </row>
    <row r="4262" spans="1:8">
      <c r="A4262" s="600"/>
      <c r="B4262" s="600"/>
      <c r="C4262" s="600"/>
      <c r="D4262" s="600"/>
      <c r="E4262" s="600"/>
      <c r="F4262" s="600"/>
      <c r="G4262" s="600"/>
      <c r="H4262" s="600"/>
    </row>
    <row r="4263" spans="1:8">
      <c r="A4263" s="600"/>
      <c r="B4263" s="600"/>
      <c r="C4263" s="600"/>
      <c r="D4263" s="600"/>
      <c r="E4263" s="600"/>
      <c r="F4263" s="600"/>
      <c r="G4263" s="600"/>
      <c r="H4263" s="600"/>
    </row>
    <row r="4264" spans="1:8">
      <c r="A4264" s="600"/>
      <c r="B4264" s="600"/>
      <c r="C4264" s="600"/>
      <c r="D4264" s="600"/>
      <c r="E4264" s="600"/>
      <c r="F4264" s="600"/>
      <c r="G4264" s="600"/>
      <c r="H4264" s="600"/>
    </row>
    <row r="4265" spans="1:8">
      <c r="A4265" s="600"/>
      <c r="B4265" s="600"/>
      <c r="C4265" s="600"/>
      <c r="D4265" s="600"/>
      <c r="E4265" s="600"/>
      <c r="F4265" s="600"/>
      <c r="G4265" s="600"/>
      <c r="H4265" s="600"/>
    </row>
    <row r="4266" spans="1:8">
      <c r="A4266" s="600"/>
      <c r="B4266" s="600"/>
      <c r="C4266" s="600"/>
      <c r="D4266" s="600"/>
      <c r="E4266" s="600"/>
      <c r="F4266" s="600"/>
      <c r="G4266" s="600"/>
      <c r="H4266" s="600"/>
    </row>
    <row r="4267" spans="1:8">
      <c r="A4267" s="600"/>
      <c r="B4267" s="600"/>
      <c r="C4267" s="600"/>
      <c r="D4267" s="600"/>
      <c r="E4267" s="600"/>
      <c r="F4267" s="600"/>
      <c r="G4267" s="600"/>
      <c r="H4267" s="600"/>
    </row>
    <row r="4268" spans="1:8">
      <c r="A4268" s="600"/>
      <c r="B4268" s="600"/>
      <c r="C4268" s="600"/>
      <c r="D4268" s="600"/>
      <c r="E4268" s="600"/>
      <c r="F4268" s="600"/>
      <c r="G4268" s="600"/>
      <c r="H4268" s="600"/>
    </row>
    <row r="4269" spans="1:8">
      <c r="A4269" s="600"/>
      <c r="B4269" s="600"/>
      <c r="C4269" s="600"/>
      <c r="D4269" s="600"/>
      <c r="E4269" s="600"/>
      <c r="F4269" s="600"/>
      <c r="G4269" s="600"/>
      <c r="H4269" s="600"/>
    </row>
    <row r="4270" spans="1:8">
      <c r="A4270" s="600"/>
      <c r="B4270" s="600"/>
      <c r="C4270" s="600"/>
      <c r="D4270" s="600"/>
      <c r="E4270" s="600"/>
      <c r="F4270" s="600"/>
      <c r="G4270" s="600"/>
      <c r="H4270" s="600"/>
    </row>
    <row r="4271" spans="1:8">
      <c r="A4271" s="600"/>
      <c r="B4271" s="600"/>
      <c r="C4271" s="600"/>
      <c r="D4271" s="600"/>
      <c r="E4271" s="600"/>
      <c r="F4271" s="600"/>
      <c r="G4271" s="600"/>
      <c r="H4271" s="600"/>
    </row>
    <row r="4272" spans="1:8">
      <c r="A4272" s="600"/>
      <c r="B4272" s="600"/>
      <c r="C4272" s="600"/>
      <c r="D4272" s="600"/>
      <c r="E4272" s="600"/>
      <c r="F4272" s="600"/>
      <c r="G4272" s="600"/>
      <c r="H4272" s="600"/>
    </row>
    <row r="4273" spans="1:8">
      <c r="A4273" s="600"/>
      <c r="B4273" s="600"/>
      <c r="C4273" s="600"/>
      <c r="D4273" s="600"/>
      <c r="E4273" s="600"/>
      <c r="F4273" s="600"/>
      <c r="G4273" s="600"/>
      <c r="H4273" s="600"/>
    </row>
    <row r="4274" spans="1:8">
      <c r="A4274" s="600"/>
      <c r="B4274" s="600"/>
      <c r="C4274" s="600"/>
      <c r="D4274" s="600"/>
      <c r="E4274" s="600"/>
      <c r="F4274" s="600"/>
      <c r="G4274" s="600"/>
      <c r="H4274" s="600"/>
    </row>
    <row r="4275" spans="1:8">
      <c r="A4275" s="600"/>
      <c r="B4275" s="600"/>
      <c r="C4275" s="600"/>
      <c r="D4275" s="600"/>
      <c r="E4275" s="600"/>
      <c r="F4275" s="600"/>
      <c r="G4275" s="600"/>
      <c r="H4275" s="600"/>
    </row>
    <row r="4276" spans="1:8">
      <c r="A4276" s="600"/>
      <c r="B4276" s="600"/>
      <c r="C4276" s="600"/>
      <c r="D4276" s="600"/>
      <c r="E4276" s="600"/>
      <c r="F4276" s="600"/>
      <c r="G4276" s="600"/>
      <c r="H4276" s="600"/>
    </row>
    <row r="4277" spans="1:8">
      <c r="A4277" s="600"/>
      <c r="B4277" s="600"/>
      <c r="C4277" s="600"/>
      <c r="D4277" s="600"/>
      <c r="E4277" s="600"/>
      <c r="F4277" s="600"/>
      <c r="G4277" s="600"/>
      <c r="H4277" s="600"/>
    </row>
    <row r="4278" spans="1:8">
      <c r="A4278" s="600"/>
      <c r="B4278" s="600"/>
      <c r="C4278" s="600"/>
      <c r="D4278" s="600"/>
      <c r="E4278" s="600"/>
      <c r="F4278" s="600"/>
      <c r="G4278" s="600"/>
      <c r="H4278" s="600"/>
    </row>
    <row r="4279" spans="1:8">
      <c r="A4279" s="600"/>
      <c r="B4279" s="600"/>
      <c r="C4279" s="600"/>
      <c r="D4279" s="600"/>
      <c r="E4279" s="600"/>
      <c r="F4279" s="600"/>
      <c r="G4279" s="600"/>
      <c r="H4279" s="600"/>
    </row>
    <row r="4280" spans="1:8">
      <c r="A4280" s="600"/>
      <c r="B4280" s="600"/>
      <c r="C4280" s="600"/>
      <c r="D4280" s="600"/>
      <c r="E4280" s="600"/>
      <c r="F4280" s="600"/>
      <c r="G4280" s="600"/>
      <c r="H4280" s="600"/>
    </row>
    <row r="4281" spans="1:8">
      <c r="A4281" s="600"/>
      <c r="B4281" s="600"/>
      <c r="C4281" s="600"/>
      <c r="D4281" s="600"/>
      <c r="E4281" s="600"/>
      <c r="F4281" s="600"/>
      <c r="G4281" s="600"/>
      <c r="H4281" s="600"/>
    </row>
    <row r="4282" spans="1:8">
      <c r="A4282" s="600"/>
      <c r="B4282" s="600"/>
      <c r="C4282" s="600"/>
      <c r="D4282" s="600"/>
      <c r="E4282" s="600"/>
      <c r="F4282" s="600"/>
      <c r="G4282" s="600"/>
      <c r="H4282" s="600"/>
    </row>
    <row r="4283" spans="1:8">
      <c r="A4283" s="600"/>
      <c r="B4283" s="600"/>
      <c r="C4283" s="600"/>
      <c r="D4283" s="600"/>
      <c r="E4283" s="600"/>
      <c r="F4283" s="600"/>
      <c r="G4283" s="600"/>
      <c r="H4283" s="600"/>
    </row>
    <row r="4284" spans="1:8">
      <c r="A4284" s="600"/>
      <c r="B4284" s="600"/>
      <c r="C4284" s="600"/>
      <c r="D4284" s="600"/>
      <c r="E4284" s="600"/>
      <c r="F4284" s="600"/>
      <c r="G4284" s="600"/>
      <c r="H4284" s="600"/>
    </row>
    <row r="4285" spans="1:8">
      <c r="A4285" s="600"/>
      <c r="B4285" s="600"/>
      <c r="C4285" s="600"/>
      <c r="D4285" s="600"/>
      <c r="E4285" s="600"/>
      <c r="F4285" s="600"/>
      <c r="G4285" s="600"/>
      <c r="H4285" s="600"/>
    </row>
    <row r="4286" spans="1:8">
      <c r="A4286" s="600"/>
      <c r="B4286" s="600"/>
      <c r="C4286" s="600"/>
      <c r="D4286" s="600"/>
      <c r="E4286" s="600"/>
      <c r="F4286" s="600"/>
      <c r="G4286" s="600"/>
      <c r="H4286" s="600"/>
    </row>
    <row r="4287" spans="1:8">
      <c r="A4287" s="600"/>
      <c r="B4287" s="600"/>
      <c r="C4287" s="600"/>
      <c r="D4287" s="600"/>
      <c r="E4287" s="600"/>
      <c r="F4287" s="600"/>
      <c r="G4287" s="600"/>
      <c r="H4287" s="600"/>
    </row>
    <row r="4288" spans="1:8">
      <c r="A4288" s="600"/>
      <c r="B4288" s="600"/>
      <c r="C4288" s="600"/>
      <c r="D4288" s="600"/>
      <c r="E4288" s="600"/>
      <c r="F4288" s="600"/>
      <c r="G4288" s="600"/>
      <c r="H4288" s="600"/>
    </row>
    <row r="4289" spans="1:8">
      <c r="A4289" s="600"/>
      <c r="B4289" s="600"/>
      <c r="C4289" s="600"/>
      <c r="D4289" s="600"/>
      <c r="E4289" s="600"/>
      <c r="F4289" s="600"/>
      <c r="G4289" s="600"/>
      <c r="H4289" s="600"/>
    </row>
    <row r="4290" spans="1:8">
      <c r="A4290" s="600"/>
      <c r="B4290" s="600"/>
      <c r="C4290" s="600"/>
      <c r="D4290" s="600"/>
      <c r="E4290" s="600"/>
      <c r="F4290" s="600"/>
      <c r="G4290" s="600"/>
      <c r="H4290" s="600"/>
    </row>
    <row r="4291" spans="1:8">
      <c r="A4291" s="600"/>
      <c r="B4291" s="600"/>
      <c r="C4291" s="600"/>
      <c r="D4291" s="600"/>
      <c r="E4291" s="600"/>
      <c r="F4291" s="600"/>
      <c r="G4291" s="600"/>
      <c r="H4291" s="600"/>
    </row>
    <row r="4292" spans="1:8">
      <c r="A4292" s="600"/>
      <c r="B4292" s="600"/>
      <c r="C4292" s="600"/>
      <c r="D4292" s="600"/>
      <c r="E4292" s="600"/>
      <c r="F4292" s="600"/>
      <c r="G4292" s="600"/>
      <c r="H4292" s="600"/>
    </row>
    <row r="4293" spans="1:8">
      <c r="A4293" s="600"/>
      <c r="B4293" s="600"/>
      <c r="C4293" s="600"/>
      <c r="D4293" s="600"/>
      <c r="E4293" s="600"/>
      <c r="F4293" s="600"/>
      <c r="G4293" s="600"/>
      <c r="H4293" s="600"/>
    </row>
    <row r="4294" spans="1:8">
      <c r="A4294" s="600"/>
      <c r="B4294" s="600"/>
      <c r="C4294" s="600"/>
      <c r="D4294" s="600"/>
      <c r="E4294" s="600"/>
      <c r="F4294" s="600"/>
      <c r="G4294" s="600"/>
      <c r="H4294" s="600"/>
    </row>
    <row r="4295" spans="1:8">
      <c r="A4295" s="600"/>
      <c r="B4295" s="600"/>
      <c r="C4295" s="600"/>
      <c r="D4295" s="600"/>
      <c r="E4295" s="600"/>
      <c r="F4295" s="600"/>
      <c r="G4295" s="600"/>
      <c r="H4295" s="600"/>
    </row>
    <row r="4296" spans="1:8">
      <c r="A4296" s="600"/>
      <c r="B4296" s="600"/>
      <c r="C4296" s="600"/>
      <c r="D4296" s="600"/>
      <c r="E4296" s="600"/>
      <c r="F4296" s="600"/>
      <c r="G4296" s="600"/>
      <c r="H4296" s="600"/>
    </row>
    <row r="4297" spans="1:8">
      <c r="A4297" s="600"/>
      <c r="B4297" s="600"/>
      <c r="C4297" s="600"/>
      <c r="D4297" s="600"/>
      <c r="E4297" s="600"/>
      <c r="F4297" s="600"/>
      <c r="G4297" s="600"/>
      <c r="H4297" s="600"/>
    </row>
    <row r="4298" spans="1:8">
      <c r="A4298" s="600"/>
      <c r="B4298" s="600"/>
      <c r="C4298" s="600"/>
      <c r="D4298" s="600"/>
      <c r="E4298" s="600"/>
      <c r="F4298" s="600"/>
      <c r="G4298" s="600"/>
      <c r="H4298" s="600"/>
    </row>
    <row r="4299" spans="1:8">
      <c r="A4299" s="600"/>
      <c r="B4299" s="600"/>
      <c r="C4299" s="600"/>
      <c r="D4299" s="600"/>
      <c r="E4299" s="600"/>
      <c r="F4299" s="600"/>
      <c r="G4299" s="600"/>
      <c r="H4299" s="600"/>
    </row>
    <row r="4300" spans="1:8">
      <c r="A4300" s="600"/>
      <c r="B4300" s="600"/>
      <c r="C4300" s="600"/>
      <c r="D4300" s="600"/>
      <c r="E4300" s="600"/>
      <c r="F4300" s="600"/>
      <c r="G4300" s="600"/>
      <c r="H4300" s="600"/>
    </row>
    <row r="4301" spans="1:8">
      <c r="A4301" s="600"/>
      <c r="B4301" s="600"/>
      <c r="C4301" s="600"/>
      <c r="D4301" s="600"/>
      <c r="E4301" s="600"/>
      <c r="F4301" s="600"/>
      <c r="G4301" s="600"/>
      <c r="H4301" s="600"/>
    </row>
    <row r="4302" spans="1:8">
      <c r="A4302" s="600"/>
      <c r="B4302" s="600"/>
      <c r="C4302" s="600"/>
      <c r="D4302" s="600"/>
      <c r="E4302" s="600"/>
      <c r="F4302" s="600"/>
      <c r="G4302" s="600"/>
      <c r="H4302" s="600"/>
    </row>
    <row r="4303" spans="1:8">
      <c r="A4303" s="600"/>
      <c r="B4303" s="600"/>
      <c r="C4303" s="600"/>
      <c r="D4303" s="600"/>
      <c r="E4303" s="600"/>
      <c r="F4303" s="600"/>
      <c r="G4303" s="600"/>
      <c r="H4303" s="600"/>
    </row>
    <row r="4304" spans="1:8">
      <c r="A4304" s="600"/>
      <c r="B4304" s="600"/>
      <c r="C4304" s="600"/>
      <c r="D4304" s="600"/>
      <c r="E4304" s="600"/>
      <c r="F4304" s="600"/>
      <c r="G4304" s="600"/>
      <c r="H4304" s="600"/>
    </row>
    <row r="4305" spans="1:8">
      <c r="A4305" s="600"/>
      <c r="B4305" s="600"/>
      <c r="C4305" s="600"/>
      <c r="D4305" s="600"/>
      <c r="E4305" s="600"/>
      <c r="F4305" s="600"/>
      <c r="G4305" s="600"/>
      <c r="H4305" s="600"/>
    </row>
    <row r="4306" spans="1:8">
      <c r="A4306" s="600"/>
      <c r="B4306" s="600"/>
      <c r="C4306" s="600"/>
      <c r="D4306" s="600"/>
      <c r="E4306" s="600"/>
      <c r="F4306" s="600"/>
      <c r="G4306" s="600"/>
      <c r="H4306" s="600"/>
    </row>
    <row r="4307" spans="1:8">
      <c r="A4307" s="600"/>
      <c r="B4307" s="600"/>
      <c r="C4307" s="600"/>
      <c r="D4307" s="600"/>
      <c r="E4307" s="600"/>
      <c r="F4307" s="600"/>
      <c r="G4307" s="600"/>
      <c r="H4307" s="600"/>
    </row>
    <row r="4308" spans="1:8">
      <c r="A4308" s="600"/>
      <c r="B4308" s="600"/>
      <c r="C4308" s="600"/>
      <c r="D4308" s="600"/>
      <c r="E4308" s="600"/>
      <c r="F4308" s="600"/>
      <c r="G4308" s="600"/>
      <c r="H4308" s="600"/>
    </row>
    <row r="4309" spans="1:8">
      <c r="A4309" s="600"/>
      <c r="B4309" s="600"/>
      <c r="C4309" s="600"/>
      <c r="D4309" s="600"/>
      <c r="E4309" s="600"/>
      <c r="F4309" s="600"/>
      <c r="G4309" s="600"/>
      <c r="H4309" s="600"/>
    </row>
    <row r="4310" spans="1:8">
      <c r="A4310" s="600"/>
      <c r="B4310" s="600"/>
      <c r="C4310" s="600"/>
      <c r="D4310" s="600"/>
      <c r="E4310" s="600"/>
      <c r="F4310" s="600"/>
      <c r="G4310" s="600"/>
      <c r="H4310" s="600"/>
    </row>
    <row r="4311" spans="1:8">
      <c r="A4311" s="600"/>
      <c r="B4311" s="600"/>
      <c r="C4311" s="600"/>
      <c r="D4311" s="600"/>
      <c r="E4311" s="600"/>
      <c r="F4311" s="600"/>
      <c r="G4311" s="600"/>
      <c r="H4311" s="600"/>
    </row>
    <row r="4312" spans="1:8">
      <c r="A4312" s="600"/>
      <c r="B4312" s="600"/>
      <c r="C4312" s="600"/>
      <c r="D4312" s="600"/>
      <c r="E4312" s="600"/>
      <c r="F4312" s="600"/>
      <c r="G4312" s="600"/>
      <c r="H4312" s="600"/>
    </row>
    <row r="4313" spans="1:8">
      <c r="A4313" s="600"/>
      <c r="B4313" s="600"/>
      <c r="C4313" s="600"/>
      <c r="D4313" s="600"/>
      <c r="E4313" s="600"/>
      <c r="F4313" s="600"/>
      <c r="G4313" s="600"/>
      <c r="H4313" s="600"/>
    </row>
    <row r="4314" spans="1:8">
      <c r="A4314" s="600"/>
      <c r="B4314" s="600"/>
      <c r="C4314" s="600"/>
      <c r="D4314" s="600"/>
      <c r="E4314" s="600"/>
      <c r="F4314" s="600"/>
      <c r="G4314" s="600"/>
      <c r="H4314" s="600"/>
    </row>
    <row r="4315" spans="1:8">
      <c r="A4315" s="600"/>
      <c r="B4315" s="600"/>
      <c r="C4315" s="600"/>
      <c r="D4315" s="600"/>
      <c r="E4315" s="600"/>
      <c r="F4315" s="600"/>
      <c r="G4315" s="600"/>
      <c r="H4315" s="600"/>
    </row>
    <row r="4316" spans="1:8">
      <c r="A4316" s="600"/>
      <c r="B4316" s="600"/>
      <c r="C4316" s="600"/>
      <c r="D4316" s="600"/>
      <c r="E4316" s="600"/>
      <c r="F4316" s="600"/>
      <c r="G4316" s="600"/>
      <c r="H4316" s="600"/>
    </row>
    <row r="4317" spans="1:8">
      <c r="A4317" s="600"/>
      <c r="B4317" s="600"/>
      <c r="C4317" s="600"/>
      <c r="D4317" s="600"/>
      <c r="E4317" s="600"/>
      <c r="F4317" s="600"/>
      <c r="G4317" s="600"/>
      <c r="H4317" s="600"/>
    </row>
    <row r="4318" spans="1:8">
      <c r="A4318" s="600"/>
      <c r="B4318" s="600"/>
      <c r="C4318" s="600"/>
      <c r="D4318" s="600"/>
      <c r="E4318" s="600"/>
      <c r="F4318" s="600"/>
      <c r="G4318" s="600"/>
      <c r="H4318" s="600"/>
    </row>
    <row r="4319" spans="1:8">
      <c r="A4319" s="600"/>
      <c r="B4319" s="600"/>
      <c r="C4319" s="600"/>
      <c r="D4319" s="600"/>
      <c r="E4319" s="600"/>
      <c r="F4319" s="600"/>
      <c r="G4319" s="600"/>
      <c r="H4319" s="600"/>
    </row>
    <row r="4320" spans="1:8">
      <c r="A4320" s="600"/>
      <c r="B4320" s="600"/>
      <c r="C4320" s="600"/>
      <c r="D4320" s="600"/>
      <c r="E4320" s="600"/>
      <c r="F4320" s="600"/>
      <c r="G4320" s="600"/>
      <c r="H4320" s="600"/>
    </row>
    <row r="4321" spans="1:8">
      <c r="A4321" s="600"/>
      <c r="B4321" s="600"/>
      <c r="C4321" s="600"/>
      <c r="D4321" s="600"/>
      <c r="E4321" s="600"/>
      <c r="F4321" s="600"/>
      <c r="G4321" s="600"/>
      <c r="H4321" s="600"/>
    </row>
    <row r="4322" spans="1:8">
      <c r="A4322" s="600"/>
      <c r="B4322" s="600"/>
      <c r="C4322" s="600"/>
      <c r="D4322" s="600"/>
      <c r="E4322" s="600"/>
      <c r="F4322" s="600"/>
      <c r="G4322" s="600"/>
      <c r="H4322" s="600"/>
    </row>
    <row r="4323" spans="1:8">
      <c r="A4323" s="600"/>
      <c r="B4323" s="600"/>
      <c r="C4323" s="600"/>
      <c r="D4323" s="600"/>
      <c r="E4323" s="600"/>
      <c r="F4323" s="600"/>
      <c r="G4323" s="600"/>
      <c r="H4323" s="600"/>
    </row>
    <row r="4324" spans="1:8">
      <c r="A4324" s="600"/>
      <c r="B4324" s="600"/>
      <c r="C4324" s="600"/>
      <c r="D4324" s="600"/>
      <c r="E4324" s="600"/>
      <c r="F4324" s="600"/>
      <c r="G4324" s="600"/>
      <c r="H4324" s="600"/>
    </row>
    <row r="4325" spans="1:8">
      <c r="A4325" s="600"/>
      <c r="B4325" s="600"/>
      <c r="C4325" s="600"/>
      <c r="D4325" s="600"/>
      <c r="E4325" s="600"/>
      <c r="F4325" s="600"/>
      <c r="G4325" s="600"/>
      <c r="H4325" s="600"/>
    </row>
    <row r="4326" spans="1:8">
      <c r="A4326" s="600"/>
      <c r="B4326" s="600"/>
      <c r="C4326" s="600"/>
      <c r="D4326" s="600"/>
      <c r="E4326" s="600"/>
      <c r="F4326" s="600"/>
      <c r="G4326" s="600"/>
      <c r="H4326" s="600"/>
    </row>
    <row r="4327" spans="1:8">
      <c r="A4327" s="600"/>
      <c r="B4327" s="600"/>
      <c r="C4327" s="600"/>
      <c r="D4327" s="600"/>
      <c r="E4327" s="600"/>
      <c r="F4327" s="600"/>
      <c r="G4327" s="600"/>
      <c r="H4327" s="600"/>
    </row>
    <row r="4328" spans="1:8">
      <c r="A4328" s="600"/>
      <c r="B4328" s="600"/>
      <c r="C4328" s="600"/>
      <c r="D4328" s="600"/>
      <c r="E4328" s="600"/>
      <c r="F4328" s="600"/>
      <c r="G4328" s="600"/>
      <c r="H4328" s="600"/>
    </row>
    <row r="4329" spans="1:8">
      <c r="A4329" s="600"/>
      <c r="B4329" s="600"/>
      <c r="C4329" s="600"/>
      <c r="D4329" s="600"/>
      <c r="E4329" s="600"/>
      <c r="F4329" s="600"/>
      <c r="G4329" s="600"/>
      <c r="H4329" s="600"/>
    </row>
    <row r="4330" spans="1:8">
      <c r="A4330" s="600"/>
      <c r="B4330" s="600"/>
      <c r="C4330" s="600"/>
      <c r="D4330" s="600"/>
      <c r="E4330" s="600"/>
      <c r="F4330" s="600"/>
      <c r="G4330" s="600"/>
      <c r="H4330" s="600"/>
    </row>
    <row r="4331" spans="1:8">
      <c r="A4331" s="600"/>
      <c r="B4331" s="600"/>
      <c r="C4331" s="600"/>
      <c r="D4331" s="600"/>
      <c r="E4331" s="600"/>
      <c r="F4331" s="600"/>
      <c r="G4331" s="600"/>
      <c r="H4331" s="600"/>
    </row>
    <row r="4332" spans="1:8">
      <c r="A4332" s="600"/>
      <c r="B4332" s="600"/>
      <c r="C4332" s="600"/>
      <c r="D4332" s="600"/>
      <c r="E4332" s="600"/>
      <c r="F4332" s="600"/>
      <c r="G4332" s="600"/>
      <c r="H4332" s="600"/>
    </row>
    <row r="4333" spans="1:8">
      <c r="A4333" s="600"/>
      <c r="B4333" s="600"/>
      <c r="C4333" s="600"/>
      <c r="D4333" s="600"/>
      <c r="E4333" s="600"/>
      <c r="F4333" s="600"/>
      <c r="G4333" s="600"/>
      <c r="H4333" s="600"/>
    </row>
    <row r="4334" spans="1:8">
      <c r="A4334" s="600"/>
      <c r="B4334" s="600"/>
      <c r="C4334" s="600"/>
      <c r="D4334" s="600"/>
      <c r="E4334" s="600"/>
      <c r="F4334" s="600"/>
      <c r="G4334" s="600"/>
      <c r="H4334" s="600"/>
    </row>
    <row r="4335" spans="1:8">
      <c r="A4335" s="600"/>
      <c r="B4335" s="600"/>
      <c r="C4335" s="600"/>
      <c r="D4335" s="600"/>
      <c r="E4335" s="600"/>
      <c r="F4335" s="600"/>
      <c r="G4335" s="600"/>
      <c r="H4335" s="600"/>
    </row>
    <row r="4336" spans="1:8">
      <c r="A4336" s="600"/>
      <c r="B4336" s="600"/>
      <c r="C4336" s="600"/>
      <c r="D4336" s="600"/>
      <c r="E4336" s="600"/>
      <c r="F4336" s="600"/>
      <c r="G4336" s="600"/>
      <c r="H4336" s="600"/>
    </row>
    <row r="4337" spans="1:8">
      <c r="A4337" s="600"/>
      <c r="B4337" s="600"/>
      <c r="C4337" s="600"/>
      <c r="D4337" s="600"/>
      <c r="E4337" s="600"/>
      <c r="F4337" s="600"/>
      <c r="G4337" s="600"/>
      <c r="H4337" s="600"/>
    </row>
    <row r="4338" spans="1:8">
      <c r="A4338" s="600"/>
      <c r="B4338" s="600"/>
      <c r="C4338" s="600"/>
      <c r="D4338" s="600"/>
      <c r="E4338" s="600"/>
      <c r="F4338" s="600"/>
      <c r="G4338" s="600"/>
      <c r="H4338" s="600"/>
    </row>
    <row r="4339" spans="1:8">
      <c r="A4339" s="600"/>
      <c r="B4339" s="600"/>
      <c r="C4339" s="600"/>
      <c r="D4339" s="600"/>
      <c r="E4339" s="600"/>
      <c r="F4339" s="600"/>
      <c r="G4339" s="600"/>
      <c r="H4339" s="600"/>
    </row>
    <row r="4340" spans="1:8">
      <c r="A4340" s="600"/>
      <c r="B4340" s="600"/>
      <c r="C4340" s="600"/>
      <c r="D4340" s="600"/>
      <c r="E4340" s="600"/>
      <c r="F4340" s="600"/>
      <c r="G4340" s="600"/>
      <c r="H4340" s="600"/>
    </row>
    <row r="4341" spans="1:8">
      <c r="A4341" s="600"/>
      <c r="B4341" s="600"/>
      <c r="C4341" s="600"/>
      <c r="D4341" s="600"/>
      <c r="E4341" s="600"/>
      <c r="F4341" s="600"/>
      <c r="G4341" s="600"/>
      <c r="H4341" s="600"/>
    </row>
    <row r="4342" spans="1:8">
      <c r="A4342" s="600"/>
      <c r="B4342" s="600"/>
      <c r="C4342" s="600"/>
      <c r="D4342" s="600"/>
      <c r="E4342" s="600"/>
      <c r="F4342" s="600"/>
      <c r="G4342" s="600"/>
      <c r="H4342" s="600"/>
    </row>
    <row r="4343" spans="1:8">
      <c r="A4343" s="600"/>
      <c r="B4343" s="600"/>
      <c r="C4343" s="600"/>
      <c r="D4343" s="600"/>
      <c r="E4343" s="600"/>
      <c r="F4343" s="600"/>
      <c r="G4343" s="600"/>
      <c r="H4343" s="600"/>
    </row>
    <row r="4344" spans="1:8">
      <c r="A4344" s="600"/>
      <c r="B4344" s="600"/>
      <c r="C4344" s="600"/>
      <c r="D4344" s="600"/>
      <c r="E4344" s="600"/>
      <c r="F4344" s="600"/>
      <c r="G4344" s="600"/>
      <c r="H4344" s="600"/>
    </row>
    <row r="4345" spans="1:8">
      <c r="A4345" s="600"/>
      <c r="B4345" s="600"/>
      <c r="C4345" s="600"/>
      <c r="D4345" s="600"/>
      <c r="E4345" s="600"/>
      <c r="F4345" s="600"/>
      <c r="G4345" s="600"/>
      <c r="H4345" s="600"/>
    </row>
    <row r="4346" spans="1:8">
      <c r="A4346" s="600"/>
      <c r="B4346" s="600"/>
      <c r="C4346" s="600"/>
      <c r="D4346" s="600"/>
      <c r="E4346" s="600"/>
      <c r="F4346" s="600"/>
      <c r="G4346" s="600"/>
      <c r="H4346" s="600"/>
    </row>
    <row r="4347" spans="1:8">
      <c r="A4347" s="600"/>
      <c r="B4347" s="600"/>
      <c r="C4347" s="600"/>
      <c r="D4347" s="600"/>
      <c r="E4347" s="600"/>
      <c r="F4347" s="600"/>
      <c r="G4347" s="600"/>
      <c r="H4347" s="600"/>
    </row>
    <row r="4348" spans="1:8">
      <c r="A4348" s="600"/>
      <c r="B4348" s="600"/>
      <c r="C4348" s="600"/>
      <c r="D4348" s="600"/>
      <c r="E4348" s="600"/>
      <c r="F4348" s="600"/>
      <c r="G4348" s="600"/>
      <c r="H4348" s="600"/>
    </row>
    <row r="4349" spans="1:8">
      <c r="A4349" s="600"/>
      <c r="B4349" s="600"/>
      <c r="C4349" s="600"/>
      <c r="D4349" s="600"/>
      <c r="E4349" s="600"/>
      <c r="F4349" s="600"/>
      <c r="G4349" s="600"/>
      <c r="H4349" s="600"/>
    </row>
    <row r="4350" spans="1:8">
      <c r="A4350" s="600"/>
      <c r="B4350" s="600"/>
      <c r="C4350" s="600"/>
      <c r="D4350" s="600"/>
      <c r="E4350" s="600"/>
      <c r="F4350" s="600"/>
      <c r="G4350" s="600"/>
      <c r="H4350" s="600"/>
    </row>
    <row r="4351" spans="1:8">
      <c r="A4351" s="600"/>
      <c r="B4351" s="600"/>
      <c r="C4351" s="600"/>
      <c r="D4351" s="600"/>
      <c r="E4351" s="600"/>
      <c r="F4351" s="600"/>
      <c r="G4351" s="600"/>
      <c r="H4351" s="600"/>
    </row>
    <row r="4352" spans="1:8">
      <c r="A4352" s="600"/>
      <c r="B4352" s="600"/>
      <c r="C4352" s="600"/>
      <c r="D4352" s="600"/>
      <c r="E4352" s="600"/>
      <c r="F4352" s="600"/>
      <c r="G4352" s="600"/>
      <c r="H4352" s="600"/>
    </row>
    <row r="4353" spans="1:8">
      <c r="A4353" s="600"/>
      <c r="B4353" s="600"/>
      <c r="C4353" s="600"/>
      <c r="D4353" s="600"/>
      <c r="E4353" s="600"/>
      <c r="F4353" s="600"/>
      <c r="G4353" s="600"/>
      <c r="H4353" s="600"/>
    </row>
    <row r="4354" spans="1:8">
      <c r="A4354" s="600"/>
      <c r="B4354" s="600"/>
      <c r="C4354" s="600"/>
      <c r="D4354" s="600"/>
      <c r="E4354" s="600"/>
      <c r="F4354" s="600"/>
      <c r="G4354" s="600"/>
      <c r="H4354" s="600"/>
    </row>
    <row r="4355" spans="1:8">
      <c r="A4355" s="600"/>
      <c r="B4355" s="600"/>
      <c r="C4355" s="600"/>
      <c r="D4355" s="600"/>
      <c r="E4355" s="600"/>
      <c r="F4355" s="600"/>
      <c r="G4355" s="600"/>
      <c r="H4355" s="600"/>
    </row>
    <row r="4356" spans="1:8">
      <c r="A4356" s="600"/>
      <c r="B4356" s="600"/>
      <c r="C4356" s="600"/>
      <c r="D4356" s="600"/>
      <c r="E4356" s="600"/>
      <c r="F4356" s="600"/>
      <c r="G4356" s="600"/>
      <c r="H4356" s="600"/>
    </row>
    <row r="4357" spans="1:8">
      <c r="A4357" s="600"/>
      <c r="B4357" s="600"/>
      <c r="C4357" s="600"/>
      <c r="D4357" s="600"/>
      <c r="E4357" s="600"/>
      <c r="F4357" s="600"/>
      <c r="G4357" s="600"/>
      <c r="H4357" s="600"/>
    </row>
    <row r="4358" spans="1:8">
      <c r="A4358" s="600"/>
      <c r="B4358" s="600"/>
      <c r="C4358" s="600"/>
      <c r="D4358" s="600"/>
      <c r="E4358" s="600"/>
      <c r="F4358" s="600"/>
      <c r="G4358" s="600"/>
      <c r="H4358" s="600"/>
    </row>
    <row r="4359" spans="1:8">
      <c r="A4359" s="600"/>
      <c r="B4359" s="600"/>
      <c r="C4359" s="600"/>
      <c r="D4359" s="600"/>
      <c r="E4359" s="600"/>
      <c r="F4359" s="600"/>
      <c r="G4359" s="600"/>
      <c r="H4359" s="600"/>
    </row>
    <row r="4360" spans="1:8">
      <c r="A4360" s="600"/>
      <c r="B4360" s="600"/>
      <c r="C4360" s="600"/>
      <c r="D4360" s="600"/>
      <c r="E4360" s="600"/>
      <c r="F4360" s="600"/>
      <c r="G4360" s="600"/>
      <c r="H4360" s="600"/>
    </row>
    <row r="4361" spans="1:8">
      <c r="A4361" s="600"/>
      <c r="B4361" s="600"/>
      <c r="C4361" s="600"/>
      <c r="D4361" s="600"/>
      <c r="E4361" s="600"/>
      <c r="F4361" s="600"/>
      <c r="G4361" s="600"/>
      <c r="H4361" s="600"/>
    </row>
    <row r="4362" spans="1:8">
      <c r="A4362" s="600"/>
      <c r="B4362" s="600"/>
      <c r="C4362" s="600"/>
      <c r="D4362" s="600"/>
      <c r="E4362" s="600"/>
      <c r="F4362" s="600"/>
      <c r="G4362" s="600"/>
      <c r="H4362" s="600"/>
    </row>
    <row r="4363" spans="1:8">
      <c r="A4363" s="600"/>
      <c r="B4363" s="600"/>
      <c r="C4363" s="600"/>
      <c r="D4363" s="600"/>
      <c r="E4363" s="600"/>
      <c r="F4363" s="600"/>
      <c r="G4363" s="600"/>
      <c r="H4363" s="600"/>
    </row>
    <row r="4364" spans="1:8">
      <c r="A4364" s="600"/>
      <c r="B4364" s="600"/>
      <c r="C4364" s="600"/>
      <c r="D4364" s="600"/>
      <c r="E4364" s="600"/>
      <c r="F4364" s="600"/>
      <c r="G4364" s="600"/>
      <c r="H4364" s="600"/>
    </row>
    <row r="4365" spans="1:8">
      <c r="A4365" s="600"/>
      <c r="B4365" s="600"/>
      <c r="C4365" s="600"/>
      <c r="D4365" s="600"/>
      <c r="E4365" s="600"/>
      <c r="F4365" s="600"/>
      <c r="G4365" s="600"/>
      <c r="H4365" s="600"/>
    </row>
    <row r="4366" spans="1:8">
      <c r="A4366" s="600"/>
      <c r="B4366" s="600"/>
      <c r="C4366" s="600"/>
      <c r="D4366" s="600"/>
      <c r="E4366" s="600"/>
      <c r="F4366" s="600"/>
      <c r="G4366" s="600"/>
      <c r="H4366" s="600"/>
    </row>
    <row r="4367" spans="1:8">
      <c r="A4367" s="600"/>
      <c r="B4367" s="600"/>
      <c r="C4367" s="600"/>
      <c r="D4367" s="600"/>
      <c r="E4367" s="600"/>
      <c r="F4367" s="600"/>
      <c r="G4367" s="600"/>
      <c r="H4367" s="600"/>
    </row>
    <row r="4368" spans="1:8">
      <c r="A4368" s="600"/>
      <c r="B4368" s="600"/>
      <c r="C4368" s="600"/>
      <c r="D4368" s="600"/>
      <c r="E4368" s="600"/>
      <c r="F4368" s="600"/>
      <c r="G4368" s="600"/>
      <c r="H4368" s="600"/>
    </row>
    <row r="4369" spans="1:8">
      <c r="A4369" s="600"/>
      <c r="B4369" s="600"/>
      <c r="C4369" s="600"/>
      <c r="D4369" s="600"/>
      <c r="E4369" s="600"/>
      <c r="F4369" s="600"/>
      <c r="G4369" s="600"/>
      <c r="H4369" s="600"/>
    </row>
    <row r="4370" spans="1:8">
      <c r="A4370" s="600"/>
      <c r="B4370" s="600"/>
      <c r="C4370" s="600"/>
      <c r="D4370" s="600"/>
      <c r="E4370" s="600"/>
      <c r="F4370" s="600"/>
      <c r="G4370" s="600"/>
      <c r="H4370" s="600"/>
    </row>
    <row r="4371" spans="1:8">
      <c r="A4371" s="600"/>
      <c r="B4371" s="600"/>
      <c r="C4371" s="600"/>
      <c r="D4371" s="600"/>
      <c r="E4371" s="600"/>
      <c r="F4371" s="600"/>
      <c r="G4371" s="600"/>
      <c r="H4371" s="600"/>
    </row>
    <row r="4372" spans="1:8">
      <c r="A4372" s="600"/>
      <c r="B4372" s="600"/>
      <c r="C4372" s="600"/>
      <c r="D4372" s="600"/>
      <c r="E4372" s="600"/>
      <c r="F4372" s="600"/>
      <c r="G4372" s="600"/>
      <c r="H4372" s="600"/>
    </row>
    <row r="4373" spans="1:8">
      <c r="A4373" s="600"/>
      <c r="B4373" s="600"/>
      <c r="C4373" s="600"/>
      <c r="D4373" s="600"/>
      <c r="E4373" s="600"/>
      <c r="F4373" s="600"/>
      <c r="G4373" s="600"/>
      <c r="H4373" s="600"/>
    </row>
    <row r="4374" spans="1:8">
      <c r="A4374" s="600"/>
      <c r="B4374" s="600"/>
      <c r="C4374" s="600"/>
      <c r="D4374" s="600"/>
      <c r="E4374" s="600"/>
      <c r="F4374" s="600"/>
      <c r="G4374" s="600"/>
      <c r="H4374" s="600"/>
    </row>
    <row r="4375" spans="1:8">
      <c r="A4375" s="600"/>
      <c r="B4375" s="600"/>
      <c r="C4375" s="600"/>
      <c r="D4375" s="600"/>
      <c r="E4375" s="600"/>
      <c r="F4375" s="600"/>
      <c r="G4375" s="600"/>
      <c r="H4375" s="600"/>
    </row>
    <row r="4376" spans="1:8">
      <c r="A4376" s="600"/>
      <c r="B4376" s="600"/>
      <c r="C4376" s="600"/>
      <c r="D4376" s="600"/>
      <c r="E4376" s="600"/>
      <c r="F4376" s="600"/>
      <c r="G4376" s="600"/>
      <c r="H4376" s="600"/>
    </row>
    <row r="4377" spans="1:8">
      <c r="A4377" s="600"/>
      <c r="B4377" s="600"/>
      <c r="C4377" s="600"/>
      <c r="D4377" s="600"/>
      <c r="E4377" s="600"/>
      <c r="F4377" s="600"/>
      <c r="G4377" s="600"/>
      <c r="H4377" s="600"/>
    </row>
    <row r="4378" spans="1:8">
      <c r="A4378" s="600"/>
      <c r="B4378" s="600"/>
      <c r="C4378" s="600"/>
      <c r="D4378" s="600"/>
      <c r="E4378" s="600"/>
      <c r="F4378" s="600"/>
      <c r="G4378" s="600"/>
      <c r="H4378" s="600"/>
    </row>
    <row r="4379" spans="1:8">
      <c r="A4379" s="600"/>
      <c r="B4379" s="600"/>
      <c r="C4379" s="600"/>
      <c r="D4379" s="600"/>
      <c r="E4379" s="600"/>
      <c r="F4379" s="600"/>
      <c r="G4379" s="600"/>
      <c r="H4379" s="600"/>
    </row>
    <row r="4380" spans="1:8">
      <c r="A4380" s="600"/>
      <c r="B4380" s="600"/>
      <c r="C4380" s="600"/>
      <c r="D4380" s="600"/>
      <c r="E4380" s="600"/>
      <c r="F4380" s="600"/>
      <c r="G4380" s="600"/>
      <c r="H4380" s="600"/>
    </row>
    <row r="4381" spans="1:8">
      <c r="A4381" s="600"/>
      <c r="B4381" s="600"/>
      <c r="C4381" s="600"/>
      <c r="D4381" s="600"/>
      <c r="E4381" s="600"/>
      <c r="F4381" s="600"/>
      <c r="G4381" s="600"/>
      <c r="H4381" s="600"/>
    </row>
    <row r="4382" spans="1:8">
      <c r="A4382" s="600"/>
      <c r="B4382" s="600"/>
      <c r="C4382" s="600"/>
      <c r="D4382" s="600"/>
      <c r="E4382" s="600"/>
      <c r="F4382" s="600"/>
      <c r="G4382" s="600"/>
      <c r="H4382" s="600"/>
    </row>
    <row r="4383" spans="1:8">
      <c r="A4383" s="600"/>
      <c r="B4383" s="600"/>
      <c r="C4383" s="600"/>
      <c r="D4383" s="600"/>
      <c r="E4383" s="600"/>
      <c r="F4383" s="600"/>
      <c r="G4383" s="600"/>
      <c r="H4383" s="600"/>
    </row>
    <row r="4384" spans="1:8">
      <c r="A4384" s="600"/>
      <c r="B4384" s="600"/>
      <c r="C4384" s="600"/>
      <c r="D4384" s="600"/>
      <c r="E4384" s="600"/>
      <c r="F4384" s="600"/>
      <c r="G4384" s="600"/>
      <c r="H4384" s="600"/>
    </row>
    <row r="4385" spans="1:8">
      <c r="A4385" s="600"/>
      <c r="B4385" s="600"/>
      <c r="C4385" s="600"/>
      <c r="D4385" s="600"/>
      <c r="E4385" s="600"/>
      <c r="F4385" s="600"/>
      <c r="G4385" s="600"/>
      <c r="H4385" s="600"/>
    </row>
    <row r="4386" spans="1:8">
      <c r="A4386" s="600"/>
      <c r="B4386" s="600"/>
      <c r="C4386" s="600"/>
      <c r="D4386" s="600"/>
      <c r="E4386" s="600"/>
      <c r="F4386" s="600"/>
      <c r="G4386" s="600"/>
      <c r="H4386" s="600"/>
    </row>
    <row r="4387" spans="1:8">
      <c r="A4387" s="600"/>
      <c r="B4387" s="600"/>
      <c r="C4387" s="600"/>
      <c r="D4387" s="600"/>
      <c r="E4387" s="600"/>
      <c r="F4387" s="600"/>
      <c r="G4387" s="600"/>
      <c r="H4387" s="600"/>
    </row>
    <row r="4388" spans="1:8">
      <c r="A4388" s="600"/>
      <c r="B4388" s="600"/>
      <c r="C4388" s="600"/>
      <c r="D4388" s="600"/>
      <c r="E4388" s="600"/>
      <c r="F4388" s="600"/>
      <c r="G4388" s="600"/>
      <c r="H4388" s="600"/>
    </row>
    <row r="4389" spans="1:8">
      <c r="A4389" s="600"/>
      <c r="B4389" s="600"/>
      <c r="C4389" s="600"/>
      <c r="D4389" s="600"/>
      <c r="E4389" s="600"/>
      <c r="F4389" s="600"/>
      <c r="G4389" s="600"/>
      <c r="H4389" s="600"/>
    </row>
    <row r="4390" spans="1:8">
      <c r="A4390" s="600"/>
      <c r="B4390" s="600"/>
      <c r="C4390" s="600"/>
      <c r="D4390" s="600"/>
      <c r="E4390" s="600"/>
      <c r="F4390" s="600"/>
      <c r="G4390" s="600"/>
      <c r="H4390" s="600"/>
    </row>
    <row r="4391" spans="1:8">
      <c r="A4391" s="600"/>
      <c r="B4391" s="600"/>
      <c r="C4391" s="600"/>
      <c r="D4391" s="600"/>
      <c r="E4391" s="600"/>
      <c r="F4391" s="600"/>
      <c r="G4391" s="600"/>
      <c r="H4391" s="600"/>
    </row>
    <row r="4392" spans="1:8">
      <c r="A4392" s="600"/>
      <c r="B4392" s="600"/>
      <c r="C4392" s="600"/>
      <c r="D4392" s="600"/>
      <c r="E4392" s="600"/>
      <c r="F4392" s="600"/>
      <c r="G4392" s="600"/>
      <c r="H4392" s="600"/>
    </row>
    <row r="4393" spans="1:8">
      <c r="A4393" s="600"/>
      <c r="B4393" s="600"/>
      <c r="C4393" s="600"/>
      <c r="D4393" s="600"/>
      <c r="E4393" s="600"/>
      <c r="F4393" s="600"/>
      <c r="G4393" s="600"/>
      <c r="H4393" s="600"/>
    </row>
    <row r="4394" spans="1:8">
      <c r="A4394" s="600"/>
      <c r="B4394" s="600"/>
      <c r="C4394" s="600"/>
      <c r="D4394" s="600"/>
      <c r="E4394" s="600"/>
      <c r="F4394" s="600"/>
      <c r="G4394" s="600"/>
      <c r="H4394" s="600"/>
    </row>
    <row r="4395" spans="1:8">
      <c r="A4395" s="600"/>
      <c r="B4395" s="600"/>
      <c r="C4395" s="600"/>
      <c r="D4395" s="600"/>
      <c r="E4395" s="600"/>
      <c r="F4395" s="600"/>
      <c r="G4395" s="600"/>
      <c r="H4395" s="600"/>
    </row>
    <row r="4396" spans="1:8">
      <c r="A4396" s="600"/>
      <c r="B4396" s="600"/>
      <c r="C4396" s="600"/>
      <c r="D4396" s="600"/>
      <c r="E4396" s="600"/>
      <c r="F4396" s="600"/>
      <c r="G4396" s="600"/>
      <c r="H4396" s="600"/>
    </row>
    <row r="4397" spans="1:8">
      <c r="A4397" s="600"/>
      <c r="B4397" s="600"/>
      <c r="C4397" s="600"/>
      <c r="D4397" s="600"/>
      <c r="E4397" s="600"/>
      <c r="F4397" s="600"/>
      <c r="G4397" s="600"/>
      <c r="H4397" s="600"/>
    </row>
    <row r="4398" spans="1:8">
      <c r="A4398" s="600"/>
      <c r="B4398" s="600"/>
      <c r="C4398" s="600"/>
      <c r="D4398" s="600"/>
      <c r="E4398" s="600"/>
      <c r="F4398" s="600"/>
      <c r="G4398" s="600"/>
      <c r="H4398" s="600"/>
    </row>
    <row r="4399" spans="1:8">
      <c r="A4399" s="600"/>
      <c r="B4399" s="600"/>
      <c r="C4399" s="600"/>
      <c r="D4399" s="600"/>
      <c r="E4399" s="600"/>
      <c r="F4399" s="600"/>
      <c r="G4399" s="600"/>
      <c r="H4399" s="600"/>
    </row>
    <row r="4400" spans="1:8">
      <c r="A4400" s="600"/>
      <c r="B4400" s="600"/>
      <c r="C4400" s="600"/>
      <c r="D4400" s="600"/>
      <c r="E4400" s="600"/>
      <c r="F4400" s="600"/>
      <c r="G4400" s="600"/>
      <c r="H4400" s="600"/>
    </row>
    <row r="4401" spans="1:8">
      <c r="A4401" s="600"/>
      <c r="B4401" s="600"/>
      <c r="C4401" s="600"/>
      <c r="D4401" s="600"/>
      <c r="E4401" s="600"/>
      <c r="F4401" s="600"/>
      <c r="G4401" s="600"/>
      <c r="H4401" s="600"/>
    </row>
    <row r="4402" spans="1:8">
      <c r="A4402" s="600"/>
      <c r="B4402" s="600"/>
      <c r="C4402" s="600"/>
      <c r="D4402" s="600"/>
      <c r="E4402" s="600"/>
      <c r="F4402" s="600"/>
      <c r="G4402" s="600"/>
      <c r="H4402" s="600"/>
    </row>
    <row r="4403" spans="1:8">
      <c r="A4403" s="600"/>
      <c r="B4403" s="600"/>
      <c r="C4403" s="600"/>
      <c r="D4403" s="600"/>
      <c r="E4403" s="600"/>
      <c r="F4403" s="600"/>
      <c r="G4403" s="600"/>
      <c r="H4403" s="600"/>
    </row>
    <row r="4404" spans="1:8">
      <c r="A4404" s="600"/>
      <c r="B4404" s="600"/>
      <c r="C4404" s="600"/>
      <c r="D4404" s="600"/>
      <c r="E4404" s="600"/>
      <c r="F4404" s="600"/>
      <c r="G4404" s="600"/>
      <c r="H4404" s="600"/>
    </row>
    <row r="4405" spans="1:8">
      <c r="A4405" s="600"/>
      <c r="B4405" s="600"/>
      <c r="C4405" s="600"/>
      <c r="D4405" s="600"/>
      <c r="E4405" s="600"/>
      <c r="F4405" s="600"/>
      <c r="G4405" s="600"/>
      <c r="H4405" s="600"/>
    </row>
    <row r="4406" spans="1:8">
      <c r="A4406" s="600"/>
      <c r="B4406" s="600"/>
      <c r="C4406" s="600"/>
      <c r="D4406" s="600"/>
      <c r="E4406" s="600"/>
      <c r="F4406" s="600"/>
      <c r="G4406" s="600"/>
      <c r="H4406" s="600"/>
    </row>
    <row r="4407" spans="1:8">
      <c r="A4407" s="600"/>
      <c r="B4407" s="600"/>
      <c r="C4407" s="600"/>
      <c r="D4407" s="600"/>
      <c r="E4407" s="600"/>
      <c r="F4407" s="600"/>
      <c r="G4407" s="600"/>
      <c r="H4407" s="600"/>
    </row>
    <row r="4408" spans="1:8">
      <c r="A4408" s="600"/>
      <c r="B4408" s="600"/>
      <c r="C4408" s="600"/>
      <c r="D4408" s="600"/>
      <c r="E4408" s="600"/>
      <c r="F4408" s="600"/>
      <c r="G4408" s="600"/>
      <c r="H4408" s="600"/>
    </row>
    <row r="4409" spans="1:8">
      <c r="A4409" s="600"/>
      <c r="B4409" s="600"/>
      <c r="C4409" s="600"/>
      <c r="D4409" s="600"/>
      <c r="E4409" s="600"/>
      <c r="F4409" s="600"/>
      <c r="G4409" s="600"/>
      <c r="H4409" s="600"/>
    </row>
    <row r="4410" spans="1:8">
      <c r="A4410" s="600"/>
      <c r="B4410" s="600"/>
      <c r="C4410" s="600"/>
      <c r="D4410" s="600"/>
      <c r="E4410" s="600"/>
      <c r="F4410" s="600"/>
      <c r="G4410" s="600"/>
      <c r="H4410" s="600"/>
    </row>
    <row r="4411" spans="1:8">
      <c r="A4411" s="600"/>
      <c r="B4411" s="600"/>
      <c r="C4411" s="600"/>
      <c r="D4411" s="600"/>
      <c r="E4411" s="600"/>
      <c r="F4411" s="600"/>
      <c r="G4411" s="600"/>
      <c r="H4411" s="600"/>
    </row>
    <row r="4412" spans="1:8">
      <c r="A4412" s="600"/>
      <c r="B4412" s="600"/>
      <c r="C4412" s="600"/>
      <c r="D4412" s="600"/>
      <c r="E4412" s="600"/>
      <c r="F4412" s="600"/>
      <c r="G4412" s="600"/>
      <c r="H4412" s="600"/>
    </row>
    <row r="4413" spans="1:8">
      <c r="A4413" s="600"/>
      <c r="B4413" s="600"/>
      <c r="C4413" s="600"/>
      <c r="D4413" s="600"/>
      <c r="E4413" s="600"/>
      <c r="F4413" s="600"/>
      <c r="G4413" s="600"/>
      <c r="H4413" s="600"/>
    </row>
    <row r="4414" spans="1:8">
      <c r="A4414" s="600"/>
      <c r="B4414" s="600"/>
      <c r="C4414" s="600"/>
      <c r="D4414" s="600"/>
      <c r="E4414" s="600"/>
      <c r="F4414" s="600"/>
      <c r="G4414" s="600"/>
      <c r="H4414" s="600"/>
    </row>
    <row r="4415" spans="1:8">
      <c r="A4415" s="600"/>
      <c r="B4415" s="600"/>
      <c r="C4415" s="600"/>
      <c r="D4415" s="600"/>
      <c r="E4415" s="600"/>
      <c r="F4415" s="600"/>
      <c r="G4415" s="600"/>
      <c r="H4415" s="600"/>
    </row>
    <row r="4416" spans="1:8">
      <c r="A4416" s="600"/>
      <c r="B4416" s="600"/>
      <c r="C4416" s="600"/>
      <c r="D4416" s="600"/>
      <c r="E4416" s="600"/>
      <c r="F4416" s="600"/>
      <c r="G4416" s="600"/>
      <c r="H4416" s="600"/>
    </row>
    <row r="4417" spans="1:8">
      <c r="A4417" s="600"/>
      <c r="B4417" s="600"/>
      <c r="C4417" s="600"/>
      <c r="D4417" s="600"/>
      <c r="E4417" s="600"/>
      <c r="F4417" s="600"/>
      <c r="G4417" s="600"/>
      <c r="H4417" s="600"/>
    </row>
    <row r="4418" spans="1:8">
      <c r="A4418" s="600"/>
      <c r="B4418" s="600"/>
      <c r="C4418" s="600"/>
      <c r="D4418" s="600"/>
      <c r="E4418" s="600"/>
      <c r="F4418" s="600"/>
      <c r="G4418" s="600"/>
      <c r="H4418" s="600"/>
    </row>
    <row r="4419" spans="1:8">
      <c r="A4419" s="600"/>
      <c r="B4419" s="600"/>
      <c r="C4419" s="600"/>
      <c r="D4419" s="600"/>
      <c r="E4419" s="600"/>
      <c r="F4419" s="600"/>
      <c r="G4419" s="600"/>
      <c r="H4419" s="600"/>
    </row>
    <row r="4420" spans="1:8">
      <c r="A4420" s="600"/>
      <c r="B4420" s="600"/>
      <c r="C4420" s="600"/>
      <c r="D4420" s="600"/>
      <c r="E4420" s="600"/>
      <c r="F4420" s="600"/>
      <c r="G4420" s="600"/>
      <c r="H4420" s="600"/>
    </row>
    <row r="4421" spans="1:8">
      <c r="A4421" s="600"/>
      <c r="B4421" s="600"/>
      <c r="C4421" s="600"/>
      <c r="D4421" s="600"/>
      <c r="E4421" s="600"/>
      <c r="F4421" s="600"/>
      <c r="G4421" s="600"/>
      <c r="H4421" s="600"/>
    </row>
    <row r="4422" spans="1:8">
      <c r="A4422" s="600"/>
      <c r="B4422" s="600"/>
      <c r="C4422" s="600"/>
      <c r="D4422" s="600"/>
      <c r="E4422" s="600"/>
      <c r="F4422" s="600"/>
      <c r="G4422" s="600"/>
      <c r="H4422" s="600"/>
    </row>
    <row r="4423" spans="1:8">
      <c r="A4423" s="600"/>
      <c r="B4423" s="600"/>
      <c r="C4423" s="600"/>
      <c r="D4423" s="600"/>
      <c r="E4423" s="600"/>
      <c r="F4423" s="600"/>
      <c r="G4423" s="600"/>
      <c r="H4423" s="600"/>
    </row>
    <row r="4424" spans="1:8">
      <c r="A4424" s="600"/>
      <c r="B4424" s="600"/>
      <c r="C4424" s="600"/>
      <c r="D4424" s="600"/>
      <c r="E4424" s="600"/>
      <c r="F4424" s="600"/>
      <c r="G4424" s="600"/>
      <c r="H4424" s="600"/>
    </row>
    <row r="4425" spans="1:8">
      <c r="A4425" s="600"/>
      <c r="B4425" s="600"/>
      <c r="C4425" s="600"/>
      <c r="D4425" s="600"/>
      <c r="E4425" s="600"/>
      <c r="F4425" s="600"/>
      <c r="G4425" s="600"/>
      <c r="H4425" s="600"/>
    </row>
    <row r="4426" spans="1:8">
      <c r="A4426" s="600"/>
      <c r="B4426" s="600"/>
      <c r="C4426" s="600"/>
      <c r="D4426" s="600"/>
      <c r="E4426" s="600"/>
      <c r="F4426" s="600"/>
      <c r="G4426" s="600"/>
      <c r="H4426" s="600"/>
    </row>
    <row r="4427" spans="1:8">
      <c r="A4427" s="600"/>
      <c r="B4427" s="600"/>
      <c r="C4427" s="600"/>
      <c r="D4427" s="600"/>
      <c r="E4427" s="600"/>
      <c r="F4427" s="600"/>
      <c r="G4427" s="600"/>
      <c r="H4427" s="600"/>
    </row>
    <row r="4428" spans="1:8">
      <c r="A4428" s="600"/>
      <c r="B4428" s="600"/>
      <c r="C4428" s="600"/>
      <c r="D4428" s="600"/>
      <c r="E4428" s="600"/>
      <c r="F4428" s="600"/>
      <c r="G4428" s="600"/>
      <c r="H4428" s="600"/>
    </row>
    <row r="4429" spans="1:8">
      <c r="A4429" s="600"/>
      <c r="B4429" s="600"/>
      <c r="C4429" s="600"/>
      <c r="D4429" s="600"/>
      <c r="E4429" s="600"/>
      <c r="F4429" s="600"/>
      <c r="G4429" s="600"/>
      <c r="H4429" s="600"/>
    </row>
    <row r="4430" spans="1:8">
      <c r="A4430" s="600"/>
      <c r="B4430" s="600"/>
      <c r="C4430" s="600"/>
      <c r="D4430" s="600"/>
      <c r="E4430" s="600"/>
      <c r="F4430" s="600"/>
      <c r="G4430" s="600"/>
      <c r="H4430" s="600"/>
    </row>
    <row r="4431" spans="1:8">
      <c r="A4431" s="600"/>
      <c r="B4431" s="600"/>
      <c r="C4431" s="600"/>
      <c r="D4431" s="600"/>
      <c r="E4431" s="600"/>
      <c r="F4431" s="600"/>
      <c r="G4431" s="600"/>
      <c r="H4431" s="600"/>
    </row>
    <row r="4432" spans="1:8">
      <c r="A4432" s="600"/>
      <c r="B4432" s="600"/>
      <c r="C4432" s="600"/>
      <c r="D4432" s="600"/>
      <c r="E4432" s="600"/>
      <c r="F4432" s="600"/>
      <c r="G4432" s="600"/>
      <c r="H4432" s="600"/>
    </row>
    <row r="4433" spans="1:8">
      <c r="A4433" s="600"/>
      <c r="B4433" s="600"/>
      <c r="C4433" s="600"/>
      <c r="D4433" s="600"/>
      <c r="E4433" s="600"/>
      <c r="F4433" s="600"/>
      <c r="G4433" s="600"/>
      <c r="H4433" s="600"/>
    </row>
    <row r="4434" spans="1:8">
      <c r="A4434" s="600"/>
      <c r="B4434" s="600"/>
      <c r="C4434" s="600"/>
      <c r="D4434" s="600"/>
      <c r="E4434" s="600"/>
      <c r="F4434" s="600"/>
      <c r="G4434" s="600"/>
      <c r="H4434" s="600"/>
    </row>
    <row r="4435" spans="1:8">
      <c r="A4435" s="600"/>
      <c r="B4435" s="600"/>
      <c r="C4435" s="600"/>
      <c r="D4435" s="600"/>
      <c r="E4435" s="600"/>
      <c r="F4435" s="600"/>
      <c r="G4435" s="600"/>
      <c r="H4435" s="600"/>
    </row>
    <row r="4436" spans="1:8">
      <c r="A4436" s="600"/>
      <c r="B4436" s="600"/>
      <c r="C4436" s="600"/>
      <c r="D4436" s="600"/>
      <c r="E4436" s="600"/>
      <c r="F4436" s="600"/>
      <c r="G4436" s="600"/>
      <c r="H4436" s="600"/>
    </row>
    <row r="4437" spans="1:8">
      <c r="A4437" s="600"/>
      <c r="B4437" s="600"/>
      <c r="C4437" s="600"/>
      <c r="D4437" s="600"/>
      <c r="E4437" s="600"/>
      <c r="F4437" s="600"/>
      <c r="G4437" s="600"/>
      <c r="H4437" s="600"/>
    </row>
    <row r="4438" spans="1:8">
      <c r="A4438" s="600"/>
      <c r="B4438" s="600"/>
      <c r="C4438" s="600"/>
      <c r="D4438" s="600"/>
      <c r="E4438" s="600"/>
      <c r="F4438" s="600"/>
      <c r="G4438" s="600"/>
      <c r="H4438" s="600"/>
    </row>
    <row r="4439" spans="1:8">
      <c r="A4439" s="600"/>
      <c r="B4439" s="600"/>
      <c r="C4439" s="600"/>
      <c r="D4439" s="600"/>
      <c r="E4439" s="600"/>
      <c r="F4439" s="600"/>
      <c r="G4439" s="600"/>
      <c r="H4439" s="600"/>
    </row>
    <row r="4440" spans="1:8">
      <c r="A4440" s="600"/>
      <c r="B4440" s="600"/>
      <c r="C4440" s="600"/>
      <c r="D4440" s="600"/>
      <c r="E4440" s="600"/>
      <c r="F4440" s="600"/>
      <c r="G4440" s="600"/>
      <c r="H4440" s="600"/>
    </row>
    <row r="4441" spans="1:8">
      <c r="A4441" s="600"/>
      <c r="B4441" s="600"/>
      <c r="C4441" s="600"/>
      <c r="D4441" s="600"/>
      <c r="E4441" s="600"/>
      <c r="F4441" s="600"/>
      <c r="G4441" s="600"/>
      <c r="H4441" s="600"/>
    </row>
    <row r="4442" spans="1:8">
      <c r="A4442" s="600"/>
      <c r="B4442" s="600"/>
      <c r="C4442" s="600"/>
      <c r="D4442" s="600"/>
      <c r="E4442" s="600"/>
      <c r="F4442" s="600"/>
      <c r="G4442" s="600"/>
      <c r="H4442" s="600"/>
    </row>
    <row r="4443" spans="1:8">
      <c r="A4443" s="600"/>
      <c r="B4443" s="600"/>
      <c r="C4443" s="600"/>
      <c r="D4443" s="600"/>
      <c r="E4443" s="600"/>
      <c r="F4443" s="600"/>
      <c r="G4443" s="600"/>
      <c r="H4443" s="600"/>
    </row>
    <row r="4444" spans="1:8">
      <c r="A4444" s="600"/>
      <c r="B4444" s="600"/>
      <c r="C4444" s="600"/>
      <c r="D4444" s="600"/>
      <c r="E4444" s="600"/>
      <c r="F4444" s="600"/>
      <c r="G4444" s="600"/>
      <c r="H4444" s="600"/>
    </row>
    <row r="4445" spans="1:8">
      <c r="A4445" s="600"/>
      <c r="B4445" s="600"/>
      <c r="C4445" s="600"/>
      <c r="D4445" s="600"/>
      <c r="E4445" s="600"/>
      <c r="F4445" s="600"/>
      <c r="G4445" s="600"/>
      <c r="H4445" s="600"/>
    </row>
    <row r="4446" spans="1:8">
      <c r="A4446" s="600"/>
      <c r="B4446" s="600"/>
      <c r="C4446" s="600"/>
      <c r="D4446" s="600"/>
      <c r="E4446" s="600"/>
      <c r="F4446" s="600"/>
      <c r="G4446" s="600"/>
      <c r="H4446" s="600"/>
    </row>
    <row r="4447" spans="1:8">
      <c r="A4447" s="600"/>
      <c r="B4447" s="600"/>
      <c r="C4447" s="600"/>
      <c r="D4447" s="600"/>
      <c r="E4447" s="600"/>
      <c r="F4447" s="600"/>
      <c r="G4447" s="600"/>
      <c r="H4447" s="600"/>
    </row>
    <row r="4448" spans="1:8">
      <c r="A4448" s="600"/>
      <c r="B4448" s="600"/>
      <c r="C4448" s="600"/>
      <c r="D4448" s="600"/>
      <c r="E4448" s="600"/>
      <c r="F4448" s="600"/>
      <c r="G4448" s="600"/>
      <c r="H4448" s="600"/>
    </row>
    <row r="4449" spans="1:8">
      <c r="A4449" s="600"/>
      <c r="B4449" s="600"/>
      <c r="C4449" s="600"/>
      <c r="D4449" s="600"/>
      <c r="E4449" s="600"/>
      <c r="F4449" s="600"/>
      <c r="G4449" s="600"/>
      <c r="H4449" s="600"/>
    </row>
    <row r="4450" spans="1:8">
      <c r="A4450" s="600"/>
      <c r="B4450" s="600"/>
      <c r="C4450" s="600"/>
      <c r="D4450" s="600"/>
      <c r="E4450" s="600"/>
      <c r="F4450" s="600"/>
      <c r="G4450" s="600"/>
      <c r="H4450" s="600"/>
    </row>
    <row r="4451" spans="1:8">
      <c r="A4451" s="600"/>
      <c r="B4451" s="600"/>
      <c r="C4451" s="600"/>
      <c r="D4451" s="600"/>
      <c r="E4451" s="600"/>
      <c r="F4451" s="600"/>
      <c r="G4451" s="600"/>
      <c r="H4451" s="600"/>
    </row>
    <row r="4452" spans="1:8">
      <c r="A4452" s="600"/>
      <c r="B4452" s="600"/>
      <c r="C4452" s="600"/>
      <c r="D4452" s="600"/>
      <c r="E4452" s="600"/>
      <c r="F4452" s="600"/>
      <c r="G4452" s="600"/>
      <c r="H4452" s="600"/>
    </row>
    <row r="4453" spans="1:8">
      <c r="A4453" s="600"/>
      <c r="B4453" s="600"/>
      <c r="C4453" s="600"/>
      <c r="D4453" s="600"/>
      <c r="E4453" s="600"/>
      <c r="F4453" s="600"/>
      <c r="G4453" s="600"/>
      <c r="H4453" s="600"/>
    </row>
    <row r="4454" spans="1:8">
      <c r="A4454" s="600"/>
      <c r="B4454" s="600"/>
      <c r="C4454" s="600"/>
      <c r="D4454" s="600"/>
      <c r="E4454" s="600"/>
      <c r="F4454" s="600"/>
      <c r="G4454" s="600"/>
      <c r="H4454" s="600"/>
    </row>
    <row r="4455" spans="1:8">
      <c r="A4455" s="600"/>
      <c r="B4455" s="600"/>
      <c r="C4455" s="600"/>
      <c r="D4455" s="600"/>
      <c r="E4455" s="600"/>
      <c r="F4455" s="600"/>
      <c r="G4455" s="600"/>
      <c r="H4455" s="600"/>
    </row>
    <row r="4456" spans="1:8">
      <c r="A4456" s="600"/>
      <c r="B4456" s="600"/>
      <c r="C4456" s="600"/>
      <c r="D4456" s="600"/>
      <c r="E4456" s="600"/>
      <c r="F4456" s="600"/>
      <c r="G4456" s="600"/>
      <c r="H4456" s="600"/>
    </row>
    <row r="4457" spans="1:8">
      <c r="A4457" s="600"/>
      <c r="B4457" s="600"/>
      <c r="C4457" s="600"/>
      <c r="D4457" s="600"/>
      <c r="E4457" s="600"/>
      <c r="F4457" s="600"/>
      <c r="G4457" s="600"/>
      <c r="H4457" s="600"/>
    </row>
    <row r="4458" spans="1:8">
      <c r="A4458" s="600"/>
      <c r="B4458" s="600"/>
      <c r="C4458" s="600"/>
      <c r="D4458" s="600"/>
      <c r="E4458" s="600"/>
      <c r="F4458" s="600"/>
      <c r="G4458" s="600"/>
      <c r="H4458" s="600"/>
    </row>
    <row r="4459" spans="1:8">
      <c r="A4459" s="600"/>
      <c r="B4459" s="600"/>
      <c r="C4459" s="600"/>
      <c r="D4459" s="600"/>
      <c r="E4459" s="600"/>
      <c r="F4459" s="600"/>
      <c r="G4459" s="600"/>
      <c r="H4459" s="600"/>
    </row>
    <row r="4460" spans="1:8">
      <c r="A4460" s="600"/>
      <c r="B4460" s="600"/>
      <c r="C4460" s="600"/>
      <c r="D4460" s="600"/>
      <c r="E4460" s="600"/>
      <c r="F4460" s="600"/>
      <c r="G4460" s="600"/>
      <c r="H4460" s="600"/>
    </row>
    <row r="4461" spans="1:8">
      <c r="A4461" s="600"/>
      <c r="B4461" s="600"/>
      <c r="C4461" s="600"/>
      <c r="D4461" s="600"/>
      <c r="E4461" s="600"/>
      <c r="F4461" s="600"/>
      <c r="G4461" s="600"/>
      <c r="H4461" s="600"/>
    </row>
    <row r="4462" spans="1:8">
      <c r="A4462" s="600"/>
      <c r="B4462" s="600"/>
      <c r="C4462" s="600"/>
      <c r="D4462" s="600"/>
      <c r="E4462" s="600"/>
      <c r="F4462" s="600"/>
      <c r="G4462" s="600"/>
      <c r="H4462" s="600"/>
    </row>
    <row r="4463" spans="1:8">
      <c r="A4463" s="600"/>
      <c r="B4463" s="600"/>
      <c r="C4463" s="600"/>
      <c r="D4463" s="600"/>
      <c r="E4463" s="600"/>
      <c r="F4463" s="600"/>
      <c r="G4463" s="600"/>
      <c r="H4463" s="600"/>
    </row>
    <row r="4464" spans="1:8">
      <c r="A4464" s="600"/>
      <c r="B4464" s="600"/>
      <c r="C4464" s="600"/>
      <c r="D4464" s="600"/>
      <c r="E4464" s="600"/>
      <c r="F4464" s="600"/>
      <c r="G4464" s="600"/>
      <c r="H4464" s="600"/>
    </row>
    <row r="4465" spans="1:8">
      <c r="A4465" s="600"/>
      <c r="B4465" s="600"/>
      <c r="C4465" s="600"/>
      <c r="D4465" s="600"/>
      <c r="E4465" s="600"/>
      <c r="F4465" s="600"/>
      <c r="G4465" s="600"/>
      <c r="H4465" s="600"/>
    </row>
    <row r="4466" spans="1:8">
      <c r="A4466" s="600"/>
      <c r="B4466" s="600"/>
      <c r="C4466" s="600"/>
      <c r="D4466" s="600"/>
      <c r="E4466" s="600"/>
      <c r="F4466" s="600"/>
      <c r="G4466" s="600"/>
      <c r="H4466" s="600"/>
    </row>
    <row r="4467" spans="1:8">
      <c r="A4467" s="600"/>
      <c r="B4467" s="600"/>
      <c r="C4467" s="600"/>
      <c r="D4467" s="600"/>
      <c r="E4467" s="600"/>
      <c r="F4467" s="600"/>
      <c r="G4467" s="600"/>
      <c r="H4467" s="600"/>
    </row>
    <row r="4468" spans="1:8">
      <c r="A4468" s="600"/>
      <c r="B4468" s="600"/>
      <c r="C4468" s="600"/>
      <c r="D4468" s="600"/>
      <c r="E4468" s="600"/>
      <c r="F4468" s="600"/>
      <c r="G4468" s="600"/>
      <c r="H4468" s="600"/>
    </row>
    <row r="4469" spans="1:8">
      <c r="A4469" s="600"/>
      <c r="B4469" s="600"/>
      <c r="C4469" s="600"/>
      <c r="D4469" s="600"/>
      <c r="E4469" s="600"/>
      <c r="F4469" s="600"/>
      <c r="G4469" s="600"/>
      <c r="H4469" s="600"/>
    </row>
    <row r="4470" spans="1:8">
      <c r="A4470" s="600"/>
      <c r="B4470" s="600"/>
      <c r="C4470" s="600"/>
      <c r="D4470" s="600"/>
      <c r="E4470" s="600"/>
      <c r="F4470" s="600"/>
      <c r="G4470" s="600"/>
      <c r="H4470" s="600"/>
    </row>
    <row r="4471" spans="1:8">
      <c r="A4471" s="600"/>
      <c r="B4471" s="600"/>
      <c r="C4471" s="600"/>
      <c r="D4471" s="600"/>
      <c r="E4471" s="600"/>
      <c r="F4471" s="600"/>
      <c r="G4471" s="600"/>
      <c r="H4471" s="600"/>
    </row>
    <row r="4472" spans="1:8">
      <c r="A4472" s="600"/>
      <c r="B4472" s="600"/>
      <c r="C4472" s="600"/>
      <c r="D4472" s="600"/>
      <c r="E4472" s="600"/>
      <c r="F4472" s="600"/>
      <c r="G4472" s="600"/>
      <c r="H4472" s="600"/>
    </row>
    <row r="4473" spans="1:8">
      <c r="A4473" s="600"/>
      <c r="B4473" s="600"/>
      <c r="C4473" s="600"/>
      <c r="D4473" s="600"/>
      <c r="E4473" s="600"/>
      <c r="F4473" s="600"/>
      <c r="G4473" s="600"/>
      <c r="H4473" s="600"/>
    </row>
    <row r="4474" spans="1:8">
      <c r="A4474" s="600"/>
      <c r="B4474" s="600"/>
      <c r="C4474" s="600"/>
      <c r="D4474" s="600"/>
      <c r="E4474" s="600"/>
      <c r="F4474" s="600"/>
      <c r="G4474" s="600"/>
      <c r="H4474" s="600"/>
    </row>
    <row r="4475" spans="1:8">
      <c r="A4475" s="600"/>
      <c r="B4475" s="600"/>
      <c r="C4475" s="600"/>
      <c r="D4475" s="600"/>
      <c r="E4475" s="600"/>
      <c r="F4475" s="600"/>
      <c r="G4475" s="600"/>
      <c r="H4475" s="600"/>
    </row>
    <row r="4476" spans="1:8">
      <c r="A4476" s="600"/>
      <c r="B4476" s="600"/>
      <c r="C4476" s="600"/>
      <c r="D4476" s="600"/>
      <c r="E4476" s="600"/>
      <c r="F4476" s="600"/>
      <c r="G4476" s="600"/>
      <c r="H4476" s="600"/>
    </row>
    <row r="4477" spans="1:8">
      <c r="A4477" s="600"/>
      <c r="B4477" s="600"/>
      <c r="C4477" s="600"/>
      <c r="D4477" s="600"/>
      <c r="E4477" s="600"/>
      <c r="F4477" s="600"/>
      <c r="G4477" s="600"/>
      <c r="H4477" s="600"/>
    </row>
    <row r="4478" spans="1:8">
      <c r="A4478" s="600"/>
      <c r="B4478" s="600"/>
      <c r="C4478" s="600"/>
      <c r="D4478" s="600"/>
      <c r="E4478" s="600"/>
      <c r="F4478" s="600"/>
      <c r="G4478" s="600"/>
      <c r="H4478" s="600"/>
    </row>
    <row r="4479" spans="1:8">
      <c r="A4479" s="600"/>
      <c r="B4479" s="600"/>
      <c r="C4479" s="600"/>
      <c r="D4479" s="600"/>
      <c r="E4479" s="600"/>
      <c r="F4479" s="600"/>
      <c r="G4479" s="600"/>
      <c r="H4479" s="600"/>
    </row>
    <row r="4480" spans="1:8">
      <c r="A4480" s="600"/>
      <c r="B4480" s="600"/>
      <c r="C4480" s="600"/>
      <c r="D4480" s="600"/>
      <c r="E4480" s="600"/>
      <c r="F4480" s="600"/>
      <c r="G4480" s="600"/>
      <c r="H4480" s="600"/>
    </row>
    <row r="4481" spans="1:8">
      <c r="A4481" s="600"/>
      <c r="B4481" s="600"/>
      <c r="C4481" s="600"/>
      <c r="D4481" s="600"/>
      <c r="E4481" s="600"/>
      <c r="F4481" s="600"/>
      <c r="G4481" s="600"/>
      <c r="H4481" s="600"/>
    </row>
    <row r="4482" spans="1:8">
      <c r="A4482" s="600"/>
      <c r="B4482" s="600"/>
      <c r="C4482" s="600"/>
      <c r="D4482" s="600"/>
      <c r="E4482" s="600"/>
      <c r="F4482" s="600"/>
      <c r="G4482" s="600"/>
      <c r="H4482" s="600"/>
    </row>
    <row r="4483" spans="1:8">
      <c r="A4483" s="600"/>
      <c r="B4483" s="600"/>
      <c r="C4483" s="600"/>
      <c r="D4483" s="600"/>
      <c r="E4483" s="600"/>
      <c r="F4483" s="600"/>
      <c r="G4483" s="600"/>
      <c r="H4483" s="600"/>
    </row>
    <row r="4484" spans="1:8">
      <c r="A4484" s="600"/>
      <c r="B4484" s="600"/>
      <c r="C4484" s="600"/>
      <c r="D4484" s="600"/>
      <c r="E4484" s="600"/>
      <c r="F4484" s="600"/>
      <c r="G4484" s="600"/>
      <c r="H4484" s="600"/>
    </row>
    <row r="4485" spans="1:8">
      <c r="A4485" s="600"/>
      <c r="B4485" s="600"/>
      <c r="C4485" s="600"/>
      <c r="D4485" s="600"/>
      <c r="E4485" s="600"/>
      <c r="F4485" s="600"/>
      <c r="G4485" s="600"/>
      <c r="H4485" s="600"/>
    </row>
    <row r="4486" spans="1:8">
      <c r="A4486" s="600"/>
      <c r="B4486" s="600"/>
      <c r="C4486" s="600"/>
      <c r="D4486" s="600"/>
      <c r="E4486" s="600"/>
      <c r="F4486" s="600"/>
      <c r="G4486" s="600"/>
      <c r="H4486" s="600"/>
    </row>
    <row r="4487" spans="1:8">
      <c r="A4487" s="600"/>
      <c r="B4487" s="600"/>
      <c r="C4487" s="600"/>
      <c r="D4487" s="600"/>
      <c r="E4487" s="600"/>
      <c r="F4487" s="600"/>
      <c r="G4487" s="600"/>
      <c r="H4487" s="600"/>
    </row>
    <row r="4488" spans="1:8">
      <c r="A4488" s="600"/>
      <c r="B4488" s="600"/>
      <c r="C4488" s="600"/>
      <c r="D4488" s="600"/>
      <c r="E4488" s="600"/>
      <c r="F4488" s="600"/>
      <c r="G4488" s="600"/>
      <c r="H4488" s="600"/>
    </row>
    <row r="4489" spans="1:8">
      <c r="A4489" s="600"/>
      <c r="B4489" s="600"/>
      <c r="C4489" s="600"/>
      <c r="D4489" s="600"/>
      <c r="E4489" s="600"/>
      <c r="F4489" s="600"/>
      <c r="G4489" s="600"/>
      <c r="H4489" s="600"/>
    </row>
    <row r="4490" spans="1:8">
      <c r="A4490" s="600"/>
      <c r="B4490" s="600"/>
      <c r="C4490" s="600"/>
      <c r="D4490" s="600"/>
      <c r="E4490" s="600"/>
      <c r="F4490" s="600"/>
      <c r="G4490" s="600"/>
      <c r="H4490" s="600"/>
    </row>
    <row r="4491" spans="1:8">
      <c r="A4491" s="600"/>
      <c r="B4491" s="600"/>
      <c r="C4491" s="600"/>
      <c r="D4491" s="600"/>
      <c r="E4491" s="600"/>
      <c r="F4491" s="600"/>
      <c r="G4491" s="600"/>
      <c r="H4491" s="600"/>
    </row>
    <row r="4492" spans="1:8">
      <c r="A4492" s="600"/>
      <c r="B4492" s="600"/>
      <c r="C4492" s="600"/>
      <c r="D4492" s="600"/>
      <c r="E4492" s="600"/>
      <c r="F4492" s="600"/>
      <c r="G4492" s="600"/>
      <c r="H4492" s="600"/>
    </row>
    <row r="4493" spans="1:8">
      <c r="A4493" s="600"/>
      <c r="B4493" s="600"/>
      <c r="C4493" s="600"/>
      <c r="D4493" s="600"/>
      <c r="E4493" s="600"/>
      <c r="F4493" s="600"/>
      <c r="G4493" s="600"/>
      <c r="H4493" s="600"/>
    </row>
    <row r="4494" spans="1:8">
      <c r="A4494" s="600"/>
      <c r="B4494" s="600"/>
      <c r="C4494" s="600"/>
      <c r="D4494" s="600"/>
      <c r="E4494" s="600"/>
      <c r="F4494" s="600"/>
      <c r="G4494" s="600"/>
      <c r="H4494" s="600"/>
    </row>
    <row r="4495" spans="1:8">
      <c r="A4495" s="600"/>
      <c r="B4495" s="600"/>
      <c r="C4495" s="600"/>
      <c r="D4495" s="600"/>
      <c r="E4495" s="600"/>
      <c r="F4495" s="600"/>
      <c r="G4495" s="600"/>
      <c r="H4495" s="600"/>
    </row>
    <row r="4496" spans="1:8">
      <c r="A4496" s="600"/>
      <c r="B4496" s="600"/>
      <c r="C4496" s="600"/>
      <c r="D4496" s="600"/>
      <c r="E4496" s="600"/>
      <c r="F4496" s="600"/>
      <c r="G4496" s="600"/>
      <c r="H4496" s="600"/>
    </row>
    <row r="4497" spans="1:8">
      <c r="A4497" s="600"/>
      <c r="B4497" s="600"/>
      <c r="C4497" s="600"/>
      <c r="D4497" s="600"/>
      <c r="E4497" s="600"/>
      <c r="F4497" s="600"/>
      <c r="G4497" s="600"/>
      <c r="H4497" s="600"/>
    </row>
    <row r="4498" spans="1:8">
      <c r="A4498" s="600"/>
      <c r="B4498" s="600"/>
      <c r="C4498" s="600"/>
      <c r="D4498" s="600"/>
      <c r="E4498" s="600"/>
      <c r="F4498" s="600"/>
      <c r="G4498" s="600"/>
      <c r="H4498" s="600"/>
    </row>
    <row r="4499" spans="1:8">
      <c r="A4499" s="600"/>
      <c r="B4499" s="600"/>
      <c r="C4499" s="600"/>
      <c r="D4499" s="600"/>
      <c r="E4499" s="600"/>
      <c r="F4499" s="600"/>
      <c r="G4499" s="600"/>
      <c r="H4499" s="600"/>
    </row>
    <row r="4500" spans="1:8">
      <c r="A4500" s="600"/>
      <c r="B4500" s="600"/>
      <c r="C4500" s="600"/>
      <c r="D4500" s="600"/>
      <c r="E4500" s="600"/>
      <c r="F4500" s="600"/>
      <c r="G4500" s="600"/>
      <c r="H4500" s="600"/>
    </row>
    <row r="4501" spans="1:8">
      <c r="A4501" s="600"/>
      <c r="B4501" s="600"/>
      <c r="C4501" s="600"/>
      <c r="D4501" s="600"/>
      <c r="E4501" s="600"/>
      <c r="F4501" s="600"/>
      <c r="G4501" s="600"/>
      <c r="H4501" s="600"/>
    </row>
    <row r="4502" spans="1:8">
      <c r="A4502" s="600"/>
      <c r="B4502" s="600"/>
      <c r="C4502" s="600"/>
      <c r="D4502" s="600"/>
      <c r="E4502" s="600"/>
      <c r="F4502" s="600"/>
      <c r="G4502" s="600"/>
      <c r="H4502" s="600"/>
    </row>
    <row r="4503" spans="1:8">
      <c r="A4503" s="600"/>
      <c r="B4503" s="600"/>
      <c r="C4503" s="600"/>
      <c r="D4503" s="600"/>
      <c r="E4503" s="600"/>
      <c r="F4503" s="600"/>
      <c r="G4503" s="600"/>
      <c r="H4503" s="600"/>
    </row>
    <row r="4504" spans="1:8">
      <c r="A4504" s="600"/>
      <c r="B4504" s="600"/>
      <c r="C4504" s="600"/>
      <c r="D4504" s="600"/>
      <c r="E4504" s="600"/>
      <c r="F4504" s="600"/>
      <c r="G4504" s="600"/>
      <c r="H4504" s="600"/>
    </row>
    <row r="4505" spans="1:8">
      <c r="A4505" s="600"/>
      <c r="B4505" s="600"/>
      <c r="C4505" s="600"/>
      <c r="D4505" s="600"/>
      <c r="E4505" s="600"/>
      <c r="F4505" s="600"/>
      <c r="G4505" s="600"/>
      <c r="H4505" s="600"/>
    </row>
    <row r="4506" spans="1:8">
      <c r="A4506" s="600"/>
      <c r="B4506" s="600"/>
      <c r="C4506" s="600"/>
      <c r="D4506" s="600"/>
      <c r="E4506" s="600"/>
      <c r="F4506" s="600"/>
      <c r="G4506" s="600"/>
      <c r="H4506" s="600"/>
    </row>
    <row r="4507" spans="1:8">
      <c r="A4507" s="600"/>
      <c r="B4507" s="600"/>
      <c r="C4507" s="600"/>
      <c r="D4507" s="600"/>
      <c r="E4507" s="600"/>
      <c r="F4507" s="600"/>
      <c r="G4507" s="600"/>
      <c r="H4507" s="600"/>
    </row>
    <row r="4508" spans="1:8">
      <c r="A4508" s="600"/>
      <c r="B4508" s="600"/>
      <c r="C4508" s="600"/>
      <c r="D4508" s="600"/>
      <c r="E4508" s="600"/>
      <c r="F4508" s="600"/>
      <c r="G4508" s="600"/>
      <c r="H4508" s="600"/>
    </row>
    <row r="4509" spans="1:8">
      <c r="A4509" s="600"/>
      <c r="B4509" s="600"/>
      <c r="C4509" s="600"/>
      <c r="D4509" s="600"/>
      <c r="E4509" s="600"/>
      <c r="F4509" s="600"/>
      <c r="G4509" s="600"/>
      <c r="H4509" s="600"/>
    </row>
    <row r="4510" spans="1:8">
      <c r="A4510" s="600"/>
      <c r="B4510" s="600"/>
      <c r="C4510" s="600"/>
      <c r="D4510" s="600"/>
      <c r="E4510" s="600"/>
      <c r="F4510" s="600"/>
      <c r="G4510" s="600"/>
      <c r="H4510" s="600"/>
    </row>
    <row r="4511" spans="1:8">
      <c r="A4511" s="600"/>
      <c r="B4511" s="600"/>
      <c r="C4511" s="600"/>
      <c r="D4511" s="600"/>
      <c r="E4511" s="600"/>
      <c r="F4511" s="600"/>
      <c r="G4511" s="600"/>
      <c r="H4511" s="600"/>
    </row>
    <row r="4512" spans="1:8">
      <c r="A4512" s="600"/>
      <c r="B4512" s="600"/>
      <c r="C4512" s="600"/>
      <c r="D4512" s="600"/>
      <c r="E4512" s="600"/>
      <c r="F4512" s="600"/>
      <c r="G4512" s="600"/>
      <c r="H4512" s="600"/>
    </row>
    <row r="4513" spans="1:8">
      <c r="A4513" s="600"/>
      <c r="B4513" s="600"/>
      <c r="C4513" s="600"/>
      <c r="D4513" s="600"/>
      <c r="E4513" s="600"/>
      <c r="F4513" s="600"/>
      <c r="G4513" s="600"/>
      <c r="H4513" s="600"/>
    </row>
    <row r="4514" spans="1:8">
      <c r="A4514" s="600"/>
      <c r="B4514" s="600"/>
      <c r="C4514" s="600"/>
      <c r="D4514" s="600"/>
      <c r="E4514" s="600"/>
      <c r="F4514" s="600"/>
      <c r="G4514" s="600"/>
      <c r="H4514" s="600"/>
    </row>
    <row r="4515" spans="1:8">
      <c r="A4515" s="600"/>
      <c r="B4515" s="600"/>
      <c r="C4515" s="600"/>
      <c r="D4515" s="600"/>
      <c r="E4515" s="600"/>
      <c r="F4515" s="600"/>
      <c r="G4515" s="600"/>
      <c r="H4515" s="600"/>
    </row>
    <row r="4516" spans="1:8">
      <c r="A4516" s="600"/>
      <c r="B4516" s="600"/>
      <c r="C4516" s="600"/>
      <c r="D4516" s="600"/>
      <c r="E4516" s="600"/>
      <c r="F4516" s="600"/>
      <c r="G4516" s="600"/>
      <c r="H4516" s="600"/>
    </row>
    <row r="4517" spans="1:8">
      <c r="A4517" s="600"/>
      <c r="B4517" s="600"/>
      <c r="C4517" s="600"/>
      <c r="D4517" s="600"/>
      <c r="E4517" s="600"/>
      <c r="F4517" s="600"/>
      <c r="G4517" s="600"/>
      <c r="H4517" s="600"/>
    </row>
    <row r="4518" spans="1:8">
      <c r="A4518" s="600"/>
      <c r="B4518" s="600"/>
      <c r="C4518" s="600"/>
      <c r="D4518" s="600"/>
      <c r="E4518" s="600"/>
      <c r="F4518" s="600"/>
      <c r="G4518" s="600"/>
      <c r="H4518" s="600"/>
    </row>
    <row r="4519" spans="1:8">
      <c r="A4519" s="600"/>
      <c r="B4519" s="600"/>
      <c r="C4519" s="600"/>
      <c r="D4519" s="600"/>
      <c r="E4519" s="600"/>
      <c r="F4519" s="600"/>
      <c r="G4519" s="600"/>
      <c r="H4519" s="600"/>
    </row>
    <row r="4520" spans="1:8">
      <c r="A4520" s="600"/>
      <c r="B4520" s="600"/>
      <c r="C4520" s="600"/>
      <c r="D4520" s="600"/>
      <c r="E4520" s="600"/>
      <c r="F4520" s="600"/>
      <c r="G4520" s="600"/>
      <c r="H4520" s="600"/>
    </row>
    <row r="4521" spans="1:8">
      <c r="A4521" s="600"/>
      <c r="B4521" s="600"/>
      <c r="C4521" s="600"/>
      <c r="D4521" s="600"/>
      <c r="E4521" s="600"/>
      <c r="F4521" s="600"/>
      <c r="G4521" s="600"/>
      <c r="H4521" s="600"/>
    </row>
    <row r="4522" spans="1:8">
      <c r="A4522" s="600"/>
      <c r="B4522" s="600"/>
      <c r="C4522" s="600"/>
      <c r="D4522" s="600"/>
      <c r="E4522" s="600"/>
      <c r="F4522" s="600"/>
      <c r="G4522" s="600"/>
      <c r="H4522" s="600"/>
    </row>
    <row r="4523" spans="1:8">
      <c r="A4523" s="600"/>
      <c r="B4523" s="600"/>
      <c r="C4523" s="600"/>
      <c r="D4523" s="600"/>
      <c r="E4523" s="600"/>
      <c r="F4523" s="600"/>
      <c r="G4523" s="600"/>
      <c r="H4523" s="600"/>
    </row>
    <row r="4524" spans="1:8">
      <c r="A4524" s="600"/>
      <c r="B4524" s="600"/>
      <c r="C4524" s="600"/>
      <c r="D4524" s="600"/>
      <c r="E4524" s="600"/>
      <c r="F4524" s="600"/>
      <c r="G4524" s="600"/>
      <c r="H4524" s="600"/>
    </row>
    <row r="4525" spans="1:8">
      <c r="A4525" s="600"/>
      <c r="B4525" s="600"/>
      <c r="C4525" s="600"/>
      <c r="D4525" s="600"/>
      <c r="E4525" s="600"/>
      <c r="F4525" s="600"/>
      <c r="G4525" s="600"/>
      <c r="H4525" s="600"/>
    </row>
    <row r="4526" spans="1:8">
      <c r="A4526" s="600"/>
      <c r="B4526" s="600"/>
      <c r="C4526" s="600"/>
      <c r="D4526" s="600"/>
      <c r="E4526" s="600"/>
      <c r="F4526" s="600"/>
      <c r="G4526" s="600"/>
      <c r="H4526" s="600"/>
    </row>
    <row r="4527" spans="1:8">
      <c r="A4527" s="600"/>
      <c r="B4527" s="600"/>
      <c r="C4527" s="600"/>
      <c r="D4527" s="600"/>
      <c r="E4527" s="600"/>
      <c r="F4527" s="600"/>
      <c r="G4527" s="600"/>
      <c r="H4527" s="600"/>
    </row>
    <row r="4528" spans="1:8">
      <c r="A4528" s="600"/>
      <c r="B4528" s="600"/>
      <c r="C4528" s="600"/>
      <c r="D4528" s="600"/>
      <c r="E4528" s="600"/>
      <c r="F4528" s="600"/>
      <c r="G4528" s="600"/>
      <c r="H4528" s="600"/>
    </row>
    <row r="4529" spans="1:8">
      <c r="A4529" s="600"/>
      <c r="B4529" s="600"/>
      <c r="C4529" s="600"/>
      <c r="D4529" s="600"/>
      <c r="E4529" s="600"/>
      <c r="F4529" s="600"/>
      <c r="G4529" s="600"/>
      <c r="H4529" s="600"/>
    </row>
    <row r="4530" spans="1:8">
      <c r="A4530" s="600"/>
      <c r="B4530" s="600"/>
      <c r="C4530" s="600"/>
      <c r="D4530" s="600"/>
      <c r="E4530" s="600"/>
      <c r="F4530" s="600"/>
      <c r="G4530" s="600"/>
      <c r="H4530" s="600"/>
    </row>
    <row r="4531" spans="1:8">
      <c r="A4531" s="600"/>
      <c r="B4531" s="600"/>
      <c r="C4531" s="600"/>
      <c r="D4531" s="600"/>
      <c r="E4531" s="600"/>
      <c r="F4531" s="600"/>
      <c r="G4531" s="600"/>
      <c r="H4531" s="600"/>
    </row>
    <row r="4532" spans="1:8">
      <c r="A4532" s="600"/>
      <c r="B4532" s="600"/>
      <c r="C4532" s="600"/>
      <c r="D4532" s="600"/>
      <c r="E4532" s="600"/>
      <c r="F4532" s="600"/>
      <c r="G4532" s="600"/>
      <c r="H4532" s="600"/>
    </row>
    <row r="4533" spans="1:8">
      <c r="A4533" s="600"/>
      <c r="B4533" s="600"/>
      <c r="C4533" s="600"/>
      <c r="D4533" s="600"/>
      <c r="E4533" s="600"/>
      <c r="F4533" s="600"/>
      <c r="G4533" s="600"/>
      <c r="H4533" s="600"/>
    </row>
    <row r="4534" spans="1:8">
      <c r="A4534" s="600"/>
      <c r="B4534" s="600"/>
      <c r="C4534" s="600"/>
      <c r="D4534" s="600"/>
      <c r="E4534" s="600"/>
      <c r="F4534" s="600"/>
      <c r="G4534" s="600"/>
      <c r="H4534" s="600"/>
    </row>
    <row r="4535" spans="1:8">
      <c r="A4535" s="600"/>
      <c r="B4535" s="600"/>
      <c r="C4535" s="600"/>
      <c r="D4535" s="600"/>
      <c r="E4535" s="600"/>
      <c r="F4535" s="600"/>
      <c r="G4535" s="600"/>
      <c r="H4535" s="600"/>
    </row>
    <row r="4536" spans="1:8">
      <c r="A4536" s="600"/>
      <c r="B4536" s="600"/>
      <c r="C4536" s="600"/>
      <c r="D4536" s="600"/>
      <c r="E4536" s="600"/>
      <c r="F4536" s="600"/>
      <c r="G4536" s="600"/>
      <c r="H4536" s="600"/>
    </row>
    <row r="4537" spans="1:8">
      <c r="A4537" s="600"/>
      <c r="B4537" s="600"/>
      <c r="C4537" s="600"/>
      <c r="D4537" s="600"/>
      <c r="E4537" s="600"/>
      <c r="F4537" s="600"/>
      <c r="G4537" s="600"/>
      <c r="H4537" s="600"/>
    </row>
    <row r="4538" spans="1:8">
      <c r="A4538" s="600"/>
      <c r="B4538" s="600"/>
      <c r="C4538" s="600"/>
      <c r="D4538" s="600"/>
      <c r="E4538" s="600"/>
      <c r="F4538" s="600"/>
      <c r="G4538" s="600"/>
      <c r="H4538" s="600"/>
    </row>
    <row r="4539" spans="1:8">
      <c r="A4539" s="600"/>
      <c r="B4539" s="600"/>
      <c r="C4539" s="600"/>
      <c r="D4539" s="600"/>
      <c r="E4539" s="600"/>
      <c r="F4539" s="600"/>
      <c r="G4539" s="600"/>
      <c r="H4539" s="600"/>
    </row>
    <row r="4540" spans="1:8">
      <c r="A4540" s="600"/>
      <c r="B4540" s="600"/>
      <c r="C4540" s="600"/>
      <c r="D4540" s="600"/>
      <c r="E4540" s="600"/>
      <c r="F4540" s="600"/>
      <c r="G4540" s="600"/>
      <c r="H4540" s="600"/>
    </row>
    <row r="4541" spans="1:8">
      <c r="A4541" s="600"/>
      <c r="B4541" s="600"/>
      <c r="C4541" s="600"/>
      <c r="D4541" s="600"/>
      <c r="E4541" s="600"/>
      <c r="F4541" s="600"/>
      <c r="G4541" s="600"/>
      <c r="H4541" s="600"/>
    </row>
    <row r="4542" spans="1:8">
      <c r="A4542" s="600"/>
      <c r="B4542" s="600"/>
      <c r="C4542" s="600"/>
      <c r="D4542" s="600"/>
      <c r="E4542" s="600"/>
      <c r="F4542" s="600"/>
      <c r="G4542" s="600"/>
      <c r="H4542" s="600"/>
    </row>
    <row r="4543" spans="1:8">
      <c r="A4543" s="600"/>
      <c r="B4543" s="600"/>
      <c r="C4543" s="600"/>
      <c r="D4543" s="600"/>
      <c r="E4543" s="600"/>
      <c r="F4543" s="600"/>
      <c r="G4543" s="600"/>
      <c r="H4543" s="600"/>
    </row>
    <row r="4544" spans="1:8">
      <c r="A4544" s="600"/>
      <c r="B4544" s="600"/>
      <c r="C4544" s="600"/>
      <c r="D4544" s="600"/>
      <c r="E4544" s="600"/>
      <c r="F4544" s="600"/>
      <c r="G4544" s="600"/>
      <c r="H4544" s="600"/>
    </row>
    <row r="4545" spans="1:8">
      <c r="A4545" s="600"/>
      <c r="B4545" s="600"/>
      <c r="C4545" s="600"/>
      <c r="D4545" s="600"/>
      <c r="E4545" s="600"/>
      <c r="F4545" s="600"/>
      <c r="G4545" s="600"/>
      <c r="H4545" s="600"/>
    </row>
    <row r="4546" spans="1:8">
      <c r="A4546" s="600"/>
      <c r="B4546" s="600"/>
      <c r="C4546" s="600"/>
      <c r="D4546" s="600"/>
      <c r="E4546" s="600"/>
      <c r="F4546" s="600"/>
      <c r="G4546" s="600"/>
      <c r="H4546" s="600"/>
    </row>
    <row r="4547" spans="1:8">
      <c r="A4547" s="600"/>
      <c r="B4547" s="600"/>
      <c r="C4547" s="600"/>
      <c r="D4547" s="600"/>
      <c r="E4547" s="600"/>
      <c r="F4547" s="600"/>
      <c r="G4547" s="600"/>
      <c r="H4547" s="600"/>
    </row>
    <row r="4548" spans="1:8">
      <c r="A4548" s="600"/>
      <c r="B4548" s="600"/>
      <c r="C4548" s="600"/>
      <c r="D4548" s="600"/>
      <c r="E4548" s="600"/>
      <c r="F4548" s="600"/>
      <c r="G4548" s="600"/>
      <c r="H4548" s="600"/>
    </row>
    <row r="4549" spans="1:8">
      <c r="A4549" s="600"/>
      <c r="B4549" s="600"/>
      <c r="C4549" s="600"/>
      <c r="D4549" s="600"/>
      <c r="E4549" s="600"/>
      <c r="F4549" s="600"/>
      <c r="G4549" s="600"/>
      <c r="H4549" s="600"/>
    </row>
    <row r="4550" spans="1:8">
      <c r="A4550" s="600"/>
      <c r="B4550" s="600"/>
      <c r="C4550" s="600"/>
      <c r="D4550" s="600"/>
      <c r="E4550" s="600"/>
      <c r="F4550" s="600"/>
      <c r="G4550" s="600"/>
      <c r="H4550" s="600"/>
    </row>
    <row r="4551" spans="1:8">
      <c r="A4551" s="600"/>
      <c r="B4551" s="600"/>
      <c r="C4551" s="600"/>
      <c r="D4551" s="600"/>
      <c r="E4551" s="600"/>
      <c r="F4551" s="600"/>
      <c r="G4551" s="600"/>
      <c r="H4551" s="600"/>
    </row>
    <row r="4552" spans="1:8">
      <c r="A4552" s="600"/>
      <c r="B4552" s="600"/>
      <c r="C4552" s="600"/>
      <c r="D4552" s="600"/>
      <c r="E4552" s="600"/>
      <c r="F4552" s="600"/>
      <c r="G4552" s="600"/>
      <c r="H4552" s="600"/>
    </row>
    <row r="4553" spans="1:8">
      <c r="A4553" s="600"/>
      <c r="B4553" s="600"/>
      <c r="C4553" s="600"/>
      <c r="D4553" s="600"/>
      <c r="E4553" s="600"/>
      <c r="F4553" s="600"/>
      <c r="G4553" s="600"/>
      <c r="H4553" s="600"/>
    </row>
    <row r="4554" spans="1:8">
      <c r="A4554" s="600"/>
      <c r="B4554" s="600"/>
      <c r="C4554" s="600"/>
      <c r="D4554" s="600"/>
      <c r="E4554" s="600"/>
      <c r="F4554" s="600"/>
      <c r="G4554" s="600"/>
      <c r="H4554" s="600"/>
    </row>
    <row r="4555" spans="1:8">
      <c r="A4555" s="600"/>
      <c r="B4555" s="600"/>
      <c r="C4555" s="600"/>
      <c r="D4555" s="600"/>
      <c r="E4555" s="600"/>
      <c r="F4555" s="600"/>
      <c r="G4555" s="600"/>
      <c r="H4555" s="600"/>
    </row>
    <row r="4556" spans="1:8">
      <c r="A4556" s="600"/>
      <c r="B4556" s="600"/>
      <c r="C4556" s="600"/>
      <c r="D4556" s="600"/>
      <c r="E4556" s="600"/>
      <c r="F4556" s="600"/>
      <c r="G4556" s="600"/>
      <c r="H4556" s="600"/>
    </row>
    <row r="4557" spans="1:8">
      <c r="A4557" s="600"/>
      <c r="B4557" s="600"/>
      <c r="C4557" s="600"/>
      <c r="D4557" s="600"/>
      <c r="E4557" s="600"/>
      <c r="F4557" s="600"/>
      <c r="G4557" s="600"/>
      <c r="H4557" s="600"/>
    </row>
    <row r="4558" spans="1:8">
      <c r="A4558" s="600"/>
      <c r="B4558" s="600"/>
      <c r="C4558" s="600"/>
      <c r="D4558" s="600"/>
      <c r="E4558" s="600"/>
      <c r="F4558" s="600"/>
      <c r="G4558" s="600"/>
      <c r="H4558" s="600"/>
    </row>
    <row r="4559" spans="1:8">
      <c r="A4559" s="600"/>
      <c r="B4559" s="600"/>
      <c r="C4559" s="600"/>
      <c r="D4559" s="600"/>
      <c r="E4559" s="600"/>
      <c r="F4559" s="600"/>
      <c r="G4559" s="600"/>
      <c r="H4559" s="600"/>
    </row>
    <row r="4560" spans="1:8">
      <c r="A4560" s="600"/>
      <c r="B4560" s="600"/>
      <c r="C4560" s="600"/>
      <c r="D4560" s="600"/>
      <c r="E4560" s="600"/>
      <c r="F4560" s="600"/>
      <c r="G4560" s="600"/>
      <c r="H4560" s="600"/>
    </row>
    <row r="4561" spans="1:8">
      <c r="A4561" s="600"/>
      <c r="B4561" s="600"/>
      <c r="C4561" s="600"/>
      <c r="D4561" s="600"/>
      <c r="E4561" s="600"/>
      <c r="F4561" s="600"/>
      <c r="G4561" s="600"/>
      <c r="H4561" s="600"/>
    </row>
    <row r="4562" spans="1:8">
      <c r="A4562" s="600"/>
      <c r="B4562" s="600"/>
      <c r="C4562" s="600"/>
      <c r="D4562" s="600"/>
      <c r="E4562" s="600"/>
      <c r="F4562" s="600"/>
      <c r="G4562" s="600"/>
      <c r="H4562" s="600"/>
    </row>
    <row r="4563" spans="1:8">
      <c r="A4563" s="600"/>
      <c r="B4563" s="600"/>
      <c r="C4563" s="600"/>
      <c r="D4563" s="600"/>
      <c r="E4563" s="600"/>
      <c r="F4563" s="600"/>
      <c r="G4563" s="600"/>
      <c r="H4563" s="600"/>
    </row>
    <row r="4564" spans="1:8">
      <c r="A4564" s="600"/>
      <c r="B4564" s="600"/>
      <c r="C4564" s="600"/>
      <c r="D4564" s="600"/>
      <c r="E4564" s="600"/>
      <c r="F4564" s="600"/>
      <c r="G4564" s="600"/>
      <c r="H4564" s="600"/>
    </row>
    <row r="4565" spans="1:8">
      <c r="A4565" s="600"/>
      <c r="B4565" s="600"/>
      <c r="C4565" s="600"/>
      <c r="D4565" s="600"/>
      <c r="E4565" s="600"/>
      <c r="F4565" s="600"/>
      <c r="G4565" s="600"/>
      <c r="H4565" s="600"/>
    </row>
    <row r="4566" spans="1:8">
      <c r="A4566" s="600"/>
      <c r="B4566" s="600"/>
      <c r="C4566" s="600"/>
      <c r="D4566" s="600"/>
      <c r="E4566" s="600"/>
      <c r="F4566" s="600"/>
      <c r="G4566" s="600"/>
      <c r="H4566" s="600"/>
    </row>
    <row r="4567" spans="1:8">
      <c r="A4567" s="600"/>
      <c r="B4567" s="600"/>
      <c r="C4567" s="600"/>
      <c r="D4567" s="600"/>
      <c r="E4567" s="600"/>
      <c r="F4567" s="600"/>
      <c r="G4567" s="600"/>
      <c r="H4567" s="600"/>
    </row>
    <row r="4568" spans="1:8">
      <c r="A4568" s="600"/>
      <c r="B4568" s="600"/>
      <c r="C4568" s="600"/>
      <c r="D4568" s="600"/>
      <c r="E4568" s="600"/>
      <c r="F4568" s="600"/>
      <c r="G4568" s="600"/>
      <c r="H4568" s="600"/>
    </row>
    <row r="4569" spans="1:8">
      <c r="A4569" s="600"/>
      <c r="B4569" s="600"/>
      <c r="C4569" s="600"/>
      <c r="D4569" s="600"/>
      <c r="E4569" s="600"/>
      <c r="F4569" s="600"/>
      <c r="G4569" s="600"/>
      <c r="H4569" s="600"/>
    </row>
    <row r="4570" spans="1:8">
      <c r="A4570" s="600"/>
      <c r="B4570" s="600"/>
      <c r="C4570" s="600"/>
      <c r="D4570" s="600"/>
      <c r="E4570" s="600"/>
      <c r="F4570" s="600"/>
      <c r="G4570" s="600"/>
      <c r="H4570" s="600"/>
    </row>
    <row r="4571" spans="1:8">
      <c r="A4571" s="600"/>
      <c r="B4571" s="600"/>
      <c r="C4571" s="600"/>
      <c r="D4571" s="600"/>
      <c r="E4571" s="600"/>
      <c r="F4571" s="600"/>
      <c r="G4571" s="600"/>
      <c r="H4571" s="600"/>
    </row>
    <row r="4572" spans="1:8">
      <c r="A4572" s="600"/>
      <c r="B4572" s="600"/>
      <c r="C4572" s="600"/>
      <c r="D4572" s="600"/>
      <c r="E4572" s="600"/>
      <c r="F4572" s="600"/>
      <c r="G4572" s="600"/>
      <c r="H4572" s="600"/>
    </row>
    <row r="4573" spans="1:8">
      <c r="A4573" s="600"/>
      <c r="B4573" s="600"/>
      <c r="C4573" s="600"/>
      <c r="D4573" s="600"/>
      <c r="E4573" s="600"/>
      <c r="F4573" s="600"/>
      <c r="G4573" s="600"/>
      <c r="H4573" s="600"/>
    </row>
    <row r="4574" spans="1:8">
      <c r="A4574" s="600"/>
      <c r="B4574" s="600"/>
      <c r="C4574" s="600"/>
      <c r="D4574" s="600"/>
      <c r="E4574" s="600"/>
      <c r="F4574" s="600"/>
      <c r="G4574" s="600"/>
      <c r="H4574" s="600"/>
    </row>
    <row r="4575" spans="1:8">
      <c r="A4575" s="600"/>
      <c r="B4575" s="600"/>
      <c r="C4575" s="600"/>
      <c r="D4575" s="600"/>
      <c r="E4575" s="600"/>
      <c r="F4575" s="600"/>
      <c r="G4575" s="600"/>
      <c r="H4575" s="600"/>
    </row>
    <row r="4576" spans="1:8">
      <c r="A4576" s="600"/>
      <c r="B4576" s="600"/>
      <c r="C4576" s="600"/>
      <c r="D4576" s="600"/>
      <c r="E4576" s="600"/>
      <c r="F4576" s="600"/>
      <c r="G4576" s="600"/>
      <c r="H4576" s="600"/>
    </row>
    <row r="4577" spans="1:8">
      <c r="A4577" s="600"/>
      <c r="B4577" s="600"/>
      <c r="C4577" s="600"/>
      <c r="D4577" s="600"/>
      <c r="E4577" s="600"/>
      <c r="F4577" s="600"/>
      <c r="G4577" s="600"/>
      <c r="H4577" s="600"/>
    </row>
    <row r="4578" spans="1:8">
      <c r="A4578" s="600"/>
      <c r="B4578" s="600"/>
      <c r="C4578" s="600"/>
      <c r="D4578" s="600"/>
      <c r="E4578" s="600"/>
      <c r="F4578" s="600"/>
      <c r="G4578" s="600"/>
      <c r="H4578" s="600"/>
    </row>
    <row r="4579" spans="1:8">
      <c r="A4579" s="600"/>
      <c r="B4579" s="600"/>
      <c r="C4579" s="600"/>
      <c r="D4579" s="600"/>
      <c r="E4579" s="600"/>
      <c r="F4579" s="600"/>
      <c r="G4579" s="600"/>
      <c r="H4579" s="600"/>
    </row>
    <row r="4580" spans="1:8">
      <c r="A4580" s="600"/>
      <c r="B4580" s="600"/>
      <c r="C4580" s="600"/>
      <c r="D4580" s="600"/>
      <c r="E4580" s="600"/>
      <c r="F4580" s="600"/>
      <c r="G4580" s="600"/>
      <c r="H4580" s="600"/>
    </row>
    <row r="4581" spans="1:8">
      <c r="A4581" s="600"/>
      <c r="B4581" s="600"/>
      <c r="C4581" s="600"/>
      <c r="D4581" s="600"/>
      <c r="E4581" s="600"/>
      <c r="F4581" s="600"/>
      <c r="G4581" s="600"/>
      <c r="H4581" s="600"/>
    </row>
    <row r="4582" spans="1:8">
      <c r="A4582" s="600"/>
      <c r="B4582" s="600"/>
      <c r="C4582" s="600"/>
      <c r="D4582" s="600"/>
      <c r="E4582" s="600"/>
      <c r="F4582" s="600"/>
      <c r="G4582" s="600"/>
      <c r="H4582" s="600"/>
    </row>
    <row r="4583" spans="1:8">
      <c r="A4583" s="600"/>
      <c r="B4583" s="600"/>
      <c r="C4583" s="600"/>
      <c r="D4583" s="600"/>
      <c r="E4583" s="600"/>
      <c r="F4583" s="600"/>
      <c r="G4583" s="600"/>
      <c r="H4583" s="600"/>
    </row>
    <row r="4584" spans="1:8">
      <c r="A4584" s="600"/>
      <c r="B4584" s="600"/>
      <c r="C4584" s="600"/>
      <c r="D4584" s="600"/>
      <c r="E4584" s="600"/>
      <c r="F4584" s="600"/>
      <c r="G4584" s="600"/>
      <c r="H4584" s="600"/>
    </row>
    <row r="4585" spans="1:8">
      <c r="A4585" s="600"/>
      <c r="B4585" s="600"/>
      <c r="C4585" s="600"/>
      <c r="D4585" s="600"/>
      <c r="E4585" s="600"/>
      <c r="F4585" s="600"/>
      <c r="G4585" s="600"/>
      <c r="H4585" s="600"/>
    </row>
    <row r="4586" spans="1:8">
      <c r="A4586" s="600"/>
      <c r="B4586" s="600"/>
      <c r="C4586" s="600"/>
      <c r="D4586" s="600"/>
      <c r="E4586" s="600"/>
      <c r="F4586" s="600"/>
      <c r="G4586" s="600"/>
      <c r="H4586" s="600"/>
    </row>
    <row r="4587" spans="1:8">
      <c r="A4587" s="600"/>
      <c r="B4587" s="600"/>
      <c r="C4587" s="600"/>
      <c r="D4587" s="600"/>
      <c r="E4587" s="600"/>
      <c r="F4587" s="600"/>
      <c r="G4587" s="600"/>
      <c r="H4587" s="600"/>
    </row>
    <row r="4588" spans="1:8">
      <c r="A4588" s="600"/>
      <c r="B4588" s="600"/>
      <c r="C4588" s="600"/>
      <c r="D4588" s="600"/>
      <c r="E4588" s="600"/>
      <c r="F4588" s="600"/>
      <c r="G4588" s="600"/>
      <c r="H4588" s="600"/>
    </row>
    <row r="4589" spans="1:8">
      <c r="A4589" s="600"/>
      <c r="B4589" s="600"/>
      <c r="C4589" s="600"/>
      <c r="D4589" s="600"/>
      <c r="E4589" s="600"/>
      <c r="F4589" s="600"/>
      <c r="G4589" s="600"/>
      <c r="H4589" s="600"/>
    </row>
    <row r="4590" spans="1:8">
      <c r="A4590" s="600"/>
      <c r="B4590" s="600"/>
      <c r="C4590" s="600"/>
      <c r="D4590" s="600"/>
      <c r="E4590" s="600"/>
      <c r="F4590" s="600"/>
      <c r="G4590" s="600"/>
      <c r="H4590" s="600"/>
    </row>
    <row r="4591" spans="1:8">
      <c r="A4591" s="600"/>
      <c r="B4591" s="600"/>
      <c r="C4591" s="600"/>
      <c r="D4591" s="600"/>
      <c r="E4591" s="600"/>
      <c r="F4591" s="600"/>
      <c r="G4591" s="600"/>
      <c r="H4591" s="600"/>
    </row>
    <row r="4592" spans="1:8">
      <c r="A4592" s="600"/>
      <c r="B4592" s="600"/>
      <c r="C4592" s="600"/>
      <c r="D4592" s="600"/>
      <c r="E4592" s="600"/>
      <c r="F4592" s="600"/>
      <c r="G4592" s="600"/>
      <c r="H4592" s="600"/>
    </row>
    <row r="4593" spans="1:8">
      <c r="A4593" s="600"/>
      <c r="B4593" s="600"/>
      <c r="C4593" s="600"/>
      <c r="D4593" s="600"/>
      <c r="E4593" s="600"/>
      <c r="F4593" s="600"/>
      <c r="G4593" s="600"/>
      <c r="H4593" s="600"/>
    </row>
    <row r="4594" spans="1:8">
      <c r="A4594" s="600"/>
      <c r="B4594" s="600"/>
      <c r="C4594" s="600"/>
      <c r="D4594" s="600"/>
      <c r="E4594" s="600"/>
      <c r="F4594" s="600"/>
      <c r="G4594" s="600"/>
      <c r="H4594" s="600"/>
    </row>
    <row r="4595" spans="1:8">
      <c r="A4595" s="600"/>
      <c r="B4595" s="600"/>
      <c r="C4595" s="600"/>
      <c r="D4595" s="600"/>
      <c r="E4595" s="600"/>
      <c r="F4595" s="600"/>
      <c r="G4595" s="600"/>
      <c r="H4595" s="600"/>
    </row>
    <row r="4596" spans="1:8">
      <c r="A4596" s="600"/>
      <c r="B4596" s="600"/>
      <c r="C4596" s="600"/>
      <c r="D4596" s="600"/>
      <c r="E4596" s="600"/>
      <c r="F4596" s="600"/>
      <c r="G4596" s="600"/>
      <c r="H4596" s="600"/>
    </row>
    <row r="4597" spans="1:8">
      <c r="A4597" s="600"/>
      <c r="B4597" s="600"/>
      <c r="C4597" s="600"/>
      <c r="D4597" s="600"/>
      <c r="E4597" s="600"/>
      <c r="F4597" s="600"/>
      <c r="G4597" s="600"/>
      <c r="H4597" s="600"/>
    </row>
    <row r="4598" spans="1:8">
      <c r="A4598" s="600"/>
      <c r="B4598" s="600"/>
      <c r="C4598" s="600"/>
      <c r="D4598" s="600"/>
      <c r="E4598" s="600"/>
      <c r="F4598" s="600"/>
      <c r="G4598" s="600"/>
      <c r="H4598" s="600"/>
    </row>
    <row r="4599" spans="1:8">
      <c r="A4599" s="600"/>
      <c r="B4599" s="600"/>
      <c r="C4599" s="600"/>
      <c r="D4599" s="600"/>
      <c r="E4599" s="600"/>
      <c r="F4599" s="600"/>
      <c r="G4599" s="600"/>
      <c r="H4599" s="600"/>
    </row>
    <row r="4600" spans="1:8">
      <c r="A4600" s="600"/>
      <c r="B4600" s="600"/>
      <c r="C4600" s="600"/>
      <c r="D4600" s="600"/>
      <c r="E4600" s="600"/>
      <c r="F4600" s="600"/>
      <c r="G4600" s="600"/>
      <c r="H4600" s="600"/>
    </row>
    <row r="4601" spans="1:8">
      <c r="A4601" s="600"/>
      <c r="B4601" s="600"/>
      <c r="C4601" s="600"/>
      <c r="D4601" s="600"/>
      <c r="E4601" s="600"/>
      <c r="F4601" s="600"/>
      <c r="G4601" s="600"/>
      <c r="H4601" s="600"/>
    </row>
    <row r="4602" spans="1:8">
      <c r="A4602" s="600"/>
      <c r="B4602" s="600"/>
      <c r="C4602" s="600"/>
      <c r="D4602" s="600"/>
      <c r="E4602" s="600"/>
      <c r="F4602" s="600"/>
      <c r="G4602" s="600"/>
      <c r="H4602" s="600"/>
    </row>
    <row r="4603" spans="1:8">
      <c r="A4603" s="600"/>
      <c r="B4603" s="600"/>
      <c r="C4603" s="600"/>
      <c r="D4603" s="600"/>
      <c r="E4603" s="600"/>
      <c r="F4603" s="600"/>
      <c r="G4603" s="600"/>
      <c r="H4603" s="600"/>
    </row>
    <row r="4604" spans="1:8">
      <c r="A4604" s="600"/>
      <c r="B4604" s="600"/>
      <c r="C4604" s="600"/>
      <c r="D4604" s="600"/>
      <c r="E4604" s="600"/>
      <c r="F4604" s="600"/>
      <c r="G4604" s="600"/>
      <c r="H4604" s="600"/>
    </row>
    <row r="4605" spans="1:8">
      <c r="A4605" s="600"/>
      <c r="B4605" s="600"/>
      <c r="C4605" s="600"/>
      <c r="D4605" s="600"/>
      <c r="E4605" s="600"/>
      <c r="F4605" s="600"/>
      <c r="G4605" s="600"/>
      <c r="H4605" s="600"/>
    </row>
    <row r="4606" spans="1:8">
      <c r="A4606" s="600"/>
      <c r="B4606" s="600"/>
      <c r="C4606" s="600"/>
      <c r="D4606" s="600"/>
      <c r="E4606" s="600"/>
      <c r="F4606" s="600"/>
      <c r="G4606" s="600"/>
      <c r="H4606" s="600"/>
    </row>
    <row r="4607" spans="1:8">
      <c r="A4607" s="600"/>
      <c r="B4607" s="600"/>
      <c r="C4607" s="600"/>
      <c r="D4607" s="600"/>
      <c r="E4607" s="600"/>
      <c r="F4607" s="600"/>
      <c r="G4607" s="600"/>
      <c r="H4607" s="600"/>
    </row>
    <row r="4608" spans="1:8">
      <c r="A4608" s="600"/>
      <c r="B4608" s="600"/>
      <c r="C4608" s="600"/>
      <c r="D4608" s="600"/>
      <c r="E4608" s="600"/>
      <c r="F4608" s="600"/>
      <c r="G4608" s="600"/>
      <c r="H4608" s="600"/>
    </row>
    <row r="4609" spans="1:8">
      <c r="A4609" s="600"/>
      <c r="B4609" s="600"/>
      <c r="C4609" s="600"/>
      <c r="D4609" s="600"/>
      <c r="E4609" s="600"/>
      <c r="F4609" s="600"/>
      <c r="G4609" s="600"/>
      <c r="H4609" s="600"/>
    </row>
    <row r="4610" spans="1:8">
      <c r="A4610" s="600"/>
      <c r="B4610" s="600"/>
      <c r="C4610" s="600"/>
      <c r="D4610" s="600"/>
      <c r="E4610" s="600"/>
      <c r="F4610" s="600"/>
      <c r="G4610" s="600"/>
      <c r="H4610" s="600"/>
    </row>
    <row r="4611" spans="1:8">
      <c r="A4611" s="600"/>
      <c r="B4611" s="600"/>
      <c r="C4611" s="600"/>
      <c r="D4611" s="600"/>
      <c r="E4611" s="600"/>
      <c r="F4611" s="600"/>
      <c r="G4611" s="600"/>
      <c r="H4611" s="600"/>
    </row>
    <row r="4612" spans="1:8">
      <c r="A4612" s="600"/>
      <c r="B4612" s="600"/>
      <c r="C4612" s="600"/>
      <c r="D4612" s="600"/>
      <c r="E4612" s="600"/>
      <c r="F4612" s="600"/>
      <c r="G4612" s="600"/>
      <c r="H4612" s="600"/>
    </row>
    <row r="4613" spans="1:8">
      <c r="A4613" s="600"/>
      <c r="B4613" s="600"/>
      <c r="C4613" s="600"/>
      <c r="D4613" s="600"/>
      <c r="E4613" s="600"/>
      <c r="F4613" s="600"/>
      <c r="G4613" s="600"/>
      <c r="H4613" s="600"/>
    </row>
    <row r="4614" spans="1:8">
      <c r="A4614" s="600"/>
      <c r="B4614" s="600"/>
      <c r="C4614" s="600"/>
      <c r="D4614" s="600"/>
      <c r="E4614" s="600"/>
      <c r="F4614" s="600"/>
      <c r="G4614" s="600"/>
      <c r="H4614" s="600"/>
    </row>
    <row r="4615" spans="1:8">
      <c r="A4615" s="600"/>
      <c r="B4615" s="600"/>
      <c r="C4615" s="600"/>
      <c r="D4615" s="600"/>
      <c r="E4615" s="600"/>
      <c r="F4615" s="600"/>
      <c r="G4615" s="600"/>
      <c r="H4615" s="600"/>
    </row>
    <row r="4616" spans="1:8">
      <c r="A4616" s="600"/>
      <c r="B4616" s="600"/>
      <c r="C4616" s="600"/>
      <c r="D4616" s="600"/>
      <c r="E4616" s="600"/>
      <c r="F4616" s="600"/>
      <c r="G4616" s="600"/>
      <c r="H4616" s="600"/>
    </row>
    <row r="4617" spans="1:8">
      <c r="A4617" s="600"/>
      <c r="B4617" s="600"/>
      <c r="C4617" s="600"/>
      <c r="D4617" s="600"/>
      <c r="E4617" s="600"/>
      <c r="F4617" s="600"/>
      <c r="G4617" s="600"/>
      <c r="H4617" s="600"/>
    </row>
    <row r="4618" spans="1:8">
      <c r="A4618" s="600"/>
      <c r="B4618" s="600"/>
      <c r="C4618" s="600"/>
      <c r="D4618" s="600"/>
      <c r="E4618" s="600"/>
      <c r="F4618" s="600"/>
      <c r="G4618" s="600"/>
      <c r="H4618" s="600"/>
    </row>
    <row r="4619" spans="1:8">
      <c r="A4619" s="600"/>
      <c r="B4619" s="600"/>
      <c r="C4619" s="600"/>
      <c r="D4619" s="600"/>
      <c r="E4619" s="600"/>
      <c r="F4619" s="600"/>
      <c r="G4619" s="600"/>
      <c r="H4619" s="600"/>
    </row>
    <row r="4620" spans="1:8">
      <c r="A4620" s="600"/>
      <c r="B4620" s="600"/>
      <c r="C4620" s="600"/>
      <c r="D4620" s="600"/>
      <c r="E4620" s="600"/>
      <c r="F4620" s="600"/>
      <c r="G4620" s="600"/>
      <c r="H4620" s="600"/>
    </row>
    <row r="4621" spans="1:8">
      <c r="A4621" s="600"/>
      <c r="B4621" s="600"/>
      <c r="C4621" s="600"/>
      <c r="D4621" s="600"/>
      <c r="E4621" s="600"/>
      <c r="F4621" s="600"/>
      <c r="G4621" s="600"/>
      <c r="H4621" s="600"/>
    </row>
    <row r="4622" spans="1:8">
      <c r="A4622" s="600"/>
      <c r="B4622" s="600"/>
      <c r="C4622" s="600"/>
      <c r="D4622" s="600"/>
      <c r="E4622" s="600"/>
      <c r="F4622" s="600"/>
      <c r="G4622" s="600"/>
      <c r="H4622" s="600"/>
    </row>
    <row r="4623" spans="1:8">
      <c r="A4623" s="600"/>
      <c r="B4623" s="600"/>
      <c r="C4623" s="600"/>
      <c r="D4623" s="600"/>
      <c r="E4623" s="600"/>
      <c r="F4623" s="600"/>
      <c r="G4623" s="600"/>
      <c r="H4623" s="600"/>
    </row>
    <row r="4624" spans="1:8">
      <c r="A4624" s="600"/>
      <c r="B4624" s="600"/>
      <c r="C4624" s="600"/>
      <c r="D4624" s="600"/>
      <c r="E4624" s="600"/>
      <c r="F4624" s="600"/>
      <c r="G4624" s="600"/>
      <c r="H4624" s="600"/>
    </row>
    <row r="4625" spans="1:8">
      <c r="A4625" s="600"/>
      <c r="B4625" s="600"/>
      <c r="C4625" s="600"/>
      <c r="D4625" s="600"/>
      <c r="E4625" s="600"/>
      <c r="F4625" s="600"/>
      <c r="G4625" s="600"/>
      <c r="H4625" s="600"/>
    </row>
    <row r="4626" spans="1:8">
      <c r="A4626" s="600"/>
      <c r="B4626" s="600"/>
      <c r="C4626" s="600"/>
      <c r="D4626" s="600"/>
      <c r="E4626" s="600"/>
      <c r="F4626" s="600"/>
      <c r="G4626" s="600"/>
      <c r="H4626" s="600"/>
    </row>
    <row r="4627" spans="1:8">
      <c r="A4627" s="600"/>
      <c r="B4627" s="600"/>
      <c r="C4627" s="600"/>
      <c r="D4627" s="600"/>
      <c r="E4627" s="600"/>
      <c r="F4627" s="600"/>
      <c r="G4627" s="600"/>
      <c r="H4627" s="600"/>
    </row>
    <row r="4628" spans="1:8">
      <c r="A4628" s="600"/>
      <c r="B4628" s="600"/>
      <c r="C4628" s="600"/>
      <c r="D4628" s="600"/>
      <c r="E4628" s="600"/>
      <c r="F4628" s="600"/>
      <c r="G4628" s="600"/>
      <c r="H4628" s="600"/>
    </row>
    <row r="4629" spans="1:8">
      <c r="A4629" s="600"/>
      <c r="B4629" s="600"/>
      <c r="C4629" s="600"/>
      <c r="D4629" s="600"/>
      <c r="E4629" s="600"/>
      <c r="F4629" s="600"/>
      <c r="G4629" s="600"/>
      <c r="H4629" s="600"/>
    </row>
    <row r="4630" spans="1:8">
      <c r="A4630" s="600"/>
      <c r="B4630" s="600"/>
      <c r="C4630" s="600"/>
      <c r="D4630" s="600"/>
      <c r="E4630" s="600"/>
      <c r="F4630" s="600"/>
      <c r="G4630" s="600"/>
      <c r="H4630" s="600"/>
    </row>
    <row r="4631" spans="1:8">
      <c r="A4631" s="600"/>
      <c r="B4631" s="600"/>
      <c r="C4631" s="600"/>
      <c r="D4631" s="600"/>
      <c r="E4631" s="600"/>
      <c r="F4631" s="600"/>
      <c r="G4631" s="600"/>
      <c r="H4631" s="600"/>
    </row>
    <row r="4632" spans="1:8">
      <c r="A4632" s="600"/>
      <c r="B4632" s="600"/>
      <c r="C4632" s="600"/>
      <c r="D4632" s="600"/>
      <c r="E4632" s="600"/>
      <c r="F4632" s="600"/>
      <c r="G4632" s="600"/>
      <c r="H4632" s="600"/>
    </row>
    <row r="4633" spans="1:8">
      <c r="A4633" s="600"/>
      <c r="B4633" s="600"/>
      <c r="C4633" s="600"/>
      <c r="D4633" s="600"/>
      <c r="E4633" s="600"/>
      <c r="F4633" s="600"/>
      <c r="G4633" s="600"/>
      <c r="H4633" s="600"/>
    </row>
    <row r="4634" spans="1:8">
      <c r="A4634" s="600"/>
      <c r="B4634" s="600"/>
      <c r="C4634" s="600"/>
      <c r="D4634" s="600"/>
      <c r="E4634" s="600"/>
      <c r="F4634" s="600"/>
      <c r="G4634" s="600"/>
      <c r="H4634" s="600"/>
    </row>
    <row r="4635" spans="1:8">
      <c r="A4635" s="600"/>
      <c r="B4635" s="600"/>
      <c r="C4635" s="600"/>
      <c r="D4635" s="600"/>
      <c r="E4635" s="600"/>
      <c r="F4635" s="600"/>
      <c r="G4635" s="600"/>
      <c r="H4635" s="600"/>
    </row>
    <row r="4636" spans="1:8">
      <c r="A4636" s="600"/>
      <c r="B4636" s="600"/>
      <c r="C4636" s="600"/>
      <c r="D4636" s="600"/>
      <c r="E4636" s="600"/>
      <c r="F4636" s="600"/>
      <c r="G4636" s="600"/>
      <c r="H4636" s="600"/>
    </row>
    <row r="4637" spans="1:8">
      <c r="A4637" s="600"/>
      <c r="B4637" s="600"/>
      <c r="C4637" s="600"/>
      <c r="D4637" s="600"/>
      <c r="E4637" s="600"/>
      <c r="F4637" s="600"/>
      <c r="G4637" s="600"/>
      <c r="H4637" s="600"/>
    </row>
    <row r="4638" spans="1:8">
      <c r="A4638" s="600"/>
      <c r="B4638" s="600"/>
      <c r="C4638" s="600"/>
      <c r="D4638" s="600"/>
      <c r="E4638" s="600"/>
      <c r="F4638" s="600"/>
      <c r="G4638" s="600"/>
      <c r="H4638" s="600"/>
    </row>
    <row r="4639" spans="1:8">
      <c r="A4639" s="600"/>
      <c r="B4639" s="600"/>
      <c r="C4639" s="600"/>
      <c r="D4639" s="600"/>
      <c r="E4639" s="600"/>
      <c r="F4639" s="600"/>
      <c r="G4639" s="600"/>
      <c r="H4639" s="600"/>
    </row>
    <row r="4640" spans="1:8">
      <c r="A4640" s="600"/>
      <c r="B4640" s="600"/>
      <c r="C4640" s="600"/>
      <c r="D4640" s="600"/>
      <c r="E4640" s="600"/>
      <c r="F4640" s="600"/>
      <c r="G4640" s="600"/>
      <c r="H4640" s="600"/>
    </row>
    <row r="4641" spans="1:8">
      <c r="A4641" s="600"/>
      <c r="B4641" s="600"/>
      <c r="C4641" s="600"/>
      <c r="D4641" s="600"/>
      <c r="E4641" s="600"/>
      <c r="F4641" s="600"/>
      <c r="G4641" s="600"/>
      <c r="H4641" s="600"/>
    </row>
    <row r="4642" spans="1:8">
      <c r="A4642" s="600"/>
      <c r="B4642" s="600"/>
      <c r="C4642" s="600"/>
      <c r="D4642" s="600"/>
      <c r="E4642" s="600"/>
      <c r="F4642" s="600"/>
      <c r="G4642" s="600"/>
      <c r="H4642" s="600"/>
    </row>
    <row r="4643" spans="1:8">
      <c r="A4643" s="600"/>
      <c r="B4643" s="600"/>
      <c r="C4643" s="600"/>
      <c r="D4643" s="600"/>
      <c r="E4643" s="600"/>
      <c r="F4643" s="600"/>
      <c r="G4643" s="600"/>
      <c r="H4643" s="600"/>
    </row>
    <row r="4644" spans="1:8">
      <c r="A4644" s="600"/>
      <c r="B4644" s="600"/>
      <c r="C4644" s="600"/>
      <c r="D4644" s="600"/>
      <c r="E4644" s="600"/>
      <c r="F4644" s="600"/>
      <c r="G4644" s="600"/>
      <c r="H4644" s="600"/>
    </row>
    <row r="4645" spans="1:8">
      <c r="A4645" s="600"/>
      <c r="B4645" s="600"/>
      <c r="C4645" s="600"/>
      <c r="D4645" s="600"/>
      <c r="E4645" s="600"/>
      <c r="F4645" s="600"/>
      <c r="G4645" s="600"/>
      <c r="H4645" s="600"/>
    </row>
    <row r="4646" spans="1:8">
      <c r="A4646" s="600"/>
      <c r="B4646" s="600"/>
      <c r="C4646" s="600"/>
      <c r="D4646" s="600"/>
      <c r="E4646" s="600"/>
      <c r="F4646" s="600"/>
      <c r="G4646" s="600"/>
      <c r="H4646" s="600"/>
    </row>
    <row r="4647" spans="1:8">
      <c r="A4647" s="600"/>
      <c r="B4647" s="600"/>
      <c r="C4647" s="600"/>
      <c r="D4647" s="600"/>
      <c r="E4647" s="600"/>
      <c r="F4647" s="600"/>
      <c r="G4647" s="600"/>
      <c r="H4647" s="600"/>
    </row>
    <row r="4648" spans="1:8">
      <c r="A4648" s="600"/>
      <c r="B4648" s="600"/>
      <c r="C4648" s="600"/>
      <c r="D4648" s="600"/>
      <c r="E4648" s="600"/>
      <c r="F4648" s="600"/>
      <c r="G4648" s="600"/>
      <c r="H4648" s="600"/>
    </row>
    <row r="4649" spans="1:8">
      <c r="A4649" s="600"/>
      <c r="B4649" s="600"/>
      <c r="C4649" s="600"/>
      <c r="D4649" s="600"/>
      <c r="E4649" s="600"/>
      <c r="F4649" s="600"/>
      <c r="G4649" s="600"/>
      <c r="H4649" s="600"/>
    </row>
    <row r="4650" spans="1:8">
      <c r="A4650" s="600"/>
      <c r="B4650" s="600"/>
      <c r="C4650" s="600"/>
      <c r="D4650" s="600"/>
      <c r="E4650" s="600"/>
      <c r="F4650" s="600"/>
      <c r="G4650" s="600"/>
      <c r="H4650" s="600"/>
    </row>
    <row r="4651" spans="1:8">
      <c r="A4651" s="600"/>
      <c r="B4651" s="600"/>
      <c r="C4651" s="600"/>
      <c r="D4651" s="600"/>
      <c r="E4651" s="600"/>
      <c r="F4651" s="600"/>
      <c r="G4651" s="600"/>
      <c r="H4651" s="600"/>
    </row>
    <row r="4652" spans="1:8">
      <c r="A4652" s="600"/>
      <c r="B4652" s="600"/>
      <c r="C4652" s="600"/>
      <c r="D4652" s="600"/>
      <c r="E4652" s="600"/>
      <c r="F4652" s="600"/>
      <c r="G4652" s="600"/>
      <c r="H4652" s="600"/>
    </row>
    <row r="4653" spans="1:8">
      <c r="A4653" s="600"/>
      <c r="B4653" s="600"/>
      <c r="C4653" s="600"/>
      <c r="D4653" s="600"/>
      <c r="E4653" s="600"/>
      <c r="F4653" s="600"/>
      <c r="G4653" s="600"/>
      <c r="H4653" s="600"/>
    </row>
    <row r="4654" spans="1:8">
      <c r="A4654" s="600"/>
      <c r="B4654" s="600"/>
      <c r="C4654" s="600"/>
      <c r="D4654" s="600"/>
      <c r="E4654" s="600"/>
      <c r="F4654" s="600"/>
      <c r="G4654" s="600"/>
      <c r="H4654" s="600"/>
    </row>
    <row r="4655" spans="1:8">
      <c r="A4655" s="600"/>
      <c r="B4655" s="600"/>
      <c r="C4655" s="600"/>
      <c r="D4655" s="600"/>
      <c r="E4655" s="600"/>
      <c r="F4655" s="600"/>
      <c r="G4655" s="600"/>
      <c r="H4655" s="600"/>
    </row>
    <row r="4656" spans="1:8">
      <c r="A4656" s="600"/>
      <c r="B4656" s="600"/>
      <c r="C4656" s="600"/>
      <c r="D4656" s="600"/>
      <c r="E4656" s="600"/>
      <c r="F4656" s="600"/>
      <c r="G4656" s="600"/>
      <c r="H4656" s="600"/>
    </row>
    <row r="4657" spans="1:8">
      <c r="A4657" s="600"/>
      <c r="B4657" s="600"/>
      <c r="C4657" s="600"/>
      <c r="D4657" s="600"/>
      <c r="E4657" s="600"/>
      <c r="F4657" s="600"/>
      <c r="G4657" s="600"/>
      <c r="H4657" s="600"/>
    </row>
    <row r="4658" spans="1:8">
      <c r="A4658" s="600"/>
      <c r="B4658" s="600"/>
      <c r="C4658" s="600"/>
      <c r="D4658" s="600"/>
      <c r="E4658" s="600"/>
      <c r="F4658" s="600"/>
      <c r="G4658" s="600"/>
      <c r="H4658" s="600"/>
    </row>
    <row r="4659" spans="1:8">
      <c r="A4659" s="600"/>
      <c r="B4659" s="600"/>
      <c r="C4659" s="600"/>
      <c r="D4659" s="600"/>
      <c r="E4659" s="600"/>
      <c r="F4659" s="600"/>
      <c r="G4659" s="600"/>
      <c r="H4659" s="600"/>
    </row>
    <row r="4660" spans="1:8">
      <c r="A4660" s="600"/>
      <c r="B4660" s="600"/>
      <c r="C4660" s="600"/>
      <c r="D4660" s="600"/>
      <c r="E4660" s="600"/>
      <c r="F4660" s="600"/>
      <c r="G4660" s="600"/>
      <c r="H4660" s="600"/>
    </row>
    <row r="4661" spans="1:8">
      <c r="A4661" s="600"/>
      <c r="B4661" s="600"/>
      <c r="C4661" s="600"/>
      <c r="D4661" s="600"/>
      <c r="E4661" s="600"/>
      <c r="F4661" s="600"/>
      <c r="G4661" s="600"/>
      <c r="H4661" s="600"/>
    </row>
    <row r="4662" spans="1:8">
      <c r="A4662" s="600"/>
      <c r="B4662" s="600"/>
      <c r="C4662" s="600"/>
      <c r="D4662" s="600"/>
      <c r="E4662" s="600"/>
      <c r="F4662" s="600"/>
      <c r="G4662" s="600"/>
      <c r="H4662" s="600"/>
    </row>
    <row r="4663" spans="1:8">
      <c r="A4663" s="600"/>
      <c r="B4663" s="600"/>
      <c r="C4663" s="600"/>
      <c r="D4663" s="600"/>
      <c r="E4663" s="600"/>
      <c r="F4663" s="600"/>
      <c r="G4663" s="600"/>
      <c r="H4663" s="600"/>
    </row>
    <row r="4664" spans="1:8">
      <c r="A4664" s="600"/>
      <c r="B4664" s="600"/>
      <c r="C4664" s="600"/>
      <c r="D4664" s="600"/>
      <c r="E4664" s="600"/>
      <c r="F4664" s="600"/>
      <c r="G4664" s="600"/>
      <c r="H4664" s="600"/>
    </row>
    <row r="4665" spans="1:8">
      <c r="A4665" s="600"/>
      <c r="B4665" s="600"/>
      <c r="C4665" s="600"/>
      <c r="D4665" s="600"/>
      <c r="E4665" s="600"/>
      <c r="F4665" s="600"/>
      <c r="G4665" s="600"/>
      <c r="H4665" s="600"/>
    </row>
    <row r="4666" spans="1:8">
      <c r="A4666" s="600"/>
      <c r="B4666" s="600"/>
      <c r="C4666" s="600"/>
      <c r="D4666" s="600"/>
      <c r="E4666" s="600"/>
      <c r="F4666" s="600"/>
      <c r="G4666" s="600"/>
      <c r="H4666" s="600"/>
    </row>
    <row r="4667" spans="1:8">
      <c r="A4667" s="600"/>
      <c r="B4667" s="600"/>
      <c r="C4667" s="600"/>
      <c r="D4667" s="600"/>
      <c r="E4667" s="600"/>
      <c r="F4667" s="600"/>
      <c r="G4667" s="600"/>
      <c r="H4667" s="600"/>
    </row>
    <row r="4668" spans="1:8">
      <c r="A4668" s="600"/>
      <c r="B4668" s="600"/>
      <c r="C4668" s="600"/>
      <c r="D4668" s="600"/>
      <c r="E4668" s="600"/>
      <c r="F4668" s="600"/>
      <c r="G4668" s="600"/>
      <c r="H4668" s="600"/>
    </row>
    <row r="4669" spans="1:8">
      <c r="A4669" s="600"/>
      <c r="B4669" s="600"/>
      <c r="C4669" s="600"/>
      <c r="D4669" s="600"/>
      <c r="E4669" s="600"/>
      <c r="F4669" s="600"/>
      <c r="G4669" s="600"/>
      <c r="H4669" s="600"/>
    </row>
    <row r="4670" spans="1:8">
      <c r="A4670" s="600"/>
      <c r="B4670" s="600"/>
      <c r="C4670" s="600"/>
      <c r="D4670" s="600"/>
      <c r="E4670" s="600"/>
      <c r="F4670" s="600"/>
      <c r="G4670" s="600"/>
      <c r="H4670" s="600"/>
    </row>
    <row r="4671" spans="1:8">
      <c r="A4671" s="600"/>
      <c r="B4671" s="600"/>
      <c r="C4671" s="600"/>
      <c r="D4671" s="600"/>
      <c r="E4671" s="600"/>
      <c r="F4671" s="600"/>
      <c r="G4671" s="600"/>
      <c r="H4671" s="600"/>
    </row>
    <row r="4672" spans="1:8">
      <c r="A4672" s="600"/>
      <c r="B4672" s="600"/>
      <c r="C4672" s="600"/>
      <c r="D4672" s="600"/>
      <c r="E4672" s="600"/>
      <c r="F4672" s="600"/>
      <c r="G4672" s="600"/>
      <c r="H4672" s="600"/>
    </row>
    <row r="4673" spans="1:8">
      <c r="A4673" s="600"/>
      <c r="B4673" s="600"/>
      <c r="C4673" s="600"/>
      <c r="D4673" s="600"/>
      <c r="E4673" s="600"/>
      <c r="F4673" s="600"/>
      <c r="G4673" s="600"/>
      <c r="H4673" s="600"/>
    </row>
    <row r="4674" spans="1:8">
      <c r="A4674" s="600"/>
      <c r="B4674" s="600"/>
      <c r="C4674" s="600"/>
      <c r="D4674" s="600"/>
      <c r="E4674" s="600"/>
      <c r="F4674" s="600"/>
      <c r="G4674" s="600"/>
      <c r="H4674" s="600"/>
    </row>
    <row r="4675" spans="1:8">
      <c r="A4675" s="600"/>
      <c r="B4675" s="600"/>
      <c r="C4675" s="600"/>
      <c r="D4675" s="600"/>
      <c r="E4675" s="600"/>
      <c r="F4675" s="600"/>
      <c r="G4675" s="600"/>
      <c r="H4675" s="600"/>
    </row>
    <row r="4676" spans="1:8">
      <c r="A4676" s="600"/>
      <c r="B4676" s="600"/>
      <c r="C4676" s="600"/>
      <c r="D4676" s="600"/>
      <c r="E4676" s="600"/>
      <c r="F4676" s="600"/>
      <c r="G4676" s="600"/>
      <c r="H4676" s="600"/>
    </row>
    <row r="4677" spans="1:8">
      <c r="A4677" s="600"/>
      <c r="B4677" s="600"/>
      <c r="C4677" s="600"/>
      <c r="D4677" s="600"/>
      <c r="E4677" s="600"/>
      <c r="F4677" s="600"/>
      <c r="G4677" s="600"/>
      <c r="H4677" s="600"/>
    </row>
    <row r="4678" spans="1:8">
      <c r="A4678" s="600"/>
      <c r="B4678" s="600"/>
      <c r="C4678" s="600"/>
      <c r="D4678" s="600"/>
      <c r="E4678" s="600"/>
      <c r="F4678" s="600"/>
      <c r="G4678" s="600"/>
      <c r="H4678" s="600"/>
    </row>
    <row r="4679" spans="1:8">
      <c r="A4679" s="600"/>
      <c r="B4679" s="600"/>
      <c r="C4679" s="600"/>
      <c r="D4679" s="600"/>
      <c r="E4679" s="600"/>
      <c r="F4679" s="600"/>
      <c r="G4679" s="600"/>
      <c r="H4679" s="600"/>
    </row>
    <row r="4680" spans="1:8">
      <c r="A4680" s="600"/>
      <c r="B4680" s="600"/>
      <c r="C4680" s="600"/>
      <c r="D4680" s="600"/>
      <c r="E4680" s="600"/>
      <c r="F4680" s="600"/>
      <c r="G4680" s="600"/>
      <c r="H4680" s="600"/>
    </row>
    <row r="4681" spans="1:8">
      <c r="A4681" s="600"/>
      <c r="B4681" s="600"/>
      <c r="C4681" s="600"/>
      <c r="D4681" s="600"/>
      <c r="E4681" s="600"/>
      <c r="F4681" s="600"/>
      <c r="G4681" s="600"/>
      <c r="H4681" s="600"/>
    </row>
    <row r="4682" spans="1:8">
      <c r="A4682" s="600"/>
      <c r="B4682" s="600"/>
      <c r="C4682" s="600"/>
      <c r="D4682" s="600"/>
      <c r="E4682" s="600"/>
      <c r="F4682" s="600"/>
      <c r="G4682" s="600"/>
      <c r="H4682" s="600"/>
    </row>
    <row r="4683" spans="1:8">
      <c r="A4683" s="600"/>
      <c r="B4683" s="600"/>
      <c r="C4683" s="600"/>
      <c r="D4683" s="600"/>
      <c r="E4683" s="600"/>
      <c r="F4683" s="600"/>
      <c r="G4683" s="600"/>
      <c r="H4683" s="600"/>
    </row>
    <row r="4684" spans="1:8">
      <c r="A4684" s="600"/>
      <c r="B4684" s="600"/>
      <c r="C4684" s="600"/>
      <c r="D4684" s="600"/>
      <c r="E4684" s="600"/>
      <c r="F4684" s="600"/>
      <c r="G4684" s="600"/>
      <c r="H4684" s="600"/>
    </row>
    <row r="4685" spans="1:8">
      <c r="A4685" s="600"/>
      <c r="B4685" s="600"/>
      <c r="C4685" s="600"/>
      <c r="D4685" s="600"/>
      <c r="E4685" s="600"/>
      <c r="F4685" s="600"/>
      <c r="G4685" s="600"/>
      <c r="H4685" s="600"/>
    </row>
    <row r="4686" spans="1:8">
      <c r="A4686" s="600"/>
      <c r="B4686" s="600"/>
      <c r="C4686" s="600"/>
      <c r="D4686" s="600"/>
      <c r="E4686" s="600"/>
      <c r="F4686" s="600"/>
      <c r="G4686" s="600"/>
      <c r="H4686" s="600"/>
    </row>
    <row r="4687" spans="1:8">
      <c r="A4687" s="600"/>
      <c r="B4687" s="600"/>
      <c r="C4687" s="600"/>
      <c r="D4687" s="600"/>
      <c r="E4687" s="600"/>
      <c r="F4687" s="600"/>
      <c r="G4687" s="600"/>
      <c r="H4687" s="600"/>
    </row>
    <row r="4688" spans="1:8">
      <c r="A4688" s="600"/>
      <c r="B4688" s="600"/>
      <c r="C4688" s="600"/>
      <c r="D4688" s="600"/>
      <c r="E4688" s="600"/>
      <c r="F4688" s="600"/>
      <c r="G4688" s="600"/>
      <c r="H4688" s="600"/>
    </row>
    <row r="4689" spans="1:8">
      <c r="A4689" s="600"/>
      <c r="B4689" s="600"/>
      <c r="C4689" s="600"/>
      <c r="D4689" s="600"/>
      <c r="E4689" s="600"/>
      <c r="F4689" s="600"/>
      <c r="G4689" s="600"/>
      <c r="H4689" s="600"/>
    </row>
    <row r="4690" spans="1:8">
      <c r="A4690" s="600"/>
      <c r="B4690" s="600"/>
      <c r="C4690" s="600"/>
      <c r="D4690" s="600"/>
      <c r="E4690" s="600"/>
      <c r="F4690" s="600"/>
      <c r="G4690" s="600"/>
      <c r="H4690" s="600"/>
    </row>
    <row r="4691" spans="1:8">
      <c r="A4691" s="600"/>
      <c r="B4691" s="600"/>
      <c r="C4691" s="600"/>
      <c r="D4691" s="600"/>
      <c r="E4691" s="600"/>
      <c r="F4691" s="600"/>
      <c r="G4691" s="600"/>
      <c r="H4691" s="600"/>
    </row>
    <row r="4692" spans="1:8">
      <c r="A4692" s="600"/>
      <c r="B4692" s="600"/>
      <c r="C4692" s="600"/>
      <c r="D4692" s="600"/>
      <c r="E4692" s="600"/>
      <c r="F4692" s="600"/>
      <c r="G4692" s="600"/>
      <c r="H4692" s="600"/>
    </row>
    <row r="4693" spans="1:8">
      <c r="A4693" s="600"/>
      <c r="B4693" s="600"/>
      <c r="C4693" s="600"/>
      <c r="D4693" s="600"/>
      <c r="E4693" s="600"/>
      <c r="F4693" s="600"/>
      <c r="G4693" s="600"/>
      <c r="H4693" s="600"/>
    </row>
    <row r="4694" spans="1:8">
      <c r="A4694" s="600"/>
      <c r="B4694" s="600"/>
      <c r="C4694" s="600"/>
      <c r="D4694" s="600"/>
      <c r="E4694" s="600"/>
      <c r="F4694" s="600"/>
      <c r="G4694" s="600"/>
      <c r="H4694" s="600"/>
    </row>
    <row r="4695" spans="1:8">
      <c r="A4695" s="600"/>
      <c r="B4695" s="600"/>
      <c r="C4695" s="600"/>
      <c r="D4695" s="600"/>
      <c r="E4695" s="600"/>
      <c r="F4695" s="600"/>
      <c r="G4695" s="600"/>
      <c r="H4695" s="600"/>
    </row>
    <row r="4696" spans="1:8">
      <c r="A4696" s="600"/>
      <c r="B4696" s="600"/>
      <c r="C4696" s="600"/>
      <c r="D4696" s="600"/>
      <c r="E4696" s="600"/>
      <c r="F4696" s="600"/>
      <c r="G4696" s="600"/>
      <c r="H4696" s="600"/>
    </row>
    <row r="4697" spans="1:8">
      <c r="A4697" s="600"/>
      <c r="B4697" s="600"/>
      <c r="C4697" s="600"/>
      <c r="D4697" s="600"/>
      <c r="E4697" s="600"/>
      <c r="F4697" s="600"/>
      <c r="G4697" s="600"/>
      <c r="H4697" s="600"/>
    </row>
    <row r="4698" spans="1:8">
      <c r="A4698" s="600"/>
      <c r="B4698" s="600"/>
      <c r="C4698" s="600"/>
      <c r="D4698" s="600"/>
      <c r="E4698" s="600"/>
      <c r="F4698" s="600"/>
      <c r="G4698" s="600"/>
      <c r="H4698" s="600"/>
    </row>
    <row r="4699" spans="1:8">
      <c r="A4699" s="600"/>
      <c r="B4699" s="600"/>
      <c r="C4699" s="600"/>
      <c r="D4699" s="600"/>
      <c r="E4699" s="600"/>
      <c r="F4699" s="600"/>
      <c r="G4699" s="600"/>
      <c r="H4699" s="600"/>
    </row>
    <row r="4700" spans="1:8">
      <c r="A4700" s="600"/>
      <c r="B4700" s="600"/>
      <c r="C4700" s="600"/>
      <c r="D4700" s="600"/>
      <c r="E4700" s="600"/>
      <c r="F4700" s="600"/>
      <c r="G4700" s="600"/>
      <c r="H4700" s="600"/>
    </row>
    <row r="4701" spans="1:8">
      <c r="A4701" s="600"/>
      <c r="B4701" s="600"/>
      <c r="C4701" s="600"/>
      <c r="D4701" s="600"/>
      <c r="E4701" s="600"/>
      <c r="F4701" s="600"/>
      <c r="G4701" s="600"/>
      <c r="H4701" s="600"/>
    </row>
    <row r="4702" spans="1:8">
      <c r="A4702" s="600"/>
      <c r="B4702" s="600"/>
      <c r="C4702" s="600"/>
      <c r="D4702" s="600"/>
      <c r="E4702" s="600"/>
      <c r="F4702" s="600"/>
      <c r="G4702" s="600"/>
      <c r="H4702" s="600"/>
    </row>
    <row r="4703" spans="1:8">
      <c r="A4703" s="600"/>
      <c r="B4703" s="600"/>
      <c r="C4703" s="600"/>
      <c r="D4703" s="600"/>
      <c r="E4703" s="600"/>
      <c r="F4703" s="600"/>
      <c r="G4703" s="600"/>
      <c r="H4703" s="600"/>
    </row>
    <row r="4704" spans="1:8">
      <c r="A4704" s="600"/>
      <c r="B4704" s="600"/>
      <c r="C4704" s="600"/>
      <c r="D4704" s="600"/>
      <c r="E4704" s="600"/>
      <c r="F4704" s="600"/>
      <c r="G4704" s="600"/>
      <c r="H4704" s="600"/>
    </row>
    <row r="4705" spans="1:8">
      <c r="A4705" s="600"/>
      <c r="B4705" s="600"/>
      <c r="C4705" s="600"/>
      <c r="D4705" s="600"/>
      <c r="E4705" s="600"/>
      <c r="F4705" s="600"/>
      <c r="G4705" s="600"/>
      <c r="H4705" s="600"/>
    </row>
    <row r="4706" spans="1:8">
      <c r="A4706" s="600"/>
      <c r="B4706" s="600"/>
      <c r="C4706" s="600"/>
      <c r="D4706" s="600"/>
      <c r="E4706" s="600"/>
      <c r="F4706" s="600"/>
      <c r="G4706" s="600"/>
      <c r="H4706" s="600"/>
    </row>
    <row r="4707" spans="1:8">
      <c r="A4707" s="600"/>
      <c r="B4707" s="600"/>
      <c r="C4707" s="600"/>
      <c r="D4707" s="600"/>
      <c r="E4707" s="600"/>
      <c r="F4707" s="600"/>
      <c r="G4707" s="600"/>
      <c r="H4707" s="600"/>
    </row>
    <row r="4708" spans="1:8">
      <c r="A4708" s="600"/>
      <c r="B4708" s="600"/>
      <c r="C4708" s="600"/>
      <c r="D4708" s="600"/>
      <c r="E4708" s="600"/>
      <c r="F4708" s="600"/>
      <c r="G4708" s="600"/>
      <c r="H4708" s="600"/>
    </row>
    <row r="4709" spans="1:8">
      <c r="A4709" s="600"/>
      <c r="B4709" s="600"/>
      <c r="C4709" s="600"/>
      <c r="D4709" s="600"/>
      <c r="E4709" s="600"/>
      <c r="F4709" s="600"/>
      <c r="G4709" s="600"/>
      <c r="H4709" s="600"/>
    </row>
    <row r="4710" spans="1:8">
      <c r="A4710" s="600"/>
      <c r="B4710" s="600"/>
      <c r="C4710" s="600"/>
      <c r="D4710" s="600"/>
      <c r="E4710" s="600"/>
      <c r="F4710" s="600"/>
      <c r="G4710" s="600"/>
      <c r="H4710" s="600"/>
    </row>
    <row r="4711" spans="1:8">
      <c r="A4711" s="600"/>
      <c r="B4711" s="600"/>
      <c r="C4711" s="600"/>
      <c r="D4711" s="600"/>
      <c r="E4711" s="600"/>
      <c r="F4711" s="600"/>
      <c r="G4711" s="600"/>
      <c r="H4711" s="600"/>
    </row>
    <row r="4712" spans="1:8">
      <c r="A4712" s="600"/>
      <c r="B4712" s="600"/>
      <c r="C4712" s="600"/>
      <c r="D4712" s="600"/>
      <c r="E4712" s="600"/>
      <c r="F4712" s="600"/>
      <c r="G4712" s="600"/>
      <c r="H4712" s="600"/>
    </row>
    <row r="4713" spans="1:8">
      <c r="A4713" s="600"/>
      <c r="B4713" s="600"/>
      <c r="C4713" s="600"/>
      <c r="D4713" s="600"/>
      <c r="E4713" s="600"/>
      <c r="F4713" s="600"/>
      <c r="G4713" s="600"/>
      <c r="H4713" s="600"/>
    </row>
    <row r="4714" spans="1:8">
      <c r="A4714" s="600"/>
      <c r="B4714" s="600"/>
      <c r="C4714" s="600"/>
      <c r="D4714" s="600"/>
      <c r="E4714" s="600"/>
      <c r="F4714" s="600"/>
      <c r="G4714" s="600"/>
      <c r="H4714" s="600"/>
    </row>
    <row r="4715" spans="1:8">
      <c r="A4715" s="600"/>
      <c r="B4715" s="600"/>
      <c r="C4715" s="600"/>
      <c r="D4715" s="600"/>
      <c r="E4715" s="600"/>
      <c r="F4715" s="600"/>
      <c r="G4715" s="600"/>
      <c r="H4715" s="600"/>
    </row>
    <row r="4716" spans="1:8">
      <c r="A4716" s="600"/>
      <c r="B4716" s="600"/>
      <c r="C4716" s="600"/>
      <c r="D4716" s="600"/>
      <c r="E4716" s="600"/>
      <c r="F4716" s="600"/>
      <c r="G4716" s="600"/>
      <c r="H4716" s="600"/>
    </row>
    <row r="4717" spans="1:8">
      <c r="A4717" s="600"/>
      <c r="B4717" s="600"/>
      <c r="C4717" s="600"/>
      <c r="D4717" s="600"/>
      <c r="E4717" s="600"/>
      <c r="F4717" s="600"/>
      <c r="G4717" s="600"/>
      <c r="H4717" s="600"/>
    </row>
    <row r="4718" spans="1:8">
      <c r="A4718" s="600"/>
      <c r="B4718" s="600"/>
      <c r="C4718" s="600"/>
      <c r="D4718" s="600"/>
      <c r="E4718" s="600"/>
      <c r="F4718" s="600"/>
      <c r="G4718" s="600"/>
      <c r="H4718" s="600"/>
    </row>
    <row r="4719" spans="1:8">
      <c r="A4719" s="600"/>
      <c r="B4719" s="600"/>
      <c r="C4719" s="600"/>
      <c r="D4719" s="600"/>
      <c r="E4719" s="600"/>
      <c r="F4719" s="600"/>
      <c r="G4719" s="600"/>
      <c r="H4719" s="600"/>
    </row>
    <row r="4720" spans="1:8">
      <c r="A4720" s="600"/>
      <c r="B4720" s="600"/>
      <c r="C4720" s="600"/>
      <c r="D4720" s="600"/>
      <c r="E4720" s="600"/>
      <c r="F4720" s="600"/>
      <c r="G4720" s="600"/>
      <c r="H4720" s="600"/>
    </row>
    <row r="4721" spans="1:8">
      <c r="A4721" s="600"/>
      <c r="B4721" s="600"/>
      <c r="C4721" s="600"/>
      <c r="D4721" s="600"/>
      <c r="E4721" s="600"/>
      <c r="F4721" s="600"/>
      <c r="G4721" s="600"/>
      <c r="H4721" s="600"/>
    </row>
    <row r="4722" spans="1:8">
      <c r="A4722" s="600"/>
      <c r="B4722" s="600"/>
      <c r="C4722" s="600"/>
      <c r="D4722" s="600"/>
      <c r="E4722" s="600"/>
      <c r="F4722" s="600"/>
      <c r="G4722" s="600"/>
      <c r="H4722" s="600"/>
    </row>
    <row r="4723" spans="1:8">
      <c r="A4723" s="600"/>
      <c r="B4723" s="600"/>
      <c r="C4723" s="600"/>
      <c r="D4723" s="600"/>
      <c r="E4723" s="600"/>
      <c r="F4723" s="600"/>
      <c r="G4723" s="600"/>
      <c r="H4723" s="600"/>
    </row>
    <row r="4724" spans="1:8">
      <c r="A4724" s="600"/>
      <c r="B4724" s="600"/>
      <c r="C4724" s="600"/>
      <c r="D4724" s="600"/>
      <c r="E4724" s="600"/>
      <c r="F4724" s="600"/>
      <c r="G4724" s="600"/>
      <c r="H4724" s="600"/>
    </row>
    <row r="4725" spans="1:8">
      <c r="A4725" s="600"/>
      <c r="B4725" s="600"/>
      <c r="C4725" s="600"/>
      <c r="D4725" s="600"/>
      <c r="E4725" s="600"/>
      <c r="F4725" s="600"/>
      <c r="G4725" s="600"/>
      <c r="H4725" s="600"/>
    </row>
    <row r="4726" spans="1:8">
      <c r="A4726" s="600"/>
      <c r="B4726" s="600"/>
      <c r="C4726" s="600"/>
      <c r="D4726" s="600"/>
      <c r="E4726" s="600"/>
      <c r="F4726" s="600"/>
      <c r="G4726" s="600"/>
      <c r="H4726" s="600"/>
    </row>
    <row r="4727" spans="1:8">
      <c r="A4727" s="600"/>
      <c r="B4727" s="600"/>
      <c r="C4727" s="600"/>
      <c r="D4727" s="600"/>
      <c r="E4727" s="600"/>
      <c r="F4727" s="600"/>
      <c r="G4727" s="600"/>
      <c r="H4727" s="600"/>
    </row>
    <row r="4728" spans="1:8">
      <c r="A4728" s="600"/>
      <c r="B4728" s="600"/>
      <c r="C4728" s="600"/>
      <c r="D4728" s="600"/>
      <c r="E4728" s="600"/>
      <c r="F4728" s="600"/>
      <c r="G4728" s="600"/>
      <c r="H4728" s="600"/>
    </row>
    <row r="4729" spans="1:8">
      <c r="A4729" s="600"/>
      <c r="B4729" s="600"/>
      <c r="C4729" s="600"/>
      <c r="D4729" s="600"/>
      <c r="E4729" s="600"/>
      <c r="F4729" s="600"/>
      <c r="G4729" s="600"/>
      <c r="H4729" s="600"/>
    </row>
    <row r="4730" spans="1:8">
      <c r="A4730" s="600"/>
      <c r="B4730" s="600"/>
      <c r="C4730" s="600"/>
      <c r="D4730" s="600"/>
      <c r="E4730" s="600"/>
      <c r="F4730" s="600"/>
      <c r="G4730" s="600"/>
      <c r="H4730" s="600"/>
    </row>
    <row r="4731" spans="1:8">
      <c r="A4731" s="600"/>
      <c r="B4731" s="600"/>
      <c r="C4731" s="600"/>
      <c r="D4731" s="600"/>
      <c r="E4731" s="600"/>
      <c r="F4731" s="600"/>
      <c r="G4731" s="600"/>
      <c r="H4731" s="600"/>
    </row>
    <row r="4732" spans="1:8">
      <c r="A4732" s="600"/>
      <c r="B4732" s="600"/>
      <c r="C4732" s="600"/>
      <c r="D4732" s="600"/>
      <c r="E4732" s="600"/>
      <c r="F4732" s="600"/>
      <c r="G4732" s="600"/>
      <c r="H4732" s="600"/>
    </row>
    <row r="4733" spans="1:8">
      <c r="A4733" s="600"/>
      <c r="B4733" s="600"/>
      <c r="C4733" s="600"/>
      <c r="D4733" s="600"/>
      <c r="E4733" s="600"/>
      <c r="F4733" s="600"/>
      <c r="G4733" s="600"/>
      <c r="H4733" s="600"/>
    </row>
    <row r="4734" spans="1:8">
      <c r="A4734" s="600"/>
      <c r="B4734" s="600"/>
      <c r="C4734" s="600"/>
      <c r="D4734" s="600"/>
      <c r="E4734" s="600"/>
      <c r="F4734" s="600"/>
      <c r="G4734" s="600"/>
      <c r="H4734" s="600"/>
    </row>
    <row r="4735" spans="1:8">
      <c r="A4735" s="600"/>
      <c r="B4735" s="600"/>
      <c r="C4735" s="600"/>
      <c r="D4735" s="600"/>
      <c r="E4735" s="600"/>
      <c r="F4735" s="600"/>
      <c r="G4735" s="600"/>
      <c r="H4735" s="600"/>
    </row>
    <row r="4736" spans="1:8">
      <c r="A4736" s="600"/>
      <c r="B4736" s="600"/>
      <c r="C4736" s="600"/>
      <c r="D4736" s="600"/>
      <c r="E4736" s="600"/>
      <c r="F4736" s="600"/>
      <c r="G4736" s="600"/>
      <c r="H4736" s="600"/>
    </row>
    <row r="4737" spans="1:8">
      <c r="A4737" s="600"/>
      <c r="B4737" s="600"/>
      <c r="C4737" s="600"/>
      <c r="D4737" s="600"/>
      <c r="E4737" s="600"/>
      <c r="F4737" s="600"/>
      <c r="G4737" s="600"/>
      <c r="H4737" s="600"/>
    </row>
    <row r="4738" spans="1:8">
      <c r="A4738" s="600"/>
      <c r="B4738" s="600"/>
      <c r="C4738" s="600"/>
      <c r="D4738" s="600"/>
      <c r="E4738" s="600"/>
      <c r="F4738" s="600"/>
      <c r="G4738" s="600"/>
      <c r="H4738" s="600"/>
    </row>
    <row r="4739" spans="1:8">
      <c r="A4739" s="600"/>
      <c r="B4739" s="600"/>
      <c r="C4739" s="600"/>
      <c r="D4739" s="600"/>
      <c r="E4739" s="600"/>
      <c r="F4739" s="600"/>
      <c r="G4739" s="600"/>
      <c r="H4739" s="600"/>
    </row>
    <row r="4740" spans="1:8">
      <c r="A4740" s="600"/>
      <c r="B4740" s="600"/>
      <c r="C4740" s="600"/>
      <c r="D4740" s="600"/>
      <c r="E4740" s="600"/>
      <c r="F4740" s="600"/>
      <c r="G4740" s="600"/>
      <c r="H4740" s="600"/>
    </row>
    <row r="4741" spans="1:8">
      <c r="A4741" s="600"/>
      <c r="B4741" s="600"/>
      <c r="C4741" s="600"/>
      <c r="D4741" s="600"/>
      <c r="E4741" s="600"/>
      <c r="F4741" s="600"/>
      <c r="G4741" s="600"/>
      <c r="H4741" s="600"/>
    </row>
    <row r="4742" spans="1:8">
      <c r="A4742" s="600"/>
      <c r="B4742" s="600"/>
      <c r="C4742" s="600"/>
      <c r="D4742" s="600"/>
      <c r="E4742" s="600"/>
      <c r="F4742" s="600"/>
      <c r="G4742" s="600"/>
      <c r="H4742" s="600"/>
    </row>
    <row r="4743" spans="1:8">
      <c r="A4743" s="600"/>
      <c r="B4743" s="600"/>
      <c r="C4743" s="600"/>
      <c r="D4743" s="600"/>
      <c r="E4743" s="600"/>
      <c r="F4743" s="600"/>
      <c r="G4743" s="600"/>
      <c r="H4743" s="600"/>
    </row>
    <row r="4744" spans="1:8">
      <c r="A4744" s="600"/>
      <c r="B4744" s="600"/>
      <c r="C4744" s="600"/>
      <c r="D4744" s="600"/>
      <c r="E4744" s="600"/>
      <c r="F4744" s="600"/>
      <c r="G4744" s="600"/>
      <c r="H4744" s="600"/>
    </row>
    <row r="4745" spans="1:8">
      <c r="A4745" s="600"/>
      <c r="B4745" s="600"/>
      <c r="C4745" s="600"/>
      <c r="D4745" s="600"/>
      <c r="E4745" s="600"/>
      <c r="F4745" s="600"/>
      <c r="G4745" s="600"/>
      <c r="H4745" s="600"/>
    </row>
    <row r="4746" spans="1:8">
      <c r="A4746" s="600"/>
      <c r="B4746" s="600"/>
      <c r="C4746" s="600"/>
      <c r="D4746" s="600"/>
      <c r="E4746" s="600"/>
      <c r="F4746" s="600"/>
      <c r="G4746" s="600"/>
      <c r="H4746" s="600"/>
    </row>
    <row r="4747" spans="1:8">
      <c r="A4747" s="600"/>
      <c r="B4747" s="600"/>
      <c r="C4747" s="600"/>
      <c r="D4747" s="600"/>
      <c r="E4747" s="600"/>
      <c r="F4747" s="600"/>
      <c r="G4747" s="600"/>
      <c r="H4747" s="600"/>
    </row>
    <row r="4748" spans="1:8">
      <c r="A4748" s="600"/>
      <c r="B4748" s="600"/>
      <c r="C4748" s="600"/>
      <c r="D4748" s="600"/>
      <c r="E4748" s="600"/>
      <c r="F4748" s="600"/>
      <c r="G4748" s="600"/>
      <c r="H4748" s="600"/>
    </row>
    <row r="4749" spans="1:8">
      <c r="A4749" s="600"/>
      <c r="B4749" s="600"/>
      <c r="C4749" s="600"/>
      <c r="D4749" s="600"/>
      <c r="E4749" s="600"/>
      <c r="F4749" s="600"/>
      <c r="G4749" s="600"/>
      <c r="H4749" s="600"/>
    </row>
    <row r="4750" spans="1:8">
      <c r="A4750" s="600"/>
      <c r="B4750" s="600"/>
      <c r="C4750" s="600"/>
      <c r="D4750" s="600"/>
      <c r="E4750" s="600"/>
      <c r="F4750" s="600"/>
      <c r="G4750" s="600"/>
      <c r="H4750" s="600"/>
    </row>
    <row r="4751" spans="1:8">
      <c r="A4751" s="600"/>
      <c r="B4751" s="600"/>
      <c r="C4751" s="600"/>
      <c r="D4751" s="600"/>
      <c r="E4751" s="600"/>
      <c r="F4751" s="600"/>
      <c r="G4751" s="600"/>
      <c r="H4751" s="600"/>
    </row>
    <row r="4752" spans="1:8">
      <c r="A4752" s="600"/>
      <c r="B4752" s="600"/>
      <c r="C4752" s="600"/>
      <c r="D4752" s="600"/>
      <c r="E4752" s="600"/>
      <c r="F4752" s="600"/>
      <c r="G4752" s="600"/>
      <c r="H4752" s="600"/>
    </row>
    <row r="4753" spans="1:8">
      <c r="A4753" s="600"/>
      <c r="B4753" s="600"/>
      <c r="C4753" s="600"/>
      <c r="D4753" s="600"/>
      <c r="E4753" s="600"/>
      <c r="F4753" s="600"/>
      <c r="G4753" s="600"/>
      <c r="H4753" s="600"/>
    </row>
    <row r="4754" spans="1:8">
      <c r="A4754" s="600"/>
      <c r="B4754" s="600"/>
      <c r="C4754" s="600"/>
      <c r="D4754" s="600"/>
      <c r="E4754" s="600"/>
      <c r="F4754" s="600"/>
      <c r="G4754" s="600"/>
      <c r="H4754" s="600"/>
    </row>
    <row r="4755" spans="1:8">
      <c r="A4755" s="600"/>
      <c r="B4755" s="600"/>
      <c r="C4755" s="600"/>
      <c r="D4755" s="600"/>
      <c r="E4755" s="600"/>
      <c r="F4755" s="600"/>
      <c r="G4755" s="600"/>
      <c r="H4755" s="600"/>
    </row>
    <row r="4756" spans="1:8">
      <c r="A4756" s="600"/>
      <c r="B4756" s="600"/>
      <c r="C4756" s="600"/>
      <c r="D4756" s="600"/>
      <c r="E4756" s="600"/>
      <c r="F4756" s="600"/>
      <c r="G4756" s="600"/>
      <c r="H4756" s="600"/>
    </row>
    <row r="4757" spans="1:8">
      <c r="A4757" s="600"/>
      <c r="B4757" s="600"/>
      <c r="C4757" s="600"/>
      <c r="D4757" s="600"/>
      <c r="E4757" s="600"/>
      <c r="F4757" s="600"/>
      <c r="G4757" s="600"/>
      <c r="H4757" s="600"/>
    </row>
    <row r="4758" spans="1:8">
      <c r="A4758" s="600"/>
      <c r="B4758" s="600"/>
      <c r="C4758" s="600"/>
      <c r="D4758" s="600"/>
      <c r="E4758" s="600"/>
      <c r="F4758" s="600"/>
      <c r="G4758" s="600"/>
      <c r="H4758" s="600"/>
    </row>
    <row r="4759" spans="1:8">
      <c r="A4759" s="600"/>
      <c r="B4759" s="600"/>
      <c r="C4759" s="600"/>
      <c r="D4759" s="600"/>
      <c r="E4759" s="600"/>
      <c r="F4759" s="600"/>
      <c r="G4759" s="600"/>
      <c r="H4759" s="600"/>
    </row>
    <row r="4760" spans="1:8">
      <c r="A4760" s="600"/>
      <c r="B4760" s="600"/>
      <c r="C4760" s="600"/>
      <c r="D4760" s="600"/>
      <c r="E4760" s="600"/>
      <c r="F4760" s="600"/>
      <c r="G4760" s="600"/>
      <c r="H4760" s="600"/>
    </row>
    <row r="4761" spans="1:8">
      <c r="A4761" s="600"/>
      <c r="B4761" s="600"/>
      <c r="C4761" s="600"/>
      <c r="D4761" s="600"/>
      <c r="E4761" s="600"/>
      <c r="F4761" s="600"/>
      <c r="G4761" s="600"/>
      <c r="H4761" s="600"/>
    </row>
    <row r="4762" spans="1:8">
      <c r="A4762" s="600"/>
      <c r="B4762" s="600"/>
      <c r="C4762" s="600"/>
      <c r="D4762" s="600"/>
      <c r="E4762" s="600"/>
      <c r="F4762" s="600"/>
      <c r="G4762" s="600"/>
      <c r="H4762" s="600"/>
    </row>
    <row r="4763" spans="1:8">
      <c r="A4763" s="600"/>
      <c r="B4763" s="600"/>
      <c r="C4763" s="600"/>
      <c r="D4763" s="600"/>
      <c r="E4763" s="600"/>
      <c r="F4763" s="600"/>
      <c r="G4763" s="600"/>
      <c r="H4763" s="600"/>
    </row>
    <row r="4764" spans="1:8">
      <c r="A4764" s="600"/>
      <c r="B4764" s="600"/>
      <c r="C4764" s="600"/>
      <c r="D4764" s="600"/>
      <c r="E4764" s="600"/>
      <c r="F4764" s="600"/>
      <c r="G4764" s="600"/>
      <c r="H4764" s="600"/>
    </row>
    <row r="4765" spans="1:8">
      <c r="A4765" s="600"/>
      <c r="B4765" s="600"/>
      <c r="C4765" s="600"/>
      <c r="D4765" s="600"/>
      <c r="E4765" s="600"/>
      <c r="F4765" s="600"/>
      <c r="G4765" s="600"/>
      <c r="H4765" s="600"/>
    </row>
    <row r="4766" spans="1:8">
      <c r="A4766" s="600"/>
      <c r="B4766" s="600"/>
      <c r="C4766" s="600"/>
      <c r="D4766" s="600"/>
      <c r="E4766" s="600"/>
      <c r="F4766" s="600"/>
      <c r="G4766" s="600"/>
      <c r="H4766" s="600"/>
    </row>
    <row r="4767" spans="1:8">
      <c r="A4767" s="600"/>
      <c r="B4767" s="600"/>
      <c r="C4767" s="600"/>
      <c r="D4767" s="600"/>
      <c r="E4767" s="600"/>
      <c r="F4767" s="600"/>
      <c r="G4767" s="600"/>
      <c r="H4767" s="600"/>
    </row>
    <row r="4768" spans="1:8">
      <c r="A4768" s="600"/>
      <c r="B4768" s="600"/>
      <c r="C4768" s="600"/>
      <c r="D4768" s="600"/>
      <c r="E4768" s="600"/>
      <c r="F4768" s="600"/>
      <c r="G4768" s="600"/>
      <c r="H4768" s="600"/>
    </row>
    <row r="4769" spans="1:8">
      <c r="A4769" s="600"/>
      <c r="B4769" s="600"/>
      <c r="C4769" s="600"/>
      <c r="D4769" s="600"/>
      <c r="E4769" s="600"/>
      <c r="F4769" s="600"/>
      <c r="G4769" s="600"/>
      <c r="H4769" s="600"/>
    </row>
    <row r="4770" spans="1:8">
      <c r="A4770" s="600"/>
      <c r="B4770" s="600"/>
      <c r="C4770" s="600"/>
      <c r="D4770" s="600"/>
      <c r="E4770" s="600"/>
      <c r="F4770" s="600"/>
      <c r="G4770" s="600"/>
      <c r="H4770" s="600"/>
    </row>
    <row r="4771" spans="1:8">
      <c r="A4771" s="600"/>
      <c r="B4771" s="600"/>
      <c r="C4771" s="600"/>
      <c r="D4771" s="600"/>
      <c r="E4771" s="600"/>
      <c r="F4771" s="600"/>
      <c r="G4771" s="600"/>
      <c r="H4771" s="600"/>
    </row>
    <row r="4772" spans="1:8">
      <c r="A4772" s="600"/>
      <c r="B4772" s="600"/>
      <c r="C4772" s="600"/>
      <c r="D4772" s="600"/>
      <c r="E4772" s="600"/>
      <c r="F4772" s="600"/>
      <c r="G4772" s="600"/>
      <c r="H4772" s="600"/>
    </row>
    <row r="4773" spans="1:8">
      <c r="A4773" s="600"/>
      <c r="B4773" s="600"/>
      <c r="C4773" s="600"/>
      <c r="D4773" s="600"/>
      <c r="E4773" s="600"/>
      <c r="F4773" s="600"/>
      <c r="G4773" s="600"/>
      <c r="H4773" s="600"/>
    </row>
    <row r="4774" spans="1:8">
      <c r="A4774" s="600"/>
      <c r="B4774" s="600"/>
      <c r="C4774" s="600"/>
      <c r="D4774" s="600"/>
      <c r="E4774" s="600"/>
      <c r="F4774" s="600"/>
      <c r="G4774" s="600"/>
      <c r="H4774" s="600"/>
    </row>
    <row r="4775" spans="1:8">
      <c r="A4775" s="600"/>
      <c r="B4775" s="600"/>
      <c r="C4775" s="600"/>
      <c r="D4775" s="600"/>
      <c r="E4775" s="600"/>
      <c r="F4775" s="600"/>
      <c r="G4775" s="600"/>
      <c r="H4775" s="600"/>
    </row>
    <row r="4776" spans="1:8">
      <c r="A4776" s="600"/>
      <c r="B4776" s="600"/>
      <c r="C4776" s="600"/>
      <c r="D4776" s="600"/>
      <c r="E4776" s="600"/>
      <c r="F4776" s="600"/>
      <c r="G4776" s="600"/>
      <c r="H4776" s="600"/>
    </row>
    <row r="4777" spans="1:8">
      <c r="A4777" s="600"/>
      <c r="B4777" s="600"/>
      <c r="C4777" s="600"/>
      <c r="D4777" s="600"/>
      <c r="E4777" s="600"/>
      <c r="F4777" s="600"/>
      <c r="G4777" s="600"/>
      <c r="H4777" s="600"/>
    </row>
    <row r="4778" spans="1:8">
      <c r="A4778" s="600"/>
      <c r="B4778" s="600"/>
      <c r="C4778" s="600"/>
      <c r="D4778" s="600"/>
      <c r="E4778" s="600"/>
      <c r="F4778" s="600"/>
      <c r="G4778" s="600"/>
      <c r="H4778" s="600"/>
    </row>
    <row r="4779" spans="1:8">
      <c r="A4779" s="600"/>
      <c r="B4779" s="600"/>
      <c r="C4779" s="600"/>
      <c r="D4779" s="600"/>
      <c r="E4779" s="600"/>
      <c r="F4779" s="600"/>
      <c r="G4779" s="600"/>
      <c r="H4779" s="600"/>
    </row>
    <row r="4780" spans="1:8">
      <c r="A4780" s="600"/>
      <c r="B4780" s="600"/>
      <c r="C4780" s="600"/>
      <c r="D4780" s="600"/>
      <c r="E4780" s="600"/>
      <c r="F4780" s="600"/>
      <c r="G4780" s="600"/>
      <c r="H4780" s="600"/>
    </row>
    <row r="4781" spans="1:8">
      <c r="A4781" s="600"/>
      <c r="B4781" s="600"/>
      <c r="C4781" s="600"/>
      <c r="D4781" s="600"/>
      <c r="E4781" s="600"/>
      <c r="F4781" s="600"/>
      <c r="G4781" s="600"/>
      <c r="H4781" s="600"/>
    </row>
    <row r="4782" spans="1:8">
      <c r="A4782" s="600"/>
      <c r="B4782" s="600"/>
      <c r="C4782" s="600"/>
      <c r="D4782" s="600"/>
      <c r="E4782" s="600"/>
      <c r="F4782" s="600"/>
      <c r="G4782" s="600"/>
      <c r="H4782" s="600"/>
    </row>
    <row r="4783" spans="1:8">
      <c r="A4783" s="600"/>
      <c r="B4783" s="600"/>
      <c r="C4783" s="600"/>
      <c r="D4783" s="600"/>
      <c r="E4783" s="600"/>
      <c r="F4783" s="600"/>
      <c r="G4783" s="600"/>
      <c r="H4783" s="600"/>
    </row>
    <row r="4784" spans="1:8">
      <c r="A4784" s="600"/>
      <c r="B4784" s="600"/>
      <c r="C4784" s="600"/>
      <c r="D4784" s="600"/>
      <c r="E4784" s="600"/>
      <c r="F4784" s="600"/>
      <c r="G4784" s="600"/>
      <c r="H4784" s="600"/>
    </row>
    <row r="4785" spans="1:8">
      <c r="A4785" s="600"/>
      <c r="B4785" s="600"/>
      <c r="C4785" s="600"/>
      <c r="D4785" s="600"/>
      <c r="E4785" s="600"/>
      <c r="F4785" s="600"/>
      <c r="G4785" s="600"/>
      <c r="H4785" s="600"/>
    </row>
    <row r="4786" spans="1:8">
      <c r="A4786" s="600"/>
      <c r="B4786" s="600"/>
      <c r="C4786" s="600"/>
      <c r="D4786" s="600"/>
      <c r="E4786" s="600"/>
      <c r="F4786" s="600"/>
      <c r="G4786" s="600"/>
      <c r="H4786" s="600"/>
    </row>
    <row r="4787" spans="1:8">
      <c r="A4787" s="600"/>
      <c r="B4787" s="600"/>
      <c r="C4787" s="600"/>
      <c r="D4787" s="600"/>
      <c r="E4787" s="600"/>
      <c r="F4787" s="600"/>
      <c r="G4787" s="600"/>
      <c r="H4787" s="600"/>
    </row>
    <row r="4788" spans="1:8">
      <c r="A4788" s="600"/>
      <c r="B4788" s="600"/>
      <c r="C4788" s="600"/>
      <c r="D4788" s="600"/>
      <c r="E4788" s="600"/>
      <c r="F4788" s="600"/>
      <c r="G4788" s="600"/>
      <c r="H4788" s="600"/>
    </row>
    <row r="4789" spans="1:8">
      <c r="A4789" s="600"/>
      <c r="B4789" s="600"/>
      <c r="C4789" s="600"/>
      <c r="D4789" s="600"/>
      <c r="E4789" s="600"/>
      <c r="F4789" s="600"/>
      <c r="G4789" s="600"/>
      <c r="H4789" s="600"/>
    </row>
    <row r="4790" spans="1:8">
      <c r="A4790" s="600"/>
      <c r="B4790" s="600"/>
      <c r="C4790" s="600"/>
      <c r="D4790" s="600"/>
      <c r="E4790" s="600"/>
      <c r="F4790" s="600"/>
      <c r="G4790" s="600"/>
      <c r="H4790" s="600"/>
    </row>
    <row r="4791" spans="1:8">
      <c r="A4791" s="600"/>
      <c r="B4791" s="600"/>
      <c r="C4791" s="600"/>
      <c r="D4791" s="600"/>
      <c r="E4791" s="600"/>
      <c r="F4791" s="600"/>
      <c r="G4791" s="600"/>
      <c r="H4791" s="600"/>
    </row>
    <row r="4792" spans="1:8">
      <c r="A4792" s="600"/>
      <c r="B4792" s="600"/>
      <c r="C4792" s="600"/>
      <c r="D4792" s="600"/>
      <c r="E4792" s="600"/>
      <c r="F4792" s="600"/>
      <c r="G4792" s="600"/>
      <c r="H4792" s="600"/>
    </row>
    <row r="4793" spans="1:8">
      <c r="A4793" s="600"/>
      <c r="B4793" s="600"/>
      <c r="C4793" s="600"/>
      <c r="D4793" s="600"/>
      <c r="E4793" s="600"/>
      <c r="F4793" s="600"/>
      <c r="G4793" s="600"/>
      <c r="H4793" s="600"/>
    </row>
    <row r="4794" spans="1:8">
      <c r="A4794" s="600"/>
      <c r="B4794" s="600"/>
      <c r="C4794" s="600"/>
      <c r="D4794" s="600"/>
      <c r="E4794" s="600"/>
      <c r="F4794" s="600"/>
      <c r="G4794" s="600"/>
      <c r="H4794" s="600"/>
    </row>
    <row r="4795" spans="1:8">
      <c r="A4795" s="600"/>
      <c r="B4795" s="600"/>
      <c r="C4795" s="600"/>
      <c r="D4795" s="600"/>
      <c r="E4795" s="600"/>
      <c r="F4795" s="600"/>
      <c r="G4795" s="600"/>
      <c r="H4795" s="600"/>
    </row>
    <row r="4796" spans="1:8">
      <c r="A4796" s="600"/>
      <c r="B4796" s="600"/>
      <c r="C4796" s="600"/>
      <c r="D4796" s="600"/>
      <c r="E4796" s="600"/>
      <c r="F4796" s="600"/>
      <c r="G4796" s="600"/>
      <c r="H4796" s="600"/>
    </row>
    <row r="4797" spans="1:8">
      <c r="A4797" s="600"/>
      <c r="B4797" s="600"/>
      <c r="C4797" s="600"/>
      <c r="D4797" s="600"/>
      <c r="E4797" s="600"/>
      <c r="F4797" s="600"/>
      <c r="G4797" s="600"/>
      <c r="H4797" s="600"/>
    </row>
    <row r="4798" spans="1:8">
      <c r="A4798" s="600"/>
      <c r="B4798" s="600"/>
      <c r="C4798" s="600"/>
      <c r="D4798" s="600"/>
      <c r="E4798" s="600"/>
      <c r="F4798" s="600"/>
      <c r="G4798" s="600"/>
      <c r="H4798" s="600"/>
    </row>
    <row r="4799" spans="1:8">
      <c r="A4799" s="600"/>
      <c r="B4799" s="600"/>
      <c r="C4799" s="600"/>
      <c r="D4799" s="600"/>
      <c r="E4799" s="600"/>
      <c r="F4799" s="600"/>
      <c r="G4799" s="600"/>
      <c r="H4799" s="600"/>
    </row>
    <row r="4800" spans="1:8">
      <c r="A4800" s="600"/>
      <c r="B4800" s="600"/>
      <c r="C4800" s="600"/>
      <c r="D4800" s="600"/>
      <c r="E4800" s="600"/>
      <c r="F4800" s="600"/>
      <c r="G4800" s="600"/>
      <c r="H4800" s="600"/>
    </row>
    <row r="4801" spans="1:8">
      <c r="A4801" s="600"/>
      <c r="B4801" s="600"/>
      <c r="C4801" s="600"/>
      <c r="D4801" s="600"/>
      <c r="E4801" s="600"/>
      <c r="F4801" s="600"/>
      <c r="G4801" s="600"/>
      <c r="H4801" s="600"/>
    </row>
    <row r="4802" spans="1:8">
      <c r="A4802" s="600"/>
      <c r="B4802" s="600"/>
      <c r="C4802" s="600"/>
      <c r="D4802" s="600"/>
      <c r="E4802" s="600"/>
      <c r="F4802" s="600"/>
      <c r="G4802" s="600"/>
      <c r="H4802" s="600"/>
    </row>
    <row r="4803" spans="1:8">
      <c r="A4803" s="600"/>
      <c r="B4803" s="600"/>
      <c r="C4803" s="600"/>
      <c r="D4803" s="600"/>
      <c r="E4803" s="600"/>
      <c r="F4803" s="600"/>
      <c r="G4803" s="600"/>
      <c r="H4803" s="600"/>
    </row>
    <row r="4804" spans="1:8">
      <c r="A4804" s="600"/>
      <c r="B4804" s="600"/>
      <c r="C4804" s="600"/>
      <c r="D4804" s="600"/>
      <c r="E4804" s="600"/>
      <c r="F4804" s="600"/>
      <c r="G4804" s="600"/>
      <c r="H4804" s="600"/>
    </row>
    <row r="4805" spans="1:8">
      <c r="A4805" s="600"/>
      <c r="B4805" s="600"/>
      <c r="C4805" s="600"/>
      <c r="D4805" s="600"/>
      <c r="E4805" s="600"/>
      <c r="F4805" s="600"/>
      <c r="G4805" s="600"/>
      <c r="H4805" s="600"/>
    </row>
    <row r="4806" spans="1:8">
      <c r="A4806" s="600"/>
      <c r="B4806" s="600"/>
      <c r="C4806" s="600"/>
      <c r="D4806" s="600"/>
      <c r="E4806" s="600"/>
      <c r="F4806" s="600"/>
      <c r="G4806" s="600"/>
      <c r="H4806" s="600"/>
    </row>
    <row r="4807" spans="1:8">
      <c r="A4807" s="600"/>
      <c r="B4807" s="600"/>
      <c r="C4807" s="600"/>
      <c r="D4807" s="600"/>
      <c r="E4807" s="600"/>
      <c r="F4807" s="600"/>
      <c r="G4807" s="600"/>
      <c r="H4807" s="600"/>
    </row>
    <row r="4808" spans="1:8">
      <c r="A4808" s="600"/>
      <c r="B4808" s="600"/>
      <c r="C4808" s="600"/>
      <c r="D4808" s="600"/>
      <c r="E4808" s="600"/>
      <c r="F4808" s="600"/>
      <c r="G4808" s="600"/>
      <c r="H4808" s="600"/>
    </row>
    <row r="4809" spans="1:8">
      <c r="A4809" s="600"/>
      <c r="B4809" s="600"/>
      <c r="C4809" s="600"/>
      <c r="D4809" s="600"/>
      <c r="E4809" s="600"/>
      <c r="F4809" s="600"/>
      <c r="G4809" s="600"/>
      <c r="H4809" s="600"/>
    </row>
    <row r="4810" spans="1:8">
      <c r="A4810" s="600"/>
      <c r="B4810" s="600"/>
      <c r="C4810" s="600"/>
      <c r="D4810" s="600"/>
      <c r="E4810" s="600"/>
      <c r="F4810" s="600"/>
      <c r="G4810" s="600"/>
      <c r="H4810" s="600"/>
    </row>
    <row r="4811" spans="1:8">
      <c r="A4811" s="600"/>
      <c r="B4811" s="600"/>
      <c r="C4811" s="600"/>
      <c r="D4811" s="600"/>
      <c r="E4811" s="600"/>
      <c r="F4811" s="600"/>
      <c r="G4811" s="600"/>
      <c r="H4811" s="600"/>
    </row>
    <row r="4812" spans="1:8">
      <c r="A4812" s="600"/>
      <c r="B4812" s="600"/>
      <c r="C4812" s="600"/>
      <c r="D4812" s="600"/>
      <c r="E4812" s="600"/>
      <c r="F4812" s="600"/>
      <c r="G4812" s="600"/>
      <c r="H4812" s="600"/>
    </row>
    <row r="4813" spans="1:8">
      <c r="A4813" s="600"/>
      <c r="B4813" s="600"/>
      <c r="C4813" s="600"/>
      <c r="D4813" s="600"/>
      <c r="E4813" s="600"/>
      <c r="F4813" s="600"/>
      <c r="G4813" s="600"/>
      <c r="H4813" s="600"/>
    </row>
    <row r="4814" spans="1:8">
      <c r="A4814" s="600"/>
      <c r="B4814" s="600"/>
      <c r="C4814" s="600"/>
      <c r="D4814" s="600"/>
      <c r="E4814" s="600"/>
      <c r="F4814" s="600"/>
      <c r="G4814" s="600"/>
      <c r="H4814" s="600"/>
    </row>
    <row r="4815" spans="1:8">
      <c r="A4815" s="600"/>
      <c r="B4815" s="600"/>
      <c r="C4815" s="600"/>
      <c r="D4815" s="600"/>
      <c r="E4815" s="600"/>
      <c r="F4815" s="600"/>
      <c r="G4815" s="600"/>
      <c r="H4815" s="600"/>
    </row>
    <row r="4816" spans="1:8">
      <c r="A4816" s="600"/>
      <c r="B4816" s="600"/>
      <c r="C4816" s="600"/>
      <c r="D4816" s="600"/>
      <c r="E4816" s="600"/>
      <c r="F4816" s="600"/>
      <c r="G4816" s="600"/>
      <c r="H4816" s="600"/>
    </row>
    <row r="4817" spans="1:8">
      <c r="A4817" s="600"/>
      <c r="B4817" s="600"/>
      <c r="C4817" s="600"/>
      <c r="D4817" s="600"/>
      <c r="E4817" s="600"/>
      <c r="F4817" s="600"/>
      <c r="G4817" s="600"/>
      <c r="H4817" s="600"/>
    </row>
    <row r="4818" spans="1:8">
      <c r="A4818" s="600"/>
      <c r="B4818" s="600"/>
      <c r="C4818" s="600"/>
      <c r="D4818" s="600"/>
      <c r="E4818" s="600"/>
      <c r="F4818" s="600"/>
      <c r="G4818" s="600"/>
      <c r="H4818" s="600"/>
    </row>
    <row r="4819" spans="1:8">
      <c r="A4819" s="600"/>
      <c r="B4819" s="600"/>
      <c r="C4819" s="600"/>
      <c r="D4819" s="600"/>
      <c r="E4819" s="600"/>
      <c r="F4819" s="600"/>
      <c r="G4819" s="600"/>
      <c r="H4819" s="600"/>
    </row>
    <row r="4820" spans="1:8">
      <c r="A4820" s="600"/>
      <c r="B4820" s="600"/>
      <c r="C4820" s="600"/>
      <c r="D4820" s="600"/>
      <c r="E4820" s="600"/>
      <c r="F4820" s="600"/>
      <c r="G4820" s="600"/>
      <c r="H4820" s="600"/>
    </row>
    <row r="4821" spans="1:8">
      <c r="A4821" s="600"/>
      <c r="B4821" s="600"/>
      <c r="C4821" s="600"/>
      <c r="D4821" s="600"/>
      <c r="E4821" s="600"/>
      <c r="F4821" s="600"/>
      <c r="G4821" s="600"/>
      <c r="H4821" s="600"/>
    </row>
    <row r="4822" spans="1:8">
      <c r="A4822" s="600"/>
      <c r="B4822" s="600"/>
      <c r="C4822" s="600"/>
      <c r="D4822" s="600"/>
      <c r="E4822" s="600"/>
      <c r="F4822" s="600"/>
      <c r="G4822" s="600"/>
      <c r="H4822" s="600"/>
    </row>
    <row r="4823" spans="1:8">
      <c r="A4823" s="600"/>
      <c r="B4823" s="600"/>
      <c r="C4823" s="600"/>
      <c r="D4823" s="600"/>
      <c r="E4823" s="600"/>
      <c r="F4823" s="600"/>
      <c r="G4823" s="600"/>
      <c r="H4823" s="600"/>
    </row>
    <row r="4824" spans="1:8">
      <c r="A4824" s="600"/>
      <c r="B4824" s="600"/>
      <c r="C4824" s="600"/>
      <c r="D4824" s="600"/>
      <c r="E4824" s="600"/>
      <c r="F4824" s="600"/>
      <c r="G4824" s="600"/>
      <c r="H4824" s="600"/>
    </row>
    <row r="4825" spans="1:8">
      <c r="A4825" s="600"/>
      <c r="B4825" s="600"/>
      <c r="C4825" s="600"/>
      <c r="D4825" s="600"/>
      <c r="E4825" s="600"/>
      <c r="F4825" s="600"/>
      <c r="G4825" s="600"/>
      <c r="H4825" s="600"/>
    </row>
    <row r="4826" spans="1:8">
      <c r="A4826" s="600"/>
      <c r="B4826" s="600"/>
      <c r="C4826" s="600"/>
      <c r="D4826" s="600"/>
      <c r="E4826" s="600"/>
      <c r="F4826" s="600"/>
      <c r="G4826" s="600"/>
      <c r="H4826" s="600"/>
    </row>
    <row r="4827" spans="1:8">
      <c r="A4827" s="600"/>
      <c r="B4827" s="600"/>
      <c r="C4827" s="600"/>
      <c r="D4827" s="600"/>
      <c r="E4827" s="600"/>
      <c r="F4827" s="600"/>
      <c r="G4827" s="600"/>
      <c r="H4827" s="600"/>
    </row>
    <row r="4828" spans="1:8">
      <c r="A4828" s="600"/>
      <c r="B4828" s="600"/>
      <c r="C4828" s="600"/>
      <c r="D4828" s="600"/>
      <c r="E4828" s="600"/>
      <c r="F4828" s="600"/>
      <c r="G4828" s="600"/>
      <c r="H4828" s="600"/>
    </row>
    <row r="4829" spans="1:8">
      <c r="A4829" s="600"/>
      <c r="B4829" s="600"/>
      <c r="C4829" s="600"/>
      <c r="D4829" s="600"/>
      <c r="E4829" s="600"/>
      <c r="F4829" s="600"/>
      <c r="G4829" s="600"/>
      <c r="H4829" s="600"/>
    </row>
    <row r="4830" spans="1:8">
      <c r="A4830" s="600"/>
      <c r="B4830" s="600"/>
      <c r="C4830" s="600"/>
      <c r="D4830" s="600"/>
      <c r="E4830" s="600"/>
      <c r="F4830" s="600"/>
      <c r="G4830" s="600"/>
      <c r="H4830" s="600"/>
    </row>
    <row r="4831" spans="1:8">
      <c r="A4831" s="600"/>
      <c r="B4831" s="600"/>
      <c r="C4831" s="600"/>
      <c r="D4831" s="600"/>
      <c r="E4831" s="600"/>
      <c r="F4831" s="600"/>
      <c r="G4831" s="600"/>
      <c r="H4831" s="600"/>
    </row>
    <row r="4832" spans="1:8">
      <c r="A4832" s="600"/>
      <c r="B4832" s="600"/>
      <c r="C4832" s="600"/>
      <c r="D4832" s="600"/>
      <c r="E4832" s="600"/>
      <c r="F4832" s="600"/>
      <c r="G4832" s="600"/>
      <c r="H4832" s="600"/>
    </row>
    <row r="4833" spans="1:8">
      <c r="A4833" s="600"/>
      <c r="B4833" s="600"/>
      <c r="C4833" s="600"/>
      <c r="D4833" s="600"/>
      <c r="E4833" s="600"/>
      <c r="F4833" s="600"/>
      <c r="G4833" s="600"/>
      <c r="H4833" s="600"/>
    </row>
    <row r="4834" spans="1:8">
      <c r="A4834" s="600"/>
      <c r="B4834" s="600"/>
      <c r="C4834" s="600"/>
      <c r="D4834" s="600"/>
      <c r="E4834" s="600"/>
      <c r="F4834" s="600"/>
      <c r="G4834" s="600"/>
      <c r="H4834" s="600"/>
    </row>
    <row r="4835" spans="1:8">
      <c r="A4835" s="600"/>
      <c r="B4835" s="600"/>
      <c r="C4835" s="600"/>
      <c r="D4835" s="600"/>
      <c r="E4835" s="600"/>
      <c r="F4835" s="600"/>
      <c r="G4835" s="600"/>
      <c r="H4835" s="600"/>
    </row>
    <row r="4836" spans="1:8">
      <c r="A4836" s="600"/>
      <c r="B4836" s="600"/>
      <c r="C4836" s="600"/>
      <c r="D4836" s="600"/>
      <c r="E4836" s="600"/>
      <c r="F4836" s="600"/>
      <c r="G4836" s="600"/>
      <c r="H4836" s="600"/>
    </row>
    <row r="4837" spans="1:8">
      <c r="A4837" s="600"/>
      <c r="B4837" s="600"/>
      <c r="C4837" s="600"/>
      <c r="D4837" s="600"/>
      <c r="E4837" s="600"/>
      <c r="F4837" s="600"/>
      <c r="G4837" s="600"/>
      <c r="H4837" s="600"/>
    </row>
    <row r="4838" spans="1:8">
      <c r="A4838" s="600"/>
      <c r="B4838" s="600"/>
      <c r="C4838" s="600"/>
      <c r="D4838" s="600"/>
      <c r="E4838" s="600"/>
      <c r="F4838" s="600"/>
      <c r="G4838" s="600"/>
      <c r="H4838" s="600"/>
    </row>
    <row r="4839" spans="1:8">
      <c r="A4839" s="600"/>
      <c r="B4839" s="600"/>
      <c r="C4839" s="600"/>
      <c r="D4839" s="600"/>
      <c r="E4839" s="600"/>
      <c r="F4839" s="600"/>
      <c r="G4839" s="600"/>
      <c r="H4839" s="600"/>
    </row>
    <row r="4840" spans="1:8">
      <c r="A4840" s="600"/>
      <c r="B4840" s="600"/>
      <c r="C4840" s="600"/>
      <c r="D4840" s="600"/>
      <c r="E4840" s="600"/>
      <c r="F4840" s="600"/>
      <c r="G4840" s="600"/>
      <c r="H4840" s="600"/>
    </row>
    <row r="4841" spans="1:8">
      <c r="A4841" s="600"/>
      <c r="B4841" s="600"/>
      <c r="C4841" s="600"/>
      <c r="D4841" s="600"/>
      <c r="E4841" s="600"/>
      <c r="F4841" s="600"/>
      <c r="G4841" s="600"/>
      <c r="H4841" s="600"/>
    </row>
    <row r="4842" spans="1:8">
      <c r="A4842" s="600"/>
      <c r="B4842" s="600"/>
      <c r="C4842" s="600"/>
      <c r="D4842" s="600"/>
      <c r="E4842" s="600"/>
      <c r="F4842" s="600"/>
      <c r="G4842" s="600"/>
      <c r="H4842" s="600"/>
    </row>
    <row r="4843" spans="1:8">
      <c r="A4843" s="600"/>
      <c r="B4843" s="600"/>
      <c r="C4843" s="600"/>
      <c r="D4843" s="600"/>
      <c r="E4843" s="600"/>
      <c r="F4843" s="600"/>
      <c r="G4843" s="600"/>
      <c r="H4843" s="600"/>
    </row>
    <row r="4844" spans="1:8">
      <c r="A4844" s="600"/>
      <c r="B4844" s="600"/>
      <c r="C4844" s="600"/>
      <c r="D4844" s="600"/>
      <c r="E4844" s="600"/>
      <c r="F4844" s="600"/>
      <c r="G4844" s="600"/>
      <c r="H4844" s="600"/>
    </row>
    <row r="4845" spans="1:8">
      <c r="A4845" s="600"/>
      <c r="B4845" s="600"/>
      <c r="C4845" s="600"/>
      <c r="D4845" s="600"/>
      <c r="E4845" s="600"/>
      <c r="F4845" s="600"/>
      <c r="G4845" s="600"/>
      <c r="H4845" s="600"/>
    </row>
    <row r="4846" spans="1:8">
      <c r="A4846" s="600"/>
      <c r="B4846" s="600"/>
      <c r="C4846" s="600"/>
      <c r="D4846" s="600"/>
      <c r="E4846" s="600"/>
      <c r="F4846" s="600"/>
      <c r="G4846" s="600"/>
      <c r="H4846" s="600"/>
    </row>
    <row r="4847" spans="1:8">
      <c r="A4847" s="600"/>
      <c r="B4847" s="600"/>
      <c r="C4847" s="600"/>
      <c r="D4847" s="600"/>
      <c r="E4847" s="600"/>
      <c r="F4847" s="600"/>
      <c r="G4847" s="600"/>
      <c r="H4847" s="600"/>
    </row>
    <row r="4848" spans="1:8">
      <c r="A4848" s="600"/>
      <c r="B4848" s="600"/>
      <c r="C4848" s="600"/>
      <c r="D4848" s="600"/>
      <c r="E4848" s="600"/>
      <c r="F4848" s="600"/>
      <c r="G4848" s="600"/>
      <c r="H4848" s="600"/>
    </row>
    <row r="4849" spans="1:8">
      <c r="A4849" s="600"/>
      <c r="B4849" s="600"/>
      <c r="C4849" s="600"/>
      <c r="D4849" s="600"/>
      <c r="E4849" s="600"/>
      <c r="F4849" s="600"/>
      <c r="G4849" s="600"/>
      <c r="H4849" s="600"/>
    </row>
    <row r="4850" spans="1:8">
      <c r="A4850" s="600"/>
      <c r="B4850" s="600"/>
      <c r="C4850" s="600"/>
      <c r="D4850" s="600"/>
      <c r="E4850" s="600"/>
      <c r="F4850" s="600"/>
      <c r="G4850" s="600"/>
      <c r="H4850" s="600"/>
    </row>
    <row r="4851" spans="1:8">
      <c r="A4851" s="600"/>
      <c r="B4851" s="600"/>
      <c r="C4851" s="600"/>
      <c r="D4851" s="600"/>
      <c r="E4851" s="600"/>
      <c r="F4851" s="600"/>
      <c r="G4851" s="600"/>
      <c r="H4851" s="600"/>
    </row>
    <row r="4852" spans="1:8">
      <c r="A4852" s="600"/>
      <c r="B4852" s="600"/>
      <c r="C4852" s="600"/>
      <c r="D4852" s="600"/>
      <c r="E4852" s="600"/>
      <c r="F4852" s="600"/>
      <c r="G4852" s="600"/>
      <c r="H4852" s="600"/>
    </row>
    <row r="4853" spans="1:8">
      <c r="A4853" s="600"/>
      <c r="B4853" s="600"/>
      <c r="C4853" s="600"/>
      <c r="D4853" s="600"/>
      <c r="E4853" s="600"/>
      <c r="F4853" s="600"/>
      <c r="G4853" s="600"/>
      <c r="H4853" s="600"/>
    </row>
    <row r="4854" spans="1:8">
      <c r="A4854" s="600"/>
      <c r="B4854" s="600"/>
      <c r="C4854" s="600"/>
      <c r="D4854" s="600"/>
      <c r="E4854" s="600"/>
      <c r="F4854" s="600"/>
      <c r="G4854" s="600"/>
      <c r="H4854" s="600"/>
    </row>
    <row r="4855" spans="1:8">
      <c r="A4855" s="600"/>
      <c r="B4855" s="600"/>
      <c r="C4855" s="600"/>
      <c r="D4855" s="600"/>
      <c r="E4855" s="600"/>
      <c r="F4855" s="600"/>
      <c r="G4855" s="600"/>
      <c r="H4855" s="600"/>
    </row>
    <row r="4856" spans="1:8">
      <c r="A4856" s="600"/>
      <c r="B4856" s="600"/>
      <c r="C4856" s="600"/>
      <c r="D4856" s="600"/>
      <c r="E4856" s="600"/>
      <c r="F4856" s="600"/>
      <c r="G4856" s="600"/>
      <c r="H4856" s="600"/>
    </row>
    <row r="4857" spans="1:8">
      <c r="A4857" s="600"/>
      <c r="B4857" s="600"/>
      <c r="C4857" s="600"/>
      <c r="D4857" s="600"/>
      <c r="E4857" s="600"/>
      <c r="F4857" s="600"/>
      <c r="G4857" s="600"/>
      <c r="H4857" s="600"/>
    </row>
    <row r="4858" spans="1:8">
      <c r="A4858" s="600"/>
      <c r="B4858" s="600"/>
      <c r="C4858" s="600"/>
      <c r="D4858" s="600"/>
      <c r="E4858" s="600"/>
      <c r="F4858" s="600"/>
      <c r="G4858" s="600"/>
      <c r="H4858" s="600"/>
    </row>
    <row r="4859" spans="1:8">
      <c r="A4859" s="600"/>
      <c r="B4859" s="600"/>
      <c r="C4859" s="600"/>
      <c r="D4859" s="600"/>
      <c r="E4859" s="600"/>
      <c r="F4859" s="600"/>
      <c r="G4859" s="600"/>
      <c r="H4859" s="600"/>
    </row>
    <row r="4860" spans="1:8">
      <c r="A4860" s="600"/>
      <c r="B4860" s="600"/>
      <c r="C4860" s="600"/>
      <c r="D4860" s="600"/>
      <c r="E4860" s="600"/>
      <c r="F4860" s="600"/>
      <c r="G4860" s="600"/>
      <c r="H4860" s="600"/>
    </row>
    <row r="4861" spans="1:8">
      <c r="A4861" s="600"/>
      <c r="B4861" s="600"/>
      <c r="C4861" s="600"/>
      <c r="D4861" s="600"/>
      <c r="E4861" s="600"/>
      <c r="F4861" s="600"/>
      <c r="G4861" s="600"/>
      <c r="H4861" s="600"/>
    </row>
    <row r="4862" spans="1:8">
      <c r="A4862" s="600"/>
      <c r="B4862" s="600"/>
      <c r="C4862" s="600"/>
      <c r="D4862" s="600"/>
      <c r="E4862" s="600"/>
      <c r="F4862" s="600"/>
      <c r="G4862" s="600"/>
      <c r="H4862" s="600"/>
    </row>
    <row r="4863" spans="1:8">
      <c r="A4863" s="600"/>
      <c r="B4863" s="600"/>
      <c r="C4863" s="600"/>
      <c r="D4863" s="600"/>
      <c r="E4863" s="600"/>
      <c r="F4863" s="600"/>
      <c r="G4863" s="600"/>
      <c r="H4863" s="600"/>
    </row>
    <row r="4864" spans="1:8">
      <c r="A4864" s="600"/>
      <c r="B4864" s="600"/>
      <c r="C4864" s="600"/>
      <c r="D4864" s="600"/>
      <c r="E4864" s="600"/>
      <c r="F4864" s="600"/>
      <c r="G4864" s="600"/>
      <c r="H4864" s="600"/>
    </row>
    <row r="4865" spans="1:8">
      <c r="A4865" s="600"/>
      <c r="B4865" s="600"/>
      <c r="C4865" s="600"/>
      <c r="D4865" s="600"/>
      <c r="E4865" s="600"/>
      <c r="F4865" s="600"/>
      <c r="G4865" s="600"/>
      <c r="H4865" s="600"/>
    </row>
    <row r="4866" spans="1:8">
      <c r="A4866" s="600"/>
      <c r="B4866" s="600"/>
      <c r="C4866" s="600"/>
      <c r="D4866" s="600"/>
      <c r="E4866" s="600"/>
      <c r="F4866" s="600"/>
      <c r="G4866" s="600"/>
      <c r="H4866" s="600"/>
    </row>
    <row r="4867" spans="1:8">
      <c r="A4867" s="600"/>
      <c r="B4867" s="600"/>
      <c r="C4867" s="600"/>
      <c r="D4867" s="600"/>
      <c r="E4867" s="600"/>
      <c r="F4867" s="600"/>
      <c r="G4867" s="600"/>
      <c r="H4867" s="600"/>
    </row>
    <row r="4868" spans="1:8">
      <c r="A4868" s="600"/>
      <c r="B4868" s="600"/>
      <c r="C4868" s="600"/>
      <c r="D4868" s="600"/>
      <c r="E4868" s="600"/>
      <c r="F4868" s="600"/>
      <c r="G4868" s="600"/>
      <c r="H4868" s="600"/>
    </row>
    <row r="4869" spans="1:8">
      <c r="A4869" s="600"/>
      <c r="B4869" s="600"/>
      <c r="C4869" s="600"/>
      <c r="D4869" s="600"/>
      <c r="E4869" s="600"/>
      <c r="F4869" s="600"/>
      <c r="G4869" s="600"/>
      <c r="H4869" s="600"/>
    </row>
    <row r="4870" spans="1:8">
      <c r="A4870" s="600"/>
      <c r="B4870" s="600"/>
      <c r="C4870" s="600"/>
      <c r="D4870" s="600"/>
      <c r="E4870" s="600"/>
      <c r="F4870" s="600"/>
      <c r="G4870" s="600"/>
      <c r="H4870" s="600"/>
    </row>
    <row r="4871" spans="1:8">
      <c r="A4871" s="600"/>
      <c r="B4871" s="600"/>
      <c r="C4871" s="600"/>
      <c r="D4871" s="600"/>
      <c r="E4871" s="600"/>
      <c r="F4871" s="600"/>
      <c r="G4871" s="600"/>
      <c r="H4871" s="600"/>
    </row>
    <row r="4872" spans="1:8">
      <c r="A4872" s="600"/>
      <c r="B4872" s="600"/>
      <c r="C4872" s="600"/>
      <c r="D4872" s="600"/>
      <c r="E4872" s="600"/>
      <c r="F4872" s="600"/>
      <c r="G4872" s="600"/>
      <c r="H4872" s="600"/>
    </row>
    <row r="4873" spans="1:8">
      <c r="A4873" s="600"/>
      <c r="B4873" s="600"/>
      <c r="C4873" s="600"/>
      <c r="D4873" s="600"/>
      <c r="E4873" s="600"/>
      <c r="F4873" s="600"/>
      <c r="G4873" s="600"/>
      <c r="H4873" s="600"/>
    </row>
    <row r="4874" spans="1:8">
      <c r="A4874" s="600"/>
      <c r="B4874" s="600"/>
      <c r="C4874" s="600"/>
      <c r="D4874" s="600"/>
      <c r="E4874" s="600"/>
      <c r="F4874" s="600"/>
      <c r="G4874" s="600"/>
      <c r="H4874" s="600"/>
    </row>
    <row r="4875" spans="1:8">
      <c r="A4875" s="600"/>
      <c r="B4875" s="600"/>
      <c r="C4875" s="600"/>
      <c r="D4875" s="600"/>
      <c r="E4875" s="600"/>
      <c r="F4875" s="600"/>
      <c r="G4875" s="600"/>
      <c r="H4875" s="600"/>
    </row>
    <row r="4876" spans="1:8">
      <c r="A4876" s="600"/>
      <c r="B4876" s="600"/>
      <c r="C4876" s="600"/>
      <c r="D4876" s="600"/>
      <c r="E4876" s="600"/>
      <c r="F4876" s="600"/>
      <c r="G4876" s="600"/>
      <c r="H4876" s="600"/>
    </row>
    <row r="4877" spans="1:8">
      <c r="A4877" s="600"/>
      <c r="B4877" s="600"/>
      <c r="C4877" s="600"/>
      <c r="D4877" s="600"/>
      <c r="E4877" s="600"/>
      <c r="F4877" s="600"/>
      <c r="G4877" s="600"/>
      <c r="H4877" s="600"/>
    </row>
    <row r="4878" spans="1:8">
      <c r="A4878" s="600"/>
      <c r="B4878" s="600"/>
      <c r="C4878" s="600"/>
      <c r="D4878" s="600"/>
      <c r="E4878" s="600"/>
      <c r="F4878" s="600"/>
      <c r="G4878" s="600"/>
      <c r="H4878" s="600"/>
    </row>
    <row r="4879" spans="1:8">
      <c r="A4879" s="600"/>
      <c r="B4879" s="600"/>
      <c r="C4879" s="600"/>
      <c r="D4879" s="600"/>
      <c r="E4879" s="600"/>
      <c r="F4879" s="600"/>
      <c r="G4879" s="600"/>
      <c r="H4879" s="600"/>
    </row>
    <row r="4880" spans="1:8">
      <c r="A4880" s="600"/>
      <c r="B4880" s="600"/>
      <c r="C4880" s="600"/>
      <c r="D4880" s="600"/>
      <c r="E4880" s="600"/>
      <c r="F4880" s="600"/>
      <c r="G4880" s="600"/>
      <c r="H4880" s="600"/>
    </row>
    <row r="4881" spans="1:8">
      <c r="A4881" s="600"/>
      <c r="B4881" s="600"/>
      <c r="C4881" s="600"/>
      <c r="D4881" s="600"/>
      <c r="E4881" s="600"/>
      <c r="F4881" s="600"/>
      <c r="G4881" s="600"/>
      <c r="H4881" s="600"/>
    </row>
    <row r="4882" spans="1:8">
      <c r="A4882" s="600"/>
      <c r="B4882" s="600"/>
      <c r="C4882" s="600"/>
      <c r="D4882" s="600"/>
      <c r="E4882" s="600"/>
      <c r="F4882" s="600"/>
      <c r="G4882" s="600"/>
      <c r="H4882" s="600"/>
    </row>
    <row r="4883" spans="1:8">
      <c r="A4883" s="600"/>
      <c r="B4883" s="600"/>
      <c r="C4883" s="600"/>
      <c r="D4883" s="600"/>
      <c r="E4883" s="600"/>
      <c r="F4883" s="600"/>
      <c r="G4883" s="600"/>
      <c r="H4883" s="600"/>
    </row>
    <row r="4884" spans="1:8">
      <c r="A4884" s="600"/>
      <c r="B4884" s="600"/>
      <c r="C4884" s="600"/>
      <c r="D4884" s="600"/>
      <c r="E4884" s="600"/>
      <c r="F4884" s="600"/>
      <c r="G4884" s="600"/>
      <c r="H4884" s="600"/>
    </row>
    <row r="4885" spans="1:8">
      <c r="A4885" s="600"/>
      <c r="B4885" s="600"/>
      <c r="C4885" s="600"/>
      <c r="D4885" s="600"/>
      <c r="E4885" s="600"/>
      <c r="F4885" s="600"/>
      <c r="G4885" s="600"/>
      <c r="H4885" s="600"/>
    </row>
    <row r="4886" spans="1:8">
      <c r="A4886" s="600"/>
      <c r="B4886" s="600"/>
      <c r="C4886" s="600"/>
      <c r="D4886" s="600"/>
      <c r="E4886" s="600"/>
      <c r="F4886" s="600"/>
      <c r="G4886" s="600"/>
      <c r="H4886" s="600"/>
    </row>
    <row r="4887" spans="1:8">
      <c r="A4887" s="600"/>
      <c r="B4887" s="600"/>
      <c r="C4887" s="600"/>
      <c r="D4887" s="600"/>
      <c r="E4887" s="600"/>
      <c r="F4887" s="600"/>
      <c r="G4887" s="600"/>
      <c r="H4887" s="600"/>
    </row>
    <row r="4888" spans="1:8">
      <c r="A4888" s="600"/>
      <c r="B4888" s="600"/>
      <c r="C4888" s="600"/>
      <c r="D4888" s="600"/>
      <c r="E4888" s="600"/>
      <c r="F4888" s="600"/>
      <c r="G4888" s="600"/>
      <c r="H4888" s="600"/>
    </row>
    <row r="4889" spans="1:8">
      <c r="A4889" s="600"/>
      <c r="B4889" s="600"/>
      <c r="C4889" s="600"/>
      <c r="D4889" s="600"/>
      <c r="E4889" s="600"/>
      <c r="F4889" s="600"/>
      <c r="G4889" s="600"/>
      <c r="H4889" s="600"/>
    </row>
    <row r="4890" spans="1:8">
      <c r="A4890" s="600"/>
      <c r="B4890" s="600"/>
      <c r="C4890" s="600"/>
      <c r="D4890" s="600"/>
      <c r="E4890" s="600"/>
      <c r="F4890" s="600"/>
      <c r="G4890" s="600"/>
      <c r="H4890" s="600"/>
    </row>
    <row r="4891" spans="1:8">
      <c r="A4891" s="600"/>
      <c r="B4891" s="600"/>
      <c r="C4891" s="600"/>
      <c r="D4891" s="600"/>
      <c r="E4891" s="600"/>
      <c r="F4891" s="600"/>
      <c r="G4891" s="600"/>
      <c r="H4891" s="600"/>
    </row>
    <row r="4892" spans="1:8">
      <c r="A4892" s="600"/>
      <c r="B4892" s="600"/>
      <c r="C4892" s="600"/>
      <c r="D4892" s="600"/>
      <c r="E4892" s="600"/>
      <c r="F4892" s="600"/>
      <c r="G4892" s="600"/>
      <c r="H4892" s="600"/>
    </row>
    <row r="4893" spans="1:8">
      <c r="A4893" s="600"/>
      <c r="B4893" s="600"/>
      <c r="C4893" s="600"/>
      <c r="D4893" s="600"/>
      <c r="E4893" s="600"/>
      <c r="F4893" s="600"/>
      <c r="G4893" s="600"/>
      <c r="H4893" s="600"/>
    </row>
    <row r="4894" spans="1:8">
      <c r="A4894" s="600"/>
      <c r="B4894" s="600"/>
      <c r="C4894" s="600"/>
      <c r="D4894" s="600"/>
      <c r="E4894" s="600"/>
      <c r="F4894" s="600"/>
      <c r="G4894" s="600"/>
      <c r="H4894" s="600"/>
    </row>
    <row r="4895" spans="1:8">
      <c r="A4895" s="600"/>
      <c r="B4895" s="600"/>
      <c r="C4895" s="600"/>
      <c r="D4895" s="600"/>
      <c r="E4895" s="600"/>
      <c r="F4895" s="600"/>
      <c r="G4895" s="600"/>
      <c r="H4895" s="600"/>
    </row>
    <row r="4896" spans="1:8">
      <c r="A4896" s="600"/>
      <c r="B4896" s="600"/>
      <c r="C4896" s="600"/>
      <c r="D4896" s="600"/>
      <c r="E4896" s="600"/>
      <c r="F4896" s="600"/>
      <c r="G4896" s="600"/>
      <c r="H4896" s="600"/>
    </row>
    <row r="4897" spans="1:8">
      <c r="A4897" s="600"/>
      <c r="B4897" s="600"/>
      <c r="C4897" s="600"/>
      <c r="D4897" s="600"/>
      <c r="E4897" s="600"/>
      <c r="F4897" s="600"/>
      <c r="G4897" s="600"/>
      <c r="H4897" s="600"/>
    </row>
    <row r="4898" spans="1:8">
      <c r="A4898" s="600"/>
      <c r="B4898" s="600"/>
      <c r="C4898" s="600"/>
      <c r="D4898" s="600"/>
      <c r="E4898" s="600"/>
      <c r="F4898" s="600"/>
      <c r="G4898" s="600"/>
      <c r="H4898" s="600"/>
    </row>
    <row r="4899" spans="1:8">
      <c r="A4899" s="600"/>
      <c r="B4899" s="600"/>
      <c r="C4899" s="600"/>
      <c r="D4899" s="600"/>
      <c r="E4899" s="600"/>
      <c r="F4899" s="600"/>
      <c r="G4899" s="600"/>
      <c r="H4899" s="600"/>
    </row>
    <row r="4900" spans="1:8">
      <c r="A4900" s="600"/>
      <c r="B4900" s="600"/>
      <c r="C4900" s="600"/>
      <c r="D4900" s="600"/>
      <c r="E4900" s="600"/>
      <c r="F4900" s="600"/>
      <c r="G4900" s="600"/>
      <c r="H4900" s="600"/>
    </row>
    <row r="4901" spans="1:8">
      <c r="A4901" s="600"/>
      <c r="B4901" s="600"/>
      <c r="C4901" s="600"/>
      <c r="D4901" s="600"/>
      <c r="E4901" s="600"/>
      <c r="F4901" s="600"/>
      <c r="G4901" s="600"/>
      <c r="H4901" s="600"/>
    </row>
    <row r="4902" spans="1:8">
      <c r="A4902" s="600"/>
      <c r="B4902" s="600"/>
      <c r="C4902" s="600"/>
      <c r="D4902" s="600"/>
      <c r="E4902" s="600"/>
      <c r="F4902" s="600"/>
      <c r="G4902" s="600"/>
      <c r="H4902" s="600"/>
    </row>
    <row r="4903" spans="1:8">
      <c r="A4903" s="600"/>
      <c r="B4903" s="600"/>
      <c r="C4903" s="600"/>
      <c r="D4903" s="600"/>
      <c r="E4903" s="600"/>
      <c r="F4903" s="600"/>
      <c r="G4903" s="600"/>
      <c r="H4903" s="600"/>
    </row>
    <row r="4904" spans="1:8">
      <c r="A4904" s="600"/>
      <c r="B4904" s="600"/>
      <c r="C4904" s="600"/>
      <c r="D4904" s="600"/>
      <c r="E4904" s="600"/>
      <c r="F4904" s="600"/>
      <c r="G4904" s="600"/>
      <c r="H4904" s="600"/>
    </row>
    <row r="4905" spans="1:8">
      <c r="A4905" s="600"/>
      <c r="B4905" s="600"/>
      <c r="C4905" s="600"/>
      <c r="D4905" s="600"/>
      <c r="E4905" s="600"/>
      <c r="F4905" s="600"/>
      <c r="G4905" s="600"/>
      <c r="H4905" s="600"/>
    </row>
    <row r="4906" spans="1:8">
      <c r="A4906" s="600"/>
      <c r="B4906" s="600"/>
      <c r="C4906" s="600"/>
      <c r="D4906" s="600"/>
      <c r="E4906" s="600"/>
      <c r="F4906" s="600"/>
      <c r="G4906" s="600"/>
      <c r="H4906" s="600"/>
    </row>
    <row r="4907" spans="1:8">
      <c r="A4907" s="600"/>
      <c r="B4907" s="600"/>
      <c r="C4907" s="600"/>
      <c r="D4907" s="600"/>
      <c r="E4907" s="600"/>
      <c r="F4907" s="600"/>
      <c r="G4907" s="600"/>
      <c r="H4907" s="600"/>
    </row>
    <row r="4908" spans="1:8">
      <c r="A4908" s="600"/>
      <c r="B4908" s="600"/>
      <c r="C4908" s="600"/>
      <c r="D4908" s="600"/>
      <c r="E4908" s="600"/>
      <c r="F4908" s="600"/>
      <c r="G4908" s="600"/>
      <c r="H4908" s="600"/>
    </row>
    <row r="4909" spans="1:8">
      <c r="A4909" s="600"/>
      <c r="B4909" s="600"/>
      <c r="C4909" s="600"/>
      <c r="D4909" s="600"/>
      <c r="E4909" s="600"/>
      <c r="F4909" s="600"/>
      <c r="G4909" s="600"/>
      <c r="H4909" s="600"/>
    </row>
    <row r="4910" spans="1:8">
      <c r="A4910" s="600"/>
      <c r="B4910" s="600"/>
      <c r="C4910" s="600"/>
      <c r="D4910" s="600"/>
      <c r="E4910" s="600"/>
      <c r="F4910" s="600"/>
      <c r="G4910" s="600"/>
      <c r="H4910" s="600"/>
    </row>
    <row r="4911" spans="1:8">
      <c r="A4911" s="600"/>
      <c r="B4911" s="600"/>
      <c r="C4911" s="600"/>
      <c r="D4911" s="600"/>
      <c r="E4911" s="600"/>
      <c r="F4911" s="600"/>
      <c r="G4911" s="600"/>
      <c r="H4911" s="600"/>
    </row>
    <row r="4912" spans="1:8">
      <c r="A4912" s="600"/>
      <c r="B4912" s="600"/>
      <c r="C4912" s="600"/>
      <c r="D4912" s="600"/>
      <c r="E4912" s="600"/>
      <c r="F4912" s="600"/>
      <c r="G4912" s="600"/>
      <c r="H4912" s="600"/>
    </row>
    <row r="4913" spans="1:8">
      <c r="A4913" s="600"/>
      <c r="B4913" s="600"/>
      <c r="C4913" s="600"/>
      <c r="D4913" s="600"/>
      <c r="E4913" s="600"/>
      <c r="F4913" s="600"/>
      <c r="G4913" s="600"/>
      <c r="H4913" s="600"/>
    </row>
    <row r="4914" spans="1:8">
      <c r="A4914" s="600"/>
      <c r="B4914" s="600"/>
      <c r="C4914" s="600"/>
      <c r="D4914" s="600"/>
      <c r="E4914" s="600"/>
      <c r="F4914" s="600"/>
      <c r="G4914" s="600"/>
      <c r="H4914" s="600"/>
    </row>
    <row r="4915" spans="1:8">
      <c r="A4915" s="600"/>
      <c r="B4915" s="600"/>
      <c r="C4915" s="600"/>
      <c r="D4915" s="600"/>
      <c r="E4915" s="600"/>
      <c r="F4915" s="600"/>
      <c r="G4915" s="600"/>
      <c r="H4915" s="600"/>
    </row>
    <row r="4916" spans="1:8">
      <c r="A4916" s="600"/>
      <c r="B4916" s="600"/>
      <c r="C4916" s="600"/>
      <c r="D4916" s="600"/>
      <c r="E4916" s="600"/>
      <c r="F4916" s="600"/>
      <c r="G4916" s="600"/>
      <c r="H4916" s="600"/>
    </row>
    <row r="4917" spans="1:8">
      <c r="A4917" s="600"/>
      <c r="B4917" s="600"/>
      <c r="C4917" s="600"/>
      <c r="D4917" s="600"/>
      <c r="E4917" s="600"/>
      <c r="F4917" s="600"/>
      <c r="G4917" s="600"/>
      <c r="H4917" s="600"/>
    </row>
    <row r="4918" spans="1:8">
      <c r="A4918" s="600"/>
      <c r="B4918" s="600"/>
      <c r="C4918" s="600"/>
      <c r="D4918" s="600"/>
      <c r="E4918" s="600"/>
      <c r="F4918" s="600"/>
      <c r="G4918" s="600"/>
      <c r="H4918" s="600"/>
    </row>
    <row r="4919" spans="1:8">
      <c r="A4919" s="600"/>
      <c r="B4919" s="600"/>
      <c r="C4919" s="600"/>
      <c r="D4919" s="600"/>
      <c r="E4919" s="600"/>
      <c r="F4919" s="600"/>
      <c r="G4919" s="600"/>
      <c r="H4919" s="600"/>
    </row>
    <row r="4920" spans="1:8">
      <c r="A4920" s="600"/>
      <c r="B4920" s="600"/>
      <c r="C4920" s="600"/>
      <c r="D4920" s="600"/>
      <c r="E4920" s="600"/>
      <c r="F4920" s="600"/>
      <c r="G4920" s="600"/>
      <c r="H4920" s="600"/>
    </row>
    <row r="4921" spans="1:8">
      <c r="A4921" s="600"/>
      <c r="B4921" s="600"/>
      <c r="C4921" s="600"/>
      <c r="D4921" s="600"/>
      <c r="E4921" s="600"/>
      <c r="F4921" s="600"/>
      <c r="G4921" s="600"/>
      <c r="H4921" s="600"/>
    </row>
    <row r="4922" spans="1:8">
      <c r="A4922" s="600"/>
      <c r="B4922" s="600"/>
      <c r="C4922" s="600"/>
      <c r="D4922" s="600"/>
      <c r="E4922" s="600"/>
      <c r="F4922" s="600"/>
      <c r="G4922" s="600"/>
      <c r="H4922" s="600"/>
    </row>
    <row r="4923" spans="1:8">
      <c r="A4923" s="600"/>
      <c r="B4923" s="600"/>
      <c r="C4923" s="600"/>
      <c r="D4923" s="600"/>
      <c r="E4923" s="600"/>
      <c r="F4923" s="600"/>
      <c r="G4923" s="600"/>
      <c r="H4923" s="600"/>
    </row>
    <row r="4924" spans="1:8">
      <c r="A4924" s="600"/>
      <c r="B4924" s="600"/>
      <c r="C4924" s="600"/>
      <c r="D4924" s="600"/>
      <c r="E4924" s="600"/>
      <c r="F4924" s="600"/>
      <c r="G4924" s="600"/>
      <c r="H4924" s="600"/>
    </row>
    <row r="4925" spans="1:8">
      <c r="A4925" s="600"/>
      <c r="B4925" s="600"/>
      <c r="C4925" s="600"/>
      <c r="D4925" s="600"/>
      <c r="E4925" s="600"/>
      <c r="F4925" s="600"/>
      <c r="G4925" s="600"/>
      <c r="H4925" s="600"/>
    </row>
    <row r="4926" spans="1:8">
      <c r="A4926" s="600"/>
      <c r="B4926" s="600"/>
      <c r="C4926" s="600"/>
      <c r="D4926" s="600"/>
      <c r="E4926" s="600"/>
      <c r="F4926" s="600"/>
      <c r="G4926" s="600"/>
      <c r="H4926" s="600"/>
    </row>
    <row r="4927" spans="1:8">
      <c r="A4927" s="600"/>
      <c r="B4927" s="600"/>
      <c r="C4927" s="600"/>
      <c r="D4927" s="600"/>
      <c r="E4927" s="600"/>
      <c r="F4927" s="600"/>
      <c r="G4927" s="600"/>
      <c r="H4927" s="600"/>
    </row>
    <row r="4928" spans="1:8">
      <c r="A4928" s="600"/>
      <c r="B4928" s="600"/>
      <c r="C4928" s="600"/>
      <c r="D4928" s="600"/>
      <c r="E4928" s="600"/>
      <c r="F4928" s="600"/>
      <c r="G4928" s="600"/>
      <c r="H4928" s="600"/>
    </row>
    <row r="4929" spans="1:8">
      <c r="A4929" s="600"/>
      <c r="B4929" s="600"/>
      <c r="C4929" s="600"/>
      <c r="D4929" s="600"/>
      <c r="E4929" s="600"/>
      <c r="F4929" s="600"/>
      <c r="G4929" s="600"/>
      <c r="H4929" s="600"/>
    </row>
    <row r="4930" spans="1:8">
      <c r="A4930" s="600"/>
      <c r="B4930" s="600"/>
      <c r="C4930" s="600"/>
      <c r="D4930" s="600"/>
      <c r="E4930" s="600"/>
      <c r="F4930" s="600"/>
      <c r="G4930" s="600"/>
      <c r="H4930" s="600"/>
    </row>
    <row r="4931" spans="1:8">
      <c r="A4931" s="600"/>
      <c r="B4931" s="600"/>
      <c r="C4931" s="600"/>
      <c r="D4931" s="600"/>
      <c r="E4931" s="600"/>
      <c r="F4931" s="600"/>
      <c r="G4931" s="600"/>
      <c r="H4931" s="600"/>
    </row>
    <row r="4932" spans="1:8">
      <c r="A4932" s="600"/>
      <c r="B4932" s="600"/>
      <c r="C4932" s="600"/>
      <c r="D4932" s="600"/>
      <c r="E4932" s="600"/>
      <c r="F4932" s="600"/>
      <c r="G4932" s="600"/>
      <c r="H4932" s="600"/>
    </row>
    <row r="4933" spans="1:8">
      <c r="A4933" s="600"/>
      <c r="B4933" s="600"/>
      <c r="C4933" s="600"/>
      <c r="D4933" s="600"/>
      <c r="E4933" s="600"/>
      <c r="F4933" s="600"/>
      <c r="G4933" s="600"/>
      <c r="H4933" s="600"/>
    </row>
    <row r="4934" spans="1:8">
      <c r="A4934" s="600"/>
      <c r="B4934" s="600"/>
      <c r="C4934" s="600"/>
      <c r="D4934" s="600"/>
      <c r="E4934" s="600"/>
      <c r="F4934" s="600"/>
      <c r="G4934" s="600"/>
      <c r="H4934" s="600"/>
    </row>
    <row r="4935" spans="1:8">
      <c r="A4935" s="600"/>
      <c r="B4935" s="600"/>
      <c r="C4935" s="600"/>
      <c r="D4935" s="600"/>
      <c r="E4935" s="600"/>
      <c r="F4935" s="600"/>
      <c r="G4935" s="600"/>
      <c r="H4935" s="600"/>
    </row>
    <row r="4936" spans="1:8">
      <c r="A4936" s="600"/>
      <c r="B4936" s="600"/>
      <c r="C4936" s="600"/>
      <c r="D4936" s="600"/>
      <c r="E4936" s="600"/>
      <c r="F4936" s="600"/>
      <c r="G4936" s="600"/>
      <c r="H4936" s="600"/>
    </row>
    <row r="4937" spans="1:8">
      <c r="A4937" s="600"/>
      <c r="B4937" s="600"/>
      <c r="C4937" s="600"/>
      <c r="D4937" s="600"/>
      <c r="E4937" s="600"/>
      <c r="F4937" s="600"/>
      <c r="G4937" s="600"/>
      <c r="H4937" s="600"/>
    </row>
    <row r="4938" spans="1:8">
      <c r="A4938" s="600"/>
      <c r="B4938" s="600"/>
      <c r="C4938" s="600"/>
      <c r="D4938" s="600"/>
      <c r="E4938" s="600"/>
      <c r="F4938" s="600"/>
      <c r="G4938" s="600"/>
      <c r="H4938" s="600"/>
    </row>
    <row r="4939" spans="1:8">
      <c r="A4939" s="600"/>
      <c r="B4939" s="600"/>
      <c r="C4939" s="600"/>
      <c r="D4939" s="600"/>
      <c r="E4939" s="600"/>
      <c r="F4939" s="600"/>
      <c r="G4939" s="600"/>
      <c r="H4939" s="600"/>
    </row>
    <row r="4940" spans="1:8">
      <c r="A4940" s="600"/>
      <c r="B4940" s="600"/>
      <c r="C4940" s="600"/>
      <c r="D4940" s="600"/>
      <c r="E4940" s="600"/>
      <c r="F4940" s="600"/>
      <c r="G4940" s="600"/>
      <c r="H4940" s="600"/>
    </row>
    <row r="4941" spans="1:8">
      <c r="A4941" s="600"/>
      <c r="B4941" s="600"/>
      <c r="C4941" s="600"/>
      <c r="D4941" s="600"/>
      <c r="E4941" s="600"/>
      <c r="F4941" s="600"/>
      <c r="G4941" s="600"/>
      <c r="H4941" s="600"/>
    </row>
    <row r="4942" spans="1:8">
      <c r="A4942" s="600"/>
      <c r="B4942" s="600"/>
      <c r="C4942" s="600"/>
      <c r="D4942" s="600"/>
      <c r="E4942" s="600"/>
      <c r="F4942" s="600"/>
      <c r="G4942" s="600"/>
      <c r="H4942" s="600"/>
    </row>
    <row r="4943" spans="1:8">
      <c r="A4943" s="600"/>
      <c r="B4943" s="600"/>
      <c r="C4943" s="600"/>
      <c r="D4943" s="600"/>
      <c r="E4943" s="600"/>
      <c r="F4943" s="600"/>
      <c r="G4943" s="600"/>
      <c r="H4943" s="600"/>
    </row>
    <row r="4944" spans="1:8">
      <c r="A4944" s="600"/>
      <c r="B4944" s="600"/>
      <c r="C4944" s="600"/>
      <c r="D4944" s="600"/>
      <c r="E4944" s="600"/>
      <c r="F4944" s="600"/>
      <c r="G4944" s="600"/>
      <c r="H4944" s="600"/>
    </row>
    <row r="4945" spans="1:8">
      <c r="A4945" s="600"/>
      <c r="B4945" s="600"/>
      <c r="C4945" s="600"/>
      <c r="D4945" s="600"/>
      <c r="E4945" s="600"/>
      <c r="F4945" s="600"/>
      <c r="G4945" s="600"/>
      <c r="H4945" s="600"/>
    </row>
    <row r="4946" spans="1:8">
      <c r="A4946" s="600"/>
      <c r="B4946" s="600"/>
      <c r="C4946" s="600"/>
      <c r="D4946" s="600"/>
      <c r="E4946" s="600"/>
      <c r="F4946" s="600"/>
      <c r="G4946" s="600"/>
      <c r="H4946" s="600"/>
    </row>
    <row r="4947" spans="1:8">
      <c r="A4947" s="600"/>
      <c r="B4947" s="600"/>
      <c r="C4947" s="600"/>
      <c r="D4947" s="600"/>
      <c r="E4947" s="600"/>
      <c r="F4947" s="600"/>
      <c r="G4947" s="600"/>
      <c r="H4947" s="600"/>
    </row>
    <row r="4948" spans="1:8">
      <c r="A4948" s="600"/>
      <c r="B4948" s="600"/>
      <c r="C4948" s="600"/>
      <c r="D4948" s="600"/>
      <c r="E4948" s="600"/>
      <c r="F4948" s="600"/>
      <c r="G4948" s="600"/>
      <c r="H4948" s="600"/>
    </row>
    <row r="4949" spans="1:8">
      <c r="A4949" s="600"/>
      <c r="B4949" s="600"/>
      <c r="C4949" s="600"/>
      <c r="D4949" s="600"/>
      <c r="E4949" s="600"/>
      <c r="F4949" s="600"/>
      <c r="G4949" s="600"/>
      <c r="H4949" s="600"/>
    </row>
    <row r="4950" spans="1:8">
      <c r="A4950" s="600"/>
      <c r="B4950" s="600"/>
      <c r="C4950" s="600"/>
      <c r="D4950" s="600"/>
      <c r="E4950" s="600"/>
      <c r="F4950" s="600"/>
      <c r="G4950" s="600"/>
      <c r="H4950" s="600"/>
    </row>
    <row r="4951" spans="1:8">
      <c r="A4951" s="600"/>
      <c r="B4951" s="600"/>
      <c r="C4951" s="600"/>
      <c r="D4951" s="600"/>
      <c r="E4951" s="600"/>
      <c r="F4951" s="600"/>
      <c r="G4951" s="600"/>
      <c r="H4951" s="600"/>
    </row>
    <row r="4952" spans="1:8">
      <c r="A4952" s="600"/>
      <c r="B4952" s="600"/>
      <c r="C4952" s="600"/>
      <c r="D4952" s="600"/>
      <c r="E4952" s="600"/>
      <c r="F4952" s="600"/>
      <c r="G4952" s="600"/>
      <c r="H4952" s="600"/>
    </row>
    <row r="4953" spans="1:8">
      <c r="A4953" s="600"/>
      <c r="B4953" s="600"/>
      <c r="C4953" s="600"/>
      <c r="D4953" s="600"/>
      <c r="E4953" s="600"/>
      <c r="F4953" s="600"/>
      <c r="G4953" s="600"/>
      <c r="H4953" s="600"/>
    </row>
    <row r="4954" spans="1:8">
      <c r="A4954" s="600"/>
      <c r="B4954" s="600"/>
      <c r="C4954" s="600"/>
      <c r="D4954" s="600"/>
      <c r="E4954" s="600"/>
      <c r="F4954" s="600"/>
      <c r="G4954" s="600"/>
      <c r="H4954" s="600"/>
    </row>
    <row r="4955" spans="1:8">
      <c r="A4955" s="600"/>
      <c r="B4955" s="600"/>
      <c r="C4955" s="600"/>
      <c r="D4955" s="600"/>
      <c r="E4955" s="600"/>
      <c r="F4955" s="600"/>
      <c r="G4955" s="600"/>
      <c r="H4955" s="600"/>
    </row>
    <row r="4956" spans="1:8">
      <c r="A4956" s="600"/>
      <c r="B4956" s="600"/>
      <c r="C4956" s="600"/>
      <c r="D4956" s="600"/>
      <c r="E4956" s="600"/>
      <c r="F4956" s="600"/>
      <c r="G4956" s="600"/>
      <c r="H4956" s="600"/>
    </row>
    <row r="4957" spans="1:8">
      <c r="A4957" s="600"/>
      <c r="B4957" s="600"/>
      <c r="C4957" s="600"/>
      <c r="D4957" s="600"/>
      <c r="E4957" s="600"/>
      <c r="F4957" s="600"/>
      <c r="G4957" s="600"/>
      <c r="H4957" s="600"/>
    </row>
    <row r="4958" spans="1:8">
      <c r="A4958" s="600"/>
      <c r="B4958" s="600"/>
      <c r="C4958" s="600"/>
      <c r="D4958" s="600"/>
      <c r="E4958" s="600"/>
      <c r="F4958" s="600"/>
      <c r="G4958" s="600"/>
      <c r="H4958" s="600"/>
    </row>
    <row r="4959" spans="1:8">
      <c r="A4959" s="600"/>
      <c r="B4959" s="600"/>
      <c r="C4959" s="600"/>
      <c r="D4959" s="600"/>
      <c r="E4959" s="600"/>
      <c r="F4959" s="600"/>
      <c r="G4959" s="600"/>
      <c r="H4959" s="600"/>
    </row>
    <row r="4960" spans="1:8">
      <c r="A4960" s="600"/>
      <c r="B4960" s="600"/>
      <c r="C4960" s="600"/>
      <c r="D4960" s="600"/>
      <c r="E4960" s="600"/>
      <c r="F4960" s="600"/>
      <c r="G4960" s="600"/>
      <c r="H4960" s="600"/>
    </row>
    <row r="4961" spans="1:8">
      <c r="A4961" s="600"/>
      <c r="B4961" s="600"/>
      <c r="C4961" s="600"/>
      <c r="D4961" s="600"/>
      <c r="E4961" s="600"/>
      <c r="F4961" s="600"/>
      <c r="G4961" s="600"/>
      <c r="H4961" s="600"/>
    </row>
    <row r="4962" spans="1:8">
      <c r="A4962" s="600"/>
      <c r="B4962" s="600"/>
      <c r="C4962" s="600"/>
      <c r="D4962" s="600"/>
      <c r="E4962" s="600"/>
      <c r="F4962" s="600"/>
      <c r="G4962" s="600"/>
      <c r="H4962" s="600"/>
    </row>
    <row r="4963" spans="1:8">
      <c r="A4963" s="600"/>
      <c r="B4963" s="600"/>
      <c r="C4963" s="600"/>
      <c r="D4963" s="600"/>
      <c r="E4963" s="600"/>
      <c r="F4963" s="600"/>
      <c r="G4963" s="600"/>
      <c r="H4963" s="600"/>
    </row>
    <row r="4964" spans="1:8">
      <c r="A4964" s="600"/>
      <c r="B4964" s="600"/>
      <c r="C4964" s="600"/>
      <c r="D4964" s="600"/>
      <c r="E4964" s="600"/>
      <c r="F4964" s="600"/>
      <c r="G4964" s="600"/>
      <c r="H4964" s="600"/>
    </row>
    <row r="4965" spans="1:8">
      <c r="A4965" s="600"/>
      <c r="B4965" s="600"/>
      <c r="C4965" s="600"/>
      <c r="D4965" s="600"/>
      <c r="E4965" s="600"/>
      <c r="F4965" s="600"/>
      <c r="G4965" s="600"/>
      <c r="H4965" s="600"/>
    </row>
    <row r="4966" spans="1:8">
      <c r="A4966" s="600"/>
      <c r="B4966" s="600"/>
      <c r="C4966" s="600"/>
      <c r="D4966" s="600"/>
      <c r="E4966" s="600"/>
      <c r="F4966" s="600"/>
      <c r="G4966" s="600"/>
      <c r="H4966" s="600"/>
    </row>
    <row r="4967" spans="1:8">
      <c r="A4967" s="600"/>
      <c r="B4967" s="600"/>
      <c r="C4967" s="600"/>
      <c r="D4967" s="600"/>
      <c r="E4967" s="600"/>
      <c r="F4967" s="600"/>
      <c r="G4967" s="600"/>
      <c r="H4967" s="600"/>
    </row>
    <row r="4968" spans="1:8">
      <c r="A4968" s="600"/>
      <c r="B4968" s="600"/>
      <c r="C4968" s="600"/>
      <c r="D4968" s="600"/>
      <c r="E4968" s="600"/>
      <c r="F4968" s="600"/>
      <c r="G4968" s="600"/>
      <c r="H4968" s="600"/>
    </row>
    <row r="4969" spans="1:8">
      <c r="A4969" s="600"/>
      <c r="B4969" s="600"/>
      <c r="C4969" s="600"/>
      <c r="D4969" s="600"/>
      <c r="E4969" s="600"/>
      <c r="F4969" s="600"/>
      <c r="G4969" s="600"/>
      <c r="H4969" s="600"/>
    </row>
    <row r="4970" spans="1:8">
      <c r="A4970" s="600"/>
      <c r="B4970" s="600"/>
      <c r="C4970" s="600"/>
      <c r="D4970" s="600"/>
      <c r="E4970" s="600"/>
      <c r="F4970" s="600"/>
      <c r="G4970" s="600"/>
      <c r="H4970" s="600"/>
    </row>
    <row r="4971" spans="1:8">
      <c r="A4971" s="600"/>
      <c r="B4971" s="600"/>
      <c r="C4971" s="600"/>
      <c r="D4971" s="600"/>
      <c r="E4971" s="600"/>
      <c r="F4971" s="600"/>
      <c r="G4971" s="600"/>
      <c r="H4971" s="600"/>
    </row>
    <row r="4972" spans="1:8">
      <c r="A4972" s="600"/>
      <c r="B4972" s="600"/>
      <c r="C4972" s="600"/>
      <c r="D4972" s="600"/>
      <c r="E4972" s="600"/>
      <c r="F4972" s="600"/>
      <c r="G4972" s="600"/>
      <c r="H4972" s="600"/>
    </row>
    <row r="4973" spans="1:8">
      <c r="A4973" s="600"/>
      <c r="B4973" s="600"/>
      <c r="C4973" s="600"/>
      <c r="D4973" s="600"/>
      <c r="E4973" s="600"/>
      <c r="F4973" s="600"/>
      <c r="G4973" s="600"/>
      <c r="H4973" s="600"/>
    </row>
    <row r="4974" spans="1:8">
      <c r="A4974" s="600"/>
      <c r="B4974" s="600"/>
      <c r="C4974" s="600"/>
      <c r="D4974" s="600"/>
      <c r="E4974" s="600"/>
      <c r="F4974" s="600"/>
      <c r="G4974" s="600"/>
      <c r="H4974" s="600"/>
    </row>
    <row r="4975" spans="1:8">
      <c r="A4975" s="600"/>
      <c r="B4975" s="600"/>
      <c r="C4975" s="600"/>
      <c r="D4975" s="600"/>
      <c r="E4975" s="600"/>
      <c r="F4975" s="600"/>
      <c r="G4975" s="600"/>
      <c r="H4975" s="600"/>
    </row>
    <row r="4976" spans="1:8">
      <c r="A4976" s="600"/>
      <c r="B4976" s="600"/>
      <c r="C4976" s="600"/>
      <c r="D4976" s="600"/>
      <c r="E4976" s="600"/>
      <c r="F4976" s="600"/>
      <c r="G4976" s="600"/>
      <c r="H4976" s="600"/>
    </row>
    <row r="4977" spans="1:8">
      <c r="A4977" s="600"/>
      <c r="B4977" s="600"/>
      <c r="C4977" s="600"/>
      <c r="D4977" s="600"/>
      <c r="E4977" s="600"/>
      <c r="F4977" s="600"/>
      <c r="G4977" s="600"/>
      <c r="H4977" s="600"/>
    </row>
    <row r="4978" spans="1:8">
      <c r="A4978" s="600"/>
      <c r="B4978" s="600"/>
      <c r="C4978" s="600"/>
      <c r="D4978" s="600"/>
      <c r="E4978" s="600"/>
      <c r="F4978" s="600"/>
      <c r="G4978" s="600"/>
      <c r="H4978" s="600"/>
    </row>
    <row r="4979" spans="1:8">
      <c r="A4979" s="600"/>
      <c r="B4979" s="600"/>
      <c r="C4979" s="600"/>
      <c r="D4979" s="600"/>
      <c r="E4979" s="600"/>
      <c r="F4979" s="600"/>
      <c r="G4979" s="600"/>
      <c r="H4979" s="600"/>
    </row>
    <row r="4980" spans="1:8">
      <c r="A4980" s="600"/>
      <c r="B4980" s="600"/>
      <c r="C4980" s="600"/>
      <c r="D4980" s="600"/>
      <c r="E4980" s="600"/>
      <c r="F4980" s="600"/>
      <c r="G4980" s="600"/>
      <c r="H4980" s="600"/>
    </row>
    <row r="4981" spans="1:8">
      <c r="A4981" s="600"/>
      <c r="B4981" s="600"/>
      <c r="C4981" s="600"/>
      <c r="D4981" s="600"/>
      <c r="E4981" s="600"/>
      <c r="F4981" s="600"/>
      <c r="G4981" s="600"/>
      <c r="H4981" s="600"/>
    </row>
    <row r="4982" spans="1:8">
      <c r="A4982" s="600"/>
      <c r="B4982" s="600"/>
      <c r="C4982" s="600"/>
      <c r="D4982" s="600"/>
      <c r="E4982" s="600"/>
      <c r="F4982" s="600"/>
      <c r="G4982" s="600"/>
      <c r="H4982" s="600"/>
    </row>
    <row r="4983" spans="1:8">
      <c r="A4983" s="600"/>
      <c r="B4983" s="600"/>
      <c r="C4983" s="600"/>
      <c r="D4983" s="600"/>
      <c r="E4983" s="600"/>
      <c r="F4983" s="600"/>
      <c r="G4983" s="600"/>
      <c r="H4983" s="600"/>
    </row>
    <row r="4984" spans="1:8">
      <c r="A4984" s="600"/>
      <c r="B4984" s="600"/>
      <c r="C4984" s="600"/>
      <c r="D4984" s="600"/>
      <c r="E4984" s="600"/>
      <c r="F4984" s="600"/>
      <c r="G4984" s="600"/>
      <c r="H4984" s="600"/>
    </row>
    <row r="4985" spans="1:8">
      <c r="A4985" s="600"/>
      <c r="B4985" s="600"/>
      <c r="C4985" s="600"/>
      <c r="D4985" s="600"/>
      <c r="E4985" s="600"/>
      <c r="F4985" s="600"/>
      <c r="G4985" s="600"/>
      <c r="H4985" s="600"/>
    </row>
    <row r="4986" spans="1:8">
      <c r="A4986" s="600"/>
      <c r="B4986" s="600"/>
      <c r="C4986" s="600"/>
      <c r="D4986" s="600"/>
      <c r="E4986" s="600"/>
      <c r="F4986" s="600"/>
      <c r="G4986" s="600"/>
      <c r="H4986" s="600"/>
    </row>
    <row r="4987" spans="1:8">
      <c r="A4987" s="600"/>
      <c r="B4987" s="600"/>
      <c r="C4987" s="600"/>
      <c r="D4987" s="600"/>
      <c r="E4987" s="600"/>
      <c r="F4987" s="600"/>
      <c r="G4987" s="600"/>
      <c r="H4987" s="600"/>
    </row>
    <row r="4988" spans="1:8">
      <c r="A4988" s="600"/>
      <c r="B4988" s="600"/>
      <c r="C4988" s="600"/>
      <c r="D4988" s="600"/>
      <c r="E4988" s="600"/>
      <c r="F4988" s="600"/>
      <c r="G4988" s="600"/>
      <c r="H4988" s="600"/>
    </row>
    <row r="4989" spans="1:8">
      <c r="A4989" s="600"/>
      <c r="B4989" s="600"/>
      <c r="C4989" s="600"/>
      <c r="D4989" s="600"/>
      <c r="E4989" s="600"/>
      <c r="F4989" s="600"/>
      <c r="G4989" s="600"/>
      <c r="H4989" s="600"/>
    </row>
    <row r="4990" spans="1:8">
      <c r="A4990" s="600"/>
      <c r="B4990" s="600"/>
      <c r="C4990" s="600"/>
      <c r="D4990" s="600"/>
      <c r="E4990" s="600"/>
      <c r="F4990" s="600"/>
      <c r="G4990" s="600"/>
      <c r="H4990" s="600"/>
    </row>
    <row r="4991" spans="1:8">
      <c r="A4991" s="600"/>
      <c r="B4991" s="600"/>
      <c r="C4991" s="600"/>
      <c r="D4991" s="600"/>
      <c r="E4991" s="600"/>
      <c r="F4991" s="600"/>
      <c r="G4991" s="600"/>
      <c r="H4991" s="600"/>
    </row>
    <row r="4992" spans="1:8">
      <c r="A4992" s="600"/>
      <c r="B4992" s="600"/>
      <c r="C4992" s="600"/>
      <c r="D4992" s="600"/>
      <c r="E4992" s="600"/>
      <c r="F4992" s="600"/>
      <c r="G4992" s="600"/>
      <c r="H4992" s="600"/>
    </row>
    <row r="4993" spans="1:8">
      <c r="A4993" s="600"/>
      <c r="B4993" s="600"/>
      <c r="C4993" s="600"/>
      <c r="D4993" s="600"/>
      <c r="E4993" s="600"/>
      <c r="F4993" s="600"/>
      <c r="G4993" s="600"/>
      <c r="H4993" s="600"/>
    </row>
    <row r="4994" spans="1:8">
      <c r="A4994" s="600"/>
      <c r="B4994" s="600"/>
      <c r="C4994" s="600"/>
      <c r="D4994" s="600"/>
      <c r="E4994" s="600"/>
      <c r="F4994" s="600"/>
      <c r="G4994" s="600"/>
      <c r="H4994" s="600"/>
    </row>
    <row r="4995" spans="1:8">
      <c r="A4995" s="600"/>
      <c r="B4995" s="600"/>
      <c r="C4995" s="600"/>
      <c r="D4995" s="600"/>
      <c r="E4995" s="600"/>
      <c r="F4995" s="600"/>
      <c r="G4995" s="600"/>
      <c r="H4995" s="600"/>
    </row>
    <row r="4996" spans="1:8">
      <c r="A4996" s="600"/>
      <c r="B4996" s="600"/>
      <c r="C4996" s="600"/>
      <c r="D4996" s="600"/>
      <c r="E4996" s="600"/>
      <c r="F4996" s="600"/>
      <c r="G4996" s="600"/>
      <c r="H4996" s="600"/>
    </row>
    <row r="4997" spans="1:8">
      <c r="A4997" s="600"/>
      <c r="B4997" s="600"/>
      <c r="C4997" s="600"/>
      <c r="D4997" s="600"/>
      <c r="E4997" s="600"/>
      <c r="F4997" s="600"/>
      <c r="G4997" s="600"/>
      <c r="H4997" s="600"/>
    </row>
    <row r="4998" spans="1:8">
      <c r="A4998" s="600"/>
      <c r="B4998" s="600"/>
      <c r="C4998" s="600"/>
      <c r="D4998" s="600"/>
      <c r="E4998" s="600"/>
      <c r="F4998" s="600"/>
      <c r="G4998" s="600"/>
      <c r="H4998" s="600"/>
    </row>
    <row r="4999" spans="1:8">
      <c r="A4999" s="600"/>
      <c r="B4999" s="600"/>
      <c r="C4999" s="600"/>
      <c r="D4999" s="600"/>
      <c r="E4999" s="600"/>
      <c r="F4999" s="600"/>
      <c r="G4999" s="600"/>
      <c r="H4999" s="600"/>
    </row>
    <row r="5000" spans="1:8">
      <c r="A5000" s="600"/>
      <c r="B5000" s="600"/>
      <c r="C5000" s="600"/>
      <c r="D5000" s="600"/>
      <c r="E5000" s="600"/>
      <c r="F5000" s="600"/>
      <c r="G5000" s="600"/>
      <c r="H5000" s="600"/>
    </row>
    <row r="5001" spans="1:8">
      <c r="A5001" s="600"/>
      <c r="B5001" s="600"/>
      <c r="C5001" s="600"/>
      <c r="D5001" s="600"/>
      <c r="E5001" s="600"/>
      <c r="F5001" s="600"/>
      <c r="G5001" s="600"/>
      <c r="H5001" s="600"/>
    </row>
    <row r="5002" spans="1:8">
      <c r="A5002" s="600"/>
      <c r="B5002" s="600"/>
      <c r="C5002" s="600"/>
      <c r="D5002" s="600"/>
      <c r="E5002" s="600"/>
      <c r="F5002" s="600"/>
      <c r="G5002" s="600"/>
      <c r="H5002" s="600"/>
    </row>
    <row r="5003" spans="1:8">
      <c r="A5003" s="600"/>
      <c r="B5003" s="600"/>
      <c r="C5003" s="600"/>
      <c r="D5003" s="600"/>
      <c r="E5003" s="600"/>
      <c r="F5003" s="600"/>
      <c r="G5003" s="600"/>
      <c r="H5003" s="600"/>
    </row>
    <row r="5004" spans="1:8">
      <c r="A5004" s="600"/>
      <c r="B5004" s="600"/>
      <c r="C5004" s="600"/>
      <c r="D5004" s="600"/>
      <c r="E5004" s="600"/>
      <c r="F5004" s="600"/>
      <c r="G5004" s="600"/>
      <c r="H5004" s="600"/>
    </row>
    <row r="5005" spans="1:8">
      <c r="A5005" s="600"/>
      <c r="B5005" s="600"/>
      <c r="C5005" s="600"/>
      <c r="D5005" s="600"/>
      <c r="E5005" s="600"/>
      <c r="F5005" s="600"/>
      <c r="G5005" s="600"/>
      <c r="H5005" s="600"/>
    </row>
    <row r="5006" spans="1:8">
      <c r="A5006" s="600"/>
      <c r="B5006" s="600"/>
      <c r="C5006" s="600"/>
      <c r="D5006" s="600"/>
      <c r="E5006" s="600"/>
      <c r="F5006" s="600"/>
      <c r="G5006" s="600"/>
      <c r="H5006" s="600"/>
    </row>
    <row r="5007" spans="1:8">
      <c r="A5007" s="600"/>
      <c r="B5007" s="600"/>
      <c r="C5007" s="600"/>
      <c r="D5007" s="600"/>
      <c r="E5007" s="600"/>
      <c r="F5007" s="600"/>
      <c r="G5007" s="600"/>
      <c r="H5007" s="600"/>
    </row>
    <row r="5008" spans="1:8">
      <c r="A5008" s="600"/>
      <c r="B5008" s="600"/>
      <c r="C5008" s="600"/>
      <c r="D5008" s="600"/>
      <c r="E5008" s="600"/>
      <c r="F5008" s="600"/>
      <c r="G5008" s="600"/>
      <c r="H5008" s="600"/>
    </row>
    <row r="5009" spans="1:8">
      <c r="A5009" s="600"/>
      <c r="B5009" s="600"/>
      <c r="C5009" s="600"/>
      <c r="D5009" s="600"/>
      <c r="E5009" s="600"/>
      <c r="F5009" s="600"/>
      <c r="G5009" s="600"/>
      <c r="H5009" s="600"/>
    </row>
    <row r="5010" spans="1:8">
      <c r="A5010" s="600"/>
      <c r="B5010" s="600"/>
      <c r="C5010" s="600"/>
      <c r="D5010" s="600"/>
      <c r="E5010" s="600"/>
      <c r="F5010" s="600"/>
      <c r="G5010" s="600"/>
      <c r="H5010" s="600"/>
    </row>
    <row r="5011" spans="1:8">
      <c r="A5011" s="600"/>
      <c r="B5011" s="600"/>
      <c r="C5011" s="600"/>
      <c r="D5011" s="600"/>
      <c r="E5011" s="600"/>
      <c r="F5011" s="600"/>
      <c r="G5011" s="600"/>
      <c r="H5011" s="600"/>
    </row>
    <row r="5012" spans="1:8">
      <c r="A5012" s="600"/>
      <c r="B5012" s="600"/>
      <c r="C5012" s="600"/>
      <c r="D5012" s="600"/>
      <c r="E5012" s="600"/>
      <c r="F5012" s="600"/>
      <c r="G5012" s="600"/>
      <c r="H5012" s="600"/>
    </row>
    <row r="5013" spans="1:8">
      <c r="A5013" s="600"/>
      <c r="B5013" s="600"/>
      <c r="C5013" s="600"/>
      <c r="D5013" s="600"/>
      <c r="E5013" s="600"/>
      <c r="F5013" s="600"/>
      <c r="G5013" s="600"/>
      <c r="H5013" s="600"/>
    </row>
    <row r="5014" spans="1:8">
      <c r="A5014" s="600"/>
      <c r="B5014" s="600"/>
      <c r="C5014" s="600"/>
      <c r="D5014" s="600"/>
      <c r="E5014" s="600"/>
      <c r="F5014" s="600"/>
      <c r="G5014" s="600"/>
      <c r="H5014" s="600"/>
    </row>
    <row r="5015" spans="1:8">
      <c r="A5015" s="600"/>
      <c r="B5015" s="600"/>
      <c r="C5015" s="600"/>
      <c r="D5015" s="600"/>
      <c r="E5015" s="600"/>
      <c r="F5015" s="600"/>
      <c r="G5015" s="600"/>
      <c r="H5015" s="600"/>
    </row>
    <row r="5016" spans="1:8">
      <c r="A5016" s="600"/>
      <c r="B5016" s="600"/>
      <c r="C5016" s="600"/>
      <c r="D5016" s="600"/>
      <c r="E5016" s="600"/>
      <c r="F5016" s="600"/>
      <c r="G5016" s="600"/>
      <c r="H5016" s="600"/>
    </row>
    <row r="5017" spans="1:8">
      <c r="A5017" s="600"/>
      <c r="B5017" s="600"/>
      <c r="C5017" s="600"/>
      <c r="D5017" s="600"/>
      <c r="E5017" s="600"/>
      <c r="F5017" s="600"/>
      <c r="G5017" s="600"/>
      <c r="H5017" s="600"/>
    </row>
    <row r="5018" spans="1:8">
      <c r="A5018" s="600"/>
      <c r="B5018" s="600"/>
      <c r="C5018" s="600"/>
      <c r="D5018" s="600"/>
      <c r="E5018" s="600"/>
      <c r="F5018" s="600"/>
      <c r="G5018" s="600"/>
      <c r="H5018" s="600"/>
    </row>
    <row r="5019" spans="1:8">
      <c r="A5019" s="600"/>
      <c r="B5019" s="600"/>
      <c r="C5019" s="600"/>
      <c r="D5019" s="600"/>
      <c r="E5019" s="600"/>
      <c r="F5019" s="600"/>
      <c r="G5019" s="600"/>
      <c r="H5019" s="600"/>
    </row>
    <row r="5020" spans="1:8">
      <c r="A5020" s="600"/>
      <c r="B5020" s="600"/>
      <c r="C5020" s="600"/>
      <c r="D5020" s="600"/>
      <c r="E5020" s="600"/>
      <c r="F5020" s="600"/>
      <c r="G5020" s="600"/>
      <c r="H5020" s="600"/>
    </row>
    <row r="5021" spans="1:8">
      <c r="A5021" s="600"/>
      <c r="B5021" s="600"/>
      <c r="C5021" s="600"/>
      <c r="D5021" s="600"/>
      <c r="E5021" s="600"/>
      <c r="F5021" s="600"/>
      <c r="G5021" s="600"/>
      <c r="H5021" s="600"/>
    </row>
    <row r="5022" spans="1:8">
      <c r="A5022" s="600"/>
      <c r="B5022" s="600"/>
      <c r="C5022" s="600"/>
      <c r="D5022" s="600"/>
      <c r="E5022" s="600"/>
      <c r="F5022" s="600"/>
      <c r="G5022" s="600"/>
      <c r="H5022" s="600"/>
    </row>
    <row r="5023" spans="1:8">
      <c r="A5023" s="600"/>
      <c r="B5023" s="600"/>
      <c r="C5023" s="600"/>
      <c r="D5023" s="600"/>
      <c r="E5023" s="600"/>
      <c r="F5023" s="600"/>
      <c r="G5023" s="600"/>
      <c r="H5023" s="600"/>
    </row>
    <row r="5024" spans="1:8">
      <c r="A5024" s="600"/>
      <c r="B5024" s="600"/>
      <c r="C5024" s="600"/>
      <c r="D5024" s="600"/>
      <c r="E5024" s="600"/>
      <c r="F5024" s="600"/>
      <c r="G5024" s="600"/>
      <c r="H5024" s="600"/>
    </row>
    <row r="5025" spans="1:8">
      <c r="A5025" s="600"/>
      <c r="B5025" s="600"/>
      <c r="C5025" s="600"/>
      <c r="D5025" s="600"/>
      <c r="E5025" s="600"/>
      <c r="F5025" s="600"/>
      <c r="G5025" s="600"/>
      <c r="H5025" s="600"/>
    </row>
    <row r="5026" spans="1:8">
      <c r="A5026" s="600"/>
      <c r="B5026" s="600"/>
      <c r="C5026" s="600"/>
      <c r="D5026" s="600"/>
      <c r="E5026" s="600"/>
      <c r="F5026" s="600"/>
      <c r="G5026" s="600"/>
      <c r="H5026" s="600"/>
    </row>
    <row r="5027" spans="1:8">
      <c r="A5027" s="600"/>
      <c r="B5027" s="600"/>
      <c r="C5027" s="600"/>
      <c r="D5027" s="600"/>
      <c r="E5027" s="600"/>
      <c r="F5027" s="600"/>
      <c r="G5027" s="600"/>
      <c r="H5027" s="600"/>
    </row>
    <row r="5028" spans="1:8">
      <c r="A5028" s="600"/>
      <c r="B5028" s="600"/>
      <c r="C5028" s="600"/>
      <c r="D5028" s="600"/>
      <c r="E5028" s="600"/>
      <c r="F5028" s="600"/>
      <c r="G5028" s="600"/>
      <c r="H5028" s="600"/>
    </row>
    <row r="5029" spans="1:8">
      <c r="A5029" s="600"/>
      <c r="B5029" s="600"/>
      <c r="C5029" s="600"/>
      <c r="D5029" s="600"/>
      <c r="E5029" s="600"/>
      <c r="F5029" s="600"/>
      <c r="G5029" s="600"/>
      <c r="H5029" s="600"/>
    </row>
    <row r="5030" spans="1:8">
      <c r="A5030" s="600"/>
      <c r="B5030" s="600"/>
      <c r="C5030" s="600"/>
      <c r="D5030" s="600"/>
      <c r="E5030" s="600"/>
      <c r="F5030" s="600"/>
      <c r="G5030" s="600"/>
      <c r="H5030" s="600"/>
    </row>
    <row r="5031" spans="1:8">
      <c r="A5031" s="600"/>
      <c r="B5031" s="600"/>
      <c r="C5031" s="600"/>
      <c r="D5031" s="600"/>
      <c r="E5031" s="600"/>
      <c r="F5031" s="600"/>
      <c r="G5031" s="600"/>
      <c r="H5031" s="600"/>
    </row>
    <row r="5032" spans="1:8">
      <c r="A5032" s="600"/>
      <c r="B5032" s="600"/>
      <c r="C5032" s="600"/>
      <c r="D5032" s="600"/>
      <c r="E5032" s="600"/>
      <c r="F5032" s="600"/>
      <c r="G5032" s="600"/>
      <c r="H5032" s="600"/>
    </row>
    <row r="5033" spans="1:8">
      <c r="A5033" s="600"/>
      <c r="B5033" s="600"/>
      <c r="C5033" s="600"/>
      <c r="D5033" s="600"/>
      <c r="E5033" s="600"/>
      <c r="F5033" s="600"/>
      <c r="G5033" s="600"/>
      <c r="H5033" s="600"/>
    </row>
    <row r="5034" spans="1:8">
      <c r="A5034" s="600"/>
      <c r="B5034" s="600"/>
      <c r="C5034" s="600"/>
      <c r="D5034" s="600"/>
      <c r="E5034" s="600"/>
      <c r="F5034" s="600"/>
      <c r="G5034" s="600"/>
      <c r="H5034" s="600"/>
    </row>
    <row r="5035" spans="1:8">
      <c r="A5035" s="600"/>
      <c r="B5035" s="600"/>
      <c r="C5035" s="600"/>
      <c r="D5035" s="600"/>
      <c r="E5035" s="600"/>
      <c r="F5035" s="600"/>
      <c r="G5035" s="600"/>
      <c r="H5035" s="600"/>
    </row>
    <row r="5036" spans="1:8">
      <c r="A5036" s="600"/>
      <c r="B5036" s="600"/>
      <c r="C5036" s="600"/>
      <c r="D5036" s="600"/>
      <c r="E5036" s="600"/>
      <c r="F5036" s="600"/>
      <c r="G5036" s="600"/>
      <c r="H5036" s="600"/>
    </row>
    <row r="5037" spans="1:8">
      <c r="A5037" s="600"/>
      <c r="B5037" s="600"/>
      <c r="C5037" s="600"/>
      <c r="D5037" s="600"/>
      <c r="E5037" s="600"/>
      <c r="F5037" s="600"/>
      <c r="G5037" s="600"/>
      <c r="H5037" s="600"/>
    </row>
    <row r="5038" spans="1:8">
      <c r="A5038" s="600"/>
      <c r="B5038" s="600"/>
      <c r="C5038" s="600"/>
      <c r="D5038" s="600"/>
      <c r="E5038" s="600"/>
      <c r="F5038" s="600"/>
      <c r="G5038" s="600"/>
      <c r="H5038" s="600"/>
    </row>
    <row r="5039" spans="1:8">
      <c r="A5039" s="600"/>
      <c r="B5039" s="600"/>
      <c r="C5039" s="600"/>
      <c r="D5039" s="600"/>
      <c r="E5039" s="600"/>
      <c r="F5039" s="600"/>
      <c r="G5039" s="600"/>
      <c r="H5039" s="600"/>
    </row>
    <row r="5040" spans="1:8">
      <c r="A5040" s="600"/>
      <c r="B5040" s="600"/>
      <c r="C5040" s="600"/>
      <c r="D5040" s="600"/>
      <c r="E5040" s="600"/>
      <c r="F5040" s="600"/>
      <c r="G5040" s="600"/>
      <c r="H5040" s="600"/>
    </row>
    <row r="5041" spans="1:8">
      <c r="A5041" s="600"/>
      <c r="B5041" s="600"/>
      <c r="C5041" s="600"/>
      <c r="D5041" s="600"/>
      <c r="E5041" s="600"/>
      <c r="F5041" s="600"/>
      <c r="G5041" s="600"/>
      <c r="H5041" s="600"/>
    </row>
    <row r="5042" spans="1:8">
      <c r="A5042" s="600"/>
      <c r="B5042" s="600"/>
      <c r="C5042" s="600"/>
      <c r="D5042" s="600"/>
      <c r="E5042" s="600"/>
      <c r="F5042" s="600"/>
      <c r="G5042" s="600"/>
      <c r="H5042" s="600"/>
    </row>
    <row r="5043" spans="1:8">
      <c r="A5043" s="600"/>
      <c r="B5043" s="600"/>
      <c r="C5043" s="600"/>
      <c r="D5043" s="600"/>
      <c r="E5043" s="600"/>
      <c r="F5043" s="600"/>
      <c r="G5043" s="600"/>
      <c r="H5043" s="600"/>
    </row>
    <row r="5044" spans="1:8">
      <c r="A5044" s="600"/>
      <c r="B5044" s="600"/>
      <c r="C5044" s="600"/>
      <c r="D5044" s="600"/>
      <c r="E5044" s="600"/>
      <c r="F5044" s="600"/>
      <c r="G5044" s="600"/>
      <c r="H5044" s="600"/>
    </row>
    <row r="5045" spans="1:8">
      <c r="A5045" s="600"/>
      <c r="B5045" s="600"/>
      <c r="C5045" s="600"/>
      <c r="D5045" s="600"/>
      <c r="E5045" s="600"/>
      <c r="F5045" s="600"/>
      <c r="G5045" s="600"/>
      <c r="H5045" s="600"/>
    </row>
    <row r="5046" spans="1:8">
      <c r="A5046" s="600"/>
      <c r="B5046" s="600"/>
      <c r="C5046" s="600"/>
      <c r="D5046" s="600"/>
      <c r="E5046" s="600"/>
      <c r="F5046" s="600"/>
      <c r="G5046" s="600"/>
      <c r="H5046" s="600"/>
    </row>
    <row r="5047" spans="1:8">
      <c r="A5047" s="600"/>
      <c r="B5047" s="600"/>
      <c r="C5047" s="600"/>
      <c r="D5047" s="600"/>
      <c r="E5047" s="600"/>
      <c r="F5047" s="600"/>
      <c r="G5047" s="600"/>
      <c r="H5047" s="600"/>
    </row>
    <row r="5048" spans="1:8">
      <c r="A5048" s="600"/>
      <c r="B5048" s="600"/>
      <c r="C5048" s="600"/>
      <c r="D5048" s="600"/>
      <c r="E5048" s="600"/>
      <c r="F5048" s="600"/>
      <c r="G5048" s="600"/>
      <c r="H5048" s="600"/>
    </row>
    <row r="5049" spans="1:8">
      <c r="A5049" s="600"/>
      <c r="B5049" s="600"/>
      <c r="C5049" s="600"/>
      <c r="D5049" s="600"/>
      <c r="E5049" s="600"/>
      <c r="F5049" s="600"/>
      <c r="G5049" s="600"/>
      <c r="H5049" s="600"/>
    </row>
    <row r="5050" spans="1:8">
      <c r="A5050" s="600"/>
      <c r="B5050" s="600"/>
      <c r="C5050" s="600"/>
      <c r="D5050" s="600"/>
      <c r="E5050" s="600"/>
      <c r="F5050" s="600"/>
      <c r="G5050" s="600"/>
      <c r="H5050" s="600"/>
    </row>
    <row r="5051" spans="1:8">
      <c r="A5051" s="600"/>
      <c r="B5051" s="600"/>
      <c r="C5051" s="600"/>
      <c r="D5051" s="600"/>
      <c r="E5051" s="600"/>
      <c r="F5051" s="600"/>
      <c r="G5051" s="600"/>
      <c r="H5051" s="600"/>
    </row>
    <row r="5052" spans="1:8">
      <c r="A5052" s="600"/>
      <c r="B5052" s="600"/>
      <c r="C5052" s="600"/>
      <c r="D5052" s="600"/>
      <c r="E5052" s="600"/>
      <c r="F5052" s="600"/>
      <c r="G5052" s="600"/>
      <c r="H5052" s="600"/>
    </row>
    <row r="5053" spans="1:8">
      <c r="A5053" s="600"/>
      <c r="B5053" s="600"/>
      <c r="C5053" s="600"/>
      <c r="D5053" s="600"/>
      <c r="E5053" s="600"/>
      <c r="F5053" s="600"/>
      <c r="G5053" s="600"/>
      <c r="H5053" s="600"/>
    </row>
    <row r="5054" spans="1:8">
      <c r="A5054" s="600"/>
      <c r="B5054" s="600"/>
      <c r="C5054" s="600"/>
      <c r="D5054" s="600"/>
      <c r="E5054" s="600"/>
      <c r="F5054" s="600"/>
      <c r="G5054" s="600"/>
      <c r="H5054" s="600"/>
    </row>
    <row r="5055" spans="1:8">
      <c r="A5055" s="600"/>
      <c r="B5055" s="600"/>
      <c r="C5055" s="600"/>
      <c r="D5055" s="600"/>
      <c r="E5055" s="600"/>
      <c r="F5055" s="600"/>
      <c r="G5055" s="600"/>
      <c r="H5055" s="600"/>
    </row>
    <row r="5056" spans="1:8">
      <c r="A5056" s="600"/>
      <c r="B5056" s="600"/>
      <c r="C5056" s="600"/>
      <c r="D5056" s="600"/>
      <c r="E5056" s="600"/>
      <c r="F5056" s="600"/>
      <c r="G5056" s="600"/>
      <c r="H5056" s="600"/>
    </row>
    <row r="5057" spans="1:8">
      <c r="A5057" s="600"/>
      <c r="B5057" s="600"/>
      <c r="C5057" s="600"/>
      <c r="D5057" s="600"/>
      <c r="E5057" s="600"/>
      <c r="F5057" s="600"/>
      <c r="G5057" s="600"/>
      <c r="H5057" s="600"/>
    </row>
    <row r="5058" spans="1:8">
      <c r="A5058" s="600"/>
      <c r="B5058" s="600"/>
      <c r="C5058" s="600"/>
      <c r="D5058" s="600"/>
      <c r="E5058" s="600"/>
      <c r="F5058" s="600"/>
      <c r="G5058" s="600"/>
      <c r="H5058" s="600"/>
    </row>
    <row r="5059" spans="1:8">
      <c r="A5059" s="600"/>
      <c r="B5059" s="600"/>
      <c r="C5059" s="600"/>
      <c r="D5059" s="600"/>
      <c r="E5059" s="600"/>
      <c r="F5059" s="600"/>
      <c r="G5059" s="600"/>
      <c r="H5059" s="600"/>
    </row>
    <row r="5060" spans="1:8">
      <c r="A5060" s="600"/>
      <c r="B5060" s="600"/>
      <c r="C5060" s="600"/>
      <c r="D5060" s="600"/>
      <c r="E5060" s="600"/>
      <c r="F5060" s="600"/>
      <c r="G5060" s="600"/>
      <c r="H5060" s="600"/>
    </row>
    <row r="5061" spans="1:8">
      <c r="A5061" s="600"/>
      <c r="B5061" s="600"/>
      <c r="C5061" s="600"/>
      <c r="D5061" s="600"/>
      <c r="E5061" s="600"/>
      <c r="F5061" s="600"/>
      <c r="G5061" s="600"/>
      <c r="H5061" s="600"/>
    </row>
    <row r="5062" spans="1:8">
      <c r="A5062" s="732"/>
      <c r="B5062" s="732"/>
      <c r="C5062" s="732"/>
      <c r="D5062" s="732"/>
      <c r="E5062" s="732"/>
      <c r="F5062" s="732"/>
      <c r="G5062" s="732"/>
      <c r="H5062" s="732"/>
    </row>
    <row r="5063" spans="1:8">
      <c r="A5063" s="173"/>
      <c r="B5063" s="173"/>
      <c r="C5063" s="173"/>
      <c r="D5063" s="173"/>
      <c r="E5063" s="173"/>
      <c r="F5063" s="173"/>
      <c r="G5063" s="173"/>
      <c r="H5063" s="173"/>
    </row>
    <row r="5064" spans="1:8">
      <c r="A5064" s="173"/>
      <c r="B5064" s="173"/>
      <c r="C5064" s="173"/>
      <c r="D5064" s="173"/>
      <c r="E5064" s="173"/>
      <c r="F5064" s="173"/>
      <c r="G5064" s="173"/>
      <c r="H5064" s="173"/>
    </row>
    <row r="5065" spans="1:8">
      <c r="A5065" s="173"/>
      <c r="B5065" s="173"/>
      <c r="C5065" s="173"/>
      <c r="D5065" s="173"/>
      <c r="E5065" s="173"/>
      <c r="F5065" s="173"/>
      <c r="G5065" s="173"/>
      <c r="H5065" s="173"/>
    </row>
    <row r="5066" spans="1:8">
      <c r="A5066" s="173"/>
      <c r="B5066" s="173"/>
      <c r="C5066" s="173"/>
      <c r="D5066" s="173"/>
      <c r="E5066" s="173"/>
      <c r="F5066" s="173"/>
      <c r="G5066" s="173"/>
      <c r="H5066" s="173"/>
    </row>
    <row r="5067" spans="1:8">
      <c r="A5067" s="173"/>
      <c r="B5067" s="173"/>
      <c r="C5067" s="173"/>
      <c r="D5067" s="173"/>
      <c r="E5067" s="173"/>
      <c r="F5067" s="173"/>
      <c r="G5067" s="173"/>
      <c r="H5067" s="173"/>
    </row>
    <row r="5068" spans="1:8">
      <c r="A5068" s="173"/>
      <c r="B5068" s="173"/>
      <c r="C5068" s="173"/>
      <c r="D5068" s="173"/>
      <c r="E5068" s="173"/>
      <c r="F5068" s="173"/>
      <c r="G5068" s="173"/>
      <c r="H5068" s="173"/>
    </row>
    <row r="5069" spans="1:8">
      <c r="A5069" s="173"/>
      <c r="B5069" s="173"/>
      <c r="C5069" s="173"/>
      <c r="D5069" s="173"/>
      <c r="E5069" s="173"/>
      <c r="F5069" s="173"/>
      <c r="G5069" s="173"/>
      <c r="H5069" s="173"/>
    </row>
    <row r="5070" spans="1:8">
      <c r="A5070" s="173"/>
      <c r="B5070" s="173"/>
      <c r="C5070" s="173"/>
      <c r="D5070" s="173"/>
      <c r="E5070" s="173"/>
      <c r="F5070" s="173"/>
      <c r="G5070" s="173"/>
      <c r="H5070" s="173"/>
    </row>
    <row r="5071" spans="1:8">
      <c r="A5071" s="173"/>
      <c r="B5071" s="173"/>
      <c r="C5071" s="173"/>
      <c r="D5071" s="173"/>
      <c r="E5071" s="173"/>
      <c r="F5071" s="173"/>
      <c r="G5071" s="173"/>
      <c r="H5071" s="173"/>
    </row>
    <row r="5072" spans="1:8">
      <c r="A5072" s="173"/>
      <c r="B5072" s="173"/>
      <c r="C5072" s="173"/>
      <c r="D5072" s="173"/>
      <c r="E5072" s="173"/>
      <c r="F5072" s="173"/>
      <c r="G5072" s="173"/>
      <c r="H5072" s="173"/>
    </row>
    <row r="5073" spans="1:8">
      <c r="A5073" s="173"/>
      <c r="B5073" s="173"/>
      <c r="C5073" s="173"/>
      <c r="D5073" s="173"/>
      <c r="E5073" s="173"/>
      <c r="F5073" s="173"/>
      <c r="G5073" s="173"/>
      <c r="H5073" s="173"/>
    </row>
    <row r="5074" spans="1:8">
      <c r="A5074" s="173"/>
      <c r="B5074" s="173"/>
      <c r="C5074" s="173"/>
      <c r="D5074" s="173"/>
      <c r="E5074" s="173"/>
      <c r="F5074" s="173"/>
      <c r="G5074" s="173"/>
      <c r="H5074" s="173"/>
    </row>
    <row r="5075" spans="1:8">
      <c r="A5075" s="173"/>
      <c r="B5075" s="173"/>
      <c r="C5075" s="173"/>
      <c r="D5075" s="173"/>
      <c r="E5075" s="173"/>
      <c r="F5075" s="173"/>
      <c r="G5075" s="173"/>
      <c r="H5075" s="173"/>
    </row>
    <row r="5076" spans="1:8">
      <c r="A5076" s="173"/>
      <c r="B5076" s="173"/>
      <c r="C5076" s="173"/>
      <c r="D5076" s="173"/>
      <c r="E5076" s="173"/>
      <c r="F5076" s="173"/>
      <c r="G5076" s="173"/>
      <c r="H5076" s="173"/>
    </row>
    <row r="5077" spans="1:8">
      <c r="A5077" s="173"/>
      <c r="B5077" s="173"/>
      <c r="C5077" s="173"/>
      <c r="D5077" s="173"/>
      <c r="E5077" s="173"/>
      <c r="F5077" s="173"/>
      <c r="G5077" s="173"/>
      <c r="H5077" s="173"/>
    </row>
    <row r="5078" spans="1:8">
      <c r="A5078" s="173"/>
      <c r="B5078" s="173"/>
      <c r="C5078" s="173"/>
      <c r="D5078" s="173"/>
      <c r="E5078" s="173"/>
      <c r="F5078" s="173"/>
      <c r="G5078" s="173"/>
      <c r="H5078" s="173"/>
    </row>
    <row r="5079" spans="1:8">
      <c r="A5079" s="173"/>
      <c r="B5079" s="173"/>
      <c r="C5079" s="173"/>
      <c r="D5079" s="173"/>
      <c r="E5079" s="173"/>
      <c r="F5079" s="173"/>
      <c r="G5079" s="173"/>
      <c r="H5079" s="173"/>
    </row>
  </sheetData>
  <sheetProtection algorithmName="SHA-512" hashValue="w56ZlaYXbaBbwEQu5A9tEu9DEnJpOgUvdBRTfKO6JI05EgzVSq1jUJHLd2tyIbqJNR5iz3mMrhtmB/bDVTdlUg==" saltValue="F90bIsPX1JhnI0N5NQak0g==" spinCount="100000" sheet="1" objects="1" scenarios="1"/>
  <mergeCells count="20">
    <mergeCell ref="B14:B25"/>
    <mergeCell ref="J14:J25"/>
    <mergeCell ref="I8:J8"/>
    <mergeCell ref="N8:O8"/>
    <mergeCell ref="D11:H11"/>
    <mergeCell ref="J11:K13"/>
    <mergeCell ref="L11:P11"/>
    <mergeCell ref="D8:E8"/>
    <mergeCell ref="B11:C13"/>
    <mergeCell ref="H1:I1"/>
    <mergeCell ref="X1:AA1"/>
    <mergeCell ref="B6:N6"/>
    <mergeCell ref="B7:N7"/>
    <mergeCell ref="AE1:AF1"/>
    <mergeCell ref="Q3:AD4"/>
    <mergeCell ref="Q5:AD6"/>
    <mergeCell ref="AC1:AD1"/>
    <mergeCell ref="B3:N3"/>
    <mergeCell ref="B4:N4"/>
    <mergeCell ref="B5:N5"/>
  </mergeCells>
  <hyperlinks>
    <hyperlink ref="X1" r:id="rId1" xr:uid="{FC4E000C-AE4D-4AED-9612-C86B66FAE3D5}"/>
  </hyperlinks>
  <pageMargins left="0.7" right="0.7" top="0.75" bottom="0.75" header="0.3" footer="0.3"/>
  <pageSetup paperSize="9" orientation="portrait" r:id="rId2"/>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CF07114-7A5D-4F2E-88AB-36A7BE6FB32D}">
  <sheetPr codeName="Sheet13">
    <tabColor rgb="FFC0FFFF"/>
  </sheetPr>
  <dimension ref="A1:X95"/>
  <sheetViews>
    <sheetView showGridLines="0" showRowColHeaders="0" zoomScale="115" zoomScaleNormal="115" workbookViewId="0"/>
  </sheetViews>
  <sheetFormatPr defaultRowHeight="15"/>
  <cols>
    <col min="1" max="1" width="4.42578125" style="735" customWidth="1"/>
    <col min="2" max="2" width="13.7109375" style="735" customWidth="1"/>
    <col min="3" max="15" width="9.140625" style="735"/>
    <col min="16" max="21" width="10.42578125" style="735" customWidth="1"/>
    <col min="22" max="16384" width="9.140625" style="735"/>
  </cols>
  <sheetData>
    <row r="1" spans="1:24" ht="26.25" customHeight="1">
      <c r="A1" s="843"/>
      <c r="B1" s="844" t="s">
        <v>2111</v>
      </c>
      <c r="C1" s="845"/>
      <c r="D1" s="845"/>
      <c r="E1" s="845"/>
      <c r="F1" s="845"/>
      <c r="G1" s="846"/>
      <c r="H1" s="846"/>
      <c r="I1" s="846"/>
      <c r="J1" s="846"/>
      <c r="K1" s="846"/>
      <c r="L1" s="846"/>
      <c r="M1" s="846"/>
      <c r="N1" s="1014" t="e" vm="1">
        <v>#VALUE!</v>
      </c>
      <c r="O1" s="1014"/>
      <c r="P1" s="1025" t="s">
        <v>2</v>
      </c>
      <c r="Q1" s="1025"/>
      <c r="R1" s="1025"/>
      <c r="S1" s="1025"/>
      <c r="T1" s="905" t="s">
        <v>2261</v>
      </c>
      <c r="U1" s="1041" t="s">
        <v>3</v>
      </c>
      <c r="V1" s="1041"/>
      <c r="W1" s="1092">
        <v>45988.700578703705</v>
      </c>
      <c r="X1" s="1093"/>
    </row>
    <row r="2" spans="1:24" ht="15.75" customHeight="1" thickBot="1"/>
    <row r="3" spans="1:24" ht="15" customHeight="1">
      <c r="B3" s="788" t="s">
        <v>2113</v>
      </c>
      <c r="C3" s="789"/>
      <c r="D3" s="790"/>
      <c r="P3" s="1286" t="s">
        <v>2112</v>
      </c>
      <c r="Q3" s="1286"/>
      <c r="R3" s="1286"/>
      <c r="S3" s="1286"/>
      <c r="T3" s="1286"/>
      <c r="U3" s="1286"/>
      <c r="V3" s="1286"/>
      <c r="W3" s="1286"/>
      <c r="X3" s="1286"/>
    </row>
    <row r="4" spans="1:24" ht="15.75" customHeight="1" thickBot="1">
      <c r="B4" s="791"/>
      <c r="D4" s="792"/>
      <c r="M4" s="793" t="s">
        <v>2114</v>
      </c>
      <c r="P4" s="1286"/>
      <c r="Q4" s="1286"/>
      <c r="R4" s="1286"/>
      <c r="S4" s="1286"/>
      <c r="T4" s="1286"/>
      <c r="U4" s="1286"/>
      <c r="V4" s="1286"/>
      <c r="W4" s="1286"/>
      <c r="X4" s="1286"/>
    </row>
    <row r="5" spans="1:24" ht="16.5" thickBot="1">
      <c r="B5" s="794" t="s">
        <v>2115</v>
      </c>
      <c r="C5" s="795">
        <v>50</v>
      </c>
      <c r="D5" s="796" t="s">
        <v>2116</v>
      </c>
      <c r="F5" s="797" t="s">
        <v>2117</v>
      </c>
      <c r="G5" s="795">
        <v>10</v>
      </c>
      <c r="H5" s="735" t="s">
        <v>2118</v>
      </c>
      <c r="J5" s="797" t="s">
        <v>2119</v>
      </c>
      <c r="K5" s="795">
        <v>15</v>
      </c>
      <c r="L5" s="735" t="s">
        <v>2118</v>
      </c>
      <c r="M5" s="785">
        <f>K5-G5</f>
        <v>5</v>
      </c>
      <c r="N5" s="735" t="s">
        <v>66</v>
      </c>
    </row>
    <row r="6" spans="1:24" ht="18" thickBot="1">
      <c r="B6" s="794" t="s">
        <v>2120</v>
      </c>
      <c r="C6" s="798">
        <v>1.3</v>
      </c>
      <c r="D6" s="792" t="s">
        <v>2121</v>
      </c>
      <c r="P6" s="1285" t="s">
        <v>2264</v>
      </c>
      <c r="Q6" s="1285"/>
      <c r="R6" s="1285"/>
      <c r="S6" s="1285"/>
      <c r="T6" s="1285"/>
      <c r="U6" s="1285"/>
      <c r="V6" s="1285"/>
      <c r="W6" s="1285"/>
      <c r="X6" s="1285"/>
    </row>
    <row r="7" spans="1:24" ht="16.5" thickBot="1">
      <c r="B7" s="799" t="s">
        <v>566</v>
      </c>
      <c r="C7" s="776">
        <f>C5/1000/C6</f>
        <v>3.8461538461538464E-2</v>
      </c>
      <c r="D7" s="792" t="s">
        <v>551</v>
      </c>
      <c r="F7" s="800" t="s">
        <v>566</v>
      </c>
      <c r="G7" s="784">
        <v>3.85E-2</v>
      </c>
      <c r="H7" s="735" t="s">
        <v>551</v>
      </c>
      <c r="J7" s="800" t="s">
        <v>2122</v>
      </c>
      <c r="K7" s="801">
        <f>G7*N28</f>
        <v>3.9267933380459794E-2</v>
      </c>
      <c r="L7" s="735" t="s">
        <v>551</v>
      </c>
      <c r="M7" s="802">
        <f>(K7-G7)/G7</f>
        <v>1.994632157038426E-2</v>
      </c>
      <c r="N7" s="793" t="s">
        <v>2123</v>
      </c>
      <c r="P7" s="1285"/>
      <c r="Q7" s="1285"/>
      <c r="R7" s="1285"/>
      <c r="S7" s="1285"/>
      <c r="T7" s="1285"/>
      <c r="U7" s="1285"/>
      <c r="V7" s="1285"/>
      <c r="W7" s="1285"/>
      <c r="X7" s="1285"/>
    </row>
    <row r="8" spans="1:24" ht="15.75" thickBot="1">
      <c r="B8" s="803"/>
      <c r="C8" s="804"/>
      <c r="D8" s="805"/>
    </row>
    <row r="9" spans="1:24" ht="17.25">
      <c r="F9" s="735" t="s">
        <v>158</v>
      </c>
      <c r="G9" s="806">
        <f>C6</f>
        <v>1.3</v>
      </c>
      <c r="J9" s="800" t="s">
        <v>2124</v>
      </c>
      <c r="K9" s="807">
        <f>G9/N28</f>
        <v>1.2745768796914965</v>
      </c>
      <c r="L9" s="735" t="s">
        <v>2121</v>
      </c>
    </row>
    <row r="11" spans="1:24">
      <c r="A11" s="759"/>
      <c r="B11" s="808" t="s">
        <v>2125</v>
      </c>
      <c r="C11" s="759"/>
      <c r="D11" s="759"/>
      <c r="E11" s="759"/>
      <c r="F11" s="759"/>
      <c r="G11" s="759"/>
      <c r="H11" s="759"/>
      <c r="I11" s="808" t="str" cm="1">
        <f t="array" ref="I11">INDEX(P29:U29,B12)</f>
        <v>thickness (mm)</v>
      </c>
      <c r="J11" s="759"/>
      <c r="K11" s="759"/>
      <c r="L11" s="759"/>
      <c r="M11" s="759"/>
      <c r="N11" s="759"/>
      <c r="O11" s="759"/>
    </row>
    <row r="12" spans="1:24">
      <c r="A12" s="759"/>
      <c r="B12" s="809">
        <v>1</v>
      </c>
      <c r="C12" s="810" t="str" cm="1">
        <f t="array" ref="C12">INDEX(C14:C19,B12)</f>
        <v>Expanded Polystyrene foam (EPS)</v>
      </c>
      <c r="D12" s="810"/>
      <c r="E12" s="810"/>
      <c r="F12" s="810"/>
      <c r="G12" s="810"/>
      <c r="H12" s="759"/>
      <c r="I12" s="809">
        <v>1</v>
      </c>
      <c r="J12" s="810" t="str" cm="1">
        <f t="array" ref="J12">INDEX(J14:J17,I12)</f>
        <v>d&lt;20</v>
      </c>
      <c r="K12" s="810"/>
      <c r="L12" s="810"/>
      <c r="M12" s="810"/>
      <c r="N12" s="810"/>
      <c r="O12" s="759"/>
    </row>
    <row r="13" spans="1:24">
      <c r="A13" s="759"/>
      <c r="B13" s="759"/>
      <c r="C13" s="759"/>
      <c r="D13" s="759"/>
      <c r="E13" s="759"/>
      <c r="F13" s="759"/>
      <c r="G13" s="759"/>
      <c r="H13" s="759"/>
      <c r="I13" s="759"/>
      <c r="J13" s="811"/>
      <c r="K13" s="759"/>
      <c r="L13" s="759"/>
      <c r="M13" s="759"/>
      <c r="N13" s="759"/>
      <c r="O13" s="759"/>
    </row>
    <row r="14" spans="1:24">
      <c r="A14" s="759"/>
      <c r="B14" s="812" t="s">
        <v>2126</v>
      </c>
      <c r="C14" s="759" t="s">
        <v>2127</v>
      </c>
      <c r="D14" s="759"/>
      <c r="E14" s="759"/>
      <c r="F14" s="759"/>
      <c r="G14" s="759"/>
      <c r="H14" s="759"/>
      <c r="I14" s="812" t="s">
        <v>2126</v>
      </c>
      <c r="J14" s="811" t="str" cm="1">
        <f t="array" ref="J14">INDEX($P$30:$U$33,1,$B$12)</f>
        <v>d&lt;20</v>
      </c>
      <c r="K14" s="759"/>
      <c r="L14" s="759" t="s">
        <v>0</v>
      </c>
      <c r="M14" s="759"/>
      <c r="N14" s="759"/>
      <c r="O14" s="759"/>
    </row>
    <row r="15" spans="1:24">
      <c r="A15" s="759"/>
      <c r="B15" s="813" t="s">
        <v>2128</v>
      </c>
      <c r="C15" s="759" t="s">
        <v>2129</v>
      </c>
      <c r="D15" s="759"/>
      <c r="E15" s="759"/>
      <c r="F15" s="759"/>
      <c r="G15" s="759"/>
      <c r="H15" s="759"/>
      <c r="I15" s="813" t="s">
        <v>2128</v>
      </c>
      <c r="J15" s="811" t="str" cm="1">
        <f t="array" ref="J15">INDEX($P$30:$U$33,2,$B$12)</f>
        <v>20&lt;d&lt;40</v>
      </c>
      <c r="K15" s="759"/>
      <c r="L15" s="759" t="s">
        <v>0</v>
      </c>
      <c r="M15" s="759"/>
      <c r="N15" s="759"/>
      <c r="O15" s="759"/>
    </row>
    <row r="16" spans="1:24">
      <c r="A16" s="759"/>
      <c r="B16" s="813" t="s">
        <v>2130</v>
      </c>
      <c r="C16" s="759" t="s">
        <v>2131</v>
      </c>
      <c r="D16" s="759"/>
      <c r="E16" s="759"/>
      <c r="F16" s="759"/>
      <c r="G16" s="759"/>
      <c r="H16" s="759"/>
      <c r="I16" s="813" t="s">
        <v>2130</v>
      </c>
      <c r="J16" s="811" t="str" cm="1">
        <f t="array" ref="J16">INDEX($P$30:$U$33,3,$B$12)</f>
        <v>40&lt;d&lt;100</v>
      </c>
      <c r="K16" s="759"/>
      <c r="L16" s="759" t="s">
        <v>0</v>
      </c>
      <c r="M16" s="759"/>
      <c r="N16" s="759"/>
      <c r="O16" s="759"/>
    </row>
    <row r="17" spans="1:21">
      <c r="A17" s="759"/>
      <c r="B17" s="813" t="s">
        <v>2132</v>
      </c>
      <c r="C17" s="759" t="s">
        <v>2133</v>
      </c>
      <c r="D17" s="759"/>
      <c r="E17" s="759"/>
      <c r="F17" s="759"/>
      <c r="G17" s="759"/>
      <c r="H17" s="759"/>
      <c r="I17" s="813" t="s">
        <v>2132</v>
      </c>
      <c r="J17" s="811" t="str" cm="1">
        <f t="array" ref="J17">INDEX($P$30:$U$33,4,$B$12)</f>
        <v>d&gt;100</v>
      </c>
      <c r="K17" s="759"/>
      <c r="L17" s="759" t="s">
        <v>0</v>
      </c>
      <c r="M17" s="759"/>
      <c r="N17" s="759"/>
      <c r="O17" s="759"/>
    </row>
    <row r="18" spans="1:21">
      <c r="A18" s="759"/>
      <c r="B18" s="813" t="s">
        <v>2134</v>
      </c>
      <c r="C18" s="759" t="s">
        <v>2135</v>
      </c>
      <c r="D18" s="759"/>
      <c r="E18" s="759"/>
      <c r="F18" s="759"/>
      <c r="G18" s="759"/>
      <c r="H18" s="759"/>
      <c r="I18" s="759"/>
      <c r="J18" s="759"/>
      <c r="K18" s="759"/>
      <c r="L18" s="759"/>
      <c r="M18" s="759"/>
      <c r="N18" s="759"/>
      <c r="O18" s="759"/>
    </row>
    <row r="19" spans="1:21">
      <c r="A19" s="759"/>
      <c r="B19" s="813" t="s">
        <v>2136</v>
      </c>
      <c r="C19" s="759" t="s">
        <v>2137</v>
      </c>
      <c r="D19" s="759"/>
      <c r="E19" s="759"/>
      <c r="F19" s="759"/>
      <c r="G19" s="759"/>
      <c r="H19" s="759"/>
      <c r="I19" s="759"/>
      <c r="J19" s="759"/>
      <c r="K19" s="759"/>
      <c r="L19" s="759"/>
      <c r="M19" s="759"/>
      <c r="N19" s="759"/>
      <c r="O19" s="759"/>
    </row>
    <row r="20" spans="1:21">
      <c r="A20" s="759"/>
      <c r="B20" s="759"/>
      <c r="C20" s="759"/>
      <c r="D20" s="759"/>
      <c r="E20" s="759"/>
      <c r="F20" s="759"/>
      <c r="G20" s="759"/>
      <c r="H20" s="759"/>
      <c r="I20" s="759"/>
      <c r="J20" s="759"/>
      <c r="K20" s="759"/>
      <c r="L20" s="759"/>
      <c r="M20" s="759"/>
      <c r="N20" s="759"/>
      <c r="O20" s="759"/>
    </row>
    <row r="23" spans="1:21" ht="16.5" customHeight="1"/>
    <row r="24" spans="1:21">
      <c r="U24" s="814"/>
    </row>
    <row r="25" spans="1:21" ht="15.75">
      <c r="F25" s="800"/>
      <c r="G25" s="815"/>
      <c r="U25" s="814"/>
    </row>
    <row r="26" spans="1:21" ht="18.75" hidden="1">
      <c r="B26" s="816" t="s">
        <v>2138</v>
      </c>
      <c r="K26" s="817"/>
    </row>
    <row r="27" spans="1:21" hidden="1"/>
    <row r="28" spans="1:21" hidden="1">
      <c r="B28" s="810"/>
      <c r="C28" s="810"/>
      <c r="D28" s="818" t="s">
        <v>2139</v>
      </c>
      <c r="E28" s="818"/>
      <c r="F28" s="818"/>
      <c r="L28" s="819" t="str" cm="1">
        <f t="array" ref="L28">INDEX(P28:U28,B12)</f>
        <v>EPS</v>
      </c>
      <c r="N28" s="820">
        <f>IF((B12=4)*AND(I12=1),N35,SUM(N29:N33))</f>
        <v>1.0199463215703843</v>
      </c>
      <c r="P28" s="819" t="s">
        <v>2139</v>
      </c>
      <c r="Q28" s="819" t="s">
        <v>2140</v>
      </c>
      <c r="R28" s="819" t="s">
        <v>2141</v>
      </c>
      <c r="S28" s="819" t="s">
        <v>2142</v>
      </c>
      <c r="T28" s="819" t="s">
        <v>2143</v>
      </c>
      <c r="U28" s="819" t="s">
        <v>2144</v>
      </c>
    </row>
    <row r="29" spans="1:21" hidden="1">
      <c r="B29" s="810"/>
      <c r="C29" s="810"/>
      <c r="D29" s="818"/>
      <c r="E29" s="821">
        <v>3.2000000000000001E-2</v>
      </c>
      <c r="F29" s="822">
        <v>3.0999999999999999E-3</v>
      </c>
      <c r="L29" s="823" cm="1">
        <f t="array" ref="L29">INDEX($P$34:$U$77,($I$12-1)*11+2,$B$12)</f>
        <v>3.2000000000000001E-2</v>
      </c>
      <c r="M29" s="824" cm="1">
        <f t="array" ref="M29">INDEX($P$34:$U$77,($I$12-1)*11+7,$B$12)</f>
        <v>3.0999999999999999E-3</v>
      </c>
      <c r="N29" s="825" t="str">
        <f>IF($G$7&lt;=L29,EXP(M5*M29),"")</f>
        <v/>
      </c>
      <c r="P29" s="826" t="s">
        <v>10</v>
      </c>
      <c r="Q29" s="826" t="s">
        <v>2145</v>
      </c>
      <c r="R29" s="826" t="s">
        <v>2146</v>
      </c>
      <c r="S29" s="826" t="s">
        <v>2147</v>
      </c>
      <c r="T29" s="826" t="s">
        <v>2148</v>
      </c>
      <c r="U29" s="827" t="s">
        <v>2149</v>
      </c>
    </row>
    <row r="30" spans="1:21" hidden="1">
      <c r="B30" s="810"/>
      <c r="C30" s="810"/>
      <c r="D30" s="818"/>
      <c r="E30" s="821">
        <v>3.5000000000000003E-2</v>
      </c>
      <c r="F30" s="822">
        <v>3.5999999999999999E-3</v>
      </c>
      <c r="L30" s="823" cm="1">
        <f t="array" ref="L30">INDEX($P$34:$U$77,($I$12-1)*11+3,$B$12)</f>
        <v>3.5000000000000003E-2</v>
      </c>
      <c r="M30" s="824" cm="1">
        <f t="array" ref="M30">INDEX($P$34:$U$77,($I$12-1)*11+8,$B$12)</f>
        <v>3.5999999999999999E-3</v>
      </c>
      <c r="N30" s="825" t="str">
        <f>IF(($G$7&gt;L29)*AND($G$7&lt;=L30)*AND(N29=""),EXP(M5*(M29+($G$7-L29)/(L30-L29)*(M30-M29))),"")</f>
        <v/>
      </c>
      <c r="P30" s="821" t="s">
        <v>2150</v>
      </c>
      <c r="Q30" s="828" t="s">
        <v>2151</v>
      </c>
      <c r="R30" s="829" t="s">
        <v>2152</v>
      </c>
      <c r="S30" s="829" t="s">
        <v>2153</v>
      </c>
      <c r="T30" s="829" t="s">
        <v>2154</v>
      </c>
      <c r="U30" s="830" t="s">
        <v>2149</v>
      </c>
    </row>
    <row r="31" spans="1:21" hidden="1">
      <c r="B31" s="810"/>
      <c r="C31" s="810"/>
      <c r="D31" s="818"/>
      <c r="E31" s="821">
        <v>0.04</v>
      </c>
      <c r="F31" s="822">
        <v>4.1000000000000003E-3</v>
      </c>
      <c r="L31" s="823" cm="1">
        <f t="array" ref="L31">INDEX($P$34:$U$77,($I$12-1)*11+4,$B$12)</f>
        <v>0.04</v>
      </c>
      <c r="M31" s="824" cm="1">
        <f t="array" ref="M31">INDEX($P$34:$U$77,($I$12-1)*11+9,$B$12)</f>
        <v>4.1000000000000003E-3</v>
      </c>
      <c r="N31" s="825">
        <f>IF(($G$7&gt;L30)*AND($G$7&lt;=L31)*AND(N30=""),EXP(M5*(M30+($G$7-L30)/(L31-L30)*(M31-M30))),"")</f>
        <v>1.0199463215703843</v>
      </c>
      <c r="P31" s="821" t="s">
        <v>2155</v>
      </c>
      <c r="Q31" s="828" t="s">
        <v>2156</v>
      </c>
      <c r="R31" s="829" t="s">
        <v>2157</v>
      </c>
      <c r="S31" s="829" t="s">
        <v>2158</v>
      </c>
      <c r="T31" s="829" t="s">
        <v>2159</v>
      </c>
      <c r="U31" s="830" t="s">
        <v>2149</v>
      </c>
    </row>
    <row r="32" spans="1:21" hidden="1">
      <c r="B32" s="810"/>
      <c r="C32" s="810"/>
      <c r="D32" s="831" t="s">
        <v>2150</v>
      </c>
      <c r="E32" s="832">
        <v>4.2999999999999997E-2</v>
      </c>
      <c r="F32" s="833">
        <v>4.4000000000000003E-3</v>
      </c>
      <c r="L32" s="823" cm="1">
        <f t="array" ref="L32">INDEX($P$34:$U$77,($I$12-1)*11+5,$B$12)</f>
        <v>4.2999999999999997E-2</v>
      </c>
      <c r="M32" s="824" cm="1">
        <f t="array" ref="M32">INDEX($P$34:$U$77,($I$12-1)*11+10,$B$12)</f>
        <v>4.4000000000000003E-3</v>
      </c>
      <c r="N32" s="825" t="str">
        <f>IF(($G$7&gt;L31)*AND($G$7&lt;=L32)*AND(N31=""),EXP(M5*(M31+($G$7-L31)/(L32-L31)*(M32-M31))),"")</f>
        <v/>
      </c>
      <c r="P32" s="821" t="s">
        <v>2160</v>
      </c>
      <c r="Q32" s="828" t="s">
        <v>2161</v>
      </c>
      <c r="R32" s="829" t="s">
        <v>2157</v>
      </c>
      <c r="S32" s="829" t="s">
        <v>2158</v>
      </c>
      <c r="T32" s="829" t="s">
        <v>2162</v>
      </c>
      <c r="U32" s="830" t="s">
        <v>2149</v>
      </c>
    </row>
    <row r="33" spans="2:21" hidden="1">
      <c r="B33" s="810"/>
      <c r="C33" s="810"/>
      <c r="D33" s="818"/>
      <c r="E33" s="821">
        <v>3.2000000000000001E-2</v>
      </c>
      <c r="F33" s="822">
        <v>3.0000000000000001E-3</v>
      </c>
      <c r="L33" s="823" cm="1">
        <f t="array" ref="L33">INDEX($P$34:$U$77,($I$12-1)*11+6,$B$12)</f>
        <v>4.3099999999999999E-2</v>
      </c>
      <c r="M33" s="824" cm="1">
        <f t="array" ref="M33">INDEX($P$34:$U$77,($I$12-1)*11+11,$B$12)</f>
        <v>4.4000000000000003E-3</v>
      </c>
      <c r="N33" s="825" t="str">
        <f>IF(($G$7&gt;=L33)*AND(N32=""),EXP(M5*M33),"")</f>
        <v/>
      </c>
      <c r="P33" s="821" t="s">
        <v>2163</v>
      </c>
      <c r="Q33" s="828" t="s">
        <v>2164</v>
      </c>
      <c r="R33" s="829" t="s">
        <v>2157</v>
      </c>
      <c r="S33" s="829" t="s">
        <v>2158</v>
      </c>
      <c r="T33" s="829" t="s">
        <v>2162</v>
      </c>
      <c r="U33" s="830" t="s">
        <v>2149</v>
      </c>
    </row>
    <row r="34" spans="2:21" hidden="1">
      <c r="B34" s="810"/>
      <c r="C34" s="810"/>
      <c r="D34" s="818"/>
      <c r="E34" s="821">
        <v>3.5000000000000003E-2</v>
      </c>
      <c r="F34" s="822">
        <v>3.3999999999999998E-3</v>
      </c>
    </row>
    <row r="35" spans="2:21" hidden="1">
      <c r="B35" s="810"/>
      <c r="C35" s="810"/>
      <c r="D35" s="831" t="s">
        <v>2155</v>
      </c>
      <c r="E35" s="832">
        <v>0.04</v>
      </c>
      <c r="F35" s="833">
        <v>3.5999999999999999E-3</v>
      </c>
      <c r="L35" s="834" t="s">
        <v>2165</v>
      </c>
      <c r="N35" s="820">
        <f>SUM(N36:N39)</f>
        <v>1.0100501670841679</v>
      </c>
      <c r="P35" s="821">
        <v>3.2000000000000001E-2</v>
      </c>
      <c r="Q35" s="821">
        <v>2.5000000000000001E-2</v>
      </c>
      <c r="R35" s="823">
        <v>2.1999999999999999E-2</v>
      </c>
      <c r="S35" s="823">
        <v>2.5000000000000001E-2</v>
      </c>
      <c r="T35" s="823">
        <v>3.5000000000000003E-2</v>
      </c>
      <c r="U35" s="823">
        <v>3.6999999999999998E-2</v>
      </c>
    </row>
    <row r="36" spans="2:21" hidden="1">
      <c r="B36" s="810"/>
      <c r="C36" s="810"/>
      <c r="D36" s="818"/>
      <c r="E36" s="821">
        <v>3.2000000000000001E-2</v>
      </c>
      <c r="F36" s="822">
        <v>3.0000000000000001E-3</v>
      </c>
      <c r="M36" s="797" t="s">
        <v>2166</v>
      </c>
      <c r="N36" s="825">
        <f>IF((G5&lt;=20)*AND(K5&lt;=20),EXP(M5*0.002),"")</f>
        <v>1.0100501670841679</v>
      </c>
      <c r="P36" s="821">
        <v>3.5000000000000003E-2</v>
      </c>
      <c r="Q36" s="821">
        <v>0.03</v>
      </c>
      <c r="R36" s="823">
        <v>2.5000000000000001E-2</v>
      </c>
      <c r="S36" s="823">
        <v>2.5000000000000001E-2</v>
      </c>
      <c r="T36" s="823">
        <v>0.04</v>
      </c>
      <c r="U36" s="823">
        <v>0.04</v>
      </c>
    </row>
    <row r="37" spans="2:21" hidden="1">
      <c r="B37" s="810"/>
      <c r="C37" s="810"/>
      <c r="D37" s="818"/>
      <c r="E37" s="821">
        <v>3.5000000000000003E-2</v>
      </c>
      <c r="F37" s="822">
        <v>3.3E-3</v>
      </c>
      <c r="M37" s="797" t="s">
        <v>2167</v>
      </c>
      <c r="N37" s="825" t="str">
        <f>IF((G5&gt;20)*AND(K5&gt;20),EXP(M5*0.005),"")</f>
        <v/>
      </c>
      <c r="P37" s="821">
        <v>0.04</v>
      </c>
      <c r="Q37" s="821">
        <v>0.04</v>
      </c>
      <c r="R37" s="823">
        <v>2.5000000000000001E-2</v>
      </c>
      <c r="S37" s="823">
        <v>2.5000000000000001E-2</v>
      </c>
      <c r="T37" s="823">
        <v>4.4999999999999998E-2</v>
      </c>
      <c r="U37" s="823">
        <v>5.8999999999999997E-2</v>
      </c>
    </row>
    <row r="38" spans="2:21" hidden="1">
      <c r="B38" s="810"/>
      <c r="C38" s="810"/>
      <c r="D38" s="818"/>
      <c r="E38" s="821">
        <v>0.04</v>
      </c>
      <c r="F38" s="822">
        <v>3.5999999999999999E-3</v>
      </c>
      <c r="M38" s="797" t="s">
        <v>2168</v>
      </c>
      <c r="N38" s="825" t="str">
        <f>IF((G5&lt;=20)*AND(K5&gt;20),EXP((20-G5)*0.002)*EXP((K5-20)*0.005),"")</f>
        <v/>
      </c>
      <c r="P38" s="821">
        <v>4.2999999999999997E-2</v>
      </c>
      <c r="Q38" s="821">
        <v>0.04</v>
      </c>
      <c r="R38" s="823">
        <v>2.5000000000000001E-2</v>
      </c>
      <c r="S38" s="823">
        <v>2.5000000000000001E-2</v>
      </c>
      <c r="T38" s="823">
        <v>0.05</v>
      </c>
      <c r="U38" s="823">
        <v>6.2E-2</v>
      </c>
    </row>
    <row r="39" spans="2:21" hidden="1">
      <c r="B39" s="810"/>
      <c r="C39" s="810"/>
      <c r="D39" s="818"/>
      <c r="E39" s="821">
        <v>4.4999999999999998E-2</v>
      </c>
      <c r="F39" s="822">
        <v>3.8E-3</v>
      </c>
      <c r="M39" s="797" t="s">
        <v>2169</v>
      </c>
      <c r="N39" s="825" t="str">
        <f>IF((G5&gt;20)*AND(K5&lt;=20),EXP((20-G5)*0.005)*EXP((K5-20)*0.002),"")</f>
        <v/>
      </c>
      <c r="P39" s="821">
        <v>4.3099999999999999E-2</v>
      </c>
      <c r="Q39" s="821">
        <v>4.1000000000000002E-2</v>
      </c>
      <c r="R39" s="823">
        <v>2.5100000000000001E-2</v>
      </c>
      <c r="S39" s="823">
        <v>2.5100000000000001E-2</v>
      </c>
      <c r="T39" s="823">
        <v>5.0999999999999997E-2</v>
      </c>
      <c r="U39" s="823">
        <v>6.2100000000000002E-2</v>
      </c>
    </row>
    <row r="40" spans="2:21" hidden="1">
      <c r="B40" s="810"/>
      <c r="C40" s="810"/>
      <c r="D40" s="831" t="s">
        <v>2160</v>
      </c>
      <c r="E40" s="832">
        <v>0.05</v>
      </c>
      <c r="F40" s="833">
        <v>4.1000000000000003E-3</v>
      </c>
      <c r="P40" s="822">
        <v>3.0999999999999999E-3</v>
      </c>
      <c r="Q40" s="822">
        <v>4.5999999999999999E-3</v>
      </c>
      <c r="R40" s="824">
        <v>5.4999999999999997E-3</v>
      </c>
      <c r="S40" s="824">
        <f>IF($G$7&lt;=0.027,0.002,0.0029)</f>
        <v>2.8999999999999998E-3</v>
      </c>
      <c r="T40" s="824">
        <v>4.5999999999999999E-3</v>
      </c>
      <c r="U40" s="824">
        <v>4.7000000000000002E-3</v>
      </c>
    </row>
    <row r="41" spans="2:21" hidden="1">
      <c r="B41" s="810"/>
      <c r="C41" s="810"/>
      <c r="D41" s="818"/>
      <c r="E41" s="821">
        <v>3.2000000000000001E-2</v>
      </c>
      <c r="F41" s="822">
        <v>3.0000000000000001E-3</v>
      </c>
      <c r="P41" s="822">
        <v>3.5999999999999999E-3</v>
      </c>
      <c r="Q41" s="822">
        <v>4.4999999999999997E-3</v>
      </c>
      <c r="R41" s="824">
        <v>5.4999999999999997E-3</v>
      </c>
      <c r="S41" s="824">
        <f t="shared" ref="S41:S44" si="0">IF($G$7&lt;=0.027,0.002,0.0029)</f>
        <v>2.8999999999999998E-3</v>
      </c>
      <c r="T41" s="824">
        <v>5.5999999999999999E-3</v>
      </c>
      <c r="U41" s="824">
        <v>5.1999999999999998E-3</v>
      </c>
    </row>
    <row r="42" spans="2:21" hidden="1">
      <c r="B42" s="810"/>
      <c r="C42" s="810"/>
      <c r="D42" s="818"/>
      <c r="E42" s="821">
        <v>3.5000000000000003E-2</v>
      </c>
      <c r="F42" s="822">
        <v>3.2000000000000002E-3</v>
      </c>
      <c r="P42" s="822">
        <v>4.1000000000000003E-3</v>
      </c>
      <c r="Q42" s="822">
        <v>4.4999999999999997E-3</v>
      </c>
      <c r="R42" s="824">
        <v>5.4999999999999997E-3</v>
      </c>
      <c r="S42" s="824">
        <f t="shared" si="0"/>
        <v>2.8999999999999998E-3</v>
      </c>
      <c r="T42" s="824">
        <v>6.1999999999999998E-3</v>
      </c>
      <c r="U42" s="824">
        <v>6.7999999999999996E-3</v>
      </c>
    </row>
    <row r="43" spans="2:21" hidden="1">
      <c r="B43" s="810"/>
      <c r="C43" s="810"/>
      <c r="D43" s="818"/>
      <c r="E43" s="821">
        <v>0.04</v>
      </c>
      <c r="F43" s="822">
        <v>3.3999999999999998E-3</v>
      </c>
      <c r="P43" s="822">
        <v>4.4000000000000003E-3</v>
      </c>
      <c r="Q43" s="822">
        <v>4.4999999999999997E-3</v>
      </c>
      <c r="R43" s="824">
        <v>5.4999999999999997E-3</v>
      </c>
      <c r="S43" s="824">
        <f t="shared" si="0"/>
        <v>2.8999999999999998E-3</v>
      </c>
      <c r="T43" s="824">
        <v>6.8999999999999999E-3</v>
      </c>
      <c r="U43" s="824">
        <v>7.7000000000000002E-3</v>
      </c>
    </row>
    <row r="44" spans="2:21" hidden="1">
      <c r="B44" s="810"/>
      <c r="C44" s="810"/>
      <c r="D44" s="831" t="s">
        <v>2163</v>
      </c>
      <c r="E44" s="832">
        <v>5.2999999999999999E-2</v>
      </c>
      <c r="F44" s="833">
        <v>3.7000000000000002E-3</v>
      </c>
      <c r="P44" s="822">
        <v>4.4000000000000003E-3</v>
      </c>
      <c r="Q44" s="822">
        <v>4.4999999999999997E-3</v>
      </c>
      <c r="R44" s="824">
        <v>5.4999999999999997E-3</v>
      </c>
      <c r="S44" s="824">
        <f t="shared" si="0"/>
        <v>2.8999999999999998E-3</v>
      </c>
      <c r="T44" s="824">
        <v>6.8999999999999999E-3</v>
      </c>
      <c r="U44" s="824">
        <v>7.7000000000000002E-3</v>
      </c>
    </row>
    <row r="45" spans="2:21" hidden="1">
      <c r="P45" s="826"/>
      <c r="Q45" s="826"/>
      <c r="R45" s="826"/>
      <c r="S45" s="826"/>
      <c r="T45" s="826"/>
      <c r="U45" s="826"/>
    </row>
    <row r="46" spans="2:21" hidden="1">
      <c r="B46" s="810"/>
      <c r="C46" s="810"/>
      <c r="D46" s="818" t="s">
        <v>2140</v>
      </c>
      <c r="E46" s="818"/>
      <c r="F46" s="818"/>
      <c r="P46" s="821">
        <v>3.2000000000000001E-2</v>
      </c>
      <c r="Q46" s="821">
        <v>2.5000000000000001E-2</v>
      </c>
      <c r="R46" s="823">
        <v>2.5000000000000001E-2</v>
      </c>
      <c r="S46" s="823">
        <v>3.2000000000000001E-2</v>
      </c>
      <c r="T46" s="823">
        <v>3.2000000000000001E-2</v>
      </c>
      <c r="U46" s="823">
        <v>3.6999999999999998E-2</v>
      </c>
    </row>
    <row r="47" spans="2:21" hidden="1">
      <c r="B47" s="810"/>
      <c r="C47" s="810"/>
      <c r="D47" s="818"/>
      <c r="E47" s="821">
        <v>2.5000000000000001E-2</v>
      </c>
      <c r="F47" s="822">
        <v>4.5999999999999999E-3</v>
      </c>
      <c r="P47" s="821">
        <v>3.5000000000000003E-2</v>
      </c>
      <c r="Q47" s="821">
        <v>0.03</v>
      </c>
      <c r="R47" s="823">
        <v>0.03</v>
      </c>
      <c r="S47" s="823">
        <v>3.2000000000000001E-2</v>
      </c>
      <c r="T47" s="823">
        <v>3.4000000000000002E-2</v>
      </c>
      <c r="U47" s="823">
        <v>0.04</v>
      </c>
    </row>
    <row r="48" spans="2:21" hidden="1">
      <c r="B48" s="810"/>
      <c r="C48" s="810"/>
      <c r="D48" s="835"/>
      <c r="E48" s="821">
        <v>0.03</v>
      </c>
      <c r="F48" s="822">
        <v>4.4999999999999997E-3</v>
      </c>
      <c r="P48" s="821">
        <v>0.04</v>
      </c>
      <c r="Q48" s="821">
        <v>0.04</v>
      </c>
      <c r="R48" s="823">
        <v>0.03</v>
      </c>
      <c r="S48" s="823">
        <v>3.2000000000000001E-2</v>
      </c>
      <c r="T48" s="823">
        <v>3.5999999999999997E-2</v>
      </c>
      <c r="U48" s="823">
        <v>5.8999999999999997E-2</v>
      </c>
    </row>
    <row r="49" spans="2:21" hidden="1">
      <c r="B49" s="810"/>
      <c r="C49" s="810"/>
      <c r="D49" s="831" t="s">
        <v>2170</v>
      </c>
      <c r="E49" s="832">
        <v>0.04</v>
      </c>
      <c r="F49" s="833">
        <v>4.4999999999999997E-3</v>
      </c>
      <c r="P49" s="821">
        <v>0.04</v>
      </c>
      <c r="Q49" s="821">
        <v>0.04</v>
      </c>
      <c r="R49" s="823">
        <v>0.03</v>
      </c>
      <c r="S49" s="823">
        <v>3.2000000000000001E-2</v>
      </c>
      <c r="T49" s="823">
        <v>3.7999999999999999E-2</v>
      </c>
      <c r="U49" s="823">
        <v>6.2E-2</v>
      </c>
    </row>
    <row r="50" spans="2:21" hidden="1">
      <c r="B50" s="810"/>
      <c r="C50" s="810"/>
      <c r="D50" s="835"/>
      <c r="E50" s="821">
        <v>2.5000000000000001E-2</v>
      </c>
      <c r="F50" s="822">
        <v>4.0000000000000001E-3</v>
      </c>
      <c r="P50" s="821">
        <v>4.1000000000000002E-2</v>
      </c>
      <c r="Q50" s="821">
        <v>4.1000000000000002E-2</v>
      </c>
      <c r="R50" s="823">
        <v>3.1E-2</v>
      </c>
      <c r="S50" s="823">
        <v>2.3099999999999999E-2</v>
      </c>
      <c r="T50" s="823">
        <v>3.8100000000000002E-2</v>
      </c>
      <c r="U50" s="823">
        <v>6.2100000000000002E-2</v>
      </c>
    </row>
    <row r="51" spans="2:21" hidden="1">
      <c r="B51" s="810"/>
      <c r="C51" s="810"/>
      <c r="D51" s="835" t="s">
        <v>2171</v>
      </c>
      <c r="E51" s="821">
        <v>0.03</v>
      </c>
      <c r="F51" s="822">
        <v>3.5999999999999999E-3</v>
      </c>
      <c r="P51" s="822">
        <v>3.0000000000000001E-3</v>
      </c>
      <c r="Q51" s="822">
        <v>4.5999999999999999E-3</v>
      </c>
      <c r="R51" s="824">
        <v>5.4999999999999997E-3</v>
      </c>
      <c r="S51" s="824">
        <v>2.8999999999999998E-3</v>
      </c>
      <c r="T51" s="824">
        <v>3.8E-3</v>
      </c>
      <c r="U51" s="824">
        <v>4.7000000000000002E-3</v>
      </c>
    </row>
    <row r="52" spans="2:21" hidden="1">
      <c r="B52" s="810"/>
      <c r="C52" s="810"/>
      <c r="D52" s="831" t="s">
        <v>2172</v>
      </c>
      <c r="E52" s="832">
        <v>3.5000000000000003E-2</v>
      </c>
      <c r="F52" s="833">
        <v>3.5000000000000001E-3</v>
      </c>
      <c r="P52" s="822">
        <v>3.3999999999999998E-3</v>
      </c>
      <c r="Q52" s="822">
        <v>4.4999999999999997E-3</v>
      </c>
      <c r="R52" s="824">
        <v>5.0000000000000001E-3</v>
      </c>
      <c r="S52" s="824">
        <v>2.8999999999999998E-3</v>
      </c>
      <c r="T52" s="824">
        <v>4.3E-3</v>
      </c>
      <c r="U52" s="824">
        <v>5.1999999999999998E-3</v>
      </c>
    </row>
    <row r="53" spans="2:21" hidden="1">
      <c r="B53" s="810"/>
      <c r="C53" s="810"/>
      <c r="D53" s="818"/>
      <c r="E53" s="821">
        <v>2.5000000000000001E-2</v>
      </c>
      <c r="F53" s="822">
        <v>3.0000000000000001E-3</v>
      </c>
      <c r="P53" s="822">
        <v>3.5999999999999999E-3</v>
      </c>
      <c r="Q53" s="822">
        <v>4.4999999999999997E-3</v>
      </c>
      <c r="R53" s="824">
        <v>5.0000000000000001E-3</v>
      </c>
      <c r="S53" s="824">
        <v>2.8999999999999998E-3</v>
      </c>
      <c r="T53" s="824">
        <v>4.7999999999999996E-3</v>
      </c>
      <c r="U53" s="824">
        <v>6.7999999999999996E-3</v>
      </c>
    </row>
    <row r="54" spans="2:21" hidden="1">
      <c r="B54" s="810"/>
      <c r="C54" s="810"/>
      <c r="D54" s="818"/>
      <c r="E54" s="821">
        <v>0.03</v>
      </c>
      <c r="F54" s="822">
        <v>2.8E-3</v>
      </c>
      <c r="P54" s="822">
        <v>3.5999999999999999E-3</v>
      </c>
      <c r="Q54" s="822">
        <v>4.4999999999999997E-3</v>
      </c>
      <c r="R54" s="824">
        <v>5.0000000000000001E-3</v>
      </c>
      <c r="S54" s="824">
        <v>2.8999999999999998E-3</v>
      </c>
      <c r="T54" s="824">
        <v>5.3E-3</v>
      </c>
      <c r="U54" s="824">
        <v>7.7000000000000002E-3</v>
      </c>
    </row>
    <row r="55" spans="2:21" hidden="1">
      <c r="B55" s="810"/>
      <c r="C55" s="810"/>
      <c r="D55" s="835" t="s">
        <v>2173</v>
      </c>
      <c r="E55" s="821">
        <v>3.5000000000000003E-2</v>
      </c>
      <c r="F55" s="822">
        <v>2.7000000000000001E-3</v>
      </c>
      <c r="P55" s="822">
        <v>3.5999999999999999E-3</v>
      </c>
      <c r="Q55" s="822">
        <v>4.4999999999999997E-3</v>
      </c>
      <c r="R55" s="824">
        <v>5.0000000000000001E-3</v>
      </c>
      <c r="S55" s="824">
        <v>2.8999999999999998E-3</v>
      </c>
      <c r="T55" s="824">
        <v>5.3E-3</v>
      </c>
      <c r="U55" s="824">
        <v>7.7000000000000002E-3</v>
      </c>
    </row>
    <row r="56" spans="2:21" hidden="1">
      <c r="B56" s="810"/>
      <c r="C56" s="810"/>
      <c r="D56" s="831" t="s">
        <v>2174</v>
      </c>
      <c r="E56" s="832">
        <v>0.04</v>
      </c>
      <c r="F56" s="833">
        <v>2.5999999999999999E-3</v>
      </c>
      <c r="P56" s="826"/>
      <c r="Q56" s="826"/>
      <c r="R56" s="826"/>
      <c r="S56" s="826"/>
      <c r="T56" s="826"/>
      <c r="U56" s="826"/>
    </row>
    <row r="57" spans="2:21" hidden="1">
      <c r="P57" s="821">
        <v>3.2000000000000001E-2</v>
      </c>
      <c r="Q57" s="821">
        <v>2.5000000000000001E-2</v>
      </c>
      <c r="R57" s="823">
        <v>0.03</v>
      </c>
      <c r="S57" s="823">
        <v>3.2000000000000001E-2</v>
      </c>
      <c r="T57" s="823">
        <v>0.03</v>
      </c>
      <c r="U57" s="823">
        <v>3.6999999999999998E-2</v>
      </c>
    </row>
    <row r="58" spans="2:21" hidden="1">
      <c r="B58" s="810"/>
      <c r="C58" s="810"/>
      <c r="D58" s="818" t="s">
        <v>2175</v>
      </c>
      <c r="E58" s="818"/>
      <c r="F58" s="818"/>
      <c r="P58" s="821">
        <v>3.5000000000000003E-2</v>
      </c>
      <c r="Q58" s="821">
        <v>0.03</v>
      </c>
      <c r="R58" s="823">
        <v>3.3000000000000002E-2</v>
      </c>
      <c r="S58" s="823">
        <v>3.2000000000000001E-2</v>
      </c>
      <c r="T58" s="823">
        <v>3.3000000000000002E-2</v>
      </c>
      <c r="U58" s="823">
        <v>0.04</v>
      </c>
    </row>
    <row r="59" spans="2:21" hidden="1">
      <c r="B59" s="810"/>
      <c r="C59" s="810"/>
      <c r="D59" s="835" t="s">
        <v>2176</v>
      </c>
      <c r="E59" s="821">
        <v>2.5000000000000001E-2</v>
      </c>
      <c r="F59" s="822">
        <v>5.4999999999999997E-3</v>
      </c>
      <c r="P59" s="821">
        <v>0.04</v>
      </c>
      <c r="Q59" s="821">
        <v>3.5000000000000003E-2</v>
      </c>
      <c r="R59" s="823">
        <v>3.5000000000000003E-2</v>
      </c>
      <c r="S59" s="823">
        <v>3.2000000000000001E-2</v>
      </c>
      <c r="T59" s="823">
        <v>3.5000000000000003E-2</v>
      </c>
      <c r="U59" s="823">
        <v>5.8999999999999997E-2</v>
      </c>
    </row>
    <row r="60" spans="2:21" hidden="1">
      <c r="B60" s="810"/>
      <c r="C60" s="810"/>
      <c r="D60" s="831" t="s">
        <v>2177</v>
      </c>
      <c r="E60" s="832">
        <v>0.03</v>
      </c>
      <c r="F60" s="833">
        <v>5.0000000000000001E-3</v>
      </c>
      <c r="P60" s="821">
        <v>4.4999999999999998E-2</v>
      </c>
      <c r="Q60" s="821">
        <v>3.5000000000000003E-2</v>
      </c>
      <c r="R60" s="823">
        <v>3.5000000000000003E-2</v>
      </c>
      <c r="S60" s="823">
        <v>3.2000000000000001E-2</v>
      </c>
      <c r="T60" s="823">
        <v>3.5000000000000003E-2</v>
      </c>
      <c r="U60" s="823">
        <v>6.2E-2</v>
      </c>
    </row>
    <row r="61" spans="2:21" hidden="1">
      <c r="B61" s="810"/>
      <c r="C61" s="810"/>
      <c r="D61" s="835" t="s">
        <v>2178</v>
      </c>
      <c r="E61" s="821">
        <v>2.1999999999999999E-2</v>
      </c>
      <c r="F61" s="822">
        <v>5.4999999999999997E-3</v>
      </c>
      <c r="P61" s="821">
        <v>0.05</v>
      </c>
      <c r="Q61" s="821">
        <v>3.5099999999999999E-2</v>
      </c>
      <c r="R61" s="823">
        <v>3.5099999999999999E-2</v>
      </c>
      <c r="S61" s="823">
        <v>2.3099999999999999E-2</v>
      </c>
      <c r="T61" s="823">
        <v>3.5099999999999999E-2</v>
      </c>
      <c r="U61" s="823">
        <v>6.2100000000000002E-2</v>
      </c>
    </row>
    <row r="62" spans="2:21" hidden="1">
      <c r="B62" s="810"/>
      <c r="C62" s="810"/>
      <c r="D62" s="831" t="s">
        <v>2179</v>
      </c>
      <c r="E62" s="832">
        <v>2.5000000000000001E-2</v>
      </c>
      <c r="F62" s="833">
        <v>5.4999999999999997E-3</v>
      </c>
      <c r="P62" s="822">
        <v>3.0000000000000001E-3</v>
      </c>
      <c r="Q62" s="822">
        <v>4.0000000000000001E-3</v>
      </c>
      <c r="R62" s="824">
        <v>3.5000000000000001E-3</v>
      </c>
      <c r="S62" s="824">
        <v>2.8999999999999998E-3</v>
      </c>
      <c r="T62" s="824">
        <v>3.5000000000000001E-3</v>
      </c>
      <c r="U62" s="824">
        <v>4.7000000000000002E-3</v>
      </c>
    </row>
    <row r="63" spans="2:21" hidden="1">
      <c r="P63" s="822">
        <v>3.3E-3</v>
      </c>
      <c r="Q63" s="822">
        <v>3.5999999999999999E-3</v>
      </c>
      <c r="R63" s="824">
        <v>3.5000000000000001E-3</v>
      </c>
      <c r="S63" s="824">
        <v>2.8999999999999998E-3</v>
      </c>
      <c r="T63" s="824">
        <v>3.5000000000000001E-3</v>
      </c>
      <c r="U63" s="824">
        <v>5.1999999999999998E-3</v>
      </c>
    </row>
    <row r="64" spans="2:21" hidden="1">
      <c r="B64" s="810"/>
      <c r="C64" s="818"/>
      <c r="D64" s="818" t="s">
        <v>2180</v>
      </c>
      <c r="E64" s="818"/>
      <c r="F64" s="818"/>
      <c r="P64" s="822">
        <v>3.5999999999999999E-3</v>
      </c>
      <c r="Q64" s="822">
        <v>3.5000000000000001E-3</v>
      </c>
      <c r="R64" s="824">
        <v>3.5000000000000001E-3</v>
      </c>
      <c r="S64" s="824">
        <v>2.8999999999999998E-3</v>
      </c>
      <c r="T64" s="824">
        <v>3.5000000000000001E-3</v>
      </c>
      <c r="U64" s="824">
        <v>6.7999999999999996E-3</v>
      </c>
    </row>
    <row r="65" spans="2:21" hidden="1">
      <c r="B65" s="810"/>
      <c r="C65" s="818"/>
      <c r="D65" s="821" t="s">
        <v>2181</v>
      </c>
      <c r="E65" s="818"/>
      <c r="F65" s="818"/>
      <c r="P65" s="822">
        <v>3.8E-3</v>
      </c>
      <c r="Q65" s="822">
        <v>3.5000000000000001E-3</v>
      </c>
      <c r="R65" s="824">
        <v>3.5000000000000001E-3</v>
      </c>
      <c r="S65" s="824">
        <v>2.8999999999999998E-3</v>
      </c>
      <c r="T65" s="824">
        <v>3.5000000000000001E-3</v>
      </c>
      <c r="U65" s="824">
        <v>7.7000000000000002E-3</v>
      </c>
    </row>
    <row r="66" spans="2:21" hidden="1">
      <c r="B66" s="810"/>
      <c r="C66" s="818"/>
      <c r="D66" s="835" t="s">
        <v>2182</v>
      </c>
      <c r="E66" s="821">
        <v>2.5000000000000001E-2</v>
      </c>
      <c r="F66" s="822">
        <v>2E-3</v>
      </c>
      <c r="P66" s="822">
        <v>4.1000000000000003E-3</v>
      </c>
      <c r="Q66" s="822">
        <v>3.5000000000000001E-3</v>
      </c>
      <c r="R66" s="824">
        <v>3.5000000000000001E-3</v>
      </c>
      <c r="S66" s="824">
        <v>2.8999999999999998E-3</v>
      </c>
      <c r="T66" s="824">
        <v>3.5000000000000001E-3</v>
      </c>
      <c r="U66" s="824">
        <v>7.7000000000000002E-3</v>
      </c>
    </row>
    <row r="67" spans="2:21" hidden="1">
      <c r="B67" s="810"/>
      <c r="C67" s="818"/>
      <c r="D67" s="831" t="s">
        <v>2183</v>
      </c>
      <c r="E67" s="832">
        <v>2.5000000000000001E-2</v>
      </c>
      <c r="F67" s="833">
        <v>5.0000000000000001E-3</v>
      </c>
      <c r="P67" s="826"/>
      <c r="Q67" s="826"/>
      <c r="R67" s="826"/>
      <c r="S67" s="826"/>
      <c r="T67" s="826"/>
      <c r="U67" s="826"/>
    </row>
    <row r="68" spans="2:21" hidden="1">
      <c r="B68" s="810"/>
      <c r="C68" s="818"/>
      <c r="D68" s="821" t="s">
        <v>2184</v>
      </c>
      <c r="E68" s="821"/>
      <c r="F68" s="822"/>
      <c r="P68" s="821">
        <v>3.2000000000000001E-2</v>
      </c>
      <c r="Q68" s="821">
        <v>2.5000000000000001E-2</v>
      </c>
      <c r="R68" s="823">
        <v>0.03</v>
      </c>
      <c r="S68" s="823">
        <v>3.2000000000000001E-2</v>
      </c>
      <c r="T68" s="823">
        <v>0.03</v>
      </c>
      <c r="U68" s="823">
        <v>3.6999999999999998E-2</v>
      </c>
    </row>
    <row r="69" spans="2:21" hidden="1">
      <c r="B69" s="810"/>
      <c r="C69" s="818"/>
      <c r="D69" s="831" t="s">
        <v>2185</v>
      </c>
      <c r="E69" s="832">
        <v>3.2000000000000001E-2</v>
      </c>
      <c r="F69" s="833">
        <v>2.8999999999999998E-3</v>
      </c>
      <c r="P69" s="821">
        <v>3.5000000000000003E-2</v>
      </c>
      <c r="Q69" s="821">
        <v>0.03</v>
      </c>
      <c r="R69" s="823">
        <v>3.3000000000000002E-2</v>
      </c>
      <c r="S69" s="823">
        <v>3.2000000000000001E-2</v>
      </c>
      <c r="T69" s="823">
        <v>3.3000000000000002E-2</v>
      </c>
      <c r="U69" s="823">
        <v>0.04</v>
      </c>
    </row>
    <row r="70" spans="2:21" hidden="1">
      <c r="P70" s="821">
        <v>0.04</v>
      </c>
      <c r="Q70" s="821">
        <v>3.5000000000000003E-2</v>
      </c>
      <c r="R70" s="823">
        <v>3.5000000000000003E-2</v>
      </c>
      <c r="S70" s="823">
        <v>3.2000000000000001E-2</v>
      </c>
      <c r="T70" s="823">
        <v>3.5000000000000003E-2</v>
      </c>
      <c r="U70" s="823">
        <v>5.8999999999999997E-2</v>
      </c>
    </row>
    <row r="71" spans="2:21" hidden="1">
      <c r="B71" s="810"/>
      <c r="C71" s="810"/>
      <c r="D71" s="810" t="s">
        <v>2186</v>
      </c>
      <c r="E71" s="810"/>
      <c r="F71" s="810"/>
      <c r="J71" s="797"/>
      <c r="P71" s="821">
        <v>5.2999999999999999E-2</v>
      </c>
      <c r="Q71" s="821">
        <v>0.04</v>
      </c>
      <c r="R71" s="823">
        <v>3.5000000000000003E-2</v>
      </c>
      <c r="S71" s="823">
        <v>3.2000000000000001E-2</v>
      </c>
      <c r="T71" s="823">
        <v>3.5000000000000003E-2</v>
      </c>
      <c r="U71" s="823">
        <v>6.2E-2</v>
      </c>
    </row>
    <row r="72" spans="2:21" hidden="1">
      <c r="B72" s="810"/>
      <c r="C72" s="810"/>
      <c r="D72" s="810"/>
      <c r="E72" s="823">
        <v>3.5000000000000003E-2</v>
      </c>
      <c r="F72" s="824">
        <v>4.5999999999999999E-3</v>
      </c>
      <c r="P72" s="821">
        <v>5.3100000000000001E-2</v>
      </c>
      <c r="Q72" s="821">
        <v>4.1000000000000002E-2</v>
      </c>
      <c r="R72" s="823">
        <v>3.5099999999999999E-2</v>
      </c>
      <c r="S72" s="823">
        <v>2.3099999999999999E-2</v>
      </c>
      <c r="T72" s="823">
        <v>3.5099999999999999E-2</v>
      </c>
      <c r="U72" s="823">
        <v>6.2100000000000002E-2</v>
      </c>
    </row>
    <row r="73" spans="2:21" hidden="1">
      <c r="B73" s="810"/>
      <c r="C73" s="810"/>
      <c r="D73" s="810"/>
      <c r="E73" s="823">
        <v>0.04</v>
      </c>
      <c r="F73" s="824">
        <v>5.5999999999999999E-3</v>
      </c>
      <c r="P73" s="822">
        <v>3.0000000000000001E-3</v>
      </c>
      <c r="Q73" s="822">
        <v>3.0000000000000001E-3</v>
      </c>
      <c r="R73" s="824">
        <v>3.5000000000000001E-3</v>
      </c>
      <c r="S73" s="824">
        <v>2.8999999999999998E-3</v>
      </c>
      <c r="T73" s="824">
        <v>3.5000000000000001E-3</v>
      </c>
      <c r="U73" s="824">
        <v>4.7000000000000002E-3</v>
      </c>
    </row>
    <row r="74" spans="2:21" hidden="1">
      <c r="B74" s="810"/>
      <c r="C74" s="810"/>
      <c r="D74" s="836" t="s">
        <v>2187</v>
      </c>
      <c r="E74" s="823">
        <v>4.4999999999999998E-2</v>
      </c>
      <c r="F74" s="824">
        <v>6.1999999999999998E-3</v>
      </c>
      <c r="P74" s="822">
        <v>3.2000000000000002E-3</v>
      </c>
      <c r="Q74" s="822">
        <v>2.8E-3</v>
      </c>
      <c r="R74" s="824">
        <v>3.5000000000000001E-3</v>
      </c>
      <c r="S74" s="824">
        <v>2.8999999999999998E-3</v>
      </c>
      <c r="T74" s="824">
        <v>3.5000000000000001E-3</v>
      </c>
      <c r="U74" s="824">
        <v>5.1999999999999998E-3</v>
      </c>
    </row>
    <row r="75" spans="2:21" hidden="1">
      <c r="B75" s="810"/>
      <c r="C75" s="810"/>
      <c r="D75" s="837" t="s">
        <v>2188</v>
      </c>
      <c r="E75" s="838">
        <v>0.05</v>
      </c>
      <c r="F75" s="839">
        <v>6.8999999999999999E-3</v>
      </c>
      <c r="P75" s="822">
        <v>3.3999999999999998E-3</v>
      </c>
      <c r="Q75" s="822">
        <v>2.7000000000000001E-3</v>
      </c>
      <c r="R75" s="824">
        <v>3.5000000000000001E-3</v>
      </c>
      <c r="S75" s="824">
        <v>2.8999999999999998E-3</v>
      </c>
      <c r="T75" s="824">
        <v>3.5000000000000001E-3</v>
      </c>
      <c r="U75" s="824">
        <v>6.7999999999999996E-3</v>
      </c>
    </row>
    <row r="76" spans="2:21" hidden="1">
      <c r="B76" s="810"/>
      <c r="C76" s="810"/>
      <c r="D76" s="810"/>
      <c r="E76" s="823">
        <v>3.2000000000000001E-2</v>
      </c>
      <c r="F76" s="824">
        <v>3.8E-3</v>
      </c>
      <c r="J76" s="797"/>
      <c r="P76" s="822">
        <v>3.7000000000000002E-3</v>
      </c>
      <c r="Q76" s="822">
        <v>2.5999999999999999E-3</v>
      </c>
      <c r="R76" s="824">
        <v>3.5000000000000001E-3</v>
      </c>
      <c r="S76" s="824">
        <v>2.8999999999999998E-3</v>
      </c>
      <c r="T76" s="824">
        <v>3.5000000000000001E-3</v>
      </c>
      <c r="U76" s="824">
        <v>7.7000000000000002E-3</v>
      </c>
    </row>
    <row r="77" spans="2:21" hidden="1">
      <c r="B77" s="810"/>
      <c r="C77" s="810"/>
      <c r="D77" s="810"/>
      <c r="E77" s="823">
        <v>3.4000000000000002E-2</v>
      </c>
      <c r="F77" s="824">
        <v>4.3E-3</v>
      </c>
      <c r="P77" s="822">
        <v>3.7000000000000002E-3</v>
      </c>
      <c r="Q77" s="822">
        <v>2.5999999999999999E-3</v>
      </c>
      <c r="R77" s="824">
        <v>3.5000000000000001E-3</v>
      </c>
      <c r="S77" s="824">
        <v>2.8999999999999998E-3</v>
      </c>
      <c r="T77" s="824">
        <v>3.5000000000000001E-3</v>
      </c>
      <c r="U77" s="824">
        <v>7.7000000000000002E-3</v>
      </c>
    </row>
    <row r="78" spans="2:21" hidden="1">
      <c r="B78" s="810"/>
      <c r="C78" s="810"/>
      <c r="D78" s="810"/>
      <c r="E78" s="823">
        <v>3.5999999999999997E-2</v>
      </c>
      <c r="F78" s="824">
        <v>4.7999999999999996E-3</v>
      </c>
    </row>
    <row r="79" spans="2:21" hidden="1">
      <c r="B79" s="810"/>
      <c r="C79" s="810"/>
      <c r="D79" s="837" t="s">
        <v>2189</v>
      </c>
      <c r="E79" s="838">
        <v>3.7999999999999999E-2</v>
      </c>
      <c r="F79" s="839">
        <v>5.3E-3</v>
      </c>
    </row>
    <row r="80" spans="2:21" hidden="1">
      <c r="B80" s="810"/>
      <c r="C80" s="810"/>
      <c r="D80" s="810"/>
      <c r="E80" s="823">
        <v>0.03</v>
      </c>
      <c r="F80" s="824">
        <v>3.5000000000000001E-3</v>
      </c>
    </row>
    <row r="81" spans="1:16" hidden="1">
      <c r="B81" s="810"/>
      <c r="C81" s="810"/>
      <c r="D81" s="810"/>
      <c r="E81" s="823">
        <v>3.3000000000000002E-2</v>
      </c>
      <c r="F81" s="824">
        <v>3.5000000000000001E-3</v>
      </c>
    </row>
    <row r="82" spans="1:16" hidden="1">
      <c r="B82" s="810"/>
      <c r="C82" s="810"/>
      <c r="D82" s="840"/>
      <c r="E82" s="823">
        <v>3.5000000000000003E-2</v>
      </c>
      <c r="F82" s="824">
        <v>3.5000000000000001E-3</v>
      </c>
    </row>
    <row r="83" spans="1:16" hidden="1">
      <c r="B83" s="810"/>
      <c r="C83" s="810"/>
      <c r="D83" s="837" t="s">
        <v>2162</v>
      </c>
      <c r="E83" s="838">
        <v>3.5000000000000003E-2</v>
      </c>
      <c r="F83" s="839">
        <v>3.5000000000000001E-3</v>
      </c>
    </row>
    <row r="84" spans="1:16" hidden="1"/>
    <row r="85" spans="1:16" hidden="1">
      <c r="D85" s="735" t="s">
        <v>2190</v>
      </c>
    </row>
    <row r="86" spans="1:16" hidden="1">
      <c r="B86" s="810"/>
      <c r="C86" s="810"/>
      <c r="D86" s="810" t="s">
        <v>2191</v>
      </c>
      <c r="E86" s="810"/>
      <c r="F86" s="810"/>
    </row>
    <row r="87" spans="1:16" hidden="1">
      <c r="B87" s="810"/>
      <c r="C87" s="810"/>
      <c r="D87" s="810"/>
      <c r="E87" s="823">
        <v>3.6999999999999998E-2</v>
      </c>
      <c r="F87" s="824">
        <v>4.7000000000000002E-3</v>
      </c>
    </row>
    <row r="88" spans="1:16" hidden="1">
      <c r="B88" s="810"/>
      <c r="C88" s="810"/>
      <c r="D88" s="810"/>
      <c r="E88" s="823">
        <v>0.04</v>
      </c>
      <c r="F88" s="824">
        <v>5.1999999999999998E-3</v>
      </c>
    </row>
    <row r="89" spans="1:16" hidden="1">
      <c r="B89" s="810"/>
      <c r="C89" s="810"/>
      <c r="D89" s="836"/>
      <c r="E89" s="823">
        <v>5.8999999999999997E-2</v>
      </c>
      <c r="F89" s="824">
        <v>6.7999999999999996E-3</v>
      </c>
    </row>
    <row r="90" spans="1:16" hidden="1">
      <c r="B90" s="810"/>
      <c r="C90" s="810"/>
      <c r="D90" s="837"/>
      <c r="E90" s="838">
        <v>6.2E-2</v>
      </c>
      <c r="F90" s="839">
        <v>7.7000000000000002E-3</v>
      </c>
    </row>
    <row r="91" spans="1:16" ht="15" customHeight="1">
      <c r="A91" s="1257"/>
      <c r="B91" s="1257"/>
      <c r="C91" s="1257"/>
      <c r="D91" s="1257"/>
      <c r="E91" s="1257"/>
      <c r="F91" s="1257"/>
      <c r="G91" s="1257"/>
      <c r="H91" s="1257"/>
      <c r="I91" s="1257"/>
      <c r="J91" s="1257"/>
      <c r="K91" s="1257"/>
      <c r="L91" s="1257"/>
      <c r="M91" s="1257"/>
      <c r="N91" s="1257"/>
      <c r="O91" s="1257"/>
      <c r="P91" s="1257"/>
    </row>
    <row r="92" spans="1:16" ht="15" customHeight="1">
      <c r="A92" s="1257"/>
      <c r="B92" s="1257"/>
      <c r="C92" s="1257"/>
      <c r="D92" s="1257"/>
      <c r="E92" s="1257"/>
      <c r="F92" s="1257"/>
      <c r="G92" s="1257"/>
      <c r="H92" s="1257"/>
      <c r="I92" s="1257"/>
      <c r="J92" s="1257"/>
      <c r="K92" s="1257"/>
      <c r="L92" s="1257"/>
      <c r="M92" s="1257"/>
      <c r="N92" s="1257"/>
      <c r="O92" s="1257"/>
      <c r="P92" s="1257"/>
    </row>
    <row r="93" spans="1:16" ht="15" customHeight="1">
      <c r="A93" s="1257"/>
      <c r="B93" s="1257"/>
      <c r="C93" s="1257"/>
      <c r="D93" s="1257"/>
      <c r="E93" s="1257"/>
      <c r="F93" s="1257"/>
      <c r="G93" s="1257"/>
      <c r="H93" s="1257"/>
      <c r="I93" s="1257"/>
      <c r="J93" s="1257"/>
      <c r="K93" s="1257"/>
      <c r="L93" s="1257"/>
      <c r="M93" s="1257"/>
      <c r="N93" s="1257"/>
      <c r="O93" s="1257"/>
      <c r="P93" s="1257"/>
    </row>
    <row r="94" spans="1:16" ht="15" customHeight="1">
      <c r="A94" s="1257"/>
      <c r="B94" s="1257"/>
      <c r="C94" s="1257"/>
      <c r="D94" s="1257"/>
      <c r="E94" s="1257"/>
      <c r="F94" s="1257"/>
      <c r="G94" s="1257"/>
      <c r="H94" s="1257"/>
      <c r="I94" s="1257"/>
      <c r="J94" s="1257"/>
      <c r="K94" s="1257"/>
      <c r="L94" s="1257"/>
      <c r="M94" s="1257"/>
      <c r="N94" s="1257"/>
      <c r="O94" s="1257"/>
      <c r="P94" s="1257"/>
    </row>
    <row r="95" spans="1:16" ht="15.75" customHeight="1">
      <c r="A95" s="1257"/>
      <c r="B95" s="1257"/>
      <c r="C95" s="1257"/>
      <c r="D95" s="1257"/>
      <c r="E95" s="1257"/>
      <c r="F95" s="1257"/>
      <c r="G95" s="1257"/>
      <c r="H95" s="1257"/>
      <c r="I95" s="1257"/>
      <c r="J95" s="1257"/>
      <c r="K95" s="1257"/>
      <c r="L95" s="1257"/>
      <c r="M95" s="1257"/>
      <c r="N95" s="1257"/>
      <c r="O95" s="1257"/>
      <c r="P95" s="1257"/>
    </row>
  </sheetData>
  <sheetProtection algorithmName="SHA-512" hashValue="H2Aykp2u/trOTTqBFuskZz2PBSDAWe9/5Gs5UdcBDvkkUiw1MH8956eYL8B0qbRghbq0skPSxUVFL2EaakgyRw==" saltValue="Oqn8WeVTABZeSiEgQupkug==" spinCount="100000" sheet="1" objects="1" scenarios="1"/>
  <mergeCells count="7">
    <mergeCell ref="P6:X7"/>
    <mergeCell ref="A91:P95"/>
    <mergeCell ref="U1:V1"/>
    <mergeCell ref="W1:X1"/>
    <mergeCell ref="N1:O1"/>
    <mergeCell ref="P1:S1"/>
    <mergeCell ref="P3:X4"/>
  </mergeCells>
  <hyperlinks>
    <hyperlink ref="P1" r:id="rId1" xr:uid="{4B33189A-B741-498E-9FA2-E3934FAF24C2}"/>
  </hyperlinks>
  <pageMargins left="0.7" right="0.7" top="0.75" bottom="0.75" header="0.3" footer="0.3"/>
  <pageSetup paperSize="9" orientation="portrait" verticalDpi="0" r:id="rId2"/>
  <drawing r:id="rId3"/>
  <legacyDrawing r:id="rId4"/>
  <mc:AlternateContent xmlns:mc="http://schemas.openxmlformats.org/markup-compatibility/2006">
    <mc:Choice Requires="x14">
      <controls>
        <mc:AlternateContent xmlns:mc="http://schemas.openxmlformats.org/markup-compatibility/2006">
          <mc:Choice Requires="x14">
            <control shapeId="118785" r:id="rId5" name="List Box 1">
              <controlPr defaultSize="0" autoLine="0" autoPict="0">
                <anchor moveWithCells="1">
                  <from>
                    <xdr:col>0</xdr:col>
                    <xdr:colOff>600075</xdr:colOff>
                    <xdr:row>12</xdr:row>
                    <xdr:rowOff>171450</xdr:rowOff>
                  </from>
                  <to>
                    <xdr:col>7</xdr:col>
                    <xdr:colOff>133350</xdr:colOff>
                    <xdr:row>18</xdr:row>
                    <xdr:rowOff>180975</xdr:rowOff>
                  </to>
                </anchor>
              </controlPr>
            </control>
          </mc:Choice>
        </mc:AlternateContent>
        <mc:AlternateContent xmlns:mc="http://schemas.openxmlformats.org/markup-compatibility/2006">
          <mc:Choice Requires="x14">
            <control shapeId="118786" r:id="rId6" name="List Box 2">
              <controlPr defaultSize="0" autoLine="0" autoPict="0">
                <anchor moveWithCells="1">
                  <from>
                    <xdr:col>7</xdr:col>
                    <xdr:colOff>600075</xdr:colOff>
                    <xdr:row>12</xdr:row>
                    <xdr:rowOff>171450</xdr:rowOff>
                  </from>
                  <to>
                    <xdr:col>14</xdr:col>
                    <xdr:colOff>28575</xdr:colOff>
                    <xdr:row>17</xdr:row>
                    <xdr:rowOff>9525</xdr:rowOff>
                  </to>
                </anchor>
              </controlPr>
            </control>
          </mc:Choice>
        </mc:AlternateContent>
      </controls>
    </mc:Choice>
  </mc:AlternateConten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0975CB-E61E-45C0-B309-70526948D256}">
  <sheetPr>
    <tabColor rgb="FFC0FFFF"/>
  </sheetPr>
  <dimension ref="A1:AB76"/>
  <sheetViews>
    <sheetView showGridLines="0" showRowColHeaders="0" zoomScaleNormal="100" workbookViewId="0"/>
  </sheetViews>
  <sheetFormatPr defaultRowHeight="15"/>
  <cols>
    <col min="1" max="16384" width="9.140625" style="735"/>
  </cols>
  <sheetData>
    <row r="1" spans="1:23" ht="26.25">
      <c r="A1" s="944"/>
      <c r="B1" s="945" t="s">
        <v>2202</v>
      </c>
      <c r="C1" s="946"/>
      <c r="D1" s="946"/>
      <c r="E1" s="946"/>
      <c r="F1" s="946"/>
      <c r="G1" s="946"/>
      <c r="H1" s="946"/>
      <c r="I1" s="946"/>
      <c r="J1" s="946"/>
      <c r="K1" s="946"/>
      <c r="L1" s="946"/>
      <c r="M1" s="946"/>
      <c r="N1" s="946"/>
      <c r="O1" s="946"/>
      <c r="P1" s="947" t="e" vm="1">
        <v>#VALUE!</v>
      </c>
      <c r="Q1" s="1109" t="s">
        <v>2</v>
      </c>
      <c r="R1" s="1109"/>
      <c r="S1" s="1109"/>
      <c r="T1" s="1109"/>
      <c r="U1" s="905" t="s">
        <v>2261</v>
      </c>
      <c r="V1" s="1092">
        <v>45988.700578703705</v>
      </c>
      <c r="W1" s="1093"/>
    </row>
    <row r="2" spans="1:23">
      <c r="A2" s="791"/>
      <c r="D2" s="735" t="s">
        <v>2203</v>
      </c>
      <c r="H2" s="1300" t="s">
        <v>2200</v>
      </c>
      <c r="I2" s="1300"/>
      <c r="J2" s="1300"/>
      <c r="L2" s="1300" t="s">
        <v>2260</v>
      </c>
      <c r="M2" s="1300"/>
      <c r="N2" s="1300"/>
      <c r="O2" s="1300"/>
      <c r="Q2" s="1300" t="s">
        <v>2201</v>
      </c>
      <c r="R2" s="1300"/>
      <c r="S2" s="1300"/>
      <c r="U2" s="1041" t="s">
        <v>3</v>
      </c>
      <c r="V2" s="1041"/>
      <c r="W2" s="965"/>
    </row>
    <row r="3" spans="1:23">
      <c r="A3" s="791"/>
      <c r="B3" s="1299" t="s">
        <v>2204</v>
      </c>
      <c r="C3" s="1299"/>
      <c r="D3" s="948">
        <v>45</v>
      </c>
      <c r="E3" s="918" t="s">
        <v>1156</v>
      </c>
      <c r="F3" s="949">
        <f>MIN(MAX(45,D3),190)</f>
        <v>45</v>
      </c>
      <c r="H3" s="1257" t="e" vm="943">
        <v>#VALUE!</v>
      </c>
      <c r="I3" s="1257"/>
      <c r="J3" s="1257"/>
      <c r="Q3" s="1257" t="e" vm="944">
        <v>#VALUE!</v>
      </c>
      <c r="R3" s="1257"/>
      <c r="S3" s="1257"/>
      <c r="W3" s="792"/>
    </row>
    <row r="4" spans="1:23">
      <c r="A4" s="791"/>
      <c r="B4" s="918"/>
      <c r="C4" s="918"/>
      <c r="D4" s="918"/>
      <c r="E4" s="918"/>
      <c r="H4" s="1257"/>
      <c r="I4" s="1257"/>
      <c r="J4" s="1257"/>
      <c r="Q4" s="1257"/>
      <c r="R4" s="1257"/>
      <c r="S4" s="1257"/>
      <c r="W4" s="792"/>
    </row>
    <row r="5" spans="1:23">
      <c r="A5" s="791"/>
      <c r="B5" s="1299" t="s">
        <v>2205</v>
      </c>
      <c r="C5" s="1299"/>
      <c r="D5" s="948">
        <v>0.95</v>
      </c>
      <c r="E5" s="918" t="s">
        <v>1156</v>
      </c>
      <c r="F5" s="949">
        <f>MIN(MAX(0.55,D5),1.15)</f>
        <v>0.95</v>
      </c>
      <c r="H5" s="1257"/>
      <c r="I5" s="1257"/>
      <c r="J5" s="1257"/>
      <c r="Q5" s="1257"/>
      <c r="R5" s="1257"/>
      <c r="S5" s="1257"/>
      <c r="W5" s="792"/>
    </row>
    <row r="6" spans="1:23">
      <c r="A6" s="791"/>
      <c r="C6" s="793" t="s">
        <v>2206</v>
      </c>
      <c r="H6" s="1257"/>
      <c r="I6" s="1257"/>
      <c r="J6" s="1257"/>
      <c r="Q6" s="1257"/>
      <c r="R6" s="1257"/>
      <c r="S6" s="1257"/>
      <c r="W6" s="792"/>
    </row>
    <row r="7" spans="1:23" ht="15.75" thickBot="1">
      <c r="A7" s="791"/>
      <c r="H7" s="1257"/>
      <c r="I7" s="1257"/>
      <c r="J7" s="1257"/>
      <c r="Q7" s="1257"/>
      <c r="R7" s="1257"/>
      <c r="S7" s="1257"/>
      <c r="W7" s="792"/>
    </row>
    <row r="8" spans="1:23" ht="21">
      <c r="A8" s="923"/>
      <c r="B8" s="924" t="s">
        <v>2196</v>
      </c>
      <c r="C8" s="925"/>
      <c r="D8" s="925"/>
      <c r="E8" s="925"/>
      <c r="F8" s="926"/>
      <c r="G8" s="789"/>
      <c r="H8" s="789"/>
      <c r="I8" s="789"/>
      <c r="J8" s="789"/>
      <c r="K8" s="789"/>
      <c r="L8" s="1304" t="s">
        <v>2196</v>
      </c>
      <c r="M8" s="1305" t="s">
        <v>2207</v>
      </c>
      <c r="N8" s="1305"/>
      <c r="O8" s="1307" t="s">
        <v>2197</v>
      </c>
      <c r="P8" s="789"/>
      <c r="Q8" s="789"/>
      <c r="R8" s="789"/>
      <c r="S8" s="789"/>
      <c r="T8" s="789"/>
      <c r="U8" s="789"/>
      <c r="V8" s="789"/>
      <c r="W8" s="790"/>
    </row>
    <row r="9" spans="1:23">
      <c r="A9" s="791"/>
      <c r="D9" s="735" t="s">
        <v>2208</v>
      </c>
      <c r="L9" s="1256"/>
      <c r="M9" s="1306"/>
      <c r="N9" s="1306"/>
      <c r="O9" s="1308"/>
      <c r="S9" s="1301" t="s">
        <v>2209</v>
      </c>
      <c r="T9" s="1301"/>
      <c r="U9" s="1301"/>
      <c r="W9" s="792"/>
    </row>
    <row r="10" spans="1:23">
      <c r="A10" s="791"/>
      <c r="B10" s="1299" t="s">
        <v>2210</v>
      </c>
      <c r="C10" s="1299"/>
      <c r="D10" s="948">
        <v>45</v>
      </c>
      <c r="E10" s="918" t="s">
        <v>1156</v>
      </c>
      <c r="F10" s="949">
        <f>MIN(MAX(40,D10),60)</f>
        <v>45</v>
      </c>
      <c r="S10" s="1301"/>
      <c r="T10" s="1301"/>
      <c r="U10" s="1301"/>
      <c r="W10" s="792"/>
    </row>
    <row r="11" spans="1:23">
      <c r="A11" s="791"/>
      <c r="G11" s="927" t="s">
        <v>2211</v>
      </c>
      <c r="H11" s="863"/>
      <c r="I11" s="863"/>
      <c r="J11" s="911"/>
      <c r="K11" s="863"/>
      <c r="L11" s="863"/>
      <c r="M11" s="928" t="s">
        <v>2255</v>
      </c>
      <c r="N11" s="863"/>
      <c r="O11" s="863"/>
      <c r="P11" s="863"/>
      <c r="Q11" s="911"/>
      <c r="S11" s="1301"/>
      <c r="T11" s="1301"/>
      <c r="U11" s="1301"/>
      <c r="W11" s="792"/>
    </row>
    <row r="12" spans="1:23">
      <c r="A12" s="791"/>
      <c r="B12" s="1300" t="s">
        <v>2198</v>
      </c>
      <c r="C12" s="1300"/>
      <c r="D12" s="880"/>
      <c r="G12" s="950">
        <v>0.55000000000000004</v>
      </c>
      <c r="J12" s="920">
        <f>$G12/$F$10*44.5</f>
        <v>0.54388888888888887</v>
      </c>
      <c r="L12" s="913"/>
      <c r="M12" s="920">
        <f>J12</f>
        <v>0.54388888888888887</v>
      </c>
      <c r="N12" s="913"/>
      <c r="P12" s="913"/>
      <c r="Q12" s="920">
        <f>J12</f>
        <v>0.54388888888888887</v>
      </c>
      <c r="S12" s="1301"/>
      <c r="T12" s="1301"/>
      <c r="U12" s="1301"/>
      <c r="W12" s="792"/>
    </row>
    <row r="13" spans="1:23">
      <c r="A13" s="791"/>
      <c r="B13" s="1257" t="e" vm="945">
        <v>#VALUE!</v>
      </c>
      <c r="C13" s="1257"/>
      <c r="D13" s="909"/>
      <c r="F13" s="951" t="str">
        <f>IF($F$5=G12,1,"")</f>
        <v/>
      </c>
      <c r="G13" s="950">
        <v>0.75</v>
      </c>
      <c r="J13" s="920">
        <f>$G13/$F$10*44.5</f>
        <v>0.7416666666666667</v>
      </c>
      <c r="L13" s="913"/>
      <c r="M13" s="920">
        <f>J13</f>
        <v>0.7416666666666667</v>
      </c>
      <c r="N13" s="913"/>
      <c r="P13" s="913"/>
      <c r="Q13" s="920">
        <f>J13</f>
        <v>0.7416666666666667</v>
      </c>
      <c r="S13" s="1301" t="s">
        <v>2258</v>
      </c>
      <c r="T13" s="1301"/>
      <c r="U13" s="1301"/>
      <c r="W13" s="792"/>
    </row>
    <row r="14" spans="1:23">
      <c r="A14" s="791"/>
      <c r="B14" s="1257"/>
      <c r="C14" s="1257"/>
      <c r="D14" s="909"/>
      <c r="F14" s="951" t="str">
        <f>IF($F$5=G13,1,"")</f>
        <v/>
      </c>
      <c r="G14" s="950">
        <v>0.95</v>
      </c>
      <c r="J14" s="920">
        <f>$G14/$F$10*44.5</f>
        <v>0.93944444444444453</v>
      </c>
      <c r="L14" s="913"/>
      <c r="M14" s="920">
        <f>J14</f>
        <v>0.93944444444444453</v>
      </c>
      <c r="N14" s="913"/>
      <c r="P14" s="913"/>
      <c r="Q14" s="920">
        <f>J14</f>
        <v>0.93944444444444453</v>
      </c>
      <c r="S14" s="1301"/>
      <c r="T14" s="1301"/>
      <c r="U14" s="1301"/>
      <c r="V14" s="915"/>
      <c r="W14" s="792"/>
    </row>
    <row r="15" spans="1:23">
      <c r="A15" s="791"/>
      <c r="B15" s="1257"/>
      <c r="C15" s="1257"/>
      <c r="D15" s="910"/>
      <c r="E15" s="917"/>
      <c r="F15" s="951">
        <f>IF($F$5=G14,1,"")</f>
        <v>1</v>
      </c>
      <c r="G15" s="950">
        <v>1.1499999999999999</v>
      </c>
      <c r="J15" s="920">
        <f>$G15/$F$10*44.5</f>
        <v>1.1372222222222221</v>
      </c>
      <c r="L15" s="913"/>
      <c r="M15" s="920">
        <f>J15</f>
        <v>1.1372222222222221</v>
      </c>
      <c r="N15" s="913"/>
      <c r="P15" s="913"/>
      <c r="Q15" s="920">
        <f>J15</f>
        <v>1.1372222222222221</v>
      </c>
      <c r="S15" s="1301"/>
      <c r="T15" s="1301"/>
      <c r="U15" s="1301"/>
      <c r="V15" s="915"/>
      <c r="W15" s="929"/>
    </row>
    <row r="16" spans="1:23" ht="15.75" thickBot="1">
      <c r="A16" s="791"/>
      <c r="F16" s="951" t="str">
        <f>IF($F$5=G15,1,"")</f>
        <v/>
      </c>
      <c r="S16" s="1301"/>
      <c r="T16" s="1301"/>
      <c r="U16" s="1301"/>
      <c r="V16" s="915"/>
      <c r="W16" s="929"/>
    </row>
    <row r="17" spans="1:28" ht="21">
      <c r="A17" s="923"/>
      <c r="B17" s="924" t="s">
        <v>2256</v>
      </c>
      <c r="C17" s="925"/>
      <c r="D17" s="925"/>
      <c r="E17" s="930"/>
      <c r="F17" s="931" t="s">
        <v>2259</v>
      </c>
      <c r="G17" s="789"/>
      <c r="H17" s="789"/>
      <c r="I17" s="789"/>
      <c r="J17" s="789"/>
      <c r="K17" s="789"/>
      <c r="L17" s="789"/>
      <c r="M17" s="789"/>
      <c r="N17" s="789"/>
      <c r="O17" s="789"/>
      <c r="P17" s="789"/>
      <c r="Q17" s="789"/>
      <c r="R17" s="789"/>
      <c r="S17" s="789"/>
      <c r="T17" s="789"/>
      <c r="U17" s="789"/>
      <c r="V17" s="932"/>
      <c r="W17" s="933"/>
    </row>
    <row r="18" spans="1:28">
      <c r="A18" s="791"/>
      <c r="B18" s="912" t="s">
        <v>2212</v>
      </c>
      <c r="C18" s="912"/>
      <c r="D18" s="880"/>
      <c r="W18" s="792"/>
    </row>
    <row r="19" spans="1:28">
      <c r="A19" s="791"/>
      <c r="B19" s="1257" t="e" vm="945">
        <v>#VALUE!</v>
      </c>
      <c r="C19" s="1257"/>
      <c r="D19" s="909"/>
      <c r="F19" s="1257" t="e" vm="943">
        <v>#VALUE!</v>
      </c>
      <c r="G19" s="1257"/>
      <c r="I19" s="914">
        <f>0.0012*$F$3+$F$5*0.76-0.036</f>
        <v>0.74</v>
      </c>
      <c r="J19" s="914"/>
      <c r="M19" s="914">
        <f>0.0038*$F$3+$F$5*0.76-0.055</f>
        <v>0.83799999999999997</v>
      </c>
      <c r="N19" s="914"/>
      <c r="R19" s="914">
        <f>0.0064*$F$3+$F$5*0.76-0.074</f>
        <v>0.93600000000000005</v>
      </c>
      <c r="S19" s="914"/>
      <c r="T19" s="1257" t="e" vm="944">
        <v>#VALUE!</v>
      </c>
      <c r="U19" s="1257"/>
      <c r="W19" s="792"/>
      <c r="AA19" s="915"/>
      <c r="AB19" s="916"/>
    </row>
    <row r="20" spans="1:28">
      <c r="A20" s="791"/>
      <c r="B20" s="1257"/>
      <c r="C20" s="1257"/>
      <c r="D20" s="909"/>
      <c r="F20" s="1257"/>
      <c r="G20" s="1257"/>
      <c r="I20" s="918"/>
      <c r="J20" s="920"/>
      <c r="L20" s="1291" t="s">
        <v>2213</v>
      </c>
      <c r="M20" s="918"/>
      <c r="N20" s="920"/>
      <c r="R20" s="919"/>
      <c r="S20" s="915"/>
      <c r="T20" s="1257"/>
      <c r="U20" s="1257"/>
      <c r="W20" s="792"/>
      <c r="X20" s="915"/>
      <c r="Y20" s="915"/>
      <c r="Z20" s="915"/>
      <c r="AA20" s="915"/>
      <c r="AB20" s="916"/>
    </row>
    <row r="21" spans="1:28">
      <c r="A21" s="791"/>
      <c r="B21" s="1257"/>
      <c r="C21" s="1257"/>
      <c r="D21" s="910"/>
      <c r="F21" s="1257"/>
      <c r="G21" s="1257"/>
      <c r="I21" s="918"/>
      <c r="J21" s="916"/>
      <c r="L21" s="1291"/>
      <c r="M21" s="919"/>
      <c r="N21" s="916"/>
      <c r="Q21" s="915"/>
      <c r="R21" s="919"/>
      <c r="S21" s="916"/>
      <c r="T21" s="1257"/>
      <c r="U21" s="1257"/>
      <c r="W21" s="792"/>
      <c r="X21" s="915"/>
      <c r="Y21" s="915"/>
      <c r="Z21" s="915"/>
      <c r="AA21" s="915"/>
      <c r="AB21" s="916"/>
    </row>
    <row r="22" spans="1:28">
      <c r="A22" s="791"/>
      <c r="D22" s="906"/>
      <c r="I22" s="920"/>
      <c r="M22" s="920"/>
      <c r="W22" s="792"/>
      <c r="AB22" s="916"/>
    </row>
    <row r="23" spans="1:28">
      <c r="A23" s="791"/>
      <c r="B23" s="912" t="s">
        <v>2214</v>
      </c>
      <c r="C23" s="912"/>
      <c r="D23" s="909"/>
      <c r="F23" s="1257" t="e" vm="946">
        <v>#VALUE!</v>
      </c>
      <c r="G23" s="1257"/>
      <c r="I23" s="1287">
        <f>0.0002*$F$3+$F$5*0.76+0.004</f>
        <v>0.73499999999999999</v>
      </c>
      <c r="J23" s="1287"/>
      <c r="M23" s="1287">
        <f>0.0033*$F$3+$F$5*0.76-0.035</f>
        <v>0.83549999999999991</v>
      </c>
      <c r="N23" s="1287"/>
      <c r="R23" s="1287">
        <f>0.0064*$F$3+$F$5*0.76-0.074</f>
        <v>0.93600000000000005</v>
      </c>
      <c r="S23" s="1287"/>
      <c r="T23" s="1257" t="e" vm="947">
        <v>#VALUE!</v>
      </c>
      <c r="U23" s="1257"/>
      <c r="W23" s="792"/>
      <c r="X23" s="915"/>
      <c r="Y23" s="915"/>
      <c r="Z23" s="915"/>
      <c r="AA23" s="912"/>
      <c r="AB23" s="916"/>
    </row>
    <row r="24" spans="1:28">
      <c r="A24" s="791"/>
      <c r="B24" s="1257" t="e" vm="948">
        <v>#VALUE!</v>
      </c>
      <c r="C24" s="1257"/>
      <c r="D24" s="909"/>
      <c r="F24" s="1257"/>
      <c r="G24" s="1257"/>
      <c r="I24" s="759"/>
      <c r="J24" s="760"/>
      <c r="M24" s="759"/>
      <c r="N24" s="760"/>
      <c r="R24" s="919"/>
      <c r="S24" s="934"/>
      <c r="T24" s="1257"/>
      <c r="U24" s="1257"/>
      <c r="W24" s="792"/>
      <c r="X24" s="915"/>
      <c r="Y24" s="915"/>
      <c r="Z24" s="915"/>
      <c r="AA24" s="912"/>
    </row>
    <row r="25" spans="1:28">
      <c r="A25" s="791"/>
      <c r="B25" s="1257"/>
      <c r="C25" s="1257"/>
      <c r="D25" s="909"/>
      <c r="F25" s="1257"/>
      <c r="G25" s="1257"/>
      <c r="I25" s="759"/>
      <c r="J25" s="760"/>
      <c r="M25" s="921"/>
      <c r="N25" s="935"/>
      <c r="R25" s="919"/>
      <c r="S25" s="934"/>
      <c r="T25" s="1257"/>
      <c r="U25" s="1257"/>
      <c r="W25" s="792"/>
      <c r="X25" s="913"/>
      <c r="Y25" s="913"/>
      <c r="Z25" s="913"/>
      <c r="AA25" s="914"/>
    </row>
    <row r="26" spans="1:28">
      <c r="A26" s="791"/>
      <c r="B26" s="1257"/>
      <c r="C26" s="1257"/>
      <c r="D26" s="909"/>
      <c r="W26" s="792"/>
      <c r="X26" s="913"/>
      <c r="Y26" s="913"/>
      <c r="Z26" s="913"/>
      <c r="AA26" s="913"/>
    </row>
    <row r="27" spans="1:28">
      <c r="A27" s="791"/>
      <c r="D27" s="1302" t="e" vm="949">
        <v>#VALUE!</v>
      </c>
      <c r="E27" s="1257"/>
      <c r="F27" s="1257" t="e" vm="950">
        <v>#VALUE!</v>
      </c>
      <c r="G27" s="1257"/>
      <c r="I27" s="1287">
        <f>0.0002*$F$3+$F$5*0.76+0.004</f>
        <v>0.73499999999999999</v>
      </c>
      <c r="J27" s="1287"/>
      <c r="M27" s="1287">
        <f>0.0033*$F$3+$F$5*0.76+0.145</f>
        <v>1.0154999999999998</v>
      </c>
      <c r="N27" s="1287"/>
      <c r="R27" s="1287">
        <f>0.0064*$F$3+$F$5*0.76+0.107</f>
        <v>1.117</v>
      </c>
      <c r="S27" s="1287"/>
      <c r="T27" s="1257" t="e" vm="951">
        <v>#VALUE!</v>
      </c>
      <c r="U27" s="1257"/>
      <c r="V27" s="1257" t="e" vm="952">
        <v>#VALUE!</v>
      </c>
      <c r="W27" s="1303"/>
      <c r="X27" s="913"/>
      <c r="Y27" s="913"/>
      <c r="Z27" s="913"/>
      <c r="AA27" s="914"/>
    </row>
    <row r="28" spans="1:28">
      <c r="A28" s="791"/>
      <c r="D28" s="1302"/>
      <c r="E28" s="1257"/>
      <c r="F28" s="1257"/>
      <c r="G28" s="1257"/>
      <c r="I28" s="759"/>
      <c r="J28" s="760"/>
      <c r="M28" s="759"/>
      <c r="N28" s="760"/>
      <c r="R28" s="921"/>
      <c r="S28" s="935"/>
      <c r="T28" s="1257"/>
      <c r="U28" s="1257"/>
      <c r="V28" s="1257"/>
      <c r="W28" s="1303"/>
      <c r="X28" s="913"/>
      <c r="Y28" s="913"/>
      <c r="Z28" s="913"/>
      <c r="AA28" s="914"/>
    </row>
    <row r="29" spans="1:28">
      <c r="A29" s="791"/>
      <c r="D29" s="1302"/>
      <c r="E29" s="1257"/>
      <c r="F29" s="1257"/>
      <c r="G29" s="1257"/>
      <c r="I29" s="759"/>
      <c r="J29" s="760"/>
      <c r="M29" s="922"/>
      <c r="N29" s="936"/>
      <c r="R29" s="922"/>
      <c r="S29" s="936"/>
      <c r="T29" s="1257"/>
      <c r="U29" s="1257"/>
      <c r="V29" s="1257"/>
      <c r="W29" s="1303"/>
      <c r="X29" s="913"/>
      <c r="Y29" s="913"/>
      <c r="Z29" s="913"/>
      <c r="AA29" s="914"/>
    </row>
    <row r="30" spans="1:28">
      <c r="A30" s="791"/>
      <c r="D30" s="908"/>
      <c r="W30" s="792"/>
      <c r="X30" s="913"/>
      <c r="Y30" s="913"/>
      <c r="Z30" s="913"/>
      <c r="AA30" s="913"/>
    </row>
    <row r="31" spans="1:28">
      <c r="A31" s="791"/>
      <c r="W31" s="792"/>
      <c r="X31" s="913"/>
      <c r="Y31" s="913"/>
      <c r="Z31" s="913"/>
      <c r="AA31" s="913"/>
    </row>
    <row r="32" spans="1:28" ht="15.75" thickBot="1">
      <c r="A32" s="803"/>
      <c r="B32" s="804"/>
      <c r="C32" s="804"/>
      <c r="D32" s="804"/>
      <c r="E32" s="804"/>
      <c r="F32" s="804"/>
      <c r="G32" s="804"/>
      <c r="H32" s="804"/>
      <c r="I32" s="804"/>
      <c r="J32" s="804"/>
      <c r="K32" s="804"/>
      <c r="L32" s="804"/>
      <c r="M32" s="804"/>
      <c r="N32" s="804"/>
      <c r="O32" s="804"/>
      <c r="P32" s="804"/>
      <c r="Q32" s="804"/>
      <c r="R32" s="804"/>
      <c r="S32" s="804"/>
      <c r="T32" s="804"/>
      <c r="U32" s="804"/>
      <c r="V32" s="804"/>
      <c r="W32" s="805"/>
      <c r="X32" s="913"/>
      <c r="Y32" s="913"/>
      <c r="Z32" s="913"/>
      <c r="AA32" s="913"/>
    </row>
    <row r="33" spans="1:27">
      <c r="A33" s="791"/>
      <c r="W33" s="792"/>
      <c r="X33" s="913"/>
      <c r="Y33" s="913"/>
      <c r="Z33" s="913"/>
      <c r="AA33" s="913"/>
    </row>
    <row r="34" spans="1:27">
      <c r="A34" s="791"/>
      <c r="H34" s="1257" t="e" vm="946">
        <v>#VALUE!</v>
      </c>
      <c r="I34" s="1257"/>
      <c r="J34" s="1257"/>
      <c r="L34" s="1257" t="e" vm="953">
        <v>#VALUE!</v>
      </c>
      <c r="M34" s="1257"/>
      <c r="N34" s="1257"/>
      <c r="Q34" s="1257" t="e" vm="947">
        <v>#VALUE!</v>
      </c>
      <c r="R34" s="1257"/>
      <c r="S34" s="1257"/>
      <c r="W34" s="792"/>
      <c r="X34" s="913"/>
      <c r="Y34" s="913"/>
      <c r="Z34" s="913"/>
      <c r="AA34" s="914"/>
    </row>
    <row r="35" spans="1:27">
      <c r="A35" s="791"/>
      <c r="H35" s="1257"/>
      <c r="I35" s="1257"/>
      <c r="J35" s="1257"/>
      <c r="L35" s="1257"/>
      <c r="M35" s="1257"/>
      <c r="N35" s="1257"/>
      <c r="Q35" s="1257"/>
      <c r="R35" s="1257"/>
      <c r="S35" s="1257"/>
      <c r="W35" s="792"/>
      <c r="X35" s="913"/>
      <c r="Y35" s="913"/>
      <c r="Z35" s="913"/>
      <c r="AA35" s="914"/>
    </row>
    <row r="36" spans="1:27">
      <c r="A36" s="791"/>
      <c r="B36" s="937" t="s">
        <v>2215</v>
      </c>
      <c r="C36" s="1298" t="s">
        <v>2216</v>
      </c>
      <c r="D36" s="1298"/>
      <c r="E36" s="1298"/>
      <c r="F36" s="938" t="s">
        <v>2197</v>
      </c>
      <c r="H36" s="1257"/>
      <c r="I36" s="1257"/>
      <c r="J36" s="1257"/>
      <c r="L36" s="1257"/>
      <c r="M36" s="1257"/>
      <c r="N36" s="1257"/>
      <c r="Q36" s="1257"/>
      <c r="R36" s="1257"/>
      <c r="S36" s="1257"/>
      <c r="W36" s="792"/>
    </row>
    <row r="37" spans="1:27">
      <c r="A37" s="791"/>
      <c r="B37" s="1288"/>
      <c r="C37" s="1291" t="s">
        <v>2217</v>
      </c>
      <c r="D37" s="1291"/>
      <c r="E37" s="1291"/>
      <c r="F37" s="1293">
        <f>0.0002*$F$3+$F$5*0.76+0.004</f>
        <v>0.73499999999999999</v>
      </c>
      <c r="H37" s="1257"/>
      <c r="I37" s="1257"/>
      <c r="J37" s="1257"/>
      <c r="L37" s="1257"/>
      <c r="M37" s="1257"/>
      <c r="N37" s="1257"/>
      <c r="Q37" s="1257"/>
      <c r="R37" s="1257"/>
      <c r="S37" s="1257"/>
      <c r="W37" s="792"/>
      <c r="X37" s="913"/>
      <c r="Y37" s="913"/>
      <c r="Z37" s="913"/>
      <c r="AA37" s="914"/>
    </row>
    <row r="38" spans="1:27">
      <c r="A38" s="791"/>
      <c r="B38" s="1288"/>
      <c r="C38" s="1291"/>
      <c r="D38" s="1291"/>
      <c r="E38" s="1291"/>
      <c r="F38" s="1296"/>
      <c r="H38" s="1257"/>
      <c r="I38" s="1257"/>
      <c r="J38" s="1257"/>
      <c r="L38" s="1257"/>
      <c r="M38" s="1257"/>
      <c r="N38" s="1257"/>
      <c r="Q38" s="1257"/>
      <c r="R38" s="1257"/>
      <c r="S38" s="1257"/>
      <c r="W38" s="792"/>
      <c r="X38" s="913"/>
      <c r="Y38" s="913"/>
      <c r="Z38" s="913"/>
      <c r="AA38" s="914"/>
    </row>
    <row r="39" spans="1:27">
      <c r="A39" s="791"/>
      <c r="B39" s="1297"/>
      <c r="C39" s="1291" t="s">
        <v>2218</v>
      </c>
      <c r="D39" s="1291"/>
      <c r="E39" s="1291"/>
      <c r="F39" s="1293">
        <f>0.0012*$F$3+$F$5*0.76-0.036</f>
        <v>0.74</v>
      </c>
      <c r="I39" s="1287">
        <f>0.0002*$F$3+$F$5*0.76+0.004</f>
        <v>0.73499999999999999</v>
      </c>
      <c r="J39" s="1287"/>
      <c r="M39" s="920">
        <f>0.0064*$F$3+$F$5*0.76-0.074</f>
        <v>0.93600000000000005</v>
      </c>
      <c r="N39" s="920">
        <f>0.0002*$F$3+$F$5*0.76+0.004</f>
        <v>0.73499999999999999</v>
      </c>
      <c r="R39" s="1287">
        <f>0.0064*$F$3+$F$5*0.76-0.074</f>
        <v>0.93600000000000005</v>
      </c>
      <c r="S39" s="1287"/>
      <c r="W39" s="792"/>
    </row>
    <row r="40" spans="1:27">
      <c r="A40" s="791"/>
      <c r="B40" s="1297"/>
      <c r="C40" s="1291"/>
      <c r="D40" s="1291"/>
      <c r="E40" s="1291"/>
      <c r="F40" s="1293"/>
      <c r="I40" s="1231"/>
      <c r="J40" s="1288"/>
      <c r="M40" s="1295"/>
      <c r="N40" s="1288"/>
      <c r="R40" s="1295"/>
      <c r="S40" s="1290"/>
      <c r="W40" s="792"/>
    </row>
    <row r="41" spans="1:27">
      <c r="A41" s="791"/>
      <c r="B41" s="1290"/>
      <c r="C41" s="1291" t="s">
        <v>2219</v>
      </c>
      <c r="D41" s="1291"/>
      <c r="E41" s="1291"/>
      <c r="F41" s="1293">
        <f>0.0064*$F$3+$F$5*0.76-0.074</f>
        <v>0.93600000000000005</v>
      </c>
      <c r="I41" s="1231"/>
      <c r="J41" s="1288"/>
      <c r="M41" s="1295"/>
      <c r="N41" s="1288"/>
      <c r="O41" s="914"/>
      <c r="R41" s="1295"/>
      <c r="S41" s="1290"/>
      <c r="W41" s="792"/>
    </row>
    <row r="42" spans="1:27">
      <c r="A42" s="791"/>
      <c r="B42" s="1290"/>
      <c r="C42" s="1291"/>
      <c r="D42" s="1291"/>
      <c r="E42" s="1291"/>
      <c r="F42" s="1296"/>
      <c r="M42" s="1287">
        <f>0.0033*$F$3+$F$5*0.76-0.035</f>
        <v>0.83549999999999991</v>
      </c>
      <c r="N42" s="1287"/>
      <c r="W42" s="792"/>
    </row>
    <row r="43" spans="1:27">
      <c r="A43" s="791"/>
      <c r="B43" s="939"/>
      <c r="C43" s="1291" t="s">
        <v>2220</v>
      </c>
      <c r="D43" s="1291"/>
      <c r="E43" s="1291"/>
      <c r="F43" s="1293">
        <f>0.0064*$F$3+$F$5*0.76+0.286</f>
        <v>1.296</v>
      </c>
      <c r="M43" s="759"/>
      <c r="N43" s="760"/>
      <c r="Q43" s="1257"/>
      <c r="W43" s="792"/>
    </row>
    <row r="44" spans="1:27">
      <c r="A44" s="791"/>
      <c r="B44" s="940"/>
      <c r="C44" s="1292"/>
      <c r="D44" s="1292"/>
      <c r="E44" s="1292"/>
      <c r="F44" s="1294"/>
      <c r="M44" s="921"/>
      <c r="N44" s="935"/>
      <c r="Q44" s="1257"/>
      <c r="W44" s="792"/>
    </row>
    <row r="45" spans="1:27">
      <c r="A45" s="791"/>
      <c r="W45" s="792"/>
    </row>
    <row r="46" spans="1:27">
      <c r="A46" s="791"/>
      <c r="B46" s="918"/>
      <c r="C46" s="1291" t="s">
        <v>2221</v>
      </c>
      <c r="D46" s="1291"/>
      <c r="E46" s="1291"/>
      <c r="F46" s="1287">
        <f>0.0038*$F$3+$F$5*0.76-0.055</f>
        <v>0.83799999999999997</v>
      </c>
      <c r="H46" s="1257" t="e" vm="949">
        <v>#VALUE!</v>
      </c>
      <c r="I46" s="1257"/>
      <c r="J46" s="1257"/>
      <c r="L46" s="1257" t="e" vm="954">
        <v>#VALUE!</v>
      </c>
      <c r="M46" s="1257"/>
      <c r="N46" s="1257"/>
      <c r="Q46" s="1257" t="e" vm="951">
        <v>#VALUE!</v>
      </c>
      <c r="R46" s="1257"/>
      <c r="S46" s="1257"/>
      <c r="W46" s="792"/>
    </row>
    <row r="47" spans="1:27">
      <c r="A47" s="791"/>
      <c r="B47" s="919"/>
      <c r="C47" s="1291"/>
      <c r="D47" s="1291"/>
      <c r="E47" s="1291"/>
      <c r="F47" s="1287"/>
      <c r="H47" s="1257"/>
      <c r="I47" s="1257"/>
      <c r="J47" s="1257"/>
      <c r="L47" s="1257"/>
      <c r="M47" s="1257"/>
      <c r="N47" s="1257"/>
      <c r="Q47" s="1257"/>
      <c r="R47" s="1257"/>
      <c r="S47" s="1257"/>
      <c r="W47" s="792"/>
    </row>
    <row r="48" spans="1:27">
      <c r="A48" s="791"/>
      <c r="H48" s="1257"/>
      <c r="I48" s="1257"/>
      <c r="J48" s="1257"/>
      <c r="L48" s="1257"/>
      <c r="M48" s="1257"/>
      <c r="N48" s="1257"/>
      <c r="Q48" s="1257"/>
      <c r="R48" s="1257"/>
      <c r="S48" s="1257"/>
      <c r="W48" s="792"/>
    </row>
    <row r="49" spans="1:27">
      <c r="A49" s="791"/>
      <c r="B49" s="759"/>
      <c r="C49" s="1291" t="s">
        <v>2222</v>
      </c>
      <c r="D49" s="1291"/>
      <c r="E49" s="1291"/>
      <c r="F49" s="1287">
        <f>0.0033*$F$3+$F$5*0.76+0.145</f>
        <v>1.0154999999999998</v>
      </c>
      <c r="H49" s="1257"/>
      <c r="I49" s="1257"/>
      <c r="J49" s="1257"/>
      <c r="L49" s="1257"/>
      <c r="M49" s="1257"/>
      <c r="N49" s="1257"/>
      <c r="Q49" s="1257"/>
      <c r="R49" s="1257"/>
      <c r="S49" s="1257"/>
      <c r="W49" s="792"/>
    </row>
    <row r="50" spans="1:27">
      <c r="A50" s="791"/>
      <c r="B50" s="922"/>
      <c r="C50" s="1291"/>
      <c r="D50" s="1291"/>
      <c r="E50" s="1291"/>
      <c r="F50" s="1287"/>
      <c r="H50" s="1257"/>
      <c r="I50" s="1257"/>
      <c r="J50" s="1257"/>
      <c r="L50" s="1257"/>
      <c r="M50" s="1257"/>
      <c r="N50" s="1257"/>
      <c r="Q50" s="1257"/>
      <c r="R50" s="1257"/>
      <c r="S50" s="1257"/>
      <c r="W50" s="792"/>
    </row>
    <row r="51" spans="1:27">
      <c r="A51" s="791"/>
      <c r="H51" s="1257" t="e" vm="950">
        <v>#VALUE!</v>
      </c>
      <c r="I51" s="1257"/>
      <c r="J51" s="1257"/>
      <c r="L51" s="1257" t="e" vm="955">
        <v>#VALUE!</v>
      </c>
      <c r="M51" s="1257"/>
      <c r="N51" s="1257"/>
      <c r="Q51" s="1257" t="e" vm="952">
        <v>#VALUE!</v>
      </c>
      <c r="R51" s="1257"/>
      <c r="S51" s="1257"/>
      <c r="W51" s="792"/>
    </row>
    <row r="52" spans="1:27">
      <c r="A52" s="791"/>
      <c r="B52" s="921"/>
      <c r="C52" s="1291" t="s">
        <v>2223</v>
      </c>
      <c r="D52" s="1291"/>
      <c r="E52" s="1291"/>
      <c r="F52" s="1287">
        <f>0.0064*$F$3+$F$5*0.76+0.107</f>
        <v>1.117</v>
      </c>
      <c r="H52" s="1257"/>
      <c r="I52" s="1257"/>
      <c r="J52" s="1257"/>
      <c r="K52" s="914"/>
      <c r="L52" s="1257"/>
      <c r="M52" s="1257"/>
      <c r="N52" s="1257"/>
      <c r="Q52" s="1257"/>
      <c r="R52" s="1257"/>
      <c r="S52" s="1257"/>
      <c r="W52" s="792"/>
    </row>
    <row r="53" spans="1:27">
      <c r="A53" s="791"/>
      <c r="B53" s="922"/>
      <c r="C53" s="1291"/>
      <c r="D53" s="1291"/>
      <c r="E53" s="1291"/>
      <c r="F53" s="1287"/>
      <c r="H53" s="1257"/>
      <c r="I53" s="1257"/>
      <c r="J53" s="1257"/>
      <c r="K53" s="913"/>
      <c r="L53" s="1257"/>
      <c r="M53" s="1257"/>
      <c r="N53" s="1257"/>
      <c r="Q53" s="1257"/>
      <c r="R53" s="1257"/>
      <c r="S53" s="1257"/>
      <c r="W53" s="792"/>
      <c r="X53" s="913"/>
      <c r="Y53" s="913"/>
      <c r="Z53" s="913"/>
      <c r="AA53" s="914"/>
    </row>
    <row r="54" spans="1:27">
      <c r="A54" s="791"/>
      <c r="H54" s="1257"/>
      <c r="I54" s="1257"/>
      <c r="J54" s="1257"/>
      <c r="K54" s="913"/>
      <c r="L54" s="1257"/>
      <c r="M54" s="1257"/>
      <c r="N54" s="1257"/>
      <c r="Q54" s="1257"/>
      <c r="R54" s="1257"/>
      <c r="S54" s="1257"/>
      <c r="W54" s="792"/>
      <c r="X54" s="913"/>
      <c r="Y54" s="913"/>
      <c r="Z54" s="913"/>
      <c r="AA54" s="914"/>
    </row>
    <row r="55" spans="1:27" ht="15" customHeight="1">
      <c r="A55" s="791"/>
      <c r="B55" s="759"/>
      <c r="C55" s="1291" t="s">
        <v>2224</v>
      </c>
      <c r="D55" s="1291"/>
      <c r="E55" s="1291"/>
      <c r="F55" s="1287">
        <f>0.0033*$F$3+$F$5*0.76-0.035</f>
        <v>0.83549999999999991</v>
      </c>
      <c r="H55" s="1257"/>
      <c r="I55" s="1257"/>
      <c r="J55" s="1257"/>
      <c r="K55" s="913"/>
      <c r="L55" s="1257"/>
      <c r="M55" s="1257"/>
      <c r="N55" s="1257"/>
      <c r="Q55" s="1257"/>
      <c r="R55" s="1257"/>
      <c r="S55" s="1257"/>
      <c r="W55" s="792"/>
    </row>
    <row r="56" spans="1:27">
      <c r="A56" s="791"/>
      <c r="B56" s="921"/>
      <c r="C56" s="1291"/>
      <c r="D56" s="1291"/>
      <c r="E56" s="1291"/>
      <c r="F56" s="1287"/>
      <c r="I56" s="1287">
        <f>0.0002*$F$3+$F$5*0.76+0.004</f>
        <v>0.73499999999999999</v>
      </c>
      <c r="J56" s="1287"/>
      <c r="M56" s="920">
        <f>0.0064*$F$3+$F$5*0.76+0.286</f>
        <v>1.296</v>
      </c>
      <c r="N56" s="920">
        <f>0.0002*$F$3+$F$5*0.76+0.004</f>
        <v>0.73499999999999999</v>
      </c>
      <c r="R56" s="920">
        <f>0.0064*$F$3+$F$5*0.76+0.286</f>
        <v>1.296</v>
      </c>
      <c r="S56" s="920">
        <f>0.0064*$F$3+$F$5*0.76-0.074</f>
        <v>0.93600000000000005</v>
      </c>
      <c r="W56" s="792"/>
      <c r="X56" s="913"/>
      <c r="Y56" s="913"/>
      <c r="Z56" s="913"/>
      <c r="AA56" s="914"/>
    </row>
    <row r="57" spans="1:27">
      <c r="A57" s="791"/>
      <c r="I57" s="1231"/>
      <c r="J57" s="1288"/>
      <c r="M57" s="1289"/>
      <c r="N57" s="1288"/>
      <c r="R57" s="1289"/>
      <c r="S57" s="1290"/>
      <c r="W57" s="792"/>
      <c r="X57" s="913"/>
      <c r="Y57" s="913"/>
      <c r="Z57" s="913"/>
      <c r="AA57" s="914"/>
    </row>
    <row r="58" spans="1:27">
      <c r="A58" s="791"/>
      <c r="I58" s="1231"/>
      <c r="J58" s="1288"/>
      <c r="M58" s="1289"/>
      <c r="N58" s="1288"/>
      <c r="O58" s="915"/>
      <c r="R58" s="1289"/>
      <c r="S58" s="1290"/>
      <c r="W58" s="792"/>
    </row>
    <row r="59" spans="1:27">
      <c r="A59" s="791"/>
      <c r="M59" s="1287">
        <f>0.0033*$F$3+$F$5*0.76+0.145</f>
        <v>1.0154999999999998</v>
      </c>
      <c r="N59" s="1287"/>
      <c r="R59" s="1287">
        <f>0.0064*$F$3+$F$5*0.76+0.107</f>
        <v>1.117</v>
      </c>
      <c r="S59" s="1287"/>
      <c r="W59" s="792"/>
    </row>
    <row r="60" spans="1:27">
      <c r="A60" s="791"/>
      <c r="M60" s="759"/>
      <c r="N60" s="760"/>
      <c r="R60" s="921"/>
      <c r="S60" s="935"/>
      <c r="W60" s="792"/>
    </row>
    <row r="61" spans="1:27">
      <c r="A61" s="791"/>
      <c r="M61" s="922"/>
      <c r="N61" s="936"/>
      <c r="R61" s="922"/>
      <c r="S61" s="936"/>
      <c r="W61" s="792"/>
    </row>
    <row r="62" spans="1:27" ht="15.75" thickBot="1">
      <c r="A62" s="803"/>
      <c r="B62" s="804"/>
      <c r="C62" s="804"/>
      <c r="D62" s="804"/>
      <c r="E62" s="804"/>
      <c r="F62" s="804"/>
      <c r="G62" s="804"/>
      <c r="H62" s="804"/>
      <c r="I62" s="804"/>
      <c r="J62" s="804"/>
      <c r="K62" s="804"/>
      <c r="L62" s="804"/>
      <c r="M62" s="804"/>
      <c r="N62" s="804"/>
      <c r="O62" s="804"/>
      <c r="P62" s="804"/>
      <c r="Q62" s="804"/>
      <c r="R62" s="804"/>
      <c r="S62" s="804"/>
      <c r="T62" s="804"/>
      <c r="U62" s="804"/>
      <c r="V62" s="804"/>
      <c r="W62" s="805"/>
    </row>
    <row r="63" spans="1:27" ht="21">
      <c r="A63" s="941"/>
      <c r="B63" s="942" t="s">
        <v>2199</v>
      </c>
      <c r="C63" s="789"/>
      <c r="D63" s="789"/>
      <c r="E63" s="789"/>
      <c r="F63" s="789"/>
      <c r="G63" s="789"/>
      <c r="H63" s="789"/>
      <c r="I63" s="789"/>
      <c r="J63" s="789"/>
      <c r="K63" s="789"/>
      <c r="L63" s="789"/>
      <c r="M63" s="789"/>
      <c r="N63" s="789"/>
      <c r="O63" s="789"/>
      <c r="P63" s="789"/>
      <c r="Q63" s="789"/>
      <c r="R63" s="789"/>
      <c r="S63" s="789"/>
      <c r="T63" s="789"/>
      <c r="U63" s="789"/>
      <c r="V63" s="789"/>
      <c r="W63" s="790"/>
    </row>
    <row r="64" spans="1:27" ht="21">
      <c r="A64" s="791"/>
      <c r="B64" s="907" t="s">
        <v>2225</v>
      </c>
      <c r="W64" s="792"/>
    </row>
    <row r="65" spans="1:27" ht="21.75" thickBot="1">
      <c r="A65" s="803"/>
      <c r="B65" s="943" t="s">
        <v>2257</v>
      </c>
      <c r="C65" s="804"/>
      <c r="D65" s="804"/>
      <c r="E65" s="804"/>
      <c r="F65" s="804"/>
      <c r="G65" s="804"/>
      <c r="H65" s="804"/>
      <c r="I65" s="804"/>
      <c r="J65" s="804"/>
      <c r="K65" s="804"/>
      <c r="L65" s="804"/>
      <c r="M65" s="804"/>
      <c r="N65" s="804"/>
      <c r="O65" s="804"/>
      <c r="P65" s="804"/>
      <c r="Q65" s="804"/>
      <c r="R65" s="804"/>
      <c r="S65" s="804"/>
      <c r="T65" s="804"/>
      <c r="U65" s="804"/>
      <c r="V65" s="804"/>
      <c r="W65" s="805"/>
    </row>
    <row r="67" spans="1:27">
      <c r="M67" s="914"/>
      <c r="N67" s="914"/>
      <c r="O67" s="913"/>
      <c r="R67" s="913"/>
      <c r="S67" s="914"/>
      <c r="T67" s="913"/>
    </row>
    <row r="68" spans="1:27">
      <c r="M68" s="913"/>
      <c r="N68" s="913"/>
      <c r="O68" s="913"/>
      <c r="R68" s="913"/>
      <c r="S68" s="913"/>
      <c r="T68" s="913"/>
    </row>
    <row r="69" spans="1:27">
      <c r="W69" s="913"/>
      <c r="X69" s="913"/>
      <c r="Y69" s="913"/>
      <c r="Z69" s="913"/>
      <c r="AA69" s="914"/>
    </row>
    <row r="70" spans="1:27">
      <c r="W70" s="913"/>
      <c r="X70" s="913"/>
      <c r="Y70" s="913"/>
      <c r="Z70" s="913"/>
      <c r="AA70" s="914"/>
    </row>
    <row r="71" spans="1:27">
      <c r="M71" s="913"/>
      <c r="N71" s="914"/>
      <c r="O71" s="913"/>
    </row>
    <row r="72" spans="1:27">
      <c r="M72" s="913"/>
      <c r="N72" s="913"/>
      <c r="O72" s="913"/>
    </row>
    <row r="76" spans="1:27" ht="21">
      <c r="B76" s="907"/>
    </row>
  </sheetData>
  <sheetProtection algorithmName="SHA-512" hashValue="+TiIjqUE10co4KRLcx/uH1g9oBOBEudlKphuwPwmB+Kdy52lOlTX9jgWIoGxZ1B3f1P02XwVWr8K+FPT0Vl/zQ==" saltValue="8R3b9Tw/oa9iZxWTR5B03A==" spinCount="100000" sheet="1" objects="1" scenarios="1"/>
  <mergeCells count="83">
    <mergeCell ref="U2:V2"/>
    <mergeCell ref="Q1:T1"/>
    <mergeCell ref="V1:W1"/>
    <mergeCell ref="V27:W29"/>
    <mergeCell ref="H34:J38"/>
    <mergeCell ref="L34:N38"/>
    <mergeCell ref="Q34:S38"/>
    <mergeCell ref="L8:L9"/>
    <mergeCell ref="M8:N9"/>
    <mergeCell ref="O8:O9"/>
    <mergeCell ref="S9:U12"/>
    <mergeCell ref="Q2:S2"/>
    <mergeCell ref="Q3:S7"/>
    <mergeCell ref="R23:S23"/>
    <mergeCell ref="T23:U25"/>
    <mergeCell ref="R27:S27"/>
    <mergeCell ref="T27:U29"/>
    <mergeCell ref="B13:C15"/>
    <mergeCell ref="S13:U16"/>
    <mergeCell ref="B19:C21"/>
    <mergeCell ref="F19:G21"/>
    <mergeCell ref="T19:U21"/>
    <mergeCell ref="L20:L21"/>
    <mergeCell ref="B24:C26"/>
    <mergeCell ref="D27:E29"/>
    <mergeCell ref="F27:G29"/>
    <mergeCell ref="I27:J27"/>
    <mergeCell ref="M27:N27"/>
    <mergeCell ref="B10:C10"/>
    <mergeCell ref="B12:C12"/>
    <mergeCell ref="B3:C3"/>
    <mergeCell ref="H2:J2"/>
    <mergeCell ref="L2:O2"/>
    <mergeCell ref="H3:J7"/>
    <mergeCell ref="B5:C5"/>
    <mergeCell ref="B41:B42"/>
    <mergeCell ref="C41:E42"/>
    <mergeCell ref="F41:F42"/>
    <mergeCell ref="M42:N42"/>
    <mergeCell ref="F23:G25"/>
    <mergeCell ref="I23:J23"/>
    <mergeCell ref="M23:N23"/>
    <mergeCell ref="I39:J39"/>
    <mergeCell ref="B37:B38"/>
    <mergeCell ref="C37:E38"/>
    <mergeCell ref="F37:F38"/>
    <mergeCell ref="B39:B40"/>
    <mergeCell ref="C39:E40"/>
    <mergeCell ref="F39:F40"/>
    <mergeCell ref="C36:E36"/>
    <mergeCell ref="R39:S39"/>
    <mergeCell ref="I40:I41"/>
    <mergeCell ref="J40:J41"/>
    <mergeCell ref="M40:M41"/>
    <mergeCell ref="N40:N41"/>
    <mergeCell ref="R40:R41"/>
    <mergeCell ref="S40:S41"/>
    <mergeCell ref="C43:E44"/>
    <mergeCell ref="F43:F44"/>
    <mergeCell ref="Q43:Q44"/>
    <mergeCell ref="C46:E47"/>
    <mergeCell ref="F46:F47"/>
    <mergeCell ref="H46:J50"/>
    <mergeCell ref="L46:N50"/>
    <mergeCell ref="Q46:S50"/>
    <mergeCell ref="C49:E50"/>
    <mergeCell ref="F49:F50"/>
    <mergeCell ref="C52:E53"/>
    <mergeCell ref="F52:F53"/>
    <mergeCell ref="C55:E56"/>
    <mergeCell ref="F55:F56"/>
    <mergeCell ref="I56:J56"/>
    <mergeCell ref="M59:N59"/>
    <mergeCell ref="R59:S59"/>
    <mergeCell ref="H51:J55"/>
    <mergeCell ref="L51:N55"/>
    <mergeCell ref="Q51:S55"/>
    <mergeCell ref="I57:I58"/>
    <mergeCell ref="J57:J58"/>
    <mergeCell ref="M57:M58"/>
    <mergeCell ref="N57:N58"/>
    <mergeCell ref="R57:R58"/>
    <mergeCell ref="S57:S58"/>
  </mergeCells>
  <conditionalFormatting sqref="G12:G15 J12:Q15">
    <cfRule type="expression" dxfId="0" priority="1">
      <formula>$F13</formula>
    </cfRule>
  </conditionalFormatting>
  <hyperlinks>
    <hyperlink ref="Q1" r:id="rId1" xr:uid="{C6030DF1-D18F-4801-99CF-8AF01D9795F9}"/>
  </hyperlinks>
  <pageMargins left="0.7" right="0.7" top="0.75" bottom="0.75" header="0.3" footer="0.3"/>
  <pageSetup paperSize="9" orientation="portrait"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56A645A-C4D6-4E00-921C-EC68F0CE6220}">
  <sheetPr codeName="Sheet71"/>
  <dimension ref="A1:M49"/>
  <sheetViews>
    <sheetView showGridLines="0" topLeftCell="N1" zoomScale="25" zoomScaleNormal="25" workbookViewId="0">
      <selection activeCell="AM8" sqref="AM8"/>
    </sheetView>
  </sheetViews>
  <sheetFormatPr defaultRowHeight="46.5"/>
  <cols>
    <col min="1" max="1" width="21" hidden="1" customWidth="1"/>
    <col min="2" max="2" width="65.7109375" style="5" hidden="1" customWidth="1"/>
    <col min="3" max="3" width="65.7109375" style="153" hidden="1" customWidth="1"/>
    <col min="4" max="4" width="65.7109375" style="5" hidden="1" customWidth="1"/>
    <col min="5" max="5" width="65.7109375" style="153" hidden="1" customWidth="1"/>
    <col min="6" max="6" width="65.7109375" style="5" hidden="1" customWidth="1"/>
    <col min="7" max="7" width="65.7109375" style="2" hidden="1" customWidth="1"/>
    <col min="8" max="8" width="65.7109375" style="5" hidden="1" customWidth="1"/>
    <col min="9" max="9" width="65.7109375" style="153" hidden="1" customWidth="1"/>
    <col min="10" max="10" width="65.7109375" style="5" hidden="1" customWidth="1"/>
    <col min="11" max="11" width="65.7109375" style="153" hidden="1" customWidth="1"/>
    <col min="12" max="12" width="65.7109375" style="3" hidden="1" customWidth="1"/>
    <col min="13" max="13" width="65.7109375" style="153" hidden="1" customWidth="1"/>
    <col min="14" max="14" width="24.5703125" customWidth="1"/>
    <col min="15" max="15" width="9.140625" customWidth="1"/>
  </cols>
  <sheetData>
    <row r="1" spans="2:13" ht="179.25" customHeight="1"/>
    <row r="2" spans="2:13" ht="330" customHeight="1">
      <c r="B2" s="6" t="s">
        <v>273</v>
      </c>
      <c r="C2" s="153" t="e" vm="956">
        <v>#VALUE!</v>
      </c>
      <c r="D2" s="6" t="s">
        <v>623</v>
      </c>
      <c r="E2" s="153" t="e" vm="957">
        <v>#VALUE!</v>
      </c>
      <c r="F2" s="6" t="s">
        <v>951</v>
      </c>
      <c r="H2" s="6" t="s">
        <v>790</v>
      </c>
      <c r="I2" s="153" t="e" vm="958">
        <v>#VALUE!</v>
      </c>
      <c r="J2" s="6" t="s">
        <v>1096</v>
      </c>
      <c r="L2" s="4" t="s">
        <v>272</v>
      </c>
    </row>
    <row r="3" spans="2:13" ht="330" customHeight="1">
      <c r="B3" s="6" t="s">
        <v>279</v>
      </c>
      <c r="C3" s="153" t="e" vm="959">
        <v>#VALUE!</v>
      </c>
      <c r="D3" s="6" t="s">
        <v>626</v>
      </c>
      <c r="E3" s="153" t="e" vm="960">
        <v>#VALUE!</v>
      </c>
      <c r="F3" s="6" t="s">
        <v>952</v>
      </c>
      <c r="H3" s="6" t="s">
        <v>794</v>
      </c>
      <c r="I3" s="153" t="e" vm="961">
        <v>#VALUE!</v>
      </c>
      <c r="J3" s="6" t="s">
        <v>1100</v>
      </c>
      <c r="L3" s="4" t="s">
        <v>278</v>
      </c>
    </row>
    <row r="4" spans="2:13" ht="330" customHeight="1">
      <c r="B4" s="6" t="s">
        <v>284</v>
      </c>
      <c r="C4" s="153" t="e" vm="962">
        <v>#VALUE!</v>
      </c>
      <c r="D4" s="6" t="s">
        <v>620</v>
      </c>
      <c r="E4" s="153" t="e" vm="963">
        <v>#VALUE!</v>
      </c>
      <c r="F4" s="6" t="s">
        <v>953</v>
      </c>
      <c r="H4" s="6" t="s">
        <v>797</v>
      </c>
      <c r="I4" s="153" t="e" vm="964">
        <v>#VALUE!</v>
      </c>
      <c r="J4" s="6" t="s">
        <v>1095</v>
      </c>
      <c r="L4" s="4" t="s">
        <v>283</v>
      </c>
    </row>
    <row r="5" spans="2:13" ht="330" customHeight="1">
      <c r="B5" s="6" t="s">
        <v>289</v>
      </c>
      <c r="C5" s="153" t="e" vm="965">
        <v>#VALUE!</v>
      </c>
      <c r="D5" s="6" t="s">
        <v>624</v>
      </c>
      <c r="E5" s="153" t="e" vm="966">
        <v>#VALUE!</v>
      </c>
      <c r="H5" s="6" t="s">
        <v>800</v>
      </c>
      <c r="I5" s="153" t="e" vm="967">
        <v>#VALUE!</v>
      </c>
      <c r="J5" s="6" t="s">
        <v>1099</v>
      </c>
      <c r="L5" s="4" t="s">
        <v>288</v>
      </c>
      <c r="M5" s="1" t="e" vm="968">
        <v>#VALUE!</v>
      </c>
    </row>
    <row r="6" spans="2:13" ht="330" customHeight="1">
      <c r="B6" s="6" t="s">
        <v>294</v>
      </c>
      <c r="C6" s="153" t="e" vm="969">
        <v>#VALUE!</v>
      </c>
      <c r="D6" s="6" t="s">
        <v>293</v>
      </c>
      <c r="E6" s="153" t="e" vm="970">
        <v>#VALUE!</v>
      </c>
      <c r="H6" s="6" t="s">
        <v>804</v>
      </c>
      <c r="I6" s="153" t="e" vm="971">
        <v>#VALUE!</v>
      </c>
      <c r="J6" s="6" t="s">
        <v>1102</v>
      </c>
      <c r="L6" s="4" t="s">
        <v>293</v>
      </c>
      <c r="M6" s="1" t="e" vm="972">
        <v>#VALUE!</v>
      </c>
    </row>
    <row r="7" spans="2:13" ht="330" customHeight="1">
      <c r="B7" s="6" t="s">
        <v>298</v>
      </c>
      <c r="C7" s="153" t="e" vm="973">
        <v>#VALUE!</v>
      </c>
      <c r="D7" s="6" t="s">
        <v>627</v>
      </c>
      <c r="E7" s="153" t="e" vm="974">
        <v>#VALUE!</v>
      </c>
      <c r="H7" s="6" t="s">
        <v>807</v>
      </c>
      <c r="I7" s="153" t="e" vm="975">
        <v>#VALUE!</v>
      </c>
      <c r="J7" s="6" t="s">
        <v>1005</v>
      </c>
      <c r="L7" s="4" t="s">
        <v>297</v>
      </c>
      <c r="M7" s="1"/>
    </row>
    <row r="8" spans="2:13" ht="330" customHeight="1">
      <c r="B8" s="6" t="s">
        <v>301</v>
      </c>
      <c r="C8" s="153" t="e" vm="976">
        <v>#VALUE!</v>
      </c>
      <c r="D8" s="6" t="s">
        <v>629</v>
      </c>
      <c r="E8" s="153" t="e" vm="977">
        <v>#VALUE!</v>
      </c>
      <c r="H8" s="6" t="s">
        <v>810</v>
      </c>
      <c r="I8" s="153" t="e" vm="978">
        <v>#VALUE!</v>
      </c>
      <c r="J8" s="6" t="s">
        <v>1111</v>
      </c>
      <c r="L8" s="4" t="s">
        <v>300</v>
      </c>
      <c r="M8" s="1"/>
    </row>
    <row r="9" spans="2:13" ht="330" customHeight="1">
      <c r="D9" s="6" t="s">
        <v>630</v>
      </c>
      <c r="E9" s="153" t="e" vm="979">
        <v>#VALUE!</v>
      </c>
      <c r="H9" s="6" t="s">
        <v>815</v>
      </c>
      <c r="I9" s="153" t="e" vm="980">
        <v>#VALUE!</v>
      </c>
      <c r="J9" s="6" t="s">
        <v>1114</v>
      </c>
      <c r="L9" s="4" t="s">
        <v>303</v>
      </c>
    </row>
    <row r="10" spans="2:13" ht="330" customHeight="1">
      <c r="D10" s="6" t="s">
        <v>625</v>
      </c>
      <c r="E10" s="153" t="e" vm="981">
        <v>#VALUE!</v>
      </c>
      <c r="H10" s="6" t="s">
        <v>817</v>
      </c>
      <c r="I10" s="153" t="e" vm="982">
        <v>#VALUE!</v>
      </c>
      <c r="J10" s="6" t="s">
        <v>305</v>
      </c>
      <c r="L10" s="4" t="s">
        <v>305</v>
      </c>
      <c r="M10" s="1"/>
    </row>
    <row r="11" spans="2:13" ht="330" customHeight="1">
      <c r="D11" s="6" t="s">
        <v>631</v>
      </c>
      <c r="E11" s="153" t="e" vm="983">
        <v>#VALUE!</v>
      </c>
      <c r="H11" s="6" t="s">
        <v>821</v>
      </c>
      <c r="I11" s="153" t="e" vm="984">
        <v>#VALUE!</v>
      </c>
      <c r="J11" s="6" t="s">
        <v>297</v>
      </c>
      <c r="K11" s="1"/>
      <c r="L11" s="4" t="s">
        <v>307</v>
      </c>
      <c r="M11" s="1" t="e" vm="985">
        <v>#VALUE!</v>
      </c>
    </row>
    <row r="12" spans="2:13" ht="330" customHeight="1">
      <c r="D12" s="6" t="s">
        <v>622</v>
      </c>
      <c r="E12" s="153" t="e" vm="986">
        <v>#VALUE!</v>
      </c>
      <c r="H12" s="6" t="s">
        <v>823</v>
      </c>
      <c r="I12" s="153" t="e" vm="987">
        <v>#VALUE!</v>
      </c>
      <c r="J12" s="6" t="s">
        <v>300</v>
      </c>
      <c r="K12" s="1"/>
      <c r="L12" s="4" t="s">
        <v>309</v>
      </c>
      <c r="M12" s="1" t="e" vm="988">
        <v>#VALUE!</v>
      </c>
    </row>
    <row r="13" spans="2:13" ht="330" customHeight="1">
      <c r="D13" s="6" t="s">
        <v>621</v>
      </c>
      <c r="E13" s="153" t="e" vm="989">
        <v>#VALUE!</v>
      </c>
      <c r="G13" s="153"/>
      <c r="H13" s="6" t="s">
        <v>825</v>
      </c>
      <c r="I13" s="153" t="e" vm="990">
        <v>#VALUE!</v>
      </c>
      <c r="J13" s="6" t="s">
        <v>303</v>
      </c>
      <c r="L13" s="4" t="s">
        <v>311</v>
      </c>
      <c r="M13" s="1" t="e" vm="991">
        <v>#VALUE!</v>
      </c>
    </row>
    <row r="14" spans="2:13" ht="330" customHeight="1">
      <c r="D14" s="6" t="s">
        <v>628</v>
      </c>
      <c r="E14" s="153" t="e" vm="992">
        <v>#VALUE!</v>
      </c>
      <c r="H14" s="6" t="s">
        <v>829</v>
      </c>
      <c r="I14" s="153" t="e" vm="958">
        <v>#VALUE!</v>
      </c>
      <c r="J14" s="153"/>
      <c r="K14" s="1"/>
      <c r="L14" s="4" t="s">
        <v>313</v>
      </c>
      <c r="M14" s="1"/>
    </row>
    <row r="15" spans="2:13" ht="330" customHeight="1">
      <c r="D15" s="6" t="s">
        <v>632</v>
      </c>
      <c r="H15" s="6" t="s">
        <v>831</v>
      </c>
      <c r="I15" s="153" t="e" vm="993">
        <v>#VALUE!</v>
      </c>
      <c r="J15" s="153"/>
      <c r="K15" s="1"/>
      <c r="L15" s="4" t="s">
        <v>315</v>
      </c>
      <c r="M15" s="1" t="e" vm="994">
        <v>#VALUE!</v>
      </c>
    </row>
    <row r="16" spans="2:13" ht="330" customHeight="1">
      <c r="H16" s="6" t="s">
        <v>833</v>
      </c>
      <c r="I16" s="153" t="e" vm="964">
        <v>#VALUE!</v>
      </c>
      <c r="L16" s="4" t="s">
        <v>318</v>
      </c>
      <c r="M16" s="1" t="e" vm="995">
        <v>#VALUE!</v>
      </c>
    </row>
    <row r="17" spans="5:12" ht="330" customHeight="1">
      <c r="H17" s="6" t="s">
        <v>835</v>
      </c>
      <c r="I17" s="153" t="e" vm="967">
        <v>#VALUE!</v>
      </c>
      <c r="L17" s="153"/>
    </row>
    <row r="18" spans="5:12" ht="330" customHeight="1">
      <c r="H18" s="6" t="s">
        <v>837</v>
      </c>
      <c r="I18" s="153" t="e" vm="996">
        <v>#VALUE!</v>
      </c>
      <c r="L18" s="153"/>
    </row>
    <row r="19" spans="5:12" ht="330" customHeight="1">
      <c r="H19" s="6" t="s">
        <v>840</v>
      </c>
      <c r="I19" s="153" t="e" vm="997">
        <v>#VALUE!</v>
      </c>
      <c r="L19" s="153"/>
    </row>
    <row r="20" spans="5:12" ht="330" customHeight="1">
      <c r="H20" s="6" t="s">
        <v>842</v>
      </c>
      <c r="I20" s="153" t="e" vm="998">
        <v>#VALUE!</v>
      </c>
      <c r="L20" s="153"/>
    </row>
    <row r="21" spans="5:12" ht="330" customHeight="1">
      <c r="G21" s="153"/>
      <c r="H21" s="6" t="s">
        <v>844</v>
      </c>
      <c r="I21" s="153" t="e" vm="999">
        <v>#VALUE!</v>
      </c>
      <c r="L21" s="153"/>
    </row>
    <row r="22" spans="5:12" ht="330" customHeight="1">
      <c r="G22" s="153"/>
      <c r="H22" s="6" t="s">
        <v>847</v>
      </c>
      <c r="I22" s="153" t="e" vm="1000">
        <v>#VALUE!</v>
      </c>
    </row>
    <row r="23" spans="5:12" ht="330" customHeight="1">
      <c r="H23" s="6" t="s">
        <v>849</v>
      </c>
      <c r="I23" s="153" t="e" vm="984">
        <v>#VALUE!</v>
      </c>
    </row>
    <row r="24" spans="5:12" ht="330" customHeight="1">
      <c r="G24" s="153"/>
      <c r="H24" s="6" t="s">
        <v>854</v>
      </c>
      <c r="I24" s="153" t="e" vm="987">
        <v>#VALUE!</v>
      </c>
    </row>
    <row r="25" spans="5:12" ht="330" customHeight="1">
      <c r="E25" s="5"/>
      <c r="G25" s="153"/>
      <c r="H25" s="6" t="s">
        <v>859</v>
      </c>
      <c r="I25" s="153" t="e" vm="990">
        <v>#VALUE!</v>
      </c>
    </row>
    <row r="26" spans="5:12" ht="330" customHeight="1">
      <c r="G26" s="153"/>
      <c r="H26" s="6" t="s">
        <v>862</v>
      </c>
      <c r="I26" s="153" t="e" vm="1001">
        <v>#VALUE!</v>
      </c>
      <c r="J26" s="153"/>
    </row>
    <row r="27" spans="5:12" ht="330" customHeight="1">
      <c r="G27" s="153"/>
      <c r="H27" s="6" t="s">
        <v>864</v>
      </c>
      <c r="I27" s="153" t="e" vm="1002">
        <v>#VALUE!</v>
      </c>
      <c r="J27" s="153"/>
    </row>
    <row r="28" spans="5:12" ht="330" customHeight="1">
      <c r="G28" s="153"/>
      <c r="H28" s="6" t="s">
        <v>867</v>
      </c>
      <c r="I28" s="153" t="e" vm="1003">
        <v>#VALUE!</v>
      </c>
      <c r="J28" s="153"/>
    </row>
    <row r="29" spans="5:12" ht="330" customHeight="1">
      <c r="H29" s="6" t="s">
        <v>870</v>
      </c>
      <c r="I29" s="153" t="e" vm="1004">
        <v>#VALUE!</v>
      </c>
      <c r="J29" s="153"/>
    </row>
    <row r="30" spans="5:12" ht="330" customHeight="1">
      <c r="H30" s="6" t="s">
        <v>872</v>
      </c>
      <c r="I30" s="153" t="e" vm="1005">
        <v>#VALUE!</v>
      </c>
    </row>
    <row r="31" spans="5:12" ht="330" customHeight="1">
      <c r="H31" s="6" t="s">
        <v>874</v>
      </c>
      <c r="I31" s="153" t="e" vm="1006">
        <v>#VALUE!</v>
      </c>
    </row>
    <row r="32" spans="5:12" ht="330" customHeight="1">
      <c r="G32" s="153"/>
      <c r="H32" s="6" t="s">
        <v>877</v>
      </c>
      <c r="I32" s="153" t="e" vm="1007">
        <v>#VALUE!</v>
      </c>
    </row>
    <row r="33" spans="8:10" ht="330" customHeight="1">
      <c r="H33" s="6" t="s">
        <v>881</v>
      </c>
      <c r="I33" s="153" t="e" vm="1008">
        <v>#VALUE!</v>
      </c>
      <c r="J33" s="153"/>
    </row>
    <row r="34" spans="8:10" ht="330" customHeight="1">
      <c r="H34" s="6" t="s">
        <v>883</v>
      </c>
      <c r="I34" s="153" t="e" vm="1009">
        <v>#VALUE!</v>
      </c>
    </row>
    <row r="35" spans="8:10" ht="330" customHeight="1">
      <c r="H35" s="6" t="s">
        <v>886</v>
      </c>
      <c r="I35" s="153" t="e" vm="1010">
        <v>#VALUE!</v>
      </c>
    </row>
    <row r="36" spans="8:10" ht="330" customHeight="1">
      <c r="H36" s="6" t="s">
        <v>889</v>
      </c>
      <c r="I36" s="153" t="e" vm="1011">
        <v>#VALUE!</v>
      </c>
    </row>
    <row r="37" spans="8:10" ht="330" customHeight="1">
      <c r="H37" s="6" t="s">
        <v>891</v>
      </c>
      <c r="I37" s="153" t="e" vm="1012">
        <v>#VALUE!</v>
      </c>
      <c r="J37" s="153"/>
    </row>
    <row r="38" spans="8:10" ht="330" customHeight="1">
      <c r="H38" s="6" t="s">
        <v>893</v>
      </c>
      <c r="I38" s="153" t="e" vm="1013">
        <v>#VALUE!</v>
      </c>
      <c r="J38" s="153"/>
    </row>
    <row r="39" spans="8:10" ht="330" customHeight="1">
      <c r="H39" s="6" t="s">
        <v>896</v>
      </c>
      <c r="I39" s="153" t="e" vm="1014">
        <v>#VALUE!</v>
      </c>
      <c r="J39" s="153"/>
    </row>
    <row r="40" spans="8:10" ht="330" customHeight="1">
      <c r="H40" s="6" t="s">
        <v>899</v>
      </c>
      <c r="I40" s="153" t="e" vm="1015">
        <v>#VALUE!</v>
      </c>
      <c r="J40" s="153"/>
    </row>
    <row r="41" spans="8:10" ht="330" customHeight="1">
      <c r="H41" s="6" t="s">
        <v>902</v>
      </c>
      <c r="I41" s="153" t="e" vm="1016">
        <v>#VALUE!</v>
      </c>
      <c r="J41" s="153"/>
    </row>
    <row r="42" spans="8:10" ht="330" customHeight="1">
      <c r="H42" s="6" t="s">
        <v>905</v>
      </c>
      <c r="I42" s="153" t="e" vm="1005">
        <v>#VALUE!</v>
      </c>
    </row>
    <row r="43" spans="8:10" ht="330" customHeight="1">
      <c r="H43" s="6" t="s">
        <v>908</v>
      </c>
      <c r="I43" s="153" t="e" vm="1006">
        <v>#VALUE!</v>
      </c>
    </row>
    <row r="44" spans="8:10" ht="330" customHeight="1">
      <c r="H44" s="6" t="s">
        <v>910</v>
      </c>
      <c r="I44" s="153" t="e" vm="1017">
        <v>#VALUE!</v>
      </c>
      <c r="J44" s="153"/>
    </row>
    <row r="45" spans="8:10" ht="330" customHeight="1">
      <c r="H45" s="6" t="s">
        <v>912</v>
      </c>
      <c r="I45" s="153" t="e" vm="1018">
        <v>#VALUE!</v>
      </c>
      <c r="J45" s="153"/>
    </row>
    <row r="46" spans="8:10" ht="330" customHeight="1">
      <c r="H46" s="6" t="s">
        <v>914</v>
      </c>
      <c r="I46" s="153" t="e" vm="1009">
        <v>#VALUE!</v>
      </c>
    </row>
    <row r="47" spans="8:10" ht="330" customHeight="1">
      <c r="H47" s="6" t="s">
        <v>915</v>
      </c>
      <c r="I47" s="153" t="e" vm="1010">
        <v>#VALUE!</v>
      </c>
    </row>
    <row r="48" spans="8:10" ht="330" customHeight="1">
      <c r="H48" s="6" t="s">
        <v>920</v>
      </c>
      <c r="I48" s="153" t="e" vm="1019">
        <v>#VALUE!</v>
      </c>
    </row>
    <row r="49" spans="8:9" ht="330" customHeight="1">
      <c r="H49" s="6" t="s">
        <v>921</v>
      </c>
      <c r="I49" s="153" t="e" vm="1020">
        <v>#VALUE!</v>
      </c>
    </row>
  </sheetData>
  <sheetProtection algorithmName="SHA-512" hashValue="DYUsRiA8bagF/pB8eI0VV3lVCqG6SWjQmxxPTeYlCUJggco11UI8+eECagdDqZqPEcpcC953lwgJV/VGQNs/SA==" saltValue="AuhKfXEYI8dqamxp+mQSpA==" spinCount="100000" sheet="1" objects="1" scenarios="1" selectLockedCells="1" selectUnlockedCells="1"/>
  <pageMargins left="0.7" right="0.7" top="0.75" bottom="0.75" header="0.3" footer="0.3"/>
  <pageSetup paperSize="9" orientation="portrait"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B0695B-D6E2-4C4A-823A-93375265C9E1}">
  <sheetPr codeName="Sheet5"/>
  <dimension ref="E1:H38"/>
  <sheetViews>
    <sheetView showGridLines="0" showRowColHeaders="0" zoomScale="10" zoomScaleNormal="10" workbookViewId="0">
      <selection activeCell="AM8" sqref="AM8"/>
    </sheetView>
  </sheetViews>
  <sheetFormatPr defaultRowHeight="15"/>
  <cols>
    <col min="4" max="4" width="9.140625" customWidth="1"/>
    <col min="5" max="8" width="48" hidden="1" customWidth="1"/>
  </cols>
  <sheetData>
    <row r="1" spans="5:8" ht="144.75" customHeight="1" thickBot="1"/>
    <row r="2" spans="5:8" ht="144.75" customHeight="1" thickBot="1">
      <c r="E2" s="121" t="e" vm="941">
        <f>IF('Slab floors'!$AV$14,diagrams2!G3,diagrams2!F3)</f>
        <v>#VALUE!</v>
      </c>
    </row>
    <row r="3" spans="5:8" ht="144.75" customHeight="1" thickBot="1">
      <c r="F3" s="118" t="e" vm="941">
        <f>IF('Slab floors'!$AS$14,diagrams2!F4,diagrams2!E4)</f>
        <v>#VALUE!</v>
      </c>
      <c r="G3" s="120" t="e" vm="1021">
        <f>IF('Slab floors'!$AS$14,diagrams2!H4,diagrams2!G4)</f>
        <v>#VALUE!</v>
      </c>
    </row>
    <row r="4" spans="5:8" ht="144.75" customHeight="1" thickBot="1">
      <c r="E4" s="118" t="e" cm="1" vm="941">
        <f t="array" ref="E4">INDEX(E6:E10,'Slab floors'!Cntrl6-1)</f>
        <v>#VALUE!</v>
      </c>
      <c r="F4" s="120" t="e" cm="1" vm="1022">
        <f t="array" ref="F4">INDEX(F6:F10,'Slab floors'!Cntrl6-1)</f>
        <v>#VALUE!</v>
      </c>
      <c r="G4" s="119" t="e" cm="1" vm="1021">
        <f t="array" ref="G4">INDEX(G6:G10,'Slab floors'!Cntrl6-1)</f>
        <v>#VALUE!</v>
      </c>
      <c r="H4" s="120" t="e" cm="1" vm="1023">
        <f t="array" ref="H4">INDEX(H6:H10,'Slab floors'!Cntrl6-1)</f>
        <v>#VALUE!</v>
      </c>
    </row>
    <row r="5" spans="5:8" ht="144.75" customHeight="1" thickBot="1"/>
    <row r="6" spans="5:8" ht="144.75" customHeight="1">
      <c r="E6" s="122" t="e" vm="1024">
        <v>#VALUE!</v>
      </c>
      <c r="F6" s="123" t="e" vm="1025">
        <v>#VALUE!</v>
      </c>
      <c r="G6" s="123" t="e" vm="1026">
        <v>#VALUE!</v>
      </c>
      <c r="H6" s="124" t="e" vm="1027">
        <v>#VALUE!</v>
      </c>
    </row>
    <row r="7" spans="5:8" ht="144.75" customHeight="1">
      <c r="E7" s="125" t="e" vm="1028">
        <v>#VALUE!</v>
      </c>
      <c r="F7" t="e" vm="1029">
        <v>#VALUE!</v>
      </c>
      <c r="G7" t="e" vm="1030">
        <v>#VALUE!</v>
      </c>
      <c r="H7" s="126" t="e" vm="1031">
        <v>#VALUE!</v>
      </c>
    </row>
    <row r="8" spans="5:8" ht="144.75" customHeight="1">
      <c r="E8" s="125" t="e" vm="1032">
        <v>#VALUE!</v>
      </c>
      <c r="F8" t="e" vm="1033">
        <v>#VALUE!</v>
      </c>
      <c r="G8" t="e" vm="1034">
        <v>#VALUE!</v>
      </c>
      <c r="H8" s="126" t="e" vm="1035">
        <v>#VALUE!</v>
      </c>
    </row>
    <row r="9" spans="5:8" ht="144.75" customHeight="1">
      <c r="E9" s="125" t="e" vm="1036">
        <v>#VALUE!</v>
      </c>
      <c r="F9" t="e" vm="1037">
        <v>#VALUE!</v>
      </c>
      <c r="G9" t="e" vm="1038">
        <v>#VALUE!</v>
      </c>
      <c r="H9" s="126" t="e" vm="1039">
        <v>#VALUE!</v>
      </c>
    </row>
    <row r="10" spans="5:8" ht="144.75" customHeight="1" thickBot="1">
      <c r="E10" s="127" t="e" vm="1040">
        <v>#VALUE!</v>
      </c>
      <c r="F10" s="128" t="e" vm="1041">
        <v>#VALUE!</v>
      </c>
      <c r="G10" s="128" t="e" vm="1042">
        <v>#VALUE!</v>
      </c>
      <c r="H10" s="129" t="e" vm="1043">
        <v>#VALUE!</v>
      </c>
    </row>
    <row r="11" spans="5:8" ht="144.75" customHeight="1"/>
    <row r="12" spans="5:8" ht="144.75" customHeight="1"/>
    <row r="13" spans="5:8" ht="144.75" customHeight="1"/>
    <row r="14" spans="5:8" ht="144.75" customHeight="1"/>
    <row r="15" spans="5:8" ht="144.75" customHeight="1"/>
    <row r="16" spans="5:8" ht="144.75" customHeight="1"/>
    <row r="17" ht="144.75" customHeight="1"/>
    <row r="18" ht="144.75" customHeight="1"/>
    <row r="19" ht="144.75" customHeight="1"/>
    <row r="20" ht="144.75" customHeight="1"/>
    <row r="21" ht="144.75" customHeight="1"/>
    <row r="22" ht="144.75" customHeight="1"/>
    <row r="23" ht="144.75" customHeight="1"/>
    <row r="24" ht="144.75" customHeight="1"/>
    <row r="25" ht="144.75" customHeight="1"/>
    <row r="26" ht="144.75" customHeight="1"/>
    <row r="27" ht="144.75" customHeight="1"/>
    <row r="28" ht="144.75" customHeight="1"/>
    <row r="29" ht="144.75" customHeight="1"/>
    <row r="30" ht="144.75" customHeight="1"/>
    <row r="31" ht="144.75" customHeight="1"/>
    <row r="32" ht="144.75" customHeight="1"/>
    <row r="33" ht="144.75" customHeight="1"/>
    <row r="34" ht="144.75" customHeight="1"/>
    <row r="35" ht="144.75" customHeight="1"/>
    <row r="36" ht="144.75" customHeight="1"/>
    <row r="37" ht="144.75" customHeight="1"/>
    <row r="38" ht="144.75" customHeight="1"/>
  </sheetData>
  <sheetProtection algorithmName="SHA-512" hashValue="0sRmDBDjNacz9xo3STd0XBFJ6KYfM37ocwSvwtM5HOCdGOdqw4K8dfjmmwi6aMAPlf3IKlpVLaFgIvheQ/ijzg==" saltValue="NZYdphO083w2GRWIhtBFuQ==" spinCount="100000" sheet="1" objects="1" scenarios="1" selectLockedCells="1" selectUnlockedCells="1"/>
  <pageMargins left="0.7" right="0.7" top="0.75" bottom="0.75" header="0.3" footer="0.3"/>
  <pageSetup orientation="portrait"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79F14ED-3924-4ABB-A667-D28C60873EFF}">
  <sheetPr codeName="Sheet4"/>
  <dimension ref="A1:I20"/>
  <sheetViews>
    <sheetView showGridLines="0" showRowColHeaders="0" topLeftCell="J1" zoomScale="10" zoomScaleNormal="10" workbookViewId="0">
      <selection activeCell="AM8" sqref="AM8"/>
    </sheetView>
  </sheetViews>
  <sheetFormatPr defaultRowHeight="15"/>
  <cols>
    <col min="1" max="1" width="9.140625" hidden="1" customWidth="1"/>
    <col min="2" max="9" width="48" hidden="1" customWidth="1"/>
    <col min="10" max="17" width="8.7109375" customWidth="1"/>
  </cols>
  <sheetData>
    <row r="1" spans="1:9" ht="144.75" customHeight="1" thickBot="1"/>
    <row r="2" spans="1:9" ht="144.75" customHeight="1" thickBot="1">
      <c r="B2" s="121" t="e" cm="1" vm="942">
        <f t="array" ref="B2">INDEX(diagrams3!D2:G2,'Slab floors'!Cntrl3-1)</f>
        <v>#VALUE!</v>
      </c>
      <c r="D2" s="118" t="e" vm="942">
        <f>IF('Slab floors'!$AV$14,diagrams3!F4,diagrams3!B4)</f>
        <v>#VALUE!</v>
      </c>
      <c r="E2" s="119" t="e" vm="1044">
        <f>IF('Slab floors'!$AV$14,diagrams3!G4,diagrams3!C4)</f>
        <v>#VALUE!</v>
      </c>
      <c r="F2" s="119" t="e" vm="1045">
        <f>IF('Slab floors'!$AV$14,diagrams3!H4,diagrams3!D4)</f>
        <v>#VALUE!</v>
      </c>
      <c r="G2" s="120" t="e" vm="1046">
        <f>IF('Slab floors'!$AV$14,diagrams3!I4,diagrams3!E4)</f>
        <v>#VALUE!</v>
      </c>
    </row>
    <row r="3" spans="1:9" ht="144.75" customHeight="1" thickBot="1"/>
    <row r="4" spans="1:9" ht="144.75" customHeight="1" thickBot="1">
      <c r="B4" s="118" t="e" cm="1" vm="942">
        <f t="array" ref="B4">INDEX(B6:B13,'Slab floors'!Cntrl4-1)</f>
        <v>#VALUE!</v>
      </c>
      <c r="C4" s="119" t="e" cm="1" vm="1044">
        <f t="array" ref="C4">INDEX(C6:C13,'Slab floors'!Cntrl4-1)</f>
        <v>#VALUE!</v>
      </c>
      <c r="D4" s="119" t="e" cm="1" vm="1045">
        <f t="array" ref="D4">INDEX(D6:D13,'Slab floors'!Cntrl4-1)</f>
        <v>#VALUE!</v>
      </c>
      <c r="E4" s="120" t="e" cm="1" vm="1046">
        <f t="array" ref="E4">INDEX(E6:E13,'Slab floors'!Cntrl4-1)</f>
        <v>#VALUE!</v>
      </c>
      <c r="F4" s="118" t="e" cm="1" vm="1047">
        <f t="array" ref="F4">INDEX(F6:F13,'Slab floors'!Cntrl4-1)</f>
        <v>#VALUE!</v>
      </c>
      <c r="G4" s="119" t="e" cm="1" vm="1048">
        <f t="array" ref="G4">INDEX(G6:G13,'Slab floors'!Cntrl4-1)</f>
        <v>#VALUE!</v>
      </c>
      <c r="H4" s="119" t="e" cm="1" vm="1049">
        <f t="array" ref="H4">INDEX(H6:H13,'Slab floors'!Cntrl4-1)</f>
        <v>#VALUE!</v>
      </c>
      <c r="I4" s="120" t="e" cm="1" vm="1050">
        <f t="array" ref="I4">INDEX(I6:I13,'Slab floors'!Cntrl4-1)</f>
        <v>#VALUE!</v>
      </c>
    </row>
    <row r="5" spans="1:9" ht="144.75" customHeight="1" thickBot="1"/>
    <row r="6" spans="1:9" ht="144.75" customHeight="1">
      <c r="A6" s="130">
        <v>1</v>
      </c>
      <c r="B6" s="122" t="e" vm="1051">
        <v>#VALUE!</v>
      </c>
      <c r="C6" s="123" t="e" vm="1052">
        <v>#VALUE!</v>
      </c>
      <c r="D6" s="123" t="e" vm="1053">
        <v>#VALUE!</v>
      </c>
      <c r="E6" s="124" t="e" vm="1054">
        <v>#VALUE!</v>
      </c>
      <c r="F6" s="123" t="e" vm="1055">
        <v>#VALUE!</v>
      </c>
      <c r="G6" s="123" t="e" vm="1056">
        <v>#VALUE!</v>
      </c>
      <c r="H6" s="123" t="e" vm="1057">
        <v>#VALUE!</v>
      </c>
      <c r="I6" s="124" t="e" vm="1058">
        <v>#VALUE!</v>
      </c>
    </row>
    <row r="7" spans="1:9" ht="144.75" customHeight="1">
      <c r="A7" s="130">
        <v>2</v>
      </c>
      <c r="B7" s="125" t="e" vm="1059">
        <v>#VALUE!</v>
      </c>
      <c r="C7" t="e" vm="1060">
        <v>#VALUE!</v>
      </c>
      <c r="D7" t="e" vm="1061">
        <v>#VALUE!</v>
      </c>
      <c r="E7" s="126" t="e" vm="1062">
        <v>#VALUE!</v>
      </c>
      <c r="F7" t="e" vm="1063">
        <v>#VALUE!</v>
      </c>
      <c r="G7" t="e" vm="1064">
        <v>#VALUE!</v>
      </c>
      <c r="H7" t="e" vm="1065">
        <v>#VALUE!</v>
      </c>
      <c r="I7" s="126" t="e" vm="1066">
        <v>#VALUE!</v>
      </c>
    </row>
    <row r="8" spans="1:9" ht="144.75" customHeight="1">
      <c r="A8" s="130">
        <v>3</v>
      </c>
      <c r="B8" s="125" t="e" vm="1067">
        <v>#VALUE!</v>
      </c>
      <c r="C8" t="e" vm="1068">
        <v>#VALUE!</v>
      </c>
      <c r="D8" t="e" vm="1069">
        <v>#VALUE!</v>
      </c>
      <c r="E8" s="126" t="e" vm="1070">
        <v>#VALUE!</v>
      </c>
      <c r="F8" t="e" vm="1071">
        <v>#VALUE!</v>
      </c>
      <c r="G8" t="e" vm="1072">
        <v>#VALUE!</v>
      </c>
      <c r="H8" t="e" vm="1073">
        <v>#VALUE!</v>
      </c>
      <c r="I8" s="126" t="e" vm="1074">
        <v>#VALUE!</v>
      </c>
    </row>
    <row r="9" spans="1:9" ht="144.75" customHeight="1">
      <c r="A9" s="130">
        <v>4</v>
      </c>
      <c r="B9" s="125" t="e" vm="1075">
        <v>#VALUE!</v>
      </c>
      <c r="C9" t="e" vm="1076">
        <v>#VALUE!</v>
      </c>
      <c r="D9" t="e" vm="1077">
        <v>#VALUE!</v>
      </c>
      <c r="E9" s="126" t="e" vm="1078">
        <v>#VALUE!</v>
      </c>
      <c r="F9" t="e" vm="1079">
        <v>#VALUE!</v>
      </c>
      <c r="G9" t="e" vm="1080">
        <v>#VALUE!</v>
      </c>
      <c r="H9" t="e" vm="1081">
        <v>#VALUE!</v>
      </c>
      <c r="I9" s="126" t="e" vm="1082">
        <v>#VALUE!</v>
      </c>
    </row>
    <row r="10" spans="1:9" ht="144.75" customHeight="1">
      <c r="A10" s="130">
        <v>5</v>
      </c>
      <c r="B10" s="125" t="e" vm="1083">
        <v>#VALUE!</v>
      </c>
      <c r="C10" t="e" vm="1084">
        <v>#VALUE!</v>
      </c>
      <c r="D10" t="e" vm="1085">
        <v>#VALUE!</v>
      </c>
      <c r="E10" s="126" t="e" vm="1086">
        <v>#VALUE!</v>
      </c>
      <c r="F10" t="e" vm="1087">
        <v>#VALUE!</v>
      </c>
      <c r="G10" t="e" vm="1088">
        <v>#VALUE!</v>
      </c>
      <c r="H10" t="e" vm="1089">
        <v>#VALUE!</v>
      </c>
      <c r="I10" s="126" t="e" vm="1090">
        <v>#VALUE!</v>
      </c>
    </row>
    <row r="11" spans="1:9" ht="144.75" customHeight="1">
      <c r="A11" s="130">
        <v>6</v>
      </c>
      <c r="B11" s="125" t="e" vm="1091">
        <v>#VALUE!</v>
      </c>
      <c r="C11" t="e" vm="1092">
        <v>#VALUE!</v>
      </c>
      <c r="D11" t="e" vm="1093">
        <v>#VALUE!</v>
      </c>
      <c r="E11" s="126" t="e" vm="1093">
        <v>#VALUE!</v>
      </c>
      <c r="F11" t="e" vm="1094">
        <v>#VALUE!</v>
      </c>
      <c r="G11" t="e" vm="1095">
        <v>#VALUE!</v>
      </c>
      <c r="H11" t="e" vm="1096">
        <v>#VALUE!</v>
      </c>
      <c r="I11" s="126" t="e" vm="1096">
        <v>#VALUE!</v>
      </c>
    </row>
    <row r="12" spans="1:9" ht="144.75" customHeight="1">
      <c r="A12" s="130">
        <v>7</v>
      </c>
      <c r="B12" s="125" t="e" vm="1097">
        <v>#VALUE!</v>
      </c>
      <c r="C12" t="e" vm="1098">
        <v>#VALUE!</v>
      </c>
      <c r="D12" t="e" vm="1099">
        <v>#VALUE!</v>
      </c>
      <c r="E12" s="126" t="e" vm="1099">
        <v>#VALUE!</v>
      </c>
      <c r="F12" t="e" vm="1100">
        <v>#VALUE!</v>
      </c>
      <c r="G12" t="e" vm="1101">
        <v>#VALUE!</v>
      </c>
      <c r="H12" t="e" vm="1102">
        <v>#VALUE!</v>
      </c>
      <c r="I12" s="126" t="e" vm="1102">
        <v>#VALUE!</v>
      </c>
    </row>
    <row r="13" spans="1:9" ht="144.75" customHeight="1" thickBot="1">
      <c r="A13" s="130">
        <v>8</v>
      </c>
      <c r="B13" s="127" t="e" vm="1103">
        <v>#VALUE!</v>
      </c>
      <c r="C13" s="128" t="e" vm="1104">
        <v>#VALUE!</v>
      </c>
      <c r="D13" s="128" t="e" vm="1105">
        <v>#VALUE!</v>
      </c>
      <c r="E13" s="129" t="e" vm="1105">
        <v>#VALUE!</v>
      </c>
      <c r="F13" s="128" t="e" vm="1106">
        <v>#VALUE!</v>
      </c>
      <c r="G13" s="128" t="e" vm="1107">
        <v>#VALUE!</v>
      </c>
      <c r="H13" s="128" t="e" vm="1108">
        <v>#VALUE!</v>
      </c>
      <c r="I13" s="129" t="e" vm="1108">
        <v>#VALUE!</v>
      </c>
    </row>
    <row r="14" spans="1:9" ht="144.75" customHeight="1"/>
    <row r="15" spans="1:9" ht="144.75" customHeight="1"/>
    <row r="16" spans="1:9" ht="144.75" customHeight="1"/>
    <row r="17" ht="144.75" customHeight="1"/>
    <row r="18" ht="144.75" customHeight="1"/>
    <row r="19" ht="144.75" customHeight="1"/>
    <row r="20" ht="144.75" customHeight="1"/>
  </sheetData>
  <sheetProtection algorithmName="SHA-512" hashValue="r0wzeUmu5GCL+UPmcNwvyhD0WokUzNkNenCSpCmb2qnBNmANy6L/1QbY9a3en6n+f2n1nOi5Nuweq8+kTg3DaQ==" saltValue="hHNM0pCk5SP1ikFA3vltwA==" spinCount="100000" sheet="1" objects="1" scenarios="1" selectLockedCells="1" selectUnlockedCells="1"/>
  <pageMargins left="0.7" right="0.7" top="0.75" bottom="0.75" header="0.3" footer="0.3"/>
  <pageSetup orientation="portrait"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1619A7F82DBE5A4E98366AA794A219A1" ma:contentTypeVersion="14" ma:contentTypeDescription="Create a new document." ma:contentTypeScope="" ma:versionID="e9ab94a389c2d13bcf92caaeeb6bf6a3">
  <xsd:schema xmlns:xsd="http://www.w3.org/2001/XMLSchema" xmlns:xs="http://www.w3.org/2001/XMLSchema" xmlns:p="http://schemas.microsoft.com/office/2006/metadata/properties" xmlns:ns2="d270f4cd-1165-4c32-bbde-1b7fa5a31fcb" xmlns:ns3="31b020c0-8bf9-4af2-a57f-19358166d036" targetNamespace="http://schemas.microsoft.com/office/2006/metadata/properties" ma:root="true" ma:fieldsID="cb0ec47953cb397da4a135e52b384350" ns2:_="" ns3:_="">
    <xsd:import namespace="d270f4cd-1165-4c32-bbde-1b7fa5a31fcb"/>
    <xsd:import namespace="31b020c0-8bf9-4af2-a57f-19358166d036"/>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3:TaxCatchAll" minOccurs="0"/>
                <xsd:element ref="ns2:MediaServiceLocation" minOccurs="0"/>
                <xsd:element ref="ns2:MediaServiceOCR" minOccurs="0"/>
                <xsd:element ref="ns2:MediaServiceBillingMetadata" minOccurs="0"/>
                <xsd:element ref="ns3:_dlc_DocId" minOccurs="0"/>
                <xsd:element ref="ns3:_dlc_DocIdUrl" minOccurs="0"/>
                <xsd:element ref="ns3:_dlc_DocIdPersistId"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d270f4cd-1165-4c32-bbde-1b7fa5a31fcb"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MediaServiceDateTaken" ma:index="12" nillable="true" ma:displayName="MediaServiceDateTaken" ma:hidden="true" ma:indexed="true" ma:internalName="MediaServiceDateTaken"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EventHashCode" ma:index="14" nillable="true" ma:displayName="MediaServiceEventHashCode" ma:hidden="true" ma:internalName="MediaServiceEventHashCode" ma:readOnly="true">
      <xsd:simpleType>
        <xsd:restriction base="dms:Text"/>
      </xsd:simpleType>
    </xsd:element>
    <xsd:element name="MediaLengthInSeconds" ma:index="15" nillable="true" ma:displayName="MediaLengthInSeconds" ma:hidden="true" ma:internalName="MediaLengthInSeconds" ma:readOnly="true">
      <xsd:simpleType>
        <xsd:restriction base="dms:Unknown"/>
      </xsd:simpleType>
    </xsd:element>
    <xsd:element name="lcf76f155ced4ddcb4097134ff3c332f" ma:index="17" nillable="true" ma:taxonomy="true" ma:internalName="lcf76f155ced4ddcb4097134ff3c332f" ma:taxonomyFieldName="MediaServiceImageTags" ma:displayName="Image Tags" ma:readOnly="false" ma:fieldId="{5cf76f15-5ced-4ddc-b409-7134ff3c332f}" ma:taxonomyMulti="true" ma:sspId="b3bb255f-8f4f-41a0-a5f7-47d7633e4d64" ma:termSetId="09814cd3-568e-fe90-9814-8d621ff8fb84" ma:anchorId="fba54fb3-c3e1-fe81-a776-ca4b69148c4d" ma:open="true" ma:isKeyword="false">
      <xsd:complexType>
        <xsd:sequence>
          <xsd:element ref="pc:Terms" minOccurs="0" maxOccurs="1"/>
        </xsd:sequence>
      </xsd:complexType>
    </xsd:element>
    <xsd:element name="MediaServiceLocation" ma:index="19" nillable="true" ma:displayName="Location" ma:indexed="true" ma:internalName="MediaServiceLocation" ma:readOnly="true">
      <xsd:simpleType>
        <xsd:restriction base="dms:Text"/>
      </xsd:simpleType>
    </xsd:element>
    <xsd:element name="MediaServiceOCR" ma:index="20" nillable="true" ma:displayName="Extracted Text" ma:internalName="MediaServiceOCR" ma:readOnly="true">
      <xsd:simpleType>
        <xsd:restriction base="dms:Note">
          <xsd:maxLength value="255"/>
        </xsd:restriction>
      </xsd:simpleType>
    </xsd:element>
    <xsd:element name="MediaServiceBillingMetadata" ma:index="21"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31b020c0-8bf9-4af2-a57f-19358166d036" elementFormDefault="qualified">
    <xsd:import namespace="http://schemas.microsoft.com/office/2006/documentManagement/types"/>
    <xsd:import namespace="http://schemas.microsoft.com/office/infopath/2007/PartnerControls"/>
    <xsd:element name="TaxCatchAll" ma:index="18" nillable="true" ma:displayName="Taxonomy Catch All Column" ma:hidden="true" ma:list="{4b05605d-5f63-41e4-bec6-8928c7c544c8}" ma:internalName="TaxCatchAll" ma:showField="CatchAllData" ma:web="31b020c0-8bf9-4af2-a57f-19358166d036">
      <xsd:complexType>
        <xsd:complexContent>
          <xsd:extension base="dms:MultiChoiceLookup">
            <xsd:sequence>
              <xsd:element name="Value" type="dms:Lookup" maxOccurs="unbounded" minOccurs="0" nillable="true"/>
            </xsd:sequence>
          </xsd:extension>
        </xsd:complexContent>
      </xsd:complexType>
    </xsd:element>
    <xsd:element name="_dlc_DocId" ma:index="22" nillable="true" ma:displayName="Document ID Value" ma:description="The value of the document ID assigned to this item." ma:indexed="true" ma:internalName="_dlc_DocId" ma:readOnly="true">
      <xsd:simpleType>
        <xsd:restriction base="dms:Text"/>
      </xsd:simpleType>
    </xsd:element>
    <xsd:element name="_dlc_DocIdUrl" ma:index="23" nillable="true" ma:displayName="Document ID" ma:description="Permanent link to this document." ma:hidden="true" ma:internalName="_dlc_DocIdUrl" ma:readOnly="true">
      <xsd:complexType>
        <xsd:complexContent>
          <xsd:extension base="dms:URL">
            <xsd:sequence>
              <xsd:element name="Url" type="dms:ValidUrl" minOccurs="0" nillable="true"/>
              <xsd:element name="Description" type="xsd:string" nillable="true"/>
            </xsd:sequence>
          </xsd:extension>
        </xsd:complexContent>
      </xsd:complexType>
    </xsd:element>
    <xsd:element name="_dlc_DocIdPersistId" ma:index="24" nillable="true" ma:displayName="Persist ID" ma:description="Keep ID on add." ma:hidden="true" ma:internalName="_dlc_DocIdPersistId" ma:readOnly="true">
      <xsd:simpleType>
        <xsd:restriction base="dms:Boolea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lcf76f155ced4ddcb4097134ff3c332f xmlns="d270f4cd-1165-4c32-bbde-1b7fa5a31fcb">
      <Terms xmlns="http://schemas.microsoft.com/office/infopath/2007/PartnerControls"/>
    </lcf76f155ced4ddcb4097134ff3c332f>
    <TaxCatchAll xmlns="31b020c0-8bf9-4af2-a57f-19358166d036" xsi:nil="true"/>
    <_dlc_DocId xmlns="31b020c0-8bf9-4af2-a57f-19358166d036">M2R3RQDCH7PM-1687336049-1424518</_dlc_DocId>
    <_dlc_DocIdUrl xmlns="31b020c0-8bf9-4af2-a57f-19358166d036">
      <Url>https://branzltd.sharepoint.com/sites/TPK-TeamAdministration/_layouts/15/DocIdRedir.aspx?ID=M2R3RQDCH7PM-1687336049-1424518</Url>
      <Description>M2R3RQDCH7PM-1687336049-1424518</Description>
    </_dlc_DocIdUrl>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4.xml><?xml version="1.0" encoding="utf-8"?>
<?mso-contentType ?>
<spe:Receivers xmlns:spe="http://schemas.microsoft.com/sharepoint/events">
  <Receiver>
    <Name>Document ID Generator</Name>
    <Synchronization>Synchronous</Synchronization>
    <Type>10001</Type>
    <SequenceNumber>1000</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10002</Type>
    <SequenceNumber>1001</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10004</Type>
    <SequenceNumber>1002</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10006</Type>
    <SequenceNumber>1003</SequenceNumber>
    <Url/>
    <Assembly>Microsoft.Office.DocumentManagement, Version=16.0.0.0, Culture=neutral, PublicKeyToken=71e9bce111e9429c</Assembly>
    <Class>Microsoft.Office.DocumentManagement.Internal.DocIdHandler</Class>
    <Data/>
    <Filter/>
  </Receiver>
</spe:Receivers>
</file>

<file path=customXml/itemProps1.xml><?xml version="1.0" encoding="utf-8"?>
<ds:datastoreItem xmlns:ds="http://schemas.openxmlformats.org/officeDocument/2006/customXml" ds:itemID="{9073E7D5-E8B8-41DD-9865-A8D9A2564C09}"/>
</file>

<file path=customXml/itemProps2.xml><?xml version="1.0" encoding="utf-8"?>
<ds:datastoreItem xmlns:ds="http://schemas.openxmlformats.org/officeDocument/2006/customXml" ds:itemID="{C6683453-76E8-463E-81F9-11F32A3E3E55}">
  <ds:schemaRefs>
    <ds:schemaRef ds:uri="http://purl.org/dc/terms/"/>
    <ds:schemaRef ds:uri="ebbe22ce-f6e0-4935-91d9-e594ac2bcf65"/>
    <ds:schemaRef ds:uri="http://schemas.microsoft.com/office/2006/documentManagement/types"/>
    <ds:schemaRef ds:uri="http://www.w3.org/XML/1998/namespace"/>
    <ds:schemaRef ds:uri="http://schemas.microsoft.com/office/2006/metadata/properties"/>
    <ds:schemaRef ds:uri="http://schemas.microsoft.com/office/infopath/2007/PartnerControls"/>
    <ds:schemaRef ds:uri="http://schemas.openxmlformats.org/package/2006/metadata/core-properties"/>
    <ds:schemaRef ds:uri="http://purl.org/dc/dcmitype/"/>
    <ds:schemaRef ds:uri="http://purl.org/dc/elements/1.1/"/>
  </ds:schemaRefs>
</ds:datastoreItem>
</file>

<file path=customXml/itemProps3.xml><?xml version="1.0" encoding="utf-8"?>
<ds:datastoreItem xmlns:ds="http://schemas.openxmlformats.org/officeDocument/2006/customXml" ds:itemID="{3EAB7C1F-4189-475E-A784-1E6E9A422EA4}">
  <ds:schemaRefs>
    <ds:schemaRef ds:uri="http://schemas.microsoft.com/sharepoint/v3/contenttype/forms"/>
  </ds:schemaRefs>
</ds:datastoreItem>
</file>

<file path=customXml/itemProps4.xml><?xml version="1.0" encoding="utf-8"?>
<ds:datastoreItem xmlns:ds="http://schemas.openxmlformats.org/officeDocument/2006/customXml" ds:itemID="{9E55C893-F64E-4678-9D4E-4F988DA4DB9D}"/>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14</vt:i4>
      </vt:variant>
      <vt:variant>
        <vt:lpstr>Named Ranges</vt:lpstr>
      </vt:variant>
      <vt:variant>
        <vt:i4>509</vt:i4>
      </vt:variant>
    </vt:vector>
  </HeadingPairs>
  <TitlesOfParts>
    <vt:vector size="523" baseType="lpstr">
      <vt:lpstr>Roof spaces</vt:lpstr>
      <vt:lpstr>Roof edge insulation</vt:lpstr>
      <vt:lpstr>Roofs</vt:lpstr>
      <vt:lpstr>Walls</vt:lpstr>
      <vt:lpstr>Timber floors</vt:lpstr>
      <vt:lpstr>Slab floors</vt:lpstr>
      <vt:lpstr>Doors</vt:lpstr>
      <vt:lpstr>Summary</vt:lpstr>
      <vt:lpstr>Insulation product group</vt:lpstr>
      <vt:lpstr>Adjust conductivity with temp.</vt:lpstr>
      <vt:lpstr>equivalences for steel frames</vt:lpstr>
      <vt:lpstr>diagrams</vt:lpstr>
      <vt:lpstr>diagrams2</vt:lpstr>
      <vt:lpstr>diagrams3</vt:lpstr>
      <vt:lpstr>_90mm</vt:lpstr>
      <vt:lpstr>'Slab floors'!A_P</vt:lpstr>
      <vt:lpstr>'Roof spaces'!aa</vt:lpstr>
      <vt:lpstr>Walls!aa</vt:lpstr>
      <vt:lpstr>'Roof spaces'!ab</vt:lpstr>
      <vt:lpstr>Walls!ab</vt:lpstr>
      <vt:lpstr>'Roof spaces'!ac</vt:lpstr>
      <vt:lpstr>Walls!ac</vt:lpstr>
      <vt:lpstr>'Roof edge insulation'!angle</vt:lpstr>
      <vt:lpstr>around_footing</vt:lpstr>
      <vt:lpstr>'Roof spaces'!ba</vt:lpstr>
      <vt:lpstr>Walls!ba</vt:lpstr>
      <vt:lpstr>'Roof spaces'!bb</vt:lpstr>
      <vt:lpstr>Walls!bb</vt:lpstr>
      <vt:lpstr>'Roof spaces'!bc</vt:lpstr>
      <vt:lpstr>Walls!bc</vt:lpstr>
      <vt:lpstr>'Roof spaces'!Both_layers</vt:lpstr>
      <vt:lpstr>'Roof spaces'!ca</vt:lpstr>
      <vt:lpstr>Walls!ca</vt:lpstr>
      <vt:lpstr>'Roof spaces'!cb</vt:lpstr>
      <vt:lpstr>Walls!cb</vt:lpstr>
      <vt:lpstr>'Roof spaces'!cc</vt:lpstr>
      <vt:lpstr>Walls!cc</vt:lpstr>
      <vt:lpstr>'Roof edge insulation'!ccf</vt:lpstr>
      <vt:lpstr>Doors!Cntrl1</vt:lpstr>
      <vt:lpstr>'Roof edge insulation'!Cntrl1</vt:lpstr>
      <vt:lpstr>'Roof spaces'!Cntrl1</vt:lpstr>
      <vt:lpstr>Roofs!Cntrl1</vt:lpstr>
      <vt:lpstr>'Slab floors'!Cntrl1</vt:lpstr>
      <vt:lpstr>'Timber floors'!Cntrl1</vt:lpstr>
      <vt:lpstr>Walls!Cntrl1</vt:lpstr>
      <vt:lpstr>'Roof edge insulation'!Cntrl10</vt:lpstr>
      <vt:lpstr>'Roof spaces'!Cntrl10</vt:lpstr>
      <vt:lpstr>Roofs!Cntrl10</vt:lpstr>
      <vt:lpstr>Walls!Cntrl10</vt:lpstr>
      <vt:lpstr>'Roof edge insulation'!Cntrl11</vt:lpstr>
      <vt:lpstr>'Roof spaces'!Cntrl11</vt:lpstr>
      <vt:lpstr>Roofs!Cntrl11</vt:lpstr>
      <vt:lpstr>Walls!Cntrl11</vt:lpstr>
      <vt:lpstr>'Roof edge insulation'!Cntrl12</vt:lpstr>
      <vt:lpstr>'Roof spaces'!Cntrl12</vt:lpstr>
      <vt:lpstr>Roofs!Cntrl12</vt:lpstr>
      <vt:lpstr>Walls!Cntrl12</vt:lpstr>
      <vt:lpstr>'Roof edge insulation'!Cntrl13</vt:lpstr>
      <vt:lpstr>'Roof spaces'!Cntrl13</vt:lpstr>
      <vt:lpstr>Walls!Cntrl13</vt:lpstr>
      <vt:lpstr>'Roof edge insulation'!Cntrl14</vt:lpstr>
      <vt:lpstr>'Roof spaces'!Cntrl14</vt:lpstr>
      <vt:lpstr>Walls!Cntrl14</vt:lpstr>
      <vt:lpstr>'Roof edge insulation'!Cntrl15</vt:lpstr>
      <vt:lpstr>'Roof spaces'!Cntrl15</vt:lpstr>
      <vt:lpstr>Walls!Cntrl15</vt:lpstr>
      <vt:lpstr>'Roof edge insulation'!Cntrl16</vt:lpstr>
      <vt:lpstr>'Roof spaces'!Cntrl16</vt:lpstr>
      <vt:lpstr>Walls!Cntrl16</vt:lpstr>
      <vt:lpstr>'Roof spaces'!Cntrl17</vt:lpstr>
      <vt:lpstr>Walls!Cntrl17</vt:lpstr>
      <vt:lpstr>Walls!Cntrl18</vt:lpstr>
      <vt:lpstr>Walls!Cntrl19</vt:lpstr>
      <vt:lpstr>Doors!Cntrl2</vt:lpstr>
      <vt:lpstr>'Roof edge insulation'!Cntrl2</vt:lpstr>
      <vt:lpstr>'Roof spaces'!Cntrl2</vt:lpstr>
      <vt:lpstr>Roofs!Cntrl2</vt:lpstr>
      <vt:lpstr>'Slab floors'!Cntrl2</vt:lpstr>
      <vt:lpstr>'Timber floors'!Cntrl2</vt:lpstr>
      <vt:lpstr>Walls!Cntrl2</vt:lpstr>
      <vt:lpstr>Walls!Cntrl20</vt:lpstr>
      <vt:lpstr>Walls!Cntrl21</vt:lpstr>
      <vt:lpstr>Walls!Cntrl22</vt:lpstr>
      <vt:lpstr>Walls!Cntrl23</vt:lpstr>
      <vt:lpstr>Walls!Cntrl24</vt:lpstr>
      <vt:lpstr>Walls!Cntrl25</vt:lpstr>
      <vt:lpstr>Walls!Cntrl26</vt:lpstr>
      <vt:lpstr>Walls!Cntrl27</vt:lpstr>
      <vt:lpstr>Walls!Cntrl28</vt:lpstr>
      <vt:lpstr>Walls!Cntrl29</vt:lpstr>
      <vt:lpstr>Doors!Cntrl3</vt:lpstr>
      <vt:lpstr>'Roof edge insulation'!Cntrl3</vt:lpstr>
      <vt:lpstr>'Roof spaces'!Cntrl3</vt:lpstr>
      <vt:lpstr>Roofs!Cntrl3</vt:lpstr>
      <vt:lpstr>'Slab floors'!Cntrl3</vt:lpstr>
      <vt:lpstr>'Timber floors'!Cntrl3</vt:lpstr>
      <vt:lpstr>Walls!Cntrl3</vt:lpstr>
      <vt:lpstr>Walls!Cntrl30</vt:lpstr>
      <vt:lpstr>Doors!Cntrl4</vt:lpstr>
      <vt:lpstr>'Roof edge insulation'!Cntrl4</vt:lpstr>
      <vt:lpstr>'Roof spaces'!Cntrl4</vt:lpstr>
      <vt:lpstr>Roofs!Cntrl4</vt:lpstr>
      <vt:lpstr>'Slab floors'!Cntrl4</vt:lpstr>
      <vt:lpstr>'Timber floors'!Cntrl4</vt:lpstr>
      <vt:lpstr>Walls!Cntrl4</vt:lpstr>
      <vt:lpstr>Doors!Cntrl5</vt:lpstr>
      <vt:lpstr>'Roof edge insulation'!Cntrl5</vt:lpstr>
      <vt:lpstr>'Roof spaces'!Cntrl5</vt:lpstr>
      <vt:lpstr>Roofs!Cntrl5</vt:lpstr>
      <vt:lpstr>'Slab floors'!Cntrl5</vt:lpstr>
      <vt:lpstr>'Timber floors'!Cntrl5</vt:lpstr>
      <vt:lpstr>Walls!Cntrl5</vt:lpstr>
      <vt:lpstr>'Roof edge insulation'!Cntrl6</vt:lpstr>
      <vt:lpstr>'Roof spaces'!Cntrl6</vt:lpstr>
      <vt:lpstr>Roofs!Cntrl6</vt:lpstr>
      <vt:lpstr>'Slab floors'!Cntrl6</vt:lpstr>
      <vt:lpstr>'Timber floors'!Cntrl6</vt:lpstr>
      <vt:lpstr>Walls!Cntrl6</vt:lpstr>
      <vt:lpstr>'Roof edge insulation'!Cntrl7</vt:lpstr>
      <vt:lpstr>'Roof spaces'!Cntrl7</vt:lpstr>
      <vt:lpstr>Roofs!Cntrl7</vt:lpstr>
      <vt:lpstr>'Slab floors'!Cntrl7</vt:lpstr>
      <vt:lpstr>Walls!Cntrl7</vt:lpstr>
      <vt:lpstr>'Roof edge insulation'!Cntrl8</vt:lpstr>
      <vt:lpstr>'Roof spaces'!Cntrl8</vt:lpstr>
      <vt:lpstr>Roofs!Cntrl8</vt:lpstr>
      <vt:lpstr>'Slab floors'!Cntrl8</vt:lpstr>
      <vt:lpstr>Walls!Cntrl8</vt:lpstr>
      <vt:lpstr>'Roof edge insulation'!Cntrl9</vt:lpstr>
      <vt:lpstr>'Roof spaces'!Cntrl9</vt:lpstr>
      <vt:lpstr>Roofs!Cntrl9</vt:lpstr>
      <vt:lpstr>'Slab floors'!Cntrl9</vt:lpstr>
      <vt:lpstr>Walls!Cntrl9</vt:lpstr>
      <vt:lpstr>'Adjust conductivity with temp.'!CntrlType</vt:lpstr>
      <vt:lpstr>Doors!CntrlType</vt:lpstr>
      <vt:lpstr>'equivalences for steel frames'!CntrlType</vt:lpstr>
      <vt:lpstr>'Insulation product group'!CntrlType</vt:lpstr>
      <vt:lpstr>'Roof edge insulation'!CntrlType</vt:lpstr>
      <vt:lpstr>'Roof spaces'!CntrlType</vt:lpstr>
      <vt:lpstr>Roofs!CntrlType</vt:lpstr>
      <vt:lpstr>'Slab floors'!CntrlType</vt:lpstr>
      <vt:lpstr>'Timber floors'!CntrlType</vt:lpstr>
      <vt:lpstr>Walls!CntrlType</vt:lpstr>
      <vt:lpstr>'Slab floors'!coef_c1</vt:lpstr>
      <vt:lpstr>'Slab floors'!coef_c2</vt:lpstr>
      <vt:lpstr>'Slab floors'!coef_c3</vt:lpstr>
      <vt:lpstr>coef_c4</vt:lpstr>
      <vt:lpstr>coef_c4_np</vt:lpstr>
      <vt:lpstr>coef_c5</vt:lpstr>
      <vt:lpstr>coef_d4</vt:lpstr>
      <vt:lpstr>coef_d4_np</vt:lpstr>
      <vt:lpstr>'Slab floors'!coef_m1</vt:lpstr>
      <vt:lpstr>'Slab floors'!coef_m2</vt:lpstr>
      <vt:lpstr>'Slab floors'!coef_m3</vt:lpstr>
      <vt:lpstr>coef_m4</vt:lpstr>
      <vt:lpstr>coef_m4_np</vt:lpstr>
      <vt:lpstr>coef_m5</vt:lpstr>
      <vt:lpstr>'Roof edge insulation'!core_k</vt:lpstr>
      <vt:lpstr>'Roof edge insulation'!core_thick</vt:lpstr>
      <vt:lpstr>'Roof edge insulation'!core_width</vt:lpstr>
      <vt:lpstr>'Adjust conductivity with temp.'!datetag</vt:lpstr>
      <vt:lpstr>Doors!datetag</vt:lpstr>
      <vt:lpstr>'equivalences for steel frames'!datetag</vt:lpstr>
      <vt:lpstr>'Insulation product group'!datetag</vt:lpstr>
      <vt:lpstr>'Roof edge insulation'!datetag</vt:lpstr>
      <vt:lpstr>'Roof spaces'!datetag</vt:lpstr>
      <vt:lpstr>Roofs!datetag</vt:lpstr>
      <vt:lpstr>'Slab floors'!datetag</vt:lpstr>
      <vt:lpstr>Summary!datetag</vt:lpstr>
      <vt:lpstr>'Timber floors'!datetag</vt:lpstr>
      <vt:lpstr>Walls!datetag</vt:lpstr>
      <vt:lpstr>'Roof spaces'!ea</vt:lpstr>
      <vt:lpstr>'Roof spaces'!eb</vt:lpstr>
      <vt:lpstr>'Roof spaces'!ec</vt:lpstr>
      <vt:lpstr>'Roof edge insulation'!edge_k</vt:lpstr>
      <vt:lpstr>'Roof edge insulation'!edge_thick</vt:lpstr>
      <vt:lpstr>'Roof edge insulation'!edge_width</vt:lpstr>
      <vt:lpstr>'Roof spaces'!fa</vt:lpstr>
      <vt:lpstr>'Roof spaces'!fb</vt:lpstr>
      <vt:lpstr>'Roof spaces'!fc</vt:lpstr>
      <vt:lpstr>full</vt:lpstr>
      <vt:lpstr>'Roof spaces'!Full_thick</vt:lpstr>
      <vt:lpstr>'Roof spaces'!ga</vt:lpstr>
      <vt:lpstr>'Roof spaces'!gb</vt:lpstr>
      <vt:lpstr>'Roof spaces'!gc</vt:lpstr>
      <vt:lpstr>'Roof edge insulation'!input1</vt:lpstr>
      <vt:lpstr>'Roof spaces'!input1</vt:lpstr>
      <vt:lpstr>Roofs!input1</vt:lpstr>
      <vt:lpstr>'Slab floors'!input1</vt:lpstr>
      <vt:lpstr>'Timber floors'!input1</vt:lpstr>
      <vt:lpstr>Walls!input1</vt:lpstr>
      <vt:lpstr>'Roof edge insulation'!input10</vt:lpstr>
      <vt:lpstr>'Roof spaces'!input10</vt:lpstr>
      <vt:lpstr>Roofs!input10</vt:lpstr>
      <vt:lpstr>Walls!input10</vt:lpstr>
      <vt:lpstr>'Roof edge insulation'!input11</vt:lpstr>
      <vt:lpstr>'Roof spaces'!input11</vt:lpstr>
      <vt:lpstr>Roofs!input11</vt:lpstr>
      <vt:lpstr>'Roof edge insulation'!input12</vt:lpstr>
      <vt:lpstr>'Roof spaces'!input12</vt:lpstr>
      <vt:lpstr>Roofs!input12</vt:lpstr>
      <vt:lpstr>Walls!input12</vt:lpstr>
      <vt:lpstr>'Roof edge insulation'!input13</vt:lpstr>
      <vt:lpstr>'Roof spaces'!input13</vt:lpstr>
      <vt:lpstr>Walls!input13</vt:lpstr>
      <vt:lpstr>'Roof edge insulation'!input14</vt:lpstr>
      <vt:lpstr>'Roof spaces'!input14</vt:lpstr>
      <vt:lpstr>Walls!input14</vt:lpstr>
      <vt:lpstr>'Roof edge insulation'!input15</vt:lpstr>
      <vt:lpstr>'Roof spaces'!input15</vt:lpstr>
      <vt:lpstr>Walls!input15</vt:lpstr>
      <vt:lpstr>'Roof spaces'!input16</vt:lpstr>
      <vt:lpstr>Walls!input16</vt:lpstr>
      <vt:lpstr>'Roof spaces'!input17</vt:lpstr>
      <vt:lpstr>Walls!input17</vt:lpstr>
      <vt:lpstr>Walls!input18</vt:lpstr>
      <vt:lpstr>Walls!input19</vt:lpstr>
      <vt:lpstr>'Roof edge insulation'!input2</vt:lpstr>
      <vt:lpstr>'Roof spaces'!input2</vt:lpstr>
      <vt:lpstr>Roofs!input2</vt:lpstr>
      <vt:lpstr>'Slab floors'!input2</vt:lpstr>
      <vt:lpstr>'Timber floors'!input2</vt:lpstr>
      <vt:lpstr>Walls!input2</vt:lpstr>
      <vt:lpstr>Walls!input20</vt:lpstr>
      <vt:lpstr>Walls!input21</vt:lpstr>
      <vt:lpstr>Walls!input22</vt:lpstr>
      <vt:lpstr>Walls!input23</vt:lpstr>
      <vt:lpstr>Walls!input24</vt:lpstr>
      <vt:lpstr>Walls!input25</vt:lpstr>
      <vt:lpstr>Walls!input26</vt:lpstr>
      <vt:lpstr>Walls!input27</vt:lpstr>
      <vt:lpstr>Walls!input28</vt:lpstr>
      <vt:lpstr>Walls!input29</vt:lpstr>
      <vt:lpstr>'Roof edge insulation'!input3</vt:lpstr>
      <vt:lpstr>'Roof spaces'!input3</vt:lpstr>
      <vt:lpstr>Roofs!input3</vt:lpstr>
      <vt:lpstr>'Slab floors'!input3</vt:lpstr>
      <vt:lpstr>'Timber floors'!input3</vt:lpstr>
      <vt:lpstr>Walls!input3</vt:lpstr>
      <vt:lpstr>Walls!input30</vt:lpstr>
      <vt:lpstr>'Roof edge insulation'!input4</vt:lpstr>
      <vt:lpstr>'Roof spaces'!input4</vt:lpstr>
      <vt:lpstr>Roofs!input4</vt:lpstr>
      <vt:lpstr>'Slab floors'!input4</vt:lpstr>
      <vt:lpstr>'Timber floors'!input4</vt:lpstr>
      <vt:lpstr>Walls!input4</vt:lpstr>
      <vt:lpstr>'Roof edge insulation'!input5</vt:lpstr>
      <vt:lpstr>'Roof spaces'!input5</vt:lpstr>
      <vt:lpstr>Roofs!input5</vt:lpstr>
      <vt:lpstr>'Slab floors'!input5</vt:lpstr>
      <vt:lpstr>'Timber floors'!input5</vt:lpstr>
      <vt:lpstr>Walls!input5</vt:lpstr>
      <vt:lpstr>'Roof edge insulation'!input6</vt:lpstr>
      <vt:lpstr>'Roof spaces'!input6</vt:lpstr>
      <vt:lpstr>Roofs!input6</vt:lpstr>
      <vt:lpstr>'Slab floors'!input6</vt:lpstr>
      <vt:lpstr>Walls!input6</vt:lpstr>
      <vt:lpstr>'Roof edge insulation'!input7</vt:lpstr>
      <vt:lpstr>Roofs!input7</vt:lpstr>
      <vt:lpstr>'Slab floors'!input7</vt:lpstr>
      <vt:lpstr>Walls!input7</vt:lpstr>
      <vt:lpstr>'Roof edge insulation'!input8</vt:lpstr>
      <vt:lpstr>'Roof spaces'!input8</vt:lpstr>
      <vt:lpstr>Roofs!input8</vt:lpstr>
      <vt:lpstr>Walls!input8</vt:lpstr>
      <vt:lpstr>'Roof edge insulation'!input9</vt:lpstr>
      <vt:lpstr>'Roof spaces'!input9</vt:lpstr>
      <vt:lpstr>Walls!input9</vt:lpstr>
      <vt:lpstr>l_c</vt:lpstr>
      <vt:lpstr>l_x</vt:lpstr>
      <vt:lpstr>l_x2</vt:lpstr>
      <vt:lpstr>'Roof spaces'!Layer_two</vt:lpstr>
      <vt:lpstr>'Roof edge insulation'!mid_width</vt:lpstr>
      <vt:lpstr>'Roof edge insulation'!mult1</vt:lpstr>
      <vt:lpstr>'Roof edge insulation'!mult2</vt:lpstr>
      <vt:lpstr>'Roof edge insulation'!mult3</vt:lpstr>
      <vt:lpstr>mv</vt:lpstr>
      <vt:lpstr>no_insul</vt:lpstr>
      <vt:lpstr>no_perim_or_footing</vt:lpstr>
      <vt:lpstr>'Roof spaces'!One_layer</vt:lpstr>
      <vt:lpstr>otbv</vt:lpstr>
      <vt:lpstr>P_blank</vt:lpstr>
      <vt:lpstr>P_blank2</vt:lpstr>
      <vt:lpstr>P_blank3</vt:lpstr>
      <vt:lpstr>P_FR_M</vt:lpstr>
      <vt:lpstr>P_FR_O</vt:lpstr>
      <vt:lpstr>P_FS_M_E</vt:lpstr>
      <vt:lpstr>P_FS_M_F</vt:lpstr>
      <vt:lpstr>P_FS_M_N</vt:lpstr>
      <vt:lpstr>P_PS_O_a</vt:lpstr>
      <vt:lpstr>P_PS_O_b</vt:lpstr>
      <vt:lpstr>P_PS_O_c</vt:lpstr>
      <vt:lpstr>P_PS_O_E</vt:lpstr>
      <vt:lpstr>P_PS_O_F</vt:lpstr>
      <vt:lpstr>P_PS_O_N</vt:lpstr>
      <vt:lpstr>P_PS_O_T</vt:lpstr>
      <vt:lpstr>P_RL_S_B</vt:lpstr>
      <vt:lpstr>P_RL_S_D</vt:lpstr>
      <vt:lpstr>P_RP_C_B</vt:lpstr>
      <vt:lpstr>P_RP_C_D</vt:lpstr>
      <vt:lpstr>'Roof spaces'!P_RP_reducedperim</vt:lpstr>
      <vt:lpstr>P_RP_reducedperim</vt:lpstr>
      <vt:lpstr>P_RP_S_B</vt:lpstr>
      <vt:lpstr>'Roof spaces'!P_RP_S_B_RH</vt:lpstr>
      <vt:lpstr>P_RP_S_B_RH</vt:lpstr>
      <vt:lpstr>P_RP_S_D</vt:lpstr>
      <vt:lpstr>'Roof spaces'!P_RP_SIL</vt:lpstr>
      <vt:lpstr>P_RP_SIL</vt:lpstr>
      <vt:lpstr>P_RP_SIL2</vt:lpstr>
      <vt:lpstr>P_RS_C_B</vt:lpstr>
      <vt:lpstr>P_RS_C_D</vt:lpstr>
      <vt:lpstr>P_RS_C_DR</vt:lpstr>
      <vt:lpstr>P_RS_M_B</vt:lpstr>
      <vt:lpstr>P_RS_M_D</vt:lpstr>
      <vt:lpstr>P_RS_S_B_DR</vt:lpstr>
      <vt:lpstr>P_RS_S_B_SR</vt:lpstr>
      <vt:lpstr>P_RS_S_D</vt:lpstr>
      <vt:lpstr>P_RS_S_DR</vt:lpstr>
      <vt:lpstr>P_RS_S_I</vt:lpstr>
      <vt:lpstr>P_RS_S_SIL</vt:lpstr>
      <vt:lpstr>P_ST_I</vt:lpstr>
      <vt:lpstr>P_ST_O_D</vt:lpstr>
      <vt:lpstr>P_ST_O_S</vt:lpstr>
      <vt:lpstr>P_warmroof</vt:lpstr>
      <vt:lpstr>perim</vt:lpstr>
      <vt:lpstr>Roofs!R_diag1</vt:lpstr>
      <vt:lpstr>Roofs!R_diag2</vt:lpstr>
      <vt:lpstr>Walls!R_max</vt:lpstr>
      <vt:lpstr>Walls!R_min</vt:lpstr>
      <vt:lpstr>'Roof edge insulation'!radix64</vt:lpstr>
      <vt:lpstr>'Roof spaces'!radix64</vt:lpstr>
      <vt:lpstr>Roofs!radix64</vt:lpstr>
      <vt:lpstr>'Slab floors'!radix64</vt:lpstr>
      <vt:lpstr>Summary!radix64</vt:lpstr>
      <vt:lpstr>'Timber floors'!radix64</vt:lpstr>
      <vt:lpstr>Walls!radix64</vt:lpstr>
      <vt:lpstr>Walls!radix64b</vt:lpstr>
      <vt:lpstr>raft</vt:lpstr>
      <vt:lpstr>raft_</vt:lpstr>
      <vt:lpstr>'Roof spaces'!RS_diag1</vt:lpstr>
      <vt:lpstr>'Roof spaces'!RS_diag2</vt:lpstr>
      <vt:lpstr>s_c</vt:lpstr>
      <vt:lpstr>s_x</vt:lpstr>
      <vt:lpstr>s_x2</vt:lpstr>
      <vt:lpstr>s_x3</vt:lpstr>
      <vt:lpstr>'Roof edge insulation'!second_k</vt:lpstr>
      <vt:lpstr>'Roof edge insulation'!second_thick</vt:lpstr>
      <vt:lpstr>'Roof edge insulation'!second_width</vt:lpstr>
      <vt:lpstr>'Roof edge insulation'!select_width</vt:lpstr>
      <vt:lpstr>slab</vt:lpstr>
      <vt:lpstr>'Roof edge insulation'!start</vt:lpstr>
      <vt:lpstr>std</vt:lpstr>
      <vt:lpstr>STF_lined</vt:lpstr>
      <vt:lpstr>'Roof edge insulation'!tanO</vt:lpstr>
      <vt:lpstr>thick</vt:lpstr>
      <vt:lpstr>thick_mult</vt:lpstr>
      <vt:lpstr>topper</vt:lpstr>
      <vt:lpstr>'Roof edge insulation'!tot_width</vt:lpstr>
      <vt:lpstr>'Roof spaces'!Two_layers</vt:lpstr>
      <vt:lpstr>under</vt:lpstr>
      <vt:lpstr>'Adjust conductivity with temp.'!version</vt:lpstr>
      <vt:lpstr>Doors!version</vt:lpstr>
      <vt:lpstr>'equivalences for steel frames'!version</vt:lpstr>
      <vt:lpstr>'Insulation product group'!version</vt:lpstr>
      <vt:lpstr>'Roof edge insulation'!version</vt:lpstr>
      <vt:lpstr>'Roof spaces'!version</vt:lpstr>
      <vt:lpstr>Roofs!version</vt:lpstr>
      <vt:lpstr>'Slab floors'!version</vt:lpstr>
      <vt:lpstr>Summary!version</vt:lpstr>
      <vt:lpstr>'Timber floors'!version</vt:lpstr>
      <vt:lpstr>Walls!version</vt:lpstr>
      <vt:lpstr>W_BBWB_C_140S</vt:lpstr>
      <vt:lpstr>W_BBWB_C_140T</vt:lpstr>
      <vt:lpstr>W_BBWB_C_90S</vt:lpstr>
      <vt:lpstr>W_BBWB_C_90T</vt:lpstr>
      <vt:lpstr>W_BBWB_D140S</vt:lpstr>
      <vt:lpstr>W_BBWB_D140T</vt:lpstr>
      <vt:lpstr>W_BBWB_D90S</vt:lpstr>
      <vt:lpstr>W_BBWB_D90T</vt:lpstr>
      <vt:lpstr>W_BV_140S</vt:lpstr>
      <vt:lpstr>W_BV_140T</vt:lpstr>
      <vt:lpstr>W_BV_90S</vt:lpstr>
      <vt:lpstr>W_BV_90T</vt:lpstr>
      <vt:lpstr>Walls!W_diag1</vt:lpstr>
      <vt:lpstr>Walls!W_diag2</vt:lpstr>
      <vt:lpstr>Walls!W_diag3</vt:lpstr>
      <vt:lpstr>Walls!W_diag4</vt:lpstr>
      <vt:lpstr>W_EPS_140S</vt:lpstr>
      <vt:lpstr>W_EPS_140T</vt:lpstr>
      <vt:lpstr>W_EPS_90S</vt:lpstr>
      <vt:lpstr>W_EPS_90T</vt:lpstr>
      <vt:lpstr>W_FSS_C_140S</vt:lpstr>
      <vt:lpstr>W_FSS_C_140T</vt:lpstr>
      <vt:lpstr>W_FSS_C_90S</vt:lpstr>
      <vt:lpstr>W_FSS_C_90T</vt:lpstr>
      <vt:lpstr>W_FSS_D140S</vt:lpstr>
      <vt:lpstr>W_FSS_D140T</vt:lpstr>
      <vt:lpstr>W_FSS_D90S</vt:lpstr>
      <vt:lpstr>W_FSS_D90T</vt:lpstr>
      <vt:lpstr>W_FSWB_C_140S</vt:lpstr>
      <vt:lpstr>W_FSWB_C_140T</vt:lpstr>
      <vt:lpstr>W_FSWB_C_90S</vt:lpstr>
      <vt:lpstr>W_FSWB_C_90T</vt:lpstr>
      <vt:lpstr>W_FSWB_D140S</vt:lpstr>
      <vt:lpstr>W_FSWB_D140T</vt:lpstr>
      <vt:lpstr>W_FSWB_D90S</vt:lpstr>
      <vt:lpstr>W_FSWB_D90T</vt:lpstr>
      <vt:lpstr>W_ISIL_M</vt:lpstr>
      <vt:lpstr>W_ISIL_PW</vt:lpstr>
      <vt:lpstr>W_PM_C_140S</vt:lpstr>
      <vt:lpstr>W_PM_C_140T</vt:lpstr>
      <vt:lpstr>W_PM_C_90S</vt:lpstr>
      <vt:lpstr>W_PM_C_90T</vt:lpstr>
      <vt:lpstr>W_PM_D140S</vt:lpstr>
      <vt:lpstr>W_PM_D140T</vt:lpstr>
      <vt:lpstr>W_PM_D90S</vt:lpstr>
      <vt:lpstr>W_PM_D90T</vt:lpstr>
      <vt:lpstr>W_RWB_C_140S</vt:lpstr>
      <vt:lpstr>W_RWB_C_140T</vt:lpstr>
      <vt:lpstr>W_RWB_C_90S</vt:lpstr>
      <vt:lpstr>W_RWB_C_90T</vt:lpstr>
      <vt:lpstr>W_RWB_D140S</vt:lpstr>
      <vt:lpstr>W_RWB_D140T</vt:lpstr>
      <vt:lpstr>W_RWB_D90S</vt:lpstr>
      <vt:lpstr>W_RWB_D90T</vt:lpstr>
      <vt:lpstr>W_S_RAB</vt:lpstr>
      <vt:lpstr>W_staggered</vt:lpstr>
      <vt:lpstr>W_T_RAB</vt:lpstr>
      <vt:lpstr>Doors!WebCntrl1</vt:lpstr>
      <vt:lpstr>'Roof edge insulation'!WebCntrl1</vt:lpstr>
      <vt:lpstr>'Roof spaces'!WebCntrl1</vt:lpstr>
      <vt:lpstr>Roofs!WebCntrl1</vt:lpstr>
      <vt:lpstr>'Slab floors'!WebCntrl1</vt:lpstr>
      <vt:lpstr>'Timber floors'!WebCntrl1</vt:lpstr>
      <vt:lpstr>Walls!WebCntrl1</vt:lpstr>
      <vt:lpstr>'Roof edge insulation'!WebCntrl10</vt:lpstr>
      <vt:lpstr>'Roof spaces'!WebCntrl10</vt:lpstr>
      <vt:lpstr>Roofs!WebCntrl10</vt:lpstr>
      <vt:lpstr>Walls!WebCntrl10</vt:lpstr>
      <vt:lpstr>'Roof edge insulation'!WebCntrl11</vt:lpstr>
      <vt:lpstr>'Roof spaces'!WebCntrl11</vt:lpstr>
      <vt:lpstr>Roofs!WebCntrl11</vt:lpstr>
      <vt:lpstr>Walls!WebCntrl11</vt:lpstr>
      <vt:lpstr>'Roof edge insulation'!WebCntrl12</vt:lpstr>
      <vt:lpstr>'Roof spaces'!WebCntrl12</vt:lpstr>
      <vt:lpstr>Roofs!WebCntrl12</vt:lpstr>
      <vt:lpstr>Walls!WebCntrl12</vt:lpstr>
      <vt:lpstr>'Roof edge insulation'!WebCntrl13</vt:lpstr>
      <vt:lpstr>'Roof spaces'!WebCntrl13</vt:lpstr>
      <vt:lpstr>Walls!WebCntrl13</vt:lpstr>
      <vt:lpstr>'Roof edge insulation'!WebCntrl14</vt:lpstr>
      <vt:lpstr>'Roof spaces'!WebCntrl14</vt:lpstr>
      <vt:lpstr>Walls!WebCntrl14</vt:lpstr>
      <vt:lpstr>'Roof edge insulation'!WebCntrl15</vt:lpstr>
      <vt:lpstr>'Roof spaces'!WebCntrl15</vt:lpstr>
      <vt:lpstr>Walls!WebCntrl15</vt:lpstr>
      <vt:lpstr>'Roof edge insulation'!WebCntrl16</vt:lpstr>
      <vt:lpstr>'Roof spaces'!WebCntrl16</vt:lpstr>
      <vt:lpstr>Walls!WebCntrl16</vt:lpstr>
      <vt:lpstr>'Roof spaces'!WebCntrl17</vt:lpstr>
      <vt:lpstr>Walls!WebCntrl17</vt:lpstr>
      <vt:lpstr>Walls!WebCntrl18</vt:lpstr>
      <vt:lpstr>Walls!WebCntrl19</vt:lpstr>
      <vt:lpstr>Doors!WebCntrl2</vt:lpstr>
      <vt:lpstr>'Roof edge insulation'!WebCntrl2</vt:lpstr>
      <vt:lpstr>'Roof spaces'!WebCntrl2</vt:lpstr>
      <vt:lpstr>Roofs!WebCntrl2</vt:lpstr>
      <vt:lpstr>'Slab floors'!WebCntrl2</vt:lpstr>
      <vt:lpstr>'Timber floors'!WebCntrl2</vt:lpstr>
      <vt:lpstr>Walls!WebCntrl2</vt:lpstr>
      <vt:lpstr>Walls!WebCntrl20</vt:lpstr>
      <vt:lpstr>Walls!WebCntrl21</vt:lpstr>
      <vt:lpstr>Walls!WebCntrl22</vt:lpstr>
      <vt:lpstr>Walls!WebCntrl23</vt:lpstr>
      <vt:lpstr>Walls!WebCntrl24</vt:lpstr>
      <vt:lpstr>Walls!WebCntrl25</vt:lpstr>
      <vt:lpstr>Walls!WebCntrl26</vt:lpstr>
      <vt:lpstr>Walls!WebCntrl27</vt:lpstr>
      <vt:lpstr>Walls!WebCntrl28</vt:lpstr>
      <vt:lpstr>Walls!WebCntrl29</vt:lpstr>
      <vt:lpstr>Doors!WebCntrl3</vt:lpstr>
      <vt:lpstr>'Roof edge insulation'!WebCntrl3</vt:lpstr>
      <vt:lpstr>'Roof spaces'!WebCntrl3</vt:lpstr>
      <vt:lpstr>Roofs!WebCntrl3</vt:lpstr>
      <vt:lpstr>'Slab floors'!WebCntrl3</vt:lpstr>
      <vt:lpstr>'Timber floors'!WebCntrl3</vt:lpstr>
      <vt:lpstr>Walls!WebCntrl3</vt:lpstr>
      <vt:lpstr>Walls!WebCntrl30</vt:lpstr>
      <vt:lpstr>Doors!WebCntrl4</vt:lpstr>
      <vt:lpstr>'Roof edge insulation'!WebCntrl4</vt:lpstr>
      <vt:lpstr>'Roof spaces'!WebCntrl4</vt:lpstr>
      <vt:lpstr>Roofs!WebCntrl4</vt:lpstr>
      <vt:lpstr>'Slab floors'!WebCntrl4</vt:lpstr>
      <vt:lpstr>'Timber floors'!WebCntrl4</vt:lpstr>
      <vt:lpstr>Walls!WebCntrl4</vt:lpstr>
      <vt:lpstr>Doors!WebCntrl5</vt:lpstr>
      <vt:lpstr>'Roof edge insulation'!WebCntrl5</vt:lpstr>
      <vt:lpstr>'Roof spaces'!WebCntrl5</vt:lpstr>
      <vt:lpstr>Roofs!WebCntrl5</vt:lpstr>
      <vt:lpstr>'Slab floors'!WebCntrl5</vt:lpstr>
      <vt:lpstr>'Timber floors'!WebCntrl5</vt:lpstr>
      <vt:lpstr>Walls!WebCntrl5</vt:lpstr>
      <vt:lpstr>'Roof edge insulation'!WebCntrl6</vt:lpstr>
      <vt:lpstr>'Roof spaces'!WebCntrl6</vt:lpstr>
      <vt:lpstr>Roofs!WebCntrl6</vt:lpstr>
      <vt:lpstr>'Slab floors'!WebCntrl6</vt:lpstr>
      <vt:lpstr>'Timber floors'!WebCntrl6</vt:lpstr>
      <vt:lpstr>Walls!WebCntrl6</vt:lpstr>
      <vt:lpstr>'Roof edge insulation'!WebCntrl7</vt:lpstr>
      <vt:lpstr>'Roof spaces'!WebCntrl7</vt:lpstr>
      <vt:lpstr>Roofs!WebCntrl7</vt:lpstr>
      <vt:lpstr>'Slab floors'!WebCntrl7</vt:lpstr>
      <vt:lpstr>Walls!WebCntrl7</vt:lpstr>
      <vt:lpstr>Doors!WebCntrl8</vt:lpstr>
      <vt:lpstr>'Roof edge insulation'!WebCntrl8</vt:lpstr>
      <vt:lpstr>'Roof spaces'!WebCntrl8</vt:lpstr>
      <vt:lpstr>Roofs!WebCntrl8</vt:lpstr>
      <vt:lpstr>'Slab floors'!WebCntrl8</vt:lpstr>
      <vt:lpstr>Walls!WebCntrl8</vt:lpstr>
      <vt:lpstr>'Roof edge insulation'!WebCntrl9</vt:lpstr>
      <vt:lpstr>'Roof spaces'!WebCntrl9</vt:lpstr>
      <vt:lpstr>Roofs!WebCntrl9</vt:lpstr>
      <vt:lpstr>Walls!WebCntrl9</vt:lpstr>
    </vt:vector>
  </TitlesOfParts>
  <Manager/>
  <Company>BRANZ</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Ian Cox-Smith</dc:creator>
  <cp:keywords/>
  <dc:description/>
  <cp:lastModifiedBy>Ian Cox-Smith</cp:lastModifiedBy>
  <cp:revision/>
  <dcterms:created xsi:type="dcterms:W3CDTF">2022-08-03T20:32:22Z</dcterms:created>
  <dcterms:modified xsi:type="dcterms:W3CDTF">2025-11-27T04:07:21Z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Order">
    <vt:lpwstr>104749200.000000</vt:lpwstr>
  </property>
  <property fmtid="{D5CDD505-2E9C-101B-9397-08002B2CF9AE}" pid="3" name="ContentTypeId">
    <vt:lpwstr>0x0101001619A7F82DBE5A4E98366AA794A219A1</vt:lpwstr>
  </property>
  <property fmtid="{D5CDD505-2E9C-101B-9397-08002B2CF9AE}" pid="4" name="MediaServiceImageTags">
    <vt:lpwstr/>
  </property>
  <property fmtid="{D5CDD505-2E9C-101B-9397-08002B2CF9AE}" pid="5" name="xd_ProgID">
    <vt:lpwstr/>
  </property>
  <property fmtid="{D5CDD505-2E9C-101B-9397-08002B2CF9AE}" pid="6" name="ComplianceAssetId">
    <vt:lpwstr/>
  </property>
  <property fmtid="{D5CDD505-2E9C-101B-9397-08002B2CF9AE}" pid="7" name="TemplateUrl">
    <vt:lpwstr/>
  </property>
  <property fmtid="{D5CDD505-2E9C-101B-9397-08002B2CF9AE}" pid="8" name="_ExtendedDescription">
    <vt:lpwstr/>
  </property>
  <property fmtid="{D5CDD505-2E9C-101B-9397-08002B2CF9AE}" pid="9" name="TriggerFlowInfo">
    <vt:lpwstr/>
  </property>
  <property fmtid="{D5CDD505-2E9C-101B-9397-08002B2CF9AE}" pid="10" name="xd_Signature">
    <vt:lpwstr/>
  </property>
  <property fmtid="{D5CDD505-2E9C-101B-9397-08002B2CF9AE}" pid="11" name="_dlc_DocIdItemGuid">
    <vt:lpwstr>ec32ae1a-9a57-41aa-97d4-249b56c59fba</vt:lpwstr>
  </property>
</Properties>
</file>